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729"/>
  <workbookPr defaultThemeVersion="124226"/>
  <mc:AlternateContent xmlns:mc="http://schemas.openxmlformats.org/markup-compatibility/2006">
    <mc:Choice Requires="x15">
      <x15ac:absPath xmlns:x15ac="http://schemas.microsoft.com/office/spreadsheetml/2010/11/ac" url="G:\RATES\DOCKETS\GO-2017-0201\"/>
    </mc:Choice>
  </mc:AlternateContent>
  <bookViews>
    <workbookView xWindow="480" yWindow="120" windowWidth="18720" windowHeight="10650" tabRatio="919" firstSheet="20" activeTab="25"/>
  </bookViews>
  <sheets>
    <sheet name="ISRS Addns Mar-July 2016 sorted" sheetId="16" state="hidden" r:id="rId1"/>
    <sheet name="ISRS Addns Mar-July 2016" sheetId="6" state="hidden" r:id="rId2"/>
    <sheet name="ISRS Addns Nov-Jan 2017 Sorted" sheetId="31" r:id="rId3"/>
    <sheet name="ISRS Addns Nov and Dec 2016" sheetId="26" r:id="rId4"/>
    <sheet name="MGEISRS Addns Nov 16 - Jan 2017" sheetId="36" r:id="rId5"/>
    <sheet name="Jan Addns Only" sheetId="34" r:id="rId6"/>
    <sheet name="New Jan WO Detailed Desc" sheetId="35" r:id="rId7"/>
    <sheet name="New Wo Detailed Descr Rev" sheetId="29" r:id="rId8"/>
    <sheet name="MGE ISRS Retire Mar-Aug 16" sheetId="18" state="hidden" r:id="rId9"/>
    <sheet name="MGE ISRS Retire Mar-Jul 16" sheetId="8" state="hidden" r:id="rId10"/>
    <sheet name="State &amp; Federal Requirements" sheetId="33" r:id="rId11"/>
    <sheet name="MGE ISRS Retire Nov and Dec 16" sheetId="27" r:id="rId12"/>
    <sheet name="MGE ISRS Retire Nov 16 - Jan 17" sheetId="38" r:id="rId13"/>
    <sheet name="Jan Ret Only" sheetId="37" r:id="rId14"/>
    <sheet name="Depr-DIT GR-2015-0025" sheetId="1" r:id="rId15"/>
    <sheet name="Depr-DIT GO-2015-0270" sheetId="2" r:id="rId16"/>
    <sheet name="Depr-DIT GO-2015-0343" sheetId="3" r:id="rId17"/>
    <sheet name="Depr-DIT GO-2016-0197" sheetId="4" r:id="rId18"/>
    <sheet name="Depr-DIT GO-2016-0332" sheetId="5" r:id="rId19"/>
    <sheet name="Depr-DIT Current" sheetId="32" r:id="rId20"/>
    <sheet name="MGE - Deferred Taxes" sheetId="9" r:id="rId21"/>
    <sheet name="Rate of Return" sheetId="10" r:id="rId22"/>
    <sheet name="Property Taxes" sheetId="11" r:id="rId23"/>
    <sheet name="Rev Req 9.75%" sheetId="12" r:id="rId24"/>
    <sheet name="summary" sheetId="13" r:id="rId25"/>
    <sheet name="9.75% Wtd Total" sheetId="14" r:id="rId26"/>
    <sheet name="Customers" sheetId="15" r:id="rId27"/>
    <sheet name="Reconciliation" sheetId="28"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15" hidden="1">'Depr-DIT GO-2015-0270'!$A$4:$S$924</definedName>
    <definedName name="_xlnm._FilterDatabase" localSheetId="16" hidden="1">'Depr-DIT GO-2015-0343'!$A$4:$R$807</definedName>
    <definedName name="_xlnm._FilterDatabase" localSheetId="17" hidden="1">'Depr-DIT GO-2016-0197'!$A$4:$S$25</definedName>
    <definedName name="_xlnm._FilterDatabase" localSheetId="14" hidden="1">'Depr-DIT GR-2015-0025'!$A$4:$R$843</definedName>
    <definedName name="_xlnm._FilterDatabase" localSheetId="1" hidden="1">'ISRS Addns Mar-July 2016'!$A$4:$Y$1061</definedName>
    <definedName name="_xlnm._FilterDatabase" localSheetId="0" hidden="1">'ISRS Addns Mar-July 2016 sorted'!$A$4:$Y$1085</definedName>
    <definedName name="_xlnm._FilterDatabase" localSheetId="3" hidden="1">'ISRS Addns Nov and Dec 2016'!$A$1:$N$294</definedName>
    <definedName name="_xlnm._FilterDatabase" localSheetId="2" hidden="1">'ISRS Addns Nov-Jan 2017 Sorted'!$A$1:$N$502</definedName>
    <definedName name="_xlnm._FilterDatabase" localSheetId="13" hidden="1">'Jan Ret Only'!$A$4:$M$33</definedName>
    <definedName name="_xlnm._FilterDatabase" localSheetId="8" hidden="1">'MGE ISRS Retire Mar-Aug 16'!$A$4:$M$104</definedName>
    <definedName name="_xlnm._FilterDatabase" localSheetId="9" hidden="1">'MGE ISRS Retire Mar-Jul 16'!$A$4:$M$104</definedName>
    <definedName name="_xlnm._FilterDatabase" localSheetId="12" hidden="1">'MGE ISRS Retire Nov 16 - Jan 17'!$A$4:$M$78</definedName>
    <definedName name="_xlnm._FilterDatabase" localSheetId="11" hidden="1">'MGE ISRS Retire Nov and Dec 16'!#REF!</definedName>
    <definedName name="_xlnm._FilterDatabase" localSheetId="4" hidden="1">'MGEISRS Addns Nov 16 - Jan 2017'!$A$4:$N$466</definedName>
    <definedName name="DeprRateTable" localSheetId="25">'[1]Depreciation Rates'!$A$1:$C$5</definedName>
    <definedName name="DeprRateTable" localSheetId="26">'[1]Depreciation Rates'!$A$1:$C$5</definedName>
    <definedName name="DeprRateTable" localSheetId="20">'[1]Depreciation Rates'!$A$1:$C$5</definedName>
    <definedName name="DeprRateTable" localSheetId="22">'[1]Depreciation Rates'!$A$1:$C$5</definedName>
    <definedName name="DeprRateTable" localSheetId="21">'[1]Depreciation Rates'!$A$1:$C$5</definedName>
    <definedName name="DeprRateTable" localSheetId="27">'[2]Depreciation Rates'!$A$1:$C$4</definedName>
    <definedName name="DeprRateTable" localSheetId="23">'[1]Depreciation Rates'!$A$1:$C$5</definedName>
    <definedName name="DeprRateTable">'[2]Depreciation Rates'!$A$1:$C$4</definedName>
    <definedName name="_xlnm.Print_Area" localSheetId="25">'9.75% Wtd Total'!$A$1:$H$24</definedName>
    <definedName name="_xlnm.Print_Area" localSheetId="26">Customers!$A$1:$D$13</definedName>
    <definedName name="_xlnm.Print_Area" localSheetId="2">'ISRS Addns Nov-Jan 2017 Sorted'!$A$5:$M$501</definedName>
    <definedName name="_xlnm.Print_Area" localSheetId="20">'MGE - Deferred Taxes'!$A$1:$H$17</definedName>
    <definedName name="_xlnm.Print_Area" localSheetId="8">'MGE ISRS Retire Mar-Aug 16'!$A$5:$M$138</definedName>
    <definedName name="_xlnm.Print_Area" localSheetId="22">'Property Taxes'!$A$1:$C$24</definedName>
    <definedName name="_xlnm.Print_Area" localSheetId="21">'Rate of Return'!$A$1:$K$28</definedName>
    <definedName name="_xlnm.Print_Area" localSheetId="23">'Rev Req 9.75%'!$A$1:$E$26</definedName>
    <definedName name="_xlnm.Print_Area" localSheetId="10">'State &amp; Federal Requirements'!$A$5:$I$319</definedName>
    <definedName name="_xlnm.Print_Area" localSheetId="24">summary!$A$1:$E$20</definedName>
    <definedName name="_xlnm.Print_Titles" localSheetId="2">'ISRS Addns Nov-Jan 2017 Sorted'!$1:$4</definedName>
    <definedName name="_xlnm.Print_Titles" localSheetId="8">'MGE ISRS Retire Mar-Aug 16'!$1:$4</definedName>
    <definedName name="_xlnm.Print_Titles" localSheetId="10">'State &amp; Federal Requirements'!$1:$4</definedName>
  </definedNames>
  <calcPr calcId="171027"/>
</workbook>
</file>

<file path=xl/calcChain.xml><?xml version="1.0" encoding="utf-8"?>
<calcChain xmlns="http://schemas.openxmlformats.org/spreadsheetml/2006/main">
  <c r="E11" i="13" l="1"/>
  <c r="E13" i="13"/>
  <c r="E12" i="13"/>
  <c r="D13" i="13"/>
  <c r="M501" i="31"/>
  <c r="L501" i="31"/>
  <c r="D11" i="13"/>
  <c r="D12" i="13"/>
  <c r="B12" i="13"/>
  <c r="D15" i="13"/>
  <c r="E15" i="13"/>
  <c r="J320" i="32"/>
  <c r="I501" i="31"/>
  <c r="E16" i="13"/>
  <c r="C16" i="13"/>
  <c r="J293" i="32"/>
  <c r="J294" i="32" s="1"/>
  <c r="K294" i="32" s="1"/>
  <c r="M294" i="32" s="1"/>
  <c r="K292" i="32"/>
  <c r="M292" i="32" s="1"/>
  <c r="F470" i="32"/>
  <c r="E470" i="32"/>
  <c r="F469" i="32"/>
  <c r="E469" i="32"/>
  <c r="F468" i="32"/>
  <c r="E468" i="32"/>
  <c r="F467" i="32"/>
  <c r="E467" i="32"/>
  <c r="F466" i="32"/>
  <c r="E466" i="32"/>
  <c r="F465" i="32"/>
  <c r="E465" i="32"/>
  <c r="F464" i="32"/>
  <c r="E464" i="32"/>
  <c r="F463" i="32"/>
  <c r="E463" i="32"/>
  <c r="F462" i="32"/>
  <c r="E462" i="32"/>
  <c r="F461" i="32"/>
  <c r="E461" i="32"/>
  <c r="F460" i="32"/>
  <c r="E460" i="32"/>
  <c r="F459" i="32"/>
  <c r="E459" i="32"/>
  <c r="F458" i="32"/>
  <c r="E458" i="32"/>
  <c r="F457" i="32"/>
  <c r="E457" i="32"/>
  <c r="F456" i="32"/>
  <c r="E456" i="32"/>
  <c r="F455" i="32"/>
  <c r="E455" i="32"/>
  <c r="F454" i="32"/>
  <c r="E454" i="32"/>
  <c r="F453" i="32"/>
  <c r="E453" i="32"/>
  <c r="F452" i="32"/>
  <c r="E452" i="32"/>
  <c r="F451" i="32"/>
  <c r="E451" i="32"/>
  <c r="F450" i="32"/>
  <c r="E450" i="32"/>
  <c r="F449" i="32"/>
  <c r="E449" i="32"/>
  <c r="F448" i="32"/>
  <c r="E448" i="32"/>
  <c r="F447" i="32"/>
  <c r="E447" i="32"/>
  <c r="F446" i="32"/>
  <c r="E446" i="32"/>
  <c r="F445" i="32"/>
  <c r="E445" i="32"/>
  <c r="F444" i="32"/>
  <c r="E444" i="32"/>
  <c r="F443" i="32"/>
  <c r="E443" i="32"/>
  <c r="F442" i="32"/>
  <c r="E442" i="32"/>
  <c r="F441" i="32"/>
  <c r="E441" i="32"/>
  <c r="F440" i="32"/>
  <c r="E440" i="32"/>
  <c r="F439" i="32"/>
  <c r="E439" i="32"/>
  <c r="F438" i="32"/>
  <c r="E438" i="32"/>
  <c r="F437" i="32"/>
  <c r="E437" i="32"/>
  <c r="F436" i="32"/>
  <c r="E436" i="32"/>
  <c r="F435" i="32"/>
  <c r="E435" i="32"/>
  <c r="F434" i="32"/>
  <c r="E434" i="32"/>
  <c r="F433" i="32"/>
  <c r="E433" i="32"/>
  <c r="F432" i="32"/>
  <c r="E432" i="32"/>
  <c r="F431" i="32"/>
  <c r="E431" i="32"/>
  <c r="F430" i="32"/>
  <c r="E430" i="32"/>
  <c r="F429" i="32"/>
  <c r="E429" i="32"/>
  <c r="F428" i="32"/>
  <c r="E428" i="32"/>
  <c r="F427" i="32"/>
  <c r="E427" i="32"/>
  <c r="F426" i="32"/>
  <c r="E426" i="32"/>
  <c r="F425" i="32"/>
  <c r="E425" i="32"/>
  <c r="F424" i="32"/>
  <c r="E424" i="32"/>
  <c r="F423" i="32"/>
  <c r="E423" i="32"/>
  <c r="F422" i="32"/>
  <c r="E422" i="32"/>
  <c r="F421" i="32"/>
  <c r="E421" i="32"/>
  <c r="F420" i="32"/>
  <c r="E420" i="32"/>
  <c r="F419" i="32"/>
  <c r="E419" i="32"/>
  <c r="F418" i="32"/>
  <c r="E418" i="32"/>
  <c r="F417" i="32"/>
  <c r="E417" i="32"/>
  <c r="F416" i="32"/>
  <c r="E416" i="32"/>
  <c r="F415" i="32"/>
  <c r="E415" i="32"/>
  <c r="F414" i="32"/>
  <c r="E414" i="32"/>
  <c r="F413" i="32"/>
  <c r="E413" i="32"/>
  <c r="F412" i="32"/>
  <c r="E412" i="32"/>
  <c r="F411" i="32"/>
  <c r="E411" i="32"/>
  <c r="F410" i="32"/>
  <c r="E410" i="32"/>
  <c r="F409" i="32"/>
  <c r="E409" i="32"/>
  <c r="F408" i="32"/>
  <c r="E408" i="32"/>
  <c r="F407" i="32"/>
  <c r="E407" i="32"/>
  <c r="F406" i="32"/>
  <c r="E406" i="32"/>
  <c r="F405" i="32"/>
  <c r="E405" i="32"/>
  <c r="F404" i="32"/>
  <c r="E404" i="32"/>
  <c r="F403" i="32"/>
  <c r="E403" i="32"/>
  <c r="F402" i="32"/>
  <c r="E402" i="32"/>
  <c r="F401" i="32"/>
  <c r="E401" i="32"/>
  <c r="F400" i="32"/>
  <c r="E400" i="32"/>
  <c r="F399" i="32"/>
  <c r="E399" i="32"/>
  <c r="F398" i="32"/>
  <c r="E398" i="32"/>
  <c r="F397" i="32"/>
  <c r="E397" i="32"/>
  <c r="F396" i="32"/>
  <c r="E396" i="32"/>
  <c r="F395" i="32"/>
  <c r="E395" i="32"/>
  <c r="F394" i="32"/>
  <c r="E394" i="32"/>
  <c r="F393" i="32"/>
  <c r="E393" i="32"/>
  <c r="F392" i="32"/>
  <c r="E392" i="32"/>
  <c r="F391" i="32"/>
  <c r="E391" i="32"/>
  <c r="F390" i="32"/>
  <c r="E390" i="32"/>
  <c r="F389" i="32"/>
  <c r="E389" i="32"/>
  <c r="F388" i="32"/>
  <c r="E388" i="32"/>
  <c r="F387" i="32"/>
  <c r="E387" i="32"/>
  <c r="F386" i="32"/>
  <c r="E386" i="32"/>
  <c r="F385" i="32"/>
  <c r="E385" i="32"/>
  <c r="F384" i="32"/>
  <c r="E384" i="32"/>
  <c r="F383" i="32"/>
  <c r="E383" i="32"/>
  <c r="F382" i="32"/>
  <c r="E382" i="32"/>
  <c r="F381" i="32"/>
  <c r="E381" i="32"/>
  <c r="F380" i="32"/>
  <c r="E380" i="32"/>
  <c r="F379" i="32"/>
  <c r="E379" i="32"/>
  <c r="F378" i="32"/>
  <c r="E378" i="32"/>
  <c r="F377" i="32"/>
  <c r="E377" i="32"/>
  <c r="F376" i="32"/>
  <c r="E376" i="32"/>
  <c r="F375" i="32"/>
  <c r="E375" i="32"/>
  <c r="F374" i="32"/>
  <c r="E374" i="32"/>
  <c r="F373" i="32"/>
  <c r="E373" i="32"/>
  <c r="F372" i="32"/>
  <c r="E372" i="32"/>
  <c r="F371" i="32"/>
  <c r="E371" i="32"/>
  <c r="F370" i="32"/>
  <c r="E370" i="32"/>
  <c r="F369" i="32"/>
  <c r="E369" i="32"/>
  <c r="F368" i="32"/>
  <c r="E368" i="32"/>
  <c r="F367" i="32"/>
  <c r="E367" i="32"/>
  <c r="F366" i="32"/>
  <c r="E366" i="32"/>
  <c r="F365" i="32"/>
  <c r="E365" i="32"/>
  <c r="F364" i="32"/>
  <c r="E364" i="32"/>
  <c r="F363" i="32"/>
  <c r="E363" i="32"/>
  <c r="F362" i="32"/>
  <c r="E362" i="32"/>
  <c r="F361" i="32"/>
  <c r="E361" i="32"/>
  <c r="F360" i="32"/>
  <c r="E360" i="32"/>
  <c r="F359" i="32"/>
  <c r="E359" i="32"/>
  <c r="F358" i="32"/>
  <c r="E358" i="32"/>
  <c r="F357" i="32"/>
  <c r="E357" i="32"/>
  <c r="F356" i="32"/>
  <c r="E356" i="32"/>
  <c r="F355" i="32"/>
  <c r="E355" i="32"/>
  <c r="F354" i="32"/>
  <c r="E354" i="32"/>
  <c r="F353" i="32"/>
  <c r="E353" i="32"/>
  <c r="F352" i="32"/>
  <c r="E352" i="32"/>
  <c r="F351" i="32"/>
  <c r="E351" i="32"/>
  <c r="F350" i="32"/>
  <c r="E350" i="32"/>
  <c r="F349" i="32"/>
  <c r="E349" i="32"/>
  <c r="F348" i="32"/>
  <c r="E348" i="32"/>
  <c r="F347" i="32"/>
  <c r="E347" i="32"/>
  <c r="F346" i="32"/>
  <c r="E346" i="32"/>
  <c r="F345" i="32"/>
  <c r="E345" i="32"/>
  <c r="F344" i="32"/>
  <c r="E344" i="32"/>
  <c r="F343" i="32"/>
  <c r="E343" i="32"/>
  <c r="F342" i="32"/>
  <c r="E342" i="32"/>
  <c r="F341" i="32"/>
  <c r="E341" i="32"/>
  <c r="F340" i="32"/>
  <c r="E340" i="32"/>
  <c r="F339" i="32"/>
  <c r="E339" i="32"/>
  <c r="F338" i="32"/>
  <c r="E338" i="32"/>
  <c r="F337" i="32"/>
  <c r="E337" i="32"/>
  <c r="F336" i="32"/>
  <c r="E336" i="32"/>
  <c r="F335" i="32"/>
  <c r="E335" i="32"/>
  <c r="F334" i="32"/>
  <c r="E334" i="32"/>
  <c r="F333" i="32"/>
  <c r="E333" i="32"/>
  <c r="F332" i="32"/>
  <c r="E332" i="32"/>
  <c r="F331" i="32"/>
  <c r="E331" i="32"/>
  <c r="F330" i="32"/>
  <c r="E330" i="32"/>
  <c r="F329" i="32"/>
  <c r="E329" i="32"/>
  <c r="F328" i="32"/>
  <c r="E328" i="32"/>
  <c r="F327" i="32"/>
  <c r="E327" i="32"/>
  <c r="F326" i="32"/>
  <c r="E326" i="32"/>
  <c r="F325" i="32"/>
  <c r="E325" i="32"/>
  <c r="F324" i="32"/>
  <c r="E324" i="32"/>
  <c r="F323" i="32"/>
  <c r="E323" i="32"/>
  <c r="F322" i="32"/>
  <c r="E322" i="32"/>
  <c r="F321" i="32"/>
  <c r="E321" i="32"/>
  <c r="F320" i="32"/>
  <c r="E320" i="32"/>
  <c r="F319" i="32"/>
  <c r="E319" i="32"/>
  <c r="B319" i="32"/>
  <c r="F318" i="32"/>
  <c r="E318" i="32"/>
  <c r="B318" i="32"/>
  <c r="F317" i="32"/>
  <c r="E317" i="32"/>
  <c r="F316" i="32"/>
  <c r="E316" i="32"/>
  <c r="F315" i="32"/>
  <c r="E315" i="32"/>
  <c r="F314" i="32"/>
  <c r="E314" i="32"/>
  <c r="B314" i="32"/>
  <c r="F313" i="32"/>
  <c r="E313" i="32"/>
  <c r="B313" i="32"/>
  <c r="F312" i="32"/>
  <c r="E312" i="32"/>
  <c r="B312" i="32"/>
  <c r="F311" i="32"/>
  <c r="E311" i="32"/>
  <c r="B311" i="32"/>
  <c r="F310" i="32"/>
  <c r="E310" i="32"/>
  <c r="B310" i="32"/>
  <c r="F309" i="32"/>
  <c r="E309" i="32"/>
  <c r="B309" i="32"/>
  <c r="F308" i="32"/>
  <c r="E308" i="32"/>
  <c r="B308" i="32"/>
  <c r="F307" i="32"/>
  <c r="E307" i="32"/>
  <c r="B307" i="32"/>
  <c r="F306" i="32"/>
  <c r="E306" i="32"/>
  <c r="B306" i="32"/>
  <c r="F305" i="32"/>
  <c r="E305" i="32"/>
  <c r="B305" i="32"/>
  <c r="F304" i="32"/>
  <c r="E304" i="32"/>
  <c r="F303" i="32"/>
  <c r="E303" i="32"/>
  <c r="F302" i="32"/>
  <c r="E302" i="32"/>
  <c r="F301" i="32"/>
  <c r="E301" i="32"/>
  <c r="B301" i="32"/>
  <c r="F300" i="32"/>
  <c r="E300" i="32"/>
  <c r="B300" i="32"/>
  <c r="F299" i="32"/>
  <c r="E299" i="32"/>
  <c r="B299" i="32"/>
  <c r="F298" i="32"/>
  <c r="E298" i="32"/>
  <c r="B298" i="32"/>
  <c r="F297" i="32"/>
  <c r="E297" i="32"/>
  <c r="B297" i="32"/>
  <c r="F296" i="32"/>
  <c r="E296" i="32"/>
  <c r="B296" i="32"/>
  <c r="F295" i="32"/>
  <c r="E295" i="32"/>
  <c r="B295" i="32"/>
  <c r="F294" i="32"/>
  <c r="E294" i="32"/>
  <c r="B294" i="32"/>
  <c r="F293" i="32"/>
  <c r="E293" i="32"/>
  <c r="B293" i="32"/>
  <c r="F292" i="32"/>
  <c r="E292" i="32"/>
  <c r="B292" i="32"/>
  <c r="M80" i="38"/>
  <c r="N26" i="36"/>
  <c r="K320" i="32" l="1"/>
  <c r="J321" i="32"/>
  <c r="K293" i="32"/>
  <c r="M293" i="32" s="1"/>
  <c r="J295" i="32"/>
  <c r="K321" i="32" l="1"/>
  <c r="J322" i="32"/>
  <c r="K295" i="32"/>
  <c r="M295" i="32" s="1"/>
  <c r="J296" i="32"/>
  <c r="K322" i="32" l="1"/>
  <c r="J323" i="32"/>
  <c r="K296" i="32"/>
  <c r="M296" i="32" s="1"/>
  <c r="J297" i="32"/>
  <c r="K323" i="32" l="1"/>
  <c r="J324" i="32"/>
  <c r="K297" i="32"/>
  <c r="M297" i="32" s="1"/>
  <c r="J298" i="32"/>
  <c r="K324" i="32" l="1"/>
  <c r="J325" i="32"/>
  <c r="K298" i="32"/>
  <c r="M298" i="32" s="1"/>
  <c r="J299" i="32"/>
  <c r="K325" i="32" l="1"/>
  <c r="J326" i="32"/>
  <c r="K299" i="32"/>
  <c r="M299" i="32" s="1"/>
  <c r="J300" i="32"/>
  <c r="K326" i="32" l="1"/>
  <c r="J327" i="32"/>
  <c r="K300" i="32"/>
  <c r="M300" i="32" s="1"/>
  <c r="J301" i="32"/>
  <c r="K327" i="32" l="1"/>
  <c r="J328" i="32"/>
  <c r="J302" i="32"/>
  <c r="K301" i="32"/>
  <c r="M301" i="32" s="1"/>
  <c r="K328" i="32" l="1"/>
  <c r="J329" i="32"/>
  <c r="K302" i="32"/>
  <c r="M302" i="32" s="1"/>
  <c r="J303" i="32"/>
  <c r="K329" i="32" l="1"/>
  <c r="J330" i="32"/>
  <c r="K303" i="32"/>
  <c r="M303" i="32" s="1"/>
  <c r="J304" i="32"/>
  <c r="K330" i="32" l="1"/>
  <c r="J331" i="32"/>
  <c r="K304" i="32"/>
  <c r="M304" i="32" s="1"/>
  <c r="J305" i="32"/>
  <c r="K331" i="32" l="1"/>
  <c r="J332" i="32"/>
  <c r="K305" i="32"/>
  <c r="M305" i="32" s="1"/>
  <c r="J306" i="32"/>
  <c r="K332" i="32" l="1"/>
  <c r="J333" i="32"/>
  <c r="K306" i="32"/>
  <c r="M306" i="32" s="1"/>
  <c r="J307" i="32"/>
  <c r="K333" i="32" l="1"/>
  <c r="J334" i="32"/>
  <c r="K307" i="32"/>
  <c r="M307" i="32" s="1"/>
  <c r="J308" i="32"/>
  <c r="K334" i="32" l="1"/>
  <c r="J335" i="32"/>
  <c r="K308" i="32"/>
  <c r="M308" i="32" s="1"/>
  <c r="J309" i="32"/>
  <c r="K335" i="32" l="1"/>
  <c r="J336" i="32"/>
  <c r="J310" i="32"/>
  <c r="K309" i="32"/>
  <c r="M309" i="32" s="1"/>
  <c r="K336" i="32" l="1"/>
  <c r="J337" i="32"/>
  <c r="K310" i="32"/>
  <c r="M310" i="32" s="1"/>
  <c r="J311" i="32"/>
  <c r="K337" i="32" l="1"/>
  <c r="J338" i="32"/>
  <c r="K311" i="32"/>
  <c r="M311" i="32" s="1"/>
  <c r="J312" i="32"/>
  <c r="K338" i="32" l="1"/>
  <c r="J339" i="32"/>
  <c r="K312" i="32"/>
  <c r="M312" i="32" s="1"/>
  <c r="J313" i="32"/>
  <c r="J340" i="32" l="1"/>
  <c r="K339" i="32"/>
  <c r="K313" i="32"/>
  <c r="M313" i="32" s="1"/>
  <c r="J314" i="32"/>
  <c r="K340" i="32" l="1"/>
  <c r="J341" i="32"/>
  <c r="K314" i="32"/>
  <c r="M314" i="32" s="1"/>
  <c r="J315" i="32"/>
  <c r="K341" i="32" l="1"/>
  <c r="J342" i="32"/>
  <c r="K315" i="32"/>
  <c r="M315" i="32" s="1"/>
  <c r="J316" i="32"/>
  <c r="K342" i="32" l="1"/>
  <c r="J343" i="32"/>
  <c r="K316" i="32"/>
  <c r="M316" i="32" s="1"/>
  <c r="J317" i="32"/>
  <c r="K343" i="32" l="1"/>
  <c r="J344" i="32"/>
  <c r="J318" i="32"/>
  <c r="K317" i="32"/>
  <c r="M317" i="32" s="1"/>
  <c r="K344" i="32" l="1"/>
  <c r="J345" i="32"/>
  <c r="K318" i="32"/>
  <c r="M318" i="32" s="1"/>
  <c r="J319" i="32"/>
  <c r="K345" i="32" l="1"/>
  <c r="J346" i="32"/>
  <c r="K319" i="32"/>
  <c r="M319" i="32" s="1"/>
  <c r="K346" i="32" l="1"/>
  <c r="J347" i="32"/>
  <c r="J348" i="32" l="1"/>
  <c r="K347" i="32"/>
  <c r="M320" i="32"/>
  <c r="K348" i="32" l="1"/>
  <c r="J349" i="32"/>
  <c r="M321" i="32"/>
  <c r="K349" i="32" l="1"/>
  <c r="J350" i="32"/>
  <c r="M322" i="32"/>
  <c r="K350" i="32" l="1"/>
  <c r="J351" i="32"/>
  <c r="M323" i="32"/>
  <c r="K351" i="32" l="1"/>
  <c r="J352" i="32"/>
  <c r="M324" i="32"/>
  <c r="K352" i="32" l="1"/>
  <c r="J353" i="32"/>
  <c r="M325" i="32"/>
  <c r="K353" i="32" l="1"/>
  <c r="J354" i="32"/>
  <c r="M326" i="32"/>
  <c r="K354" i="32" l="1"/>
  <c r="J355" i="32"/>
  <c r="M327" i="32"/>
  <c r="J356" i="32" l="1"/>
  <c r="K355" i="32"/>
  <c r="M328" i="32"/>
  <c r="K356" i="32" l="1"/>
  <c r="J357" i="32"/>
  <c r="M329" i="32"/>
  <c r="K357" i="32" l="1"/>
  <c r="J358" i="32"/>
  <c r="M330" i="32"/>
  <c r="K358" i="32" l="1"/>
  <c r="J359" i="32"/>
  <c r="M331" i="32"/>
  <c r="K359" i="32" l="1"/>
  <c r="J360" i="32"/>
  <c r="M332" i="32"/>
  <c r="K360" i="32" l="1"/>
  <c r="J361" i="32"/>
  <c r="M333" i="32"/>
  <c r="K361" i="32" l="1"/>
  <c r="J362" i="32"/>
  <c r="M334" i="32"/>
  <c r="K362" i="32" l="1"/>
  <c r="J363" i="32"/>
  <c r="M335" i="32"/>
  <c r="J364" i="32" l="1"/>
  <c r="K363" i="32"/>
  <c r="M336" i="32"/>
  <c r="K364" i="32" l="1"/>
  <c r="J365" i="32"/>
  <c r="M337" i="32"/>
  <c r="K365" i="32" l="1"/>
  <c r="J366" i="32"/>
  <c r="M338" i="32"/>
  <c r="K366" i="32" l="1"/>
  <c r="J367" i="32"/>
  <c r="M339" i="32"/>
  <c r="K367" i="32" l="1"/>
  <c r="J368" i="32"/>
  <c r="M340" i="32"/>
  <c r="K368" i="32" l="1"/>
  <c r="J369" i="32"/>
  <c r="M341" i="32"/>
  <c r="K369" i="32" l="1"/>
  <c r="J370" i="32"/>
  <c r="M342" i="32"/>
  <c r="K370" i="32" l="1"/>
  <c r="J371" i="32"/>
  <c r="M343" i="32"/>
  <c r="J372" i="32" l="1"/>
  <c r="K371" i="32"/>
  <c r="M344" i="32"/>
  <c r="K372" i="32" l="1"/>
  <c r="J373" i="32"/>
  <c r="M345" i="32"/>
  <c r="K373" i="32" l="1"/>
  <c r="J374" i="32"/>
  <c r="M346" i="32"/>
  <c r="K374" i="32" l="1"/>
  <c r="J375" i="32"/>
  <c r="M347" i="32"/>
  <c r="K375" i="32" l="1"/>
  <c r="J376" i="32"/>
  <c r="M348" i="32"/>
  <c r="K376" i="32" l="1"/>
  <c r="J377" i="32"/>
  <c r="M349" i="32"/>
  <c r="K377" i="32" l="1"/>
  <c r="J378" i="32"/>
  <c r="M350" i="32"/>
  <c r="K378" i="32" l="1"/>
  <c r="J379" i="32"/>
  <c r="M351" i="32"/>
  <c r="J380" i="32" l="1"/>
  <c r="K379" i="32"/>
  <c r="M352" i="32"/>
  <c r="K380" i="32" l="1"/>
  <c r="J381" i="32"/>
  <c r="M353" i="32"/>
  <c r="K381" i="32" l="1"/>
  <c r="J382" i="32"/>
  <c r="M354" i="32"/>
  <c r="K382" i="32" l="1"/>
  <c r="J383" i="32"/>
  <c r="M355" i="32"/>
  <c r="K383" i="32" l="1"/>
  <c r="J384" i="32"/>
  <c r="M356" i="32"/>
  <c r="K384" i="32" l="1"/>
  <c r="J385" i="32"/>
  <c r="M357" i="32"/>
  <c r="K385" i="32" l="1"/>
  <c r="J386" i="32"/>
  <c r="M358" i="32"/>
  <c r="K386" i="32" l="1"/>
  <c r="J387" i="32"/>
  <c r="M359" i="32"/>
  <c r="J388" i="32" l="1"/>
  <c r="K387" i="32"/>
  <c r="M360" i="32"/>
  <c r="K388" i="32" l="1"/>
  <c r="J389" i="32"/>
  <c r="M361" i="32"/>
  <c r="K389" i="32" l="1"/>
  <c r="J390" i="32"/>
  <c r="M362" i="32"/>
  <c r="K390" i="32" l="1"/>
  <c r="J391" i="32"/>
  <c r="M363" i="32"/>
  <c r="K391" i="32" l="1"/>
  <c r="J392" i="32"/>
  <c r="M364" i="32"/>
  <c r="K392" i="32" l="1"/>
  <c r="J393" i="32"/>
  <c r="M365" i="32"/>
  <c r="K393" i="32" l="1"/>
  <c r="J394" i="32"/>
  <c r="M366" i="32"/>
  <c r="K394" i="32" l="1"/>
  <c r="J395" i="32"/>
  <c r="M367" i="32"/>
  <c r="J396" i="32" l="1"/>
  <c r="K395" i="32"/>
  <c r="M368" i="32"/>
  <c r="K396" i="32" l="1"/>
  <c r="J397" i="32"/>
  <c r="M369" i="32"/>
  <c r="K397" i="32" l="1"/>
  <c r="J398" i="32"/>
  <c r="M370" i="32"/>
  <c r="K398" i="32" l="1"/>
  <c r="J399" i="32"/>
  <c r="M371" i="32"/>
  <c r="K399" i="32" l="1"/>
  <c r="J400" i="32"/>
  <c r="M372" i="32"/>
  <c r="K400" i="32" l="1"/>
  <c r="J401" i="32"/>
  <c r="M373" i="32"/>
  <c r="K401" i="32" l="1"/>
  <c r="J402" i="32"/>
  <c r="M374" i="32"/>
  <c r="K402" i="32" l="1"/>
  <c r="J403" i="32"/>
  <c r="M375" i="32"/>
  <c r="J404" i="32" l="1"/>
  <c r="K403" i="32"/>
  <c r="M376" i="32"/>
  <c r="K404" i="32" l="1"/>
  <c r="J405" i="32"/>
  <c r="M377" i="32"/>
  <c r="K405" i="32" l="1"/>
  <c r="J406" i="32"/>
  <c r="M378" i="32"/>
  <c r="K406" i="32" l="1"/>
  <c r="J407" i="32"/>
  <c r="M379" i="32"/>
  <c r="K407" i="32" l="1"/>
  <c r="J408" i="32"/>
  <c r="M380" i="32"/>
  <c r="K408" i="32" l="1"/>
  <c r="J409" i="32"/>
  <c r="M381" i="32"/>
  <c r="K409" i="32" l="1"/>
  <c r="J410" i="32"/>
  <c r="M382" i="32"/>
  <c r="K410" i="32" l="1"/>
  <c r="J411" i="32"/>
  <c r="M383" i="32"/>
  <c r="J412" i="32" l="1"/>
  <c r="K411" i="32"/>
  <c r="M384" i="32"/>
  <c r="K412" i="32" l="1"/>
  <c r="J413" i="32"/>
  <c r="M385" i="32"/>
  <c r="K413" i="32" l="1"/>
  <c r="J414" i="32"/>
  <c r="M386" i="32"/>
  <c r="K414" i="32" l="1"/>
  <c r="J415" i="32"/>
  <c r="M387" i="32"/>
  <c r="K415" i="32" l="1"/>
  <c r="J416" i="32"/>
  <c r="M388" i="32"/>
  <c r="K416" i="32" l="1"/>
  <c r="J417" i="32"/>
  <c r="M389" i="32"/>
  <c r="K417" i="32" l="1"/>
  <c r="J418" i="32"/>
  <c r="M390" i="32"/>
  <c r="K418" i="32" l="1"/>
  <c r="J419" i="32"/>
  <c r="M391" i="32"/>
  <c r="J420" i="32" l="1"/>
  <c r="K419" i="32"/>
  <c r="M392" i="32"/>
  <c r="K420" i="32" l="1"/>
  <c r="J421" i="32"/>
  <c r="M393" i="32"/>
  <c r="K421" i="32" l="1"/>
  <c r="J422" i="32"/>
  <c r="M394" i="32"/>
  <c r="K422" i="32" l="1"/>
  <c r="J423" i="32"/>
  <c r="M395" i="32"/>
  <c r="K423" i="32" l="1"/>
  <c r="J424" i="32"/>
  <c r="M396" i="32"/>
  <c r="K424" i="32" l="1"/>
  <c r="J425" i="32"/>
  <c r="M397" i="32"/>
  <c r="K425" i="32" l="1"/>
  <c r="J426" i="32"/>
  <c r="M398" i="32"/>
  <c r="K426" i="32" l="1"/>
  <c r="J427" i="32"/>
  <c r="M399" i="32"/>
  <c r="J428" i="32" l="1"/>
  <c r="K427" i="32"/>
  <c r="M400" i="32"/>
  <c r="K428" i="32" l="1"/>
  <c r="J429" i="32"/>
  <c r="M401" i="32"/>
  <c r="K429" i="32" l="1"/>
  <c r="J430" i="32"/>
  <c r="M402" i="32"/>
  <c r="K430" i="32" l="1"/>
  <c r="J431" i="32"/>
  <c r="M403" i="32"/>
  <c r="K431" i="32" l="1"/>
  <c r="J432" i="32"/>
  <c r="M404" i="32"/>
  <c r="K432" i="32" l="1"/>
  <c r="J433" i="32"/>
  <c r="M405" i="32"/>
  <c r="K433" i="32" l="1"/>
  <c r="J434" i="32"/>
  <c r="M406" i="32"/>
  <c r="K434" i="32" l="1"/>
  <c r="J435" i="32"/>
  <c r="M407" i="32"/>
  <c r="J436" i="32" l="1"/>
  <c r="K435" i="32"/>
  <c r="M408" i="32"/>
  <c r="K436" i="32" l="1"/>
  <c r="J437" i="32"/>
  <c r="M409" i="32"/>
  <c r="K437" i="32" l="1"/>
  <c r="J438" i="32"/>
  <c r="M410" i="32"/>
  <c r="K438" i="32" l="1"/>
  <c r="J439" i="32"/>
  <c r="M411" i="32"/>
  <c r="K439" i="32" l="1"/>
  <c r="J440" i="32"/>
  <c r="M412" i="32"/>
  <c r="K440" i="32" l="1"/>
  <c r="J441" i="32"/>
  <c r="M413" i="32"/>
  <c r="K441" i="32" l="1"/>
  <c r="J442" i="32"/>
  <c r="M414" i="32"/>
  <c r="K442" i="32" l="1"/>
  <c r="J443" i="32"/>
  <c r="M415" i="32"/>
  <c r="J444" i="32" l="1"/>
  <c r="K443" i="32"/>
  <c r="M416" i="32"/>
  <c r="K444" i="32" l="1"/>
  <c r="J445" i="32"/>
  <c r="M417" i="32"/>
  <c r="K445" i="32" l="1"/>
  <c r="J446" i="32"/>
  <c r="M418" i="32"/>
  <c r="K446" i="32" l="1"/>
  <c r="J447" i="32"/>
  <c r="M419" i="32"/>
  <c r="K447" i="32" l="1"/>
  <c r="J448" i="32"/>
  <c r="M420" i="32"/>
  <c r="K448" i="32" l="1"/>
  <c r="J449" i="32"/>
  <c r="M421" i="32"/>
  <c r="K449" i="32" l="1"/>
  <c r="J450" i="32"/>
  <c r="M422" i="32"/>
  <c r="K450" i="32" l="1"/>
  <c r="J451" i="32"/>
  <c r="M423" i="32"/>
  <c r="J452" i="32" l="1"/>
  <c r="K451" i="32"/>
  <c r="M424" i="32"/>
  <c r="K452" i="32" l="1"/>
  <c r="J453" i="32"/>
  <c r="M425" i="32"/>
  <c r="K453" i="32" l="1"/>
  <c r="J454" i="32"/>
  <c r="M426" i="32"/>
  <c r="K454" i="32" l="1"/>
  <c r="J455" i="32"/>
  <c r="M427" i="32"/>
  <c r="K455" i="32" l="1"/>
  <c r="J456" i="32"/>
  <c r="M428" i="32"/>
  <c r="K456" i="32" l="1"/>
  <c r="J457" i="32"/>
  <c r="M429" i="32"/>
  <c r="K457" i="32" l="1"/>
  <c r="J458" i="32"/>
  <c r="M430" i="32"/>
  <c r="K458" i="32" l="1"/>
  <c r="J459" i="32"/>
  <c r="M431" i="32"/>
  <c r="J460" i="32" l="1"/>
  <c r="K459" i="32"/>
  <c r="M432" i="32"/>
  <c r="K460" i="32" l="1"/>
  <c r="J461" i="32"/>
  <c r="M433" i="32"/>
  <c r="K461" i="32" l="1"/>
  <c r="J462" i="32"/>
  <c r="M434" i="32"/>
  <c r="K462" i="32" l="1"/>
  <c r="J463" i="32"/>
  <c r="M435" i="32"/>
  <c r="K463" i="32" l="1"/>
  <c r="J464" i="32"/>
  <c r="M436" i="32"/>
  <c r="K464" i="32" l="1"/>
  <c r="J465" i="32"/>
  <c r="M437" i="32"/>
  <c r="K465" i="32" l="1"/>
  <c r="J466" i="32"/>
  <c r="M438" i="32"/>
  <c r="K466" i="32" l="1"/>
  <c r="J467" i="32"/>
  <c r="M439" i="32"/>
  <c r="J468" i="32" l="1"/>
  <c r="K467" i="32"/>
  <c r="M440" i="32"/>
  <c r="K468" i="32" l="1"/>
  <c r="J469" i="32"/>
  <c r="M441" i="32"/>
  <c r="K469" i="32" l="1"/>
  <c r="J470" i="32"/>
  <c r="K470" i="32" s="1"/>
  <c r="M442" i="32"/>
  <c r="M443" i="32" l="1"/>
  <c r="M444" i="32" l="1"/>
  <c r="M445" i="32" l="1"/>
  <c r="M446" i="32" l="1"/>
  <c r="M447" i="32" l="1"/>
  <c r="M448" i="32" l="1"/>
  <c r="M449" i="32" l="1"/>
  <c r="M450" i="32" l="1"/>
  <c r="M451" i="32" l="1"/>
  <c r="M452" i="32" l="1"/>
  <c r="M453" i="32" l="1"/>
  <c r="M454" i="32" l="1"/>
  <c r="M455" i="32" l="1"/>
  <c r="M456" i="32" l="1"/>
  <c r="M457" i="32" l="1"/>
  <c r="M458" i="32" l="1"/>
  <c r="M459" i="32" l="1"/>
  <c r="M460" i="32" l="1"/>
  <c r="M461" i="32" l="1"/>
  <c r="M462" i="32" l="1"/>
  <c r="M463" i="32" l="1"/>
  <c r="M464" i="32" l="1"/>
  <c r="M465" i="32" l="1"/>
  <c r="M466" i="32" l="1"/>
  <c r="M467" i="32" l="1"/>
  <c r="M468" i="32" l="1"/>
  <c r="M469" i="32" l="1"/>
  <c r="M470" i="32"/>
  <c r="F473" i="36" l="1"/>
  <c r="I297" i="26"/>
  <c r="I295" i="26"/>
  <c r="I463" i="31"/>
  <c r="I460" i="31"/>
  <c r="I494" i="31"/>
  <c r="I453" i="31"/>
  <c r="I446" i="31"/>
  <c r="I311" i="31"/>
  <c r="J493" i="31"/>
  <c r="L493" i="31" s="1"/>
  <c r="J492" i="31"/>
  <c r="L492" i="31" s="1"/>
  <c r="J491" i="31"/>
  <c r="L491" i="31" s="1"/>
  <c r="J490" i="31"/>
  <c r="L490" i="31" s="1"/>
  <c r="J489" i="31"/>
  <c r="L489" i="31" s="1"/>
  <c r="J488" i="31"/>
  <c r="L488" i="31" s="1"/>
  <c r="J487" i="31"/>
  <c r="L487" i="31" s="1"/>
  <c r="J486" i="31"/>
  <c r="L486" i="31" s="1"/>
  <c r="J485" i="31"/>
  <c r="L485" i="31" s="1"/>
  <c r="J484" i="31"/>
  <c r="L484" i="31" s="1"/>
  <c r="J483" i="31"/>
  <c r="L483" i="31" s="1"/>
  <c r="J482" i="31"/>
  <c r="L482" i="31" s="1"/>
  <c r="J481" i="31"/>
  <c r="L481" i="31" s="1"/>
  <c r="J480" i="31"/>
  <c r="L480" i="31" s="1"/>
  <c r="J479" i="31"/>
  <c r="L479" i="31" s="1"/>
  <c r="J478" i="31"/>
  <c r="L478" i="31" s="1"/>
  <c r="J477" i="31"/>
  <c r="L477" i="31" s="1"/>
  <c r="J476" i="31"/>
  <c r="L476" i="31" s="1"/>
  <c r="J475" i="31"/>
  <c r="L475" i="31" s="1"/>
  <c r="J474" i="31"/>
  <c r="L474" i="31" s="1"/>
  <c r="J473" i="31"/>
  <c r="L473" i="31" s="1"/>
  <c r="J472" i="31"/>
  <c r="L472" i="31" s="1"/>
  <c r="J471" i="31"/>
  <c r="L471" i="31" s="1"/>
  <c r="J470" i="31"/>
  <c r="L470" i="31" s="1"/>
  <c r="J469" i="31"/>
  <c r="L469" i="31" s="1"/>
  <c r="J468" i="31"/>
  <c r="L468" i="31" s="1"/>
  <c r="J467" i="31"/>
  <c r="L467" i="31" s="1"/>
  <c r="J466" i="31"/>
  <c r="L466" i="31" s="1"/>
  <c r="J465" i="31"/>
  <c r="L465" i="31" s="1"/>
  <c r="J462" i="31"/>
  <c r="J459" i="31"/>
  <c r="L459" i="31" s="1"/>
  <c r="J458" i="31"/>
  <c r="L458" i="31" s="1"/>
  <c r="J457" i="31"/>
  <c r="J456" i="31"/>
  <c r="L456" i="31" s="1"/>
  <c r="J455" i="31"/>
  <c r="J452" i="31"/>
  <c r="L452" i="31" s="1"/>
  <c r="J451" i="31"/>
  <c r="L451" i="31" s="1"/>
  <c r="J450" i="31"/>
  <c r="L450" i="31" s="1"/>
  <c r="J449" i="31"/>
  <c r="L449" i="31" s="1"/>
  <c r="J445" i="31"/>
  <c r="L445" i="31" s="1"/>
  <c r="J444" i="31"/>
  <c r="L444" i="31" s="1"/>
  <c r="J443" i="31"/>
  <c r="L443" i="31" s="1"/>
  <c r="J442" i="31"/>
  <c r="L442" i="31" s="1"/>
  <c r="J441" i="31"/>
  <c r="L441" i="31" s="1"/>
  <c r="J440" i="31"/>
  <c r="L440" i="31" s="1"/>
  <c r="J439" i="31"/>
  <c r="L439" i="31" s="1"/>
  <c r="J438" i="31"/>
  <c r="L438" i="31" s="1"/>
  <c r="J437" i="31"/>
  <c r="L437" i="31" s="1"/>
  <c r="J436" i="31"/>
  <c r="L436" i="31" s="1"/>
  <c r="J435" i="31"/>
  <c r="L435" i="31" s="1"/>
  <c r="J434" i="31"/>
  <c r="L434" i="31" s="1"/>
  <c r="J433" i="31"/>
  <c r="L433" i="31" s="1"/>
  <c r="J432" i="31"/>
  <c r="L432" i="31" s="1"/>
  <c r="J431" i="31"/>
  <c r="L431" i="31" s="1"/>
  <c r="J430" i="31"/>
  <c r="L430" i="31" s="1"/>
  <c r="J429" i="31"/>
  <c r="L429" i="31" s="1"/>
  <c r="J428" i="31"/>
  <c r="L428" i="31" s="1"/>
  <c r="J427" i="31"/>
  <c r="L427" i="31" s="1"/>
  <c r="J426" i="31"/>
  <c r="L426" i="31" s="1"/>
  <c r="J425" i="31"/>
  <c r="L425" i="31" s="1"/>
  <c r="J424" i="31"/>
  <c r="L424" i="31" s="1"/>
  <c r="J423" i="31"/>
  <c r="L423" i="31" s="1"/>
  <c r="J422" i="31"/>
  <c r="L422" i="31" s="1"/>
  <c r="J421" i="31"/>
  <c r="L421" i="31" s="1"/>
  <c r="J420" i="31"/>
  <c r="L420" i="31" s="1"/>
  <c r="J419" i="31"/>
  <c r="L419" i="31" s="1"/>
  <c r="J418" i="31"/>
  <c r="L418" i="31" s="1"/>
  <c r="J417" i="31"/>
  <c r="L417" i="31" s="1"/>
  <c r="J416" i="31"/>
  <c r="L416" i="31" s="1"/>
  <c r="J415" i="31"/>
  <c r="L415" i="31" s="1"/>
  <c r="J414" i="31"/>
  <c r="L414" i="31" s="1"/>
  <c r="J413" i="31"/>
  <c r="L413" i="31" s="1"/>
  <c r="J412" i="31"/>
  <c r="L412" i="31" s="1"/>
  <c r="J411" i="31"/>
  <c r="L411" i="31" s="1"/>
  <c r="J410" i="31"/>
  <c r="L410" i="31" s="1"/>
  <c r="J409" i="31"/>
  <c r="L409" i="31" s="1"/>
  <c r="J408" i="31"/>
  <c r="L408" i="31" s="1"/>
  <c r="J407" i="31"/>
  <c r="L407" i="31" s="1"/>
  <c r="J406" i="31"/>
  <c r="L406" i="31" s="1"/>
  <c r="J405" i="31"/>
  <c r="L405" i="31" s="1"/>
  <c r="J404" i="31"/>
  <c r="L404" i="31" s="1"/>
  <c r="J403" i="31"/>
  <c r="L403" i="31" s="1"/>
  <c r="J402" i="31"/>
  <c r="L402" i="31" s="1"/>
  <c r="J401" i="31"/>
  <c r="L401" i="31" s="1"/>
  <c r="J400" i="31"/>
  <c r="J399" i="31"/>
  <c r="L399" i="31" s="1"/>
  <c r="J398" i="31"/>
  <c r="L398" i="31" s="1"/>
  <c r="J397" i="31"/>
  <c r="L397" i="31" s="1"/>
  <c r="J396" i="31"/>
  <c r="J395" i="31"/>
  <c r="L395" i="31" s="1"/>
  <c r="J394" i="31"/>
  <c r="L394" i="31" s="1"/>
  <c r="J393" i="31"/>
  <c r="L393" i="31" s="1"/>
  <c r="J392" i="31"/>
  <c r="L392" i="31" s="1"/>
  <c r="J391" i="31"/>
  <c r="L391" i="31" s="1"/>
  <c r="J390" i="31"/>
  <c r="L390" i="31" s="1"/>
  <c r="J389" i="31"/>
  <c r="L389" i="31" s="1"/>
  <c r="J388" i="31"/>
  <c r="J387" i="31"/>
  <c r="L387" i="31" s="1"/>
  <c r="J386" i="31"/>
  <c r="L386" i="31" s="1"/>
  <c r="J385" i="31"/>
  <c r="L385" i="31" s="1"/>
  <c r="J384" i="31"/>
  <c r="L384" i="31" s="1"/>
  <c r="J383" i="31"/>
  <c r="L383" i="31" s="1"/>
  <c r="J382" i="31"/>
  <c r="L382" i="31" s="1"/>
  <c r="J381" i="31"/>
  <c r="L381" i="31" s="1"/>
  <c r="J380" i="31"/>
  <c r="L380" i="31" s="1"/>
  <c r="J379" i="31"/>
  <c r="L379" i="31" s="1"/>
  <c r="J378" i="31"/>
  <c r="L378" i="31" s="1"/>
  <c r="J377" i="31"/>
  <c r="L377" i="31" s="1"/>
  <c r="J376" i="31"/>
  <c r="L376" i="31" s="1"/>
  <c r="J375" i="31"/>
  <c r="L375" i="31" s="1"/>
  <c r="J374" i="31"/>
  <c r="L374" i="31" s="1"/>
  <c r="J373" i="31"/>
  <c r="L373" i="31" s="1"/>
  <c r="J372" i="31"/>
  <c r="J371" i="31"/>
  <c r="L371" i="31" s="1"/>
  <c r="J370" i="31"/>
  <c r="L370" i="31" s="1"/>
  <c r="J369" i="31"/>
  <c r="L369" i="31" s="1"/>
  <c r="J368" i="31"/>
  <c r="L368" i="31" s="1"/>
  <c r="J367" i="31"/>
  <c r="L367" i="31" s="1"/>
  <c r="J366" i="31"/>
  <c r="L366" i="31" s="1"/>
  <c r="J365" i="31"/>
  <c r="L365" i="31" s="1"/>
  <c r="J364" i="31"/>
  <c r="J363" i="31"/>
  <c r="J362" i="31"/>
  <c r="L362" i="31" s="1"/>
  <c r="J361" i="31"/>
  <c r="L361" i="31" s="1"/>
  <c r="J360" i="31"/>
  <c r="L360" i="31" s="1"/>
  <c r="J359" i="31"/>
  <c r="L359" i="31" s="1"/>
  <c r="J358" i="31"/>
  <c r="L358" i="31" s="1"/>
  <c r="J357" i="31"/>
  <c r="J356" i="31"/>
  <c r="L356" i="31" s="1"/>
  <c r="J355" i="31"/>
  <c r="L355" i="31" s="1"/>
  <c r="J354" i="31"/>
  <c r="L354" i="31" s="1"/>
  <c r="J353" i="31"/>
  <c r="L353" i="31" s="1"/>
  <c r="J352" i="31"/>
  <c r="L352" i="31" s="1"/>
  <c r="J351" i="31"/>
  <c r="L351" i="31" s="1"/>
  <c r="J350" i="31"/>
  <c r="L350" i="31" s="1"/>
  <c r="J349" i="31"/>
  <c r="L349" i="31" s="1"/>
  <c r="J348" i="31"/>
  <c r="L348" i="31" s="1"/>
  <c r="J347" i="31"/>
  <c r="L347" i="31" s="1"/>
  <c r="J346" i="31"/>
  <c r="L346" i="31" s="1"/>
  <c r="J345" i="31"/>
  <c r="L345" i="31" s="1"/>
  <c r="J344" i="31"/>
  <c r="L344" i="31" s="1"/>
  <c r="J343" i="31"/>
  <c r="L343" i="31" s="1"/>
  <c r="J342" i="31"/>
  <c r="L342" i="31" s="1"/>
  <c r="J341" i="31"/>
  <c r="L341" i="31" s="1"/>
  <c r="J340" i="31"/>
  <c r="L340" i="31" s="1"/>
  <c r="J339" i="31"/>
  <c r="L339" i="31" s="1"/>
  <c r="J338" i="31"/>
  <c r="L338" i="31" s="1"/>
  <c r="J337" i="31"/>
  <c r="L337" i="31" s="1"/>
  <c r="J336" i="31"/>
  <c r="L336" i="31" s="1"/>
  <c r="J335" i="31"/>
  <c r="L335" i="31" s="1"/>
  <c r="J334" i="31"/>
  <c r="L334" i="31" s="1"/>
  <c r="J333" i="31"/>
  <c r="L333" i="31" s="1"/>
  <c r="J332" i="31"/>
  <c r="L332" i="31" s="1"/>
  <c r="J331" i="31"/>
  <c r="L331" i="31" s="1"/>
  <c r="J330" i="31"/>
  <c r="L330" i="31" s="1"/>
  <c r="J329" i="31"/>
  <c r="L329" i="31" s="1"/>
  <c r="J328" i="31"/>
  <c r="L328" i="31" s="1"/>
  <c r="J327" i="31"/>
  <c r="L327" i="31" s="1"/>
  <c r="J326" i="31"/>
  <c r="L326" i="31" s="1"/>
  <c r="J325" i="31"/>
  <c r="L325" i="31" s="1"/>
  <c r="J324" i="31"/>
  <c r="L324" i="31" s="1"/>
  <c r="J323" i="31"/>
  <c r="L323" i="31" s="1"/>
  <c r="J322" i="31"/>
  <c r="L322" i="31" s="1"/>
  <c r="J321" i="31"/>
  <c r="L321" i="31" s="1"/>
  <c r="J320" i="31"/>
  <c r="L320" i="31" s="1"/>
  <c r="J319" i="31"/>
  <c r="L319" i="31" s="1"/>
  <c r="J318" i="31"/>
  <c r="L318" i="31" s="1"/>
  <c r="J317" i="31"/>
  <c r="L317" i="31" s="1"/>
  <c r="J316" i="31"/>
  <c r="L316" i="31" s="1"/>
  <c r="J315" i="31"/>
  <c r="J314" i="31"/>
  <c r="L314" i="31" s="1"/>
  <c r="J313" i="31"/>
  <c r="L313" i="31" s="1"/>
  <c r="J310" i="31"/>
  <c r="L310" i="31" s="1"/>
  <c r="J309" i="31"/>
  <c r="L309" i="31" s="1"/>
  <c r="J308" i="31"/>
  <c r="L308" i="31" s="1"/>
  <c r="J307" i="31"/>
  <c r="L307" i="31" s="1"/>
  <c r="J306" i="31"/>
  <c r="L306" i="31" s="1"/>
  <c r="J305" i="31"/>
  <c r="L305" i="31" s="1"/>
  <c r="J302" i="31"/>
  <c r="L302" i="31" s="1"/>
  <c r="L303" i="31" s="1"/>
  <c r="I303" i="31"/>
  <c r="M478" i="31"/>
  <c r="F478" i="31"/>
  <c r="E478" i="31"/>
  <c r="M339" i="31"/>
  <c r="F339" i="31"/>
  <c r="E339" i="31"/>
  <c r="M445" i="31"/>
  <c r="F445" i="31"/>
  <c r="E445" i="31"/>
  <c r="M434" i="31"/>
  <c r="F434" i="31"/>
  <c r="E434" i="31"/>
  <c r="M412" i="31"/>
  <c r="F412" i="31"/>
  <c r="E412" i="31"/>
  <c r="M433" i="31"/>
  <c r="F433" i="31"/>
  <c r="E433" i="31"/>
  <c r="M432" i="31"/>
  <c r="F432" i="31"/>
  <c r="E432" i="31"/>
  <c r="M444" i="31"/>
  <c r="F444" i="31"/>
  <c r="E444" i="31"/>
  <c r="M431" i="31"/>
  <c r="F431" i="31"/>
  <c r="E431" i="31"/>
  <c r="M338" i="31"/>
  <c r="F338" i="31"/>
  <c r="E338" i="31"/>
  <c r="M410" i="31"/>
  <c r="F410" i="31"/>
  <c r="E410" i="31"/>
  <c r="M391" i="31"/>
  <c r="F391" i="31"/>
  <c r="E391" i="31"/>
  <c r="M443" i="31"/>
  <c r="F443" i="31"/>
  <c r="E443" i="31"/>
  <c r="M430" i="31"/>
  <c r="F430" i="31"/>
  <c r="E430" i="31"/>
  <c r="M429" i="31"/>
  <c r="F429" i="31"/>
  <c r="E429" i="31"/>
  <c r="M492" i="31"/>
  <c r="F492" i="31"/>
  <c r="E492" i="31"/>
  <c r="M481" i="31"/>
  <c r="F481" i="31"/>
  <c r="E481" i="31"/>
  <c r="M477" i="31"/>
  <c r="F477" i="31"/>
  <c r="E477" i="31"/>
  <c r="M337" i="31"/>
  <c r="F337" i="31"/>
  <c r="E337" i="31"/>
  <c r="M336" i="31"/>
  <c r="F336" i="31"/>
  <c r="E336" i="31"/>
  <c r="M409" i="31"/>
  <c r="F409" i="31"/>
  <c r="E409" i="31"/>
  <c r="M390" i="31"/>
  <c r="F390" i="31"/>
  <c r="E390" i="31"/>
  <c r="M491" i="31"/>
  <c r="F491" i="31"/>
  <c r="E491" i="31"/>
  <c r="M442" i="31"/>
  <c r="F442" i="31"/>
  <c r="E442" i="31"/>
  <c r="M428" i="31"/>
  <c r="F428" i="31"/>
  <c r="E428" i="31"/>
  <c r="M335" i="31"/>
  <c r="F335" i="31"/>
  <c r="E335" i="31"/>
  <c r="M467" i="31"/>
  <c r="F467" i="31"/>
  <c r="E467" i="31"/>
  <c r="M392" i="31"/>
  <c r="F392" i="31"/>
  <c r="E392" i="31"/>
  <c r="M362" i="31"/>
  <c r="F362" i="31"/>
  <c r="E362" i="31"/>
  <c r="M342" i="31"/>
  <c r="F342" i="31"/>
  <c r="E342" i="31"/>
  <c r="M334" i="31"/>
  <c r="F334" i="31"/>
  <c r="E334" i="31"/>
  <c r="M408" i="31"/>
  <c r="F408" i="31"/>
  <c r="E408" i="31"/>
  <c r="M389" i="31"/>
  <c r="F389" i="31"/>
  <c r="E389" i="31"/>
  <c r="M407" i="31"/>
  <c r="F407" i="31"/>
  <c r="E407" i="31"/>
  <c r="M388" i="31"/>
  <c r="L388" i="31"/>
  <c r="F388" i="31"/>
  <c r="E388" i="31"/>
  <c r="M427" i="31"/>
  <c r="F427" i="31"/>
  <c r="E427" i="31"/>
  <c r="M387" i="31"/>
  <c r="F387" i="31"/>
  <c r="E387" i="31"/>
  <c r="M406" i="31"/>
  <c r="F406" i="31"/>
  <c r="E406" i="31"/>
  <c r="M386" i="31"/>
  <c r="F386" i="31"/>
  <c r="E386" i="31"/>
  <c r="M470" i="31"/>
  <c r="F470" i="31"/>
  <c r="E470" i="31"/>
  <c r="M426" i="31"/>
  <c r="F426" i="31"/>
  <c r="E426" i="31"/>
  <c r="M441" i="31"/>
  <c r="F441" i="31"/>
  <c r="E441" i="31"/>
  <c r="M425" i="31"/>
  <c r="F425" i="31"/>
  <c r="E425" i="31"/>
  <c r="M411" i="31"/>
  <c r="F411" i="31"/>
  <c r="E411" i="31"/>
  <c r="M424" i="31"/>
  <c r="F424" i="31"/>
  <c r="E424" i="31"/>
  <c r="M423" i="31"/>
  <c r="F423" i="31"/>
  <c r="E423" i="31"/>
  <c r="M422" i="31"/>
  <c r="F422" i="31"/>
  <c r="E422" i="31"/>
  <c r="M440" i="31"/>
  <c r="F440" i="31"/>
  <c r="E440" i="31"/>
  <c r="M421" i="31"/>
  <c r="F421" i="31"/>
  <c r="E421" i="31"/>
  <c r="M476" i="31"/>
  <c r="F476" i="31"/>
  <c r="E476" i="31"/>
  <c r="M420" i="31"/>
  <c r="F420" i="31"/>
  <c r="E420" i="31"/>
  <c r="M472" i="31"/>
  <c r="F472" i="31"/>
  <c r="E472" i="31"/>
  <c r="M469" i="31"/>
  <c r="F469" i="31"/>
  <c r="E469" i="31"/>
  <c r="M493" i="31"/>
  <c r="F493" i="31"/>
  <c r="E493" i="31"/>
  <c r="M490" i="31"/>
  <c r="F490" i="31"/>
  <c r="E490" i="31"/>
  <c r="M484" i="31"/>
  <c r="F484" i="31"/>
  <c r="E484" i="31"/>
  <c r="M489" i="31"/>
  <c r="F489" i="31"/>
  <c r="E489" i="31"/>
  <c r="M488" i="31"/>
  <c r="F488" i="31"/>
  <c r="E488" i="31"/>
  <c r="M405" i="31"/>
  <c r="F405" i="31"/>
  <c r="E405" i="31"/>
  <c r="M385" i="31"/>
  <c r="F385" i="31"/>
  <c r="E385" i="31"/>
  <c r="M404" i="31"/>
  <c r="F404" i="31"/>
  <c r="E404" i="31"/>
  <c r="M384" i="31"/>
  <c r="F384" i="31"/>
  <c r="E384" i="31"/>
  <c r="M361" i="31"/>
  <c r="F361" i="31"/>
  <c r="E361" i="31"/>
  <c r="M333" i="31"/>
  <c r="F333" i="31"/>
  <c r="E333" i="31"/>
  <c r="M383" i="31"/>
  <c r="F383" i="31"/>
  <c r="E383" i="31"/>
  <c r="M466" i="31"/>
  <c r="F466" i="31"/>
  <c r="E466" i="31"/>
  <c r="M356" i="31"/>
  <c r="F356" i="31"/>
  <c r="E356" i="31"/>
  <c r="M332" i="31"/>
  <c r="F332" i="31"/>
  <c r="E332" i="31"/>
  <c r="M382" i="31"/>
  <c r="F382" i="31"/>
  <c r="E382" i="31"/>
  <c r="M419" i="31"/>
  <c r="F419" i="31"/>
  <c r="E419" i="31"/>
  <c r="M355" i="31"/>
  <c r="F355" i="31"/>
  <c r="E355" i="31"/>
  <c r="M331" i="31"/>
  <c r="F331" i="31"/>
  <c r="E331" i="31"/>
  <c r="M360" i="31"/>
  <c r="F360" i="31"/>
  <c r="E360" i="31"/>
  <c r="M480" i="31"/>
  <c r="F480" i="31"/>
  <c r="E480" i="31"/>
  <c r="M475" i="31"/>
  <c r="F475" i="31"/>
  <c r="E475" i="31"/>
  <c r="M439" i="31"/>
  <c r="F439" i="31"/>
  <c r="E439" i="31"/>
  <c r="M418" i="31"/>
  <c r="F418" i="31"/>
  <c r="E418" i="31"/>
  <c r="M438" i="31"/>
  <c r="F438" i="31"/>
  <c r="E438" i="31"/>
  <c r="M417" i="31"/>
  <c r="F417" i="31"/>
  <c r="E417" i="31"/>
  <c r="M437" i="31"/>
  <c r="F437" i="31"/>
  <c r="E437" i="31"/>
  <c r="M416" i="31"/>
  <c r="F416" i="31"/>
  <c r="E416" i="31"/>
  <c r="M354" i="31"/>
  <c r="F354" i="31"/>
  <c r="E354" i="31"/>
  <c r="M341" i="31"/>
  <c r="F341" i="31"/>
  <c r="E341" i="31"/>
  <c r="M330" i="31"/>
  <c r="F330" i="31"/>
  <c r="E330" i="31"/>
  <c r="M353" i="31"/>
  <c r="F353" i="31"/>
  <c r="E353" i="31"/>
  <c r="M340" i="31"/>
  <c r="F340" i="31"/>
  <c r="E340" i="31"/>
  <c r="M329" i="31"/>
  <c r="F329" i="31"/>
  <c r="E329" i="31"/>
  <c r="M471" i="31"/>
  <c r="F471" i="31"/>
  <c r="E471" i="31"/>
  <c r="M468" i="31"/>
  <c r="F468" i="31"/>
  <c r="E468" i="31"/>
  <c r="M352" i="31"/>
  <c r="F352" i="31"/>
  <c r="E352" i="31"/>
  <c r="M328" i="31"/>
  <c r="F328" i="31"/>
  <c r="E328" i="31"/>
  <c r="M351" i="31"/>
  <c r="F351" i="31"/>
  <c r="E351" i="31"/>
  <c r="M327" i="31"/>
  <c r="F327" i="31"/>
  <c r="E327" i="31"/>
  <c r="M350" i="31"/>
  <c r="F350" i="31"/>
  <c r="E350" i="31"/>
  <c r="M326" i="31"/>
  <c r="F326" i="31"/>
  <c r="E326" i="31"/>
  <c r="M349" i="31"/>
  <c r="F349" i="31"/>
  <c r="E349" i="31"/>
  <c r="M325" i="31"/>
  <c r="F325" i="31"/>
  <c r="E325" i="31"/>
  <c r="M348" i="31"/>
  <c r="F348" i="31"/>
  <c r="E348" i="31"/>
  <c r="M324" i="31"/>
  <c r="F324" i="31"/>
  <c r="E324" i="31"/>
  <c r="M323" i="31"/>
  <c r="F323" i="31"/>
  <c r="E323" i="31"/>
  <c r="M436" i="31"/>
  <c r="F436" i="31"/>
  <c r="E436" i="31"/>
  <c r="M415" i="31"/>
  <c r="F415" i="31"/>
  <c r="E415" i="31"/>
  <c r="M381" i="31"/>
  <c r="F381" i="31"/>
  <c r="E381" i="31"/>
  <c r="M403" i="31"/>
  <c r="F403" i="31"/>
  <c r="E403" i="31"/>
  <c r="M380" i="31"/>
  <c r="F380" i="31"/>
  <c r="E380" i="31"/>
  <c r="M402" i="31"/>
  <c r="F402" i="31"/>
  <c r="E402" i="31"/>
  <c r="M379" i="31"/>
  <c r="F379" i="31"/>
  <c r="E379" i="31"/>
  <c r="M359" i="31"/>
  <c r="F359" i="31"/>
  <c r="E359" i="31"/>
  <c r="M401" i="31"/>
  <c r="F401" i="31"/>
  <c r="E401" i="31"/>
  <c r="M378" i="31"/>
  <c r="F378" i="31"/>
  <c r="E378" i="31"/>
  <c r="M358" i="31"/>
  <c r="F358" i="31"/>
  <c r="E358" i="31"/>
  <c r="M400" i="31"/>
  <c r="L400" i="31"/>
  <c r="F400" i="31"/>
  <c r="E400" i="31"/>
  <c r="M377" i="31"/>
  <c r="F377" i="31"/>
  <c r="E377" i="31"/>
  <c r="M399" i="31"/>
  <c r="F399" i="31"/>
  <c r="E399" i="31"/>
  <c r="M376" i="31"/>
  <c r="F376" i="31"/>
  <c r="E376" i="31"/>
  <c r="M398" i="31"/>
  <c r="F398" i="31"/>
  <c r="E398" i="31"/>
  <c r="M375" i="31"/>
  <c r="F375" i="31"/>
  <c r="E375" i="31"/>
  <c r="M397" i="31"/>
  <c r="F397" i="31"/>
  <c r="E397" i="31"/>
  <c r="M374" i="31"/>
  <c r="F374" i="31"/>
  <c r="E374" i="31"/>
  <c r="M322" i="31"/>
  <c r="F322" i="31"/>
  <c r="E322" i="31"/>
  <c r="M396" i="31"/>
  <c r="L396" i="31"/>
  <c r="F396" i="31"/>
  <c r="E396" i="31"/>
  <c r="M373" i="31"/>
  <c r="F373" i="31"/>
  <c r="E373" i="31"/>
  <c r="M372" i="31"/>
  <c r="L372" i="31"/>
  <c r="F372" i="31"/>
  <c r="E372" i="31"/>
  <c r="M395" i="31"/>
  <c r="F395" i="31"/>
  <c r="E395" i="31"/>
  <c r="M371" i="31"/>
  <c r="F371" i="31"/>
  <c r="E371" i="31"/>
  <c r="M370" i="31"/>
  <c r="F370" i="31"/>
  <c r="E370" i="31"/>
  <c r="M394" i="31"/>
  <c r="F394" i="31"/>
  <c r="E394" i="31"/>
  <c r="M369" i="31"/>
  <c r="F369" i="31"/>
  <c r="E369" i="31"/>
  <c r="M393" i="31"/>
  <c r="F393" i="31"/>
  <c r="E393" i="31"/>
  <c r="M368" i="31"/>
  <c r="F368" i="31"/>
  <c r="E368" i="31"/>
  <c r="M435" i="31"/>
  <c r="F435" i="31"/>
  <c r="E435" i="31"/>
  <c r="M414" i="31"/>
  <c r="F414" i="31"/>
  <c r="E414" i="31"/>
  <c r="M347" i="31"/>
  <c r="F347" i="31"/>
  <c r="E347" i="31"/>
  <c r="M321" i="31"/>
  <c r="F321" i="31"/>
  <c r="E321" i="31"/>
  <c r="M346" i="31"/>
  <c r="F346" i="31"/>
  <c r="E346" i="31"/>
  <c r="M320" i="31"/>
  <c r="F320" i="31"/>
  <c r="E320" i="31"/>
  <c r="M319" i="31"/>
  <c r="F319" i="31"/>
  <c r="E319" i="31"/>
  <c r="M345" i="31"/>
  <c r="F345" i="31"/>
  <c r="E345" i="31"/>
  <c r="M318" i="31"/>
  <c r="F318" i="31"/>
  <c r="E318" i="31"/>
  <c r="M314" i="31"/>
  <c r="F314" i="31"/>
  <c r="E314" i="31"/>
  <c r="M413" i="31"/>
  <c r="F413" i="31"/>
  <c r="E413" i="31"/>
  <c r="M479" i="31"/>
  <c r="F479" i="31"/>
  <c r="E479" i="31"/>
  <c r="M474" i="31"/>
  <c r="F474" i="31"/>
  <c r="E474" i="31"/>
  <c r="M344" i="31"/>
  <c r="F344" i="31"/>
  <c r="E344" i="31"/>
  <c r="M317" i="31"/>
  <c r="F317" i="31"/>
  <c r="E317" i="31"/>
  <c r="M313" i="31"/>
  <c r="F313" i="31"/>
  <c r="E313" i="31"/>
  <c r="M473" i="31"/>
  <c r="F473" i="31"/>
  <c r="E473" i="31"/>
  <c r="M343" i="31"/>
  <c r="F343" i="31"/>
  <c r="E343" i="31"/>
  <c r="M316" i="31"/>
  <c r="F316" i="31"/>
  <c r="E316" i="31"/>
  <c r="M487" i="31"/>
  <c r="F487" i="31"/>
  <c r="E487" i="31"/>
  <c r="M483" i="31"/>
  <c r="F483" i="31"/>
  <c r="E483" i="31"/>
  <c r="M367" i="31"/>
  <c r="F367" i="31"/>
  <c r="E367" i="31"/>
  <c r="B367" i="31"/>
  <c r="M486" i="31"/>
  <c r="F486" i="31"/>
  <c r="E486" i="31"/>
  <c r="B486" i="31"/>
  <c r="M309" i="31"/>
  <c r="F309" i="31"/>
  <c r="E309" i="31"/>
  <c r="M307" i="31"/>
  <c r="F307" i="31"/>
  <c r="E307" i="31"/>
  <c r="M305" i="31"/>
  <c r="F305" i="31"/>
  <c r="E305" i="31"/>
  <c r="M485" i="31"/>
  <c r="F485" i="31"/>
  <c r="E485" i="31"/>
  <c r="B485" i="31"/>
  <c r="M482" i="31"/>
  <c r="F482" i="31"/>
  <c r="E482" i="31"/>
  <c r="B482" i="31"/>
  <c r="M366" i="31"/>
  <c r="F366" i="31"/>
  <c r="E366" i="31"/>
  <c r="B366" i="31"/>
  <c r="M365" i="31"/>
  <c r="F365" i="31"/>
  <c r="E365" i="31"/>
  <c r="B365" i="31"/>
  <c r="M465" i="31"/>
  <c r="F465" i="31"/>
  <c r="E465" i="31"/>
  <c r="B465" i="31"/>
  <c r="M357" i="31"/>
  <c r="L357" i="31"/>
  <c r="F357" i="31"/>
  <c r="E357" i="31"/>
  <c r="B357" i="31"/>
  <c r="M451" i="31"/>
  <c r="F451" i="31"/>
  <c r="E451" i="31"/>
  <c r="B451" i="31"/>
  <c r="M452" i="31"/>
  <c r="F452" i="31"/>
  <c r="E452" i="31"/>
  <c r="B452" i="31"/>
  <c r="M450" i="31"/>
  <c r="F450" i="31"/>
  <c r="E450" i="31"/>
  <c r="B450" i="31"/>
  <c r="M449" i="31"/>
  <c r="M453" i="31" s="1"/>
  <c r="F449" i="31"/>
  <c r="E449" i="31"/>
  <c r="B449" i="31"/>
  <c r="M364" i="31"/>
  <c r="L364" i="31"/>
  <c r="F364" i="31"/>
  <c r="E364" i="31"/>
  <c r="M363" i="31"/>
  <c r="L363" i="31"/>
  <c r="F363" i="31"/>
  <c r="E363" i="31"/>
  <c r="M315" i="31"/>
  <c r="L315" i="31"/>
  <c r="F315" i="31"/>
  <c r="E315" i="31"/>
  <c r="M462" i="31"/>
  <c r="M463" i="31" s="1"/>
  <c r="L462" i="31"/>
  <c r="L463" i="31" s="1"/>
  <c r="F462" i="31"/>
  <c r="E462" i="31"/>
  <c r="B462" i="31"/>
  <c r="M456" i="31"/>
  <c r="F456" i="31"/>
  <c r="E456" i="31"/>
  <c r="B456" i="31"/>
  <c r="M459" i="31"/>
  <c r="F459" i="31"/>
  <c r="E459" i="31"/>
  <c r="B459" i="31"/>
  <c r="M310" i="31"/>
  <c r="F310" i="31"/>
  <c r="E310" i="31"/>
  <c r="B310" i="31"/>
  <c r="M458" i="31"/>
  <c r="F458" i="31"/>
  <c r="E458" i="31"/>
  <c r="B458" i="31"/>
  <c r="M457" i="31"/>
  <c r="L457" i="31"/>
  <c r="F457" i="31"/>
  <c r="E457" i="31"/>
  <c r="B457" i="31"/>
  <c r="M308" i="31"/>
  <c r="F308" i="31"/>
  <c r="E308" i="31"/>
  <c r="B308" i="31"/>
  <c r="M306" i="31"/>
  <c r="F306" i="31"/>
  <c r="E306" i="31"/>
  <c r="B306" i="31"/>
  <c r="M302" i="31"/>
  <c r="M303" i="31" s="1"/>
  <c r="F302" i="31"/>
  <c r="E302" i="31"/>
  <c r="B302" i="31"/>
  <c r="M455" i="31"/>
  <c r="L455" i="31"/>
  <c r="F455" i="31"/>
  <c r="E455" i="31"/>
  <c r="B455" i="31"/>
  <c r="L460" i="31" l="1"/>
  <c r="M446" i="31"/>
  <c r="M460" i="31"/>
  <c r="M311" i="31"/>
  <c r="M494" i="31"/>
  <c r="L494" i="31"/>
  <c r="L453" i="31"/>
  <c r="L446" i="31"/>
  <c r="L311" i="31"/>
  <c r="I80" i="38" l="1"/>
  <c r="M78" i="38"/>
  <c r="L78" i="38"/>
  <c r="M77" i="38"/>
  <c r="L77" i="38"/>
  <c r="M76" i="38"/>
  <c r="L76" i="38"/>
  <c r="M75" i="38"/>
  <c r="L75" i="38"/>
  <c r="M74" i="38"/>
  <c r="L74" i="38"/>
  <c r="M73" i="38"/>
  <c r="L73" i="38"/>
  <c r="M72" i="38"/>
  <c r="L72" i="38"/>
  <c r="M71" i="38"/>
  <c r="L71" i="38"/>
  <c r="M70" i="38"/>
  <c r="L70" i="38"/>
  <c r="M69" i="38"/>
  <c r="L69" i="38"/>
  <c r="M68" i="38"/>
  <c r="L68" i="38"/>
  <c r="M67" i="38"/>
  <c r="L67" i="38"/>
  <c r="M66" i="38"/>
  <c r="L66" i="38"/>
  <c r="M65" i="38"/>
  <c r="L65" i="38"/>
  <c r="M64" i="38"/>
  <c r="L64" i="38"/>
  <c r="M63" i="38"/>
  <c r="L63" i="38"/>
  <c r="M62" i="38"/>
  <c r="L62" i="38"/>
  <c r="M61" i="38"/>
  <c r="L61" i="38"/>
  <c r="M60" i="38"/>
  <c r="L60" i="38"/>
  <c r="M59" i="38"/>
  <c r="L59" i="38"/>
  <c r="M58" i="38"/>
  <c r="L58" i="38"/>
  <c r="M57" i="38"/>
  <c r="L57" i="38"/>
  <c r="M56" i="38"/>
  <c r="L56" i="38"/>
  <c r="M55" i="38"/>
  <c r="L55" i="38"/>
  <c r="M54" i="38"/>
  <c r="L54" i="38"/>
  <c r="M53" i="38"/>
  <c r="L53" i="38"/>
  <c r="M52" i="38"/>
  <c r="L52" i="38"/>
  <c r="M51" i="38"/>
  <c r="L51" i="38"/>
  <c r="M50" i="38"/>
  <c r="L50" i="38"/>
  <c r="M49" i="38"/>
  <c r="L49" i="38"/>
  <c r="M48" i="38"/>
  <c r="L48" i="38"/>
  <c r="M47" i="38"/>
  <c r="L47" i="38"/>
  <c r="M46" i="38"/>
  <c r="L46" i="38"/>
  <c r="M45" i="38"/>
  <c r="L45" i="38"/>
  <c r="M44" i="38"/>
  <c r="L44" i="38"/>
  <c r="M43" i="38"/>
  <c r="L43" i="38"/>
  <c r="M42" i="38"/>
  <c r="L42" i="38"/>
  <c r="M41" i="38"/>
  <c r="L41" i="38"/>
  <c r="M40" i="38"/>
  <c r="L40" i="38"/>
  <c r="M39" i="38"/>
  <c r="L39" i="38"/>
  <c r="M38" i="38"/>
  <c r="L38" i="38"/>
  <c r="M37" i="38"/>
  <c r="L37" i="38"/>
  <c r="M36" i="38"/>
  <c r="L36" i="38"/>
  <c r="M35" i="38"/>
  <c r="L35" i="38"/>
  <c r="M34" i="38"/>
  <c r="L34" i="38"/>
  <c r="M33" i="38"/>
  <c r="L33" i="38"/>
  <c r="M32" i="38"/>
  <c r="L32" i="38"/>
  <c r="M31" i="38"/>
  <c r="L31" i="38"/>
  <c r="M30" i="38"/>
  <c r="L30" i="38"/>
  <c r="M29" i="38"/>
  <c r="L29" i="38"/>
  <c r="M28" i="38"/>
  <c r="L28" i="38"/>
  <c r="M27" i="38"/>
  <c r="L27" i="38"/>
  <c r="M26" i="38"/>
  <c r="L26" i="38"/>
  <c r="M25" i="38"/>
  <c r="L25" i="38"/>
  <c r="M24" i="38"/>
  <c r="L24" i="38"/>
  <c r="M23" i="38"/>
  <c r="L23" i="38"/>
  <c r="M22" i="38"/>
  <c r="L22" i="38"/>
  <c r="M21" i="38"/>
  <c r="L21" i="38"/>
  <c r="M20" i="38"/>
  <c r="L20" i="38"/>
  <c r="M19" i="38"/>
  <c r="L19" i="38"/>
  <c r="M18" i="38"/>
  <c r="L18" i="38"/>
  <c r="M17" i="38"/>
  <c r="L17" i="38"/>
  <c r="M16" i="38"/>
  <c r="L16" i="38"/>
  <c r="M15" i="38"/>
  <c r="L15" i="38"/>
  <c r="M14" i="38"/>
  <c r="L14" i="38"/>
  <c r="M13" i="38"/>
  <c r="L13" i="38"/>
  <c r="M12" i="38"/>
  <c r="L12" i="38"/>
  <c r="M11" i="38"/>
  <c r="L11" i="38"/>
  <c r="M10" i="38"/>
  <c r="L10" i="38"/>
  <c r="M9" i="38"/>
  <c r="L9" i="38"/>
  <c r="M8" i="38"/>
  <c r="L8" i="38"/>
  <c r="M7" i="38"/>
  <c r="L7" i="38"/>
  <c r="M6" i="38"/>
  <c r="L6" i="38"/>
  <c r="M5" i="38"/>
  <c r="L5" i="38"/>
  <c r="I35" i="37"/>
  <c r="M33" i="37"/>
  <c r="L33" i="37"/>
  <c r="M32" i="37"/>
  <c r="L32" i="37"/>
  <c r="M31" i="37"/>
  <c r="L31" i="37"/>
  <c r="M30" i="37"/>
  <c r="L30" i="37"/>
  <c r="M29" i="37"/>
  <c r="L29" i="37"/>
  <c r="M28" i="37"/>
  <c r="L28" i="37"/>
  <c r="M27" i="37"/>
  <c r="L27" i="37"/>
  <c r="M26" i="37"/>
  <c r="L26" i="37"/>
  <c r="M25" i="37"/>
  <c r="L25" i="37"/>
  <c r="M24" i="37"/>
  <c r="L24" i="37"/>
  <c r="M23" i="37"/>
  <c r="L23" i="37"/>
  <c r="M22" i="37"/>
  <c r="L22" i="37"/>
  <c r="M21" i="37"/>
  <c r="L21" i="37"/>
  <c r="M20" i="37"/>
  <c r="L20" i="37"/>
  <c r="M19" i="37"/>
  <c r="L19" i="37"/>
  <c r="M18" i="37"/>
  <c r="L18" i="37"/>
  <c r="M17" i="37"/>
  <c r="L17" i="37"/>
  <c r="M16" i="37"/>
  <c r="L16" i="37"/>
  <c r="M15" i="37"/>
  <c r="L15" i="37"/>
  <c r="M14" i="37"/>
  <c r="L14" i="37"/>
  <c r="M13" i="37"/>
  <c r="L13" i="37"/>
  <c r="M12" i="37"/>
  <c r="L12" i="37"/>
  <c r="M11" i="37"/>
  <c r="L11" i="37"/>
  <c r="M10" i="37"/>
  <c r="L10" i="37"/>
  <c r="M9" i="37"/>
  <c r="L9" i="37"/>
  <c r="M8" i="37"/>
  <c r="L8" i="37"/>
  <c r="M7" i="37"/>
  <c r="L7" i="37"/>
  <c r="M6" i="37"/>
  <c r="L6" i="37"/>
  <c r="M5" i="37"/>
  <c r="L5" i="37"/>
  <c r="I468" i="36"/>
  <c r="I473" i="36" s="1"/>
  <c r="M466" i="36"/>
  <c r="L466" i="36"/>
  <c r="F466" i="36"/>
  <c r="E466" i="36"/>
  <c r="M465" i="36"/>
  <c r="L465" i="36"/>
  <c r="F465" i="36"/>
  <c r="E465" i="36"/>
  <c r="M464" i="36"/>
  <c r="L464" i="36"/>
  <c r="F464" i="36"/>
  <c r="E464" i="36"/>
  <c r="M463" i="36"/>
  <c r="L463" i="36"/>
  <c r="F463" i="36"/>
  <c r="E463" i="36"/>
  <c r="M462" i="36"/>
  <c r="L462" i="36"/>
  <c r="F462" i="36"/>
  <c r="E462" i="36"/>
  <c r="M461" i="36"/>
  <c r="L461" i="36"/>
  <c r="F461" i="36"/>
  <c r="E461" i="36"/>
  <c r="M460" i="36"/>
  <c r="L460" i="36"/>
  <c r="F460" i="36"/>
  <c r="E460" i="36"/>
  <c r="M459" i="36"/>
  <c r="L459" i="36"/>
  <c r="F459" i="36"/>
  <c r="E459" i="36"/>
  <c r="M458" i="36"/>
  <c r="L458" i="36"/>
  <c r="F458" i="36"/>
  <c r="E458" i="36"/>
  <c r="M457" i="36"/>
  <c r="L457" i="36"/>
  <c r="F457" i="36"/>
  <c r="E457" i="36"/>
  <c r="M456" i="36"/>
  <c r="L456" i="36"/>
  <c r="F456" i="36"/>
  <c r="E456" i="36"/>
  <c r="M455" i="36"/>
  <c r="L455" i="36"/>
  <c r="F455" i="36"/>
  <c r="E455" i="36"/>
  <c r="M454" i="36"/>
  <c r="L454" i="36"/>
  <c r="F454" i="36"/>
  <c r="E454" i="36"/>
  <c r="M453" i="36"/>
  <c r="L453" i="36"/>
  <c r="F453" i="36"/>
  <c r="E453" i="36"/>
  <c r="M452" i="36"/>
  <c r="L452" i="36"/>
  <c r="F452" i="36"/>
  <c r="E452" i="36"/>
  <c r="M451" i="36"/>
  <c r="L451" i="36"/>
  <c r="F451" i="36"/>
  <c r="E451" i="36"/>
  <c r="M450" i="36"/>
  <c r="L450" i="36"/>
  <c r="F450" i="36"/>
  <c r="E450" i="36"/>
  <c r="M449" i="36"/>
  <c r="L449" i="36"/>
  <c r="F449" i="36"/>
  <c r="E449" i="36"/>
  <c r="M448" i="36"/>
  <c r="L448" i="36"/>
  <c r="F448" i="36"/>
  <c r="E448" i="36"/>
  <c r="M447" i="36"/>
  <c r="L447" i="36"/>
  <c r="F447" i="36"/>
  <c r="E447" i="36"/>
  <c r="M446" i="36"/>
  <c r="L446" i="36"/>
  <c r="F446" i="36"/>
  <c r="E446" i="36"/>
  <c r="M445" i="36"/>
  <c r="L445" i="36"/>
  <c r="F445" i="36"/>
  <c r="E445" i="36"/>
  <c r="M444" i="36"/>
  <c r="L444" i="36"/>
  <c r="F444" i="36"/>
  <c r="E444" i="36"/>
  <c r="M443" i="36"/>
  <c r="L443" i="36"/>
  <c r="F443" i="36"/>
  <c r="E443" i="36"/>
  <c r="M442" i="36"/>
  <c r="L442" i="36"/>
  <c r="F442" i="36"/>
  <c r="E442" i="36"/>
  <c r="M441" i="36"/>
  <c r="L441" i="36"/>
  <c r="F441" i="36"/>
  <c r="E441" i="36"/>
  <c r="M440" i="36"/>
  <c r="L440" i="36"/>
  <c r="F440" i="36"/>
  <c r="E440" i="36"/>
  <c r="M439" i="36"/>
  <c r="L439" i="36"/>
  <c r="F439" i="36"/>
  <c r="E439" i="36"/>
  <c r="M438" i="36"/>
  <c r="L438" i="36"/>
  <c r="F438" i="36"/>
  <c r="E438" i="36"/>
  <c r="M437" i="36"/>
  <c r="L437" i="36"/>
  <c r="F437" i="36"/>
  <c r="E437" i="36"/>
  <c r="M436" i="36"/>
  <c r="L436" i="36"/>
  <c r="F436" i="36"/>
  <c r="E436" i="36"/>
  <c r="M435" i="36"/>
  <c r="L435" i="36"/>
  <c r="F435" i="36"/>
  <c r="E435" i="36"/>
  <c r="M434" i="36"/>
  <c r="L434" i="36"/>
  <c r="F434" i="36"/>
  <c r="E434" i="36"/>
  <c r="M433" i="36"/>
  <c r="L433" i="36"/>
  <c r="F433" i="36"/>
  <c r="E433" i="36"/>
  <c r="M432" i="36"/>
  <c r="L432" i="36"/>
  <c r="F432" i="36"/>
  <c r="E432" i="36"/>
  <c r="M431" i="36"/>
  <c r="L431" i="36"/>
  <c r="F431" i="36"/>
  <c r="E431" i="36"/>
  <c r="M430" i="36"/>
  <c r="L430" i="36"/>
  <c r="F430" i="36"/>
  <c r="E430" i="36"/>
  <c r="M429" i="36"/>
  <c r="L429" i="36"/>
  <c r="F429" i="36"/>
  <c r="E429" i="36"/>
  <c r="M428" i="36"/>
  <c r="L428" i="36"/>
  <c r="F428" i="36"/>
  <c r="E428" i="36"/>
  <c r="M427" i="36"/>
  <c r="L427" i="36"/>
  <c r="F427" i="36"/>
  <c r="E427" i="36"/>
  <c r="M426" i="36"/>
  <c r="L426" i="36"/>
  <c r="F426" i="36"/>
  <c r="E426" i="36"/>
  <c r="M425" i="36"/>
  <c r="L425" i="36"/>
  <c r="F425" i="36"/>
  <c r="E425" i="36"/>
  <c r="M424" i="36"/>
  <c r="L424" i="36"/>
  <c r="F424" i="36"/>
  <c r="E424" i="36"/>
  <c r="M423" i="36"/>
  <c r="L423" i="36"/>
  <c r="F423" i="36"/>
  <c r="E423" i="36"/>
  <c r="M422" i="36"/>
  <c r="L422" i="36"/>
  <c r="F422" i="36"/>
  <c r="E422" i="36"/>
  <c r="M421" i="36"/>
  <c r="L421" i="36"/>
  <c r="F421" i="36"/>
  <c r="E421" i="36"/>
  <c r="M420" i="36"/>
  <c r="L420" i="36"/>
  <c r="F420" i="36"/>
  <c r="E420" i="36"/>
  <c r="M419" i="36"/>
  <c r="L419" i="36"/>
  <c r="F419" i="36"/>
  <c r="E419" i="36"/>
  <c r="M418" i="36"/>
  <c r="L418" i="36"/>
  <c r="F418" i="36"/>
  <c r="E418" i="36"/>
  <c r="M417" i="36"/>
  <c r="L417" i="36"/>
  <c r="F417" i="36"/>
  <c r="E417" i="36"/>
  <c r="M416" i="36"/>
  <c r="L416" i="36"/>
  <c r="F416" i="36"/>
  <c r="E416" i="36"/>
  <c r="M415" i="36"/>
  <c r="L415" i="36"/>
  <c r="F415" i="36"/>
  <c r="E415" i="36"/>
  <c r="M414" i="36"/>
  <c r="L414" i="36"/>
  <c r="F414" i="36"/>
  <c r="E414" i="36"/>
  <c r="M413" i="36"/>
  <c r="L413" i="36"/>
  <c r="F413" i="36"/>
  <c r="E413" i="36"/>
  <c r="M412" i="36"/>
  <c r="L412" i="36"/>
  <c r="F412" i="36"/>
  <c r="E412" i="36"/>
  <c r="M411" i="36"/>
  <c r="L411" i="36"/>
  <c r="F411" i="36"/>
  <c r="E411" i="36"/>
  <c r="M410" i="36"/>
  <c r="L410" i="36"/>
  <c r="F410" i="36"/>
  <c r="E410" i="36"/>
  <c r="M409" i="36"/>
  <c r="L409" i="36"/>
  <c r="F409" i="36"/>
  <c r="E409" i="36"/>
  <c r="M408" i="36"/>
  <c r="L408" i="36"/>
  <c r="F408" i="36"/>
  <c r="E408" i="36"/>
  <c r="M407" i="36"/>
  <c r="L407" i="36"/>
  <c r="F407" i="36"/>
  <c r="E407" i="36"/>
  <c r="M406" i="36"/>
  <c r="L406" i="36"/>
  <c r="F406" i="36"/>
  <c r="E406" i="36"/>
  <c r="M405" i="36"/>
  <c r="L405" i="36"/>
  <c r="F405" i="36"/>
  <c r="E405" i="36"/>
  <c r="M404" i="36"/>
  <c r="L404" i="36"/>
  <c r="F404" i="36"/>
  <c r="E404" i="36"/>
  <c r="M403" i="36"/>
  <c r="L403" i="36"/>
  <c r="F403" i="36"/>
  <c r="E403" i="36"/>
  <c r="M402" i="36"/>
  <c r="L402" i="36"/>
  <c r="F402" i="36"/>
  <c r="E402" i="36"/>
  <c r="M401" i="36"/>
  <c r="L401" i="36"/>
  <c r="F401" i="36"/>
  <c r="E401" i="36"/>
  <c r="M400" i="36"/>
  <c r="L400" i="36"/>
  <c r="F400" i="36"/>
  <c r="E400" i="36"/>
  <c r="M399" i="36"/>
  <c r="L399" i="36"/>
  <c r="F399" i="36"/>
  <c r="E399" i="36"/>
  <c r="M398" i="36"/>
  <c r="L398" i="36"/>
  <c r="F398" i="36"/>
  <c r="E398" i="36"/>
  <c r="M397" i="36"/>
  <c r="L397" i="36"/>
  <c r="F397" i="36"/>
  <c r="E397" i="36"/>
  <c r="M396" i="36"/>
  <c r="L396" i="36"/>
  <c r="F396" i="36"/>
  <c r="E396" i="36"/>
  <c r="M395" i="36"/>
  <c r="L395" i="36"/>
  <c r="F395" i="36"/>
  <c r="E395" i="36"/>
  <c r="M394" i="36"/>
  <c r="L394" i="36"/>
  <c r="F394" i="36"/>
  <c r="E394" i="36"/>
  <c r="M393" i="36"/>
  <c r="L393" i="36"/>
  <c r="F393" i="36"/>
  <c r="E393" i="36"/>
  <c r="M392" i="36"/>
  <c r="L392" i="36"/>
  <c r="F392" i="36"/>
  <c r="E392" i="36"/>
  <c r="M391" i="36"/>
  <c r="L391" i="36"/>
  <c r="F391" i="36"/>
  <c r="E391" i="36"/>
  <c r="M390" i="36"/>
  <c r="L390" i="36"/>
  <c r="F390" i="36"/>
  <c r="E390" i="36"/>
  <c r="M389" i="36"/>
  <c r="L389" i="36"/>
  <c r="F389" i="36"/>
  <c r="E389" i="36"/>
  <c r="M388" i="36"/>
  <c r="L388" i="36"/>
  <c r="F388" i="36"/>
  <c r="E388" i="36"/>
  <c r="M387" i="36"/>
  <c r="L387" i="36"/>
  <c r="F387" i="36"/>
  <c r="E387" i="36"/>
  <c r="M386" i="36"/>
  <c r="L386" i="36"/>
  <c r="F386" i="36"/>
  <c r="E386" i="36"/>
  <c r="M385" i="36"/>
  <c r="L385" i="36"/>
  <c r="F385" i="36"/>
  <c r="E385" i="36"/>
  <c r="M384" i="36"/>
  <c r="L384" i="36"/>
  <c r="F384" i="36"/>
  <c r="E384" i="36"/>
  <c r="M383" i="36"/>
  <c r="L383" i="36"/>
  <c r="F383" i="36"/>
  <c r="E383" i="36"/>
  <c r="M382" i="36"/>
  <c r="L382" i="36"/>
  <c r="F382" i="36"/>
  <c r="E382" i="36"/>
  <c r="M381" i="36"/>
  <c r="L381" i="36"/>
  <c r="F381" i="36"/>
  <c r="E381" i="36"/>
  <c r="M380" i="36"/>
  <c r="L380" i="36"/>
  <c r="F380" i="36"/>
  <c r="E380" i="36"/>
  <c r="M379" i="36"/>
  <c r="L379" i="36"/>
  <c r="F379" i="36"/>
  <c r="E379" i="36"/>
  <c r="M378" i="36"/>
  <c r="L378" i="36"/>
  <c r="F378" i="36"/>
  <c r="E378" i="36"/>
  <c r="M377" i="36"/>
  <c r="L377" i="36"/>
  <c r="F377" i="36"/>
  <c r="E377" i="36"/>
  <c r="M376" i="36"/>
  <c r="L376" i="36"/>
  <c r="F376" i="36"/>
  <c r="E376" i="36"/>
  <c r="M375" i="36"/>
  <c r="L375" i="36"/>
  <c r="F375" i="36"/>
  <c r="E375" i="36"/>
  <c r="M374" i="36"/>
  <c r="L374" i="36"/>
  <c r="F374" i="36"/>
  <c r="E374" i="36"/>
  <c r="M373" i="36"/>
  <c r="L373" i="36"/>
  <c r="F373" i="36"/>
  <c r="E373" i="36"/>
  <c r="M372" i="36"/>
  <c r="L372" i="36"/>
  <c r="F372" i="36"/>
  <c r="E372" i="36"/>
  <c r="M371" i="36"/>
  <c r="L371" i="36"/>
  <c r="F371" i="36"/>
  <c r="E371" i="36"/>
  <c r="M370" i="36"/>
  <c r="L370" i="36"/>
  <c r="F370" i="36"/>
  <c r="E370" i="36"/>
  <c r="M369" i="36"/>
  <c r="L369" i="36"/>
  <c r="F369" i="36"/>
  <c r="E369" i="36"/>
  <c r="M368" i="36"/>
  <c r="L368" i="36"/>
  <c r="F368" i="36"/>
  <c r="E368" i="36"/>
  <c r="M367" i="36"/>
  <c r="L367" i="36"/>
  <c r="F367" i="36"/>
  <c r="E367" i="36"/>
  <c r="M366" i="36"/>
  <c r="L366" i="36"/>
  <c r="F366" i="36"/>
  <c r="E366" i="36"/>
  <c r="M365" i="36"/>
  <c r="L365" i="36"/>
  <c r="F365" i="36"/>
  <c r="E365" i="36"/>
  <c r="M364" i="36"/>
  <c r="L364" i="36"/>
  <c r="F364" i="36"/>
  <c r="E364" i="36"/>
  <c r="M363" i="36"/>
  <c r="L363" i="36"/>
  <c r="F363" i="36"/>
  <c r="E363" i="36"/>
  <c r="M362" i="36"/>
  <c r="L362" i="36"/>
  <c r="F362" i="36"/>
  <c r="E362" i="36"/>
  <c r="M361" i="36"/>
  <c r="L361" i="36"/>
  <c r="F361" i="36"/>
  <c r="E361" i="36"/>
  <c r="M360" i="36"/>
  <c r="L360" i="36"/>
  <c r="F360" i="36"/>
  <c r="E360" i="36"/>
  <c r="M359" i="36"/>
  <c r="L359" i="36"/>
  <c r="F359" i="36"/>
  <c r="E359" i="36"/>
  <c r="M358" i="36"/>
  <c r="L358" i="36"/>
  <c r="F358" i="36"/>
  <c r="E358" i="36"/>
  <c r="M357" i="36"/>
  <c r="L357" i="36"/>
  <c r="F357" i="36"/>
  <c r="E357" i="36"/>
  <c r="M356" i="36"/>
  <c r="L356" i="36"/>
  <c r="F356" i="36"/>
  <c r="E356" i="36"/>
  <c r="M355" i="36"/>
  <c r="L355" i="36"/>
  <c r="F355" i="36"/>
  <c r="E355" i="36"/>
  <c r="M354" i="36"/>
  <c r="L354" i="36"/>
  <c r="F354" i="36"/>
  <c r="E354" i="36"/>
  <c r="M353" i="36"/>
  <c r="L353" i="36"/>
  <c r="F353" i="36"/>
  <c r="E353" i="36"/>
  <c r="M352" i="36"/>
  <c r="L352" i="36"/>
  <c r="F352" i="36"/>
  <c r="E352" i="36"/>
  <c r="M351" i="36"/>
  <c r="L351" i="36"/>
  <c r="F351" i="36"/>
  <c r="E351" i="36"/>
  <c r="M350" i="36"/>
  <c r="L350" i="36"/>
  <c r="F350" i="36"/>
  <c r="E350" i="36"/>
  <c r="M349" i="36"/>
  <c r="L349" i="36"/>
  <c r="F349" i="36"/>
  <c r="E349" i="36"/>
  <c r="M348" i="36"/>
  <c r="L348" i="36"/>
  <c r="F348" i="36"/>
  <c r="E348" i="36"/>
  <c r="M347" i="36"/>
  <c r="L347" i="36"/>
  <c r="F347" i="36"/>
  <c r="E347" i="36"/>
  <c r="M346" i="36"/>
  <c r="L346" i="36"/>
  <c r="F346" i="36"/>
  <c r="E346" i="36"/>
  <c r="M345" i="36"/>
  <c r="L345" i="36"/>
  <c r="F345" i="36"/>
  <c r="E345" i="36"/>
  <c r="M344" i="36"/>
  <c r="L344" i="36"/>
  <c r="F344" i="36"/>
  <c r="E344" i="36"/>
  <c r="M343" i="36"/>
  <c r="L343" i="36"/>
  <c r="F343" i="36"/>
  <c r="E343" i="36"/>
  <c r="M342" i="36"/>
  <c r="L342" i="36"/>
  <c r="F342" i="36"/>
  <c r="E342" i="36"/>
  <c r="M341" i="36"/>
  <c r="L341" i="36"/>
  <c r="F341" i="36"/>
  <c r="E341" i="36"/>
  <c r="M340" i="36"/>
  <c r="L340" i="36"/>
  <c r="F340" i="36"/>
  <c r="E340" i="36"/>
  <c r="M339" i="36"/>
  <c r="L339" i="36"/>
  <c r="F339" i="36"/>
  <c r="E339" i="36"/>
  <c r="M338" i="36"/>
  <c r="L338" i="36"/>
  <c r="F338" i="36"/>
  <c r="E338" i="36"/>
  <c r="M337" i="36"/>
  <c r="L337" i="36"/>
  <c r="F337" i="36"/>
  <c r="E337" i="36"/>
  <c r="M336" i="36"/>
  <c r="L336" i="36"/>
  <c r="F336" i="36"/>
  <c r="E336" i="36"/>
  <c r="M335" i="36"/>
  <c r="L335" i="36"/>
  <c r="F335" i="36"/>
  <c r="E335" i="36"/>
  <c r="M334" i="36"/>
  <c r="L334" i="36"/>
  <c r="F334" i="36"/>
  <c r="E334" i="36"/>
  <c r="M333" i="36"/>
  <c r="L333" i="36"/>
  <c r="F333" i="36"/>
  <c r="E333" i="36"/>
  <c r="M332" i="36"/>
  <c r="L332" i="36"/>
  <c r="F332" i="36"/>
  <c r="E332" i="36"/>
  <c r="M331" i="36"/>
  <c r="L331" i="36"/>
  <c r="F331" i="36"/>
  <c r="E331" i="36"/>
  <c r="M330" i="36"/>
  <c r="L330" i="36"/>
  <c r="F330" i="36"/>
  <c r="E330" i="36"/>
  <c r="M329" i="36"/>
  <c r="L329" i="36"/>
  <c r="F329" i="36"/>
  <c r="E329" i="36"/>
  <c r="M328" i="36"/>
  <c r="L328" i="36"/>
  <c r="F328" i="36"/>
  <c r="E328" i="36"/>
  <c r="M327" i="36"/>
  <c r="L327" i="36"/>
  <c r="F327" i="36"/>
  <c r="E327" i="36"/>
  <c r="M326" i="36"/>
  <c r="L326" i="36"/>
  <c r="F326" i="36"/>
  <c r="E326" i="36"/>
  <c r="M325" i="36"/>
  <c r="L325" i="36"/>
  <c r="F325" i="36"/>
  <c r="E325" i="36"/>
  <c r="M324" i="36"/>
  <c r="L324" i="36"/>
  <c r="F324" i="36"/>
  <c r="E324" i="36"/>
  <c r="M323" i="36"/>
  <c r="L323" i="36"/>
  <c r="F323" i="36"/>
  <c r="E323" i="36"/>
  <c r="M322" i="36"/>
  <c r="L322" i="36"/>
  <c r="F322" i="36"/>
  <c r="E322" i="36"/>
  <c r="M321" i="36"/>
  <c r="L321" i="36"/>
  <c r="F321" i="36"/>
  <c r="E321" i="36"/>
  <c r="M320" i="36"/>
  <c r="L320" i="36"/>
  <c r="F320" i="36"/>
  <c r="E320" i="36"/>
  <c r="M319" i="36"/>
  <c r="L319" i="36"/>
  <c r="F319" i="36"/>
  <c r="E319" i="36"/>
  <c r="M318" i="36"/>
  <c r="L318" i="36"/>
  <c r="F318" i="36"/>
  <c r="E318" i="36"/>
  <c r="M317" i="36"/>
  <c r="L317" i="36"/>
  <c r="F317" i="36"/>
  <c r="E317" i="36"/>
  <c r="M316" i="36"/>
  <c r="L316" i="36"/>
  <c r="F316" i="36"/>
  <c r="E316" i="36"/>
  <c r="M315" i="36"/>
  <c r="L315" i="36"/>
  <c r="F315" i="36"/>
  <c r="E315" i="36"/>
  <c r="B315" i="36"/>
  <c r="M314" i="36"/>
  <c r="L314" i="36"/>
  <c r="F314" i="36"/>
  <c r="E314" i="36"/>
  <c r="B314" i="36"/>
  <c r="M313" i="36"/>
  <c r="L313" i="36"/>
  <c r="F313" i="36"/>
  <c r="E313" i="36"/>
  <c r="M312" i="36"/>
  <c r="L312" i="36"/>
  <c r="F312" i="36"/>
  <c r="E312" i="36"/>
  <c r="M311" i="36"/>
  <c r="L311" i="36"/>
  <c r="F311" i="36"/>
  <c r="E311" i="36"/>
  <c r="M310" i="36"/>
  <c r="L310" i="36"/>
  <c r="F310" i="36"/>
  <c r="E310" i="36"/>
  <c r="B310" i="36"/>
  <c r="M309" i="36"/>
  <c r="L309" i="36"/>
  <c r="F309" i="36"/>
  <c r="E309" i="36"/>
  <c r="B309" i="36"/>
  <c r="M308" i="36"/>
  <c r="L308" i="36"/>
  <c r="F308" i="36"/>
  <c r="E308" i="36"/>
  <c r="B308" i="36"/>
  <c r="M307" i="36"/>
  <c r="L307" i="36"/>
  <c r="F307" i="36"/>
  <c r="E307" i="36"/>
  <c r="B307" i="36"/>
  <c r="M306" i="36"/>
  <c r="L306" i="36"/>
  <c r="F306" i="36"/>
  <c r="E306" i="36"/>
  <c r="B306" i="36"/>
  <c r="M305" i="36"/>
  <c r="L305" i="36"/>
  <c r="F305" i="36"/>
  <c r="E305" i="36"/>
  <c r="B305" i="36"/>
  <c r="M304" i="36"/>
  <c r="L304" i="36"/>
  <c r="F304" i="36"/>
  <c r="E304" i="36"/>
  <c r="B304" i="36"/>
  <c r="M303" i="36"/>
  <c r="L303" i="36"/>
  <c r="F303" i="36"/>
  <c r="E303" i="36"/>
  <c r="B303" i="36"/>
  <c r="M302" i="36"/>
  <c r="L302" i="36"/>
  <c r="F302" i="36"/>
  <c r="E302" i="36"/>
  <c r="B302" i="36"/>
  <c r="M301" i="36"/>
  <c r="L301" i="36"/>
  <c r="F301" i="36"/>
  <c r="E301" i="36"/>
  <c r="B301" i="36"/>
  <c r="M300" i="36"/>
  <c r="L300" i="36"/>
  <c r="F300" i="36"/>
  <c r="E300" i="36"/>
  <c r="M299" i="36"/>
  <c r="L299" i="36"/>
  <c r="F299" i="36"/>
  <c r="E299" i="36"/>
  <c r="M298" i="36"/>
  <c r="L298" i="36"/>
  <c r="F298" i="36"/>
  <c r="E298" i="36"/>
  <c r="M297" i="36"/>
  <c r="L297" i="36"/>
  <c r="F297" i="36"/>
  <c r="E297" i="36"/>
  <c r="B297" i="36"/>
  <c r="M296" i="36"/>
  <c r="L296" i="36"/>
  <c r="F296" i="36"/>
  <c r="E296" i="36"/>
  <c r="B296" i="36"/>
  <c r="M295" i="36"/>
  <c r="L295" i="36"/>
  <c r="F295" i="36"/>
  <c r="E295" i="36"/>
  <c r="B295" i="36"/>
  <c r="M294" i="36"/>
  <c r="L294" i="36"/>
  <c r="F294" i="36"/>
  <c r="E294" i="36"/>
  <c r="B294" i="36"/>
  <c r="M293" i="36"/>
  <c r="L293" i="36"/>
  <c r="F293" i="36"/>
  <c r="E293" i="36"/>
  <c r="B293" i="36"/>
  <c r="M292" i="36"/>
  <c r="L292" i="36"/>
  <c r="F292" i="36"/>
  <c r="E292" i="36"/>
  <c r="B292" i="36"/>
  <c r="M291" i="36"/>
  <c r="L291" i="36"/>
  <c r="F291" i="36"/>
  <c r="E291" i="36"/>
  <c r="B291" i="36"/>
  <c r="M290" i="36"/>
  <c r="L290" i="36"/>
  <c r="F290" i="36"/>
  <c r="E290" i="36"/>
  <c r="B290" i="36"/>
  <c r="M289" i="36"/>
  <c r="L289" i="36"/>
  <c r="F289" i="36"/>
  <c r="E289" i="36"/>
  <c r="B289" i="36"/>
  <c r="M288" i="36"/>
  <c r="L288" i="36"/>
  <c r="F288" i="36"/>
  <c r="E288" i="36"/>
  <c r="B288" i="36"/>
  <c r="M287" i="36"/>
  <c r="L287" i="36"/>
  <c r="M286" i="36"/>
  <c r="L286" i="36"/>
  <c r="M285" i="36"/>
  <c r="L285" i="36"/>
  <c r="M284" i="36"/>
  <c r="L284" i="36"/>
  <c r="M283" i="36"/>
  <c r="L283" i="36"/>
  <c r="M282" i="36"/>
  <c r="L282" i="36"/>
  <c r="M281" i="36"/>
  <c r="L281" i="36"/>
  <c r="M280" i="36"/>
  <c r="L280" i="36"/>
  <c r="M279" i="36"/>
  <c r="L279" i="36"/>
  <c r="M278" i="36"/>
  <c r="L278" i="36"/>
  <c r="M277" i="36"/>
  <c r="L277" i="36"/>
  <c r="M276" i="36"/>
  <c r="L276" i="36"/>
  <c r="M275" i="36"/>
  <c r="L275" i="36"/>
  <c r="M274" i="36"/>
  <c r="L274" i="36"/>
  <c r="M273" i="36"/>
  <c r="L273" i="36"/>
  <c r="M272" i="36"/>
  <c r="L272" i="36"/>
  <c r="M271" i="36"/>
  <c r="L271" i="36"/>
  <c r="M270" i="36"/>
  <c r="L270" i="36"/>
  <c r="M269" i="36"/>
  <c r="L269" i="36"/>
  <c r="M268" i="36"/>
  <c r="L268" i="36"/>
  <c r="M267" i="36"/>
  <c r="L267" i="36"/>
  <c r="M266" i="36"/>
  <c r="L266" i="36"/>
  <c r="M265" i="36"/>
  <c r="L265" i="36"/>
  <c r="M264" i="36"/>
  <c r="L264" i="36"/>
  <c r="M263" i="36"/>
  <c r="L263" i="36"/>
  <c r="M262" i="36"/>
  <c r="L262" i="36"/>
  <c r="M261" i="36"/>
  <c r="L261" i="36"/>
  <c r="M260" i="36"/>
  <c r="L260" i="36"/>
  <c r="M259" i="36"/>
  <c r="L259" i="36"/>
  <c r="M258" i="36"/>
  <c r="L258" i="36"/>
  <c r="M257" i="36"/>
  <c r="L257" i="36"/>
  <c r="M256" i="36"/>
  <c r="L256" i="36"/>
  <c r="M255" i="36"/>
  <c r="L255" i="36"/>
  <c r="M254" i="36"/>
  <c r="L254" i="36"/>
  <c r="M253" i="36"/>
  <c r="L253" i="36"/>
  <c r="M252" i="36"/>
  <c r="L252" i="36"/>
  <c r="M251" i="36"/>
  <c r="L251" i="36"/>
  <c r="M250" i="36"/>
  <c r="L250" i="36"/>
  <c r="M249" i="36"/>
  <c r="L249" i="36"/>
  <c r="M248" i="36"/>
  <c r="L248" i="36"/>
  <c r="M247" i="36"/>
  <c r="L247" i="36"/>
  <c r="M246" i="36"/>
  <c r="L246" i="36"/>
  <c r="M245" i="36"/>
  <c r="L245" i="36"/>
  <c r="M244" i="36"/>
  <c r="L244" i="36"/>
  <c r="M243" i="36"/>
  <c r="L243" i="36"/>
  <c r="M242" i="36"/>
  <c r="L242" i="36"/>
  <c r="M241" i="36"/>
  <c r="L241" i="36"/>
  <c r="M240" i="36"/>
  <c r="L240" i="36"/>
  <c r="M239" i="36"/>
  <c r="L239" i="36"/>
  <c r="M238" i="36"/>
  <c r="L238" i="36"/>
  <c r="M237" i="36"/>
  <c r="L237" i="36"/>
  <c r="M236" i="36"/>
  <c r="L236" i="36"/>
  <c r="M235" i="36"/>
  <c r="L235" i="36"/>
  <c r="M234" i="36"/>
  <c r="L234" i="36"/>
  <c r="M233" i="36"/>
  <c r="L233" i="36"/>
  <c r="M232" i="36"/>
  <c r="L232" i="36"/>
  <c r="M231" i="36"/>
  <c r="L231" i="36"/>
  <c r="M230" i="36"/>
  <c r="L230" i="36"/>
  <c r="M229" i="36"/>
  <c r="L229" i="36"/>
  <c r="M228" i="36"/>
  <c r="L228" i="36"/>
  <c r="M227" i="36"/>
  <c r="L227" i="36"/>
  <c r="M226" i="36"/>
  <c r="L226" i="36"/>
  <c r="M225" i="36"/>
  <c r="L225" i="36"/>
  <c r="M224" i="36"/>
  <c r="L224" i="36"/>
  <c r="M223" i="36"/>
  <c r="L223" i="36"/>
  <c r="M222" i="36"/>
  <c r="L222" i="36"/>
  <c r="M221" i="36"/>
  <c r="L221" i="36"/>
  <c r="M220" i="36"/>
  <c r="L220" i="36"/>
  <c r="M219" i="36"/>
  <c r="L219" i="36"/>
  <c r="M218" i="36"/>
  <c r="L218" i="36"/>
  <c r="M217" i="36"/>
  <c r="L217" i="36"/>
  <c r="M216" i="36"/>
  <c r="L216" i="36"/>
  <c r="M215" i="36"/>
  <c r="L215" i="36"/>
  <c r="M214" i="36"/>
  <c r="L214" i="36"/>
  <c r="M213" i="36"/>
  <c r="L213" i="36"/>
  <c r="M212" i="36"/>
  <c r="L212" i="36"/>
  <c r="M211" i="36"/>
  <c r="L211" i="36"/>
  <c r="M210" i="36"/>
  <c r="L210" i="36"/>
  <c r="M209" i="36"/>
  <c r="L209" i="36"/>
  <c r="M208" i="36"/>
  <c r="L208" i="36"/>
  <c r="M207" i="36"/>
  <c r="L207" i="36"/>
  <c r="M206" i="36"/>
  <c r="L206" i="36"/>
  <c r="M205" i="36"/>
  <c r="L205" i="36"/>
  <c r="M204" i="36"/>
  <c r="L204" i="36"/>
  <c r="M203" i="36"/>
  <c r="L203" i="36"/>
  <c r="M202" i="36"/>
  <c r="L202" i="36"/>
  <c r="M201" i="36"/>
  <c r="L201" i="36"/>
  <c r="M200" i="36"/>
  <c r="L200" i="36"/>
  <c r="M199" i="36"/>
  <c r="L199" i="36"/>
  <c r="M198" i="36"/>
  <c r="L198" i="36"/>
  <c r="M197" i="36"/>
  <c r="L197" i="36"/>
  <c r="M196" i="36"/>
  <c r="L196" i="36"/>
  <c r="M195" i="36"/>
  <c r="L195" i="36"/>
  <c r="M194" i="36"/>
  <c r="L194" i="36"/>
  <c r="M193" i="36"/>
  <c r="L193" i="36"/>
  <c r="M192" i="36"/>
  <c r="L192" i="36"/>
  <c r="M191" i="36"/>
  <c r="L191" i="36"/>
  <c r="M190" i="36"/>
  <c r="L190" i="36"/>
  <c r="M189" i="36"/>
  <c r="L189" i="36"/>
  <c r="M188" i="36"/>
  <c r="L188" i="36"/>
  <c r="M187" i="36"/>
  <c r="L187" i="36"/>
  <c r="M186" i="36"/>
  <c r="L186" i="36"/>
  <c r="M185" i="36"/>
  <c r="L185" i="36"/>
  <c r="M184" i="36"/>
  <c r="L184" i="36"/>
  <c r="M183" i="36"/>
  <c r="L183" i="36"/>
  <c r="M182" i="36"/>
  <c r="L182" i="36"/>
  <c r="M181" i="36"/>
  <c r="L181" i="36"/>
  <c r="M180" i="36"/>
  <c r="L180" i="36"/>
  <c r="M179" i="36"/>
  <c r="L179" i="36"/>
  <c r="M178" i="36"/>
  <c r="L178" i="36"/>
  <c r="M177" i="36"/>
  <c r="L177" i="36"/>
  <c r="M176" i="36"/>
  <c r="L176" i="36"/>
  <c r="M175" i="36"/>
  <c r="L175" i="36"/>
  <c r="M174" i="36"/>
  <c r="L174" i="36"/>
  <c r="M173" i="36"/>
  <c r="L173" i="36"/>
  <c r="M172" i="36"/>
  <c r="L172" i="36"/>
  <c r="M171" i="36"/>
  <c r="L171" i="36"/>
  <c r="M170" i="36"/>
  <c r="L170" i="36"/>
  <c r="M169" i="36"/>
  <c r="L169" i="36"/>
  <c r="M168" i="36"/>
  <c r="L168" i="36"/>
  <c r="M167" i="36"/>
  <c r="L167" i="36"/>
  <c r="M166" i="36"/>
  <c r="L166" i="36"/>
  <c r="M165" i="36"/>
  <c r="L165" i="36"/>
  <c r="M164" i="36"/>
  <c r="L164" i="36"/>
  <c r="M163" i="36"/>
  <c r="L163" i="36"/>
  <c r="M162" i="36"/>
  <c r="L162" i="36"/>
  <c r="M161" i="36"/>
  <c r="L161" i="36"/>
  <c r="M160" i="36"/>
  <c r="L160" i="36"/>
  <c r="M159" i="36"/>
  <c r="L159" i="36"/>
  <c r="M158" i="36"/>
  <c r="L158" i="36"/>
  <c r="M157" i="36"/>
  <c r="L157" i="36"/>
  <c r="M156" i="36"/>
  <c r="L156" i="36"/>
  <c r="M155" i="36"/>
  <c r="L155" i="36"/>
  <c r="M154" i="36"/>
  <c r="L154" i="36"/>
  <c r="M153" i="36"/>
  <c r="L153" i="36"/>
  <c r="M152" i="36"/>
  <c r="L152" i="36"/>
  <c r="M151" i="36"/>
  <c r="L151" i="36"/>
  <c r="M150" i="36"/>
  <c r="L150" i="36"/>
  <c r="M149" i="36"/>
  <c r="L149" i="36"/>
  <c r="M148" i="36"/>
  <c r="L148" i="36"/>
  <c r="M147" i="36"/>
  <c r="L147" i="36"/>
  <c r="M146" i="36"/>
  <c r="L146" i="36"/>
  <c r="M145" i="36"/>
  <c r="L145" i="36"/>
  <c r="M144" i="36"/>
  <c r="L144" i="36"/>
  <c r="M143" i="36"/>
  <c r="L143" i="36"/>
  <c r="M142" i="36"/>
  <c r="L142" i="36"/>
  <c r="M141" i="36"/>
  <c r="L141" i="36"/>
  <c r="M140" i="36"/>
  <c r="L140" i="36"/>
  <c r="M139" i="36"/>
  <c r="L139" i="36"/>
  <c r="M138" i="36"/>
  <c r="L138" i="36"/>
  <c r="M137" i="36"/>
  <c r="L137" i="36"/>
  <c r="M136" i="36"/>
  <c r="L136" i="36"/>
  <c r="M135" i="36"/>
  <c r="L135" i="36"/>
  <c r="M134" i="36"/>
  <c r="L134" i="36"/>
  <c r="M133" i="36"/>
  <c r="L133" i="36"/>
  <c r="M132" i="36"/>
  <c r="L132" i="36"/>
  <c r="M131" i="36"/>
  <c r="L131" i="36"/>
  <c r="M130" i="36"/>
  <c r="L130" i="36"/>
  <c r="M129" i="36"/>
  <c r="L129" i="36"/>
  <c r="M128" i="36"/>
  <c r="L128" i="36"/>
  <c r="M127" i="36"/>
  <c r="L127" i="36"/>
  <c r="M126" i="36"/>
  <c r="L126" i="36"/>
  <c r="M125" i="36"/>
  <c r="L125" i="36"/>
  <c r="M124" i="36"/>
  <c r="L124" i="36"/>
  <c r="M123" i="36"/>
  <c r="L123" i="36"/>
  <c r="M122" i="36"/>
  <c r="L122" i="36"/>
  <c r="M121" i="36"/>
  <c r="L121" i="36"/>
  <c r="M120" i="36"/>
  <c r="L120" i="36"/>
  <c r="M119" i="36"/>
  <c r="L119" i="36"/>
  <c r="M118" i="36"/>
  <c r="L118" i="36"/>
  <c r="M117" i="36"/>
  <c r="L117" i="36"/>
  <c r="M116" i="36"/>
  <c r="L116" i="36"/>
  <c r="M115" i="36"/>
  <c r="L115" i="36"/>
  <c r="M114" i="36"/>
  <c r="L114" i="36"/>
  <c r="M113" i="36"/>
  <c r="L113" i="36"/>
  <c r="M112" i="36"/>
  <c r="L112" i="36"/>
  <c r="M111" i="36"/>
  <c r="L111" i="36"/>
  <c r="M110" i="36"/>
  <c r="L110" i="36"/>
  <c r="M109" i="36"/>
  <c r="L109" i="36"/>
  <c r="M108" i="36"/>
  <c r="L108" i="36"/>
  <c r="M107" i="36"/>
  <c r="L107" i="36"/>
  <c r="M106" i="36"/>
  <c r="L106" i="36"/>
  <c r="M105" i="36"/>
  <c r="L105" i="36"/>
  <c r="M104" i="36"/>
  <c r="L104" i="36"/>
  <c r="M103" i="36"/>
  <c r="L103" i="36"/>
  <c r="M102" i="36"/>
  <c r="L102" i="36"/>
  <c r="M101" i="36"/>
  <c r="L101" i="36"/>
  <c r="M100" i="36"/>
  <c r="L100" i="36"/>
  <c r="M99" i="36"/>
  <c r="L99" i="36"/>
  <c r="M98" i="36"/>
  <c r="L98" i="36"/>
  <c r="M97" i="36"/>
  <c r="L97" i="36"/>
  <c r="M96" i="36"/>
  <c r="L96" i="36"/>
  <c r="M95" i="36"/>
  <c r="L95" i="36"/>
  <c r="M94" i="36"/>
  <c r="L94" i="36"/>
  <c r="M93" i="36"/>
  <c r="L93" i="36"/>
  <c r="M92" i="36"/>
  <c r="L92" i="36"/>
  <c r="M91" i="36"/>
  <c r="L91" i="36"/>
  <c r="M90" i="36"/>
  <c r="L90" i="36"/>
  <c r="M89" i="36"/>
  <c r="L89" i="36"/>
  <c r="M88" i="36"/>
  <c r="L88" i="36"/>
  <c r="M87" i="36"/>
  <c r="L87" i="36"/>
  <c r="M86" i="36"/>
  <c r="L86" i="36"/>
  <c r="M85" i="36"/>
  <c r="L85" i="36"/>
  <c r="M84" i="36"/>
  <c r="L84" i="36"/>
  <c r="M83" i="36"/>
  <c r="L83" i="36"/>
  <c r="M82" i="36"/>
  <c r="L82" i="36"/>
  <c r="M81" i="36"/>
  <c r="L81" i="36"/>
  <c r="M80" i="36"/>
  <c r="L80" i="36"/>
  <c r="M79" i="36"/>
  <c r="L79" i="36"/>
  <c r="M78" i="36"/>
  <c r="L78" i="36"/>
  <c r="M77" i="36"/>
  <c r="L77" i="36"/>
  <c r="M76" i="36"/>
  <c r="L76" i="36"/>
  <c r="M75" i="36"/>
  <c r="L75" i="36"/>
  <c r="M74" i="36"/>
  <c r="L74" i="36"/>
  <c r="M73" i="36"/>
  <c r="L73" i="36"/>
  <c r="M72" i="36"/>
  <c r="L72" i="36"/>
  <c r="M71" i="36"/>
  <c r="L71" i="36"/>
  <c r="M70" i="36"/>
  <c r="L70" i="36"/>
  <c r="M69" i="36"/>
  <c r="L69" i="36"/>
  <c r="M68" i="36"/>
  <c r="L68" i="36"/>
  <c r="M67" i="36"/>
  <c r="L67" i="36"/>
  <c r="M66" i="36"/>
  <c r="L66" i="36"/>
  <c r="M65" i="36"/>
  <c r="L65" i="36"/>
  <c r="M64" i="36"/>
  <c r="L64" i="36"/>
  <c r="M63" i="36"/>
  <c r="L63" i="36"/>
  <c r="M62" i="36"/>
  <c r="L62" i="36"/>
  <c r="M61" i="36"/>
  <c r="L61" i="36"/>
  <c r="M60" i="36"/>
  <c r="L60" i="36"/>
  <c r="M59" i="36"/>
  <c r="L59" i="36"/>
  <c r="M58" i="36"/>
  <c r="L58" i="36"/>
  <c r="M57" i="36"/>
  <c r="L57" i="36"/>
  <c r="M56" i="36"/>
  <c r="L56" i="36"/>
  <c r="M55" i="36"/>
  <c r="L55" i="36"/>
  <c r="M54" i="36"/>
  <c r="L54" i="36"/>
  <c r="M53" i="36"/>
  <c r="L53" i="36"/>
  <c r="M52" i="36"/>
  <c r="L52" i="36"/>
  <c r="M51" i="36"/>
  <c r="L51" i="36"/>
  <c r="M50" i="36"/>
  <c r="L50" i="36"/>
  <c r="M49" i="36"/>
  <c r="L49" i="36"/>
  <c r="M48" i="36"/>
  <c r="L48" i="36"/>
  <c r="M47" i="36"/>
  <c r="L47" i="36"/>
  <c r="M46" i="36"/>
  <c r="L46" i="36"/>
  <c r="M45" i="36"/>
  <c r="L45" i="36"/>
  <c r="M44" i="36"/>
  <c r="L44" i="36"/>
  <c r="M43" i="36"/>
  <c r="L43" i="36"/>
  <c r="M42" i="36"/>
  <c r="L42" i="36"/>
  <c r="M41" i="36"/>
  <c r="L41" i="36"/>
  <c r="M40" i="36"/>
  <c r="L40" i="36"/>
  <c r="M39" i="36"/>
  <c r="L39" i="36"/>
  <c r="M38" i="36"/>
  <c r="L38" i="36"/>
  <c r="M37" i="36"/>
  <c r="L37" i="36"/>
  <c r="M36" i="36"/>
  <c r="L36" i="36"/>
  <c r="M35" i="36"/>
  <c r="L35" i="36"/>
  <c r="M34" i="36"/>
  <c r="L34" i="36"/>
  <c r="M33" i="36"/>
  <c r="L33" i="36"/>
  <c r="M32" i="36"/>
  <c r="L32" i="36"/>
  <c r="M31" i="36"/>
  <c r="L31" i="36"/>
  <c r="M30" i="36"/>
  <c r="L30" i="36"/>
  <c r="M29" i="36"/>
  <c r="L29" i="36"/>
  <c r="M28" i="36"/>
  <c r="L28" i="36"/>
  <c r="M27" i="36"/>
  <c r="L27" i="36"/>
  <c r="M26" i="36"/>
  <c r="L26" i="36"/>
  <c r="M25" i="36"/>
  <c r="L25" i="36"/>
  <c r="M24" i="36"/>
  <c r="L24" i="36"/>
  <c r="M23" i="36"/>
  <c r="L23" i="36"/>
  <c r="M22" i="36"/>
  <c r="L22" i="36"/>
  <c r="M21" i="36"/>
  <c r="L21" i="36"/>
  <c r="M20" i="36"/>
  <c r="L20" i="36"/>
  <c r="M19" i="36"/>
  <c r="L19" i="36"/>
  <c r="M18" i="36"/>
  <c r="L18" i="36"/>
  <c r="M17" i="36"/>
  <c r="L17" i="36"/>
  <c r="M16" i="36"/>
  <c r="L16" i="36"/>
  <c r="M15" i="36"/>
  <c r="L15" i="36"/>
  <c r="M14" i="36"/>
  <c r="L14" i="36"/>
  <c r="M13" i="36"/>
  <c r="L13" i="36"/>
  <c r="M12" i="36"/>
  <c r="L12" i="36"/>
  <c r="M11" i="36"/>
  <c r="L11" i="36"/>
  <c r="M10" i="36"/>
  <c r="L10" i="36"/>
  <c r="M9" i="36"/>
  <c r="L9" i="36"/>
  <c r="M8" i="36"/>
  <c r="L8" i="36"/>
  <c r="M7" i="36"/>
  <c r="L7" i="36"/>
  <c r="M6" i="36"/>
  <c r="L6" i="36"/>
  <c r="M5" i="36"/>
  <c r="L5" i="36"/>
  <c r="I186" i="34"/>
  <c r="M184" i="34"/>
  <c r="L184" i="34"/>
  <c r="F184" i="34"/>
  <c r="E184" i="34"/>
  <c r="M183" i="34"/>
  <c r="L183" i="34"/>
  <c r="F183" i="34"/>
  <c r="E183" i="34"/>
  <c r="M182" i="34"/>
  <c r="L182" i="34"/>
  <c r="F182" i="34"/>
  <c r="E182" i="34"/>
  <c r="M181" i="34"/>
  <c r="L181" i="34"/>
  <c r="F181" i="34"/>
  <c r="E181" i="34"/>
  <c r="M180" i="34"/>
  <c r="L180" i="34"/>
  <c r="F180" i="34"/>
  <c r="E180" i="34"/>
  <c r="M179" i="34"/>
  <c r="L179" i="34"/>
  <c r="F179" i="34"/>
  <c r="E179" i="34"/>
  <c r="M178" i="34"/>
  <c r="L178" i="34"/>
  <c r="F178" i="34"/>
  <c r="E178" i="34"/>
  <c r="M177" i="34"/>
  <c r="L177" i="34"/>
  <c r="F177" i="34"/>
  <c r="E177" i="34"/>
  <c r="M176" i="34"/>
  <c r="L176" i="34"/>
  <c r="F176" i="34"/>
  <c r="E176" i="34"/>
  <c r="M175" i="34"/>
  <c r="L175" i="34"/>
  <c r="F175" i="34"/>
  <c r="E175" i="34"/>
  <c r="M174" i="34"/>
  <c r="L174" i="34"/>
  <c r="F174" i="34"/>
  <c r="E174" i="34"/>
  <c r="M173" i="34"/>
  <c r="L173" i="34"/>
  <c r="F173" i="34"/>
  <c r="E173" i="34"/>
  <c r="M172" i="34"/>
  <c r="L172" i="34"/>
  <c r="F172" i="34"/>
  <c r="E172" i="34"/>
  <c r="M171" i="34"/>
  <c r="L171" i="34"/>
  <c r="F171" i="34"/>
  <c r="E171" i="34"/>
  <c r="M170" i="34"/>
  <c r="L170" i="34"/>
  <c r="F170" i="34"/>
  <c r="E170" i="34"/>
  <c r="M169" i="34"/>
  <c r="L169" i="34"/>
  <c r="F169" i="34"/>
  <c r="E169" i="34"/>
  <c r="M168" i="34"/>
  <c r="L168" i="34"/>
  <c r="F168" i="34"/>
  <c r="E168" i="34"/>
  <c r="M167" i="34"/>
  <c r="L167" i="34"/>
  <c r="F167" i="34"/>
  <c r="E167" i="34"/>
  <c r="M166" i="34"/>
  <c r="L166" i="34"/>
  <c r="F166" i="34"/>
  <c r="E166" i="34"/>
  <c r="M165" i="34"/>
  <c r="L165" i="34"/>
  <c r="F165" i="34"/>
  <c r="E165" i="34"/>
  <c r="M164" i="34"/>
  <c r="L164" i="34"/>
  <c r="F164" i="34"/>
  <c r="E164" i="34"/>
  <c r="M163" i="34"/>
  <c r="L163" i="34"/>
  <c r="F163" i="34"/>
  <c r="E163" i="34"/>
  <c r="M162" i="34"/>
  <c r="L162" i="34"/>
  <c r="F162" i="34"/>
  <c r="E162" i="34"/>
  <c r="M161" i="34"/>
  <c r="L161" i="34"/>
  <c r="F161" i="34"/>
  <c r="E161" i="34"/>
  <c r="M160" i="34"/>
  <c r="L160" i="34"/>
  <c r="F160" i="34"/>
  <c r="E160" i="34"/>
  <c r="M159" i="34"/>
  <c r="L159" i="34"/>
  <c r="F159" i="34"/>
  <c r="E159" i="34"/>
  <c r="M158" i="34"/>
  <c r="L158" i="34"/>
  <c r="F158" i="34"/>
  <c r="E158" i="34"/>
  <c r="M157" i="34"/>
  <c r="L157" i="34"/>
  <c r="F157" i="34"/>
  <c r="E157" i="34"/>
  <c r="M156" i="34"/>
  <c r="L156" i="34"/>
  <c r="F156" i="34"/>
  <c r="E156" i="34"/>
  <c r="M155" i="34"/>
  <c r="L155" i="34"/>
  <c r="F155" i="34"/>
  <c r="E155" i="34"/>
  <c r="M154" i="34"/>
  <c r="L154" i="34"/>
  <c r="F154" i="34"/>
  <c r="E154" i="34"/>
  <c r="M153" i="34"/>
  <c r="L153" i="34"/>
  <c r="F153" i="34"/>
  <c r="E153" i="34"/>
  <c r="M152" i="34"/>
  <c r="L152" i="34"/>
  <c r="F152" i="34"/>
  <c r="E152" i="34"/>
  <c r="M151" i="34"/>
  <c r="L151" i="34"/>
  <c r="F151" i="34"/>
  <c r="E151" i="34"/>
  <c r="M150" i="34"/>
  <c r="L150" i="34"/>
  <c r="F150" i="34"/>
  <c r="E150" i="34"/>
  <c r="M149" i="34"/>
  <c r="L149" i="34"/>
  <c r="F149" i="34"/>
  <c r="E149" i="34"/>
  <c r="M148" i="34"/>
  <c r="L148" i="34"/>
  <c r="F148" i="34"/>
  <c r="E148" i="34"/>
  <c r="M147" i="34"/>
  <c r="L147" i="34"/>
  <c r="F147" i="34"/>
  <c r="E147" i="34"/>
  <c r="M146" i="34"/>
  <c r="L146" i="34"/>
  <c r="F146" i="34"/>
  <c r="E146" i="34"/>
  <c r="M145" i="34"/>
  <c r="L145" i="34"/>
  <c r="F145" i="34"/>
  <c r="E145" i="34"/>
  <c r="M144" i="34"/>
  <c r="L144" i="34"/>
  <c r="F144" i="34"/>
  <c r="E144" i="34"/>
  <c r="M143" i="34"/>
  <c r="L143" i="34"/>
  <c r="F143" i="34"/>
  <c r="E143" i="34"/>
  <c r="M142" i="34"/>
  <c r="L142" i="34"/>
  <c r="F142" i="34"/>
  <c r="E142" i="34"/>
  <c r="M141" i="34"/>
  <c r="L141" i="34"/>
  <c r="F141" i="34"/>
  <c r="E141" i="34"/>
  <c r="M140" i="34"/>
  <c r="L140" i="34"/>
  <c r="F140" i="34"/>
  <c r="E140" i="34"/>
  <c r="M139" i="34"/>
  <c r="L139" i="34"/>
  <c r="F139" i="34"/>
  <c r="E139" i="34"/>
  <c r="M138" i="34"/>
  <c r="L138" i="34"/>
  <c r="F138" i="34"/>
  <c r="E138" i="34"/>
  <c r="M137" i="34"/>
  <c r="L137" i="34"/>
  <c r="F137" i="34"/>
  <c r="E137" i="34"/>
  <c r="M136" i="34"/>
  <c r="L136" i="34"/>
  <c r="F136" i="34"/>
  <c r="E136" i="34"/>
  <c r="M135" i="34"/>
  <c r="L135" i="34"/>
  <c r="F135" i="34"/>
  <c r="E135" i="34"/>
  <c r="M134" i="34"/>
  <c r="L134" i="34"/>
  <c r="F134" i="34"/>
  <c r="E134" i="34"/>
  <c r="M133" i="34"/>
  <c r="L133" i="34"/>
  <c r="F133" i="34"/>
  <c r="E133" i="34"/>
  <c r="M132" i="34"/>
  <c r="L132" i="34"/>
  <c r="F132" i="34"/>
  <c r="E132" i="34"/>
  <c r="M131" i="34"/>
  <c r="L131" i="34"/>
  <c r="F131" i="34"/>
  <c r="E131" i="34"/>
  <c r="M130" i="34"/>
  <c r="L130" i="34"/>
  <c r="F130" i="34"/>
  <c r="E130" i="34"/>
  <c r="M129" i="34"/>
  <c r="L129" i="34"/>
  <c r="F129" i="34"/>
  <c r="E129" i="34"/>
  <c r="M128" i="34"/>
  <c r="L128" i="34"/>
  <c r="F128" i="34"/>
  <c r="E128" i="34"/>
  <c r="M127" i="34"/>
  <c r="L127" i="34"/>
  <c r="F127" i="34"/>
  <c r="E127" i="34"/>
  <c r="M126" i="34"/>
  <c r="L126" i="34"/>
  <c r="F126" i="34"/>
  <c r="E126" i="34"/>
  <c r="M125" i="34"/>
  <c r="L125" i="34"/>
  <c r="F125" i="34"/>
  <c r="E125" i="34"/>
  <c r="M124" i="34"/>
  <c r="L124" i="34"/>
  <c r="F124" i="34"/>
  <c r="E124" i="34"/>
  <c r="M123" i="34"/>
  <c r="L123" i="34"/>
  <c r="F123" i="34"/>
  <c r="E123" i="34"/>
  <c r="M122" i="34"/>
  <c r="L122" i="34"/>
  <c r="F122" i="34"/>
  <c r="E122" i="34"/>
  <c r="M121" i="34"/>
  <c r="L121" i="34"/>
  <c r="F121" i="34"/>
  <c r="E121" i="34"/>
  <c r="M120" i="34"/>
  <c r="L120" i="34"/>
  <c r="F120" i="34"/>
  <c r="E120" i="34"/>
  <c r="M119" i="34"/>
  <c r="L119" i="34"/>
  <c r="F119" i="34"/>
  <c r="E119" i="34"/>
  <c r="M118" i="34"/>
  <c r="L118" i="34"/>
  <c r="F118" i="34"/>
  <c r="E118" i="34"/>
  <c r="M117" i="34"/>
  <c r="L117" i="34"/>
  <c r="F117" i="34"/>
  <c r="E117" i="34"/>
  <c r="M116" i="34"/>
  <c r="L116" i="34"/>
  <c r="F116" i="34"/>
  <c r="E116" i="34"/>
  <c r="M115" i="34"/>
  <c r="L115" i="34"/>
  <c r="F115" i="34"/>
  <c r="E115" i="34"/>
  <c r="M114" i="34"/>
  <c r="L114" i="34"/>
  <c r="F114" i="34"/>
  <c r="E114" i="34"/>
  <c r="M113" i="34"/>
  <c r="L113" i="34"/>
  <c r="F113" i="34"/>
  <c r="E113" i="34"/>
  <c r="M112" i="34"/>
  <c r="L112" i="34"/>
  <c r="F112" i="34"/>
  <c r="E112" i="34"/>
  <c r="M111" i="34"/>
  <c r="L111" i="34"/>
  <c r="F111" i="34"/>
  <c r="E111" i="34"/>
  <c r="M110" i="34"/>
  <c r="L110" i="34"/>
  <c r="F110" i="34"/>
  <c r="E110" i="34"/>
  <c r="M109" i="34"/>
  <c r="L109" i="34"/>
  <c r="F109" i="34"/>
  <c r="E109" i="34"/>
  <c r="M108" i="34"/>
  <c r="L108" i="34"/>
  <c r="F108" i="34"/>
  <c r="E108" i="34"/>
  <c r="M107" i="34"/>
  <c r="L107" i="34"/>
  <c r="F107" i="34"/>
  <c r="E107" i="34"/>
  <c r="M106" i="34"/>
  <c r="L106" i="34"/>
  <c r="F106" i="34"/>
  <c r="E106" i="34"/>
  <c r="M105" i="34"/>
  <c r="L105" i="34"/>
  <c r="F105" i="34"/>
  <c r="E105" i="34"/>
  <c r="M104" i="34"/>
  <c r="L104" i="34"/>
  <c r="F104" i="34"/>
  <c r="E104" i="34"/>
  <c r="M103" i="34"/>
  <c r="L103" i="34"/>
  <c r="F103" i="34"/>
  <c r="E103" i="34"/>
  <c r="M102" i="34"/>
  <c r="L102" i="34"/>
  <c r="F102" i="34"/>
  <c r="E102" i="34"/>
  <c r="M101" i="34"/>
  <c r="L101" i="34"/>
  <c r="F101" i="34"/>
  <c r="E101" i="34"/>
  <c r="M100" i="34"/>
  <c r="L100" i="34"/>
  <c r="F100" i="34"/>
  <c r="E100" i="34"/>
  <c r="M99" i="34"/>
  <c r="L99" i="34"/>
  <c r="F99" i="34"/>
  <c r="E99" i="34"/>
  <c r="M98" i="34"/>
  <c r="L98" i="34"/>
  <c r="F98" i="34"/>
  <c r="E98" i="34"/>
  <c r="M97" i="34"/>
  <c r="L97" i="34"/>
  <c r="F97" i="34"/>
  <c r="E97" i="34"/>
  <c r="M96" i="34"/>
  <c r="L96" i="34"/>
  <c r="F96" i="34"/>
  <c r="E96" i="34"/>
  <c r="M95" i="34"/>
  <c r="L95" i="34"/>
  <c r="F95" i="34"/>
  <c r="E95" i="34"/>
  <c r="M94" i="34"/>
  <c r="L94" i="34"/>
  <c r="F94" i="34"/>
  <c r="E94" i="34"/>
  <c r="M93" i="34"/>
  <c r="L93" i="34"/>
  <c r="F93" i="34"/>
  <c r="E93" i="34"/>
  <c r="M92" i="34"/>
  <c r="L92" i="34"/>
  <c r="F92" i="34"/>
  <c r="E92" i="34"/>
  <c r="M91" i="34"/>
  <c r="L91" i="34"/>
  <c r="F91" i="34"/>
  <c r="E91" i="34"/>
  <c r="M90" i="34"/>
  <c r="L90" i="34"/>
  <c r="F90" i="34"/>
  <c r="E90" i="34"/>
  <c r="M89" i="34"/>
  <c r="L89" i="34"/>
  <c r="F89" i="34"/>
  <c r="E89" i="34"/>
  <c r="M88" i="34"/>
  <c r="L88" i="34"/>
  <c r="F88" i="34"/>
  <c r="E88" i="34"/>
  <c r="M87" i="34"/>
  <c r="L87" i="34"/>
  <c r="F87" i="34"/>
  <c r="E87" i="34"/>
  <c r="M86" i="34"/>
  <c r="L86" i="34"/>
  <c r="F86" i="34"/>
  <c r="E86" i="34"/>
  <c r="M85" i="34"/>
  <c r="L85" i="34"/>
  <c r="F85" i="34"/>
  <c r="E85" i="34"/>
  <c r="M84" i="34"/>
  <c r="L84" i="34"/>
  <c r="F84" i="34"/>
  <c r="E84" i="34"/>
  <c r="M83" i="34"/>
  <c r="L83" i="34"/>
  <c r="F83" i="34"/>
  <c r="E83" i="34"/>
  <c r="M82" i="34"/>
  <c r="L82" i="34"/>
  <c r="F82" i="34"/>
  <c r="E82" i="34"/>
  <c r="M81" i="34"/>
  <c r="L81" i="34"/>
  <c r="F81" i="34"/>
  <c r="E81" i="34"/>
  <c r="M80" i="34"/>
  <c r="L80" i="34"/>
  <c r="F80" i="34"/>
  <c r="E80" i="34"/>
  <c r="M79" i="34"/>
  <c r="L79" i="34"/>
  <c r="F79" i="34"/>
  <c r="E79" i="34"/>
  <c r="M78" i="34"/>
  <c r="L78" i="34"/>
  <c r="F78" i="34"/>
  <c r="E78" i="34"/>
  <c r="M77" i="34"/>
  <c r="L77" i="34"/>
  <c r="F77" i="34"/>
  <c r="E77" i="34"/>
  <c r="M76" i="34"/>
  <c r="L76" i="34"/>
  <c r="F76" i="34"/>
  <c r="E76" i="34"/>
  <c r="M75" i="34"/>
  <c r="L75" i="34"/>
  <c r="F75" i="34"/>
  <c r="E75" i="34"/>
  <c r="M74" i="34"/>
  <c r="L74" i="34"/>
  <c r="F74" i="34"/>
  <c r="E74" i="34"/>
  <c r="M73" i="34"/>
  <c r="L73" i="34"/>
  <c r="F73" i="34"/>
  <c r="E73" i="34"/>
  <c r="M72" i="34"/>
  <c r="L72" i="34"/>
  <c r="F72" i="34"/>
  <c r="E72" i="34"/>
  <c r="M71" i="34"/>
  <c r="L71" i="34"/>
  <c r="F71" i="34"/>
  <c r="E71" i="34"/>
  <c r="M70" i="34"/>
  <c r="L70" i="34"/>
  <c r="F70" i="34"/>
  <c r="E70" i="34"/>
  <c r="M69" i="34"/>
  <c r="L69" i="34"/>
  <c r="F69" i="34"/>
  <c r="E69" i="34"/>
  <c r="M68" i="34"/>
  <c r="L68" i="34"/>
  <c r="F68" i="34"/>
  <c r="E68" i="34"/>
  <c r="M67" i="34"/>
  <c r="L67" i="34"/>
  <c r="F67" i="34"/>
  <c r="E67" i="34"/>
  <c r="M66" i="34"/>
  <c r="L66" i="34"/>
  <c r="F66" i="34"/>
  <c r="E66" i="34"/>
  <c r="M65" i="34"/>
  <c r="L65" i="34"/>
  <c r="F65" i="34"/>
  <c r="E65" i="34"/>
  <c r="M64" i="34"/>
  <c r="L64" i="34"/>
  <c r="F64" i="34"/>
  <c r="E64" i="34"/>
  <c r="M63" i="34"/>
  <c r="L63" i="34"/>
  <c r="F63" i="34"/>
  <c r="E63" i="34"/>
  <c r="M62" i="34"/>
  <c r="L62" i="34"/>
  <c r="F62" i="34"/>
  <c r="E62" i="34"/>
  <c r="M61" i="34"/>
  <c r="L61" i="34"/>
  <c r="F61" i="34"/>
  <c r="E61" i="34"/>
  <c r="M60" i="34"/>
  <c r="L60" i="34"/>
  <c r="F60" i="34"/>
  <c r="E60" i="34"/>
  <c r="M59" i="34"/>
  <c r="L59" i="34"/>
  <c r="F59" i="34"/>
  <c r="E59" i="34"/>
  <c r="M58" i="34"/>
  <c r="L58" i="34"/>
  <c r="F58" i="34"/>
  <c r="E58" i="34"/>
  <c r="M57" i="34"/>
  <c r="L57" i="34"/>
  <c r="F57" i="34"/>
  <c r="E57" i="34"/>
  <c r="M56" i="34"/>
  <c r="L56" i="34"/>
  <c r="F56" i="34"/>
  <c r="E56" i="34"/>
  <c r="M55" i="34"/>
  <c r="L55" i="34"/>
  <c r="F55" i="34"/>
  <c r="E55" i="34"/>
  <c r="M54" i="34"/>
  <c r="L54" i="34"/>
  <c r="F54" i="34"/>
  <c r="E54" i="34"/>
  <c r="M53" i="34"/>
  <c r="L53" i="34"/>
  <c r="F53" i="34"/>
  <c r="E53" i="34"/>
  <c r="M52" i="34"/>
  <c r="L52" i="34"/>
  <c r="F52" i="34"/>
  <c r="E52" i="34"/>
  <c r="M51" i="34"/>
  <c r="L51" i="34"/>
  <c r="F51" i="34"/>
  <c r="E51" i="34"/>
  <c r="M50" i="34"/>
  <c r="L50" i="34"/>
  <c r="F50" i="34"/>
  <c r="E50" i="34"/>
  <c r="M49" i="34"/>
  <c r="L49" i="34"/>
  <c r="F49" i="34"/>
  <c r="E49" i="34"/>
  <c r="M48" i="34"/>
  <c r="L48" i="34"/>
  <c r="F48" i="34"/>
  <c r="E48" i="34"/>
  <c r="M47" i="34"/>
  <c r="L47" i="34"/>
  <c r="F47" i="34"/>
  <c r="E47" i="34"/>
  <c r="M46" i="34"/>
  <c r="L46" i="34"/>
  <c r="F46" i="34"/>
  <c r="E46" i="34"/>
  <c r="M45" i="34"/>
  <c r="L45" i="34"/>
  <c r="F45" i="34"/>
  <c r="E45" i="34"/>
  <c r="M44" i="34"/>
  <c r="L44" i="34"/>
  <c r="F44" i="34"/>
  <c r="E44" i="34"/>
  <c r="M43" i="34"/>
  <c r="L43" i="34"/>
  <c r="F43" i="34"/>
  <c r="E43" i="34"/>
  <c r="M42" i="34"/>
  <c r="L42" i="34"/>
  <c r="F42" i="34"/>
  <c r="E42" i="34"/>
  <c r="M41" i="34"/>
  <c r="L41" i="34"/>
  <c r="F41" i="34"/>
  <c r="E41" i="34"/>
  <c r="M40" i="34"/>
  <c r="L40" i="34"/>
  <c r="F40" i="34"/>
  <c r="E40" i="34"/>
  <c r="M39" i="34"/>
  <c r="L39" i="34"/>
  <c r="F39" i="34"/>
  <c r="E39" i="34"/>
  <c r="M38" i="34"/>
  <c r="L38" i="34"/>
  <c r="F38" i="34"/>
  <c r="E38" i="34"/>
  <c r="M37" i="34"/>
  <c r="L37" i="34"/>
  <c r="F37" i="34"/>
  <c r="E37" i="34"/>
  <c r="M36" i="34"/>
  <c r="L36" i="34"/>
  <c r="F36" i="34"/>
  <c r="E36" i="34"/>
  <c r="M35" i="34"/>
  <c r="L35" i="34"/>
  <c r="F35" i="34"/>
  <c r="E35" i="34"/>
  <c r="M34" i="34"/>
  <c r="L34" i="34"/>
  <c r="F34" i="34"/>
  <c r="E34" i="34"/>
  <c r="M33" i="34"/>
  <c r="L33" i="34"/>
  <c r="F33" i="34"/>
  <c r="E33" i="34"/>
  <c r="M32" i="34"/>
  <c r="L32" i="34"/>
  <c r="F32" i="34"/>
  <c r="E32" i="34"/>
  <c r="B32" i="34"/>
  <c r="M31" i="34"/>
  <c r="L31" i="34"/>
  <c r="F31" i="34"/>
  <c r="E31" i="34"/>
  <c r="B31" i="34"/>
  <c r="M30" i="34"/>
  <c r="L30" i="34"/>
  <c r="F30" i="34"/>
  <c r="E30" i="34"/>
  <c r="M29" i="34"/>
  <c r="L29" i="34"/>
  <c r="F29" i="34"/>
  <c r="E29" i="34"/>
  <c r="M28" i="34"/>
  <c r="L28" i="34"/>
  <c r="F28" i="34"/>
  <c r="E28" i="34"/>
  <c r="M27" i="34"/>
  <c r="L27" i="34"/>
  <c r="F27" i="34"/>
  <c r="E27" i="34"/>
  <c r="B27" i="34"/>
  <c r="M26" i="34"/>
  <c r="L26" i="34"/>
  <c r="F26" i="34"/>
  <c r="E26" i="34"/>
  <c r="B26" i="34"/>
  <c r="M25" i="34"/>
  <c r="L25" i="34"/>
  <c r="F25" i="34"/>
  <c r="E25" i="34"/>
  <c r="B25" i="34"/>
  <c r="M24" i="34"/>
  <c r="L24" i="34"/>
  <c r="F24" i="34"/>
  <c r="E24" i="34"/>
  <c r="B24" i="34"/>
  <c r="M23" i="34"/>
  <c r="L23" i="34"/>
  <c r="F23" i="34"/>
  <c r="E23" i="34"/>
  <c r="B23" i="34"/>
  <c r="M22" i="34"/>
  <c r="L22" i="34"/>
  <c r="F22" i="34"/>
  <c r="E22" i="34"/>
  <c r="B22" i="34"/>
  <c r="M21" i="34"/>
  <c r="L21" i="34"/>
  <c r="F21" i="34"/>
  <c r="E21" i="34"/>
  <c r="B21" i="34"/>
  <c r="M20" i="34"/>
  <c r="L20" i="34"/>
  <c r="F20" i="34"/>
  <c r="E20" i="34"/>
  <c r="B20" i="34"/>
  <c r="M19" i="34"/>
  <c r="L19" i="34"/>
  <c r="F19" i="34"/>
  <c r="E19" i="34"/>
  <c r="B19" i="34"/>
  <c r="M18" i="34"/>
  <c r="L18" i="34"/>
  <c r="F18" i="34"/>
  <c r="E18" i="34"/>
  <c r="B18" i="34"/>
  <c r="M17" i="34"/>
  <c r="L17" i="34"/>
  <c r="F17" i="34"/>
  <c r="E17" i="34"/>
  <c r="M16" i="34"/>
  <c r="L16" i="34"/>
  <c r="F16" i="34"/>
  <c r="E16" i="34"/>
  <c r="M15" i="34"/>
  <c r="L15" i="34"/>
  <c r="F15" i="34"/>
  <c r="E15" i="34"/>
  <c r="M14" i="34"/>
  <c r="L14" i="34"/>
  <c r="F14" i="34"/>
  <c r="E14" i="34"/>
  <c r="B14" i="34"/>
  <c r="M13" i="34"/>
  <c r="L13" i="34"/>
  <c r="F13" i="34"/>
  <c r="E13" i="34"/>
  <c r="B13" i="34"/>
  <c r="M12" i="34"/>
  <c r="L12" i="34"/>
  <c r="F12" i="34"/>
  <c r="E12" i="34"/>
  <c r="B12" i="34"/>
  <c r="M11" i="34"/>
  <c r="L11" i="34"/>
  <c r="F11" i="34"/>
  <c r="E11" i="34"/>
  <c r="B11" i="34"/>
  <c r="M10" i="34"/>
  <c r="L10" i="34"/>
  <c r="F10" i="34"/>
  <c r="E10" i="34"/>
  <c r="B10" i="34"/>
  <c r="M9" i="34"/>
  <c r="L9" i="34"/>
  <c r="F9" i="34"/>
  <c r="E9" i="34"/>
  <c r="B9" i="34"/>
  <c r="M8" i="34"/>
  <c r="L8" i="34"/>
  <c r="F8" i="34"/>
  <c r="E8" i="34"/>
  <c r="B8" i="34"/>
  <c r="M7" i="34"/>
  <c r="L7" i="34"/>
  <c r="F7" i="34"/>
  <c r="E7" i="34"/>
  <c r="B7" i="34"/>
  <c r="M6" i="34"/>
  <c r="L6" i="34"/>
  <c r="F6" i="34"/>
  <c r="E6" i="34"/>
  <c r="B6" i="34"/>
  <c r="M5" i="34"/>
  <c r="L5" i="34"/>
  <c r="F5" i="34"/>
  <c r="E5" i="34"/>
  <c r="B5" i="34"/>
  <c r="G20" i="35" l="1"/>
  <c r="E44" i="11"/>
  <c r="E42" i="11"/>
  <c r="E40" i="11" l="1"/>
  <c r="C40" i="11"/>
  <c r="E37" i="11"/>
  <c r="C37" i="11"/>
  <c r="I293" i="26" l="1"/>
  <c r="J1617" i="5" l="1"/>
  <c r="J1618" i="5"/>
  <c r="J1619" i="5"/>
  <c r="J1620" i="5"/>
  <c r="J1621" i="5" s="1"/>
  <c r="J1622" i="5" s="1"/>
  <c r="J1623" i="5" s="1"/>
  <c r="J1624" i="5" s="1"/>
  <c r="J1625" i="5" s="1"/>
  <c r="J1626" i="5" s="1"/>
  <c r="J1627" i="5" s="1"/>
  <c r="J1628" i="5" s="1"/>
  <c r="J1629" i="5" s="1"/>
  <c r="J1630" i="5" s="1"/>
  <c r="J1631" i="5" s="1"/>
  <c r="J1632" i="5" s="1"/>
  <c r="J1633" i="5" s="1"/>
  <c r="J1634" i="5" s="1"/>
  <c r="J1635" i="5" s="1"/>
  <c r="J1636" i="5" s="1"/>
  <c r="J1637" i="5" s="1"/>
  <c r="J1638" i="5" s="1"/>
  <c r="J1639" i="5" s="1"/>
  <c r="J1640" i="5" s="1"/>
  <c r="J1641" i="5" s="1"/>
  <c r="J1642" i="5" s="1"/>
  <c r="J1643" i="5" s="1"/>
  <c r="J1644" i="5" s="1"/>
  <c r="J1645" i="5" s="1"/>
  <c r="J1646" i="5" s="1"/>
  <c r="J1647" i="5" s="1"/>
  <c r="J1648" i="5" s="1"/>
  <c r="J1649" i="5" s="1"/>
  <c r="J1650" i="5" s="1"/>
  <c r="J1651" i="5" s="1"/>
  <c r="J1652" i="5" s="1"/>
  <c r="J1653" i="5" s="1"/>
  <c r="J1654" i="5" s="1"/>
  <c r="J1655" i="5" s="1"/>
  <c r="J1656" i="5" s="1"/>
  <c r="J1657" i="5" s="1"/>
  <c r="J1658" i="5" s="1"/>
  <c r="J1659" i="5" s="1"/>
  <c r="J1660" i="5" s="1"/>
  <c r="J1661" i="5" s="1"/>
  <c r="J1662" i="5" s="1"/>
  <c r="J1663" i="5" s="1"/>
  <c r="J1664" i="5" s="1"/>
  <c r="J1665" i="5" s="1"/>
  <c r="J1666" i="5" s="1"/>
  <c r="J1667" i="5" s="1"/>
  <c r="J1668" i="5" s="1"/>
  <c r="J1669" i="5" s="1"/>
  <c r="J1670" i="5" s="1"/>
  <c r="J1671" i="5" s="1"/>
  <c r="J1672" i="5" s="1"/>
  <c r="J1673" i="5" s="1"/>
  <c r="J1674" i="5" s="1"/>
  <c r="J1675" i="5" s="1"/>
  <c r="J1676" i="5" s="1"/>
  <c r="J1677" i="5" s="1"/>
  <c r="J1678" i="5" s="1"/>
  <c r="J1679" i="5" s="1"/>
  <c r="J1680" i="5" s="1"/>
  <c r="J1681" i="5" s="1"/>
  <c r="J1682" i="5" s="1"/>
  <c r="J1683" i="5" s="1"/>
  <c r="J1684" i="5" s="1"/>
  <c r="J1685" i="5" s="1"/>
  <c r="J1686" i="5" s="1"/>
  <c r="J1687" i="5" s="1"/>
  <c r="J1688" i="5" s="1"/>
  <c r="J1689" i="5" s="1"/>
  <c r="J1690" i="5" s="1"/>
  <c r="J1691" i="5" s="1"/>
  <c r="J1692" i="5" s="1"/>
  <c r="J1693" i="5" s="1"/>
  <c r="J1694" i="5" s="1"/>
  <c r="J1695" i="5" s="1"/>
  <c r="J1696" i="5" s="1"/>
  <c r="J1697" i="5" s="1"/>
  <c r="J1698" i="5" s="1"/>
  <c r="J1699" i="5" s="1"/>
  <c r="J1700" i="5" s="1"/>
  <c r="J1701" i="5" s="1"/>
  <c r="J1702" i="5" s="1"/>
  <c r="J1703" i="5" s="1"/>
  <c r="J1704" i="5" s="1"/>
  <c r="J1705" i="5" s="1"/>
  <c r="J1706" i="5" s="1"/>
  <c r="J1707" i="5" s="1"/>
  <c r="J1708" i="5" s="1"/>
  <c r="J1709" i="5" s="1"/>
  <c r="J1710" i="5" s="1"/>
  <c r="J1711" i="5" s="1"/>
  <c r="J1712" i="5" s="1"/>
  <c r="J1713" i="5" s="1"/>
  <c r="J1714" i="5" s="1"/>
  <c r="J1715" i="5" s="1"/>
  <c r="J1716" i="5" s="1"/>
  <c r="J1717" i="5" s="1"/>
  <c r="J1718" i="5" s="1"/>
  <c r="J1719" i="5" s="1"/>
  <c r="J1720" i="5" s="1"/>
  <c r="J1721" i="5" s="1"/>
  <c r="J1722" i="5" s="1"/>
  <c r="J1723" i="5" s="1"/>
  <c r="J1724" i="5" s="1"/>
  <c r="J1725" i="5" s="1"/>
  <c r="J1726" i="5" s="1"/>
  <c r="J1727" i="5" s="1"/>
  <c r="J1728" i="5" s="1"/>
  <c r="J1729" i="5" s="1"/>
  <c r="J1730" i="5" s="1"/>
  <c r="J1731" i="5" s="1"/>
  <c r="J1732" i="5" s="1"/>
  <c r="J1733" i="5" s="1"/>
  <c r="J1734" i="5" s="1"/>
  <c r="J1735" i="5" s="1"/>
  <c r="J1736" i="5" s="1"/>
  <c r="J1737" i="5" s="1"/>
  <c r="J1738" i="5" s="1"/>
  <c r="J1739" i="5" s="1"/>
  <c r="J1740" i="5" s="1"/>
  <c r="J1741" i="5" s="1"/>
  <c r="J1742" i="5" s="1"/>
  <c r="J1743" i="5" s="1"/>
  <c r="J1744" i="5" s="1"/>
  <c r="J1745" i="5" s="1"/>
  <c r="J1746" i="5" s="1"/>
  <c r="J1747" i="5" s="1"/>
  <c r="J1748" i="5" s="1"/>
  <c r="J181" i="5"/>
  <c r="J182" i="5"/>
  <c r="J183" i="5" s="1"/>
  <c r="J184" i="5" s="1"/>
  <c r="J185" i="5" s="1"/>
  <c r="J186" i="5" s="1"/>
  <c r="J187" i="5" s="1"/>
  <c r="J188" i="5" s="1"/>
  <c r="J189" i="5" s="1"/>
  <c r="J190" i="5" s="1"/>
  <c r="J191" i="5" s="1"/>
  <c r="J192" i="5" s="1"/>
  <c r="J193" i="5" s="1"/>
  <c r="J194" i="5" s="1"/>
  <c r="J195" i="5" s="1"/>
  <c r="J196" i="5" s="1"/>
  <c r="J197" i="5" s="1"/>
  <c r="J198" i="5" s="1"/>
  <c r="J199" i="5" s="1"/>
  <c r="J200" i="5" s="1"/>
  <c r="J201" i="5" s="1"/>
  <c r="J202" i="5" s="1"/>
  <c r="J203" i="5" s="1"/>
  <c r="J204" i="5" s="1"/>
  <c r="J205" i="5" s="1"/>
  <c r="J206" i="5" s="1"/>
  <c r="J207" i="5" s="1"/>
  <c r="J208" i="5" s="1"/>
  <c r="J209" i="5" s="1"/>
  <c r="J210" i="5" s="1"/>
  <c r="J211" i="5" s="1"/>
  <c r="J212" i="5" s="1"/>
  <c r="J213" i="5" s="1"/>
  <c r="J214" i="5" s="1"/>
  <c r="J215" i="5" s="1"/>
  <c r="J216" i="5" s="1"/>
  <c r="J217" i="5" s="1"/>
  <c r="J218" i="5" s="1"/>
  <c r="J219" i="5" s="1"/>
  <c r="J220" i="5" s="1"/>
  <c r="J221" i="5" s="1"/>
  <c r="J222" i="5" s="1"/>
  <c r="J223" i="5" s="1"/>
  <c r="J224" i="5" s="1"/>
  <c r="J225" i="5" s="1"/>
  <c r="J226" i="5" s="1"/>
  <c r="J227" i="5" s="1"/>
  <c r="J228" i="5" s="1"/>
  <c r="J229" i="5" s="1"/>
  <c r="J230" i="5" s="1"/>
  <c r="J231" i="5" s="1"/>
  <c r="J232" i="5" s="1"/>
  <c r="J233" i="5" s="1"/>
  <c r="J234" i="5" s="1"/>
  <c r="J235" i="5" s="1"/>
  <c r="J236" i="5" s="1"/>
  <c r="J237" i="5" s="1"/>
  <c r="J238" i="5" s="1"/>
  <c r="J239" i="5" s="1"/>
  <c r="J240" i="5" s="1"/>
  <c r="J241" i="5" s="1"/>
  <c r="J242" i="5" s="1"/>
  <c r="J243" i="5" s="1"/>
  <c r="J244" i="5" s="1"/>
  <c r="J245" i="5" s="1"/>
  <c r="J246" i="5" s="1"/>
  <c r="J247" i="5" s="1"/>
  <c r="J248" i="5" s="1"/>
  <c r="J249" i="5" s="1"/>
  <c r="J250" i="5" s="1"/>
  <c r="J251" i="5" s="1"/>
  <c r="J252" i="5" s="1"/>
  <c r="J253" i="5" s="1"/>
  <c r="J254" i="5" s="1"/>
  <c r="J255" i="5" s="1"/>
  <c r="J256" i="5" s="1"/>
  <c r="J257" i="5" s="1"/>
  <c r="J258" i="5" s="1"/>
  <c r="J259" i="5" s="1"/>
  <c r="J260" i="5" s="1"/>
  <c r="J261" i="5" s="1"/>
  <c r="J262" i="5" s="1"/>
  <c r="J263" i="5" s="1"/>
  <c r="J264" i="5" s="1"/>
  <c r="J265" i="5" s="1"/>
  <c r="J266" i="5" s="1"/>
  <c r="J267" i="5" s="1"/>
  <c r="J268" i="5" s="1"/>
  <c r="J269" i="5" s="1"/>
  <c r="J270" i="5" s="1"/>
  <c r="J271" i="5" s="1"/>
  <c r="J272" i="5" s="1"/>
  <c r="J273" i="5" s="1"/>
  <c r="J274" i="5" s="1"/>
  <c r="J275" i="5" s="1"/>
  <c r="J276" i="5" s="1"/>
  <c r="J277" i="5" s="1"/>
  <c r="J278" i="5" s="1"/>
  <c r="J279" i="5" s="1"/>
  <c r="J280" i="5" s="1"/>
  <c r="J281" i="5" s="1"/>
  <c r="J282" i="5" s="1"/>
  <c r="J283" i="5" s="1"/>
  <c r="J284" i="5" s="1"/>
  <c r="J285" i="5" s="1"/>
  <c r="J286" i="5" s="1"/>
  <c r="J287" i="5" s="1"/>
  <c r="J288" i="5" s="1"/>
  <c r="J289" i="5" s="1"/>
  <c r="J290" i="5" s="1"/>
  <c r="J291" i="5" s="1"/>
  <c r="J292" i="5" s="1"/>
  <c r="J293" i="5" s="1"/>
  <c r="J294" i="5" s="1"/>
  <c r="J295" i="5" s="1"/>
  <c r="J296" i="5" s="1"/>
  <c r="J297" i="5" s="1"/>
  <c r="J298" i="5" s="1"/>
  <c r="J299" i="5" s="1"/>
  <c r="J300" i="5" s="1"/>
  <c r="J301" i="5" s="1"/>
  <c r="J302" i="5" s="1"/>
  <c r="J303" i="5" s="1"/>
  <c r="J304" i="5" s="1"/>
  <c r="J305" i="5" s="1"/>
  <c r="J306" i="5" s="1"/>
  <c r="J307" i="5" s="1"/>
  <c r="J308" i="5" s="1"/>
  <c r="J309" i="5" s="1"/>
  <c r="J310" i="5" s="1"/>
  <c r="J311" i="5" s="1"/>
  <c r="J312" i="5" s="1"/>
  <c r="J313" i="5" s="1"/>
  <c r="J314" i="5" s="1"/>
  <c r="J315" i="5" s="1"/>
  <c r="J316" i="5" s="1"/>
  <c r="J317" i="5" s="1"/>
  <c r="J318" i="5" s="1"/>
  <c r="J319" i="5" s="1"/>
  <c r="J320" i="5" s="1"/>
  <c r="J321" i="5" s="1"/>
  <c r="J322" i="5" s="1"/>
  <c r="J323" i="5" s="1"/>
  <c r="J324" i="5" s="1"/>
  <c r="J325" i="5" s="1"/>
  <c r="J326" i="5" s="1"/>
  <c r="J327" i="5" s="1"/>
  <c r="J328" i="5" s="1"/>
  <c r="J329" i="5" s="1"/>
  <c r="J330" i="5" s="1"/>
  <c r="J331" i="5" s="1"/>
  <c r="J332" i="5" s="1"/>
  <c r="J333" i="5" s="1"/>
  <c r="J334" i="5" s="1"/>
  <c r="J335" i="5" s="1"/>
  <c r="J336" i="5" s="1"/>
  <c r="J337" i="5" s="1"/>
  <c r="J338" i="5" s="1"/>
  <c r="J339" i="5" s="1"/>
  <c r="J340" i="5" s="1"/>
  <c r="J341" i="5" s="1"/>
  <c r="J342" i="5" s="1"/>
  <c r="J343" i="5" s="1"/>
  <c r="J344" i="5" s="1"/>
  <c r="J345" i="5" s="1"/>
  <c r="J346" i="5" s="1"/>
  <c r="J347" i="5" s="1"/>
  <c r="J348" i="5" s="1"/>
  <c r="J349" i="5" s="1"/>
  <c r="J350" i="5" s="1"/>
  <c r="J351" i="5" s="1"/>
  <c r="J352" i="5" s="1"/>
  <c r="J353" i="5" s="1"/>
  <c r="J354" i="5" s="1"/>
  <c r="J355" i="5" s="1"/>
  <c r="J356" i="5" s="1"/>
  <c r="J357" i="5" s="1"/>
  <c r="J358" i="5" s="1"/>
  <c r="J359" i="5" s="1"/>
  <c r="J360" i="5" s="1"/>
  <c r="J361" i="5" s="1"/>
  <c r="J362" i="5" s="1"/>
  <c r="J363" i="5" s="1"/>
  <c r="J364" i="5" s="1"/>
  <c r="J365" i="5" s="1"/>
  <c r="J366" i="5" s="1"/>
  <c r="J367" i="5" s="1"/>
  <c r="J368" i="5" s="1"/>
  <c r="J369" i="5" s="1"/>
  <c r="J370" i="5" s="1"/>
  <c r="J371" i="5" s="1"/>
  <c r="J372" i="5" s="1"/>
  <c r="J373" i="5" s="1"/>
  <c r="J374" i="5" s="1"/>
  <c r="J375" i="5" s="1"/>
  <c r="J376" i="5" s="1"/>
  <c r="J377" i="5" s="1"/>
  <c r="J378" i="5" s="1"/>
  <c r="J379" i="5" s="1"/>
  <c r="J380" i="5" s="1"/>
  <c r="J381" i="5" s="1"/>
  <c r="J382" i="5" s="1"/>
  <c r="J383" i="5" s="1"/>
  <c r="J384" i="5" s="1"/>
  <c r="J385" i="5" s="1"/>
  <c r="J386" i="5" s="1"/>
  <c r="J387" i="5" s="1"/>
  <c r="J388" i="5" s="1"/>
  <c r="J389" i="5" s="1"/>
  <c r="J390" i="5" s="1"/>
  <c r="J391" i="5" s="1"/>
  <c r="J392" i="5" s="1"/>
  <c r="J393" i="5" s="1"/>
  <c r="J394" i="5" s="1"/>
  <c r="J395" i="5" s="1"/>
  <c r="J396" i="5" s="1"/>
  <c r="J397" i="5" s="1"/>
  <c r="J398" i="5" s="1"/>
  <c r="J399" i="5" s="1"/>
  <c r="J400" i="5" s="1"/>
  <c r="J401" i="5" s="1"/>
  <c r="J402" i="5" s="1"/>
  <c r="J403" i="5" s="1"/>
  <c r="J404" i="5" s="1"/>
  <c r="J405" i="5" s="1"/>
  <c r="J406" i="5" s="1"/>
  <c r="J407" i="5" s="1"/>
  <c r="J408" i="5" s="1"/>
  <c r="J409" i="5" s="1"/>
  <c r="J410" i="5" s="1"/>
  <c r="J411" i="5" s="1"/>
  <c r="J412" i="5" s="1"/>
  <c r="J413" i="5" s="1"/>
  <c r="J414" i="5" s="1"/>
  <c r="J415" i="5" s="1"/>
  <c r="J416" i="5" s="1"/>
  <c r="J417" i="5" s="1"/>
  <c r="J418" i="5" s="1"/>
  <c r="J419" i="5" s="1"/>
  <c r="J420" i="5" s="1"/>
  <c r="J421" i="5" s="1"/>
  <c r="J422" i="5" s="1"/>
  <c r="J423" i="5" s="1"/>
  <c r="J424" i="5" s="1"/>
  <c r="J425" i="5" s="1"/>
  <c r="J426" i="5" s="1"/>
  <c r="J427" i="5" s="1"/>
  <c r="J428" i="5" s="1"/>
  <c r="J429" i="5" s="1"/>
  <c r="J430" i="5" s="1"/>
  <c r="J431" i="5" s="1"/>
  <c r="J432" i="5" s="1"/>
  <c r="J433" i="5" s="1"/>
  <c r="J434" i="5" s="1"/>
  <c r="J435" i="5" s="1"/>
  <c r="J436" i="5" s="1"/>
  <c r="J437" i="5" s="1"/>
  <c r="J438" i="5" s="1"/>
  <c r="J439" i="5" s="1"/>
  <c r="J440" i="5" s="1"/>
  <c r="J441" i="5" s="1"/>
  <c r="J442" i="5" s="1"/>
  <c r="J443" i="5" s="1"/>
  <c r="J444" i="5" s="1"/>
  <c r="J445" i="5" s="1"/>
  <c r="J446" i="5" s="1"/>
  <c r="J447" i="5" s="1"/>
  <c r="J448" i="5" s="1"/>
  <c r="J449" i="5" s="1"/>
  <c r="J450" i="5" s="1"/>
  <c r="J451" i="5" s="1"/>
  <c r="J452" i="5" s="1"/>
  <c r="J453" i="5" s="1"/>
  <c r="J454" i="5" s="1"/>
  <c r="J455" i="5" s="1"/>
  <c r="J456" i="5" s="1"/>
  <c r="J457" i="5" s="1"/>
  <c r="J458" i="5" s="1"/>
  <c r="J459" i="5" s="1"/>
  <c r="J460" i="5" s="1"/>
  <c r="J461" i="5" s="1"/>
  <c r="J462" i="5" s="1"/>
  <c r="J463" i="5" s="1"/>
  <c r="J464" i="5" s="1"/>
  <c r="J465" i="5" s="1"/>
  <c r="J466" i="5" s="1"/>
  <c r="J467" i="5" s="1"/>
  <c r="J468" i="5" s="1"/>
  <c r="J469" i="5" s="1"/>
  <c r="J470" i="5" s="1"/>
  <c r="J471" i="5" s="1"/>
  <c r="J472" i="5" s="1"/>
  <c r="J473" i="5" s="1"/>
  <c r="J474" i="5" s="1"/>
  <c r="J475" i="5" s="1"/>
  <c r="J476" i="5" s="1"/>
  <c r="J477" i="5" s="1"/>
  <c r="J478" i="5" s="1"/>
  <c r="J479" i="5" s="1"/>
  <c r="J480" i="5" s="1"/>
  <c r="J481" i="5" s="1"/>
  <c r="J482" i="5" s="1"/>
  <c r="J483" i="5" s="1"/>
  <c r="J484" i="5" s="1"/>
  <c r="J485" i="5" s="1"/>
  <c r="J486" i="5" s="1"/>
  <c r="J487" i="5" s="1"/>
  <c r="J488" i="5" s="1"/>
  <c r="J489" i="5" s="1"/>
  <c r="J490" i="5" s="1"/>
  <c r="J491" i="5" s="1"/>
  <c r="J492" i="5" s="1"/>
  <c r="J493" i="5" s="1"/>
  <c r="J494" i="5" s="1"/>
  <c r="J495" i="5" s="1"/>
  <c r="J496" i="5" s="1"/>
  <c r="J497" i="5" s="1"/>
  <c r="J498" i="5" s="1"/>
  <c r="J499" i="5" s="1"/>
  <c r="J500" i="5" s="1"/>
  <c r="J501" i="5" s="1"/>
  <c r="J502" i="5" s="1"/>
  <c r="J503" i="5" s="1"/>
  <c r="J504" i="5" s="1"/>
  <c r="J505" i="5" s="1"/>
  <c r="J506" i="5" s="1"/>
  <c r="J507" i="5" s="1"/>
  <c r="J508" i="5" s="1"/>
  <c r="J509" i="5" s="1"/>
  <c r="J510" i="5" s="1"/>
  <c r="J511" i="5" s="1"/>
  <c r="J512" i="5" s="1"/>
  <c r="J513" i="5" s="1"/>
  <c r="J514" i="5" s="1"/>
  <c r="J515" i="5" s="1"/>
  <c r="J516" i="5" s="1"/>
  <c r="J517" i="5" s="1"/>
  <c r="J518" i="5" s="1"/>
  <c r="J519" i="5" s="1"/>
  <c r="J520" i="5" s="1"/>
  <c r="J521" i="5" s="1"/>
  <c r="J522" i="5" s="1"/>
  <c r="J523" i="5" s="1"/>
  <c r="J524" i="5" s="1"/>
  <c r="J525" i="5" s="1"/>
  <c r="J526" i="5" s="1"/>
  <c r="J527" i="5" s="1"/>
  <c r="J528" i="5" s="1"/>
  <c r="J529" i="5" s="1"/>
  <c r="J530" i="5" s="1"/>
  <c r="J531" i="5" s="1"/>
  <c r="J532" i="5" s="1"/>
  <c r="J533" i="5" s="1"/>
  <c r="J534" i="5" s="1"/>
  <c r="J535" i="5" s="1"/>
  <c r="J536" i="5" s="1"/>
  <c r="J537" i="5" s="1"/>
  <c r="J538" i="5" s="1"/>
  <c r="J539" i="5" s="1"/>
  <c r="J540" i="5" s="1"/>
  <c r="J541" i="5" s="1"/>
  <c r="J542" i="5" s="1"/>
  <c r="J543" i="5" s="1"/>
  <c r="J544" i="5" s="1"/>
  <c r="J545" i="5" s="1"/>
  <c r="J546" i="5" s="1"/>
  <c r="J547" i="5" s="1"/>
  <c r="J548" i="5" s="1"/>
  <c r="J549" i="5" s="1"/>
  <c r="J550" i="5" s="1"/>
  <c r="J551" i="5" s="1"/>
  <c r="J552" i="5" s="1"/>
  <c r="J553" i="5" s="1"/>
  <c r="J554" i="5" s="1"/>
  <c r="J555" i="5" s="1"/>
  <c r="J556" i="5" s="1"/>
  <c r="J557" i="5" s="1"/>
  <c r="J558" i="5" s="1"/>
  <c r="J559" i="5" s="1"/>
  <c r="J560" i="5" s="1"/>
  <c r="J561" i="5" s="1"/>
  <c r="J562" i="5" s="1"/>
  <c r="J563" i="5" s="1"/>
  <c r="J564" i="5" s="1"/>
  <c r="J565" i="5" s="1"/>
  <c r="J566" i="5" s="1"/>
  <c r="J567" i="5" s="1"/>
  <c r="J568" i="5" s="1"/>
  <c r="J569" i="5" s="1"/>
  <c r="J570" i="5" s="1"/>
  <c r="J571" i="5" s="1"/>
  <c r="J572" i="5" s="1"/>
  <c r="J573" i="5" s="1"/>
  <c r="J574" i="5" s="1"/>
  <c r="J575" i="5" s="1"/>
  <c r="J576" i="5" s="1"/>
  <c r="J577" i="5" s="1"/>
  <c r="J578" i="5" s="1"/>
  <c r="J579" i="5" s="1"/>
  <c r="J580" i="5" s="1"/>
  <c r="J581" i="5" s="1"/>
  <c r="J582" i="5" s="1"/>
  <c r="J583" i="5" s="1"/>
  <c r="J584" i="5" s="1"/>
  <c r="J585" i="5" s="1"/>
  <c r="J586" i="5" s="1"/>
  <c r="J587" i="5" s="1"/>
  <c r="J588" i="5" s="1"/>
  <c r="J589" i="5" s="1"/>
  <c r="J590" i="5" s="1"/>
  <c r="J591" i="5" s="1"/>
  <c r="J592" i="5" s="1"/>
  <c r="J593" i="5" s="1"/>
  <c r="J594" i="5" s="1"/>
  <c r="J595" i="5" s="1"/>
  <c r="J596" i="5" s="1"/>
  <c r="J597" i="5" s="1"/>
  <c r="J598" i="5" s="1"/>
  <c r="J599" i="5" s="1"/>
  <c r="J600" i="5" s="1"/>
  <c r="J601" i="5" s="1"/>
  <c r="J602" i="5" s="1"/>
  <c r="J603" i="5" s="1"/>
  <c r="J604" i="5" s="1"/>
  <c r="J605" i="5" s="1"/>
  <c r="J606" i="5" s="1"/>
  <c r="J607" i="5" s="1"/>
  <c r="J608" i="5" s="1"/>
  <c r="J609" i="5" s="1"/>
  <c r="J610" i="5" s="1"/>
  <c r="J611" i="5" s="1"/>
  <c r="J612" i="5" s="1"/>
  <c r="J613" i="5" s="1"/>
  <c r="J614" i="5" s="1"/>
  <c r="J615" i="5" s="1"/>
  <c r="J616" i="5" s="1"/>
  <c r="J617" i="5" s="1"/>
  <c r="J618" i="5" s="1"/>
  <c r="J619" i="5" s="1"/>
  <c r="J620" i="5" s="1"/>
  <c r="J621" i="5" s="1"/>
  <c r="J622" i="5" s="1"/>
  <c r="J623" i="5" s="1"/>
  <c r="J624" i="5" s="1"/>
  <c r="J625" i="5" s="1"/>
  <c r="J626" i="5" s="1"/>
  <c r="J627" i="5" s="1"/>
  <c r="J628" i="5" s="1"/>
  <c r="J629" i="5" s="1"/>
  <c r="J630" i="5" s="1"/>
  <c r="J631" i="5" s="1"/>
  <c r="J632" i="5" s="1"/>
  <c r="J633" i="5" s="1"/>
  <c r="J634" i="5" s="1"/>
  <c r="J635" i="5" s="1"/>
  <c r="J636" i="5" s="1"/>
  <c r="J637" i="5" s="1"/>
  <c r="J638" i="5" s="1"/>
  <c r="J639" i="5" s="1"/>
  <c r="J640" i="5" s="1"/>
  <c r="J641" i="5" s="1"/>
  <c r="J642" i="5" s="1"/>
  <c r="J643" i="5" s="1"/>
  <c r="J644" i="5" s="1"/>
  <c r="J645" i="5" s="1"/>
  <c r="J646" i="5" s="1"/>
  <c r="J647" i="5" s="1"/>
  <c r="J648" i="5" s="1"/>
  <c r="J649" i="5" s="1"/>
  <c r="J650" i="5" s="1"/>
  <c r="J651" i="5" s="1"/>
  <c r="J652" i="5" s="1"/>
  <c r="J653" i="5" s="1"/>
  <c r="J654" i="5" s="1"/>
  <c r="J655" i="5" s="1"/>
  <c r="J656" i="5" s="1"/>
  <c r="J657" i="5" s="1"/>
  <c r="J658" i="5" s="1"/>
  <c r="J659" i="5" s="1"/>
  <c r="J660" i="5" s="1"/>
  <c r="J661" i="5" s="1"/>
  <c r="J662" i="5" s="1"/>
  <c r="J663" i="5" s="1"/>
  <c r="J664" i="5" s="1"/>
  <c r="J665" i="5" s="1"/>
  <c r="J666" i="5" s="1"/>
  <c r="J667" i="5" s="1"/>
  <c r="J668" i="5" s="1"/>
  <c r="J669" i="5" s="1"/>
  <c r="J670" i="5" s="1"/>
  <c r="J671" i="5" s="1"/>
  <c r="J672" i="5" s="1"/>
  <c r="J673" i="5" s="1"/>
  <c r="J674" i="5" s="1"/>
  <c r="J675" i="5" s="1"/>
  <c r="J676" i="5" s="1"/>
  <c r="J677" i="5" s="1"/>
  <c r="J678" i="5" s="1"/>
  <c r="J679" i="5" s="1"/>
  <c r="J680" i="5" s="1"/>
  <c r="J681" i="5" s="1"/>
  <c r="J682" i="5" s="1"/>
  <c r="J683" i="5" s="1"/>
  <c r="J684" i="5" s="1"/>
  <c r="J685" i="5" s="1"/>
  <c r="J686" i="5" s="1"/>
  <c r="J687" i="5" s="1"/>
  <c r="J688" i="5" s="1"/>
  <c r="J689" i="5" s="1"/>
  <c r="J690" i="5" s="1"/>
  <c r="J691" i="5" s="1"/>
  <c r="J692" i="5" s="1"/>
  <c r="J693" i="5" s="1"/>
  <c r="J694" i="5" s="1"/>
  <c r="J695" i="5" s="1"/>
  <c r="J696" i="5" s="1"/>
  <c r="J697" i="5" s="1"/>
  <c r="J698" i="5" s="1"/>
  <c r="J699" i="5" s="1"/>
  <c r="J700" i="5" s="1"/>
  <c r="J701" i="5" s="1"/>
  <c r="J702" i="5" s="1"/>
  <c r="J703" i="5" s="1"/>
  <c r="J704" i="5" s="1"/>
  <c r="J705" i="5" s="1"/>
  <c r="J706" i="5" s="1"/>
  <c r="J707" i="5" s="1"/>
  <c r="J708" i="5" s="1"/>
  <c r="J709" i="5" s="1"/>
  <c r="J710" i="5" s="1"/>
  <c r="J711" i="5" s="1"/>
  <c r="J712" i="5" s="1"/>
  <c r="J713" i="5" s="1"/>
  <c r="J714" i="5" s="1"/>
  <c r="J715" i="5" s="1"/>
  <c r="J716" i="5" s="1"/>
  <c r="J717" i="5" s="1"/>
  <c r="J718" i="5" s="1"/>
  <c r="J719" i="5" s="1"/>
  <c r="J720" i="5" s="1"/>
  <c r="J721" i="5" s="1"/>
  <c r="J722" i="5" s="1"/>
  <c r="J723" i="5" s="1"/>
  <c r="J724" i="5" s="1"/>
  <c r="J725" i="5" s="1"/>
  <c r="J726" i="5" s="1"/>
  <c r="J727" i="5" s="1"/>
  <c r="J728" i="5" s="1"/>
  <c r="J729" i="5" s="1"/>
  <c r="J730" i="5" s="1"/>
  <c r="J731" i="5" s="1"/>
  <c r="J732" i="5" s="1"/>
  <c r="J733" i="5" s="1"/>
  <c r="J734" i="5" s="1"/>
  <c r="J735" i="5" s="1"/>
  <c r="J736" i="5" s="1"/>
  <c r="J737" i="5" s="1"/>
  <c r="J738" i="5" s="1"/>
  <c r="J739" i="5" s="1"/>
  <c r="J740" i="5" s="1"/>
  <c r="J741" i="5" s="1"/>
  <c r="J742" i="5" s="1"/>
  <c r="J743" i="5" s="1"/>
  <c r="J744" i="5" s="1"/>
  <c r="J745" i="5" s="1"/>
  <c r="J746" i="5" s="1"/>
  <c r="J747" i="5" s="1"/>
  <c r="J748" i="5" s="1"/>
  <c r="J749" i="5" s="1"/>
  <c r="J750" i="5" s="1"/>
  <c r="J751" i="5" s="1"/>
  <c r="J752" i="5" s="1"/>
  <c r="J753" i="5" s="1"/>
  <c r="J754" i="5" s="1"/>
  <c r="J755" i="5" s="1"/>
  <c r="J756" i="5" s="1"/>
  <c r="J757" i="5" s="1"/>
  <c r="J758" i="5" s="1"/>
  <c r="J759" i="5" s="1"/>
  <c r="J760" i="5" s="1"/>
  <c r="J761" i="5" s="1"/>
  <c r="J762" i="5" s="1"/>
  <c r="J763" i="5" s="1"/>
  <c r="J764" i="5" s="1"/>
  <c r="J765" i="5" s="1"/>
  <c r="J766" i="5" s="1"/>
  <c r="J767" i="5" s="1"/>
  <c r="J768" i="5" s="1"/>
  <c r="J769" i="5" s="1"/>
  <c r="J770" i="5" s="1"/>
  <c r="J771" i="5" s="1"/>
  <c r="J772" i="5" s="1"/>
  <c r="J773" i="5" s="1"/>
  <c r="J774" i="5" s="1"/>
  <c r="J775" i="5" s="1"/>
  <c r="J776" i="5" s="1"/>
  <c r="J777" i="5" s="1"/>
  <c r="J778" i="5" s="1"/>
  <c r="J779" i="5" s="1"/>
  <c r="J780" i="5" s="1"/>
  <c r="J781" i="5" s="1"/>
  <c r="J782" i="5" s="1"/>
  <c r="J783" i="5" s="1"/>
  <c r="J784" i="5" s="1"/>
  <c r="J785" i="5" s="1"/>
  <c r="J786" i="5" s="1"/>
  <c r="J787" i="5" s="1"/>
  <c r="J788" i="5" s="1"/>
  <c r="J789" i="5" s="1"/>
  <c r="J790" i="5" s="1"/>
  <c r="J791" i="5" s="1"/>
  <c r="J792" i="5" s="1"/>
  <c r="J793" i="5" s="1"/>
  <c r="J794" i="5" s="1"/>
  <c r="J795" i="5" s="1"/>
  <c r="J796" i="5" s="1"/>
  <c r="J797" i="5" s="1"/>
  <c r="J798" i="5" s="1"/>
  <c r="J799" i="5" s="1"/>
  <c r="J800" i="5" s="1"/>
  <c r="J801" i="5" s="1"/>
  <c r="J802" i="5" s="1"/>
  <c r="J803" i="5" s="1"/>
  <c r="J804" i="5" s="1"/>
  <c r="J805" i="5" s="1"/>
  <c r="J806" i="5" s="1"/>
  <c r="J807" i="5" s="1"/>
  <c r="J808" i="5" s="1"/>
  <c r="J809" i="5" s="1"/>
  <c r="J810" i="5" s="1"/>
  <c r="J811" i="5" s="1"/>
  <c r="J812" i="5" s="1"/>
  <c r="J813" i="5" s="1"/>
  <c r="J814" i="5" s="1"/>
  <c r="J815" i="5" s="1"/>
  <c r="J816" i="5" s="1"/>
  <c r="J817" i="5" s="1"/>
  <c r="J818" i="5" s="1"/>
  <c r="J819" i="5" s="1"/>
  <c r="J820" i="5" s="1"/>
  <c r="J821" i="5" s="1"/>
  <c r="J822" i="5" s="1"/>
  <c r="J823" i="5" s="1"/>
  <c r="J824" i="5" s="1"/>
  <c r="J825" i="5" s="1"/>
  <c r="J826" i="5" s="1"/>
  <c r="J827" i="5" s="1"/>
  <c r="J828" i="5" s="1"/>
  <c r="J829" i="5" s="1"/>
  <c r="J830" i="5" s="1"/>
  <c r="J831" i="5" s="1"/>
  <c r="J832" i="5" s="1"/>
  <c r="J833" i="5" s="1"/>
  <c r="J834" i="5" s="1"/>
  <c r="J835" i="5" s="1"/>
  <c r="J836" i="5" s="1"/>
  <c r="J837" i="5" s="1"/>
  <c r="J838" i="5" s="1"/>
  <c r="J839" i="5" s="1"/>
  <c r="J840" i="5" s="1"/>
  <c r="J841" i="5" s="1"/>
  <c r="J842" i="5" s="1"/>
  <c r="J843" i="5" s="1"/>
  <c r="J844" i="5" s="1"/>
  <c r="J845" i="5" s="1"/>
  <c r="J846" i="5" s="1"/>
  <c r="J847" i="5" s="1"/>
  <c r="J848" i="5" s="1"/>
  <c r="J849" i="5" s="1"/>
  <c r="J850" i="5" s="1"/>
  <c r="J851" i="5" s="1"/>
  <c r="J852" i="5" s="1"/>
  <c r="J853" i="5" s="1"/>
  <c r="J854" i="5" s="1"/>
  <c r="J855" i="5" s="1"/>
  <c r="J856" i="5" s="1"/>
  <c r="J857" i="5" s="1"/>
  <c r="J858" i="5" s="1"/>
  <c r="J859" i="5" s="1"/>
  <c r="J860" i="5" s="1"/>
  <c r="J861" i="5" s="1"/>
  <c r="J862" i="5" s="1"/>
  <c r="J863" i="5" s="1"/>
  <c r="J864" i="5" s="1"/>
  <c r="J865" i="5" s="1"/>
  <c r="J866" i="5" s="1"/>
  <c r="J867" i="5" s="1"/>
  <c r="J868" i="5" s="1"/>
  <c r="J869" i="5" s="1"/>
  <c r="J870" i="5" s="1"/>
  <c r="J871" i="5" s="1"/>
  <c r="J872" i="5" s="1"/>
  <c r="J873" i="5" s="1"/>
  <c r="J874" i="5" s="1"/>
  <c r="J875" i="5" s="1"/>
  <c r="J876" i="5" s="1"/>
  <c r="J877" i="5" s="1"/>
  <c r="J878" i="5" s="1"/>
  <c r="J879" i="5" s="1"/>
  <c r="J880" i="5" s="1"/>
  <c r="J881" i="5" s="1"/>
  <c r="J882" i="5" s="1"/>
  <c r="J883" i="5" s="1"/>
  <c r="J884" i="5" s="1"/>
  <c r="J885" i="5" s="1"/>
  <c r="J886" i="5" s="1"/>
  <c r="J887" i="5" s="1"/>
  <c r="J888" i="5" s="1"/>
  <c r="J889" i="5" s="1"/>
  <c r="J890" i="5" s="1"/>
  <c r="J891" i="5" s="1"/>
  <c r="J892" i="5" s="1"/>
  <c r="J893" i="5" s="1"/>
  <c r="J894" i="5" s="1"/>
  <c r="J895" i="5" s="1"/>
  <c r="J896" i="5" s="1"/>
  <c r="J897" i="5" s="1"/>
  <c r="J898" i="5" s="1"/>
  <c r="J899" i="5" s="1"/>
  <c r="J900" i="5" s="1"/>
  <c r="J901" i="5" s="1"/>
  <c r="J902" i="5" s="1"/>
  <c r="J903" i="5" s="1"/>
  <c r="J904" i="5" s="1"/>
  <c r="J905" i="5" s="1"/>
  <c r="J906" i="5" s="1"/>
  <c r="J907" i="5" s="1"/>
  <c r="J908" i="5" s="1"/>
  <c r="J909" i="5" s="1"/>
  <c r="J910" i="5" s="1"/>
  <c r="J911" i="5" s="1"/>
  <c r="J912" i="5" s="1"/>
  <c r="J913" i="5" s="1"/>
  <c r="J914" i="5" s="1"/>
  <c r="J915" i="5" s="1"/>
  <c r="J916" i="5" s="1"/>
  <c r="J917" i="5" s="1"/>
  <c r="J918" i="5" s="1"/>
  <c r="J919" i="5" s="1"/>
  <c r="J920" i="5" s="1"/>
  <c r="J921" i="5" s="1"/>
  <c r="J922" i="5" s="1"/>
  <c r="J923" i="5" s="1"/>
  <c r="J924" i="5" s="1"/>
  <c r="J925" i="5" s="1"/>
  <c r="J926" i="5" s="1"/>
  <c r="J927" i="5" s="1"/>
  <c r="J928" i="5" s="1"/>
  <c r="J929" i="5" s="1"/>
  <c r="J930" i="5" s="1"/>
  <c r="J931" i="5" s="1"/>
  <c r="J932" i="5" s="1"/>
  <c r="J933" i="5" s="1"/>
  <c r="J934" i="5" s="1"/>
  <c r="J935" i="5" s="1"/>
  <c r="J936" i="5" s="1"/>
  <c r="J937" i="5" s="1"/>
  <c r="J938" i="5" s="1"/>
  <c r="J939" i="5" s="1"/>
  <c r="J940" i="5" s="1"/>
  <c r="J941" i="5" s="1"/>
  <c r="J942" i="5" s="1"/>
  <c r="J943" i="5" s="1"/>
  <c r="J944" i="5" s="1"/>
  <c r="J945" i="5" s="1"/>
  <c r="J946" i="5" s="1"/>
  <c r="J947" i="5" s="1"/>
  <c r="J948" i="5" s="1"/>
  <c r="J949" i="5" s="1"/>
  <c r="J950" i="5" s="1"/>
  <c r="J951" i="5" s="1"/>
  <c r="J952" i="5" s="1"/>
  <c r="J953" i="5" s="1"/>
  <c r="J954" i="5" s="1"/>
  <c r="J955" i="5" s="1"/>
  <c r="J956" i="5" s="1"/>
  <c r="J957" i="5" s="1"/>
  <c r="J958" i="5" s="1"/>
  <c r="J959" i="5" s="1"/>
  <c r="J960" i="5" s="1"/>
  <c r="J961" i="5" s="1"/>
  <c r="J962" i="5" s="1"/>
  <c r="J963" i="5" s="1"/>
  <c r="J964" i="5" s="1"/>
  <c r="J965" i="5" s="1"/>
  <c r="J966" i="5" s="1"/>
  <c r="J967" i="5" s="1"/>
  <c r="J968" i="5" s="1"/>
  <c r="J969" i="5" s="1"/>
  <c r="J970" i="5" s="1"/>
  <c r="J971" i="5" s="1"/>
  <c r="J972" i="5" s="1"/>
  <c r="J973" i="5" s="1"/>
  <c r="J974" i="5" s="1"/>
  <c r="J975" i="5" s="1"/>
  <c r="J976" i="5" s="1"/>
  <c r="J977" i="5" s="1"/>
  <c r="J978" i="5" s="1"/>
  <c r="J979" i="5" s="1"/>
  <c r="J980" i="5" s="1"/>
  <c r="J981" i="5" s="1"/>
  <c r="J982" i="5" s="1"/>
  <c r="J983" i="5" s="1"/>
  <c r="J984" i="5" s="1"/>
  <c r="J985" i="5" s="1"/>
  <c r="J986" i="5" s="1"/>
  <c r="J987" i="5" s="1"/>
  <c r="J988" i="5" s="1"/>
  <c r="J989" i="5" s="1"/>
  <c r="J990" i="5" s="1"/>
  <c r="J991" i="5" s="1"/>
  <c r="J992" i="5" s="1"/>
  <c r="J993" i="5" s="1"/>
  <c r="J994" i="5" s="1"/>
  <c r="J995" i="5" s="1"/>
  <c r="J996" i="5" s="1"/>
  <c r="J997" i="5" s="1"/>
  <c r="J998" i="5" s="1"/>
  <c r="J999" i="5" s="1"/>
  <c r="J1000" i="5" s="1"/>
  <c r="J1001" i="5" s="1"/>
  <c r="J1002" i="5" s="1"/>
  <c r="J1003" i="5" s="1"/>
  <c r="J1004" i="5" s="1"/>
  <c r="J1005" i="5" s="1"/>
  <c r="J1006" i="5" s="1"/>
  <c r="J1007" i="5" s="1"/>
  <c r="J1008" i="5" s="1"/>
  <c r="J1009" i="5" s="1"/>
  <c r="J1010" i="5" s="1"/>
  <c r="J1011" i="5" s="1"/>
  <c r="J1012" i="5" s="1"/>
  <c r="J1013" i="5" s="1"/>
  <c r="J1014" i="5" s="1"/>
  <c r="J1015" i="5" s="1"/>
  <c r="J1016" i="5" s="1"/>
  <c r="J1017" i="5" s="1"/>
  <c r="J1018" i="5" s="1"/>
  <c r="J1019" i="5" s="1"/>
  <c r="J1020" i="5" s="1"/>
  <c r="J1021" i="5" s="1"/>
  <c r="J1022" i="5" s="1"/>
  <c r="J1023" i="5" s="1"/>
  <c r="J1024" i="5" s="1"/>
  <c r="J1025" i="5" s="1"/>
  <c r="J1026" i="5" s="1"/>
  <c r="J1027" i="5" s="1"/>
  <c r="J1028" i="5" s="1"/>
  <c r="J1029" i="5" s="1"/>
  <c r="J1030" i="5" s="1"/>
  <c r="J1031" i="5" s="1"/>
  <c r="J1032" i="5" s="1"/>
  <c r="J1033" i="5" s="1"/>
  <c r="J1034" i="5" s="1"/>
  <c r="J1035" i="5" s="1"/>
  <c r="J1036" i="5" s="1"/>
  <c r="J1037" i="5" s="1"/>
  <c r="J1038" i="5" s="1"/>
  <c r="J1039" i="5" s="1"/>
  <c r="J1040" i="5" s="1"/>
  <c r="J1041" i="5" s="1"/>
  <c r="J1042" i="5" s="1"/>
  <c r="J1043" i="5" s="1"/>
  <c r="J1044" i="5" s="1"/>
  <c r="J1045" i="5" s="1"/>
  <c r="J1046" i="5" s="1"/>
  <c r="J1047" i="5" s="1"/>
  <c r="J1048" i="5" s="1"/>
  <c r="J1049" i="5" s="1"/>
  <c r="J1050" i="5" s="1"/>
  <c r="J1051" i="5" s="1"/>
  <c r="J1052" i="5" s="1"/>
  <c r="J1053" i="5" s="1"/>
  <c r="J1054" i="5" s="1"/>
  <c r="J1055" i="5" s="1"/>
  <c r="J1056" i="5" s="1"/>
  <c r="J1057" i="5" s="1"/>
  <c r="J1058" i="5" s="1"/>
  <c r="J1059" i="5" s="1"/>
  <c r="J1060" i="5" s="1"/>
  <c r="J1061" i="5" s="1"/>
  <c r="J1062" i="5" s="1"/>
  <c r="J1063" i="5" s="1"/>
  <c r="J1064" i="5" s="1"/>
  <c r="J1065" i="5" s="1"/>
  <c r="J1066" i="5" s="1"/>
  <c r="J1067" i="5" s="1"/>
  <c r="J1068" i="5" s="1"/>
  <c r="J1069" i="5" s="1"/>
  <c r="J1070" i="5" s="1"/>
  <c r="J1071" i="5" s="1"/>
  <c r="J1072" i="5" s="1"/>
  <c r="J1073" i="5" s="1"/>
  <c r="J1074" i="5" s="1"/>
  <c r="J1075" i="5" s="1"/>
  <c r="J1076" i="5" s="1"/>
  <c r="J1077" i="5" s="1"/>
  <c r="J1078" i="5" s="1"/>
  <c r="J1079" i="5" s="1"/>
  <c r="J1080" i="5" s="1"/>
  <c r="J1081" i="5" s="1"/>
  <c r="J1082" i="5" s="1"/>
  <c r="J1083" i="5" s="1"/>
  <c r="J1084" i="5" s="1"/>
  <c r="J1085" i="5" s="1"/>
  <c r="J1086" i="5" s="1"/>
  <c r="J1087" i="5" s="1"/>
  <c r="J1088" i="5" s="1"/>
  <c r="J1089" i="5" s="1"/>
  <c r="J1090" i="5" s="1"/>
  <c r="J1091" i="5" s="1"/>
  <c r="J1092" i="5" s="1"/>
  <c r="J1093" i="5" s="1"/>
  <c r="J1094" i="5" s="1"/>
  <c r="J1095" i="5" s="1"/>
  <c r="J1096" i="5" s="1"/>
  <c r="J1097" i="5" s="1"/>
  <c r="J1098" i="5" s="1"/>
  <c r="J1099" i="5" s="1"/>
  <c r="J1100" i="5" s="1"/>
  <c r="J1101" i="5" s="1"/>
  <c r="J1102" i="5" s="1"/>
  <c r="J1103" i="5" s="1"/>
  <c r="J1104" i="5" s="1"/>
  <c r="J1105" i="5" s="1"/>
  <c r="J1106" i="5" s="1"/>
  <c r="J1107" i="5" s="1"/>
  <c r="J1108" i="5" s="1"/>
  <c r="J1109" i="5" s="1"/>
  <c r="J1110" i="5" s="1"/>
  <c r="J1111" i="5" s="1"/>
  <c r="J1112" i="5" s="1"/>
  <c r="J1113" i="5" s="1"/>
  <c r="J1114" i="5" s="1"/>
  <c r="J1115" i="5" s="1"/>
  <c r="J1116" i="5" s="1"/>
  <c r="J1117" i="5" s="1"/>
  <c r="J1118" i="5" s="1"/>
  <c r="J1119" i="5" s="1"/>
  <c r="J1120" i="5" s="1"/>
  <c r="J1121" i="5" s="1"/>
  <c r="J1122" i="5" s="1"/>
  <c r="J1123" i="5" s="1"/>
  <c r="J1124" i="5" s="1"/>
  <c r="J1125" i="5" s="1"/>
  <c r="J1126" i="5" s="1"/>
  <c r="J1127" i="5" s="1"/>
  <c r="J1128" i="5" s="1"/>
  <c r="J1129" i="5" s="1"/>
  <c r="J1130" i="5" s="1"/>
  <c r="J1131" i="5" s="1"/>
  <c r="J1132" i="5" s="1"/>
  <c r="J1133" i="5" s="1"/>
  <c r="J1134" i="5" s="1"/>
  <c r="J1135" i="5" s="1"/>
  <c r="J1136" i="5" s="1"/>
  <c r="J1137" i="5" s="1"/>
  <c r="J1138" i="5" s="1"/>
  <c r="J1139" i="5" s="1"/>
  <c r="J1140" i="5" s="1"/>
  <c r="J1141" i="5" s="1"/>
  <c r="J1142" i="5" s="1"/>
  <c r="J1143" i="5" s="1"/>
  <c r="J1144" i="5" s="1"/>
  <c r="J1145" i="5" s="1"/>
  <c r="J1146" i="5" s="1"/>
  <c r="J1147" i="5" s="1"/>
  <c r="J1148" i="5" s="1"/>
  <c r="J1149" i="5" s="1"/>
  <c r="J1150" i="5" s="1"/>
  <c r="J1151" i="5" s="1"/>
  <c r="J1152" i="5" s="1"/>
  <c r="J1153" i="5" s="1"/>
  <c r="J1154" i="5" s="1"/>
  <c r="J1155" i="5" s="1"/>
  <c r="J1156" i="5" s="1"/>
  <c r="J1157" i="5" s="1"/>
  <c r="J1158" i="5" s="1"/>
  <c r="J1159" i="5" s="1"/>
  <c r="J1160" i="5" s="1"/>
  <c r="J1161" i="5" s="1"/>
  <c r="J1162" i="5" s="1"/>
  <c r="J1163" i="5" s="1"/>
  <c r="J1164" i="5" s="1"/>
  <c r="J1165" i="5" s="1"/>
  <c r="J1166" i="5" s="1"/>
  <c r="J1167" i="5" s="1"/>
  <c r="J1168" i="5" s="1"/>
  <c r="J1169" i="5" s="1"/>
  <c r="J1170" i="5" s="1"/>
  <c r="J1171" i="5" s="1"/>
  <c r="J1172" i="5" s="1"/>
  <c r="J1173" i="5" s="1"/>
  <c r="J1174" i="5" s="1"/>
  <c r="J1175" i="5" s="1"/>
  <c r="J1176" i="5" s="1"/>
  <c r="J1177" i="5" s="1"/>
  <c r="J1178" i="5" s="1"/>
  <c r="J1179" i="5" s="1"/>
  <c r="J1180" i="5" s="1"/>
  <c r="J1181" i="5" s="1"/>
  <c r="J1182" i="5" s="1"/>
  <c r="J1183" i="5" s="1"/>
  <c r="J1184" i="5" s="1"/>
  <c r="J1185" i="5" s="1"/>
  <c r="J1186" i="5" s="1"/>
  <c r="J1187" i="5" s="1"/>
  <c r="J1188" i="5" s="1"/>
  <c r="J1189" i="5" s="1"/>
  <c r="J1190" i="5" s="1"/>
  <c r="J1191" i="5" s="1"/>
  <c r="J1192" i="5" s="1"/>
  <c r="J1193" i="5" s="1"/>
  <c r="J1194" i="5" s="1"/>
  <c r="J1195" i="5" s="1"/>
  <c r="J1196" i="5" s="1"/>
  <c r="J1197" i="5" s="1"/>
  <c r="J1198" i="5" s="1"/>
  <c r="J1199" i="5" s="1"/>
  <c r="J1200" i="5" s="1"/>
  <c r="J1201" i="5" s="1"/>
  <c r="J1202" i="5" s="1"/>
  <c r="J1203" i="5" s="1"/>
  <c r="J1204" i="5" s="1"/>
  <c r="J1205" i="5" s="1"/>
  <c r="J1206" i="5" s="1"/>
  <c r="J1207" i="5" s="1"/>
  <c r="J1208" i="5" s="1"/>
  <c r="J1209" i="5" s="1"/>
  <c r="J1210" i="5" s="1"/>
  <c r="J1211" i="5" s="1"/>
  <c r="J1212" i="5" s="1"/>
  <c r="J1213" i="5" s="1"/>
  <c r="J1214" i="5" s="1"/>
  <c r="J1215" i="5" s="1"/>
  <c r="J1216" i="5" s="1"/>
  <c r="J1217" i="5" s="1"/>
  <c r="J1218" i="5" s="1"/>
  <c r="J1219" i="5" s="1"/>
  <c r="J1220" i="5" s="1"/>
  <c r="J1221" i="5" s="1"/>
  <c r="J1222" i="5" s="1"/>
  <c r="J1223" i="5" s="1"/>
  <c r="J1224" i="5" s="1"/>
  <c r="J1225" i="5" s="1"/>
  <c r="J1226" i="5" s="1"/>
  <c r="J1227" i="5" s="1"/>
  <c r="J1228" i="5" s="1"/>
  <c r="J1229" i="5" s="1"/>
  <c r="J1230" i="5" s="1"/>
  <c r="J1231" i="5" s="1"/>
  <c r="J1232" i="5" s="1"/>
  <c r="J1233" i="5" s="1"/>
  <c r="J1234" i="5" s="1"/>
  <c r="J1235" i="5" s="1"/>
  <c r="J1236" i="5" s="1"/>
  <c r="J1237" i="5" s="1"/>
  <c r="J1238" i="5" s="1"/>
  <c r="J1239" i="5" s="1"/>
  <c r="J1240" i="5" s="1"/>
  <c r="J1241" i="5" s="1"/>
  <c r="J1242" i="5" s="1"/>
  <c r="J1243" i="5" s="1"/>
  <c r="J1244" i="5" s="1"/>
  <c r="J1245" i="5" s="1"/>
  <c r="J1246" i="5" s="1"/>
  <c r="J1247" i="5" s="1"/>
  <c r="J1248" i="5" s="1"/>
  <c r="J1249" i="5" s="1"/>
  <c r="J1250" i="5" s="1"/>
  <c r="J1251" i="5" s="1"/>
  <c r="J1252" i="5" s="1"/>
  <c r="J1253" i="5" s="1"/>
  <c r="J1254" i="5" s="1"/>
  <c r="J1255" i="5" s="1"/>
  <c r="J1256" i="5" s="1"/>
  <c r="J1257" i="5" s="1"/>
  <c r="J1258" i="5" s="1"/>
  <c r="J1259" i="5" s="1"/>
  <c r="J1260" i="5" s="1"/>
  <c r="J1261" i="5" s="1"/>
  <c r="J1262" i="5" s="1"/>
  <c r="J1263" i="5" s="1"/>
  <c r="J1264" i="5" s="1"/>
  <c r="J1265" i="5" s="1"/>
  <c r="J1266" i="5" s="1"/>
  <c r="J1267" i="5" s="1"/>
  <c r="J1268" i="5" s="1"/>
  <c r="J1269" i="5" s="1"/>
  <c r="J1270" i="5" s="1"/>
  <c r="J1271" i="5" s="1"/>
  <c r="J1272" i="5" s="1"/>
  <c r="J1273" i="5" s="1"/>
  <c r="J1274" i="5" s="1"/>
  <c r="J1275" i="5" s="1"/>
  <c r="J1276" i="5" s="1"/>
  <c r="J1277" i="5" s="1"/>
  <c r="J1278" i="5" s="1"/>
  <c r="J1279" i="5" s="1"/>
  <c r="J1280" i="5" s="1"/>
  <c r="J1281" i="5" s="1"/>
  <c r="J1282" i="5" s="1"/>
  <c r="J1283" i="5" s="1"/>
  <c r="J1284" i="5" s="1"/>
  <c r="J1285" i="5" s="1"/>
  <c r="J1286" i="5" s="1"/>
  <c r="J1287" i="5" s="1"/>
  <c r="J1288" i="5" s="1"/>
  <c r="J1289" i="5" s="1"/>
  <c r="J1290" i="5" s="1"/>
  <c r="J1291" i="5" s="1"/>
  <c r="J1292" i="5" s="1"/>
  <c r="J1293" i="5" s="1"/>
  <c r="J1294" i="5" s="1"/>
  <c r="J1295" i="5" s="1"/>
  <c r="J1296" i="5" s="1"/>
  <c r="J1297" i="5" s="1"/>
  <c r="J1298" i="5" s="1"/>
  <c r="J1299" i="5" s="1"/>
  <c r="J1300" i="5" s="1"/>
  <c r="J1301" i="5" s="1"/>
  <c r="J1302" i="5" s="1"/>
  <c r="J1303" i="5" s="1"/>
  <c r="J1304" i="5" s="1"/>
  <c r="J1305" i="5" s="1"/>
  <c r="J1306" i="5" s="1"/>
  <c r="J1307" i="5" s="1"/>
  <c r="J1308" i="5" s="1"/>
  <c r="J1309" i="5" s="1"/>
  <c r="J1310" i="5" s="1"/>
  <c r="J1311" i="5" s="1"/>
  <c r="J1312" i="5" s="1"/>
  <c r="J1313" i="5" s="1"/>
  <c r="J1314" i="5" s="1"/>
  <c r="J1315" i="5" s="1"/>
  <c r="J1316" i="5" s="1"/>
  <c r="J1317" i="5" s="1"/>
  <c r="J1318" i="5" s="1"/>
  <c r="J1319" i="5" s="1"/>
  <c r="J1320" i="5" s="1"/>
  <c r="J1321" i="5" s="1"/>
  <c r="J1322" i="5" s="1"/>
  <c r="J1323" i="5" s="1"/>
  <c r="J1324" i="5" s="1"/>
  <c r="J1325" i="5" s="1"/>
  <c r="J1326" i="5" s="1"/>
  <c r="J1327" i="5" s="1"/>
  <c r="J1328" i="5" s="1"/>
  <c r="J1329" i="5" s="1"/>
  <c r="J1330" i="5" s="1"/>
  <c r="J1331" i="5" s="1"/>
  <c r="J1332" i="5" s="1"/>
  <c r="J1333" i="5" s="1"/>
  <c r="J1334" i="5" s="1"/>
  <c r="J1335" i="5" s="1"/>
  <c r="J1336" i="5" s="1"/>
  <c r="J1337" i="5" s="1"/>
  <c r="J1338" i="5" s="1"/>
  <c r="J1339" i="5" s="1"/>
  <c r="J1340" i="5" s="1"/>
  <c r="J1341" i="5" s="1"/>
  <c r="J1342" i="5" s="1"/>
  <c r="J1343" i="5" s="1"/>
  <c r="J1344" i="5" s="1"/>
  <c r="J1345" i="5" s="1"/>
  <c r="J1346" i="5" s="1"/>
  <c r="J1347" i="5" s="1"/>
  <c r="J1348" i="5" s="1"/>
  <c r="J1349" i="5" s="1"/>
  <c r="J1350" i="5" s="1"/>
  <c r="J1351" i="5" s="1"/>
  <c r="J1352" i="5" s="1"/>
  <c r="J1353" i="5" s="1"/>
  <c r="J1354" i="5" s="1"/>
  <c r="J1355" i="5" s="1"/>
  <c r="J1356" i="5" s="1"/>
  <c r="J1357" i="5" s="1"/>
  <c r="J1358" i="5" s="1"/>
  <c r="J1359" i="5" s="1"/>
  <c r="J1360" i="5" s="1"/>
  <c r="J1361" i="5" s="1"/>
  <c r="J1362" i="5" s="1"/>
  <c r="J1363" i="5" s="1"/>
  <c r="J1364" i="5" s="1"/>
  <c r="J1365" i="5" s="1"/>
  <c r="J1366" i="5" s="1"/>
  <c r="J1367" i="5" s="1"/>
  <c r="J1368" i="5" s="1"/>
  <c r="J1369" i="5" s="1"/>
  <c r="J1370" i="5" s="1"/>
  <c r="J1371" i="5" s="1"/>
  <c r="J1372" i="5" s="1"/>
  <c r="J1373" i="5" s="1"/>
  <c r="J1374" i="5" s="1"/>
  <c r="J1375" i="5" s="1"/>
  <c r="J1376" i="5" s="1"/>
  <c r="J1377" i="5" s="1"/>
  <c r="J1378" i="5" s="1"/>
  <c r="J1379" i="5" s="1"/>
  <c r="J1380" i="5" s="1"/>
  <c r="J1381" i="5" s="1"/>
  <c r="J1382" i="5" s="1"/>
  <c r="J1383" i="5" s="1"/>
  <c r="J1384" i="5" s="1"/>
  <c r="J1385" i="5" s="1"/>
  <c r="J1386" i="5" s="1"/>
  <c r="J1387" i="5" s="1"/>
  <c r="J1388" i="5" s="1"/>
  <c r="J1389" i="5" s="1"/>
  <c r="J1390" i="5" s="1"/>
  <c r="J1391" i="5" s="1"/>
  <c r="J1392" i="5" s="1"/>
  <c r="J1393" i="5" s="1"/>
  <c r="J1394" i="5" s="1"/>
  <c r="J1395" i="5" s="1"/>
  <c r="J1396" i="5" s="1"/>
  <c r="J1397" i="5" s="1"/>
  <c r="J1398" i="5" s="1"/>
  <c r="J1399" i="5" s="1"/>
  <c r="J1400" i="5" s="1"/>
  <c r="J1401" i="5" s="1"/>
  <c r="J1402" i="5" s="1"/>
  <c r="J1403" i="5" s="1"/>
  <c r="J1404" i="5" s="1"/>
  <c r="J1405" i="5" s="1"/>
  <c r="J1406" i="5" s="1"/>
  <c r="J1407" i="5" s="1"/>
  <c r="J1408" i="5" s="1"/>
  <c r="J1409" i="5" s="1"/>
  <c r="J1410" i="5" s="1"/>
  <c r="J1411" i="5" s="1"/>
  <c r="J1412" i="5" s="1"/>
  <c r="J1413" i="5" s="1"/>
  <c r="J1414" i="5" s="1"/>
  <c r="J1415" i="5" s="1"/>
  <c r="J1416" i="5" s="1"/>
  <c r="J1417" i="5" s="1"/>
  <c r="J1418" i="5" s="1"/>
  <c r="J1419" i="5" s="1"/>
  <c r="J1420" i="5" s="1"/>
  <c r="J1421" i="5" s="1"/>
  <c r="J1422" i="5" s="1"/>
  <c r="J1423" i="5" s="1"/>
  <c r="J1424" i="5" s="1"/>
  <c r="J1425" i="5" s="1"/>
  <c r="J1426" i="5" s="1"/>
  <c r="J1427" i="5" s="1"/>
  <c r="J1428" i="5" s="1"/>
  <c r="J1429" i="5" s="1"/>
  <c r="J1430" i="5" s="1"/>
  <c r="J1431" i="5" s="1"/>
  <c r="J1432" i="5" s="1"/>
  <c r="J1433" i="5" s="1"/>
  <c r="J1434" i="5" s="1"/>
  <c r="J1435" i="5" s="1"/>
  <c r="J1436" i="5" s="1"/>
  <c r="J1437" i="5" s="1"/>
  <c r="J1438" i="5" s="1"/>
  <c r="J1439" i="5" s="1"/>
  <c r="J1440" i="5" s="1"/>
  <c r="J1441" i="5" s="1"/>
  <c r="J1442" i="5" s="1"/>
  <c r="J1443" i="5" s="1"/>
  <c r="J1444" i="5" s="1"/>
  <c r="J1445" i="5" s="1"/>
  <c r="J1446" i="5" s="1"/>
  <c r="J1447" i="5" s="1"/>
  <c r="J1448" i="5" s="1"/>
  <c r="J1449" i="5" s="1"/>
  <c r="J1450" i="5" s="1"/>
  <c r="J1451" i="5" s="1"/>
  <c r="J1452" i="5" s="1"/>
  <c r="J1453" i="5" s="1"/>
  <c r="J1454" i="5" s="1"/>
  <c r="J1455" i="5" s="1"/>
  <c r="J1456" i="5" s="1"/>
  <c r="J1457" i="5" s="1"/>
  <c r="J1458" i="5" s="1"/>
  <c r="J1459" i="5" s="1"/>
  <c r="J1460" i="5" s="1"/>
  <c r="J1461" i="5" s="1"/>
  <c r="J1462" i="5" s="1"/>
  <c r="J1463" i="5" s="1"/>
  <c r="J1464" i="5" s="1"/>
  <c r="J1465" i="5" s="1"/>
  <c r="J1466" i="5" s="1"/>
  <c r="J1467" i="5" s="1"/>
  <c r="J1468" i="5" s="1"/>
  <c r="J1469" i="5" s="1"/>
  <c r="J1470" i="5" s="1"/>
  <c r="J1471" i="5" s="1"/>
  <c r="J1472" i="5" s="1"/>
  <c r="J1473" i="5" s="1"/>
  <c r="J1474" i="5" s="1"/>
  <c r="J1475" i="5" s="1"/>
  <c r="J1476" i="5" s="1"/>
  <c r="J1477" i="5" s="1"/>
  <c r="J1478" i="5" s="1"/>
  <c r="J1479" i="5" s="1"/>
  <c r="J1480" i="5" s="1"/>
  <c r="J1481" i="5" s="1"/>
  <c r="J1482" i="5" s="1"/>
  <c r="J1483" i="5" s="1"/>
  <c r="J1484" i="5" s="1"/>
  <c r="J1485" i="5" s="1"/>
  <c r="J1486" i="5" s="1"/>
  <c r="J1487" i="5" s="1"/>
  <c r="J1488" i="5" s="1"/>
  <c r="J1489" i="5" s="1"/>
  <c r="J1490" i="5" s="1"/>
  <c r="J1491" i="5" s="1"/>
  <c r="J1492" i="5" s="1"/>
  <c r="J1493" i="5" s="1"/>
  <c r="J1494" i="5" s="1"/>
  <c r="J1495" i="5" s="1"/>
  <c r="J1496" i="5" s="1"/>
  <c r="J1497" i="5" s="1"/>
  <c r="J1498" i="5" s="1"/>
  <c r="J1499" i="5" s="1"/>
  <c r="J1500" i="5" s="1"/>
  <c r="J1501" i="5" s="1"/>
  <c r="J1502" i="5" s="1"/>
  <c r="J1503" i="5" s="1"/>
  <c r="J1504" i="5" s="1"/>
  <c r="J1505" i="5" s="1"/>
  <c r="J1506" i="5" s="1"/>
  <c r="J1507" i="5" s="1"/>
  <c r="J1508" i="5" s="1"/>
  <c r="J1509" i="5" s="1"/>
  <c r="J1510" i="5" s="1"/>
  <c r="J1511" i="5" s="1"/>
  <c r="J1512" i="5" s="1"/>
  <c r="J1513" i="5" s="1"/>
  <c r="J1514" i="5" s="1"/>
  <c r="J1515" i="5" s="1"/>
  <c r="J1516" i="5" s="1"/>
  <c r="J1517" i="5" s="1"/>
  <c r="J1518" i="5" s="1"/>
  <c r="J1519" i="5" s="1"/>
  <c r="J1520" i="5" s="1"/>
  <c r="J1521" i="5" s="1"/>
  <c r="J1522" i="5" s="1"/>
  <c r="J1523" i="5" s="1"/>
  <c r="J1524" i="5" s="1"/>
  <c r="J1525" i="5" s="1"/>
  <c r="J1526" i="5" s="1"/>
  <c r="J1527" i="5" s="1"/>
  <c r="J1528" i="5" s="1"/>
  <c r="J1529" i="5" s="1"/>
  <c r="J1530" i="5" s="1"/>
  <c r="J1531" i="5" s="1"/>
  <c r="J1532" i="5" s="1"/>
  <c r="J1533" i="5" s="1"/>
  <c r="J1534" i="5" s="1"/>
  <c r="J1535" i="5" s="1"/>
  <c r="J1536" i="5" s="1"/>
  <c r="J1537" i="5" s="1"/>
  <c r="J1538" i="5" s="1"/>
  <c r="J1539" i="5" s="1"/>
  <c r="J1540" i="5" s="1"/>
  <c r="J1541" i="5" s="1"/>
  <c r="J1542" i="5" s="1"/>
  <c r="J1543" i="5" s="1"/>
  <c r="J1544" i="5" s="1"/>
  <c r="J1545" i="5" s="1"/>
  <c r="J1546" i="5" s="1"/>
  <c r="J1547" i="5" s="1"/>
  <c r="J1548" i="5" s="1"/>
  <c r="J1549" i="5" s="1"/>
  <c r="J1550" i="5" s="1"/>
  <c r="J1551" i="5" s="1"/>
  <c r="J1552" i="5" s="1"/>
  <c r="J1553" i="5" s="1"/>
  <c r="J1554" i="5" s="1"/>
  <c r="J1555" i="5" s="1"/>
  <c r="J1556" i="5" s="1"/>
  <c r="J1557" i="5" s="1"/>
  <c r="J1558" i="5" s="1"/>
  <c r="J1559" i="5" s="1"/>
  <c r="J1560" i="5" s="1"/>
  <c r="J1561" i="5" s="1"/>
  <c r="J1562" i="5" s="1"/>
  <c r="J1563" i="5" s="1"/>
  <c r="J1564" i="5" s="1"/>
  <c r="J1565" i="5" s="1"/>
  <c r="J1566" i="5" s="1"/>
  <c r="J1567" i="5" s="1"/>
  <c r="J1568" i="5" s="1"/>
  <c r="J1569" i="5" s="1"/>
  <c r="J1570" i="5" s="1"/>
  <c r="J1571" i="5" s="1"/>
  <c r="J1572" i="5" s="1"/>
  <c r="J1573" i="5" s="1"/>
  <c r="J1574" i="5" s="1"/>
  <c r="J1575" i="5" s="1"/>
  <c r="J1576" i="5" s="1"/>
  <c r="J1577" i="5" s="1"/>
  <c r="J1578" i="5" s="1"/>
  <c r="J1579" i="5" s="1"/>
  <c r="J1580" i="5" s="1"/>
  <c r="J1581" i="5" s="1"/>
  <c r="J1582" i="5" s="1"/>
  <c r="J1583" i="5" s="1"/>
  <c r="J1584" i="5" s="1"/>
  <c r="J1585" i="5" s="1"/>
  <c r="J1586" i="5" s="1"/>
  <c r="J1587" i="5" s="1"/>
  <c r="J1588" i="5" s="1"/>
  <c r="J1589" i="5" s="1"/>
  <c r="J1590" i="5" s="1"/>
  <c r="J1591" i="5" s="1"/>
  <c r="J1592" i="5" s="1"/>
  <c r="J1593" i="5" s="1"/>
  <c r="J1594" i="5" s="1"/>
  <c r="J1595" i="5" s="1"/>
  <c r="J1596" i="5" s="1"/>
  <c r="J1597" i="5" s="1"/>
  <c r="J1598" i="5" s="1"/>
  <c r="J1599" i="5" s="1"/>
  <c r="J1600" i="5" s="1"/>
  <c r="J1601" i="5" s="1"/>
  <c r="J1602" i="5" s="1"/>
  <c r="J1603" i="5" s="1"/>
  <c r="J1604" i="5" s="1"/>
  <c r="J1605" i="5" s="1"/>
  <c r="J1606" i="5" s="1"/>
  <c r="J1607" i="5" s="1"/>
  <c r="J1608" i="5" s="1"/>
  <c r="J1609" i="5" s="1"/>
  <c r="J1610" i="5" s="1"/>
  <c r="J1611" i="5" s="1"/>
  <c r="J1612" i="5" s="1"/>
  <c r="J1613" i="5" s="1"/>
  <c r="J1614" i="5" s="1"/>
  <c r="J1615" i="5" s="1"/>
  <c r="J1616" i="5" s="1"/>
  <c r="Q1477" i="5" l="1"/>
  <c r="Q1478" i="5"/>
  <c r="Q1479" i="5"/>
  <c r="Q1480" i="5"/>
  <c r="Q1481" i="5"/>
  <c r="Q1482" i="5"/>
  <c r="Q1483" i="5"/>
  <c r="Q1484" i="5"/>
  <c r="Q1485" i="5"/>
  <c r="Q1486" i="5"/>
  <c r="Q1487" i="5"/>
  <c r="Q1488" i="5"/>
  <c r="Q1489" i="5"/>
  <c r="Q1490" i="5"/>
  <c r="Q1491" i="5"/>
  <c r="Q1492" i="5"/>
  <c r="Q1493" i="5"/>
  <c r="Q1494" i="5"/>
  <c r="Q1495" i="5"/>
  <c r="Q1496" i="5"/>
  <c r="Q1497" i="5"/>
  <c r="Q1498" i="5"/>
  <c r="Q1499" i="5"/>
  <c r="Q1500" i="5"/>
  <c r="Q1501" i="5"/>
  <c r="Q1502" i="5"/>
  <c r="Q1503" i="5"/>
  <c r="Q1504" i="5"/>
  <c r="Q1505" i="5"/>
  <c r="Q1506" i="5"/>
  <c r="Q1507" i="5"/>
  <c r="Q1508" i="5"/>
  <c r="Q1509" i="5"/>
  <c r="Q1510" i="5"/>
  <c r="Q1511" i="5"/>
  <c r="Q1512" i="5"/>
  <c r="Q1513" i="5"/>
  <c r="Q1514" i="5"/>
  <c r="Q1515" i="5"/>
  <c r="Q1516" i="5"/>
  <c r="Q1517" i="5"/>
  <c r="Q1518" i="5"/>
  <c r="Q1519" i="5"/>
  <c r="Q1520" i="5"/>
  <c r="Q1521" i="5"/>
  <c r="Q1522" i="5"/>
  <c r="Q1523" i="5"/>
  <c r="Q1524" i="5"/>
  <c r="Q1525" i="5"/>
  <c r="Q1526" i="5"/>
  <c r="Q1527" i="5"/>
  <c r="Q1528" i="5"/>
  <c r="Q1529" i="5"/>
  <c r="Q1530" i="5"/>
  <c r="Q1531" i="5"/>
  <c r="Q1532" i="5"/>
  <c r="Q1533" i="5"/>
  <c r="Q1534" i="5"/>
  <c r="Q1535" i="5"/>
  <c r="Q1536" i="5"/>
  <c r="Q1537" i="5"/>
  <c r="Q1538" i="5"/>
  <c r="Q1539" i="5"/>
  <c r="Q1540" i="5"/>
  <c r="Q1541" i="5"/>
  <c r="Q1542" i="5"/>
  <c r="Q1543" i="5"/>
  <c r="Q1544" i="5"/>
  <c r="Q1545" i="5"/>
  <c r="Q1546" i="5"/>
  <c r="Q1547" i="5"/>
  <c r="Q1548" i="5"/>
  <c r="Q1549" i="5"/>
  <c r="Q1550" i="5"/>
  <c r="Q1551" i="5"/>
  <c r="Q1552" i="5"/>
  <c r="Q1553" i="5"/>
  <c r="Q1554" i="5"/>
  <c r="Q1555" i="5"/>
  <c r="Q1556" i="5"/>
  <c r="Q1557" i="5"/>
  <c r="Q1558" i="5"/>
  <c r="Q1559" i="5"/>
  <c r="Q1560" i="5"/>
  <c r="Q1561" i="5"/>
  <c r="Q1562" i="5"/>
  <c r="Q1563" i="5"/>
  <c r="Q1564" i="5"/>
  <c r="Q1565" i="5"/>
  <c r="Q1566" i="5"/>
  <c r="Q1567" i="5"/>
  <c r="Q1568" i="5"/>
  <c r="Q1569" i="5"/>
  <c r="Q1570" i="5"/>
  <c r="Q1571" i="5"/>
  <c r="Q1572" i="5"/>
  <c r="Q1573" i="5"/>
  <c r="Q1574" i="5"/>
  <c r="Q1575" i="5"/>
  <c r="Q1576" i="5"/>
  <c r="Q1577" i="5"/>
  <c r="Q1578" i="5"/>
  <c r="Q1579" i="5"/>
  <c r="Q1580" i="5"/>
  <c r="Q1581" i="5"/>
  <c r="Q1582" i="5"/>
  <c r="Q1583" i="5"/>
  <c r="Q1584" i="5"/>
  <c r="Q1585" i="5"/>
  <c r="Q1586" i="5"/>
  <c r="Q1587" i="5"/>
  <c r="Q1588" i="5"/>
  <c r="Q1589" i="5"/>
  <c r="Q1590" i="5"/>
  <c r="Q1591" i="5"/>
  <c r="Q1592" i="5"/>
  <c r="Q1593" i="5"/>
  <c r="Q1594" i="5"/>
  <c r="Q1595" i="5"/>
  <c r="Q1596" i="5"/>
  <c r="Q1597" i="5"/>
  <c r="Q1598" i="5"/>
  <c r="Q1599" i="5"/>
  <c r="Q1600" i="5"/>
  <c r="Q1601" i="5"/>
  <c r="Q1602" i="5"/>
  <c r="Q1603" i="5"/>
  <c r="Q1604" i="5"/>
  <c r="Q1605" i="5"/>
  <c r="Q1606" i="5"/>
  <c r="Q1607" i="5"/>
  <c r="Q1608" i="5"/>
  <c r="Q1609" i="5"/>
  <c r="Q1610" i="5"/>
  <c r="Q1611" i="5"/>
  <c r="Q1612" i="5"/>
  <c r="Q1613" i="5"/>
  <c r="Q1614" i="5"/>
  <c r="Q1615" i="5"/>
  <c r="Q1616" i="5"/>
  <c r="Q6" i="5"/>
  <c r="Q7" i="5"/>
  <c r="Q8" i="5"/>
  <c r="Q9" i="5"/>
  <c r="Q10" i="5"/>
  <c r="Q11" i="5"/>
  <c r="Q12" i="5"/>
  <c r="Q13" i="5"/>
  <c r="Q14" i="5"/>
  <c r="Q15" i="5"/>
  <c r="Q16" i="5"/>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Q121" i="5"/>
  <c r="Q122" i="5"/>
  <c r="Q123" i="5"/>
  <c r="Q124" i="5"/>
  <c r="Q125" i="5"/>
  <c r="Q126" i="5"/>
  <c r="Q127" i="5"/>
  <c r="Q128" i="5"/>
  <c r="Q129" i="5"/>
  <c r="Q130" i="5"/>
  <c r="Q131" i="5"/>
  <c r="Q132" i="5"/>
  <c r="Q133" i="5"/>
  <c r="Q134" i="5"/>
  <c r="Q135" i="5"/>
  <c r="Q136" i="5"/>
  <c r="Q137" i="5"/>
  <c r="Q138" i="5"/>
  <c r="Q139" i="5"/>
  <c r="Q140" i="5"/>
  <c r="Q141" i="5"/>
  <c r="Q142" i="5"/>
  <c r="Q143" i="5"/>
  <c r="Q144" i="5"/>
  <c r="Q145" i="5"/>
  <c r="Q146" i="5"/>
  <c r="Q147" i="5"/>
  <c r="Q148" i="5"/>
  <c r="Q149" i="5"/>
  <c r="Q150" i="5"/>
  <c r="Q151" i="5"/>
  <c r="Q152" i="5"/>
  <c r="Q153" i="5"/>
  <c r="Q154" i="5"/>
  <c r="Q155" i="5"/>
  <c r="Q156" i="5"/>
  <c r="Q157" i="5"/>
  <c r="Q158" i="5"/>
  <c r="Q159" i="5"/>
  <c r="Q160" i="5"/>
  <c r="Q161" i="5"/>
  <c r="Q162" i="5"/>
  <c r="Q163" i="5"/>
  <c r="Q164" i="5"/>
  <c r="Q165" i="5"/>
  <c r="Q166" i="5"/>
  <c r="Q167" i="5"/>
  <c r="Q168" i="5"/>
  <c r="Q169" i="5"/>
  <c r="Q170" i="5"/>
  <c r="Q171" i="5"/>
  <c r="Q172" i="5"/>
  <c r="Q173" i="5"/>
  <c r="Q174" i="5"/>
  <c r="Q175" i="5"/>
  <c r="Q176" i="5"/>
  <c r="Q177" i="5"/>
  <c r="Q178" i="5"/>
  <c r="Q179" i="5"/>
  <c r="Q180" i="5"/>
  <c r="Q181" i="5"/>
  <c r="Q182" i="5"/>
  <c r="Q183" i="5"/>
  <c r="Q184" i="5"/>
  <c r="Q185" i="5"/>
  <c r="Q186" i="5"/>
  <c r="Q187" i="5"/>
  <c r="Q188" i="5"/>
  <c r="Q189" i="5"/>
  <c r="Q190" i="5"/>
  <c r="Q191" i="5"/>
  <c r="Q192" i="5"/>
  <c r="Q193" i="5"/>
  <c r="Q194" i="5"/>
  <c r="Q195" i="5"/>
  <c r="Q196" i="5"/>
  <c r="Q197" i="5"/>
  <c r="Q198" i="5"/>
  <c r="Q199" i="5"/>
  <c r="Q200" i="5"/>
  <c r="Q201" i="5"/>
  <c r="Q202" i="5"/>
  <c r="Q203" i="5"/>
  <c r="Q204" i="5"/>
  <c r="Q205" i="5"/>
  <c r="Q206" i="5"/>
  <c r="Q207" i="5"/>
  <c r="Q208" i="5"/>
  <c r="Q209" i="5"/>
  <c r="Q210" i="5"/>
  <c r="Q211" i="5"/>
  <c r="Q212" i="5"/>
  <c r="Q213" i="5"/>
  <c r="Q214" i="5"/>
  <c r="Q215" i="5"/>
  <c r="Q216" i="5"/>
  <c r="Q217" i="5"/>
  <c r="Q218" i="5"/>
  <c r="Q219" i="5"/>
  <c r="Q220" i="5"/>
  <c r="Q221" i="5"/>
  <c r="Q222" i="5"/>
  <c r="Q223" i="5"/>
  <c r="Q224" i="5"/>
  <c r="Q225" i="5"/>
  <c r="Q226" i="5"/>
  <c r="Q227" i="5"/>
  <c r="Q228" i="5"/>
  <c r="Q229" i="5"/>
  <c r="Q230" i="5"/>
  <c r="Q231" i="5"/>
  <c r="Q232" i="5"/>
  <c r="Q233" i="5"/>
  <c r="Q234" i="5"/>
  <c r="Q235" i="5"/>
  <c r="Q236" i="5"/>
  <c r="Q237" i="5"/>
  <c r="Q238" i="5"/>
  <c r="Q239" i="5"/>
  <c r="Q240" i="5"/>
  <c r="Q241" i="5"/>
  <c r="Q242" i="5"/>
  <c r="Q243" i="5"/>
  <c r="Q244" i="5"/>
  <c r="Q245" i="5"/>
  <c r="Q246" i="5"/>
  <c r="Q247" i="5"/>
  <c r="Q248" i="5"/>
  <c r="Q249" i="5"/>
  <c r="Q250" i="5"/>
  <c r="Q251" i="5"/>
  <c r="Q252" i="5"/>
  <c r="Q253" i="5"/>
  <c r="Q254" i="5"/>
  <c r="Q255" i="5"/>
  <c r="Q256" i="5"/>
  <c r="Q257" i="5"/>
  <c r="Q258" i="5"/>
  <c r="Q259" i="5"/>
  <c r="Q260" i="5"/>
  <c r="Q261" i="5"/>
  <c r="Q262" i="5"/>
  <c r="Q263" i="5"/>
  <c r="Q264" i="5"/>
  <c r="Q265" i="5"/>
  <c r="Q266" i="5"/>
  <c r="Q267" i="5"/>
  <c r="Q268" i="5"/>
  <c r="Q269" i="5"/>
  <c r="Q270" i="5"/>
  <c r="Q271" i="5"/>
  <c r="Q272" i="5"/>
  <c r="Q273" i="5"/>
  <c r="Q274" i="5"/>
  <c r="Q275" i="5"/>
  <c r="Q276" i="5"/>
  <c r="Q277" i="5"/>
  <c r="Q278" i="5"/>
  <c r="Q279" i="5"/>
  <c r="Q280" i="5"/>
  <c r="Q281" i="5"/>
  <c r="Q282" i="5"/>
  <c r="Q283" i="5"/>
  <c r="Q284" i="5"/>
  <c r="Q285" i="5"/>
  <c r="Q286" i="5"/>
  <c r="Q287" i="5"/>
  <c r="Q288" i="5"/>
  <c r="Q289" i="5"/>
  <c r="Q290" i="5"/>
  <c r="Q291" i="5"/>
  <c r="Q292" i="5"/>
  <c r="Q293" i="5"/>
  <c r="Q294" i="5"/>
  <c r="Q295" i="5"/>
  <c r="Q296" i="5"/>
  <c r="Q297" i="5"/>
  <c r="Q298" i="5"/>
  <c r="Q299" i="5"/>
  <c r="Q300" i="5"/>
  <c r="Q301" i="5"/>
  <c r="Q302" i="5"/>
  <c r="Q303" i="5"/>
  <c r="Q304" i="5"/>
  <c r="Q305" i="5"/>
  <c r="Q306" i="5"/>
  <c r="Q307" i="5"/>
  <c r="Q308" i="5"/>
  <c r="Q309" i="5"/>
  <c r="Q310" i="5"/>
  <c r="Q311" i="5"/>
  <c r="Q312" i="5"/>
  <c r="Q313" i="5"/>
  <c r="Q314" i="5"/>
  <c r="Q315" i="5"/>
  <c r="Q316" i="5"/>
  <c r="Q317" i="5"/>
  <c r="Q318" i="5"/>
  <c r="Q319" i="5"/>
  <c r="Q320" i="5"/>
  <c r="Q321" i="5"/>
  <c r="Q322" i="5"/>
  <c r="Q323" i="5"/>
  <c r="Q324" i="5"/>
  <c r="Q325" i="5"/>
  <c r="Q326" i="5"/>
  <c r="Q327" i="5"/>
  <c r="Q328" i="5"/>
  <c r="Q329" i="5"/>
  <c r="Q330" i="5"/>
  <c r="Q331" i="5"/>
  <c r="Q332" i="5"/>
  <c r="Q333" i="5"/>
  <c r="Q334" i="5"/>
  <c r="Q335" i="5"/>
  <c r="Q336" i="5"/>
  <c r="Q337" i="5"/>
  <c r="Q338" i="5"/>
  <c r="Q339" i="5"/>
  <c r="Q340" i="5"/>
  <c r="Q341" i="5"/>
  <c r="Q342" i="5"/>
  <c r="Q343" i="5"/>
  <c r="Q344" i="5"/>
  <c r="Q345" i="5"/>
  <c r="Q346" i="5"/>
  <c r="Q347" i="5"/>
  <c r="Q348" i="5"/>
  <c r="Q349" i="5"/>
  <c r="Q350" i="5"/>
  <c r="Q351" i="5"/>
  <c r="Q352" i="5"/>
  <c r="Q353" i="5"/>
  <c r="Q354" i="5"/>
  <c r="Q355" i="5"/>
  <c r="Q356" i="5"/>
  <c r="Q357" i="5"/>
  <c r="Q358" i="5"/>
  <c r="Q359" i="5"/>
  <c r="Q360" i="5"/>
  <c r="Q361" i="5"/>
  <c r="Q362" i="5"/>
  <c r="Q363" i="5"/>
  <c r="Q364" i="5"/>
  <c r="Q365" i="5"/>
  <c r="Q366" i="5"/>
  <c r="Q367" i="5"/>
  <c r="Q368" i="5"/>
  <c r="Q369" i="5"/>
  <c r="Q370" i="5"/>
  <c r="Q371" i="5"/>
  <c r="Q372" i="5"/>
  <c r="Q373" i="5"/>
  <c r="Q374" i="5"/>
  <c r="Q375" i="5"/>
  <c r="Q376" i="5"/>
  <c r="Q377" i="5"/>
  <c r="Q378" i="5"/>
  <c r="Q379" i="5"/>
  <c r="Q380" i="5"/>
  <c r="Q381" i="5"/>
  <c r="Q382" i="5"/>
  <c r="Q383" i="5"/>
  <c r="Q384" i="5"/>
  <c r="Q385" i="5"/>
  <c r="Q386" i="5"/>
  <c r="Q387" i="5"/>
  <c r="Q388" i="5"/>
  <c r="Q389" i="5"/>
  <c r="Q390" i="5"/>
  <c r="Q391" i="5"/>
  <c r="Q392" i="5"/>
  <c r="Q393" i="5"/>
  <c r="Q394" i="5"/>
  <c r="Q395" i="5"/>
  <c r="Q396" i="5"/>
  <c r="Q397" i="5"/>
  <c r="Q398" i="5"/>
  <c r="Q399" i="5"/>
  <c r="Q400" i="5"/>
  <c r="Q401" i="5"/>
  <c r="Q402" i="5"/>
  <c r="Q403" i="5"/>
  <c r="Q404" i="5"/>
  <c r="Q405" i="5"/>
  <c r="Q406" i="5"/>
  <c r="Q407" i="5"/>
  <c r="Q408" i="5"/>
  <c r="Q409" i="5"/>
  <c r="Q410" i="5"/>
  <c r="Q411" i="5"/>
  <c r="Q412" i="5"/>
  <c r="Q413" i="5"/>
  <c r="Q414" i="5"/>
  <c r="Q415" i="5"/>
  <c r="Q416" i="5"/>
  <c r="Q417" i="5"/>
  <c r="Q418" i="5"/>
  <c r="Q419" i="5"/>
  <c r="Q420" i="5"/>
  <c r="Q421" i="5"/>
  <c r="Q422" i="5"/>
  <c r="Q423" i="5"/>
  <c r="Q424" i="5"/>
  <c r="Q425" i="5"/>
  <c r="Q426" i="5"/>
  <c r="Q427" i="5"/>
  <c r="Q428" i="5"/>
  <c r="Q429" i="5"/>
  <c r="Q430" i="5"/>
  <c r="Q431" i="5"/>
  <c r="Q432" i="5"/>
  <c r="Q433" i="5"/>
  <c r="Q434" i="5"/>
  <c r="Q435" i="5"/>
  <c r="Q436" i="5"/>
  <c r="Q437" i="5"/>
  <c r="Q438" i="5"/>
  <c r="Q439" i="5"/>
  <c r="Q440" i="5"/>
  <c r="Q441" i="5"/>
  <c r="Q442" i="5"/>
  <c r="Q443" i="5"/>
  <c r="Q444" i="5"/>
  <c r="Q445" i="5"/>
  <c r="Q446" i="5"/>
  <c r="Q447" i="5"/>
  <c r="Q448" i="5"/>
  <c r="Q449" i="5"/>
  <c r="Q450" i="5"/>
  <c r="Q451" i="5"/>
  <c r="Q452" i="5"/>
  <c r="Q453" i="5"/>
  <c r="Q454" i="5"/>
  <c r="Q455" i="5"/>
  <c r="Q456" i="5"/>
  <c r="Q457" i="5"/>
  <c r="Q458" i="5"/>
  <c r="Q459" i="5"/>
  <c r="Q460" i="5"/>
  <c r="Q461" i="5"/>
  <c r="Q462" i="5"/>
  <c r="Q463" i="5"/>
  <c r="Q464" i="5"/>
  <c r="Q465" i="5"/>
  <c r="Q466" i="5"/>
  <c r="Q467" i="5"/>
  <c r="Q468" i="5"/>
  <c r="Q469" i="5"/>
  <c r="Q470" i="5"/>
  <c r="Q471" i="5"/>
  <c r="Q472" i="5"/>
  <c r="Q473" i="5"/>
  <c r="Q474" i="5"/>
  <c r="Q475" i="5"/>
  <c r="Q476" i="5"/>
  <c r="Q477" i="5"/>
  <c r="Q478" i="5"/>
  <c r="Q479" i="5"/>
  <c r="Q480" i="5"/>
  <c r="Q481" i="5"/>
  <c r="Q482" i="5"/>
  <c r="Q483" i="5"/>
  <c r="Q484" i="5"/>
  <c r="Q485" i="5"/>
  <c r="Q486" i="5"/>
  <c r="Q487" i="5"/>
  <c r="Q488" i="5"/>
  <c r="Q489" i="5"/>
  <c r="Q490" i="5"/>
  <c r="Q491" i="5"/>
  <c r="Q492" i="5"/>
  <c r="Q493" i="5"/>
  <c r="Q494" i="5"/>
  <c r="Q495" i="5"/>
  <c r="Q496" i="5"/>
  <c r="Q497" i="5"/>
  <c r="Q498" i="5"/>
  <c r="Q499" i="5"/>
  <c r="Q500" i="5"/>
  <c r="Q501" i="5"/>
  <c r="Q502" i="5"/>
  <c r="Q503" i="5"/>
  <c r="Q504" i="5"/>
  <c r="Q505" i="5"/>
  <c r="Q506" i="5"/>
  <c r="Q507" i="5"/>
  <c r="Q508" i="5"/>
  <c r="Q509" i="5"/>
  <c r="Q510" i="5"/>
  <c r="Q511" i="5"/>
  <c r="Q512" i="5"/>
  <c r="Q513" i="5"/>
  <c r="Q514" i="5"/>
  <c r="Q515" i="5"/>
  <c r="Q516" i="5"/>
  <c r="Q517" i="5"/>
  <c r="Q518" i="5"/>
  <c r="Q519" i="5"/>
  <c r="Q520" i="5"/>
  <c r="Q521" i="5"/>
  <c r="Q522" i="5"/>
  <c r="Q523" i="5"/>
  <c r="Q524" i="5"/>
  <c r="Q525" i="5"/>
  <c r="Q526" i="5"/>
  <c r="Q527" i="5"/>
  <c r="Q528" i="5"/>
  <c r="Q529" i="5"/>
  <c r="Q530" i="5"/>
  <c r="Q531" i="5"/>
  <c r="Q532" i="5"/>
  <c r="Q533" i="5"/>
  <c r="Q534" i="5"/>
  <c r="Q535" i="5"/>
  <c r="Q536" i="5"/>
  <c r="Q537" i="5"/>
  <c r="Q538" i="5"/>
  <c r="Q539" i="5"/>
  <c r="Q540" i="5"/>
  <c r="Q541" i="5"/>
  <c r="Q542" i="5"/>
  <c r="Q543" i="5"/>
  <c r="Q544" i="5"/>
  <c r="Q545" i="5"/>
  <c r="Q546" i="5"/>
  <c r="Q547" i="5"/>
  <c r="Q548" i="5"/>
  <c r="Q549" i="5"/>
  <c r="Q550" i="5"/>
  <c r="Q551" i="5"/>
  <c r="Q552" i="5"/>
  <c r="Q553" i="5"/>
  <c r="Q554" i="5"/>
  <c r="Q555" i="5"/>
  <c r="Q556" i="5"/>
  <c r="Q557" i="5"/>
  <c r="Q558" i="5"/>
  <c r="Q559" i="5"/>
  <c r="Q560" i="5"/>
  <c r="Q561" i="5"/>
  <c r="Q562" i="5"/>
  <c r="Q563" i="5"/>
  <c r="Q564" i="5"/>
  <c r="Q565" i="5"/>
  <c r="Q566" i="5"/>
  <c r="Q567" i="5"/>
  <c r="Q568" i="5"/>
  <c r="Q569" i="5"/>
  <c r="Q570" i="5"/>
  <c r="Q571" i="5"/>
  <c r="Q572" i="5"/>
  <c r="Q573" i="5"/>
  <c r="Q574" i="5"/>
  <c r="Q575" i="5"/>
  <c r="Q576" i="5"/>
  <c r="Q577" i="5"/>
  <c r="Q578" i="5"/>
  <c r="Q579" i="5"/>
  <c r="Q580" i="5"/>
  <c r="Q581" i="5"/>
  <c r="Q582" i="5"/>
  <c r="Q583" i="5"/>
  <c r="Q584" i="5"/>
  <c r="Q585" i="5"/>
  <c r="Q586" i="5"/>
  <c r="Q587" i="5"/>
  <c r="Q588" i="5"/>
  <c r="Q589" i="5"/>
  <c r="Q590" i="5"/>
  <c r="Q591" i="5"/>
  <c r="Q592" i="5"/>
  <c r="Q593" i="5"/>
  <c r="Q594" i="5"/>
  <c r="Q595" i="5"/>
  <c r="Q596" i="5"/>
  <c r="Q597" i="5"/>
  <c r="Q598" i="5"/>
  <c r="Q599" i="5"/>
  <c r="Q600" i="5"/>
  <c r="Q601" i="5"/>
  <c r="Q602" i="5"/>
  <c r="Q603" i="5"/>
  <c r="Q604" i="5"/>
  <c r="Q605" i="5"/>
  <c r="Q606" i="5"/>
  <c r="Q607" i="5"/>
  <c r="Q608" i="5"/>
  <c r="Q609" i="5"/>
  <c r="Q610" i="5"/>
  <c r="Q611" i="5"/>
  <c r="Q612" i="5"/>
  <c r="Q613" i="5"/>
  <c r="Q614" i="5"/>
  <c r="Q615" i="5"/>
  <c r="Q616" i="5"/>
  <c r="Q617" i="5"/>
  <c r="Q618" i="5"/>
  <c r="Q619" i="5"/>
  <c r="Q620" i="5"/>
  <c r="Q621" i="5"/>
  <c r="Q622" i="5"/>
  <c r="Q623" i="5"/>
  <c r="Q624" i="5"/>
  <c r="Q625" i="5"/>
  <c r="Q626" i="5"/>
  <c r="Q627" i="5"/>
  <c r="Q628" i="5"/>
  <c r="Q629" i="5"/>
  <c r="Q630" i="5"/>
  <c r="Q631" i="5"/>
  <c r="Q632" i="5"/>
  <c r="Q633" i="5"/>
  <c r="Q634" i="5"/>
  <c r="Q635" i="5"/>
  <c r="Q636" i="5"/>
  <c r="Q637" i="5"/>
  <c r="Q638" i="5"/>
  <c r="Q639" i="5"/>
  <c r="Q640" i="5"/>
  <c r="Q641" i="5"/>
  <c r="Q642" i="5"/>
  <c r="Q643" i="5"/>
  <c r="Q644" i="5"/>
  <c r="Q645" i="5"/>
  <c r="Q646" i="5"/>
  <c r="Q647" i="5"/>
  <c r="Q648" i="5"/>
  <c r="Q649" i="5"/>
  <c r="Q650" i="5"/>
  <c r="Q651" i="5"/>
  <c r="Q652" i="5"/>
  <c r="Q653" i="5"/>
  <c r="Q654" i="5"/>
  <c r="Q655" i="5"/>
  <c r="Q656" i="5"/>
  <c r="Q657" i="5"/>
  <c r="Q658" i="5"/>
  <c r="Q659" i="5"/>
  <c r="Q660" i="5"/>
  <c r="Q661" i="5"/>
  <c r="Q662" i="5"/>
  <c r="Q663" i="5"/>
  <c r="Q664" i="5"/>
  <c r="Q665" i="5"/>
  <c r="Q666" i="5"/>
  <c r="Q667" i="5"/>
  <c r="Q668" i="5"/>
  <c r="Q669" i="5"/>
  <c r="Q670" i="5"/>
  <c r="Q671" i="5"/>
  <c r="Q672" i="5"/>
  <c r="Q673" i="5"/>
  <c r="Q674" i="5"/>
  <c r="Q675" i="5"/>
  <c r="Q676" i="5"/>
  <c r="Q677" i="5"/>
  <c r="Q678" i="5"/>
  <c r="Q679" i="5"/>
  <c r="Q680" i="5"/>
  <c r="Q681" i="5"/>
  <c r="Q682" i="5"/>
  <c r="Q683" i="5"/>
  <c r="Q684" i="5"/>
  <c r="Q685" i="5"/>
  <c r="Q686" i="5"/>
  <c r="Q687" i="5"/>
  <c r="Q688" i="5"/>
  <c r="Q689" i="5"/>
  <c r="Q690" i="5"/>
  <c r="Q691" i="5"/>
  <c r="Q692" i="5"/>
  <c r="Q693" i="5"/>
  <c r="Q694" i="5"/>
  <c r="Q695" i="5"/>
  <c r="Q696" i="5"/>
  <c r="Q697" i="5"/>
  <c r="Q698" i="5"/>
  <c r="Q699" i="5"/>
  <c r="Q700" i="5"/>
  <c r="Q701" i="5"/>
  <c r="Q702" i="5"/>
  <c r="Q703" i="5"/>
  <c r="Q704" i="5"/>
  <c r="Q705" i="5"/>
  <c r="Q706" i="5"/>
  <c r="Q707" i="5"/>
  <c r="Q708" i="5"/>
  <c r="Q709" i="5"/>
  <c r="Q710" i="5"/>
  <c r="Q711" i="5"/>
  <c r="Q712" i="5"/>
  <c r="Q713" i="5"/>
  <c r="Q714" i="5"/>
  <c r="Q715" i="5"/>
  <c r="Q716" i="5"/>
  <c r="Q717" i="5"/>
  <c r="Q718" i="5"/>
  <c r="Q719" i="5"/>
  <c r="Q720" i="5"/>
  <c r="Q721" i="5"/>
  <c r="Q722" i="5"/>
  <c r="Q723" i="5"/>
  <c r="Q724" i="5"/>
  <c r="Q725" i="5"/>
  <c r="Q726" i="5"/>
  <c r="Q727" i="5"/>
  <c r="Q728" i="5"/>
  <c r="Q729" i="5"/>
  <c r="Q730" i="5"/>
  <c r="Q731" i="5"/>
  <c r="Q732" i="5"/>
  <c r="Q733" i="5"/>
  <c r="Q734" i="5"/>
  <c r="Q735" i="5"/>
  <c r="Q736" i="5"/>
  <c r="Q737" i="5"/>
  <c r="Q738" i="5"/>
  <c r="Q739" i="5"/>
  <c r="Q740" i="5"/>
  <c r="Q741" i="5"/>
  <c r="Q742" i="5"/>
  <c r="Q743" i="5"/>
  <c r="Q744" i="5"/>
  <c r="Q745" i="5"/>
  <c r="Q746" i="5"/>
  <c r="Q747" i="5"/>
  <c r="Q748" i="5"/>
  <c r="Q749" i="5"/>
  <c r="Q750" i="5"/>
  <c r="Q751" i="5"/>
  <c r="Q752" i="5"/>
  <c r="Q753" i="5"/>
  <c r="Q754" i="5"/>
  <c r="Q755" i="5"/>
  <c r="Q756" i="5"/>
  <c r="Q757" i="5"/>
  <c r="Q758" i="5"/>
  <c r="Q759" i="5"/>
  <c r="Q760" i="5"/>
  <c r="Q761" i="5"/>
  <c r="Q762" i="5"/>
  <c r="Q763" i="5"/>
  <c r="Q764" i="5"/>
  <c r="Q765" i="5"/>
  <c r="Q766" i="5"/>
  <c r="Q767" i="5"/>
  <c r="Q768" i="5"/>
  <c r="Q769" i="5"/>
  <c r="Q770" i="5"/>
  <c r="Q771" i="5"/>
  <c r="Q772" i="5"/>
  <c r="Q773" i="5"/>
  <c r="Q774" i="5"/>
  <c r="Q775" i="5"/>
  <c r="Q776" i="5"/>
  <c r="Q777" i="5"/>
  <c r="Q778" i="5"/>
  <c r="Q779" i="5"/>
  <c r="Q780" i="5"/>
  <c r="Q781" i="5"/>
  <c r="Q782" i="5"/>
  <c r="Q783" i="5"/>
  <c r="Q784" i="5"/>
  <c r="Q785" i="5"/>
  <c r="Q786" i="5"/>
  <c r="Q787" i="5"/>
  <c r="Q788" i="5"/>
  <c r="Q789" i="5"/>
  <c r="Q790" i="5"/>
  <c r="Q791" i="5"/>
  <c r="Q792" i="5"/>
  <c r="Q793" i="5"/>
  <c r="Q794" i="5"/>
  <c r="Q795" i="5"/>
  <c r="Q796" i="5"/>
  <c r="Q797" i="5"/>
  <c r="Q798" i="5"/>
  <c r="Q799" i="5"/>
  <c r="Q800" i="5"/>
  <c r="Q801" i="5"/>
  <c r="Q802" i="5"/>
  <c r="Q803" i="5"/>
  <c r="Q804" i="5"/>
  <c r="Q805" i="5"/>
  <c r="Q806" i="5"/>
  <c r="Q807" i="5"/>
  <c r="Q808" i="5"/>
  <c r="Q809" i="5"/>
  <c r="Q810" i="5"/>
  <c r="Q811" i="5"/>
  <c r="Q812" i="5"/>
  <c r="Q813" i="5"/>
  <c r="Q814" i="5"/>
  <c r="Q815" i="5"/>
  <c r="Q816" i="5"/>
  <c r="Q817" i="5"/>
  <c r="Q818" i="5"/>
  <c r="Q819" i="5"/>
  <c r="Q820" i="5"/>
  <c r="Q821" i="5"/>
  <c r="Q822" i="5"/>
  <c r="Q823" i="5"/>
  <c r="Q824" i="5"/>
  <c r="Q825" i="5"/>
  <c r="Q826" i="5"/>
  <c r="Q827" i="5"/>
  <c r="Q828" i="5"/>
  <c r="Q829" i="5"/>
  <c r="Q830" i="5"/>
  <c r="Q831" i="5"/>
  <c r="Q832" i="5"/>
  <c r="Q833" i="5"/>
  <c r="Q834" i="5"/>
  <c r="Q835" i="5"/>
  <c r="Q836" i="5"/>
  <c r="Q837" i="5"/>
  <c r="Q838" i="5"/>
  <c r="Q839" i="5"/>
  <c r="Q840" i="5"/>
  <c r="Q841" i="5"/>
  <c r="Q842" i="5"/>
  <c r="Q843" i="5"/>
  <c r="Q844" i="5"/>
  <c r="Q845" i="5"/>
  <c r="Q846" i="5"/>
  <c r="Q847" i="5"/>
  <c r="Q848" i="5"/>
  <c r="Q849" i="5"/>
  <c r="Q850" i="5"/>
  <c r="Q851" i="5"/>
  <c r="Q852" i="5"/>
  <c r="Q853" i="5"/>
  <c r="Q854" i="5"/>
  <c r="Q855" i="5"/>
  <c r="Q856" i="5"/>
  <c r="Q857" i="5"/>
  <c r="Q858" i="5"/>
  <c r="Q859" i="5"/>
  <c r="Q860" i="5"/>
  <c r="Q861" i="5"/>
  <c r="Q862" i="5"/>
  <c r="Q863" i="5"/>
  <c r="Q864" i="5"/>
  <c r="Q865" i="5"/>
  <c r="Q866" i="5"/>
  <c r="Q867" i="5"/>
  <c r="Q868" i="5"/>
  <c r="Q869" i="5"/>
  <c r="Q870" i="5"/>
  <c r="Q871" i="5"/>
  <c r="Q872" i="5"/>
  <c r="Q873" i="5"/>
  <c r="Q874" i="5"/>
  <c r="Q875" i="5"/>
  <c r="Q876" i="5"/>
  <c r="Q877" i="5"/>
  <c r="Q878" i="5"/>
  <c r="Q879" i="5"/>
  <c r="Q880" i="5"/>
  <c r="Q881" i="5"/>
  <c r="Q882" i="5"/>
  <c r="Q883" i="5"/>
  <c r="Q884" i="5"/>
  <c r="Q885" i="5"/>
  <c r="Q886" i="5"/>
  <c r="Q887" i="5"/>
  <c r="Q888" i="5"/>
  <c r="Q889" i="5"/>
  <c r="Q890" i="5"/>
  <c r="Q891" i="5"/>
  <c r="Q892" i="5"/>
  <c r="Q893" i="5"/>
  <c r="Q894" i="5"/>
  <c r="Q895" i="5"/>
  <c r="Q896" i="5"/>
  <c r="Q897" i="5"/>
  <c r="Q898" i="5"/>
  <c r="Q899" i="5"/>
  <c r="Q900" i="5"/>
  <c r="Q901" i="5"/>
  <c r="Q902" i="5"/>
  <c r="Q903" i="5"/>
  <c r="Q904" i="5"/>
  <c r="Q905" i="5"/>
  <c r="Q906" i="5"/>
  <c r="Q907" i="5"/>
  <c r="Q908" i="5"/>
  <c r="Q909" i="5"/>
  <c r="Q910" i="5"/>
  <c r="Q911" i="5"/>
  <c r="Q912" i="5"/>
  <c r="Q913" i="5"/>
  <c r="Q914" i="5"/>
  <c r="Q915" i="5"/>
  <c r="Q916" i="5"/>
  <c r="Q917" i="5"/>
  <c r="Q918" i="5"/>
  <c r="Q919" i="5"/>
  <c r="Q920" i="5"/>
  <c r="Q921" i="5"/>
  <c r="Q922" i="5"/>
  <c r="Q923" i="5"/>
  <c r="Q924" i="5"/>
  <c r="Q925" i="5"/>
  <c r="Q926" i="5"/>
  <c r="Q927" i="5"/>
  <c r="Q928" i="5"/>
  <c r="Q929" i="5"/>
  <c r="Q930" i="5"/>
  <c r="Q931" i="5"/>
  <c r="Q932" i="5"/>
  <c r="Q933" i="5"/>
  <c r="Q934" i="5"/>
  <c r="Q935" i="5"/>
  <c r="Q936" i="5"/>
  <c r="Q937" i="5"/>
  <c r="Q938" i="5"/>
  <c r="Q939" i="5"/>
  <c r="Q940" i="5"/>
  <c r="Q941" i="5"/>
  <c r="Q942" i="5"/>
  <c r="Q943" i="5"/>
  <c r="Q944" i="5"/>
  <c r="Q945" i="5"/>
  <c r="Q946" i="5"/>
  <c r="Q947" i="5"/>
  <c r="Q948" i="5"/>
  <c r="Q949" i="5"/>
  <c r="Q950" i="5"/>
  <c r="Q951" i="5"/>
  <c r="Q952" i="5"/>
  <c r="Q953" i="5"/>
  <c r="Q954" i="5"/>
  <c r="Q955" i="5"/>
  <c r="Q956" i="5"/>
  <c r="Q957" i="5"/>
  <c r="Q958" i="5"/>
  <c r="Q959" i="5"/>
  <c r="Q960" i="5"/>
  <c r="Q961" i="5"/>
  <c r="Q962" i="5"/>
  <c r="Q963" i="5"/>
  <c r="Q964" i="5"/>
  <c r="Q965" i="5"/>
  <c r="Q966" i="5"/>
  <c r="Q967" i="5"/>
  <c r="Q968" i="5"/>
  <c r="Q969" i="5"/>
  <c r="Q970" i="5"/>
  <c r="Q971" i="5"/>
  <c r="Q972" i="5"/>
  <c r="Q973" i="5"/>
  <c r="Q974" i="5"/>
  <c r="Q975" i="5"/>
  <c r="Q976" i="5"/>
  <c r="Q977" i="5"/>
  <c r="Q978" i="5"/>
  <c r="Q979" i="5"/>
  <c r="Q980" i="5"/>
  <c r="Q981" i="5"/>
  <c r="Q982" i="5"/>
  <c r="Q983" i="5"/>
  <c r="Q984" i="5"/>
  <c r="Q985" i="5"/>
  <c r="Q986" i="5"/>
  <c r="Q987" i="5"/>
  <c r="Q988" i="5"/>
  <c r="Q989" i="5"/>
  <c r="Q990" i="5"/>
  <c r="Q991" i="5"/>
  <c r="Q992" i="5"/>
  <c r="Q993" i="5"/>
  <c r="Q994" i="5"/>
  <c r="Q995" i="5"/>
  <c r="Q996" i="5"/>
  <c r="Q997" i="5"/>
  <c r="Q998" i="5"/>
  <c r="Q999" i="5"/>
  <c r="Q1000" i="5"/>
  <c r="Q1001" i="5"/>
  <c r="Q1002" i="5"/>
  <c r="Q1003" i="5"/>
  <c r="Q1004" i="5"/>
  <c r="Q1005" i="5"/>
  <c r="Q1006" i="5"/>
  <c r="Q1007" i="5"/>
  <c r="Q1008" i="5"/>
  <c r="Q1009" i="5"/>
  <c r="Q1010" i="5"/>
  <c r="Q1011" i="5"/>
  <c r="Q1012" i="5"/>
  <c r="Q1013" i="5"/>
  <c r="Q1014" i="5"/>
  <c r="Q1015" i="5"/>
  <c r="Q1016" i="5"/>
  <c r="Q1017" i="5"/>
  <c r="Q1018" i="5"/>
  <c r="Q1019" i="5"/>
  <c r="Q1020" i="5"/>
  <c r="Q1021" i="5"/>
  <c r="Q1022" i="5"/>
  <c r="Q1023" i="5"/>
  <c r="Q1024" i="5"/>
  <c r="Q1025" i="5"/>
  <c r="Q1026" i="5"/>
  <c r="Q1027" i="5"/>
  <c r="Q1028" i="5"/>
  <c r="Q1029" i="5"/>
  <c r="Q1030" i="5"/>
  <c r="Q1031" i="5"/>
  <c r="Q1032" i="5"/>
  <c r="Q1033" i="5"/>
  <c r="Q1034" i="5"/>
  <c r="Q1035" i="5"/>
  <c r="Q1036" i="5"/>
  <c r="Q1037" i="5"/>
  <c r="Q1038" i="5"/>
  <c r="Q1039" i="5"/>
  <c r="Q1040" i="5"/>
  <c r="Q1041" i="5"/>
  <c r="Q1042" i="5"/>
  <c r="Q1043" i="5"/>
  <c r="Q1044" i="5"/>
  <c r="Q1045" i="5"/>
  <c r="Q1046" i="5"/>
  <c r="Q1047" i="5"/>
  <c r="Q1048" i="5"/>
  <c r="Q1049" i="5"/>
  <c r="Q1050" i="5"/>
  <c r="Q1051" i="5"/>
  <c r="Q1052" i="5"/>
  <c r="Q1053" i="5"/>
  <c r="Q1054" i="5"/>
  <c r="Q1055" i="5"/>
  <c r="Q1056" i="5"/>
  <c r="Q1057" i="5"/>
  <c r="Q1058" i="5"/>
  <c r="Q1059" i="5"/>
  <c r="Q1060" i="5"/>
  <c r="Q1061" i="5"/>
  <c r="Q1062" i="5"/>
  <c r="Q1063" i="5"/>
  <c r="Q1064" i="5"/>
  <c r="Q1065" i="5"/>
  <c r="Q1066" i="5"/>
  <c r="Q1067" i="5"/>
  <c r="Q1068" i="5"/>
  <c r="Q1069" i="5"/>
  <c r="Q1070" i="5"/>
  <c r="Q1071" i="5"/>
  <c r="Q1072" i="5"/>
  <c r="Q1073" i="5"/>
  <c r="Q1074" i="5"/>
  <c r="Q1075" i="5"/>
  <c r="Q1076" i="5"/>
  <c r="Q1077" i="5"/>
  <c r="Q1078" i="5"/>
  <c r="Q1079" i="5"/>
  <c r="Q1080" i="5"/>
  <c r="Q1081" i="5"/>
  <c r="Q1082" i="5"/>
  <c r="Q1083" i="5"/>
  <c r="Q1084" i="5"/>
  <c r="Q1085" i="5"/>
  <c r="Q1086" i="5"/>
  <c r="Q1087" i="5"/>
  <c r="Q1088" i="5"/>
  <c r="Q1089" i="5"/>
  <c r="Q1090" i="5"/>
  <c r="Q1091" i="5"/>
  <c r="Q1092" i="5"/>
  <c r="Q1093" i="5"/>
  <c r="Q1094" i="5"/>
  <c r="Q1095" i="5"/>
  <c r="Q1096" i="5"/>
  <c r="Q1097" i="5"/>
  <c r="Q1098" i="5"/>
  <c r="Q1099" i="5"/>
  <c r="Q1100" i="5"/>
  <c r="Q1101" i="5"/>
  <c r="Q1102" i="5"/>
  <c r="Q1103" i="5"/>
  <c r="Q1104" i="5"/>
  <c r="Q1105" i="5"/>
  <c r="Q1106" i="5"/>
  <c r="Q1107" i="5"/>
  <c r="Q1108" i="5"/>
  <c r="Q1109" i="5"/>
  <c r="Q1110" i="5"/>
  <c r="Q1111" i="5"/>
  <c r="Q1112" i="5"/>
  <c r="Q1113" i="5"/>
  <c r="Q1114" i="5"/>
  <c r="Q1115" i="5"/>
  <c r="Q1116" i="5"/>
  <c r="Q1117" i="5"/>
  <c r="Q1118" i="5"/>
  <c r="Q1119" i="5"/>
  <c r="Q1120" i="5"/>
  <c r="Q1121" i="5"/>
  <c r="Q1122" i="5"/>
  <c r="Q1123" i="5"/>
  <c r="Q1124" i="5"/>
  <c r="Q1125" i="5"/>
  <c r="Q1126" i="5"/>
  <c r="Q1127" i="5"/>
  <c r="Q1128" i="5"/>
  <c r="Q1129" i="5"/>
  <c r="Q1130" i="5"/>
  <c r="Q1131" i="5"/>
  <c r="Q1132" i="5"/>
  <c r="Q1133" i="5"/>
  <c r="Q1134" i="5"/>
  <c r="Q1135" i="5"/>
  <c r="Q1136" i="5"/>
  <c r="Q1137" i="5"/>
  <c r="Q1138" i="5"/>
  <c r="Q1139" i="5"/>
  <c r="Q1140" i="5"/>
  <c r="Q1141" i="5"/>
  <c r="Q1142" i="5"/>
  <c r="Q1143" i="5"/>
  <c r="Q1144" i="5"/>
  <c r="Q1145" i="5"/>
  <c r="Q1146" i="5"/>
  <c r="Q1147" i="5"/>
  <c r="Q1148" i="5"/>
  <c r="Q1149" i="5"/>
  <c r="Q1150" i="5"/>
  <c r="Q1151" i="5"/>
  <c r="Q1152" i="5"/>
  <c r="Q1153" i="5"/>
  <c r="Q1154" i="5"/>
  <c r="Q1155" i="5"/>
  <c r="Q1156" i="5"/>
  <c r="Q1157" i="5"/>
  <c r="Q1158" i="5"/>
  <c r="Q1159" i="5"/>
  <c r="Q1160" i="5"/>
  <c r="Q1161" i="5"/>
  <c r="Q1162" i="5"/>
  <c r="Q1163" i="5"/>
  <c r="Q1164" i="5"/>
  <c r="Q1165" i="5"/>
  <c r="Q1166" i="5"/>
  <c r="Q1167" i="5"/>
  <c r="Q1168" i="5"/>
  <c r="Q1169" i="5"/>
  <c r="Q1170" i="5"/>
  <c r="Q1171" i="5"/>
  <c r="Q1172" i="5"/>
  <c r="Q1173" i="5"/>
  <c r="Q1174" i="5"/>
  <c r="Q1175" i="5"/>
  <c r="Q1176" i="5"/>
  <c r="Q1177" i="5"/>
  <c r="Q1178" i="5"/>
  <c r="Q1179" i="5"/>
  <c r="Q1180" i="5"/>
  <c r="Q1181" i="5"/>
  <c r="Q1182" i="5"/>
  <c r="Q1183" i="5"/>
  <c r="Q1184" i="5"/>
  <c r="Q1185" i="5"/>
  <c r="Q1186" i="5"/>
  <c r="Q1187" i="5"/>
  <c r="Q1188" i="5"/>
  <c r="Q1189" i="5"/>
  <c r="Q1190" i="5"/>
  <c r="Q1191" i="5"/>
  <c r="Q1192" i="5"/>
  <c r="Q1193" i="5"/>
  <c r="Q1194" i="5"/>
  <c r="Q1195" i="5"/>
  <c r="Q1196" i="5"/>
  <c r="Q1197" i="5"/>
  <c r="Q1198" i="5"/>
  <c r="Q1199" i="5"/>
  <c r="Q1200" i="5"/>
  <c r="Q1201" i="5"/>
  <c r="Q1202" i="5"/>
  <c r="Q1203" i="5"/>
  <c r="Q1204" i="5"/>
  <c r="Q1205" i="5"/>
  <c r="Q1206" i="5"/>
  <c r="Q1207" i="5"/>
  <c r="Q1208" i="5"/>
  <c r="Q1209" i="5"/>
  <c r="Q1210" i="5"/>
  <c r="Q1211" i="5"/>
  <c r="Q1212" i="5"/>
  <c r="Q1213" i="5"/>
  <c r="Q1214" i="5"/>
  <c r="Q1215" i="5"/>
  <c r="Q1216" i="5"/>
  <c r="Q1217" i="5"/>
  <c r="Q1218" i="5"/>
  <c r="Q1219" i="5"/>
  <c r="Q1220" i="5"/>
  <c r="Q1221" i="5"/>
  <c r="Q1222" i="5"/>
  <c r="Q1223" i="5"/>
  <c r="Q1224" i="5"/>
  <c r="Q1225" i="5"/>
  <c r="Q1226" i="5"/>
  <c r="Q1227" i="5"/>
  <c r="Q1228" i="5"/>
  <c r="Q1229" i="5"/>
  <c r="Q1230" i="5"/>
  <c r="Q1231" i="5"/>
  <c r="Q1232" i="5"/>
  <c r="Q1233" i="5"/>
  <c r="Q1234" i="5"/>
  <c r="Q1235" i="5"/>
  <c r="Q1236" i="5"/>
  <c r="Q1237" i="5"/>
  <c r="Q1238" i="5"/>
  <c r="Q1239" i="5"/>
  <c r="Q1240" i="5"/>
  <c r="Q1241" i="5"/>
  <c r="Q1242" i="5"/>
  <c r="Q1243" i="5"/>
  <c r="Q1244" i="5"/>
  <c r="Q1245" i="5"/>
  <c r="Q1246" i="5"/>
  <c r="Q1247" i="5"/>
  <c r="Q1248" i="5"/>
  <c r="Q1249" i="5"/>
  <c r="Q1250" i="5"/>
  <c r="Q1251" i="5"/>
  <c r="Q1252" i="5"/>
  <c r="Q1253" i="5"/>
  <c r="Q1254" i="5"/>
  <c r="Q1255" i="5"/>
  <c r="Q1256" i="5"/>
  <c r="Q1257" i="5"/>
  <c r="Q1258" i="5"/>
  <c r="Q1259" i="5"/>
  <c r="Q1260" i="5"/>
  <c r="Q1261" i="5"/>
  <c r="Q1262" i="5"/>
  <c r="Q1263" i="5"/>
  <c r="Q1264" i="5"/>
  <c r="Q1265" i="5"/>
  <c r="Q1266" i="5"/>
  <c r="Q1267" i="5"/>
  <c r="Q1268" i="5"/>
  <c r="Q1269" i="5"/>
  <c r="Q1270" i="5"/>
  <c r="Q1271" i="5"/>
  <c r="Q1272" i="5"/>
  <c r="Q1273" i="5"/>
  <c r="Q1274" i="5"/>
  <c r="Q1275" i="5"/>
  <c r="Q1276" i="5"/>
  <c r="Q1277" i="5"/>
  <c r="Q1278" i="5"/>
  <c r="Q1279" i="5"/>
  <c r="Q1280" i="5"/>
  <c r="Q1281" i="5"/>
  <c r="Q1282" i="5"/>
  <c r="Q1283" i="5"/>
  <c r="Q1284" i="5"/>
  <c r="Q1285" i="5"/>
  <c r="Q1286" i="5"/>
  <c r="Q1287" i="5"/>
  <c r="Q1288" i="5"/>
  <c r="Q1289" i="5"/>
  <c r="Q1290" i="5"/>
  <c r="Q1291" i="5"/>
  <c r="Q1292" i="5"/>
  <c r="Q1293" i="5"/>
  <c r="Q1294" i="5"/>
  <c r="Q1295" i="5"/>
  <c r="Q1296" i="5"/>
  <c r="Q1297" i="5"/>
  <c r="Q1298" i="5"/>
  <c r="Q1299" i="5"/>
  <c r="Q1300" i="5"/>
  <c r="Q1301" i="5"/>
  <c r="Q1302" i="5"/>
  <c r="Q1303" i="5"/>
  <c r="Q1304" i="5"/>
  <c r="Q1305" i="5"/>
  <c r="Q1306" i="5"/>
  <c r="Q1307" i="5"/>
  <c r="Q1308" i="5"/>
  <c r="Q1309" i="5"/>
  <c r="Q1310" i="5"/>
  <c r="Q1311" i="5"/>
  <c r="Q1312" i="5"/>
  <c r="Q1313" i="5"/>
  <c r="Q1314" i="5"/>
  <c r="Q1315" i="5"/>
  <c r="Q1316" i="5"/>
  <c r="Q1317" i="5"/>
  <c r="Q1318" i="5"/>
  <c r="Q1319" i="5"/>
  <c r="Q1320" i="5"/>
  <c r="Q1321" i="5"/>
  <c r="Q1322" i="5"/>
  <c r="Q1323" i="5"/>
  <c r="Q1324" i="5"/>
  <c r="Q1325" i="5"/>
  <c r="Q1326" i="5"/>
  <c r="Q1327" i="5"/>
  <c r="Q1328" i="5"/>
  <c r="Q1329" i="5"/>
  <c r="Q1330" i="5"/>
  <c r="Q1331" i="5"/>
  <c r="Q1332" i="5"/>
  <c r="Q1333" i="5"/>
  <c r="Q1334" i="5"/>
  <c r="Q1335" i="5"/>
  <c r="Q1336" i="5"/>
  <c r="Q1337" i="5"/>
  <c r="Q1338" i="5"/>
  <c r="Q1339" i="5"/>
  <c r="Q1340" i="5"/>
  <c r="Q1341" i="5"/>
  <c r="Q1342" i="5"/>
  <c r="Q1343" i="5"/>
  <c r="Q1344" i="5"/>
  <c r="Q1345" i="5"/>
  <c r="Q1346" i="5"/>
  <c r="Q1347" i="5"/>
  <c r="Q1348" i="5"/>
  <c r="Q1349" i="5"/>
  <c r="Q1350" i="5"/>
  <c r="Q1351" i="5"/>
  <c r="Q1352" i="5"/>
  <c r="Q1353" i="5"/>
  <c r="Q1354" i="5"/>
  <c r="Q1355" i="5"/>
  <c r="Q1356" i="5"/>
  <c r="Q1357" i="5"/>
  <c r="Q1358" i="5"/>
  <c r="Q1359" i="5"/>
  <c r="Q1360" i="5"/>
  <c r="Q1361" i="5"/>
  <c r="Q1362" i="5"/>
  <c r="Q1363" i="5"/>
  <c r="Q1364" i="5"/>
  <c r="Q1365" i="5"/>
  <c r="Q1366" i="5"/>
  <c r="Q1367" i="5"/>
  <c r="Q1368" i="5"/>
  <c r="Q1369" i="5"/>
  <c r="Q1370" i="5"/>
  <c r="Q1371" i="5"/>
  <c r="Q1372" i="5"/>
  <c r="Q1373" i="5"/>
  <c r="Q1374" i="5"/>
  <c r="Q1375" i="5"/>
  <c r="Q1376" i="5"/>
  <c r="Q1377" i="5"/>
  <c r="Q1378" i="5"/>
  <c r="Q1379" i="5"/>
  <c r="Q1380" i="5"/>
  <c r="Q1381" i="5"/>
  <c r="Q1382" i="5"/>
  <c r="Q1383" i="5"/>
  <c r="Q1384" i="5"/>
  <c r="Q1385" i="5"/>
  <c r="Q1386" i="5"/>
  <c r="Q1387" i="5"/>
  <c r="Q1388" i="5"/>
  <c r="Q1389" i="5"/>
  <c r="Q1390" i="5"/>
  <c r="Q1391" i="5"/>
  <c r="Q1392" i="5"/>
  <c r="Q1393" i="5"/>
  <c r="Q1394" i="5"/>
  <c r="Q1395" i="5"/>
  <c r="Q1396" i="5"/>
  <c r="Q1397" i="5"/>
  <c r="Q1398" i="5"/>
  <c r="Q1399" i="5"/>
  <c r="Q1400" i="5"/>
  <c r="Q1401" i="5"/>
  <c r="Q1402" i="5"/>
  <c r="Q1403" i="5"/>
  <c r="Q1404" i="5"/>
  <c r="Q1405" i="5"/>
  <c r="Q1406" i="5"/>
  <c r="Q1407" i="5"/>
  <c r="Q1408" i="5"/>
  <c r="Q1409" i="5"/>
  <c r="Q1410" i="5"/>
  <c r="Q1411" i="5"/>
  <c r="Q1412" i="5"/>
  <c r="Q1413" i="5"/>
  <c r="Q1414" i="5"/>
  <c r="Q1415" i="5"/>
  <c r="Q1416" i="5"/>
  <c r="Q1417" i="5"/>
  <c r="Q1418" i="5"/>
  <c r="Q1419" i="5"/>
  <c r="Q1420" i="5"/>
  <c r="Q1421" i="5"/>
  <c r="Q1422" i="5"/>
  <c r="Q1423" i="5"/>
  <c r="Q1424" i="5"/>
  <c r="Q1425" i="5"/>
  <c r="Q1426" i="5"/>
  <c r="Q1427" i="5"/>
  <c r="Q1428" i="5"/>
  <c r="Q1429" i="5"/>
  <c r="Q1430" i="5"/>
  <c r="Q1431" i="5"/>
  <c r="Q1432" i="5"/>
  <c r="Q1433" i="5"/>
  <c r="Q1434" i="5"/>
  <c r="Q1435" i="5"/>
  <c r="Q1436" i="5"/>
  <c r="Q1437" i="5"/>
  <c r="Q1438" i="5"/>
  <c r="Q1439" i="5"/>
  <c r="Q1440" i="5"/>
  <c r="Q1441" i="5"/>
  <c r="Q1442" i="5"/>
  <c r="Q1443" i="5"/>
  <c r="Q1444" i="5"/>
  <c r="Q1445" i="5"/>
  <c r="Q1446" i="5"/>
  <c r="Q1447" i="5"/>
  <c r="Q1448" i="5"/>
  <c r="Q1449" i="5"/>
  <c r="Q1450" i="5"/>
  <c r="Q1451" i="5"/>
  <c r="Q1452" i="5"/>
  <c r="Q1453" i="5"/>
  <c r="Q1454" i="5"/>
  <c r="Q1455" i="5"/>
  <c r="Q1456" i="5"/>
  <c r="Q1457" i="5"/>
  <c r="Q1458" i="5"/>
  <c r="Q1459" i="5"/>
  <c r="Q1460" i="5"/>
  <c r="Q1461" i="5"/>
  <c r="Q1462" i="5"/>
  <c r="Q1463" i="5"/>
  <c r="Q1464" i="5"/>
  <c r="Q1465" i="5"/>
  <c r="Q1466" i="5"/>
  <c r="Q1467" i="5"/>
  <c r="Q1468" i="5"/>
  <c r="Q1469" i="5"/>
  <c r="Q1470" i="5"/>
  <c r="Q1471" i="5"/>
  <c r="Q1472" i="5"/>
  <c r="Q1473" i="5"/>
  <c r="Q1474" i="5"/>
  <c r="Q1475" i="5"/>
  <c r="Q1476" i="5"/>
  <c r="Q5" i="5"/>
  <c r="G273" i="33" l="1"/>
  <c r="F273" i="33"/>
  <c r="E273" i="33"/>
  <c r="C273" i="33"/>
  <c r="B273" i="33"/>
  <c r="A273" i="33"/>
  <c r="G231" i="33"/>
  <c r="F231" i="33"/>
  <c r="E231" i="33"/>
  <c r="C231" i="33"/>
  <c r="B231" i="33"/>
  <c r="A231" i="33"/>
  <c r="G230" i="33"/>
  <c r="F230" i="33"/>
  <c r="E230" i="33"/>
  <c r="C230" i="33"/>
  <c r="B230" i="33"/>
  <c r="A230" i="33"/>
  <c r="G91" i="33"/>
  <c r="F91" i="33"/>
  <c r="E91" i="33"/>
  <c r="C91" i="33"/>
  <c r="B91" i="33"/>
  <c r="A91" i="33"/>
  <c r="G187" i="33"/>
  <c r="F187" i="33"/>
  <c r="E187" i="33"/>
  <c r="C187" i="33"/>
  <c r="B187" i="33"/>
  <c r="A187" i="33"/>
  <c r="G186" i="33"/>
  <c r="F186" i="33"/>
  <c r="E186" i="33"/>
  <c r="C186" i="33"/>
  <c r="B186" i="33"/>
  <c r="A186" i="33"/>
  <c r="G229" i="33"/>
  <c r="F229" i="33"/>
  <c r="E229" i="33"/>
  <c r="C229" i="33"/>
  <c r="B229" i="33"/>
  <c r="A229" i="33"/>
  <c r="G228" i="33"/>
  <c r="F228" i="33"/>
  <c r="E228" i="33"/>
  <c r="C228" i="33"/>
  <c r="B228" i="33"/>
  <c r="A228" i="33"/>
  <c r="G287" i="33"/>
  <c r="F287" i="33"/>
  <c r="E287" i="33"/>
  <c r="C287" i="33"/>
  <c r="B287" i="33"/>
  <c r="A287" i="33"/>
  <c r="G286" i="33"/>
  <c r="F286" i="33"/>
  <c r="E286" i="33"/>
  <c r="C286" i="33"/>
  <c r="B286" i="33"/>
  <c r="A286" i="33"/>
  <c r="G90" i="33"/>
  <c r="F90" i="33"/>
  <c r="E90" i="33"/>
  <c r="C90" i="33"/>
  <c r="B90" i="33"/>
  <c r="A90" i="33"/>
  <c r="G89" i="33"/>
  <c r="F89" i="33"/>
  <c r="E89" i="33"/>
  <c r="C89" i="33"/>
  <c r="B89" i="33"/>
  <c r="A89" i="33"/>
  <c r="G185" i="33"/>
  <c r="F185" i="33"/>
  <c r="E185" i="33"/>
  <c r="C185" i="33"/>
  <c r="B185" i="33"/>
  <c r="A185" i="33"/>
  <c r="G184" i="33"/>
  <c r="F184" i="33"/>
  <c r="E184" i="33"/>
  <c r="C184" i="33"/>
  <c r="B184" i="33"/>
  <c r="A184" i="33"/>
  <c r="G285" i="33"/>
  <c r="F285" i="33"/>
  <c r="E285" i="33"/>
  <c r="C285" i="33"/>
  <c r="B285" i="33"/>
  <c r="A285" i="33"/>
  <c r="G284" i="33"/>
  <c r="F284" i="33"/>
  <c r="E284" i="33"/>
  <c r="C284" i="33"/>
  <c r="B284" i="33"/>
  <c r="A284" i="33"/>
  <c r="G272" i="33"/>
  <c r="F272" i="33"/>
  <c r="E272" i="33"/>
  <c r="C272" i="33"/>
  <c r="B272" i="33"/>
  <c r="A272" i="33"/>
  <c r="G88" i="33"/>
  <c r="F88" i="33"/>
  <c r="E88" i="33"/>
  <c r="C88" i="33"/>
  <c r="B88" i="33"/>
  <c r="A88" i="33"/>
  <c r="G87" i="33"/>
  <c r="F87" i="33"/>
  <c r="E87" i="33"/>
  <c r="C87" i="33"/>
  <c r="B87" i="33"/>
  <c r="A87" i="33"/>
  <c r="G261" i="33"/>
  <c r="F261" i="33"/>
  <c r="E261" i="33"/>
  <c r="C261" i="33"/>
  <c r="B261" i="33"/>
  <c r="A261" i="33"/>
  <c r="G260" i="33"/>
  <c r="F260" i="33"/>
  <c r="E260" i="33"/>
  <c r="C260" i="33"/>
  <c r="B260" i="33"/>
  <c r="A260" i="33"/>
  <c r="G183" i="33"/>
  <c r="F183" i="33"/>
  <c r="E183" i="33"/>
  <c r="C183" i="33"/>
  <c r="B183" i="33"/>
  <c r="A183" i="33"/>
  <c r="G182" i="33"/>
  <c r="F182" i="33"/>
  <c r="E182" i="33"/>
  <c r="C182" i="33"/>
  <c r="B182" i="33"/>
  <c r="A182" i="33"/>
  <c r="G181" i="33"/>
  <c r="F181" i="33"/>
  <c r="E181" i="33"/>
  <c r="C181" i="33"/>
  <c r="B181" i="33"/>
  <c r="A181" i="33"/>
  <c r="G180" i="33"/>
  <c r="F180" i="33"/>
  <c r="E180" i="33"/>
  <c r="C180" i="33"/>
  <c r="B180" i="33"/>
  <c r="A180" i="33"/>
  <c r="G86" i="33"/>
  <c r="F86" i="33"/>
  <c r="E86" i="33"/>
  <c r="C86" i="33"/>
  <c r="B86" i="33"/>
  <c r="A86" i="33"/>
  <c r="G85" i="33"/>
  <c r="F85" i="33"/>
  <c r="E85" i="33"/>
  <c r="C85" i="33"/>
  <c r="B85" i="33"/>
  <c r="A85" i="33"/>
  <c r="G84" i="33"/>
  <c r="F84" i="33"/>
  <c r="E84" i="33"/>
  <c r="C84" i="33"/>
  <c r="B84" i="33"/>
  <c r="A84" i="33"/>
  <c r="G83" i="33"/>
  <c r="F83" i="33"/>
  <c r="E83" i="33"/>
  <c r="C83" i="33"/>
  <c r="B83" i="33"/>
  <c r="A83" i="33"/>
  <c r="G179" i="33"/>
  <c r="F179" i="33"/>
  <c r="E179" i="33"/>
  <c r="C179" i="33"/>
  <c r="B179" i="33"/>
  <c r="A179" i="33"/>
  <c r="G178" i="33"/>
  <c r="F178" i="33"/>
  <c r="E178" i="33"/>
  <c r="C178" i="33"/>
  <c r="B178" i="33"/>
  <c r="A178" i="33"/>
  <c r="G177" i="33"/>
  <c r="F177" i="33"/>
  <c r="E177" i="33"/>
  <c r="C177" i="33"/>
  <c r="B177" i="33"/>
  <c r="A177" i="33"/>
  <c r="G176" i="33"/>
  <c r="F176" i="33"/>
  <c r="E176" i="33"/>
  <c r="C176" i="33"/>
  <c r="B176" i="33"/>
  <c r="A176" i="33"/>
  <c r="G175" i="33"/>
  <c r="F175" i="33"/>
  <c r="E175" i="33"/>
  <c r="C175" i="33"/>
  <c r="B175" i="33"/>
  <c r="A175" i="33"/>
  <c r="G174" i="33"/>
  <c r="F174" i="33"/>
  <c r="E174" i="33"/>
  <c r="C174" i="33"/>
  <c r="B174" i="33"/>
  <c r="A174" i="33"/>
  <c r="G173" i="33"/>
  <c r="F173" i="33"/>
  <c r="E173" i="33"/>
  <c r="C173" i="33"/>
  <c r="B173" i="33"/>
  <c r="A173" i="33"/>
  <c r="G172" i="33"/>
  <c r="F172" i="33"/>
  <c r="E172" i="33"/>
  <c r="C172" i="33"/>
  <c r="B172" i="33"/>
  <c r="A172" i="33"/>
  <c r="G171" i="33"/>
  <c r="F171" i="33"/>
  <c r="E171" i="33"/>
  <c r="C171" i="33"/>
  <c r="B171" i="33"/>
  <c r="A171" i="33"/>
  <c r="G259" i="33"/>
  <c r="F259" i="33"/>
  <c r="E259" i="33"/>
  <c r="C259" i="33"/>
  <c r="B259" i="33"/>
  <c r="A259" i="33"/>
  <c r="G227" i="33"/>
  <c r="F227" i="33"/>
  <c r="E227" i="33"/>
  <c r="C227" i="33"/>
  <c r="B227" i="33"/>
  <c r="A227" i="33"/>
  <c r="G226" i="33"/>
  <c r="F226" i="33"/>
  <c r="E226" i="33"/>
  <c r="C226" i="33"/>
  <c r="B226" i="33"/>
  <c r="A226" i="33"/>
  <c r="G225" i="33"/>
  <c r="F225" i="33"/>
  <c r="E225" i="33"/>
  <c r="C225" i="33"/>
  <c r="B225" i="33"/>
  <c r="A225" i="33"/>
  <c r="G224" i="33"/>
  <c r="F224" i="33"/>
  <c r="E224" i="33"/>
  <c r="C224" i="33"/>
  <c r="B224" i="33"/>
  <c r="A224" i="33"/>
  <c r="G223" i="33"/>
  <c r="F223" i="33"/>
  <c r="E223" i="33"/>
  <c r="C223" i="33"/>
  <c r="B223" i="33"/>
  <c r="A223" i="33"/>
  <c r="G271" i="33"/>
  <c r="F271" i="33"/>
  <c r="E271" i="33"/>
  <c r="C271" i="33"/>
  <c r="B271" i="33"/>
  <c r="A271" i="33"/>
  <c r="G270" i="33"/>
  <c r="F270" i="33"/>
  <c r="E270" i="33"/>
  <c r="C270" i="33"/>
  <c r="B270" i="33"/>
  <c r="A270" i="33"/>
  <c r="G222" i="33"/>
  <c r="F222" i="33"/>
  <c r="E222" i="33"/>
  <c r="C222" i="33"/>
  <c r="B222" i="33"/>
  <c r="A222" i="33"/>
  <c r="G221" i="33"/>
  <c r="F221" i="33"/>
  <c r="E221" i="33"/>
  <c r="C221" i="33"/>
  <c r="B221" i="33"/>
  <c r="A221" i="33"/>
  <c r="G220" i="33"/>
  <c r="F220" i="33"/>
  <c r="E220" i="33"/>
  <c r="C220" i="33"/>
  <c r="B220" i="33"/>
  <c r="A220" i="33"/>
  <c r="G219" i="33"/>
  <c r="F219" i="33"/>
  <c r="E219" i="33"/>
  <c r="C219" i="33"/>
  <c r="B219" i="33"/>
  <c r="A219" i="33"/>
  <c r="G218" i="33"/>
  <c r="F218" i="33"/>
  <c r="E218" i="33"/>
  <c r="C218" i="33"/>
  <c r="B218" i="33"/>
  <c r="A218" i="33"/>
  <c r="G217" i="33"/>
  <c r="F217" i="33"/>
  <c r="E217" i="33"/>
  <c r="C217" i="33"/>
  <c r="B217" i="33"/>
  <c r="A217" i="33"/>
  <c r="G258" i="33"/>
  <c r="F258" i="33"/>
  <c r="E258" i="33"/>
  <c r="C258" i="33"/>
  <c r="B258" i="33"/>
  <c r="A258" i="33"/>
  <c r="G257" i="33"/>
  <c r="F257" i="33"/>
  <c r="E257" i="33"/>
  <c r="C257" i="33"/>
  <c r="B257" i="33"/>
  <c r="A257" i="33"/>
  <c r="G256" i="33"/>
  <c r="F256" i="33"/>
  <c r="E256" i="33"/>
  <c r="C256" i="33"/>
  <c r="B256" i="33"/>
  <c r="A256" i="33"/>
  <c r="G255" i="33"/>
  <c r="F255" i="33"/>
  <c r="E255" i="33"/>
  <c r="C255" i="33"/>
  <c r="B255" i="33"/>
  <c r="A255" i="33"/>
  <c r="G283" i="33"/>
  <c r="F283" i="33"/>
  <c r="E283" i="33"/>
  <c r="C283" i="33"/>
  <c r="B283" i="33"/>
  <c r="A283" i="33"/>
  <c r="G282" i="33"/>
  <c r="F282" i="33"/>
  <c r="E282" i="33"/>
  <c r="C282" i="33"/>
  <c r="B282" i="33"/>
  <c r="A282" i="33"/>
  <c r="G82" i="33"/>
  <c r="F82" i="33"/>
  <c r="E82" i="33"/>
  <c r="C82" i="33"/>
  <c r="B82" i="33"/>
  <c r="A82" i="33"/>
  <c r="G81" i="33"/>
  <c r="F81" i="33"/>
  <c r="E81" i="33"/>
  <c r="C81" i="33"/>
  <c r="B81" i="33"/>
  <c r="A81" i="33"/>
  <c r="G80" i="33"/>
  <c r="F80" i="33"/>
  <c r="E80" i="33"/>
  <c r="C80" i="33"/>
  <c r="B80" i="33"/>
  <c r="A80" i="33"/>
  <c r="G170" i="33"/>
  <c r="F170" i="33"/>
  <c r="E170" i="33"/>
  <c r="C170" i="33"/>
  <c r="B170" i="33"/>
  <c r="A170" i="33"/>
  <c r="G169" i="33"/>
  <c r="F169" i="33"/>
  <c r="E169" i="33"/>
  <c r="C169" i="33"/>
  <c r="B169" i="33"/>
  <c r="A169" i="33"/>
  <c r="G168" i="33"/>
  <c r="F168" i="33"/>
  <c r="E168" i="33"/>
  <c r="C168" i="33"/>
  <c r="B168" i="33"/>
  <c r="A168" i="33"/>
  <c r="G167" i="33"/>
  <c r="F167" i="33"/>
  <c r="E167" i="33"/>
  <c r="C167" i="33"/>
  <c r="B167" i="33"/>
  <c r="A167" i="33"/>
  <c r="G166" i="33"/>
  <c r="F166" i="33"/>
  <c r="E166" i="33"/>
  <c r="C166" i="33"/>
  <c r="B166" i="33"/>
  <c r="A166" i="33"/>
  <c r="G165" i="33"/>
  <c r="F165" i="33"/>
  <c r="E165" i="33"/>
  <c r="C165" i="33"/>
  <c r="B165" i="33"/>
  <c r="A165" i="33"/>
  <c r="G164" i="33"/>
  <c r="F164" i="33"/>
  <c r="E164" i="33"/>
  <c r="C164" i="33"/>
  <c r="B164" i="33"/>
  <c r="A164" i="33"/>
  <c r="G163" i="33"/>
  <c r="F163" i="33"/>
  <c r="E163" i="33"/>
  <c r="C163" i="33"/>
  <c r="B163" i="33"/>
  <c r="A163" i="33"/>
  <c r="G162" i="33"/>
  <c r="F162" i="33"/>
  <c r="E162" i="33"/>
  <c r="C162" i="33"/>
  <c r="B162" i="33"/>
  <c r="A162" i="33"/>
  <c r="G161" i="33"/>
  <c r="F161" i="33"/>
  <c r="E161" i="33"/>
  <c r="C161" i="33"/>
  <c r="B161" i="33"/>
  <c r="A161" i="33"/>
  <c r="G160" i="33"/>
  <c r="F160" i="33"/>
  <c r="E160" i="33"/>
  <c r="C160" i="33"/>
  <c r="B160" i="33"/>
  <c r="A160" i="33"/>
  <c r="G79" i="33"/>
  <c r="F79" i="33"/>
  <c r="E79" i="33"/>
  <c r="C79" i="33"/>
  <c r="B79" i="33"/>
  <c r="A79" i="33"/>
  <c r="G78" i="33"/>
  <c r="F78" i="33"/>
  <c r="E78" i="33"/>
  <c r="C78" i="33"/>
  <c r="B78" i="33"/>
  <c r="A78" i="33"/>
  <c r="G216" i="33"/>
  <c r="F216" i="33"/>
  <c r="E216" i="33"/>
  <c r="C216" i="33"/>
  <c r="B216" i="33"/>
  <c r="A216" i="33"/>
  <c r="G215" i="33"/>
  <c r="F215" i="33"/>
  <c r="E215" i="33"/>
  <c r="C215" i="33"/>
  <c r="B215" i="33"/>
  <c r="A215" i="33"/>
  <c r="G77" i="33"/>
  <c r="F77" i="33"/>
  <c r="E77" i="33"/>
  <c r="C77" i="33"/>
  <c r="B77" i="33"/>
  <c r="A77" i="33"/>
  <c r="G76" i="33"/>
  <c r="F76" i="33"/>
  <c r="E76" i="33"/>
  <c r="C76" i="33"/>
  <c r="B76" i="33"/>
  <c r="A76" i="33"/>
  <c r="G75" i="33"/>
  <c r="F75" i="33"/>
  <c r="E75" i="33"/>
  <c r="C75" i="33"/>
  <c r="B75" i="33"/>
  <c r="A75" i="33"/>
  <c r="G214" i="33"/>
  <c r="F214" i="33"/>
  <c r="E214" i="33"/>
  <c r="C214" i="33"/>
  <c r="B214" i="33"/>
  <c r="A214" i="33"/>
  <c r="G269" i="33"/>
  <c r="F269" i="33"/>
  <c r="E269" i="33"/>
  <c r="C269" i="33"/>
  <c r="B269" i="33"/>
  <c r="A269" i="33"/>
  <c r="G268" i="33"/>
  <c r="F268" i="33"/>
  <c r="E268" i="33"/>
  <c r="C268" i="33"/>
  <c r="B268" i="33"/>
  <c r="A268" i="33"/>
  <c r="G213" i="33"/>
  <c r="F213" i="33"/>
  <c r="E213" i="33"/>
  <c r="C213" i="33"/>
  <c r="B213" i="33"/>
  <c r="A213" i="33"/>
  <c r="G212" i="33"/>
  <c r="F212" i="33"/>
  <c r="E212" i="33"/>
  <c r="C212" i="33"/>
  <c r="B212" i="33"/>
  <c r="A212" i="33"/>
  <c r="G211" i="33"/>
  <c r="F211" i="33"/>
  <c r="E211" i="33"/>
  <c r="C211" i="33"/>
  <c r="B211" i="33"/>
  <c r="A211" i="33"/>
  <c r="G210" i="33"/>
  <c r="F210" i="33"/>
  <c r="E210" i="33"/>
  <c r="C210" i="33"/>
  <c r="B210" i="33"/>
  <c r="A210" i="33"/>
  <c r="G209" i="33"/>
  <c r="F209" i="33"/>
  <c r="E209" i="33"/>
  <c r="C209" i="33"/>
  <c r="B209" i="33"/>
  <c r="A209" i="33"/>
  <c r="G208" i="33"/>
  <c r="F208" i="33"/>
  <c r="E208" i="33"/>
  <c r="C208" i="33"/>
  <c r="B208" i="33"/>
  <c r="A208" i="33"/>
  <c r="G207" i="33"/>
  <c r="F207" i="33"/>
  <c r="E207" i="33"/>
  <c r="C207" i="33"/>
  <c r="B207" i="33"/>
  <c r="A207" i="33"/>
  <c r="G206" i="33"/>
  <c r="F206" i="33"/>
  <c r="E206" i="33"/>
  <c r="C206" i="33"/>
  <c r="B206" i="33"/>
  <c r="A206" i="33"/>
  <c r="G205" i="33"/>
  <c r="F205" i="33"/>
  <c r="E205" i="33"/>
  <c r="C205" i="33"/>
  <c r="B205" i="33"/>
  <c r="A205" i="33"/>
  <c r="G204" i="33"/>
  <c r="F204" i="33"/>
  <c r="E204" i="33"/>
  <c r="C204" i="33"/>
  <c r="B204" i="33"/>
  <c r="A204" i="33"/>
  <c r="G203" i="33"/>
  <c r="F203" i="33"/>
  <c r="E203" i="33"/>
  <c r="C203" i="33"/>
  <c r="B203" i="33"/>
  <c r="A203" i="33"/>
  <c r="G202" i="33"/>
  <c r="F202" i="33"/>
  <c r="E202" i="33"/>
  <c r="C202" i="33"/>
  <c r="B202" i="33"/>
  <c r="A202" i="33"/>
  <c r="G74" i="33"/>
  <c r="F74" i="33"/>
  <c r="E74" i="33"/>
  <c r="C74" i="33"/>
  <c r="B74" i="33"/>
  <c r="A74" i="33"/>
  <c r="G73" i="33"/>
  <c r="F73" i="33"/>
  <c r="E73" i="33"/>
  <c r="C73" i="33"/>
  <c r="B73" i="33"/>
  <c r="A73" i="33"/>
  <c r="G72" i="33"/>
  <c r="F72" i="33"/>
  <c r="E72" i="33"/>
  <c r="C72" i="33"/>
  <c r="B72" i="33"/>
  <c r="A72" i="33"/>
  <c r="G71" i="33"/>
  <c r="F71" i="33"/>
  <c r="E71" i="33"/>
  <c r="C71" i="33"/>
  <c r="B71" i="33"/>
  <c r="A71" i="33"/>
  <c r="G70" i="33"/>
  <c r="F70" i="33"/>
  <c r="E70" i="33"/>
  <c r="C70" i="33"/>
  <c r="B70" i="33"/>
  <c r="A70" i="33"/>
  <c r="G69" i="33"/>
  <c r="F69" i="33"/>
  <c r="E69" i="33"/>
  <c r="C69" i="33"/>
  <c r="B69" i="33"/>
  <c r="A69" i="33"/>
  <c r="G68" i="33"/>
  <c r="F68" i="33"/>
  <c r="E68" i="33"/>
  <c r="C68" i="33"/>
  <c r="B68" i="33"/>
  <c r="A68" i="33"/>
  <c r="G67" i="33"/>
  <c r="F67" i="33"/>
  <c r="E67" i="33"/>
  <c r="C67" i="33"/>
  <c r="B67" i="33"/>
  <c r="A67" i="33"/>
  <c r="G66" i="33"/>
  <c r="F66" i="33"/>
  <c r="E66" i="33"/>
  <c r="C66" i="33"/>
  <c r="B66" i="33"/>
  <c r="A66" i="33"/>
  <c r="G65" i="33"/>
  <c r="F65" i="33"/>
  <c r="E65" i="33"/>
  <c r="C65" i="33"/>
  <c r="B65" i="33"/>
  <c r="A65" i="33"/>
  <c r="G64" i="33"/>
  <c r="F64" i="33"/>
  <c r="E64" i="33"/>
  <c r="C64" i="33"/>
  <c r="B64" i="33"/>
  <c r="A64" i="33"/>
  <c r="G63" i="33"/>
  <c r="F63" i="33"/>
  <c r="E63" i="33"/>
  <c r="C63" i="33"/>
  <c r="B63" i="33"/>
  <c r="A63" i="33"/>
  <c r="G254" i="33"/>
  <c r="F254" i="33"/>
  <c r="E254" i="33"/>
  <c r="C254" i="33"/>
  <c r="B254" i="33"/>
  <c r="A254" i="33"/>
  <c r="G253" i="33"/>
  <c r="F253" i="33"/>
  <c r="E253" i="33"/>
  <c r="C253" i="33"/>
  <c r="B253" i="33"/>
  <c r="A253" i="33"/>
  <c r="G62" i="33"/>
  <c r="F62" i="33"/>
  <c r="E62" i="33"/>
  <c r="C62" i="33"/>
  <c r="B62" i="33"/>
  <c r="A62" i="33"/>
  <c r="G61" i="33"/>
  <c r="F61" i="33"/>
  <c r="E61" i="33"/>
  <c r="C61" i="33"/>
  <c r="B61" i="33"/>
  <c r="A61" i="33"/>
  <c r="G60" i="33"/>
  <c r="F60" i="33"/>
  <c r="E60" i="33"/>
  <c r="C60" i="33"/>
  <c r="B60" i="33"/>
  <c r="A60" i="33"/>
  <c r="G59" i="33"/>
  <c r="F59" i="33"/>
  <c r="E59" i="33"/>
  <c r="C59" i="33"/>
  <c r="B59" i="33"/>
  <c r="A59" i="33"/>
  <c r="G58" i="33"/>
  <c r="F58" i="33"/>
  <c r="E58" i="33"/>
  <c r="C58" i="33"/>
  <c r="B58" i="33"/>
  <c r="A58" i="33"/>
  <c r="G57" i="33"/>
  <c r="F57" i="33"/>
  <c r="E57" i="33"/>
  <c r="C57" i="33"/>
  <c r="B57" i="33"/>
  <c r="A57" i="33"/>
  <c r="G56" i="33"/>
  <c r="F56" i="33"/>
  <c r="E56" i="33"/>
  <c r="C56" i="33"/>
  <c r="B56" i="33"/>
  <c r="A56" i="33"/>
  <c r="G55" i="33"/>
  <c r="F55" i="33"/>
  <c r="E55" i="33"/>
  <c r="C55" i="33"/>
  <c r="B55" i="33"/>
  <c r="A55" i="33"/>
  <c r="G54" i="33"/>
  <c r="F54" i="33"/>
  <c r="E54" i="33"/>
  <c r="C54" i="33"/>
  <c r="B54" i="33"/>
  <c r="A54" i="33"/>
  <c r="G53" i="33"/>
  <c r="F53" i="33"/>
  <c r="E53" i="33"/>
  <c r="C53" i="33"/>
  <c r="B53" i="33"/>
  <c r="A53" i="33"/>
  <c r="G52" i="33"/>
  <c r="F52" i="33"/>
  <c r="E52" i="33"/>
  <c r="C52" i="33"/>
  <c r="B52" i="33"/>
  <c r="A52" i="33"/>
  <c r="G51" i="33"/>
  <c r="F51" i="33"/>
  <c r="E51" i="33"/>
  <c r="C51" i="33"/>
  <c r="B51" i="33"/>
  <c r="A51" i="33"/>
  <c r="G50" i="33"/>
  <c r="F50" i="33"/>
  <c r="E50" i="33"/>
  <c r="C50" i="33"/>
  <c r="B50" i="33"/>
  <c r="A50" i="33"/>
  <c r="G49" i="33"/>
  <c r="F49" i="33"/>
  <c r="E49" i="33"/>
  <c r="C49" i="33"/>
  <c r="B49" i="33"/>
  <c r="A49" i="33"/>
  <c r="G48" i="33"/>
  <c r="F48" i="33"/>
  <c r="E48" i="33"/>
  <c r="C48" i="33"/>
  <c r="B48" i="33"/>
  <c r="A48" i="33"/>
  <c r="G47" i="33"/>
  <c r="F47" i="33"/>
  <c r="E47" i="33"/>
  <c r="C47" i="33"/>
  <c r="B47" i="33"/>
  <c r="A47" i="33"/>
  <c r="G46" i="33"/>
  <c r="F46" i="33"/>
  <c r="E46" i="33"/>
  <c r="C46" i="33"/>
  <c r="B46" i="33"/>
  <c r="A46" i="33"/>
  <c r="G45" i="33"/>
  <c r="F45" i="33"/>
  <c r="E45" i="33"/>
  <c r="C45" i="33"/>
  <c r="B45" i="33"/>
  <c r="A45" i="33"/>
  <c r="G44" i="33"/>
  <c r="F44" i="33"/>
  <c r="E44" i="33"/>
  <c r="C44" i="33"/>
  <c r="B44" i="33"/>
  <c r="A44" i="33"/>
  <c r="G43" i="33"/>
  <c r="F43" i="33"/>
  <c r="E43" i="33"/>
  <c r="C43" i="33"/>
  <c r="B43" i="33"/>
  <c r="A43" i="33"/>
  <c r="G42" i="33"/>
  <c r="F42" i="33"/>
  <c r="E42" i="33"/>
  <c r="C42" i="33"/>
  <c r="B42" i="33"/>
  <c r="A42" i="33"/>
  <c r="G41" i="33"/>
  <c r="F41" i="33"/>
  <c r="E41" i="33"/>
  <c r="C41" i="33"/>
  <c r="B41" i="33"/>
  <c r="A41" i="33"/>
  <c r="G201" i="33"/>
  <c r="F201" i="33"/>
  <c r="E201" i="33"/>
  <c r="C201" i="33"/>
  <c r="B201" i="33"/>
  <c r="A201" i="33"/>
  <c r="G200" i="33"/>
  <c r="F200" i="33"/>
  <c r="E200" i="33"/>
  <c r="C200" i="33"/>
  <c r="B200" i="33"/>
  <c r="A200" i="33"/>
  <c r="G199" i="33"/>
  <c r="F199" i="33"/>
  <c r="E199" i="33"/>
  <c r="C199" i="33"/>
  <c r="B199" i="33"/>
  <c r="A199" i="33"/>
  <c r="G198" i="33"/>
  <c r="F198" i="33"/>
  <c r="E198" i="33"/>
  <c r="C198" i="33"/>
  <c r="B198" i="33"/>
  <c r="A198" i="33"/>
  <c r="G197" i="33"/>
  <c r="F197" i="33"/>
  <c r="E197" i="33"/>
  <c r="C197" i="33"/>
  <c r="B197" i="33"/>
  <c r="A197" i="33"/>
  <c r="G196" i="33"/>
  <c r="F196" i="33"/>
  <c r="E196" i="33"/>
  <c r="C196" i="33"/>
  <c r="B196" i="33"/>
  <c r="A196" i="33"/>
  <c r="G195" i="33"/>
  <c r="F195" i="33"/>
  <c r="E195" i="33"/>
  <c r="C195" i="33"/>
  <c r="B195" i="33"/>
  <c r="A195" i="33"/>
  <c r="G194" i="33"/>
  <c r="F194" i="33"/>
  <c r="E194" i="33"/>
  <c r="C194" i="33"/>
  <c r="B194" i="33"/>
  <c r="A194" i="33"/>
  <c r="G159" i="33"/>
  <c r="F159" i="33"/>
  <c r="E159" i="33"/>
  <c r="C159" i="33"/>
  <c r="B159" i="33"/>
  <c r="A159" i="33"/>
  <c r="G158" i="33"/>
  <c r="F158" i="33"/>
  <c r="E158" i="33"/>
  <c r="C158" i="33"/>
  <c r="B158" i="33"/>
  <c r="A158" i="33"/>
  <c r="G157" i="33"/>
  <c r="F157" i="33"/>
  <c r="E157" i="33"/>
  <c r="C157" i="33"/>
  <c r="B157" i="33"/>
  <c r="A157" i="33"/>
  <c r="G156" i="33"/>
  <c r="F156" i="33"/>
  <c r="E156" i="33"/>
  <c r="C156" i="33"/>
  <c r="B156" i="33"/>
  <c r="A156" i="33"/>
  <c r="G155" i="33"/>
  <c r="F155" i="33"/>
  <c r="E155" i="33"/>
  <c r="C155" i="33"/>
  <c r="B155" i="33"/>
  <c r="A155" i="33"/>
  <c r="G154" i="33"/>
  <c r="F154" i="33"/>
  <c r="E154" i="33"/>
  <c r="C154" i="33"/>
  <c r="B154" i="33"/>
  <c r="A154" i="33"/>
  <c r="G153" i="33"/>
  <c r="F153" i="33"/>
  <c r="E153" i="33"/>
  <c r="C153" i="33"/>
  <c r="B153" i="33"/>
  <c r="A153" i="33"/>
  <c r="G152" i="33"/>
  <c r="F152" i="33"/>
  <c r="E152" i="33"/>
  <c r="C152" i="33"/>
  <c r="B152" i="33"/>
  <c r="A152" i="33"/>
  <c r="G151" i="33"/>
  <c r="F151" i="33"/>
  <c r="E151" i="33"/>
  <c r="C151" i="33"/>
  <c r="B151" i="33"/>
  <c r="A151" i="33"/>
  <c r="G150" i="33"/>
  <c r="F150" i="33"/>
  <c r="E150" i="33"/>
  <c r="C150" i="33"/>
  <c r="B150" i="33"/>
  <c r="A150" i="33"/>
  <c r="G149" i="33"/>
  <c r="F149" i="33"/>
  <c r="E149" i="33"/>
  <c r="C149" i="33"/>
  <c r="B149" i="33"/>
  <c r="A149" i="33"/>
  <c r="G148" i="33"/>
  <c r="F148" i="33"/>
  <c r="E148" i="33"/>
  <c r="C148" i="33"/>
  <c r="B148" i="33"/>
  <c r="A148" i="33"/>
  <c r="G147" i="33"/>
  <c r="F147" i="33"/>
  <c r="E147" i="33"/>
  <c r="C147" i="33"/>
  <c r="B147" i="33"/>
  <c r="A147" i="33"/>
  <c r="G146" i="33"/>
  <c r="F146" i="33"/>
  <c r="E146" i="33"/>
  <c r="C146" i="33"/>
  <c r="B146" i="33"/>
  <c r="A146" i="33"/>
  <c r="G145" i="33"/>
  <c r="F145" i="33"/>
  <c r="E145" i="33"/>
  <c r="C145" i="33"/>
  <c r="B145" i="33"/>
  <c r="A145" i="33"/>
  <c r="G144" i="33"/>
  <c r="F144" i="33"/>
  <c r="E144" i="33"/>
  <c r="C144" i="33"/>
  <c r="B144" i="33"/>
  <c r="A144" i="33"/>
  <c r="G143" i="33"/>
  <c r="F143" i="33"/>
  <c r="E143" i="33"/>
  <c r="C143" i="33"/>
  <c r="B143" i="33"/>
  <c r="A143" i="33"/>
  <c r="G142" i="33"/>
  <c r="F142" i="33"/>
  <c r="E142" i="33"/>
  <c r="C142" i="33"/>
  <c r="B142" i="33"/>
  <c r="A142" i="33"/>
  <c r="G141" i="33"/>
  <c r="F141" i="33"/>
  <c r="E141" i="33"/>
  <c r="C141" i="33"/>
  <c r="B141" i="33"/>
  <c r="A141" i="33"/>
  <c r="G140" i="33"/>
  <c r="F140" i="33"/>
  <c r="E140" i="33"/>
  <c r="C140" i="33"/>
  <c r="B140" i="33"/>
  <c r="A140" i="33"/>
  <c r="G139" i="33"/>
  <c r="F139" i="33"/>
  <c r="E139" i="33"/>
  <c r="C139" i="33"/>
  <c r="B139" i="33"/>
  <c r="A139" i="33"/>
  <c r="G138" i="33"/>
  <c r="F138" i="33"/>
  <c r="E138" i="33"/>
  <c r="C138" i="33"/>
  <c r="B138" i="33"/>
  <c r="A138" i="33"/>
  <c r="G137" i="33"/>
  <c r="F137" i="33"/>
  <c r="E137" i="33"/>
  <c r="C137" i="33"/>
  <c r="B137" i="33"/>
  <c r="A137" i="33"/>
  <c r="G136" i="33"/>
  <c r="F136" i="33"/>
  <c r="E136" i="33"/>
  <c r="C136" i="33"/>
  <c r="B136" i="33"/>
  <c r="A136" i="33"/>
  <c r="G135" i="33"/>
  <c r="F135" i="33"/>
  <c r="E135" i="33"/>
  <c r="C135" i="33"/>
  <c r="B135" i="33"/>
  <c r="A135" i="33"/>
  <c r="G134" i="33"/>
  <c r="F134" i="33"/>
  <c r="E134" i="33"/>
  <c r="C134" i="33"/>
  <c r="B134" i="33"/>
  <c r="A134" i="33"/>
  <c r="G133" i="33"/>
  <c r="F133" i="33"/>
  <c r="E133" i="33"/>
  <c r="C133" i="33"/>
  <c r="B133" i="33"/>
  <c r="A133" i="33"/>
  <c r="G132" i="33"/>
  <c r="F132" i="33"/>
  <c r="E132" i="33"/>
  <c r="C132" i="33"/>
  <c r="B132" i="33"/>
  <c r="A132" i="33"/>
  <c r="G131" i="33"/>
  <c r="F131" i="33"/>
  <c r="E131" i="33"/>
  <c r="C131" i="33"/>
  <c r="B131" i="33"/>
  <c r="A131" i="33"/>
  <c r="G130" i="33"/>
  <c r="F130" i="33"/>
  <c r="E130" i="33"/>
  <c r="C130" i="33"/>
  <c r="B130" i="33"/>
  <c r="A130" i="33"/>
  <c r="G129" i="33"/>
  <c r="F129" i="33"/>
  <c r="E129" i="33"/>
  <c r="C129" i="33"/>
  <c r="B129" i="33"/>
  <c r="A129" i="33"/>
  <c r="G128" i="33"/>
  <c r="F128" i="33"/>
  <c r="E128" i="33"/>
  <c r="C128" i="33"/>
  <c r="B128" i="33"/>
  <c r="A128" i="33"/>
  <c r="G127" i="33"/>
  <c r="F127" i="33"/>
  <c r="E127" i="33"/>
  <c r="C127" i="33"/>
  <c r="B127" i="33"/>
  <c r="A127" i="33"/>
  <c r="G126" i="33"/>
  <c r="F126" i="33"/>
  <c r="E126" i="33"/>
  <c r="C126" i="33"/>
  <c r="B126" i="33"/>
  <c r="A126" i="33"/>
  <c r="G40" i="33"/>
  <c r="F40" i="33"/>
  <c r="E40" i="33"/>
  <c r="C40" i="33"/>
  <c r="B40" i="33"/>
  <c r="A40" i="33"/>
  <c r="G39" i="33"/>
  <c r="F39" i="33"/>
  <c r="E39" i="33"/>
  <c r="C39" i="33"/>
  <c r="B39" i="33"/>
  <c r="A39" i="33"/>
  <c r="G125" i="33"/>
  <c r="F125" i="33"/>
  <c r="E125" i="33"/>
  <c r="C125" i="33"/>
  <c r="B125" i="33"/>
  <c r="A125" i="33"/>
  <c r="G124" i="33"/>
  <c r="F124" i="33"/>
  <c r="E124" i="33"/>
  <c r="C124" i="33"/>
  <c r="B124" i="33"/>
  <c r="A124" i="33"/>
  <c r="G123" i="33"/>
  <c r="F123" i="33"/>
  <c r="E123" i="33"/>
  <c r="C123" i="33"/>
  <c r="B123" i="33"/>
  <c r="A123" i="33"/>
  <c r="G122" i="33"/>
  <c r="F122" i="33"/>
  <c r="E122" i="33"/>
  <c r="C122" i="33"/>
  <c r="B122" i="33"/>
  <c r="A122" i="33"/>
  <c r="G121" i="33"/>
  <c r="F121" i="33"/>
  <c r="E121" i="33"/>
  <c r="C121" i="33"/>
  <c r="B121" i="33"/>
  <c r="A121" i="33"/>
  <c r="G120" i="33"/>
  <c r="F120" i="33"/>
  <c r="E120" i="33"/>
  <c r="C120" i="33"/>
  <c r="B120" i="33"/>
  <c r="A120" i="33"/>
  <c r="G119" i="33"/>
  <c r="F119" i="33"/>
  <c r="E119" i="33"/>
  <c r="C119" i="33"/>
  <c r="B119" i="33"/>
  <c r="A119" i="33"/>
  <c r="G118" i="33"/>
  <c r="F118" i="33"/>
  <c r="E118" i="33"/>
  <c r="C118" i="33"/>
  <c r="B118" i="33"/>
  <c r="A118" i="33"/>
  <c r="G117" i="33"/>
  <c r="F117" i="33"/>
  <c r="E117" i="33"/>
  <c r="C117" i="33"/>
  <c r="B117" i="33"/>
  <c r="A117" i="33"/>
  <c r="G116" i="33"/>
  <c r="F116" i="33"/>
  <c r="E116" i="33"/>
  <c r="C116" i="33"/>
  <c r="B116" i="33"/>
  <c r="A116" i="33"/>
  <c r="G115" i="33"/>
  <c r="F115" i="33"/>
  <c r="E115" i="33"/>
  <c r="C115" i="33"/>
  <c r="B115" i="33"/>
  <c r="A115" i="33"/>
  <c r="G114" i="33"/>
  <c r="F114" i="33"/>
  <c r="E114" i="33"/>
  <c r="C114" i="33"/>
  <c r="B114" i="33"/>
  <c r="A114" i="33"/>
  <c r="G113" i="33"/>
  <c r="F113" i="33"/>
  <c r="E113" i="33"/>
  <c r="C113" i="33"/>
  <c r="B113" i="33"/>
  <c r="A113" i="33"/>
  <c r="G112" i="33"/>
  <c r="F112" i="33"/>
  <c r="E112" i="33"/>
  <c r="C112" i="33"/>
  <c r="B112" i="33"/>
  <c r="A112" i="33"/>
  <c r="G111" i="33"/>
  <c r="F111" i="33"/>
  <c r="E111" i="33"/>
  <c r="C111" i="33"/>
  <c r="B111" i="33"/>
  <c r="A111" i="33"/>
  <c r="G110" i="33"/>
  <c r="F110" i="33"/>
  <c r="E110" i="33"/>
  <c r="C110" i="33"/>
  <c r="B110" i="33"/>
  <c r="A110" i="33"/>
  <c r="G109" i="33"/>
  <c r="F109" i="33"/>
  <c r="E109" i="33"/>
  <c r="C109" i="33"/>
  <c r="B109" i="33"/>
  <c r="A109" i="33"/>
  <c r="G108" i="33"/>
  <c r="F108" i="33"/>
  <c r="E108" i="33"/>
  <c r="C108" i="33"/>
  <c r="B108" i="33"/>
  <c r="A108" i="33"/>
  <c r="G107" i="33"/>
  <c r="F107" i="33"/>
  <c r="E107" i="33"/>
  <c r="C107" i="33"/>
  <c r="B107" i="33"/>
  <c r="A107" i="33"/>
  <c r="G106" i="33"/>
  <c r="F106" i="33"/>
  <c r="E106" i="33"/>
  <c r="C106" i="33"/>
  <c r="B106" i="33"/>
  <c r="A106" i="33"/>
  <c r="G193" i="33"/>
  <c r="F193" i="33"/>
  <c r="E193" i="33"/>
  <c r="C193" i="33"/>
  <c r="B193" i="33"/>
  <c r="A193" i="33"/>
  <c r="G192" i="33"/>
  <c r="F192" i="33"/>
  <c r="E192" i="33"/>
  <c r="C192" i="33"/>
  <c r="B192" i="33"/>
  <c r="A192" i="33"/>
  <c r="G191" i="33"/>
  <c r="F191" i="33"/>
  <c r="E191" i="33"/>
  <c r="C191" i="33"/>
  <c r="B191" i="33"/>
  <c r="A191" i="33"/>
  <c r="G190" i="33"/>
  <c r="F190" i="33"/>
  <c r="E190" i="33"/>
  <c r="C190" i="33"/>
  <c r="B190" i="33"/>
  <c r="A190" i="33"/>
  <c r="G38" i="33"/>
  <c r="F38" i="33"/>
  <c r="E38" i="33"/>
  <c r="C38" i="33"/>
  <c r="B38" i="33"/>
  <c r="A38" i="33"/>
  <c r="G37" i="33"/>
  <c r="F37" i="33"/>
  <c r="E37" i="33"/>
  <c r="C37" i="33"/>
  <c r="B37" i="33"/>
  <c r="A37" i="33"/>
  <c r="G36" i="33"/>
  <c r="F36" i="33"/>
  <c r="E36" i="33"/>
  <c r="C36" i="33"/>
  <c r="B36" i="33"/>
  <c r="A36" i="33"/>
  <c r="G35" i="33"/>
  <c r="F35" i="33"/>
  <c r="E35" i="33"/>
  <c r="C35" i="33"/>
  <c r="B35" i="33"/>
  <c r="A35" i="33"/>
  <c r="G34" i="33"/>
  <c r="F34" i="33"/>
  <c r="E34" i="33"/>
  <c r="C34" i="33"/>
  <c r="B34" i="33"/>
  <c r="A34" i="33"/>
  <c r="G33" i="33"/>
  <c r="F33" i="33"/>
  <c r="E33" i="33"/>
  <c r="C33" i="33"/>
  <c r="B33" i="33"/>
  <c r="A33" i="33"/>
  <c r="G32" i="33"/>
  <c r="F32" i="33"/>
  <c r="E32" i="33"/>
  <c r="C32" i="33"/>
  <c r="B32" i="33"/>
  <c r="A32" i="33"/>
  <c r="G31" i="33"/>
  <c r="F31" i="33"/>
  <c r="E31" i="33"/>
  <c r="C31" i="33"/>
  <c r="B31" i="33"/>
  <c r="A31" i="33"/>
  <c r="G30" i="33"/>
  <c r="F30" i="33"/>
  <c r="E30" i="33"/>
  <c r="C30" i="33"/>
  <c r="B30" i="33"/>
  <c r="A30" i="33"/>
  <c r="G29" i="33"/>
  <c r="F29" i="33"/>
  <c r="E29" i="33"/>
  <c r="C29" i="33"/>
  <c r="B29" i="33"/>
  <c r="A29" i="33"/>
  <c r="G28" i="33"/>
  <c r="F28" i="33"/>
  <c r="E28" i="33"/>
  <c r="C28" i="33"/>
  <c r="B28" i="33"/>
  <c r="A28" i="33"/>
  <c r="G27" i="33"/>
  <c r="F27" i="33"/>
  <c r="E27" i="33"/>
  <c r="C27" i="33"/>
  <c r="B27" i="33"/>
  <c r="A27" i="33"/>
  <c r="G26" i="33"/>
  <c r="F26" i="33"/>
  <c r="E26" i="33"/>
  <c r="C26" i="33"/>
  <c r="B26" i="33"/>
  <c r="A26" i="33"/>
  <c r="G25" i="33"/>
  <c r="F25" i="33"/>
  <c r="E25" i="33"/>
  <c r="C25" i="33"/>
  <c r="B25" i="33"/>
  <c r="A25" i="33"/>
  <c r="G24" i="33"/>
  <c r="F24" i="33"/>
  <c r="E24" i="33"/>
  <c r="C24" i="33"/>
  <c r="B24" i="33"/>
  <c r="A24" i="33"/>
  <c r="G23" i="33"/>
  <c r="F23" i="33"/>
  <c r="E23" i="33"/>
  <c r="C23" i="33"/>
  <c r="B23" i="33"/>
  <c r="A23" i="33"/>
  <c r="G189" i="33"/>
  <c r="F189" i="33"/>
  <c r="E189" i="33"/>
  <c r="C189" i="33"/>
  <c r="B189" i="33"/>
  <c r="A189" i="33"/>
  <c r="G188" i="33"/>
  <c r="F188" i="33"/>
  <c r="E188" i="33"/>
  <c r="C188" i="33"/>
  <c r="B188" i="33"/>
  <c r="A188" i="33"/>
  <c r="G267" i="33"/>
  <c r="F267" i="33"/>
  <c r="E267" i="33"/>
  <c r="C267" i="33"/>
  <c r="B267" i="33"/>
  <c r="A267" i="33"/>
  <c r="G266" i="33"/>
  <c r="F266" i="33"/>
  <c r="E266" i="33"/>
  <c r="C266" i="33"/>
  <c r="B266" i="33"/>
  <c r="A266" i="33"/>
  <c r="G265" i="33"/>
  <c r="F265" i="33"/>
  <c r="E265" i="33"/>
  <c r="C265" i="33"/>
  <c r="B265" i="33"/>
  <c r="A265" i="33"/>
  <c r="G264" i="33"/>
  <c r="F264" i="33"/>
  <c r="E264" i="33"/>
  <c r="C264" i="33"/>
  <c r="B264" i="33"/>
  <c r="A264" i="33"/>
  <c r="G22" i="33"/>
  <c r="F22" i="33"/>
  <c r="E22" i="33"/>
  <c r="C22" i="33"/>
  <c r="B22" i="33"/>
  <c r="A22" i="33"/>
  <c r="G21" i="33"/>
  <c r="F21" i="33"/>
  <c r="E21" i="33"/>
  <c r="C21" i="33"/>
  <c r="B21" i="33"/>
  <c r="A21" i="33"/>
  <c r="G20" i="33"/>
  <c r="F20" i="33"/>
  <c r="E20" i="33"/>
  <c r="C20" i="33"/>
  <c r="B20" i="33"/>
  <c r="A20" i="33"/>
  <c r="G263" i="33"/>
  <c r="F263" i="33"/>
  <c r="E263" i="33"/>
  <c r="C263" i="33"/>
  <c r="B263" i="33"/>
  <c r="A263" i="33"/>
  <c r="G262" i="33"/>
  <c r="F262" i="33"/>
  <c r="E262" i="33"/>
  <c r="C262" i="33"/>
  <c r="B262" i="33"/>
  <c r="A262" i="33"/>
  <c r="G105" i="33"/>
  <c r="F105" i="33"/>
  <c r="E105" i="33"/>
  <c r="C105" i="33"/>
  <c r="B105" i="33"/>
  <c r="A105" i="33"/>
  <c r="G104" i="33"/>
  <c r="F104" i="33"/>
  <c r="E104" i="33"/>
  <c r="C104" i="33"/>
  <c r="B104" i="33"/>
  <c r="A104" i="33"/>
  <c r="G103" i="33"/>
  <c r="F103" i="33"/>
  <c r="E103" i="33"/>
  <c r="C103" i="33"/>
  <c r="B103" i="33"/>
  <c r="A103" i="33"/>
  <c r="G281" i="33"/>
  <c r="F281" i="33"/>
  <c r="E281" i="33"/>
  <c r="C281" i="33"/>
  <c r="B281" i="33"/>
  <c r="A281" i="33"/>
  <c r="G280" i="33"/>
  <c r="F280" i="33"/>
  <c r="E280" i="33"/>
  <c r="C280" i="33"/>
  <c r="B280" i="33"/>
  <c r="A280" i="33"/>
  <c r="G279" i="33"/>
  <c r="F279" i="33"/>
  <c r="E279" i="33"/>
  <c r="C279" i="33"/>
  <c r="B279" i="33"/>
  <c r="A279" i="33"/>
  <c r="G278" i="33"/>
  <c r="F278" i="33"/>
  <c r="E278" i="33"/>
  <c r="C278" i="33"/>
  <c r="B278" i="33"/>
  <c r="A278" i="33"/>
  <c r="G277" i="33"/>
  <c r="F277" i="33"/>
  <c r="E277" i="33"/>
  <c r="C277" i="33"/>
  <c r="B277" i="33"/>
  <c r="A277" i="33"/>
  <c r="G276" i="33"/>
  <c r="F276" i="33"/>
  <c r="E276" i="33"/>
  <c r="C276" i="33"/>
  <c r="B276" i="33"/>
  <c r="A276" i="33"/>
  <c r="G236" i="33"/>
  <c r="F236" i="33"/>
  <c r="E236" i="33"/>
  <c r="C236" i="33"/>
  <c r="B236" i="33"/>
  <c r="A236" i="33"/>
  <c r="G235" i="33"/>
  <c r="F235" i="33"/>
  <c r="E235" i="33"/>
  <c r="C235" i="33"/>
  <c r="B235" i="33"/>
  <c r="A235" i="33"/>
  <c r="G102" i="33"/>
  <c r="F102" i="33"/>
  <c r="E102" i="33"/>
  <c r="C102" i="33"/>
  <c r="B102" i="33"/>
  <c r="A102" i="33"/>
  <c r="G101" i="33"/>
  <c r="F101" i="33"/>
  <c r="E101" i="33"/>
  <c r="C101" i="33"/>
  <c r="B101" i="33"/>
  <c r="A101" i="33"/>
  <c r="G17" i="33"/>
  <c r="F17" i="33"/>
  <c r="E17" i="33"/>
  <c r="C17" i="33"/>
  <c r="B17" i="33"/>
  <c r="A17" i="33"/>
  <c r="G14" i="33"/>
  <c r="F14" i="33"/>
  <c r="E14" i="33"/>
  <c r="C14" i="33"/>
  <c r="B14" i="33"/>
  <c r="A14" i="33"/>
  <c r="G13" i="33"/>
  <c r="F13" i="33"/>
  <c r="E13" i="33"/>
  <c r="C13" i="33"/>
  <c r="B13" i="33"/>
  <c r="A13" i="33"/>
  <c r="G10" i="33"/>
  <c r="F10" i="33"/>
  <c r="E10" i="33"/>
  <c r="C10" i="33"/>
  <c r="B10" i="33"/>
  <c r="A10" i="33"/>
  <c r="G275" i="33"/>
  <c r="F275" i="33"/>
  <c r="E275" i="33"/>
  <c r="C275" i="33"/>
  <c r="B275" i="33"/>
  <c r="A275" i="33"/>
  <c r="G274" i="33"/>
  <c r="F274" i="33"/>
  <c r="E274" i="33"/>
  <c r="C274" i="33"/>
  <c r="B274" i="33"/>
  <c r="A274" i="33"/>
  <c r="G100" i="33"/>
  <c r="F100" i="33"/>
  <c r="E100" i="33"/>
  <c r="C100" i="33"/>
  <c r="B100" i="33"/>
  <c r="A100" i="33"/>
  <c r="G99" i="33"/>
  <c r="F99" i="33"/>
  <c r="E99" i="33"/>
  <c r="C99" i="33"/>
  <c r="B99" i="33"/>
  <c r="A99" i="33"/>
  <c r="G252" i="33"/>
  <c r="F252" i="33"/>
  <c r="E252" i="33"/>
  <c r="C252" i="33"/>
  <c r="B252" i="33"/>
  <c r="A252" i="33"/>
  <c r="G251" i="33"/>
  <c r="F251" i="33"/>
  <c r="E251" i="33"/>
  <c r="C251" i="33"/>
  <c r="B251" i="33"/>
  <c r="A251" i="33"/>
  <c r="G250" i="33"/>
  <c r="F250" i="33"/>
  <c r="E250" i="33"/>
  <c r="C250" i="33"/>
  <c r="B250" i="33"/>
  <c r="A250" i="33"/>
  <c r="G249" i="33"/>
  <c r="F249" i="33"/>
  <c r="E249" i="33"/>
  <c r="C249" i="33"/>
  <c r="B249" i="33"/>
  <c r="A249" i="33"/>
  <c r="G98" i="33"/>
  <c r="F98" i="33"/>
  <c r="E98" i="33"/>
  <c r="C98" i="33"/>
  <c r="B98" i="33"/>
  <c r="A98" i="33"/>
  <c r="G97" i="33"/>
  <c r="F97" i="33"/>
  <c r="E97" i="33"/>
  <c r="C97" i="33"/>
  <c r="B97" i="33"/>
  <c r="A97" i="33"/>
  <c r="G96" i="33"/>
  <c r="F96" i="33"/>
  <c r="E96" i="33"/>
  <c r="C96" i="33"/>
  <c r="B96" i="33"/>
  <c r="A96" i="33"/>
  <c r="G234" i="33"/>
  <c r="F234" i="33"/>
  <c r="E234" i="33"/>
  <c r="C234" i="33"/>
  <c r="B234" i="33"/>
  <c r="A234" i="33"/>
  <c r="G233" i="33"/>
  <c r="F233" i="33"/>
  <c r="E233" i="33"/>
  <c r="C233" i="33"/>
  <c r="B233" i="33"/>
  <c r="A233" i="33"/>
  <c r="G238" i="33"/>
  <c r="F238" i="33"/>
  <c r="E238" i="33"/>
  <c r="C238" i="33"/>
  <c r="B238" i="33"/>
  <c r="A238" i="33"/>
  <c r="G237" i="33"/>
  <c r="F237" i="33"/>
  <c r="E237" i="33"/>
  <c r="C237" i="33"/>
  <c r="B237" i="33"/>
  <c r="A237" i="33"/>
  <c r="G232" i="33"/>
  <c r="F232" i="33"/>
  <c r="E232" i="33"/>
  <c r="C232" i="33"/>
  <c r="B232" i="33"/>
  <c r="A232" i="33"/>
  <c r="G95" i="33"/>
  <c r="F95" i="33"/>
  <c r="E95" i="33"/>
  <c r="C95" i="33"/>
  <c r="B95" i="33"/>
  <c r="A95" i="33"/>
  <c r="G94" i="33"/>
  <c r="F94" i="33"/>
  <c r="E94" i="33"/>
  <c r="C94" i="33"/>
  <c r="B94" i="33"/>
  <c r="A94" i="33"/>
  <c r="G93" i="33"/>
  <c r="F93" i="33"/>
  <c r="E93" i="33"/>
  <c r="C93" i="33"/>
  <c r="B93" i="33"/>
  <c r="A93" i="33"/>
  <c r="G92" i="33"/>
  <c r="F92" i="33"/>
  <c r="E92" i="33"/>
  <c r="C92" i="33"/>
  <c r="B92" i="33"/>
  <c r="A92" i="33"/>
  <c r="G19" i="33"/>
  <c r="F19" i="33"/>
  <c r="E19" i="33"/>
  <c r="C19" i="33"/>
  <c r="B19" i="33"/>
  <c r="A19" i="33"/>
  <c r="G18" i="33"/>
  <c r="F18" i="33"/>
  <c r="E18" i="33"/>
  <c r="C18" i="33"/>
  <c r="B18" i="33"/>
  <c r="A18" i="33"/>
  <c r="G242" i="33"/>
  <c r="F242" i="33"/>
  <c r="E242" i="33"/>
  <c r="C242" i="33"/>
  <c r="B242" i="33"/>
  <c r="A242" i="33"/>
  <c r="G241" i="33"/>
  <c r="F241" i="33"/>
  <c r="E241" i="33"/>
  <c r="C241" i="33"/>
  <c r="B241" i="33"/>
  <c r="A241" i="33"/>
  <c r="G248" i="33"/>
  <c r="F248" i="33"/>
  <c r="E248" i="33"/>
  <c r="C248" i="33"/>
  <c r="B248" i="33"/>
  <c r="A248" i="33"/>
  <c r="G247" i="33"/>
  <c r="F247" i="33"/>
  <c r="E247" i="33"/>
  <c r="C247" i="33"/>
  <c r="B247" i="33"/>
  <c r="A247" i="33"/>
  <c r="G16" i="33"/>
  <c r="F16" i="33"/>
  <c r="E16" i="33"/>
  <c r="C16" i="33"/>
  <c r="B16" i="33"/>
  <c r="A16" i="33"/>
  <c r="G15" i="33"/>
  <c r="F15" i="33"/>
  <c r="E15" i="33"/>
  <c r="C15" i="33"/>
  <c r="B15" i="33"/>
  <c r="A15" i="33"/>
  <c r="G9" i="33"/>
  <c r="F9" i="33"/>
  <c r="E9" i="33"/>
  <c r="C9" i="33"/>
  <c r="B9" i="33"/>
  <c r="A9" i="33"/>
  <c r="G246" i="33"/>
  <c r="F246" i="33"/>
  <c r="E246" i="33"/>
  <c r="C246" i="33"/>
  <c r="B246" i="33"/>
  <c r="A246" i="33"/>
  <c r="G245" i="33"/>
  <c r="F245" i="33"/>
  <c r="E245" i="33"/>
  <c r="C245" i="33"/>
  <c r="B245" i="33"/>
  <c r="A245" i="33"/>
  <c r="G244" i="33"/>
  <c r="F244" i="33"/>
  <c r="E244" i="33"/>
  <c r="C244" i="33"/>
  <c r="B244" i="33"/>
  <c r="A244" i="33"/>
  <c r="G243" i="33"/>
  <c r="F243" i="33"/>
  <c r="E243" i="33"/>
  <c r="C243" i="33"/>
  <c r="B243" i="33"/>
  <c r="A243" i="33"/>
  <c r="G12" i="33"/>
  <c r="F12" i="33"/>
  <c r="E12" i="33"/>
  <c r="C12" i="33"/>
  <c r="B12" i="33"/>
  <c r="A12" i="33"/>
  <c r="G11" i="33"/>
  <c r="F11" i="33"/>
  <c r="E11" i="33"/>
  <c r="C11" i="33"/>
  <c r="B11" i="33"/>
  <c r="A11" i="33"/>
  <c r="G8" i="33"/>
  <c r="F8" i="33"/>
  <c r="E8" i="33"/>
  <c r="C8" i="33"/>
  <c r="B8" i="33"/>
  <c r="A8" i="33"/>
  <c r="G7" i="33"/>
  <c r="F7" i="33"/>
  <c r="E7" i="33"/>
  <c r="C7" i="33"/>
  <c r="B7" i="33"/>
  <c r="A7" i="33"/>
  <c r="G6" i="33"/>
  <c r="F6" i="33"/>
  <c r="E6" i="33"/>
  <c r="C6" i="33"/>
  <c r="B6" i="33"/>
  <c r="A6" i="33"/>
  <c r="G5" i="33"/>
  <c r="F5" i="33"/>
  <c r="E5" i="33"/>
  <c r="C5" i="33"/>
  <c r="B5" i="33"/>
  <c r="A5" i="33"/>
  <c r="G240" i="33"/>
  <c r="F240" i="33"/>
  <c r="E240" i="33"/>
  <c r="C240" i="33"/>
  <c r="B240" i="33"/>
  <c r="A240" i="33"/>
  <c r="G239" i="33"/>
  <c r="F239" i="33"/>
  <c r="E239" i="33"/>
  <c r="C239" i="33"/>
  <c r="B239" i="33"/>
  <c r="A239" i="33"/>
  <c r="C6" i="14"/>
  <c r="R11" i="32"/>
  <c r="Q1618" i="5"/>
  <c r="Q1619" i="5"/>
  <c r="Q1620" i="5"/>
  <c r="Q1621" i="5"/>
  <c r="Q1622" i="5"/>
  <c r="Q1623" i="5"/>
  <c r="Q1624" i="5"/>
  <c r="Q1625" i="5"/>
  <c r="Q1626" i="5"/>
  <c r="Q1627" i="5"/>
  <c r="Q1628" i="5"/>
  <c r="Q1629" i="5"/>
  <c r="Q1630" i="5"/>
  <c r="Q1631" i="5"/>
  <c r="Q1632" i="5"/>
  <c r="Q1633" i="5"/>
  <c r="Q1634" i="5"/>
  <c r="Q1635" i="5"/>
  <c r="Q1636" i="5"/>
  <c r="Q1637" i="5"/>
  <c r="Q1638" i="5"/>
  <c r="Q1639" i="5"/>
  <c r="Q1640" i="5"/>
  <c r="Q1641" i="5"/>
  <c r="Q1642" i="5"/>
  <c r="Q1643" i="5"/>
  <c r="Q1644" i="5"/>
  <c r="Q1645" i="5"/>
  <c r="Q1646" i="5"/>
  <c r="Q1647" i="5"/>
  <c r="Q1648" i="5"/>
  <c r="Q1649" i="5"/>
  <c r="Q1650" i="5"/>
  <c r="Q1651" i="5"/>
  <c r="Q1652" i="5"/>
  <c r="Q1653" i="5"/>
  <c r="Q1654" i="5"/>
  <c r="Q1655" i="5"/>
  <c r="Q1656" i="5"/>
  <c r="Q1657" i="5"/>
  <c r="Q1658" i="5"/>
  <c r="Q1659" i="5"/>
  <c r="Q1660" i="5"/>
  <c r="Q1661" i="5"/>
  <c r="Q1662" i="5"/>
  <c r="Q1663" i="5"/>
  <c r="Q1664" i="5"/>
  <c r="Q1665" i="5"/>
  <c r="Q1666" i="5"/>
  <c r="Q1667" i="5"/>
  <c r="Q1668" i="5"/>
  <c r="Q1669" i="5"/>
  <c r="Q1670" i="5"/>
  <c r="Q1671" i="5"/>
  <c r="Q1672" i="5"/>
  <c r="Q1673" i="5"/>
  <c r="Q1674" i="5"/>
  <c r="Q1675" i="5"/>
  <c r="Q1676" i="5"/>
  <c r="Q1677" i="5"/>
  <c r="Q1678" i="5"/>
  <c r="Q1679" i="5"/>
  <c r="Q1680" i="5"/>
  <c r="Q1681" i="5"/>
  <c r="Q1682" i="5"/>
  <c r="Q1683" i="5"/>
  <c r="Q1684" i="5"/>
  <c r="Q1685" i="5"/>
  <c r="Q1686" i="5"/>
  <c r="Q1687" i="5"/>
  <c r="Q1688" i="5"/>
  <c r="Q1689" i="5"/>
  <c r="Q1690" i="5"/>
  <c r="Q1691" i="5"/>
  <c r="Q1692" i="5"/>
  <c r="Q1693" i="5"/>
  <c r="Q1694" i="5"/>
  <c r="Q1695" i="5"/>
  <c r="Q1696" i="5"/>
  <c r="Q1697" i="5"/>
  <c r="Q1698" i="5"/>
  <c r="Q1699" i="5"/>
  <c r="Q1700" i="5"/>
  <c r="Q1701" i="5"/>
  <c r="Q1702" i="5"/>
  <c r="Q1703" i="5"/>
  <c r="Q1704" i="5"/>
  <c r="Q1705" i="5"/>
  <c r="Q1706" i="5"/>
  <c r="Q1707" i="5"/>
  <c r="Q1708" i="5"/>
  <c r="Q1709" i="5"/>
  <c r="Q1710" i="5"/>
  <c r="Q1711" i="5"/>
  <c r="Q1712" i="5"/>
  <c r="Q1713" i="5"/>
  <c r="Q1714" i="5"/>
  <c r="Q1715" i="5"/>
  <c r="Q1716" i="5"/>
  <c r="Q1717" i="5"/>
  <c r="Q1718" i="5"/>
  <c r="Q1719" i="5"/>
  <c r="Q1720" i="5"/>
  <c r="Q1721" i="5"/>
  <c r="Q1722" i="5"/>
  <c r="Q1723" i="5"/>
  <c r="Q1724" i="5"/>
  <c r="Q1725" i="5"/>
  <c r="Q1726" i="5"/>
  <c r="Q1727" i="5"/>
  <c r="Q1728" i="5"/>
  <c r="Q1729" i="5"/>
  <c r="Q1730" i="5"/>
  <c r="Q1731" i="5"/>
  <c r="Q1732" i="5"/>
  <c r="Q1733" i="5"/>
  <c r="Q1734" i="5"/>
  <c r="Q1735" i="5"/>
  <c r="Q1736" i="5"/>
  <c r="Q1737" i="5"/>
  <c r="Q1738" i="5"/>
  <c r="Q1739" i="5"/>
  <c r="Q1740" i="5"/>
  <c r="Q1741" i="5"/>
  <c r="Q1742" i="5"/>
  <c r="Q1743" i="5"/>
  <c r="Q1744" i="5"/>
  <c r="Q1745" i="5"/>
  <c r="Q1746" i="5"/>
  <c r="Q1747" i="5"/>
  <c r="Q1748" i="5"/>
  <c r="Q1617" i="5"/>
  <c r="R307" i="4"/>
  <c r="R308" i="4"/>
  <c r="R309" i="4"/>
  <c r="R310" i="4"/>
  <c r="R311" i="4"/>
  <c r="R312" i="4"/>
  <c r="R313" i="4"/>
  <c r="R314" i="4"/>
  <c r="R315" i="4"/>
  <c r="R316" i="4"/>
  <c r="R317" i="4"/>
  <c r="R318" i="4"/>
  <c r="R319" i="4"/>
  <c r="R320" i="4"/>
  <c r="R321" i="4"/>
  <c r="R322" i="4"/>
  <c r="R323" i="4"/>
  <c r="R324" i="4"/>
  <c r="R325" i="4"/>
  <c r="R326" i="4"/>
  <c r="R327" i="4"/>
  <c r="R328" i="4"/>
  <c r="R329" i="4"/>
  <c r="R330" i="4"/>
  <c r="R331" i="4"/>
  <c r="R332" i="4"/>
  <c r="R333" i="4"/>
  <c r="R334" i="4"/>
  <c r="R335" i="4"/>
  <c r="R336" i="4"/>
  <c r="R337" i="4"/>
  <c r="R338" i="4"/>
  <c r="R339" i="4"/>
  <c r="R340" i="4"/>
  <c r="R341" i="4"/>
  <c r="R342" i="4"/>
  <c r="R343" i="4"/>
  <c r="R344" i="4"/>
  <c r="R345" i="4"/>
  <c r="R346" i="4"/>
  <c r="R347" i="4"/>
  <c r="R348" i="4"/>
  <c r="R349" i="4"/>
  <c r="R350" i="4"/>
  <c r="R351" i="4"/>
  <c r="R352" i="4"/>
  <c r="R353" i="4"/>
  <c r="R354" i="4"/>
  <c r="R355" i="4"/>
  <c r="R356" i="4"/>
  <c r="R357" i="4"/>
  <c r="R358" i="4"/>
  <c r="R359" i="4"/>
  <c r="R360" i="4"/>
  <c r="R361" i="4"/>
  <c r="R362" i="4"/>
  <c r="R363" i="4"/>
  <c r="R364" i="4"/>
  <c r="R365" i="4"/>
  <c r="R366" i="4"/>
  <c r="R367" i="4"/>
  <c r="R368" i="4"/>
  <c r="R369" i="4"/>
  <c r="R370" i="4"/>
  <c r="R371" i="4"/>
  <c r="R372" i="4"/>
  <c r="R373" i="4"/>
  <c r="R374" i="4"/>
  <c r="R375" i="4"/>
  <c r="R376" i="4"/>
  <c r="R377" i="4"/>
  <c r="R378" i="4"/>
  <c r="R379" i="4"/>
  <c r="R380" i="4"/>
  <c r="R381" i="4"/>
  <c r="R382" i="4"/>
  <c r="R383" i="4"/>
  <c r="R384" i="4"/>
  <c r="R385" i="4"/>
  <c r="R386" i="4"/>
  <c r="R387" i="4"/>
  <c r="R388" i="4"/>
  <c r="R389" i="4"/>
  <c r="R390" i="4"/>
  <c r="R391" i="4"/>
  <c r="R392" i="4"/>
  <c r="R393" i="4"/>
  <c r="R394" i="4"/>
  <c r="R395" i="4"/>
  <c r="R396" i="4"/>
  <c r="R397" i="4"/>
  <c r="R398" i="4"/>
  <c r="R399" i="4"/>
  <c r="R400" i="4"/>
  <c r="R401" i="4"/>
  <c r="R402" i="4"/>
  <c r="R403" i="4"/>
  <c r="R404" i="4"/>
  <c r="R405" i="4"/>
  <c r="R406" i="4"/>
  <c r="R407" i="4"/>
  <c r="R408" i="4"/>
  <c r="R409" i="4"/>
  <c r="R410" i="4"/>
  <c r="R411" i="4"/>
  <c r="R412" i="4"/>
  <c r="R413" i="4"/>
  <c r="R414" i="4"/>
  <c r="R415" i="4"/>
  <c r="R416" i="4"/>
  <c r="R417" i="4"/>
  <c r="R418" i="4"/>
  <c r="R419" i="4"/>
  <c r="R420" i="4"/>
  <c r="R421" i="4"/>
  <c r="R422" i="4"/>
  <c r="R423" i="4"/>
  <c r="R424" i="4"/>
  <c r="R425" i="4"/>
  <c r="R426" i="4"/>
  <c r="R427" i="4"/>
  <c r="R428" i="4"/>
  <c r="R429" i="4"/>
  <c r="R430" i="4"/>
  <c r="R431" i="4"/>
  <c r="R432" i="4"/>
  <c r="R433" i="4"/>
  <c r="R434" i="4"/>
  <c r="R435" i="4"/>
  <c r="R436" i="4"/>
  <c r="R437" i="4"/>
  <c r="R438" i="4"/>
  <c r="R439" i="4"/>
  <c r="R440" i="4"/>
  <c r="R441" i="4"/>
  <c r="R442" i="4"/>
  <c r="R443" i="4"/>
  <c r="R444" i="4"/>
  <c r="R445" i="4"/>
  <c r="R446" i="4"/>
  <c r="R447" i="4"/>
  <c r="R448" i="4"/>
  <c r="R449" i="4"/>
  <c r="R450" i="4"/>
  <c r="R451" i="4"/>
  <c r="R452" i="4"/>
  <c r="R453" i="4"/>
  <c r="R454" i="4"/>
  <c r="R455" i="4"/>
  <c r="R456" i="4"/>
  <c r="R457" i="4"/>
  <c r="R458" i="4"/>
  <c r="R459" i="4"/>
  <c r="R460" i="4"/>
  <c r="R461" i="4"/>
  <c r="R462" i="4"/>
  <c r="R463" i="4"/>
  <c r="R464" i="4"/>
  <c r="R465" i="4"/>
  <c r="R466" i="4"/>
  <c r="R467" i="4"/>
  <c r="R468" i="4"/>
  <c r="R469" i="4"/>
  <c r="R470" i="4"/>
  <c r="R471" i="4"/>
  <c r="R472" i="4"/>
  <c r="R473" i="4"/>
  <c r="R474" i="4"/>
  <c r="R475" i="4"/>
  <c r="R476" i="4"/>
  <c r="R477" i="4"/>
  <c r="R478" i="4"/>
  <c r="R479" i="4"/>
  <c r="R480" i="4"/>
  <c r="R481" i="4"/>
  <c r="R482" i="4"/>
  <c r="R483" i="4"/>
  <c r="R484" i="4"/>
  <c r="R485" i="4"/>
  <c r="R486" i="4"/>
  <c r="R487" i="4"/>
  <c r="R488" i="4"/>
  <c r="R489" i="4"/>
  <c r="R490" i="4"/>
  <c r="R491" i="4"/>
  <c r="R492" i="4"/>
  <c r="R493" i="4"/>
  <c r="R494" i="4"/>
  <c r="R495" i="4"/>
  <c r="R496" i="4"/>
  <c r="R497" i="4"/>
  <c r="R498" i="4"/>
  <c r="R499" i="4"/>
  <c r="R500" i="4"/>
  <c r="R501" i="4"/>
  <c r="R502" i="4"/>
  <c r="R503" i="4"/>
  <c r="R504" i="4"/>
  <c r="R505" i="4"/>
  <c r="R506" i="4"/>
  <c r="R507" i="4"/>
  <c r="R508" i="4"/>
  <c r="R509" i="4"/>
  <c r="R510" i="4"/>
  <c r="R511" i="4"/>
  <c r="R512" i="4"/>
  <c r="R513" i="4"/>
  <c r="R514" i="4"/>
  <c r="R515" i="4"/>
  <c r="R516" i="4"/>
  <c r="R517" i="4"/>
  <c r="R518" i="4"/>
  <c r="R519" i="4"/>
  <c r="R520" i="4"/>
  <c r="R521" i="4"/>
  <c r="R522" i="4"/>
  <c r="R523" i="4"/>
  <c r="R524" i="4"/>
  <c r="R525" i="4"/>
  <c r="R526" i="4"/>
  <c r="R527" i="4"/>
  <c r="R528" i="4"/>
  <c r="R529" i="4"/>
  <c r="R530" i="4"/>
  <c r="R531" i="4"/>
  <c r="R532" i="4"/>
  <c r="R533" i="4"/>
  <c r="R534" i="4"/>
  <c r="R535" i="4"/>
  <c r="R536" i="4"/>
  <c r="R537" i="4"/>
  <c r="R538" i="4"/>
  <c r="R539" i="4"/>
  <c r="R540" i="4"/>
  <c r="R541" i="4"/>
  <c r="R542" i="4"/>
  <c r="R543" i="4"/>
  <c r="R544" i="4"/>
  <c r="R545" i="4"/>
  <c r="R546" i="4"/>
  <c r="R547" i="4"/>
  <c r="R548" i="4"/>
  <c r="R549" i="4"/>
  <c r="R550" i="4"/>
  <c r="R551" i="4"/>
  <c r="R552" i="4"/>
  <c r="R553" i="4"/>
  <c r="R554" i="4"/>
  <c r="R555" i="4"/>
  <c r="R556" i="4"/>
  <c r="R557" i="4"/>
  <c r="R558" i="4"/>
  <c r="R559" i="4"/>
  <c r="R560" i="4"/>
  <c r="R561" i="4"/>
  <c r="R562" i="4"/>
  <c r="R563" i="4"/>
  <c r="R564" i="4"/>
  <c r="R565" i="4"/>
  <c r="R566" i="4"/>
  <c r="R567" i="4"/>
  <c r="R568" i="4"/>
  <c r="R569" i="4"/>
  <c r="R570" i="4"/>
  <c r="R571" i="4"/>
  <c r="R572" i="4"/>
  <c r="R573" i="4"/>
  <c r="R574" i="4"/>
  <c r="R575" i="4"/>
  <c r="R576" i="4"/>
  <c r="R577" i="4"/>
  <c r="R578" i="4"/>
  <c r="R579" i="4"/>
  <c r="R580" i="4"/>
  <c r="R581" i="4"/>
  <c r="R582" i="4"/>
  <c r="R583" i="4"/>
  <c r="R584" i="4"/>
  <c r="R585" i="4"/>
  <c r="R586" i="4"/>
  <c r="R587" i="4"/>
  <c r="R588" i="4"/>
  <c r="R589" i="4"/>
  <c r="R590" i="4"/>
  <c r="R591" i="4"/>
  <c r="R592" i="4"/>
  <c r="R593" i="4"/>
  <c r="R594" i="4"/>
  <c r="R595" i="4"/>
  <c r="R596" i="4"/>
  <c r="R597" i="4"/>
  <c r="R598" i="4"/>
  <c r="R599" i="4"/>
  <c r="R600" i="4"/>
  <c r="R601" i="4"/>
  <c r="R602" i="4"/>
  <c r="R603" i="4"/>
  <c r="R604" i="4"/>
  <c r="R605" i="4"/>
  <c r="R606" i="4"/>
  <c r="R607" i="4"/>
  <c r="R608" i="4"/>
  <c r="R609" i="4"/>
  <c r="R610" i="4"/>
  <c r="R611" i="4"/>
  <c r="R612" i="4"/>
  <c r="R613" i="4"/>
  <c r="R614" i="4"/>
  <c r="R615" i="4"/>
  <c r="R616" i="4"/>
  <c r="R617" i="4"/>
  <c r="R618" i="4"/>
  <c r="R619" i="4"/>
  <c r="R620" i="4"/>
  <c r="R621" i="4"/>
  <c r="R622" i="4"/>
  <c r="R623" i="4"/>
  <c r="R624" i="4"/>
  <c r="R625" i="4"/>
  <c r="R626" i="4"/>
  <c r="R627" i="4"/>
  <c r="R628" i="4"/>
  <c r="R629" i="4"/>
  <c r="R630" i="4"/>
  <c r="R631" i="4"/>
  <c r="R632" i="4"/>
  <c r="R633" i="4"/>
  <c r="R634" i="4"/>
  <c r="R635" i="4"/>
  <c r="R636" i="4"/>
  <c r="R637" i="4"/>
  <c r="R638" i="4"/>
  <c r="R639" i="4"/>
  <c r="R640" i="4"/>
  <c r="R641" i="4"/>
  <c r="R642" i="4"/>
  <c r="R643" i="4"/>
  <c r="R644" i="4"/>
  <c r="R645" i="4"/>
  <c r="R646" i="4"/>
  <c r="R647" i="4"/>
  <c r="R648" i="4"/>
  <c r="R649" i="4"/>
  <c r="R650" i="4"/>
  <c r="R651" i="4"/>
  <c r="R652" i="4"/>
  <c r="R653" i="4"/>
  <c r="R654" i="4"/>
  <c r="R655" i="4"/>
  <c r="R656" i="4"/>
  <c r="R657" i="4"/>
  <c r="R658" i="4"/>
  <c r="R659" i="4"/>
  <c r="R660" i="4"/>
  <c r="R661" i="4"/>
  <c r="R662" i="4"/>
  <c r="R663" i="4"/>
  <c r="R664" i="4"/>
  <c r="R665" i="4"/>
  <c r="R666" i="4"/>
  <c r="R667" i="4"/>
  <c r="R668" i="4"/>
  <c r="R669" i="4"/>
  <c r="R670" i="4"/>
  <c r="R671" i="4"/>
  <c r="R672" i="4"/>
  <c r="R673" i="4"/>
  <c r="R674" i="4"/>
  <c r="R675" i="4"/>
  <c r="R676" i="4"/>
  <c r="R677" i="4"/>
  <c r="R678" i="4"/>
  <c r="R679" i="4"/>
  <c r="R680" i="4"/>
  <c r="R681" i="4"/>
  <c r="R682" i="4"/>
  <c r="R683" i="4"/>
  <c r="R684" i="4"/>
  <c r="R685" i="4"/>
  <c r="R686" i="4"/>
  <c r="R687" i="4"/>
  <c r="R688" i="4"/>
  <c r="R689" i="4"/>
  <c r="R690" i="4"/>
  <c r="R691" i="4"/>
  <c r="R692" i="4"/>
  <c r="R693" i="4"/>
  <c r="R694" i="4"/>
  <c r="R695" i="4"/>
  <c r="R696" i="4"/>
  <c r="R697" i="4"/>
  <c r="R698" i="4"/>
  <c r="R699" i="4"/>
  <c r="R700" i="4"/>
  <c r="R701" i="4"/>
  <c r="R702" i="4"/>
  <c r="R703" i="4"/>
  <c r="R704" i="4"/>
  <c r="R705" i="4"/>
  <c r="R706" i="4"/>
  <c r="R707" i="4"/>
  <c r="R708" i="4"/>
  <c r="R709" i="4"/>
  <c r="R710" i="4"/>
  <c r="R711" i="4"/>
  <c r="R712" i="4"/>
  <c r="R713" i="4"/>
  <c r="R714" i="4"/>
  <c r="R715" i="4"/>
  <c r="R716" i="4"/>
  <c r="R717" i="4"/>
  <c r="R718" i="4"/>
  <c r="R719" i="4"/>
  <c r="R720" i="4"/>
  <c r="R721" i="4"/>
  <c r="R722" i="4"/>
  <c r="R723" i="4"/>
  <c r="R724" i="4"/>
  <c r="R725" i="4"/>
  <c r="R726" i="4"/>
  <c r="R727" i="4"/>
  <c r="R728" i="4"/>
  <c r="R729" i="4"/>
  <c r="R730" i="4"/>
  <c r="R731" i="4"/>
  <c r="R732" i="4"/>
  <c r="R733" i="4"/>
  <c r="R734" i="4"/>
  <c r="R735" i="4"/>
  <c r="R736" i="4"/>
  <c r="R737" i="4"/>
  <c r="R738" i="4"/>
  <c r="R739" i="4"/>
  <c r="R740" i="4"/>
  <c r="R741" i="4"/>
  <c r="R742" i="4"/>
  <c r="R743" i="4"/>
  <c r="R744" i="4"/>
  <c r="R745" i="4"/>
  <c r="R746" i="4"/>
  <c r="R747" i="4"/>
  <c r="R748" i="4"/>
  <c r="R749" i="4"/>
  <c r="R750" i="4"/>
  <c r="R751" i="4"/>
  <c r="R752" i="4"/>
  <c r="R753" i="4"/>
  <c r="R754" i="4"/>
  <c r="R755" i="4"/>
  <c r="R756" i="4"/>
  <c r="R757" i="4"/>
  <c r="R758" i="4"/>
  <c r="R759" i="4"/>
  <c r="R760" i="4"/>
  <c r="R761" i="4"/>
  <c r="R762" i="4"/>
  <c r="R763" i="4"/>
  <c r="R764" i="4"/>
  <c r="R765" i="4"/>
  <c r="R766" i="4"/>
  <c r="R767" i="4"/>
  <c r="R768" i="4"/>
  <c r="R769" i="4"/>
  <c r="R770" i="4"/>
  <c r="R771" i="4"/>
  <c r="R772" i="4"/>
  <c r="R773" i="4"/>
  <c r="R774" i="4"/>
  <c r="R775" i="4"/>
  <c r="R776" i="4"/>
  <c r="R777" i="4"/>
  <c r="R778" i="4"/>
  <c r="R779" i="4"/>
  <c r="R780" i="4"/>
  <c r="R781" i="4"/>
  <c r="R782" i="4"/>
  <c r="R783" i="4"/>
  <c r="R784" i="4"/>
  <c r="R785" i="4"/>
  <c r="R786" i="4"/>
  <c r="R787" i="4"/>
  <c r="R788" i="4"/>
  <c r="R789" i="4"/>
  <c r="R790" i="4"/>
  <c r="R791" i="4"/>
  <c r="R792" i="4"/>
  <c r="R793" i="4"/>
  <c r="R794" i="4"/>
  <c r="R795" i="4"/>
  <c r="R796" i="4"/>
  <c r="R797" i="4"/>
  <c r="R798" i="4"/>
  <c r="R799" i="4"/>
  <c r="R800" i="4"/>
  <c r="R801" i="4"/>
  <c r="R802" i="4"/>
  <c r="R803" i="4"/>
  <c r="R804" i="4"/>
  <c r="R805" i="4"/>
  <c r="R806" i="4"/>
  <c r="R807" i="4"/>
  <c r="R808" i="4"/>
  <c r="R809" i="4"/>
  <c r="R810" i="4"/>
  <c r="R811" i="4"/>
  <c r="R812" i="4"/>
  <c r="R813" i="4"/>
  <c r="R814" i="4"/>
  <c r="R815" i="4"/>
  <c r="R816" i="4"/>
  <c r="R817" i="4"/>
  <c r="R818" i="4"/>
  <c r="R819" i="4"/>
  <c r="R820" i="4"/>
  <c r="R821" i="4"/>
  <c r="R822" i="4"/>
  <c r="R823" i="4"/>
  <c r="R824" i="4"/>
  <c r="R825" i="4"/>
  <c r="R826" i="4"/>
  <c r="R827" i="4"/>
  <c r="R828" i="4"/>
  <c r="R829" i="4"/>
  <c r="R830" i="4"/>
  <c r="R831" i="4"/>
  <c r="R832" i="4"/>
  <c r="R833" i="4"/>
  <c r="R834" i="4"/>
  <c r="R835" i="4"/>
  <c r="R836" i="4"/>
  <c r="R837" i="4"/>
  <c r="R838" i="4"/>
  <c r="R839" i="4"/>
  <c r="R840" i="4"/>
  <c r="R841" i="4"/>
  <c r="R842" i="4"/>
  <c r="R843" i="4"/>
  <c r="R844" i="4"/>
  <c r="R845" i="4"/>
  <c r="R846" i="4"/>
  <c r="R847" i="4"/>
  <c r="R848" i="4"/>
  <c r="R849" i="4"/>
  <c r="R850" i="4"/>
  <c r="R851" i="4"/>
  <c r="R852" i="4"/>
  <c r="R853" i="4"/>
  <c r="R854" i="4"/>
  <c r="R855" i="4"/>
  <c r="R856" i="4"/>
  <c r="R857" i="4"/>
  <c r="R858" i="4"/>
  <c r="R859" i="4"/>
  <c r="R860" i="4"/>
  <c r="R861" i="4"/>
  <c r="R862" i="4"/>
  <c r="R863" i="4"/>
  <c r="R864" i="4"/>
  <c r="R865" i="4"/>
  <c r="R866" i="4"/>
  <c r="R867" i="4"/>
  <c r="R868" i="4"/>
  <c r="R869" i="4"/>
  <c r="R870" i="4"/>
  <c r="R871" i="4"/>
  <c r="R872" i="4"/>
  <c r="R873" i="4"/>
  <c r="R874" i="4"/>
  <c r="R875" i="4"/>
  <c r="R876" i="4"/>
  <c r="R877" i="4"/>
  <c r="R878" i="4"/>
  <c r="R879" i="4"/>
  <c r="R880" i="4"/>
  <c r="R881" i="4"/>
  <c r="R882" i="4"/>
  <c r="R883" i="4"/>
  <c r="R884" i="4"/>
  <c r="R885" i="4"/>
  <c r="R886" i="4"/>
  <c r="R887" i="4"/>
  <c r="R888" i="4"/>
  <c r="R889" i="4"/>
  <c r="R890" i="4"/>
  <c r="R891" i="4"/>
  <c r="R892" i="4"/>
  <c r="R893" i="4"/>
  <c r="R894" i="4"/>
  <c r="R895" i="4"/>
  <c r="R896" i="4"/>
  <c r="R897" i="4"/>
  <c r="R898" i="4"/>
  <c r="R899" i="4"/>
  <c r="R900" i="4"/>
  <c r="R901" i="4"/>
  <c r="R902" i="4"/>
  <c r="R903" i="4"/>
  <c r="R904" i="4"/>
  <c r="R905" i="4"/>
  <c r="R906" i="4"/>
  <c r="R907" i="4"/>
  <c r="R908" i="4"/>
  <c r="R909" i="4"/>
  <c r="R910" i="4"/>
  <c r="R911" i="4"/>
  <c r="R912" i="4"/>
  <c r="R913" i="4"/>
  <c r="R914" i="4"/>
  <c r="R915" i="4"/>
  <c r="R916" i="4"/>
  <c r="R917" i="4"/>
  <c r="R918" i="4"/>
  <c r="R919" i="4"/>
  <c r="R920" i="4"/>
  <c r="R921" i="4"/>
  <c r="R922" i="4"/>
  <c r="R923" i="4"/>
  <c r="R924" i="4"/>
  <c r="K408" i="4"/>
  <c r="K409" i="4"/>
  <c r="K410" i="4"/>
  <c r="K411" i="4"/>
  <c r="K412" i="4" s="1"/>
  <c r="K413" i="4" s="1"/>
  <c r="K414" i="4" s="1"/>
  <c r="K415" i="4" s="1"/>
  <c r="K416" i="4" s="1"/>
  <c r="K417" i="4" s="1"/>
  <c r="K418" i="4" s="1"/>
  <c r="K419" i="4" s="1"/>
  <c r="K420" i="4" s="1"/>
  <c r="K421" i="4" s="1"/>
  <c r="K422" i="4" s="1"/>
  <c r="K423" i="4" s="1"/>
  <c r="K424" i="4" s="1"/>
  <c r="K425" i="4" s="1"/>
  <c r="K426" i="4" s="1"/>
  <c r="K427" i="4" s="1"/>
  <c r="K428" i="4" s="1"/>
  <c r="K429" i="4" s="1"/>
  <c r="K430" i="4" s="1"/>
  <c r="K431" i="4" s="1"/>
  <c r="K432" i="4" s="1"/>
  <c r="K433" i="4" s="1"/>
  <c r="K434" i="4" s="1"/>
  <c r="K435" i="4" s="1"/>
  <c r="K436" i="4" s="1"/>
  <c r="K437" i="4" s="1"/>
  <c r="K438" i="4" s="1"/>
  <c r="K439" i="4" s="1"/>
  <c r="K440" i="4" s="1"/>
  <c r="K441" i="4" s="1"/>
  <c r="K442" i="4" s="1"/>
  <c r="K443" i="4" s="1"/>
  <c r="K444" i="4" s="1"/>
  <c r="K445" i="4" s="1"/>
  <c r="K446" i="4" s="1"/>
  <c r="K447" i="4" s="1"/>
  <c r="K448" i="4" s="1"/>
  <c r="K449" i="4" s="1"/>
  <c r="K450" i="4" s="1"/>
  <c r="K451" i="4" s="1"/>
  <c r="K452" i="4" s="1"/>
  <c r="K453" i="4" s="1"/>
  <c r="K454" i="4" s="1"/>
  <c r="K455" i="4" s="1"/>
  <c r="K456" i="4" s="1"/>
  <c r="K457" i="4" s="1"/>
  <c r="K458" i="4" s="1"/>
  <c r="K459" i="4" s="1"/>
  <c r="K460" i="4" s="1"/>
  <c r="K461" i="4" s="1"/>
  <c r="K462" i="4" s="1"/>
  <c r="K463" i="4" s="1"/>
  <c r="K464" i="4" s="1"/>
  <c r="K465" i="4" s="1"/>
  <c r="K466" i="4" s="1"/>
  <c r="K467" i="4" s="1"/>
  <c r="K468" i="4" s="1"/>
  <c r="K469" i="4" s="1"/>
  <c r="K470" i="4" s="1"/>
  <c r="K471" i="4" s="1"/>
  <c r="K472" i="4" s="1"/>
  <c r="K473" i="4" s="1"/>
  <c r="K474" i="4" s="1"/>
  <c r="K475" i="4" s="1"/>
  <c r="K476" i="4" s="1"/>
  <c r="K477" i="4" s="1"/>
  <c r="K478" i="4" s="1"/>
  <c r="K479" i="4" s="1"/>
  <c r="K480" i="4" s="1"/>
  <c r="K481" i="4" s="1"/>
  <c r="K482" i="4" s="1"/>
  <c r="K483" i="4" s="1"/>
  <c r="K484" i="4" s="1"/>
  <c r="K485" i="4" s="1"/>
  <c r="K486" i="4" s="1"/>
  <c r="K487" i="4" s="1"/>
  <c r="K488" i="4" s="1"/>
  <c r="K489" i="4" s="1"/>
  <c r="K490" i="4" s="1"/>
  <c r="K491" i="4" s="1"/>
  <c r="K492" i="4" s="1"/>
  <c r="K493" i="4" s="1"/>
  <c r="K494" i="4" s="1"/>
  <c r="K495" i="4" s="1"/>
  <c r="K496" i="4" s="1"/>
  <c r="K497" i="4" s="1"/>
  <c r="K498" i="4" s="1"/>
  <c r="K499" i="4" s="1"/>
  <c r="K500" i="4" s="1"/>
  <c r="K501" i="4" s="1"/>
  <c r="K502" i="4" s="1"/>
  <c r="K503" i="4" s="1"/>
  <c r="K504" i="4" s="1"/>
  <c r="K505" i="4" s="1"/>
  <c r="K506" i="4" s="1"/>
  <c r="K507" i="4" s="1"/>
  <c r="K508" i="4" s="1"/>
  <c r="K509" i="4" s="1"/>
  <c r="K510" i="4" s="1"/>
  <c r="K511" i="4" s="1"/>
  <c r="K512" i="4" s="1"/>
  <c r="K513" i="4" s="1"/>
  <c r="K514" i="4" s="1"/>
  <c r="K515" i="4" s="1"/>
  <c r="K516" i="4" s="1"/>
  <c r="K517" i="4" s="1"/>
  <c r="K518" i="4" s="1"/>
  <c r="K519" i="4" s="1"/>
  <c r="K520" i="4" s="1"/>
  <c r="K521" i="4" s="1"/>
  <c r="K522" i="4" s="1"/>
  <c r="K523" i="4" s="1"/>
  <c r="K524" i="4" s="1"/>
  <c r="K525" i="4" s="1"/>
  <c r="K526" i="4" s="1"/>
  <c r="K527" i="4" s="1"/>
  <c r="K528" i="4" s="1"/>
  <c r="K529" i="4" s="1"/>
  <c r="K530" i="4" s="1"/>
  <c r="K531" i="4" s="1"/>
  <c r="K532" i="4" s="1"/>
  <c r="K533" i="4" s="1"/>
  <c r="K534" i="4" s="1"/>
  <c r="K535" i="4" s="1"/>
  <c r="K536" i="4" s="1"/>
  <c r="K537" i="4" s="1"/>
  <c r="K538" i="4" s="1"/>
  <c r="K539" i="4" s="1"/>
  <c r="K540" i="4" s="1"/>
  <c r="K541" i="4" s="1"/>
  <c r="K542" i="4" s="1"/>
  <c r="K543" i="4" s="1"/>
  <c r="K544" i="4" s="1"/>
  <c r="K545" i="4" s="1"/>
  <c r="K546" i="4" s="1"/>
  <c r="K547" i="4" s="1"/>
  <c r="K548" i="4" s="1"/>
  <c r="K549" i="4" s="1"/>
  <c r="K550" i="4" s="1"/>
  <c r="K551" i="4" s="1"/>
  <c r="K552" i="4" s="1"/>
  <c r="K553" i="4" s="1"/>
  <c r="K554" i="4" s="1"/>
  <c r="K555" i="4" s="1"/>
  <c r="K556" i="4" s="1"/>
  <c r="K557" i="4" s="1"/>
  <c r="K558" i="4" s="1"/>
  <c r="K559" i="4" s="1"/>
  <c r="K560" i="4" s="1"/>
  <c r="K561" i="4" s="1"/>
  <c r="K562" i="4" s="1"/>
  <c r="K563" i="4" s="1"/>
  <c r="K564" i="4" s="1"/>
  <c r="K565" i="4" s="1"/>
  <c r="K566" i="4" s="1"/>
  <c r="K567" i="4" s="1"/>
  <c r="K568" i="4" s="1"/>
  <c r="K569" i="4" s="1"/>
  <c r="K570" i="4" s="1"/>
  <c r="K571" i="4" s="1"/>
  <c r="K572" i="4" s="1"/>
  <c r="K573" i="4" s="1"/>
  <c r="K574" i="4" s="1"/>
  <c r="K575" i="4" s="1"/>
  <c r="K576" i="4" s="1"/>
  <c r="K577" i="4" s="1"/>
  <c r="K578" i="4" s="1"/>
  <c r="K579" i="4" s="1"/>
  <c r="K580" i="4" s="1"/>
  <c r="K581" i="4" s="1"/>
  <c r="K582" i="4" s="1"/>
  <c r="K583" i="4" s="1"/>
  <c r="K584" i="4" s="1"/>
  <c r="K585" i="4" s="1"/>
  <c r="K586" i="4" s="1"/>
  <c r="K587" i="4" s="1"/>
  <c r="K588" i="4" s="1"/>
  <c r="K589" i="4" s="1"/>
  <c r="K590" i="4" s="1"/>
  <c r="K591" i="4" s="1"/>
  <c r="K592" i="4" s="1"/>
  <c r="K593" i="4" s="1"/>
  <c r="K594" i="4" s="1"/>
  <c r="K595" i="4" s="1"/>
  <c r="K596" i="4" s="1"/>
  <c r="K597" i="4" s="1"/>
  <c r="K598" i="4" s="1"/>
  <c r="K599" i="4" s="1"/>
  <c r="K600" i="4" s="1"/>
  <c r="K601" i="4" s="1"/>
  <c r="K602" i="4" s="1"/>
  <c r="K603" i="4" s="1"/>
  <c r="K604" i="4" s="1"/>
  <c r="K605" i="4" s="1"/>
  <c r="K606" i="4" s="1"/>
  <c r="K607" i="4" s="1"/>
  <c r="K608" i="4" s="1"/>
  <c r="K609" i="4" s="1"/>
  <c r="K610" i="4" s="1"/>
  <c r="K611" i="4" s="1"/>
  <c r="K612" i="4" s="1"/>
  <c r="K613" i="4" s="1"/>
  <c r="K614" i="4" s="1"/>
  <c r="K615" i="4" s="1"/>
  <c r="K616" i="4" s="1"/>
  <c r="K617" i="4" s="1"/>
  <c r="K618" i="4" s="1"/>
  <c r="K619" i="4" s="1"/>
  <c r="K620" i="4" s="1"/>
  <c r="K621" i="4" s="1"/>
  <c r="K622" i="4" s="1"/>
  <c r="K623" i="4" s="1"/>
  <c r="K624" i="4" s="1"/>
  <c r="K625" i="4" s="1"/>
  <c r="K626" i="4" s="1"/>
  <c r="K627" i="4" s="1"/>
  <c r="K628" i="4" s="1"/>
  <c r="K629" i="4" s="1"/>
  <c r="K630" i="4" s="1"/>
  <c r="K631" i="4" s="1"/>
  <c r="K632" i="4" s="1"/>
  <c r="K633" i="4" s="1"/>
  <c r="K634" i="4" s="1"/>
  <c r="K635" i="4" s="1"/>
  <c r="K636" i="4" s="1"/>
  <c r="K637" i="4" s="1"/>
  <c r="K638" i="4" s="1"/>
  <c r="K639" i="4" s="1"/>
  <c r="K640" i="4" s="1"/>
  <c r="K641" i="4" s="1"/>
  <c r="K642" i="4" s="1"/>
  <c r="K643" i="4" s="1"/>
  <c r="K644" i="4" s="1"/>
  <c r="K645" i="4" s="1"/>
  <c r="K646" i="4" s="1"/>
  <c r="K647" i="4" s="1"/>
  <c r="K648" i="4" s="1"/>
  <c r="K649" i="4" s="1"/>
  <c r="K650" i="4" s="1"/>
  <c r="K651" i="4" s="1"/>
  <c r="K652" i="4" s="1"/>
  <c r="K653" i="4" s="1"/>
  <c r="K654" i="4" s="1"/>
  <c r="K655" i="4" s="1"/>
  <c r="K656" i="4" s="1"/>
  <c r="K657" i="4" s="1"/>
  <c r="K658" i="4" s="1"/>
  <c r="K659" i="4" s="1"/>
  <c r="K660" i="4" s="1"/>
  <c r="K661" i="4" s="1"/>
  <c r="K662" i="4" s="1"/>
  <c r="K663" i="4" s="1"/>
  <c r="K664" i="4" s="1"/>
  <c r="K665" i="4" s="1"/>
  <c r="K666" i="4" s="1"/>
  <c r="K667" i="4" s="1"/>
  <c r="K668" i="4" s="1"/>
  <c r="K669" i="4" s="1"/>
  <c r="K670" i="4" s="1"/>
  <c r="K671" i="4" s="1"/>
  <c r="K672" i="4" s="1"/>
  <c r="K673" i="4" s="1"/>
  <c r="K674" i="4" s="1"/>
  <c r="K675" i="4" s="1"/>
  <c r="K676" i="4" s="1"/>
  <c r="K677" i="4" s="1"/>
  <c r="K678" i="4" s="1"/>
  <c r="K679" i="4" s="1"/>
  <c r="K680" i="4" s="1"/>
  <c r="K681" i="4" s="1"/>
  <c r="K682" i="4" s="1"/>
  <c r="K683" i="4" s="1"/>
  <c r="K684" i="4" s="1"/>
  <c r="K685" i="4" s="1"/>
  <c r="K686" i="4" s="1"/>
  <c r="K687" i="4" s="1"/>
  <c r="K688" i="4" s="1"/>
  <c r="K689" i="4" s="1"/>
  <c r="K690" i="4" s="1"/>
  <c r="K691" i="4" s="1"/>
  <c r="K692" i="4" s="1"/>
  <c r="K693" i="4" s="1"/>
  <c r="K694" i="4" s="1"/>
  <c r="K695" i="4" s="1"/>
  <c r="K696" i="4" s="1"/>
  <c r="K697" i="4" s="1"/>
  <c r="K698" i="4" s="1"/>
  <c r="K699" i="4" s="1"/>
  <c r="K700" i="4" s="1"/>
  <c r="K701" i="4" s="1"/>
  <c r="K702" i="4" s="1"/>
  <c r="K703" i="4" s="1"/>
  <c r="K704" i="4" s="1"/>
  <c r="K705" i="4" s="1"/>
  <c r="K706" i="4" s="1"/>
  <c r="K707" i="4" s="1"/>
  <c r="K708" i="4" s="1"/>
  <c r="K709" i="4" s="1"/>
  <c r="K710" i="4" s="1"/>
  <c r="K711" i="4" s="1"/>
  <c r="K712" i="4" s="1"/>
  <c r="K713" i="4" s="1"/>
  <c r="K714" i="4" s="1"/>
  <c r="K715" i="4" s="1"/>
  <c r="K716" i="4" s="1"/>
  <c r="K717" i="4" s="1"/>
  <c r="K718" i="4" s="1"/>
  <c r="K719" i="4" s="1"/>
  <c r="K720" i="4" s="1"/>
  <c r="K721" i="4" s="1"/>
  <c r="K722" i="4" s="1"/>
  <c r="K723" i="4" s="1"/>
  <c r="K724" i="4" s="1"/>
  <c r="K725" i="4" s="1"/>
  <c r="K726" i="4" s="1"/>
  <c r="K727" i="4" s="1"/>
  <c r="K728" i="4" s="1"/>
  <c r="K729" i="4" s="1"/>
  <c r="K730" i="4" s="1"/>
  <c r="K731" i="4" s="1"/>
  <c r="K732" i="4" s="1"/>
  <c r="K733" i="4" s="1"/>
  <c r="K734" i="4" s="1"/>
  <c r="K735" i="4" s="1"/>
  <c r="K736" i="4" s="1"/>
  <c r="K737" i="4" s="1"/>
  <c r="K738" i="4" s="1"/>
  <c r="K739" i="4" s="1"/>
  <c r="K740" i="4" s="1"/>
  <c r="K741" i="4" s="1"/>
  <c r="K742" i="4" s="1"/>
  <c r="K743" i="4" s="1"/>
  <c r="K744" i="4" s="1"/>
  <c r="K745" i="4" s="1"/>
  <c r="K746" i="4" s="1"/>
  <c r="K747" i="4" s="1"/>
  <c r="K748" i="4" s="1"/>
  <c r="K749" i="4" s="1"/>
  <c r="K750" i="4" s="1"/>
  <c r="K751" i="4" s="1"/>
  <c r="K752" i="4" s="1"/>
  <c r="K753" i="4" s="1"/>
  <c r="K754" i="4" s="1"/>
  <c r="K755" i="4" s="1"/>
  <c r="K756" i="4" s="1"/>
  <c r="K757" i="4" s="1"/>
  <c r="K758" i="4" s="1"/>
  <c r="K759" i="4" s="1"/>
  <c r="K760" i="4" s="1"/>
  <c r="K761" i="4" s="1"/>
  <c r="K762" i="4" s="1"/>
  <c r="K763" i="4" s="1"/>
  <c r="K764" i="4" s="1"/>
  <c r="K765" i="4" s="1"/>
  <c r="K766" i="4" s="1"/>
  <c r="K767" i="4" s="1"/>
  <c r="K768" i="4" s="1"/>
  <c r="K769" i="4" s="1"/>
  <c r="K770" i="4" s="1"/>
  <c r="K771" i="4" s="1"/>
  <c r="K772" i="4" s="1"/>
  <c r="K773" i="4" s="1"/>
  <c r="K774" i="4" s="1"/>
  <c r="K775" i="4" s="1"/>
  <c r="K776" i="4" s="1"/>
  <c r="K777" i="4" s="1"/>
  <c r="K778" i="4" s="1"/>
  <c r="K779" i="4" s="1"/>
  <c r="K780" i="4" s="1"/>
  <c r="K781" i="4" s="1"/>
  <c r="K782" i="4" s="1"/>
  <c r="K783" i="4" s="1"/>
  <c r="K784" i="4" s="1"/>
  <c r="K785" i="4" s="1"/>
  <c r="K786" i="4" s="1"/>
  <c r="K787" i="4" s="1"/>
  <c r="K788" i="4" s="1"/>
  <c r="K789" i="4" s="1"/>
  <c r="K790" i="4" s="1"/>
  <c r="K791" i="4" s="1"/>
  <c r="K792" i="4" s="1"/>
  <c r="K793" i="4" s="1"/>
  <c r="K794" i="4" s="1"/>
  <c r="K795" i="4" s="1"/>
  <c r="K796" i="4" s="1"/>
  <c r="K797" i="4" s="1"/>
  <c r="K798" i="4" s="1"/>
  <c r="K799" i="4" s="1"/>
  <c r="K800" i="4" s="1"/>
  <c r="K801" i="4" s="1"/>
  <c r="K802" i="4" s="1"/>
  <c r="K803" i="4" s="1"/>
  <c r="K804" i="4" s="1"/>
  <c r="K805" i="4" s="1"/>
  <c r="K806" i="4" s="1"/>
  <c r="K807" i="4" s="1"/>
  <c r="K808" i="4" s="1"/>
  <c r="K809" i="4" s="1"/>
  <c r="K810" i="4" s="1"/>
  <c r="K811" i="4" s="1"/>
  <c r="K812" i="4" s="1"/>
  <c r="K813" i="4" s="1"/>
  <c r="K814" i="4" s="1"/>
  <c r="K815" i="4" s="1"/>
  <c r="K816" i="4" s="1"/>
  <c r="K817" i="4" s="1"/>
  <c r="K818" i="4" s="1"/>
  <c r="K819" i="4" s="1"/>
  <c r="K820" i="4" s="1"/>
  <c r="K821" i="4" s="1"/>
  <c r="K822" i="4" s="1"/>
  <c r="K823" i="4" s="1"/>
  <c r="K824" i="4" s="1"/>
  <c r="K825" i="4" s="1"/>
  <c r="K826" i="4" s="1"/>
  <c r="K827" i="4" s="1"/>
  <c r="K828" i="4" s="1"/>
  <c r="K829" i="4" s="1"/>
  <c r="K830" i="4" s="1"/>
  <c r="K831" i="4" s="1"/>
  <c r="K832" i="4" s="1"/>
  <c r="K833" i="4" s="1"/>
  <c r="K834" i="4" s="1"/>
  <c r="K835" i="4" s="1"/>
  <c r="K836" i="4" s="1"/>
  <c r="K837" i="4" s="1"/>
  <c r="K838" i="4" s="1"/>
  <c r="K839" i="4" s="1"/>
  <c r="K840" i="4" s="1"/>
  <c r="K841" i="4" s="1"/>
  <c r="K842" i="4" s="1"/>
  <c r="K843" i="4" s="1"/>
  <c r="K844" i="4" s="1"/>
  <c r="K845" i="4" s="1"/>
  <c r="K846" i="4" s="1"/>
  <c r="K847" i="4" s="1"/>
  <c r="K848" i="4" s="1"/>
  <c r="K849" i="4" s="1"/>
  <c r="K850" i="4" s="1"/>
  <c r="K851" i="4" s="1"/>
  <c r="K852" i="4" s="1"/>
  <c r="K853" i="4" s="1"/>
  <c r="K854" i="4" s="1"/>
  <c r="K855" i="4" s="1"/>
  <c r="K856" i="4" s="1"/>
  <c r="K857" i="4" s="1"/>
  <c r="K858" i="4" s="1"/>
  <c r="K859" i="4" s="1"/>
  <c r="K860" i="4" s="1"/>
  <c r="K861" i="4" s="1"/>
  <c r="K862" i="4" s="1"/>
  <c r="K863" i="4" s="1"/>
  <c r="K864" i="4" s="1"/>
  <c r="K865" i="4" s="1"/>
  <c r="K866" i="4" s="1"/>
  <c r="K867" i="4" s="1"/>
  <c r="K868" i="4" s="1"/>
  <c r="K869" i="4" s="1"/>
  <c r="K870" i="4" s="1"/>
  <c r="K871" i="4" s="1"/>
  <c r="K872" i="4" s="1"/>
  <c r="K873" i="4" s="1"/>
  <c r="K874" i="4" s="1"/>
  <c r="K875" i="4" s="1"/>
  <c r="K876" i="4" s="1"/>
  <c r="K877" i="4" s="1"/>
  <c r="K878" i="4" s="1"/>
  <c r="K879" i="4" s="1"/>
  <c r="K880" i="4" s="1"/>
  <c r="K881" i="4" s="1"/>
  <c r="K882" i="4" s="1"/>
  <c r="K883" i="4" s="1"/>
  <c r="K884" i="4" s="1"/>
  <c r="K885" i="4" s="1"/>
  <c r="K886" i="4" s="1"/>
  <c r="K887" i="4" s="1"/>
  <c r="K888" i="4" s="1"/>
  <c r="K889" i="4" s="1"/>
  <c r="K890" i="4" s="1"/>
  <c r="K891" i="4" s="1"/>
  <c r="K892" i="4" s="1"/>
  <c r="K893" i="4" s="1"/>
  <c r="K894" i="4" s="1"/>
  <c r="K895" i="4" s="1"/>
  <c r="K896" i="4" s="1"/>
  <c r="K897" i="4" s="1"/>
  <c r="K898" i="4" s="1"/>
  <c r="K899" i="4" s="1"/>
  <c r="K900" i="4" s="1"/>
  <c r="K901" i="4" s="1"/>
  <c r="K902" i="4" s="1"/>
  <c r="K903" i="4" s="1"/>
  <c r="K904" i="4" s="1"/>
  <c r="K905" i="4" s="1"/>
  <c r="K906" i="4" s="1"/>
  <c r="K907" i="4" s="1"/>
  <c r="K908" i="4" s="1"/>
  <c r="K909" i="4" s="1"/>
  <c r="K910" i="4" s="1"/>
  <c r="K911" i="4" s="1"/>
  <c r="K912" i="4" s="1"/>
  <c r="K913" i="4" s="1"/>
  <c r="K914" i="4" s="1"/>
  <c r="K915" i="4" s="1"/>
  <c r="K916" i="4" s="1"/>
  <c r="K917" i="4" s="1"/>
  <c r="K918" i="4" s="1"/>
  <c r="K919" i="4" s="1"/>
  <c r="K920" i="4" s="1"/>
  <c r="K921" i="4" s="1"/>
  <c r="K922" i="4" s="1"/>
  <c r="K923" i="4" s="1"/>
  <c r="K924" i="4" s="1"/>
  <c r="R306" i="4"/>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121" i="4"/>
  <c r="R122" i="4"/>
  <c r="R123" i="4"/>
  <c r="R124" i="4"/>
  <c r="R125" i="4"/>
  <c r="R126" i="4"/>
  <c r="R127" i="4"/>
  <c r="R128" i="4"/>
  <c r="R129" i="4"/>
  <c r="R130" i="4"/>
  <c r="R131" i="4"/>
  <c r="R132" i="4"/>
  <c r="R133" i="4"/>
  <c r="R134" i="4"/>
  <c r="R135" i="4"/>
  <c r="R136" i="4"/>
  <c r="R137" i="4"/>
  <c r="R138" i="4"/>
  <c r="R139" i="4"/>
  <c r="R140" i="4"/>
  <c r="R141" i="4"/>
  <c r="R142" i="4"/>
  <c r="R143" i="4"/>
  <c r="R144" i="4"/>
  <c r="R145" i="4"/>
  <c r="R146" i="4"/>
  <c r="R147" i="4"/>
  <c r="R148" i="4"/>
  <c r="R149" i="4"/>
  <c r="R150" i="4"/>
  <c r="R151"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R208" i="4"/>
  <c r="R209" i="4"/>
  <c r="R210" i="4"/>
  <c r="R211" i="4"/>
  <c r="R212" i="4"/>
  <c r="R213" i="4"/>
  <c r="R214" i="4"/>
  <c r="R215" i="4"/>
  <c r="R216" i="4"/>
  <c r="R217" i="4"/>
  <c r="R218" i="4"/>
  <c r="R219" i="4"/>
  <c r="R220" i="4"/>
  <c r="R221" i="4"/>
  <c r="R222" i="4"/>
  <c r="R223" i="4"/>
  <c r="R224" i="4"/>
  <c r="R225" i="4"/>
  <c r="R226" i="4"/>
  <c r="R227" i="4"/>
  <c r="R228" i="4"/>
  <c r="R229" i="4"/>
  <c r="R230" i="4"/>
  <c r="R231" i="4"/>
  <c r="R232" i="4"/>
  <c r="R233" i="4"/>
  <c r="R234" i="4"/>
  <c r="R235" i="4"/>
  <c r="R236" i="4"/>
  <c r="R237" i="4"/>
  <c r="R238" i="4"/>
  <c r="R239" i="4"/>
  <c r="R240" i="4"/>
  <c r="R241" i="4"/>
  <c r="R242" i="4"/>
  <c r="R243" i="4"/>
  <c r="R244" i="4"/>
  <c r="R245" i="4"/>
  <c r="R246" i="4"/>
  <c r="R247" i="4"/>
  <c r="R248" i="4"/>
  <c r="R249" i="4"/>
  <c r="R250" i="4"/>
  <c r="R251" i="4"/>
  <c r="R252" i="4"/>
  <c r="R253" i="4"/>
  <c r="R254" i="4"/>
  <c r="R255" i="4"/>
  <c r="R256" i="4"/>
  <c r="R257" i="4"/>
  <c r="R258" i="4"/>
  <c r="R259" i="4"/>
  <c r="R260" i="4"/>
  <c r="R261" i="4"/>
  <c r="R262" i="4"/>
  <c r="R263" i="4"/>
  <c r="R264" i="4"/>
  <c r="R265" i="4"/>
  <c r="R266" i="4"/>
  <c r="R267" i="4"/>
  <c r="R268" i="4"/>
  <c r="R269" i="4"/>
  <c r="R270" i="4"/>
  <c r="R271" i="4"/>
  <c r="R272" i="4"/>
  <c r="R273" i="4"/>
  <c r="R274" i="4"/>
  <c r="R275" i="4"/>
  <c r="R276" i="4"/>
  <c r="R277" i="4"/>
  <c r="R278" i="4"/>
  <c r="R279" i="4"/>
  <c r="R280" i="4"/>
  <c r="R281" i="4"/>
  <c r="R282" i="4"/>
  <c r="R283" i="4"/>
  <c r="R284" i="4"/>
  <c r="R285" i="4"/>
  <c r="R286" i="4"/>
  <c r="R287" i="4"/>
  <c r="R288" i="4"/>
  <c r="R289" i="4"/>
  <c r="R290" i="4"/>
  <c r="R291" i="4"/>
  <c r="R292" i="4"/>
  <c r="R293" i="4"/>
  <c r="R294" i="4"/>
  <c r="R295" i="4"/>
  <c r="R296" i="4"/>
  <c r="R297" i="4"/>
  <c r="R298" i="4"/>
  <c r="R299" i="4"/>
  <c r="R300" i="4"/>
  <c r="R301" i="4"/>
  <c r="R302" i="4"/>
  <c r="R303" i="4"/>
  <c r="R304" i="4"/>
  <c r="R5" i="4"/>
  <c r="R6" i="3"/>
  <c r="R7" i="3"/>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22" i="3"/>
  <c r="R123" i="3"/>
  <c r="R124" i="3"/>
  <c r="R125" i="3"/>
  <c r="R126" i="3"/>
  <c r="R127" i="3"/>
  <c r="R128" i="3"/>
  <c r="R129" i="3"/>
  <c r="R130" i="3"/>
  <c r="R131" i="3"/>
  <c r="R132" i="3"/>
  <c r="R133" i="3"/>
  <c r="R134" i="3"/>
  <c r="R135" i="3"/>
  <c r="R136" i="3"/>
  <c r="R137" i="3"/>
  <c r="R138" i="3"/>
  <c r="R139" i="3"/>
  <c r="R140" i="3"/>
  <c r="R141" i="3"/>
  <c r="R142" i="3"/>
  <c r="R143" i="3"/>
  <c r="R144" i="3"/>
  <c r="R145" i="3"/>
  <c r="R146" i="3"/>
  <c r="R147" i="3"/>
  <c r="R148" i="3"/>
  <c r="R149" i="3"/>
  <c r="R150" i="3"/>
  <c r="R151" i="3"/>
  <c r="R152" i="3"/>
  <c r="R153" i="3"/>
  <c r="R154" i="3"/>
  <c r="R155" i="3"/>
  <c r="R156" i="3"/>
  <c r="R157" i="3"/>
  <c r="R158" i="3"/>
  <c r="R159" i="3"/>
  <c r="R160" i="3"/>
  <c r="R161" i="3"/>
  <c r="R162" i="3"/>
  <c r="R163" i="3"/>
  <c r="R164" i="3"/>
  <c r="R165" i="3"/>
  <c r="R166" i="3"/>
  <c r="R167" i="3"/>
  <c r="R168" i="3"/>
  <c r="R169" i="3"/>
  <c r="R170" i="3"/>
  <c r="R171" i="3"/>
  <c r="R172" i="3"/>
  <c r="R173" i="3"/>
  <c r="R174" i="3"/>
  <c r="R175" i="3"/>
  <c r="R176" i="3"/>
  <c r="R177" i="3"/>
  <c r="R178" i="3"/>
  <c r="R179" i="3"/>
  <c r="R180" i="3"/>
  <c r="R181" i="3"/>
  <c r="R182" i="3"/>
  <c r="R183" i="3"/>
  <c r="R184" i="3"/>
  <c r="R185" i="3"/>
  <c r="R186" i="3"/>
  <c r="R187" i="3"/>
  <c r="R188" i="3"/>
  <c r="R189" i="3"/>
  <c r="R190" i="3"/>
  <c r="R191" i="3"/>
  <c r="R192" i="3"/>
  <c r="R193" i="3"/>
  <c r="R194" i="3"/>
  <c r="R195" i="3"/>
  <c r="R196" i="3"/>
  <c r="R197" i="3"/>
  <c r="R198" i="3"/>
  <c r="R199" i="3"/>
  <c r="R200" i="3"/>
  <c r="R201" i="3"/>
  <c r="R202" i="3"/>
  <c r="R203" i="3"/>
  <c r="R204" i="3"/>
  <c r="R205" i="3"/>
  <c r="R206" i="3"/>
  <c r="R207" i="3"/>
  <c r="R208" i="3"/>
  <c r="R209" i="3"/>
  <c r="R210" i="3"/>
  <c r="R211" i="3"/>
  <c r="R212" i="3"/>
  <c r="R213" i="3"/>
  <c r="R214" i="3"/>
  <c r="R215" i="3"/>
  <c r="R216" i="3"/>
  <c r="R217" i="3"/>
  <c r="R218" i="3"/>
  <c r="R219" i="3"/>
  <c r="R220" i="3"/>
  <c r="R221" i="3"/>
  <c r="R222" i="3"/>
  <c r="R223" i="3"/>
  <c r="R224" i="3"/>
  <c r="R225" i="3"/>
  <c r="R226" i="3"/>
  <c r="R227" i="3"/>
  <c r="R228" i="3"/>
  <c r="R229" i="3"/>
  <c r="R230" i="3"/>
  <c r="R231" i="3"/>
  <c r="R232" i="3"/>
  <c r="R233" i="3"/>
  <c r="R234" i="3"/>
  <c r="R235" i="3"/>
  <c r="R236" i="3"/>
  <c r="R237" i="3"/>
  <c r="R238" i="3"/>
  <c r="R239" i="3"/>
  <c r="R240" i="3"/>
  <c r="R241" i="3"/>
  <c r="R242" i="3"/>
  <c r="R243" i="3"/>
  <c r="R244" i="3"/>
  <c r="R245" i="3"/>
  <c r="R246" i="3"/>
  <c r="R247" i="3"/>
  <c r="R248" i="3"/>
  <c r="R249" i="3"/>
  <c r="R250" i="3"/>
  <c r="R251" i="3"/>
  <c r="R252" i="3"/>
  <c r="R253" i="3"/>
  <c r="R254" i="3"/>
  <c r="R255" i="3"/>
  <c r="R256" i="3"/>
  <c r="R257" i="3"/>
  <c r="R258" i="3"/>
  <c r="R259" i="3"/>
  <c r="R260" i="3"/>
  <c r="R261" i="3"/>
  <c r="R262" i="3"/>
  <c r="R263" i="3"/>
  <c r="R264" i="3"/>
  <c r="R265" i="3"/>
  <c r="R266" i="3"/>
  <c r="R267" i="3"/>
  <c r="R268" i="3"/>
  <c r="R269" i="3"/>
  <c r="R270" i="3"/>
  <c r="R271" i="3"/>
  <c r="R272" i="3"/>
  <c r="R273" i="3"/>
  <c r="R274" i="3"/>
  <c r="R275" i="3"/>
  <c r="R276" i="3"/>
  <c r="R277" i="3"/>
  <c r="R278" i="3"/>
  <c r="R279" i="3"/>
  <c r="R280" i="3"/>
  <c r="R281" i="3"/>
  <c r="R282" i="3"/>
  <c r="R283" i="3"/>
  <c r="R284" i="3"/>
  <c r="R285" i="3"/>
  <c r="R286" i="3"/>
  <c r="R287" i="3"/>
  <c r="R288" i="3"/>
  <c r="R289" i="3"/>
  <c r="R290" i="3"/>
  <c r="R291" i="3"/>
  <c r="R292" i="3"/>
  <c r="R293" i="3"/>
  <c r="R294" i="3"/>
  <c r="R295" i="3"/>
  <c r="R296" i="3"/>
  <c r="R297" i="3"/>
  <c r="R298" i="3"/>
  <c r="R299" i="3"/>
  <c r="R300" i="3"/>
  <c r="R301" i="3"/>
  <c r="R302" i="3"/>
  <c r="R303" i="3"/>
  <c r="R304" i="3"/>
  <c r="R305" i="3"/>
  <c r="R306" i="3"/>
  <c r="R307" i="3"/>
  <c r="R308" i="3"/>
  <c r="R309" i="3"/>
  <c r="R310" i="3"/>
  <c r="R311" i="3"/>
  <c r="R312" i="3"/>
  <c r="R313" i="3"/>
  <c r="R314" i="3"/>
  <c r="R315" i="3"/>
  <c r="R316" i="3"/>
  <c r="R317" i="3"/>
  <c r="R318" i="3"/>
  <c r="R319" i="3"/>
  <c r="R320" i="3"/>
  <c r="R321" i="3"/>
  <c r="R322" i="3"/>
  <c r="R323" i="3"/>
  <c r="R324" i="3"/>
  <c r="R325" i="3"/>
  <c r="R326" i="3"/>
  <c r="R327" i="3"/>
  <c r="R328" i="3"/>
  <c r="R329" i="3"/>
  <c r="R330" i="3"/>
  <c r="R331" i="3"/>
  <c r="R332" i="3"/>
  <c r="R333" i="3"/>
  <c r="R334" i="3"/>
  <c r="R335" i="3"/>
  <c r="R336" i="3"/>
  <c r="R337" i="3"/>
  <c r="R338" i="3"/>
  <c r="R339" i="3"/>
  <c r="R340" i="3"/>
  <c r="R341" i="3"/>
  <c r="R342" i="3"/>
  <c r="R343" i="3"/>
  <c r="R344" i="3"/>
  <c r="R345" i="3"/>
  <c r="R346" i="3"/>
  <c r="R347" i="3"/>
  <c r="R348" i="3"/>
  <c r="R349" i="3"/>
  <c r="R350" i="3"/>
  <c r="R351" i="3"/>
  <c r="R352" i="3"/>
  <c r="R353" i="3"/>
  <c r="R354" i="3"/>
  <c r="R355" i="3"/>
  <c r="R356" i="3"/>
  <c r="R357" i="3"/>
  <c r="R358" i="3"/>
  <c r="R359" i="3"/>
  <c r="R360" i="3"/>
  <c r="R361" i="3"/>
  <c r="R362" i="3"/>
  <c r="R363" i="3"/>
  <c r="R364" i="3"/>
  <c r="R365" i="3"/>
  <c r="R366" i="3"/>
  <c r="R367" i="3"/>
  <c r="R368" i="3"/>
  <c r="R369" i="3"/>
  <c r="R370" i="3"/>
  <c r="R371" i="3"/>
  <c r="R372" i="3"/>
  <c r="R373" i="3"/>
  <c r="R374" i="3"/>
  <c r="R375" i="3"/>
  <c r="R376" i="3"/>
  <c r="R377" i="3"/>
  <c r="R378" i="3"/>
  <c r="R379" i="3"/>
  <c r="R380" i="3"/>
  <c r="R381" i="3"/>
  <c r="R382" i="3"/>
  <c r="R383" i="3"/>
  <c r="R384" i="3"/>
  <c r="R385" i="3"/>
  <c r="R386" i="3"/>
  <c r="R387" i="3"/>
  <c r="R388" i="3"/>
  <c r="R389" i="3"/>
  <c r="R390" i="3"/>
  <c r="R391" i="3"/>
  <c r="R392" i="3"/>
  <c r="R393" i="3"/>
  <c r="R394" i="3"/>
  <c r="R395" i="3"/>
  <c r="R396" i="3"/>
  <c r="R397" i="3"/>
  <c r="R398" i="3"/>
  <c r="R399" i="3"/>
  <c r="R400" i="3"/>
  <c r="R401" i="3"/>
  <c r="R402" i="3"/>
  <c r="R403" i="3"/>
  <c r="R404" i="3"/>
  <c r="R405" i="3"/>
  <c r="R406" i="3"/>
  <c r="R407" i="3"/>
  <c r="R408" i="3"/>
  <c r="R409" i="3"/>
  <c r="R410" i="3"/>
  <c r="R411" i="3"/>
  <c r="R412" i="3"/>
  <c r="R413" i="3"/>
  <c r="R414" i="3"/>
  <c r="R415" i="3"/>
  <c r="R416" i="3"/>
  <c r="R417" i="3"/>
  <c r="R418" i="3"/>
  <c r="R419" i="3"/>
  <c r="R420" i="3"/>
  <c r="R421" i="3"/>
  <c r="R422" i="3"/>
  <c r="R423" i="3"/>
  <c r="R424" i="3"/>
  <c r="R425" i="3"/>
  <c r="R426" i="3"/>
  <c r="R427" i="3"/>
  <c r="R428" i="3"/>
  <c r="R429" i="3"/>
  <c r="R430" i="3"/>
  <c r="R431" i="3"/>
  <c r="R432" i="3"/>
  <c r="R433" i="3"/>
  <c r="R434" i="3"/>
  <c r="R435" i="3"/>
  <c r="R436" i="3"/>
  <c r="R437" i="3"/>
  <c r="R438" i="3"/>
  <c r="R439" i="3"/>
  <c r="R440" i="3"/>
  <c r="R441" i="3"/>
  <c r="R442" i="3"/>
  <c r="R443" i="3"/>
  <c r="R444" i="3"/>
  <c r="R445" i="3"/>
  <c r="R446" i="3"/>
  <c r="R447" i="3"/>
  <c r="R448" i="3"/>
  <c r="R449" i="3"/>
  <c r="R450" i="3"/>
  <c r="R451" i="3"/>
  <c r="R452" i="3"/>
  <c r="R453" i="3"/>
  <c r="R454" i="3"/>
  <c r="R455" i="3"/>
  <c r="R456" i="3"/>
  <c r="R457" i="3"/>
  <c r="R458" i="3"/>
  <c r="R459" i="3"/>
  <c r="R460" i="3"/>
  <c r="R461" i="3"/>
  <c r="R462" i="3"/>
  <c r="R463" i="3"/>
  <c r="R464" i="3"/>
  <c r="R465" i="3"/>
  <c r="R466" i="3"/>
  <c r="R467" i="3"/>
  <c r="R468" i="3"/>
  <c r="R469" i="3"/>
  <c r="R470" i="3"/>
  <c r="R471" i="3"/>
  <c r="R472" i="3"/>
  <c r="R473" i="3"/>
  <c r="R474" i="3"/>
  <c r="R475" i="3"/>
  <c r="R476" i="3"/>
  <c r="R477" i="3"/>
  <c r="R478" i="3"/>
  <c r="R479" i="3"/>
  <c r="R480" i="3"/>
  <c r="R481" i="3"/>
  <c r="R482" i="3"/>
  <c r="R483" i="3"/>
  <c r="R484" i="3"/>
  <c r="R485" i="3"/>
  <c r="R486" i="3"/>
  <c r="R487" i="3"/>
  <c r="R488" i="3"/>
  <c r="R489" i="3"/>
  <c r="R490" i="3"/>
  <c r="R491" i="3"/>
  <c r="R492" i="3"/>
  <c r="R493" i="3"/>
  <c r="R494" i="3"/>
  <c r="R495" i="3"/>
  <c r="R496" i="3"/>
  <c r="R497" i="3"/>
  <c r="R498" i="3"/>
  <c r="R499" i="3"/>
  <c r="R500" i="3"/>
  <c r="R501" i="3"/>
  <c r="R502" i="3"/>
  <c r="R503" i="3"/>
  <c r="R504" i="3"/>
  <c r="R505" i="3"/>
  <c r="R506" i="3"/>
  <c r="R507" i="3"/>
  <c r="R508" i="3"/>
  <c r="R509" i="3"/>
  <c r="R510" i="3"/>
  <c r="R511" i="3"/>
  <c r="R512" i="3"/>
  <c r="R513" i="3"/>
  <c r="R514" i="3"/>
  <c r="R515" i="3"/>
  <c r="R516" i="3"/>
  <c r="R517" i="3"/>
  <c r="R518" i="3"/>
  <c r="R519" i="3"/>
  <c r="R520" i="3"/>
  <c r="R521" i="3"/>
  <c r="R522" i="3"/>
  <c r="R523" i="3"/>
  <c r="R524" i="3"/>
  <c r="R525" i="3"/>
  <c r="R526" i="3"/>
  <c r="R527" i="3"/>
  <c r="R528" i="3"/>
  <c r="R529" i="3"/>
  <c r="R530" i="3"/>
  <c r="R531" i="3"/>
  <c r="R532" i="3"/>
  <c r="R533" i="3"/>
  <c r="R534" i="3"/>
  <c r="R535" i="3"/>
  <c r="R536" i="3"/>
  <c r="R537" i="3"/>
  <c r="R538" i="3"/>
  <c r="R539" i="3"/>
  <c r="R540" i="3"/>
  <c r="R541" i="3"/>
  <c r="R542" i="3"/>
  <c r="R543" i="3"/>
  <c r="R544" i="3"/>
  <c r="R545" i="3"/>
  <c r="R546" i="3"/>
  <c r="R547" i="3"/>
  <c r="R548" i="3"/>
  <c r="R549" i="3"/>
  <c r="R550" i="3"/>
  <c r="R551" i="3"/>
  <c r="R552" i="3"/>
  <c r="R553" i="3"/>
  <c r="R554" i="3"/>
  <c r="R555" i="3"/>
  <c r="R556" i="3"/>
  <c r="R557" i="3"/>
  <c r="R558" i="3"/>
  <c r="R559" i="3"/>
  <c r="R560" i="3"/>
  <c r="R561" i="3"/>
  <c r="R562" i="3"/>
  <c r="R563" i="3"/>
  <c r="R564" i="3"/>
  <c r="R565" i="3"/>
  <c r="R566" i="3"/>
  <c r="R567" i="3"/>
  <c r="R568" i="3"/>
  <c r="R569" i="3"/>
  <c r="R570" i="3"/>
  <c r="R571" i="3"/>
  <c r="R572" i="3"/>
  <c r="R573" i="3"/>
  <c r="R574" i="3"/>
  <c r="R575" i="3"/>
  <c r="R576" i="3"/>
  <c r="R577" i="3"/>
  <c r="R578" i="3"/>
  <c r="R579" i="3"/>
  <c r="R580" i="3"/>
  <c r="R581" i="3"/>
  <c r="R582" i="3"/>
  <c r="R583" i="3"/>
  <c r="R584" i="3"/>
  <c r="R585" i="3"/>
  <c r="R586" i="3"/>
  <c r="R587" i="3"/>
  <c r="R588" i="3"/>
  <c r="R589" i="3"/>
  <c r="R590" i="3"/>
  <c r="R591" i="3"/>
  <c r="R592" i="3"/>
  <c r="R593" i="3"/>
  <c r="R594" i="3"/>
  <c r="R595" i="3"/>
  <c r="R596" i="3"/>
  <c r="R597" i="3"/>
  <c r="R598" i="3"/>
  <c r="R599" i="3"/>
  <c r="R600" i="3"/>
  <c r="R601" i="3"/>
  <c r="R602" i="3"/>
  <c r="R603" i="3"/>
  <c r="R604" i="3"/>
  <c r="R605" i="3"/>
  <c r="R606" i="3"/>
  <c r="R607" i="3"/>
  <c r="R608" i="3"/>
  <c r="R609" i="3"/>
  <c r="R610" i="3"/>
  <c r="R611" i="3"/>
  <c r="R612" i="3"/>
  <c r="R613" i="3"/>
  <c r="R614" i="3"/>
  <c r="R615" i="3"/>
  <c r="R616" i="3"/>
  <c r="R617" i="3"/>
  <c r="R618" i="3"/>
  <c r="R619" i="3"/>
  <c r="R620" i="3"/>
  <c r="R621" i="3"/>
  <c r="R622" i="3"/>
  <c r="R623" i="3"/>
  <c r="R624" i="3"/>
  <c r="R625" i="3"/>
  <c r="R626" i="3"/>
  <c r="R627" i="3"/>
  <c r="R628" i="3"/>
  <c r="R629" i="3"/>
  <c r="R630" i="3"/>
  <c r="R631" i="3"/>
  <c r="R632" i="3"/>
  <c r="R633" i="3"/>
  <c r="R634" i="3"/>
  <c r="R635" i="3"/>
  <c r="R636" i="3"/>
  <c r="R637" i="3"/>
  <c r="R638" i="3"/>
  <c r="R639" i="3"/>
  <c r="R640" i="3"/>
  <c r="R641" i="3"/>
  <c r="R642" i="3"/>
  <c r="R643" i="3"/>
  <c r="R644" i="3"/>
  <c r="R645" i="3"/>
  <c r="R646" i="3"/>
  <c r="R647" i="3"/>
  <c r="R648" i="3"/>
  <c r="R649" i="3"/>
  <c r="R650" i="3"/>
  <c r="R651" i="3"/>
  <c r="R652" i="3"/>
  <c r="R653" i="3"/>
  <c r="R654" i="3"/>
  <c r="R655" i="3"/>
  <c r="R656" i="3"/>
  <c r="R657" i="3"/>
  <c r="R658" i="3"/>
  <c r="R659" i="3"/>
  <c r="R660" i="3"/>
  <c r="R661" i="3"/>
  <c r="R662" i="3"/>
  <c r="R663" i="3"/>
  <c r="R664" i="3"/>
  <c r="R665" i="3"/>
  <c r="R666" i="3"/>
  <c r="R667" i="3"/>
  <c r="R668" i="3"/>
  <c r="R669" i="3"/>
  <c r="R670" i="3"/>
  <c r="R671" i="3"/>
  <c r="R672" i="3"/>
  <c r="R673" i="3"/>
  <c r="R674" i="3"/>
  <c r="R675" i="3"/>
  <c r="R676" i="3"/>
  <c r="R677" i="3"/>
  <c r="R678" i="3"/>
  <c r="R679" i="3"/>
  <c r="R680" i="3"/>
  <c r="R681" i="3"/>
  <c r="R682" i="3"/>
  <c r="R683" i="3"/>
  <c r="R684" i="3"/>
  <c r="R685" i="3"/>
  <c r="R686" i="3"/>
  <c r="R687" i="3"/>
  <c r="R688" i="3"/>
  <c r="R689" i="3"/>
  <c r="R690" i="3"/>
  <c r="R691" i="3"/>
  <c r="R692" i="3"/>
  <c r="R693" i="3"/>
  <c r="R694" i="3"/>
  <c r="R695" i="3"/>
  <c r="R696" i="3"/>
  <c r="R697" i="3"/>
  <c r="R698" i="3"/>
  <c r="R699" i="3"/>
  <c r="R700" i="3"/>
  <c r="R701" i="3"/>
  <c r="R702" i="3"/>
  <c r="R703" i="3"/>
  <c r="R704" i="3"/>
  <c r="R705" i="3"/>
  <c r="R706" i="3"/>
  <c r="R707" i="3"/>
  <c r="R708" i="3"/>
  <c r="R709" i="3"/>
  <c r="R710" i="3"/>
  <c r="R711" i="3"/>
  <c r="R712" i="3"/>
  <c r="R713" i="3"/>
  <c r="R714" i="3"/>
  <c r="R715" i="3"/>
  <c r="R716" i="3"/>
  <c r="R717" i="3"/>
  <c r="R718" i="3"/>
  <c r="R719" i="3"/>
  <c r="R720" i="3"/>
  <c r="R721" i="3"/>
  <c r="R722" i="3"/>
  <c r="R723" i="3"/>
  <c r="R724" i="3"/>
  <c r="R725" i="3"/>
  <c r="R726" i="3"/>
  <c r="R727" i="3"/>
  <c r="R728" i="3"/>
  <c r="R729" i="3"/>
  <c r="R730" i="3"/>
  <c r="R731" i="3"/>
  <c r="R732" i="3"/>
  <c r="R733" i="3"/>
  <c r="R734" i="3"/>
  <c r="R735" i="3"/>
  <c r="R736" i="3"/>
  <c r="R737" i="3"/>
  <c r="R738" i="3"/>
  <c r="R739" i="3"/>
  <c r="R740" i="3"/>
  <c r="R741" i="3"/>
  <c r="R742" i="3"/>
  <c r="R743" i="3"/>
  <c r="R744" i="3"/>
  <c r="R745" i="3"/>
  <c r="R746" i="3"/>
  <c r="R747" i="3"/>
  <c r="R748" i="3"/>
  <c r="R749" i="3"/>
  <c r="R750" i="3"/>
  <c r="R751" i="3"/>
  <c r="R752" i="3"/>
  <c r="R753" i="3"/>
  <c r="R754" i="3"/>
  <c r="R755" i="3"/>
  <c r="R756" i="3"/>
  <c r="R757" i="3"/>
  <c r="R758" i="3"/>
  <c r="R759" i="3"/>
  <c r="R760" i="3"/>
  <c r="R761" i="3"/>
  <c r="R762" i="3"/>
  <c r="R763" i="3"/>
  <c r="R764" i="3"/>
  <c r="R765" i="3"/>
  <c r="R766" i="3"/>
  <c r="R767" i="3"/>
  <c r="R768" i="3"/>
  <c r="R769" i="3"/>
  <c r="R770" i="3"/>
  <c r="R771" i="3"/>
  <c r="R772" i="3"/>
  <c r="R773" i="3"/>
  <c r="R774" i="3"/>
  <c r="R775" i="3"/>
  <c r="R776" i="3"/>
  <c r="R777" i="3"/>
  <c r="R778" i="3"/>
  <c r="R779" i="3"/>
  <c r="R780" i="3"/>
  <c r="R781" i="3"/>
  <c r="R782" i="3"/>
  <c r="R783" i="3"/>
  <c r="R784" i="3"/>
  <c r="R785" i="3"/>
  <c r="R786" i="3"/>
  <c r="R787" i="3"/>
  <c r="R788" i="3"/>
  <c r="R789" i="3"/>
  <c r="R790" i="3"/>
  <c r="R791" i="3"/>
  <c r="R792" i="3"/>
  <c r="R793" i="3"/>
  <c r="R794" i="3"/>
  <c r="R795" i="3"/>
  <c r="R796" i="3"/>
  <c r="R797" i="3"/>
  <c r="R798" i="3"/>
  <c r="R799" i="3"/>
  <c r="R800" i="3"/>
  <c r="R801" i="3"/>
  <c r="R802" i="3"/>
  <c r="R803" i="3"/>
  <c r="R804" i="3"/>
  <c r="R805" i="3"/>
  <c r="R806" i="3"/>
  <c r="R807" i="3"/>
  <c r="R808" i="3"/>
  <c r="R809" i="3"/>
  <c r="R810" i="3"/>
  <c r="R811" i="3"/>
  <c r="R812" i="3"/>
  <c r="R813" i="3"/>
  <c r="R814" i="3"/>
  <c r="R815" i="3"/>
  <c r="R816" i="3"/>
  <c r="R817" i="3"/>
  <c r="R818" i="3"/>
  <c r="R819" i="3"/>
  <c r="R820" i="3"/>
  <c r="R821" i="3"/>
  <c r="R822" i="3"/>
  <c r="R823" i="3"/>
  <c r="R824" i="3"/>
  <c r="R825" i="3"/>
  <c r="R826" i="3"/>
  <c r="R827" i="3"/>
  <c r="R828" i="3"/>
  <c r="R829" i="3"/>
  <c r="R830" i="3"/>
  <c r="R831" i="3"/>
  <c r="R832" i="3"/>
  <c r="R833" i="3"/>
  <c r="R834" i="3"/>
  <c r="R835" i="3"/>
  <c r="R836" i="3"/>
  <c r="R837" i="3"/>
  <c r="R838" i="3"/>
  <c r="R839" i="3"/>
  <c r="R840" i="3"/>
  <c r="R841" i="3"/>
  <c r="R842" i="3"/>
  <c r="R843" i="3"/>
  <c r="R844" i="3"/>
  <c r="R845" i="3"/>
  <c r="R846" i="3"/>
  <c r="R847" i="3"/>
  <c r="R848" i="3"/>
  <c r="R849" i="3"/>
  <c r="R850" i="3"/>
  <c r="R851" i="3"/>
  <c r="R852" i="3"/>
  <c r="R853" i="3"/>
  <c r="R854" i="3"/>
  <c r="R855" i="3"/>
  <c r="R856" i="3"/>
  <c r="R857" i="3"/>
  <c r="R858" i="3"/>
  <c r="R859" i="3"/>
  <c r="R860" i="3"/>
  <c r="R861" i="3"/>
  <c r="R862" i="3"/>
  <c r="R863" i="3"/>
  <c r="R864" i="3"/>
  <c r="R865" i="3"/>
  <c r="R866" i="3"/>
  <c r="R867" i="3"/>
  <c r="R868" i="3"/>
  <c r="R869" i="3"/>
  <c r="R870" i="3"/>
  <c r="R871" i="3"/>
  <c r="R872" i="3"/>
  <c r="R873" i="3"/>
  <c r="R874" i="3"/>
  <c r="R875" i="3"/>
  <c r="R876" i="3"/>
  <c r="R877" i="3"/>
  <c r="R878" i="3"/>
  <c r="R879" i="3"/>
  <c r="R880" i="3"/>
  <c r="R881" i="3"/>
  <c r="R882" i="3"/>
  <c r="R883" i="3"/>
  <c r="R884" i="3"/>
  <c r="R885" i="3"/>
  <c r="R886" i="3"/>
  <c r="R887" i="3"/>
  <c r="R888" i="3"/>
  <c r="R889" i="3"/>
  <c r="R890" i="3"/>
  <c r="R891" i="3"/>
  <c r="R892" i="3"/>
  <c r="R893" i="3"/>
  <c r="R894" i="3"/>
  <c r="R895" i="3"/>
  <c r="R896" i="3"/>
  <c r="R897" i="3"/>
  <c r="R898" i="3"/>
  <c r="R899" i="3"/>
  <c r="R900" i="3"/>
  <c r="R901" i="3"/>
  <c r="R902" i="3"/>
  <c r="R903" i="3"/>
  <c r="R904" i="3"/>
  <c r="R905" i="3"/>
  <c r="R906" i="3"/>
  <c r="R907" i="3"/>
  <c r="R908" i="3"/>
  <c r="R909" i="3"/>
  <c r="R910" i="3"/>
  <c r="R911" i="3"/>
  <c r="R912" i="3"/>
  <c r="R913" i="3"/>
  <c r="R914" i="3"/>
  <c r="R915" i="3"/>
  <c r="R916" i="3"/>
  <c r="R917" i="3"/>
  <c r="R918" i="3"/>
  <c r="R919" i="3"/>
  <c r="R920" i="3"/>
  <c r="R921" i="3"/>
  <c r="R922" i="3"/>
  <c r="R923" i="3"/>
  <c r="R924" i="3"/>
  <c r="R925" i="3"/>
  <c r="R926" i="3"/>
  <c r="R927" i="3"/>
  <c r="R928" i="3"/>
  <c r="R929" i="3"/>
  <c r="R930" i="3"/>
  <c r="R931" i="3"/>
  <c r="R932" i="3"/>
  <c r="R933" i="3"/>
  <c r="R934" i="3"/>
  <c r="R935" i="3"/>
  <c r="R936" i="3"/>
  <c r="R937" i="3"/>
  <c r="R938" i="3"/>
  <c r="R939" i="3"/>
  <c r="R940" i="3"/>
  <c r="R941" i="3"/>
  <c r="R942" i="3"/>
  <c r="R943" i="3"/>
  <c r="R944" i="3"/>
  <c r="R945" i="3"/>
  <c r="R946" i="3"/>
  <c r="R947" i="3"/>
  <c r="R948" i="3"/>
  <c r="R949" i="3"/>
  <c r="R950" i="3"/>
  <c r="R951" i="3"/>
  <c r="R952" i="3"/>
  <c r="R953" i="3"/>
  <c r="R954" i="3"/>
  <c r="R955" i="3"/>
  <c r="R956" i="3"/>
  <c r="R957" i="3"/>
  <c r="R958" i="3"/>
  <c r="R959" i="3"/>
  <c r="R960" i="3"/>
  <c r="R961" i="3"/>
  <c r="R962" i="3"/>
  <c r="R963" i="3"/>
  <c r="R964" i="3"/>
  <c r="R965" i="3"/>
  <c r="R966" i="3"/>
  <c r="R967" i="3"/>
  <c r="R968" i="3"/>
  <c r="R969" i="3"/>
  <c r="R970" i="3"/>
  <c r="R971" i="3"/>
  <c r="R972" i="3"/>
  <c r="R973" i="3"/>
  <c r="R974" i="3"/>
  <c r="R975" i="3"/>
  <c r="R976" i="3"/>
  <c r="R977" i="3"/>
  <c r="R978" i="3"/>
  <c r="R979" i="3"/>
  <c r="R980" i="3"/>
  <c r="R981" i="3"/>
  <c r="R982" i="3"/>
  <c r="R983" i="3"/>
  <c r="R984" i="3"/>
  <c r="R985" i="3"/>
  <c r="R986" i="3"/>
  <c r="R987" i="3"/>
  <c r="R988" i="3"/>
  <c r="R989" i="3"/>
  <c r="R990" i="3"/>
  <c r="R991" i="3"/>
  <c r="R992" i="3"/>
  <c r="R993" i="3"/>
  <c r="R994" i="3"/>
  <c r="R995" i="3"/>
  <c r="R996" i="3"/>
  <c r="R997" i="3"/>
  <c r="R998" i="3"/>
  <c r="R999" i="3"/>
  <c r="R1000" i="3"/>
  <c r="R1001" i="3"/>
  <c r="R1002" i="3"/>
  <c r="R1003" i="3"/>
  <c r="R1004" i="3"/>
  <c r="R1005" i="3"/>
  <c r="R1006" i="3"/>
  <c r="R1007" i="3"/>
  <c r="R1008" i="3"/>
  <c r="R1009" i="3"/>
  <c r="R1010" i="3"/>
  <c r="R1011" i="3"/>
  <c r="R1012" i="3"/>
  <c r="R1013" i="3"/>
  <c r="R1014" i="3"/>
  <c r="R1015" i="3"/>
  <c r="R1016" i="3"/>
  <c r="R1017" i="3"/>
  <c r="R1018" i="3"/>
  <c r="R1019" i="3"/>
  <c r="R1020" i="3"/>
  <c r="R1021" i="3"/>
  <c r="R1022" i="3"/>
  <c r="R1023" i="3"/>
  <c r="R1024" i="3"/>
  <c r="R1025" i="3"/>
  <c r="R1026" i="3"/>
  <c r="R1027" i="3"/>
  <c r="R1028" i="3"/>
  <c r="R1029" i="3"/>
  <c r="R1030" i="3"/>
  <c r="R1031" i="3"/>
  <c r="R1032" i="3"/>
  <c r="R1033" i="3"/>
  <c r="R1034" i="3"/>
  <c r="R1035" i="3"/>
  <c r="R1036" i="3"/>
  <c r="R1037" i="3"/>
  <c r="R1038" i="3"/>
  <c r="R1039" i="3"/>
  <c r="R1040" i="3"/>
  <c r="R1041" i="3"/>
  <c r="R1042" i="3"/>
  <c r="R1043" i="3"/>
  <c r="R1044" i="3"/>
  <c r="R1045" i="3"/>
  <c r="R1046" i="3"/>
  <c r="R1047" i="3"/>
  <c r="R1048" i="3"/>
  <c r="R1049" i="3"/>
  <c r="R1050" i="3"/>
  <c r="R1051" i="3"/>
  <c r="R1052" i="3"/>
  <c r="R1053" i="3"/>
  <c r="R1054" i="3"/>
  <c r="R1055" i="3"/>
  <c r="R1056" i="3"/>
  <c r="R1057" i="3"/>
  <c r="R1058" i="3"/>
  <c r="R1059" i="3"/>
  <c r="R1060" i="3"/>
  <c r="R1061" i="3"/>
  <c r="R1062" i="3"/>
  <c r="R1063" i="3"/>
  <c r="R1064" i="3"/>
  <c r="R1065" i="3"/>
  <c r="R1066" i="3"/>
  <c r="R1067" i="3"/>
  <c r="R1068" i="3"/>
  <c r="R1069" i="3"/>
  <c r="R1070" i="3"/>
  <c r="R1071" i="3"/>
  <c r="R1072" i="3"/>
  <c r="R1073" i="3"/>
  <c r="R1074" i="3"/>
  <c r="R1075" i="3"/>
  <c r="R1076" i="3"/>
  <c r="R1077" i="3"/>
  <c r="R1078" i="3"/>
  <c r="R1079" i="3"/>
  <c r="R1080" i="3"/>
  <c r="R1081" i="3"/>
  <c r="R1082" i="3"/>
  <c r="R1083" i="3"/>
  <c r="R1084" i="3"/>
  <c r="R1085" i="3"/>
  <c r="R1086" i="3"/>
  <c r="R1087" i="3"/>
  <c r="R1088" i="3"/>
  <c r="R1089" i="3"/>
  <c r="R1090" i="3"/>
  <c r="R1091" i="3"/>
  <c r="R1092" i="3"/>
  <c r="R1093" i="3"/>
  <c r="R1094" i="3"/>
  <c r="R1095" i="3"/>
  <c r="R1096" i="3"/>
  <c r="R1097" i="3"/>
  <c r="R1098" i="3"/>
  <c r="R1099" i="3"/>
  <c r="R1100" i="3"/>
  <c r="R1101" i="3"/>
  <c r="R1102" i="3"/>
  <c r="R1103" i="3"/>
  <c r="R1104" i="3"/>
  <c r="R1105" i="3"/>
  <c r="R1106" i="3"/>
  <c r="R1107" i="3"/>
  <c r="R1108" i="3"/>
  <c r="R1109" i="3"/>
  <c r="R1110" i="3"/>
  <c r="R1111" i="3"/>
  <c r="R1112" i="3"/>
  <c r="R1113" i="3"/>
  <c r="R1114" i="3"/>
  <c r="R1115" i="3"/>
  <c r="R1116" i="3"/>
  <c r="R1117" i="3"/>
  <c r="R1118" i="3"/>
  <c r="R1119" i="3"/>
  <c r="R1120" i="3"/>
  <c r="R1121" i="3"/>
  <c r="R1122" i="3"/>
  <c r="R1123" i="3"/>
  <c r="R1124" i="3"/>
  <c r="R1125" i="3"/>
  <c r="R1126" i="3"/>
  <c r="R1127" i="3"/>
  <c r="R1128" i="3"/>
  <c r="R1129" i="3"/>
  <c r="R1130" i="3"/>
  <c r="R1131" i="3"/>
  <c r="R1132" i="3"/>
  <c r="R1133" i="3"/>
  <c r="R1134" i="3"/>
  <c r="R1135" i="3"/>
  <c r="R1136" i="3"/>
  <c r="R1137" i="3"/>
  <c r="R1138" i="3"/>
  <c r="R1139" i="3"/>
  <c r="R1140" i="3"/>
  <c r="R1141" i="3"/>
  <c r="R1142" i="3"/>
  <c r="R1143" i="3"/>
  <c r="R1144" i="3"/>
  <c r="R1145" i="3"/>
  <c r="R1146" i="3"/>
  <c r="R1147" i="3"/>
  <c r="R1148" i="3"/>
  <c r="R1149" i="3"/>
  <c r="R1150" i="3"/>
  <c r="R1151" i="3"/>
  <c r="R1152" i="3"/>
  <c r="R1153" i="3"/>
  <c r="R1154" i="3"/>
  <c r="R1155" i="3"/>
  <c r="R1156" i="3"/>
  <c r="R1157" i="3"/>
  <c r="R1158" i="3"/>
  <c r="R1159" i="3"/>
  <c r="R1160" i="3"/>
  <c r="R1161" i="3"/>
  <c r="R1162" i="3"/>
  <c r="R1163" i="3"/>
  <c r="R1164" i="3"/>
  <c r="R1165" i="3"/>
  <c r="R1166" i="3"/>
  <c r="R1167" i="3"/>
  <c r="R1168" i="3"/>
  <c r="R1169" i="3"/>
  <c r="R1170" i="3"/>
  <c r="R1171" i="3"/>
  <c r="R1172" i="3"/>
  <c r="R1173" i="3"/>
  <c r="R1174" i="3"/>
  <c r="R1175" i="3"/>
  <c r="R1176" i="3"/>
  <c r="R1177" i="3"/>
  <c r="R1178" i="3"/>
  <c r="R1179" i="3"/>
  <c r="R1180" i="3"/>
  <c r="R1181" i="3"/>
  <c r="R1182" i="3"/>
  <c r="R1183" i="3"/>
  <c r="R1184" i="3"/>
  <c r="R1185" i="3"/>
  <c r="R1186" i="3"/>
  <c r="R1187" i="3"/>
  <c r="R1188" i="3"/>
  <c r="R1189" i="3"/>
  <c r="R1190" i="3"/>
  <c r="R1191" i="3"/>
  <c r="R1192" i="3"/>
  <c r="R1193" i="3"/>
  <c r="R1194" i="3"/>
  <c r="R1195" i="3"/>
  <c r="R1196" i="3"/>
  <c r="R1197" i="3"/>
  <c r="R1198" i="3"/>
  <c r="R1199" i="3"/>
  <c r="R1200" i="3"/>
  <c r="R1201" i="3"/>
  <c r="R1202" i="3"/>
  <c r="R1203" i="3"/>
  <c r="R1204" i="3"/>
  <c r="R1205" i="3"/>
  <c r="R1206" i="3"/>
  <c r="R1207" i="3"/>
  <c r="R1208" i="3"/>
  <c r="R1209" i="3"/>
  <c r="R1210" i="3"/>
  <c r="R1211" i="3"/>
  <c r="R1212" i="3"/>
  <c r="R1213" i="3"/>
  <c r="R1214" i="3"/>
  <c r="R1215" i="3"/>
  <c r="R1216" i="3"/>
  <c r="R1217" i="3"/>
  <c r="R1218" i="3"/>
  <c r="R1219" i="3"/>
  <c r="R1220" i="3"/>
  <c r="R1221" i="3"/>
  <c r="R1222" i="3"/>
  <c r="R1223" i="3"/>
  <c r="R1224" i="3"/>
  <c r="R1225" i="3"/>
  <c r="R1226" i="3"/>
  <c r="R1227" i="3"/>
  <c r="R1228" i="3"/>
  <c r="R1229" i="3"/>
  <c r="R1230" i="3"/>
  <c r="R1231" i="3"/>
  <c r="R1232" i="3"/>
  <c r="R1233" i="3"/>
  <c r="R1234" i="3"/>
  <c r="R1235" i="3"/>
  <c r="R1236" i="3"/>
  <c r="R1237" i="3"/>
  <c r="R1238" i="3"/>
  <c r="R1239" i="3"/>
  <c r="R1240" i="3"/>
  <c r="R1241" i="3"/>
  <c r="R1242" i="3"/>
  <c r="R1243" i="3"/>
  <c r="R1244" i="3"/>
  <c r="R1245" i="3"/>
  <c r="R1246" i="3"/>
  <c r="R1247" i="3"/>
  <c r="R1248" i="3"/>
  <c r="R1249" i="3"/>
  <c r="R1250" i="3"/>
  <c r="R1251" i="3"/>
  <c r="R1252" i="3"/>
  <c r="R1253" i="3"/>
  <c r="R1254" i="3"/>
  <c r="R1255" i="3"/>
  <c r="R1256" i="3"/>
  <c r="R1257" i="3"/>
  <c r="R1258" i="3"/>
  <c r="R1259" i="3"/>
  <c r="R1260" i="3"/>
  <c r="R1261" i="3"/>
  <c r="R1262" i="3"/>
  <c r="R1263" i="3"/>
  <c r="R1264" i="3"/>
  <c r="R1265" i="3"/>
  <c r="R1266" i="3"/>
  <c r="R1267" i="3"/>
  <c r="R1268" i="3"/>
  <c r="R1269" i="3"/>
  <c r="R1270" i="3"/>
  <c r="R1271" i="3"/>
  <c r="R1272" i="3"/>
  <c r="R1273" i="3"/>
  <c r="R1274" i="3"/>
  <c r="R1275" i="3"/>
  <c r="R1276" i="3"/>
  <c r="R1277" i="3"/>
  <c r="R1278" i="3"/>
  <c r="R1279" i="3"/>
  <c r="R1280" i="3"/>
  <c r="R1281" i="3"/>
  <c r="R1282" i="3"/>
  <c r="R1283" i="3"/>
  <c r="R1284" i="3"/>
  <c r="R1285" i="3"/>
  <c r="R1286" i="3"/>
  <c r="R1287" i="3"/>
  <c r="R1288" i="3"/>
  <c r="R1289" i="3"/>
  <c r="R1290" i="3"/>
  <c r="R1291" i="3"/>
  <c r="R1292" i="3"/>
  <c r="R1293" i="3"/>
  <c r="R1294" i="3"/>
  <c r="R1295" i="3"/>
  <c r="R1296" i="3"/>
  <c r="R1297" i="3"/>
  <c r="R1298" i="3"/>
  <c r="R1299" i="3"/>
  <c r="R1300" i="3"/>
  <c r="R1301" i="3"/>
  <c r="R1302" i="3"/>
  <c r="R1303" i="3"/>
  <c r="R1304" i="3"/>
  <c r="R1305" i="3"/>
  <c r="R1306" i="3"/>
  <c r="R1307" i="3"/>
  <c r="R1308" i="3"/>
  <c r="R1309" i="3"/>
  <c r="R1310" i="3"/>
  <c r="R1311" i="3"/>
  <c r="R1312" i="3"/>
  <c r="R1313" i="3"/>
  <c r="R1314" i="3"/>
  <c r="R1315" i="3"/>
  <c r="R1316" i="3"/>
  <c r="R1317" i="3"/>
  <c r="R1318" i="3"/>
  <c r="R1319" i="3"/>
  <c r="R1320" i="3"/>
  <c r="R1321" i="3"/>
  <c r="R1322" i="3"/>
  <c r="R1323" i="3"/>
  <c r="R1324" i="3"/>
  <c r="R1325" i="3"/>
  <c r="R1326" i="3"/>
  <c r="R1327" i="3"/>
  <c r="R1328" i="3"/>
  <c r="R1329" i="3"/>
  <c r="R1330" i="3"/>
  <c r="R1331" i="3"/>
  <c r="R1332" i="3"/>
  <c r="R1333" i="3"/>
  <c r="R1334" i="3"/>
  <c r="R1335" i="3"/>
  <c r="R1336" i="3"/>
  <c r="R1337" i="3"/>
  <c r="R1338" i="3"/>
  <c r="R1339" i="3"/>
  <c r="R1340" i="3"/>
  <c r="R1341" i="3"/>
  <c r="R1342" i="3"/>
  <c r="R1343" i="3"/>
  <c r="R1344" i="3"/>
  <c r="R1345" i="3"/>
  <c r="R1346" i="3"/>
  <c r="R1347" i="3"/>
  <c r="R1348" i="3"/>
  <c r="R1349" i="3"/>
  <c r="R1350" i="3"/>
  <c r="R1351" i="3"/>
  <c r="R1352" i="3"/>
  <c r="R1353" i="3"/>
  <c r="R1354" i="3"/>
  <c r="R1355" i="3"/>
  <c r="R1356" i="3"/>
  <c r="R1357" i="3"/>
  <c r="R1358" i="3"/>
  <c r="R1359" i="3"/>
  <c r="R1360" i="3"/>
  <c r="R1361" i="3"/>
  <c r="R1362" i="3"/>
  <c r="R1363" i="3"/>
  <c r="R1364" i="3"/>
  <c r="R1365" i="3"/>
  <c r="R1366" i="3"/>
  <c r="R1367" i="3"/>
  <c r="R1368" i="3"/>
  <c r="R1369" i="3"/>
  <c r="R1370" i="3"/>
  <c r="R5" i="3"/>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628"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301"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5" i="2"/>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7" i="1"/>
  <c r="T628" i="1"/>
  <c r="T629" i="1"/>
  <c r="T630" i="1"/>
  <c r="T631" i="1"/>
  <c r="T632" i="1"/>
  <c r="T633" i="1"/>
  <c r="T634" i="1"/>
  <c r="T635" i="1"/>
  <c r="T636" i="1"/>
  <c r="T637" i="1"/>
  <c r="T638" i="1"/>
  <c r="T639" i="1"/>
  <c r="T640" i="1"/>
  <c r="T641" i="1"/>
  <c r="T642" i="1"/>
  <c r="T643" i="1"/>
  <c r="T644" i="1"/>
  <c r="T645" i="1"/>
  <c r="T646" i="1"/>
  <c r="T647" i="1"/>
  <c r="T648"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6" i="1"/>
  <c r="T717" i="1"/>
  <c r="T718" i="1"/>
  <c r="T719" i="1"/>
  <c r="T720" i="1"/>
  <c r="T721" i="1"/>
  <c r="T722" i="1"/>
  <c r="T723" i="1"/>
  <c r="T724" i="1"/>
  <c r="T725" i="1"/>
  <c r="T726" i="1"/>
  <c r="T727" i="1"/>
  <c r="T728" i="1"/>
  <c r="T729" i="1"/>
  <c r="T730" i="1"/>
  <c r="T731" i="1"/>
  <c r="T732" i="1"/>
  <c r="T733" i="1"/>
  <c r="T734" i="1"/>
  <c r="T735" i="1"/>
  <c r="T736" i="1"/>
  <c r="T737" i="1"/>
  <c r="T738" i="1"/>
  <c r="T739" i="1"/>
  <c r="T740" i="1"/>
  <c r="T741" i="1"/>
  <c r="T742" i="1"/>
  <c r="T743" i="1"/>
  <c r="T744" i="1"/>
  <c r="T745" i="1"/>
  <c r="T746" i="1"/>
  <c r="T747" i="1"/>
  <c r="T748" i="1"/>
  <c r="T749" i="1"/>
  <c r="T750" i="1"/>
  <c r="T751" i="1"/>
  <c r="T752" i="1"/>
  <c r="T753" i="1"/>
  <c r="T754" i="1"/>
  <c r="T755" i="1"/>
  <c r="T756" i="1"/>
  <c r="T757" i="1"/>
  <c r="T758" i="1"/>
  <c r="T759" i="1"/>
  <c r="T760" i="1"/>
  <c r="T761" i="1"/>
  <c r="T762" i="1"/>
  <c r="T763" i="1"/>
  <c r="T764" i="1"/>
  <c r="T765" i="1"/>
  <c r="T766" i="1"/>
  <c r="T767" i="1"/>
  <c r="T768" i="1"/>
  <c r="T769" i="1"/>
  <c r="T770" i="1"/>
  <c r="T771" i="1"/>
  <c r="T772" i="1"/>
  <c r="T773" i="1"/>
  <c r="T774" i="1"/>
  <c r="T775" i="1"/>
  <c r="T776" i="1"/>
  <c r="T777" i="1"/>
  <c r="T778" i="1"/>
  <c r="T779" i="1"/>
  <c r="T780" i="1"/>
  <c r="T781" i="1"/>
  <c r="T782" i="1"/>
  <c r="T783" i="1"/>
  <c r="T784" i="1"/>
  <c r="T785" i="1"/>
  <c r="T786" i="1"/>
  <c r="T787" i="1"/>
  <c r="T788" i="1"/>
  <c r="T789" i="1"/>
  <c r="T790" i="1"/>
  <c r="T791" i="1"/>
  <c r="T792" i="1"/>
  <c r="T793" i="1"/>
  <c r="T794" i="1"/>
  <c r="T795" i="1"/>
  <c r="T796" i="1"/>
  <c r="T797" i="1"/>
  <c r="T798" i="1"/>
  <c r="T799" i="1"/>
  <c r="T800" i="1"/>
  <c r="T801" i="1"/>
  <c r="T802" i="1"/>
  <c r="T803" i="1"/>
  <c r="T804" i="1"/>
  <c r="T805" i="1"/>
  <c r="T806" i="1"/>
  <c r="T807" i="1"/>
  <c r="T808" i="1"/>
  <c r="T809" i="1"/>
  <c r="T810" i="1"/>
  <c r="T811" i="1"/>
  <c r="T812" i="1"/>
  <c r="T813" i="1"/>
  <c r="T814" i="1"/>
  <c r="T815" i="1"/>
  <c r="T816" i="1"/>
  <c r="T817" i="1"/>
  <c r="T818" i="1"/>
  <c r="T819" i="1"/>
  <c r="T820" i="1"/>
  <c r="T821" i="1"/>
  <c r="T822" i="1"/>
  <c r="T823" i="1"/>
  <c r="T824" i="1"/>
  <c r="T825" i="1"/>
  <c r="T826" i="1"/>
  <c r="T827" i="1"/>
  <c r="T828" i="1"/>
  <c r="T829" i="1"/>
  <c r="T830" i="1"/>
  <c r="T831" i="1"/>
  <c r="T832" i="1"/>
  <c r="T833" i="1"/>
  <c r="T834" i="1"/>
  <c r="T835" i="1"/>
  <c r="T836" i="1"/>
  <c r="T837" i="1"/>
  <c r="T838" i="1"/>
  <c r="T839" i="1"/>
  <c r="T840" i="1"/>
  <c r="T841" i="1"/>
  <c r="T842" i="1"/>
  <c r="T843" i="1"/>
  <c r="T844" i="1"/>
  <c r="T845" i="1"/>
  <c r="T846" i="1"/>
  <c r="T847" i="1"/>
  <c r="T848" i="1"/>
  <c r="T849" i="1"/>
  <c r="T850" i="1"/>
  <c r="T851" i="1"/>
  <c r="T852" i="1"/>
  <c r="T853" i="1"/>
  <c r="T854" i="1"/>
  <c r="T855" i="1"/>
  <c r="T856" i="1"/>
  <c r="T857" i="1"/>
  <c r="T858" i="1"/>
  <c r="T859" i="1"/>
  <c r="T860" i="1"/>
  <c r="T861" i="1"/>
  <c r="T862" i="1"/>
  <c r="T863" i="1"/>
  <c r="T864" i="1"/>
  <c r="T865" i="1"/>
  <c r="T866" i="1"/>
  <c r="T867" i="1"/>
  <c r="T868" i="1"/>
  <c r="T869" i="1"/>
  <c r="T870" i="1"/>
  <c r="T871" i="1"/>
  <c r="T872" i="1"/>
  <c r="T873" i="1"/>
  <c r="T874" i="1"/>
  <c r="T875" i="1"/>
  <c r="T876" i="1"/>
  <c r="T877" i="1"/>
  <c r="T878" i="1"/>
  <c r="T879" i="1"/>
  <c r="T880" i="1"/>
  <c r="T881" i="1"/>
  <c r="T882" i="1"/>
  <c r="T883" i="1"/>
  <c r="T884" i="1"/>
  <c r="T885" i="1"/>
  <c r="T886" i="1"/>
  <c r="T887" i="1"/>
  <c r="T888" i="1"/>
  <c r="T889" i="1"/>
  <c r="T890" i="1"/>
  <c r="T891" i="1"/>
  <c r="T892" i="1"/>
  <c r="T893" i="1"/>
  <c r="T894" i="1"/>
  <c r="T895" i="1"/>
  <c r="T896" i="1"/>
  <c r="T897" i="1"/>
  <c r="T898" i="1"/>
  <c r="T899" i="1"/>
  <c r="T900" i="1"/>
  <c r="T901" i="1"/>
  <c r="T902" i="1"/>
  <c r="T903" i="1"/>
  <c r="T904" i="1"/>
  <c r="T905" i="1"/>
  <c r="T906" i="1"/>
  <c r="T907" i="1"/>
  <c r="T908" i="1"/>
  <c r="T909" i="1"/>
  <c r="T910" i="1"/>
  <c r="T911" i="1"/>
  <c r="T912" i="1"/>
  <c r="T913" i="1"/>
  <c r="T914" i="1"/>
  <c r="T915" i="1"/>
  <c r="T916" i="1"/>
  <c r="T917" i="1"/>
  <c r="T918" i="1"/>
  <c r="T919" i="1"/>
  <c r="T920" i="1"/>
  <c r="T921" i="1"/>
  <c r="T922" i="1"/>
  <c r="T923" i="1"/>
  <c r="T924" i="1"/>
  <c r="T925" i="1"/>
  <c r="T926" i="1"/>
  <c r="T927" i="1"/>
  <c r="T928" i="1"/>
  <c r="T929" i="1"/>
  <c r="T930" i="1"/>
  <c r="T931" i="1"/>
  <c r="T932" i="1"/>
  <c r="T933" i="1"/>
  <c r="T934" i="1"/>
  <c r="T935" i="1"/>
  <c r="T936" i="1"/>
  <c r="T937" i="1"/>
  <c r="T938" i="1"/>
  <c r="T939" i="1"/>
  <c r="T940" i="1"/>
  <c r="T941" i="1"/>
  <c r="T942" i="1"/>
  <c r="T943" i="1"/>
  <c r="T944" i="1"/>
  <c r="T945" i="1"/>
  <c r="T946" i="1"/>
  <c r="T947" i="1"/>
  <c r="T948" i="1"/>
  <c r="T949" i="1"/>
  <c r="T950" i="1"/>
  <c r="T951" i="1"/>
  <c r="T952" i="1"/>
  <c r="T953" i="1"/>
  <c r="T954" i="1"/>
  <c r="T955" i="1"/>
  <c r="T956" i="1"/>
  <c r="T957" i="1"/>
  <c r="T958" i="1"/>
  <c r="T959" i="1"/>
  <c r="T960" i="1"/>
  <c r="T961" i="1"/>
  <c r="T962" i="1"/>
  <c r="T963" i="1"/>
  <c r="T964" i="1"/>
  <c r="T965" i="1"/>
  <c r="T966" i="1"/>
  <c r="T967" i="1"/>
  <c r="T968" i="1"/>
  <c r="T969" i="1"/>
  <c r="T970" i="1"/>
  <c r="T971" i="1"/>
  <c r="T972" i="1"/>
  <c r="T973" i="1"/>
  <c r="T974" i="1"/>
  <c r="T975" i="1"/>
  <c r="T976" i="1"/>
  <c r="T977" i="1"/>
  <c r="T978" i="1"/>
  <c r="T979" i="1"/>
  <c r="T980" i="1"/>
  <c r="T981" i="1"/>
  <c r="T982" i="1"/>
  <c r="T983" i="1"/>
  <c r="T984" i="1"/>
  <c r="T985" i="1"/>
  <c r="T986" i="1"/>
  <c r="T987" i="1"/>
  <c r="T988" i="1"/>
  <c r="T989" i="1"/>
  <c r="T990" i="1"/>
  <c r="T991" i="1"/>
  <c r="T992" i="1"/>
  <c r="T993" i="1"/>
  <c r="T994" i="1"/>
  <c r="T995" i="1"/>
  <c r="T996" i="1"/>
  <c r="T997" i="1"/>
  <c r="T998" i="1"/>
  <c r="T999" i="1"/>
  <c r="T1000" i="1"/>
  <c r="T1001" i="1"/>
  <c r="T1002" i="1"/>
  <c r="T1003" i="1"/>
  <c r="T1004" i="1"/>
  <c r="T1005" i="1"/>
  <c r="T1006" i="1"/>
  <c r="T1007" i="1"/>
  <c r="T1008" i="1"/>
  <c r="T1009" i="1"/>
  <c r="T1010" i="1"/>
  <c r="T1011" i="1"/>
  <c r="T1012" i="1"/>
  <c r="T1013" i="1"/>
  <c r="T1014" i="1"/>
  <c r="T1015" i="1"/>
  <c r="T1016" i="1"/>
  <c r="T1017" i="1"/>
  <c r="T1018" i="1"/>
  <c r="T1019" i="1"/>
  <c r="T1020" i="1"/>
  <c r="T1021" i="1"/>
  <c r="T1022" i="1"/>
  <c r="T1023" i="1"/>
  <c r="T1024" i="1"/>
  <c r="T1025" i="1"/>
  <c r="T1026" i="1"/>
  <c r="T1027" i="1"/>
  <c r="T1028" i="1"/>
  <c r="T1029" i="1"/>
  <c r="T1030" i="1"/>
  <c r="T1031" i="1"/>
  <c r="T1032" i="1"/>
  <c r="T1033" i="1"/>
  <c r="T1034" i="1"/>
  <c r="T1035" i="1"/>
  <c r="T1036" i="1"/>
  <c r="T1037" i="1"/>
  <c r="T1038" i="1"/>
  <c r="T1039" i="1"/>
  <c r="T1040" i="1"/>
  <c r="T1041" i="1"/>
  <c r="T1042" i="1"/>
  <c r="T1043" i="1"/>
  <c r="T1044" i="1"/>
  <c r="T1045" i="1"/>
  <c r="T1046" i="1"/>
  <c r="T1047" i="1"/>
  <c r="T1048" i="1"/>
  <c r="T1049" i="1"/>
  <c r="T1050" i="1"/>
  <c r="T1051" i="1"/>
  <c r="T1052" i="1"/>
  <c r="T1053" i="1"/>
  <c r="T1054" i="1"/>
  <c r="T1055" i="1"/>
  <c r="T1056" i="1"/>
  <c r="T1057" i="1"/>
  <c r="T1058" i="1"/>
  <c r="T1059" i="1"/>
  <c r="T1060" i="1"/>
  <c r="T1061" i="1"/>
  <c r="T1062" i="1"/>
  <c r="T1063" i="1"/>
  <c r="T1064" i="1"/>
  <c r="T1065" i="1"/>
  <c r="T1066" i="1"/>
  <c r="T1067" i="1"/>
  <c r="T1068" i="1"/>
  <c r="T1069" i="1"/>
  <c r="T1070" i="1"/>
  <c r="T1071" i="1"/>
  <c r="T1072" i="1"/>
  <c r="T1073" i="1"/>
  <c r="T1074" i="1"/>
  <c r="T1075" i="1"/>
  <c r="T1076" i="1"/>
  <c r="T1077" i="1"/>
  <c r="T1078" i="1"/>
  <c r="T1079" i="1"/>
  <c r="T1080" i="1"/>
  <c r="T1081" i="1"/>
  <c r="T1082" i="1"/>
  <c r="T1083" i="1"/>
  <c r="T1084" i="1"/>
  <c r="T1085" i="1"/>
  <c r="T1086" i="1"/>
  <c r="T1087" i="1"/>
  <c r="T1088" i="1"/>
  <c r="T1089" i="1"/>
  <c r="T1090" i="1"/>
  <c r="T1091" i="1"/>
  <c r="T1092" i="1"/>
  <c r="T1093" i="1"/>
  <c r="T1094" i="1"/>
  <c r="T1095" i="1"/>
  <c r="T1096" i="1"/>
  <c r="T1097" i="1"/>
  <c r="T1098" i="1"/>
  <c r="T1099" i="1"/>
  <c r="T1100" i="1"/>
  <c r="T1101" i="1"/>
  <c r="T1102" i="1"/>
  <c r="T1103" i="1"/>
  <c r="T1104" i="1"/>
  <c r="T1105" i="1"/>
  <c r="T1106" i="1"/>
  <c r="T1107" i="1"/>
  <c r="T1108" i="1"/>
  <c r="T1109" i="1"/>
  <c r="T1110" i="1"/>
  <c r="T1111" i="1"/>
  <c r="T1112" i="1"/>
  <c r="T1113" i="1"/>
  <c r="T1114" i="1"/>
  <c r="T1115" i="1"/>
  <c r="T1116" i="1"/>
  <c r="T1117" i="1"/>
  <c r="T1118" i="1"/>
  <c r="T1119" i="1"/>
  <c r="T1120" i="1"/>
  <c r="T1121" i="1"/>
  <c r="T1122" i="1"/>
  <c r="T1123" i="1"/>
  <c r="T1124" i="1"/>
  <c r="T1125" i="1"/>
  <c r="T1126" i="1"/>
  <c r="T1127" i="1"/>
  <c r="T1128" i="1"/>
  <c r="T1129" i="1"/>
  <c r="T1130" i="1"/>
  <c r="T1131" i="1"/>
  <c r="T1132" i="1"/>
  <c r="T1133" i="1"/>
  <c r="T1134" i="1"/>
  <c r="T1135" i="1"/>
  <c r="T1136" i="1"/>
  <c r="T1137" i="1"/>
  <c r="T1138" i="1"/>
  <c r="T1139" i="1"/>
  <c r="T1140" i="1"/>
  <c r="T1141" i="1"/>
  <c r="T1142" i="1"/>
  <c r="T1143" i="1"/>
  <c r="T1144" i="1"/>
  <c r="T1145" i="1"/>
  <c r="T1146" i="1"/>
  <c r="T1147" i="1"/>
  <c r="T1148" i="1"/>
  <c r="T1149" i="1"/>
  <c r="T1150" i="1"/>
  <c r="T1151" i="1"/>
  <c r="T1152" i="1"/>
  <c r="T1153" i="1"/>
  <c r="T1154" i="1"/>
  <c r="T1155" i="1"/>
  <c r="T1156" i="1"/>
  <c r="T1157" i="1"/>
  <c r="T1158" i="1"/>
  <c r="T1159" i="1"/>
  <c r="T1160" i="1"/>
  <c r="T1161" i="1"/>
  <c r="T1162" i="1"/>
  <c r="T1163" i="1"/>
  <c r="T1164" i="1"/>
  <c r="T1165" i="1"/>
  <c r="T1166" i="1"/>
  <c r="T1167" i="1"/>
  <c r="T1168" i="1"/>
  <c r="T1169" i="1"/>
  <c r="T1170" i="1"/>
  <c r="T1171" i="1"/>
  <c r="T1172" i="1"/>
  <c r="T1173" i="1"/>
  <c r="T1174" i="1"/>
  <c r="T1175" i="1"/>
  <c r="T1176" i="1"/>
  <c r="T1177" i="1"/>
  <c r="T1178" i="1"/>
  <c r="T1179" i="1"/>
  <c r="T1180" i="1"/>
  <c r="T1181" i="1"/>
  <c r="T1182" i="1"/>
  <c r="T1183" i="1"/>
  <c r="T1184" i="1"/>
  <c r="T1185" i="1"/>
  <c r="T1186" i="1"/>
  <c r="T1187" i="1"/>
  <c r="T1188" i="1"/>
  <c r="T1189" i="1"/>
  <c r="T1190" i="1"/>
  <c r="T1191" i="1"/>
  <c r="T1192" i="1"/>
  <c r="T1193" i="1"/>
  <c r="T1194" i="1"/>
  <c r="T1195" i="1"/>
  <c r="T1196" i="1"/>
  <c r="T1197" i="1"/>
  <c r="T1198" i="1"/>
  <c r="T1199" i="1"/>
  <c r="T1200" i="1"/>
  <c r="T1201" i="1"/>
  <c r="T1202" i="1"/>
  <c r="T1203" i="1"/>
  <c r="T1204" i="1"/>
  <c r="T1205" i="1"/>
  <c r="T1206" i="1"/>
  <c r="T1207" i="1"/>
  <c r="T1208" i="1"/>
  <c r="T1209" i="1"/>
  <c r="T1210" i="1"/>
  <c r="T1211" i="1"/>
  <c r="T1212" i="1"/>
  <c r="T1213" i="1"/>
  <c r="T1214" i="1"/>
  <c r="T1215" i="1"/>
  <c r="T1216" i="1"/>
  <c r="T1217" i="1"/>
  <c r="T1218" i="1"/>
  <c r="T1219" i="1"/>
  <c r="T1220" i="1"/>
  <c r="T1221" i="1"/>
  <c r="T1222" i="1"/>
  <c r="T1223" i="1"/>
  <c r="T1224" i="1"/>
  <c r="T1225" i="1"/>
  <c r="T1226" i="1"/>
  <c r="T1227" i="1"/>
  <c r="T1228" i="1"/>
  <c r="T1229" i="1"/>
  <c r="T1230" i="1"/>
  <c r="T1231" i="1"/>
  <c r="T1232" i="1"/>
  <c r="T1233" i="1"/>
  <c r="T1234" i="1"/>
  <c r="T1235" i="1"/>
  <c r="T1236" i="1"/>
  <c r="T1237" i="1"/>
  <c r="T1238" i="1"/>
  <c r="T1239" i="1"/>
  <c r="T1240" i="1"/>
  <c r="T1241" i="1"/>
  <c r="T1242" i="1"/>
  <c r="T1243" i="1"/>
  <c r="T1244" i="1"/>
  <c r="T1245" i="1"/>
  <c r="T1246" i="1"/>
  <c r="T1247" i="1"/>
  <c r="T1248" i="1"/>
  <c r="T1249" i="1"/>
  <c r="T1250" i="1"/>
  <c r="T1251" i="1"/>
  <c r="T1252" i="1"/>
  <c r="T1253" i="1"/>
  <c r="T1254" i="1"/>
  <c r="T1255" i="1"/>
  <c r="T1256" i="1"/>
  <c r="T1257" i="1"/>
  <c r="T1258" i="1"/>
  <c r="T1259" i="1"/>
  <c r="T1260" i="1"/>
  <c r="T1261" i="1"/>
  <c r="T1262" i="1"/>
  <c r="T1263" i="1"/>
  <c r="T1264" i="1"/>
  <c r="T1265" i="1"/>
  <c r="T1266" i="1"/>
  <c r="T1267" i="1"/>
  <c r="T1268" i="1"/>
  <c r="T1269" i="1"/>
  <c r="T1270" i="1"/>
  <c r="T1271" i="1"/>
  <c r="T1272" i="1"/>
  <c r="T1273" i="1"/>
  <c r="T1274" i="1"/>
  <c r="T1275" i="1"/>
  <c r="T1276" i="1"/>
  <c r="T1277" i="1"/>
  <c r="T1278" i="1"/>
  <c r="T1279" i="1"/>
  <c r="T1280" i="1"/>
  <c r="T1281" i="1"/>
  <c r="T1282" i="1"/>
  <c r="T1283" i="1"/>
  <c r="T1284" i="1"/>
  <c r="T1285" i="1"/>
  <c r="T1286" i="1"/>
  <c r="T1287" i="1"/>
  <c r="T1288" i="1"/>
  <c r="T1289" i="1"/>
  <c r="T1290" i="1"/>
  <c r="T1291" i="1"/>
  <c r="T1292" i="1"/>
  <c r="T1293" i="1"/>
  <c r="T1294" i="1"/>
  <c r="T1295" i="1"/>
  <c r="T1296" i="1"/>
  <c r="T1297" i="1"/>
  <c r="T1298" i="1"/>
  <c r="T1299" i="1"/>
  <c r="T1300" i="1"/>
  <c r="T1301" i="1"/>
  <c r="T1302" i="1"/>
  <c r="T1303" i="1"/>
  <c r="T1304" i="1"/>
  <c r="T1305" i="1"/>
  <c r="T1306" i="1"/>
  <c r="T1307" i="1"/>
  <c r="T1308" i="1"/>
  <c r="T1309" i="1"/>
  <c r="T1310" i="1"/>
  <c r="T1311" i="1"/>
  <c r="T1312" i="1"/>
  <c r="T1313" i="1"/>
  <c r="T1314" i="1"/>
  <c r="T1315" i="1"/>
  <c r="T1316" i="1"/>
  <c r="T1317" i="1"/>
  <c r="T1318" i="1"/>
  <c r="T1319" i="1"/>
  <c r="T1320" i="1"/>
  <c r="T1321" i="1"/>
  <c r="T1322" i="1"/>
  <c r="T1323" i="1"/>
  <c r="T1324" i="1"/>
  <c r="T1325" i="1"/>
  <c r="T1326" i="1"/>
  <c r="T1327" i="1"/>
  <c r="T1328" i="1"/>
  <c r="T1329" i="1"/>
  <c r="T1330" i="1"/>
  <c r="T1331" i="1"/>
  <c r="T1332" i="1"/>
  <c r="T1333" i="1"/>
  <c r="T1334" i="1"/>
  <c r="T1335" i="1"/>
  <c r="T1336" i="1"/>
  <c r="T1337" i="1"/>
  <c r="T1338" i="1"/>
  <c r="T1339" i="1"/>
  <c r="T1340" i="1"/>
  <c r="T1341" i="1"/>
  <c r="T1342" i="1"/>
  <c r="T1343" i="1"/>
  <c r="T1344" i="1"/>
  <c r="T1345" i="1"/>
  <c r="T1346" i="1"/>
  <c r="T1347" i="1"/>
  <c r="T1348" i="1"/>
  <c r="T1349" i="1"/>
  <c r="T1350" i="1"/>
  <c r="T1351" i="1"/>
  <c r="T1352" i="1"/>
  <c r="T1353" i="1"/>
  <c r="T1354" i="1"/>
  <c r="T1355" i="1"/>
  <c r="T1356" i="1"/>
  <c r="T1357" i="1"/>
  <c r="T1358" i="1"/>
  <c r="T1359" i="1"/>
  <c r="T1360" i="1"/>
  <c r="T1361" i="1"/>
  <c r="T1362" i="1"/>
  <c r="T1363" i="1"/>
  <c r="T1364" i="1"/>
  <c r="T1365" i="1"/>
  <c r="T1366" i="1"/>
  <c r="T1367" i="1"/>
  <c r="T5" i="1"/>
  <c r="V11" i="1"/>
  <c r="R5" i="1"/>
  <c r="R10" i="32"/>
  <c r="R9" i="32"/>
  <c r="R8" i="32"/>
  <c r="R7" i="32"/>
  <c r="R6" i="32"/>
  <c r="K5" i="32"/>
  <c r="M5" i="32" s="1"/>
  <c r="I498" i="31"/>
  <c r="I300" i="31"/>
  <c r="B11" i="13" s="1"/>
  <c r="I259" i="31"/>
  <c r="I247" i="31"/>
  <c r="I243" i="31"/>
  <c r="I236" i="31"/>
  <c r="I20" i="31"/>
  <c r="B15" i="13" s="1"/>
  <c r="I7" i="31"/>
  <c r="B13" i="13" l="1"/>
  <c r="I475" i="36"/>
  <c r="O5" i="32"/>
  <c r="O294" i="32"/>
  <c r="O298" i="32"/>
  <c r="O302" i="32"/>
  <c r="O306" i="32"/>
  <c r="O310" i="32"/>
  <c r="O314" i="32"/>
  <c r="O318" i="32"/>
  <c r="O321" i="32"/>
  <c r="O325" i="32"/>
  <c r="O329" i="32"/>
  <c r="O333" i="32"/>
  <c r="O337" i="32"/>
  <c r="O341" i="32"/>
  <c r="O345" i="32"/>
  <c r="O349" i="32"/>
  <c r="O353" i="32"/>
  <c r="O357" i="32"/>
  <c r="O361" i="32"/>
  <c r="O365" i="32"/>
  <c r="O369" i="32"/>
  <c r="O373" i="32"/>
  <c r="O377" i="32"/>
  <c r="O381" i="32"/>
  <c r="O385" i="32"/>
  <c r="O389" i="32"/>
  <c r="O393" i="32"/>
  <c r="O397" i="32"/>
  <c r="O401" i="32"/>
  <c r="O405" i="32"/>
  <c r="O409" i="32"/>
  <c r="O413" i="32"/>
  <c r="O417" i="32"/>
  <c r="O421" i="32"/>
  <c r="O425" i="32"/>
  <c r="O429" i="32"/>
  <c r="O433" i="32"/>
  <c r="O437" i="32"/>
  <c r="O441" i="32"/>
  <c r="O445" i="32"/>
  <c r="O449" i="32"/>
  <c r="O453" i="32"/>
  <c r="O457" i="32"/>
  <c r="O461" i="32"/>
  <c r="O465" i="32"/>
  <c r="O469" i="32"/>
  <c r="O470" i="32"/>
  <c r="O297" i="32"/>
  <c r="O303" i="32"/>
  <c r="O308" i="32"/>
  <c r="O313" i="32"/>
  <c r="O319" i="32"/>
  <c r="O323" i="32"/>
  <c r="O328" i="32"/>
  <c r="O334" i="32"/>
  <c r="O339" i="32"/>
  <c r="O344" i="32"/>
  <c r="O350" i="32"/>
  <c r="O355" i="32"/>
  <c r="O360" i="32"/>
  <c r="O366" i="32"/>
  <c r="O371" i="32"/>
  <c r="O376" i="32"/>
  <c r="O382" i="32"/>
  <c r="O387" i="32"/>
  <c r="O392" i="32"/>
  <c r="O398" i="32"/>
  <c r="O403" i="32"/>
  <c r="O408" i="32"/>
  <c r="O414" i="32"/>
  <c r="O419" i="32"/>
  <c r="O424" i="32"/>
  <c r="O430" i="32"/>
  <c r="O435" i="32"/>
  <c r="O440" i="32"/>
  <c r="O446" i="32"/>
  <c r="O451" i="32"/>
  <c r="O456" i="32"/>
  <c r="O462" i="32"/>
  <c r="O467" i="32"/>
  <c r="O293" i="32"/>
  <c r="O299" i="32"/>
  <c r="O304" i="32"/>
  <c r="O309" i="32"/>
  <c r="O315" i="32"/>
  <c r="O324" i="32"/>
  <c r="O330" i="32"/>
  <c r="O335" i="32"/>
  <c r="O340" i="32"/>
  <c r="O346" i="32"/>
  <c r="O351" i="32"/>
  <c r="O356" i="32"/>
  <c r="O362" i="32"/>
  <c r="O367" i="32"/>
  <c r="O372" i="32"/>
  <c r="O378" i="32"/>
  <c r="O383" i="32"/>
  <c r="O388" i="32"/>
  <c r="O394" i="32"/>
  <c r="O399" i="32"/>
  <c r="O404" i="32"/>
  <c r="O410" i="32"/>
  <c r="O415" i="32"/>
  <c r="O420" i="32"/>
  <c r="O426" i="32"/>
  <c r="O431" i="32"/>
  <c r="O436" i="32"/>
  <c r="O442" i="32"/>
  <c r="O447" i="32"/>
  <c r="O452" i="32"/>
  <c r="O458" i="32"/>
  <c r="O463" i="32"/>
  <c r="O468" i="32"/>
  <c r="O295" i="32"/>
  <c r="O300" i="32"/>
  <c r="O305" i="32"/>
  <c r="O311" i="32"/>
  <c r="O316" i="32"/>
  <c r="O320" i="32"/>
  <c r="O326" i="32"/>
  <c r="O331" i="32"/>
  <c r="O336" i="32"/>
  <c r="O342" i="32"/>
  <c r="O347" i="32"/>
  <c r="O352" i="32"/>
  <c r="O358" i="32"/>
  <c r="O363" i="32"/>
  <c r="O368" i="32"/>
  <c r="O374" i="32"/>
  <c r="O379" i="32"/>
  <c r="O384" i="32"/>
  <c r="O390" i="32"/>
  <c r="O395" i="32"/>
  <c r="O400" i="32"/>
  <c r="O406" i="32"/>
  <c r="O411" i="32"/>
  <c r="O416" i="32"/>
  <c r="O422" i="32"/>
  <c r="O427" i="32"/>
  <c r="O432" i="32"/>
  <c r="O438" i="32"/>
  <c r="O443" i="32"/>
  <c r="O448" i="32"/>
  <c r="O454" i="32"/>
  <c r="O459" i="32"/>
  <c r="O464" i="32"/>
  <c r="O292" i="32"/>
  <c r="O296" i="32"/>
  <c r="O301" i="32"/>
  <c r="O307" i="32"/>
  <c r="O312" i="32"/>
  <c r="O317" i="32"/>
  <c r="O322" i="32"/>
  <c r="O327" i="32"/>
  <c r="O332" i="32"/>
  <c r="O338" i="32"/>
  <c r="O343" i="32"/>
  <c r="O348" i="32"/>
  <c r="O354" i="32"/>
  <c r="O359" i="32"/>
  <c r="O364" i="32"/>
  <c r="O370" i="32"/>
  <c r="O375" i="32"/>
  <c r="O380" i="32"/>
  <c r="O386" i="32"/>
  <c r="O391" i="32"/>
  <c r="O396" i="32"/>
  <c r="O402" i="32"/>
  <c r="O407" i="32"/>
  <c r="O412" i="32"/>
  <c r="O418" i="32"/>
  <c r="O423" i="32"/>
  <c r="O428" i="32"/>
  <c r="O434" i="32"/>
  <c r="O439" i="32"/>
  <c r="O444" i="32"/>
  <c r="O450" i="32"/>
  <c r="O455" i="32"/>
  <c r="O460" i="32"/>
  <c r="O466" i="32"/>
  <c r="O263" i="32"/>
  <c r="O247" i="32"/>
  <c r="O231" i="32"/>
  <c r="O215" i="32"/>
  <c r="O199" i="32"/>
  <c r="O183" i="32"/>
  <c r="O167" i="32"/>
  <c r="O152" i="32"/>
  <c r="O136" i="32"/>
  <c r="O120" i="32"/>
  <c r="O88" i="32"/>
  <c r="O72" i="32"/>
  <c r="O56" i="32"/>
  <c r="O40" i="32"/>
  <c r="O25" i="32"/>
  <c r="O9" i="32"/>
  <c r="O289" i="32"/>
  <c r="O275" i="32"/>
  <c r="O259" i="32"/>
  <c r="O243" i="32"/>
  <c r="O227" i="32"/>
  <c r="O211" i="32"/>
  <c r="O195" i="32"/>
  <c r="O179" i="32"/>
  <c r="O163" i="32"/>
  <c r="O148" i="32"/>
  <c r="O132" i="32"/>
  <c r="O116" i="32"/>
  <c r="O100" i="32"/>
  <c r="O84" i="32"/>
  <c r="O68" i="32"/>
  <c r="O52" i="32"/>
  <c r="O36" i="32"/>
  <c r="O21" i="32"/>
  <c r="O287" i="32"/>
  <c r="O271" i="32"/>
  <c r="O255" i="32"/>
  <c r="O239" i="32"/>
  <c r="O223" i="32"/>
  <c r="O207" i="32"/>
  <c r="O191" i="32"/>
  <c r="O175" i="32"/>
  <c r="O160" i="32"/>
  <c r="O144" i="32"/>
  <c r="O128" i="32"/>
  <c r="O112" i="32"/>
  <c r="O96" i="32"/>
  <c r="O80" i="32"/>
  <c r="O64" i="32"/>
  <c r="O48" i="32"/>
  <c r="O32" i="32"/>
  <c r="O17" i="32"/>
  <c r="O279" i="32"/>
  <c r="O104" i="32"/>
  <c r="O283" i="32"/>
  <c r="O267" i="32"/>
  <c r="O251" i="32"/>
  <c r="O235" i="32"/>
  <c r="O219" i="32"/>
  <c r="O203" i="32"/>
  <c r="O187" i="32"/>
  <c r="O171" i="32"/>
  <c r="O156" i="32"/>
  <c r="O140" i="32"/>
  <c r="O124" i="32"/>
  <c r="O108" i="32"/>
  <c r="O92" i="32"/>
  <c r="O76" i="32"/>
  <c r="O60" i="32"/>
  <c r="O44" i="32"/>
  <c r="O13" i="32"/>
  <c r="O288" i="32"/>
  <c r="O286" i="32"/>
  <c r="O282" i="32"/>
  <c r="O278" i="32"/>
  <c r="O274" i="32"/>
  <c r="O270" i="32"/>
  <c r="O266" i="32"/>
  <c r="O262" i="32"/>
  <c r="O258" i="32"/>
  <c r="O254" i="32"/>
  <c r="O250" i="32"/>
  <c r="O246" i="32"/>
  <c r="O242" i="32"/>
  <c r="O238" i="32"/>
  <c r="O234" i="32"/>
  <c r="O230" i="32"/>
  <c r="O226" i="32"/>
  <c r="O222" i="32"/>
  <c r="O218" i="32"/>
  <c r="O214" i="32"/>
  <c r="O210" i="32"/>
  <c r="O206" i="32"/>
  <c r="O202" i="32"/>
  <c r="O198" i="32"/>
  <c r="O194" i="32"/>
  <c r="O190" i="32"/>
  <c r="O186" i="32"/>
  <c r="O182" i="32"/>
  <c r="O178" i="32"/>
  <c r="O174" i="32"/>
  <c r="O170" i="32"/>
  <c r="O166" i="32"/>
  <c r="O162" i="32"/>
  <c r="O159" i="32"/>
  <c r="O155" i="32"/>
  <c r="O151" i="32"/>
  <c r="O147" i="32"/>
  <c r="O143" i="32"/>
  <c r="O139" i="32"/>
  <c r="O135" i="32"/>
  <c r="O131" i="32"/>
  <c r="O127" i="32"/>
  <c r="O123" i="32"/>
  <c r="O119" i="32"/>
  <c r="O115" i="32"/>
  <c r="O111" i="32"/>
  <c r="O107" i="32"/>
  <c r="O103" i="32"/>
  <c r="O99" i="32"/>
  <c r="O95" i="32"/>
  <c r="O91" i="32"/>
  <c r="O87" i="32"/>
  <c r="O83" i="32"/>
  <c r="O79" i="32"/>
  <c r="O75" i="32"/>
  <c r="O71" i="32"/>
  <c r="O67" i="32"/>
  <c r="O63" i="32"/>
  <c r="O59" i="32"/>
  <c r="O55" i="32"/>
  <c r="O51" i="32"/>
  <c r="O47" i="32"/>
  <c r="O43" i="32"/>
  <c r="O39" i="32"/>
  <c r="O35" i="32"/>
  <c r="O31" i="32"/>
  <c r="O28" i="32"/>
  <c r="O24" i="32"/>
  <c r="O20" i="32"/>
  <c r="O16" i="32"/>
  <c r="O12" i="32"/>
  <c r="O8" i="32"/>
  <c r="O285" i="32"/>
  <c r="O281" i="32"/>
  <c r="O277" i="32"/>
  <c r="O273" i="32"/>
  <c r="O269" i="32"/>
  <c r="O265" i="32"/>
  <c r="O261" i="32"/>
  <c r="O257" i="32"/>
  <c r="O253" i="32"/>
  <c r="O249" i="32"/>
  <c r="O245" i="32"/>
  <c r="O241" i="32"/>
  <c r="O237" i="32"/>
  <c r="O233" i="32"/>
  <c r="O229" i="32"/>
  <c r="O225" i="32"/>
  <c r="O221" i="32"/>
  <c r="O217" i="32"/>
  <c r="O213" i="32"/>
  <c r="O209" i="32"/>
  <c r="O205" i="32"/>
  <c r="O201" i="32"/>
  <c r="O197" i="32"/>
  <c r="O193" i="32"/>
  <c r="O189" i="32"/>
  <c r="O185" i="32"/>
  <c r="O181" i="32"/>
  <c r="O177" i="32"/>
  <c r="O173" i="32"/>
  <c r="O169" i="32"/>
  <c r="O165" i="32"/>
  <c r="O161" i="32"/>
  <c r="O158" i="32"/>
  <c r="O154" i="32"/>
  <c r="O150" i="32"/>
  <c r="O146" i="32"/>
  <c r="O142" i="32"/>
  <c r="O138" i="32"/>
  <c r="O134" i="32"/>
  <c r="O130" i="32"/>
  <c r="O126" i="32"/>
  <c r="O122" i="32"/>
  <c r="O118" i="32"/>
  <c r="O114" i="32"/>
  <c r="O110" i="32"/>
  <c r="O106" i="32"/>
  <c r="O102" i="32"/>
  <c r="O98" i="32"/>
  <c r="O94" i="32"/>
  <c r="O90" i="32"/>
  <c r="O86" i="32"/>
  <c r="O82" i="32"/>
  <c r="O78" i="32"/>
  <c r="O74" i="32"/>
  <c r="O70" i="32"/>
  <c r="O66" i="32"/>
  <c r="O62" i="32"/>
  <c r="O58" i="32"/>
  <c r="O54" i="32"/>
  <c r="O50" i="32"/>
  <c r="O46" i="32"/>
  <c r="O42" i="32"/>
  <c r="O38" i="32"/>
  <c r="O34" i="32"/>
  <c r="O30" i="32"/>
  <c r="O27" i="32"/>
  <c r="O23" i="32"/>
  <c r="O19" i="32"/>
  <c r="O15" i="32"/>
  <c r="O11" i="32"/>
  <c r="O7" i="32"/>
  <c r="O284" i="32"/>
  <c r="O280" i="32"/>
  <c r="O276" i="32"/>
  <c r="O272" i="32"/>
  <c r="O268" i="32"/>
  <c r="O264" i="32"/>
  <c r="O260" i="32"/>
  <c r="O256" i="32"/>
  <c r="O252" i="32"/>
  <c r="O248" i="32"/>
  <c r="O244" i="32"/>
  <c r="O240" i="32"/>
  <c r="O236" i="32"/>
  <c r="O232" i="32"/>
  <c r="O228" i="32"/>
  <c r="O224" i="32"/>
  <c r="O220" i="32"/>
  <c r="O216" i="32"/>
  <c r="O212" i="32"/>
  <c r="O208" i="32"/>
  <c r="O204" i="32"/>
  <c r="O200" i="32"/>
  <c r="O196" i="32"/>
  <c r="O192" i="32"/>
  <c r="O188" i="32"/>
  <c r="O184" i="32"/>
  <c r="O180" i="32"/>
  <c r="O176" i="32"/>
  <c r="O172" i="32"/>
  <c r="O168" i="32"/>
  <c r="O164" i="32"/>
  <c r="O157" i="32"/>
  <c r="O153" i="32"/>
  <c r="O149" i="32"/>
  <c r="O145" i="32"/>
  <c r="O141" i="32"/>
  <c r="O137" i="32"/>
  <c r="O133" i="32"/>
  <c r="O129" i="32"/>
  <c r="O125" i="32"/>
  <c r="O121" i="32"/>
  <c r="O117" i="32"/>
  <c r="O113" i="32"/>
  <c r="O109" i="32"/>
  <c r="O105" i="32"/>
  <c r="O101" i="32"/>
  <c r="O97" i="32"/>
  <c r="O93" i="32"/>
  <c r="O89" i="32"/>
  <c r="O85" i="32"/>
  <c r="O81" i="32"/>
  <c r="O77" i="32"/>
  <c r="O73" i="32"/>
  <c r="O69" i="32"/>
  <c r="O65" i="32"/>
  <c r="O61" i="32"/>
  <c r="O57" i="32"/>
  <c r="O53" i="32"/>
  <c r="O49" i="32"/>
  <c r="O45" i="32"/>
  <c r="O41" i="32"/>
  <c r="O37" i="32"/>
  <c r="O33" i="32"/>
  <c r="O29" i="32"/>
  <c r="O26" i="32"/>
  <c r="O22" i="32"/>
  <c r="O18" i="32"/>
  <c r="O14" i="32"/>
  <c r="O10" i="32"/>
  <c r="O6" i="32"/>
  <c r="G303" i="33"/>
  <c r="I291" i="32"/>
  <c r="I472" i="32" s="1"/>
  <c r="J6" i="32"/>
  <c r="M497" i="31"/>
  <c r="J497" i="31"/>
  <c r="L497" i="31" s="1"/>
  <c r="M496" i="31"/>
  <c r="J496" i="31"/>
  <c r="L496" i="31" s="1"/>
  <c r="M285" i="31"/>
  <c r="J285" i="31"/>
  <c r="L285" i="31" s="1"/>
  <c r="M235" i="31"/>
  <c r="J235" i="31"/>
  <c r="L235" i="31" s="1"/>
  <c r="M234" i="31"/>
  <c r="J234" i="31"/>
  <c r="L234" i="31" s="1"/>
  <c r="M95" i="31"/>
  <c r="J95" i="31"/>
  <c r="L95" i="31" s="1"/>
  <c r="M191" i="31"/>
  <c r="J191" i="31"/>
  <c r="L191" i="31" s="1"/>
  <c r="M190" i="31"/>
  <c r="J190" i="31"/>
  <c r="L190" i="31" s="1"/>
  <c r="M233" i="31"/>
  <c r="J233" i="31"/>
  <c r="L233" i="31" s="1"/>
  <c r="M232" i="31"/>
  <c r="J232" i="31"/>
  <c r="L232" i="31" s="1"/>
  <c r="M299" i="31"/>
  <c r="J299" i="31"/>
  <c r="L299" i="31" s="1"/>
  <c r="M298" i="31"/>
  <c r="J298" i="31"/>
  <c r="L298" i="31" s="1"/>
  <c r="M94" i="31"/>
  <c r="J94" i="31"/>
  <c r="L94" i="31" s="1"/>
  <c r="M93" i="31"/>
  <c r="J93" i="31"/>
  <c r="L93" i="31" s="1"/>
  <c r="M189" i="31"/>
  <c r="J189" i="31"/>
  <c r="L189" i="31" s="1"/>
  <c r="M188" i="31"/>
  <c r="J188" i="31"/>
  <c r="L188" i="31" s="1"/>
  <c r="M297" i="31"/>
  <c r="J297" i="31"/>
  <c r="L297" i="31" s="1"/>
  <c r="M296" i="31"/>
  <c r="J296" i="31"/>
  <c r="L296" i="31" s="1"/>
  <c r="M284" i="31"/>
  <c r="J284" i="31"/>
  <c r="L284" i="31" s="1"/>
  <c r="M92" i="31"/>
  <c r="J92" i="31"/>
  <c r="L92" i="31" s="1"/>
  <c r="M91" i="31"/>
  <c r="J91" i="31"/>
  <c r="L91" i="31" s="1"/>
  <c r="M273" i="31"/>
  <c r="J273" i="31"/>
  <c r="L273" i="31" s="1"/>
  <c r="M272" i="31"/>
  <c r="J272" i="31"/>
  <c r="L272" i="31" s="1"/>
  <c r="M187" i="31"/>
  <c r="J187" i="31"/>
  <c r="L187" i="31" s="1"/>
  <c r="M186" i="31"/>
  <c r="J186" i="31"/>
  <c r="L186" i="31" s="1"/>
  <c r="M185" i="31"/>
  <c r="J185" i="31"/>
  <c r="L185" i="31" s="1"/>
  <c r="M184" i="31"/>
  <c r="J184" i="31"/>
  <c r="L184" i="31" s="1"/>
  <c r="M90" i="31"/>
  <c r="J90" i="31"/>
  <c r="L90" i="31" s="1"/>
  <c r="M89" i="31"/>
  <c r="J89" i="31"/>
  <c r="L89" i="31" s="1"/>
  <c r="M88" i="31"/>
  <c r="J88" i="31"/>
  <c r="L88" i="31" s="1"/>
  <c r="M87" i="31"/>
  <c r="J87" i="31"/>
  <c r="L87" i="31" s="1"/>
  <c r="M183" i="31"/>
  <c r="J183" i="31"/>
  <c r="L183" i="31" s="1"/>
  <c r="M182" i="31"/>
  <c r="J182" i="31"/>
  <c r="L182" i="31" s="1"/>
  <c r="M181" i="31"/>
  <c r="J181" i="31"/>
  <c r="L181" i="31" s="1"/>
  <c r="M180" i="31"/>
  <c r="J180" i="31"/>
  <c r="L180" i="31" s="1"/>
  <c r="M179" i="31"/>
  <c r="J179" i="31"/>
  <c r="L179" i="31" s="1"/>
  <c r="M178" i="31"/>
  <c r="J178" i="31"/>
  <c r="L178" i="31" s="1"/>
  <c r="M177" i="31"/>
  <c r="J177" i="31"/>
  <c r="L177" i="31" s="1"/>
  <c r="M176" i="31"/>
  <c r="J176" i="31"/>
  <c r="L176" i="31" s="1"/>
  <c r="M175" i="31"/>
  <c r="J175" i="31"/>
  <c r="L175" i="31" s="1"/>
  <c r="M271" i="31"/>
  <c r="J271" i="31"/>
  <c r="L271" i="31" s="1"/>
  <c r="M231" i="31"/>
  <c r="J231" i="31"/>
  <c r="L231" i="31" s="1"/>
  <c r="M230" i="31"/>
  <c r="J230" i="31"/>
  <c r="L230" i="31" s="1"/>
  <c r="M229" i="31"/>
  <c r="J229" i="31"/>
  <c r="L229" i="31" s="1"/>
  <c r="M228" i="31"/>
  <c r="J228" i="31"/>
  <c r="L228" i="31" s="1"/>
  <c r="M227" i="31"/>
  <c r="J227" i="31"/>
  <c r="L227" i="31" s="1"/>
  <c r="M283" i="31"/>
  <c r="J283" i="31"/>
  <c r="L283" i="31" s="1"/>
  <c r="M282" i="31"/>
  <c r="J282" i="31"/>
  <c r="L282" i="31" s="1"/>
  <c r="M226" i="31"/>
  <c r="J226" i="31"/>
  <c r="L226" i="31" s="1"/>
  <c r="M225" i="31"/>
  <c r="J225" i="31"/>
  <c r="L225" i="31" s="1"/>
  <c r="M224" i="31"/>
  <c r="J224" i="31"/>
  <c r="L224" i="31" s="1"/>
  <c r="M223" i="31"/>
  <c r="J223" i="31"/>
  <c r="L223" i="31" s="1"/>
  <c r="M222" i="31"/>
  <c r="J222" i="31"/>
  <c r="L222" i="31" s="1"/>
  <c r="M221" i="31"/>
  <c r="J221" i="31"/>
  <c r="L221" i="31" s="1"/>
  <c r="M270" i="31"/>
  <c r="J270" i="31"/>
  <c r="L270" i="31" s="1"/>
  <c r="M269" i="31"/>
  <c r="J269" i="31"/>
  <c r="L269" i="31" s="1"/>
  <c r="M268" i="31"/>
  <c r="J268" i="31"/>
  <c r="L268" i="31" s="1"/>
  <c r="M267" i="31"/>
  <c r="J267" i="31"/>
  <c r="L267" i="31" s="1"/>
  <c r="M295" i="31"/>
  <c r="J295" i="31"/>
  <c r="L295" i="31" s="1"/>
  <c r="M294" i="31"/>
  <c r="J294" i="31"/>
  <c r="L294" i="31" s="1"/>
  <c r="M86" i="31"/>
  <c r="J86" i="31"/>
  <c r="L86" i="31" s="1"/>
  <c r="M85" i="31"/>
  <c r="J85" i="31"/>
  <c r="L85" i="31" s="1"/>
  <c r="M84" i="31"/>
  <c r="J84" i="31"/>
  <c r="L84" i="31" s="1"/>
  <c r="M174" i="31"/>
  <c r="J174" i="31"/>
  <c r="L174" i="31" s="1"/>
  <c r="M173" i="31"/>
  <c r="J173" i="31"/>
  <c r="L173" i="31" s="1"/>
  <c r="M172" i="31"/>
  <c r="J172" i="31"/>
  <c r="L172" i="31" s="1"/>
  <c r="M171" i="31"/>
  <c r="J171" i="31"/>
  <c r="L171" i="31" s="1"/>
  <c r="M170" i="31"/>
  <c r="J170" i="31"/>
  <c r="L170" i="31" s="1"/>
  <c r="M169" i="31"/>
  <c r="J169" i="31"/>
  <c r="L169" i="31" s="1"/>
  <c r="M168" i="31"/>
  <c r="J168" i="31"/>
  <c r="L168" i="31" s="1"/>
  <c r="M167" i="31"/>
  <c r="J167" i="31"/>
  <c r="L167" i="31" s="1"/>
  <c r="M166" i="31"/>
  <c r="J166" i="31"/>
  <c r="L166" i="31" s="1"/>
  <c r="M165" i="31"/>
  <c r="J165" i="31"/>
  <c r="L165" i="31" s="1"/>
  <c r="M164" i="31"/>
  <c r="J164" i="31"/>
  <c r="L164" i="31" s="1"/>
  <c r="M83" i="31"/>
  <c r="J83" i="31"/>
  <c r="L83" i="31" s="1"/>
  <c r="M82" i="31"/>
  <c r="J82" i="31"/>
  <c r="L82" i="31" s="1"/>
  <c r="M220" i="31"/>
  <c r="J220" i="31"/>
  <c r="L220" i="31" s="1"/>
  <c r="M219" i="31"/>
  <c r="J219" i="31"/>
  <c r="L219" i="31" s="1"/>
  <c r="M81" i="31"/>
  <c r="J81" i="31"/>
  <c r="L81" i="31" s="1"/>
  <c r="M80" i="31"/>
  <c r="J80" i="31"/>
  <c r="L80" i="31" s="1"/>
  <c r="M79" i="31"/>
  <c r="J79" i="31"/>
  <c r="L79" i="31" s="1"/>
  <c r="M218" i="31"/>
  <c r="J218" i="31"/>
  <c r="L218" i="31" s="1"/>
  <c r="M281" i="31"/>
  <c r="J281" i="31"/>
  <c r="L281" i="31" s="1"/>
  <c r="M280" i="31"/>
  <c r="J280" i="31"/>
  <c r="L280" i="31" s="1"/>
  <c r="M217" i="31"/>
  <c r="J217" i="31"/>
  <c r="L217" i="31" s="1"/>
  <c r="M216" i="31"/>
  <c r="J216" i="31"/>
  <c r="L216" i="31" s="1"/>
  <c r="M215" i="31"/>
  <c r="J215" i="31"/>
  <c r="L215" i="31" s="1"/>
  <c r="M214" i="31"/>
  <c r="J214" i="31"/>
  <c r="L214" i="31" s="1"/>
  <c r="M213" i="31"/>
  <c r="J213" i="31"/>
  <c r="L213" i="31" s="1"/>
  <c r="M212" i="31"/>
  <c r="J212" i="31"/>
  <c r="L212" i="31" s="1"/>
  <c r="M211" i="31"/>
  <c r="J211" i="31"/>
  <c r="L211" i="31" s="1"/>
  <c r="M210" i="31"/>
  <c r="J210" i="31"/>
  <c r="L210" i="31" s="1"/>
  <c r="M209" i="31"/>
  <c r="J209" i="31"/>
  <c r="L209" i="31" s="1"/>
  <c r="M208" i="31"/>
  <c r="J208" i="31"/>
  <c r="L208" i="31" s="1"/>
  <c r="M207" i="31"/>
  <c r="J207" i="31"/>
  <c r="L207" i="31" s="1"/>
  <c r="M206" i="31"/>
  <c r="J206" i="31"/>
  <c r="L206" i="31" s="1"/>
  <c r="M78" i="31"/>
  <c r="J78" i="31"/>
  <c r="L78" i="31" s="1"/>
  <c r="M77" i="31"/>
  <c r="J77" i="31"/>
  <c r="L77" i="31" s="1"/>
  <c r="M76" i="31"/>
  <c r="J76" i="31"/>
  <c r="L76" i="31" s="1"/>
  <c r="M75" i="31"/>
  <c r="J75" i="31"/>
  <c r="L75" i="31" s="1"/>
  <c r="M74" i="31"/>
  <c r="J74" i="31"/>
  <c r="L74" i="31" s="1"/>
  <c r="M73" i="31"/>
  <c r="J73" i="31"/>
  <c r="L73" i="31" s="1"/>
  <c r="M72" i="31"/>
  <c r="J72" i="31"/>
  <c r="L72" i="31" s="1"/>
  <c r="M71" i="31"/>
  <c r="J71" i="31"/>
  <c r="L71" i="31" s="1"/>
  <c r="M70" i="31"/>
  <c r="J70" i="31"/>
  <c r="L70" i="31" s="1"/>
  <c r="M69" i="31"/>
  <c r="J69" i="31"/>
  <c r="L69" i="31" s="1"/>
  <c r="M68" i="31"/>
  <c r="J68" i="31"/>
  <c r="L68" i="31" s="1"/>
  <c r="M67" i="31"/>
  <c r="J67" i="31"/>
  <c r="L67" i="31" s="1"/>
  <c r="M266" i="31"/>
  <c r="J266" i="31"/>
  <c r="L266" i="31" s="1"/>
  <c r="M265" i="31"/>
  <c r="J265" i="31"/>
  <c r="L265" i="31" s="1"/>
  <c r="M66" i="31"/>
  <c r="J66" i="31"/>
  <c r="L66" i="31" s="1"/>
  <c r="M65" i="31"/>
  <c r="J65" i="31"/>
  <c r="L65" i="31" s="1"/>
  <c r="M64" i="31"/>
  <c r="J64" i="31"/>
  <c r="L64" i="31" s="1"/>
  <c r="M63" i="31"/>
  <c r="J63" i="31"/>
  <c r="L63" i="31" s="1"/>
  <c r="M62" i="31"/>
  <c r="J62" i="31"/>
  <c r="L62" i="31" s="1"/>
  <c r="M61" i="31"/>
  <c r="J61" i="31"/>
  <c r="L61" i="31" s="1"/>
  <c r="M60" i="31"/>
  <c r="J60" i="31"/>
  <c r="L60" i="31" s="1"/>
  <c r="M59" i="31"/>
  <c r="J59" i="31"/>
  <c r="L59" i="31" s="1"/>
  <c r="M58" i="31"/>
  <c r="J58" i="31"/>
  <c r="L58" i="31" s="1"/>
  <c r="M57" i="31"/>
  <c r="J57" i="31"/>
  <c r="L57" i="31" s="1"/>
  <c r="M56" i="31"/>
  <c r="J56" i="31"/>
  <c r="L56" i="31" s="1"/>
  <c r="M55" i="31"/>
  <c r="J55" i="31"/>
  <c r="L55" i="31" s="1"/>
  <c r="M54" i="31"/>
  <c r="J54" i="31"/>
  <c r="L54" i="31" s="1"/>
  <c r="M53" i="31"/>
  <c r="J53" i="31"/>
  <c r="L53" i="31" s="1"/>
  <c r="M52" i="31"/>
  <c r="J52" i="31"/>
  <c r="L52" i="31" s="1"/>
  <c r="M51" i="31"/>
  <c r="J51" i="31"/>
  <c r="L51" i="31" s="1"/>
  <c r="M50" i="31"/>
  <c r="J50" i="31"/>
  <c r="L50" i="31" s="1"/>
  <c r="M49" i="31"/>
  <c r="J49" i="31"/>
  <c r="L49" i="31" s="1"/>
  <c r="M48" i="31"/>
  <c r="J48" i="31"/>
  <c r="L48" i="31" s="1"/>
  <c r="M47" i="31"/>
  <c r="J47" i="31"/>
  <c r="L47" i="31" s="1"/>
  <c r="M46" i="31"/>
  <c r="J46" i="31"/>
  <c r="L46" i="31" s="1"/>
  <c r="M45" i="31"/>
  <c r="J45" i="31"/>
  <c r="L45" i="31" s="1"/>
  <c r="M205" i="31"/>
  <c r="J205" i="31"/>
  <c r="L205" i="31" s="1"/>
  <c r="M204" i="31"/>
  <c r="J204" i="31"/>
  <c r="L204" i="31" s="1"/>
  <c r="M203" i="31"/>
  <c r="J203" i="31"/>
  <c r="L203" i="31" s="1"/>
  <c r="M202" i="31"/>
  <c r="J202" i="31"/>
  <c r="L202" i="31" s="1"/>
  <c r="M201" i="31"/>
  <c r="J201" i="31"/>
  <c r="L201" i="31" s="1"/>
  <c r="M200" i="31"/>
  <c r="J200" i="31"/>
  <c r="L200" i="31" s="1"/>
  <c r="M199" i="31"/>
  <c r="J199" i="31"/>
  <c r="L199" i="31" s="1"/>
  <c r="M198" i="31"/>
  <c r="J198" i="31"/>
  <c r="L198" i="31" s="1"/>
  <c r="M163" i="31"/>
  <c r="J163" i="31"/>
  <c r="L163" i="31" s="1"/>
  <c r="M162" i="31"/>
  <c r="J162" i="31"/>
  <c r="L162" i="31" s="1"/>
  <c r="M161" i="31"/>
  <c r="J161" i="31"/>
  <c r="L161" i="31" s="1"/>
  <c r="M160" i="31"/>
  <c r="J160" i="31"/>
  <c r="L160" i="31" s="1"/>
  <c r="M159" i="31"/>
  <c r="J159" i="31"/>
  <c r="L159" i="31" s="1"/>
  <c r="M158" i="31"/>
  <c r="J158" i="31"/>
  <c r="L158" i="31" s="1"/>
  <c r="M157" i="31"/>
  <c r="J157" i="31"/>
  <c r="L157" i="31" s="1"/>
  <c r="M156" i="31"/>
  <c r="J156" i="31"/>
  <c r="L156" i="31" s="1"/>
  <c r="M155" i="31"/>
  <c r="J155" i="31"/>
  <c r="L155" i="31" s="1"/>
  <c r="M154" i="31"/>
  <c r="J154" i="31"/>
  <c r="L154" i="31" s="1"/>
  <c r="M153" i="31"/>
  <c r="J153" i="31"/>
  <c r="L153" i="31" s="1"/>
  <c r="M152" i="31"/>
  <c r="J152" i="31"/>
  <c r="L152" i="31" s="1"/>
  <c r="M151" i="31"/>
  <c r="J151" i="31"/>
  <c r="L151" i="31" s="1"/>
  <c r="M150" i="31"/>
  <c r="J150" i="31"/>
  <c r="L150" i="31" s="1"/>
  <c r="M149" i="31"/>
  <c r="J149" i="31"/>
  <c r="L149" i="31" s="1"/>
  <c r="M148" i="31"/>
  <c r="J148" i="31"/>
  <c r="L148" i="31" s="1"/>
  <c r="M147" i="31"/>
  <c r="J147" i="31"/>
  <c r="L147" i="31" s="1"/>
  <c r="M146" i="31"/>
  <c r="J146" i="31"/>
  <c r="L146" i="31" s="1"/>
  <c r="M145" i="31"/>
  <c r="J145" i="31"/>
  <c r="L145" i="31" s="1"/>
  <c r="M144" i="31"/>
  <c r="J144" i="31"/>
  <c r="L144" i="31" s="1"/>
  <c r="M143" i="31"/>
  <c r="J143" i="31"/>
  <c r="L143" i="31" s="1"/>
  <c r="M142" i="31"/>
  <c r="J142" i="31"/>
  <c r="L142" i="31" s="1"/>
  <c r="M141" i="31"/>
  <c r="J141" i="31"/>
  <c r="L141" i="31" s="1"/>
  <c r="M140" i="31"/>
  <c r="J140" i="31"/>
  <c r="L140" i="31" s="1"/>
  <c r="M139" i="31"/>
  <c r="J139" i="31"/>
  <c r="L139" i="31" s="1"/>
  <c r="M138" i="31"/>
  <c r="J138" i="31"/>
  <c r="L138" i="31" s="1"/>
  <c r="M137" i="31"/>
  <c r="J137" i="31"/>
  <c r="L137" i="31" s="1"/>
  <c r="M136" i="31"/>
  <c r="J136" i="31"/>
  <c r="L136" i="31" s="1"/>
  <c r="M135" i="31"/>
  <c r="J135" i="31"/>
  <c r="L135" i="31" s="1"/>
  <c r="M134" i="31"/>
  <c r="J134" i="31"/>
  <c r="L134" i="31" s="1"/>
  <c r="M133" i="31"/>
  <c r="J133" i="31"/>
  <c r="L133" i="31" s="1"/>
  <c r="M132" i="31"/>
  <c r="J132" i="31"/>
  <c r="L132" i="31" s="1"/>
  <c r="M131" i="31"/>
  <c r="J131" i="31"/>
  <c r="L131" i="31" s="1"/>
  <c r="M130" i="31"/>
  <c r="J130" i="31"/>
  <c r="L130" i="31" s="1"/>
  <c r="M44" i="31"/>
  <c r="J44" i="31"/>
  <c r="L44" i="31" s="1"/>
  <c r="M43" i="31"/>
  <c r="J43" i="31"/>
  <c r="L43" i="31" s="1"/>
  <c r="M129" i="31"/>
  <c r="J129" i="31"/>
  <c r="L129" i="31" s="1"/>
  <c r="M128" i="31"/>
  <c r="J128" i="31"/>
  <c r="L128" i="31" s="1"/>
  <c r="M127" i="31"/>
  <c r="J127" i="31"/>
  <c r="L127" i="31" s="1"/>
  <c r="M126" i="31"/>
  <c r="J126" i="31"/>
  <c r="L126" i="31" s="1"/>
  <c r="M125" i="31"/>
  <c r="J125" i="31"/>
  <c r="L125" i="31" s="1"/>
  <c r="M124" i="31"/>
  <c r="J124" i="31"/>
  <c r="L124" i="31" s="1"/>
  <c r="M123" i="31"/>
  <c r="J123" i="31"/>
  <c r="L123" i="31" s="1"/>
  <c r="M122" i="31"/>
  <c r="J122" i="31"/>
  <c r="L122" i="31" s="1"/>
  <c r="M121" i="31"/>
  <c r="J121" i="31"/>
  <c r="L121" i="31" s="1"/>
  <c r="M120" i="31"/>
  <c r="J120" i="31"/>
  <c r="L120" i="31" s="1"/>
  <c r="M119" i="31"/>
  <c r="J119" i="31"/>
  <c r="L119" i="31" s="1"/>
  <c r="M118" i="31"/>
  <c r="J118" i="31"/>
  <c r="L118" i="31" s="1"/>
  <c r="M117" i="31"/>
  <c r="J117" i="31"/>
  <c r="L117" i="31" s="1"/>
  <c r="M116" i="31"/>
  <c r="J116" i="31"/>
  <c r="L116" i="31" s="1"/>
  <c r="M115" i="31"/>
  <c r="J115" i="31"/>
  <c r="L115" i="31" s="1"/>
  <c r="M114" i="31"/>
  <c r="J114" i="31"/>
  <c r="L114" i="31" s="1"/>
  <c r="M113" i="31"/>
  <c r="J113" i="31"/>
  <c r="L113" i="31" s="1"/>
  <c r="M112" i="31"/>
  <c r="J112" i="31"/>
  <c r="L112" i="31" s="1"/>
  <c r="M111" i="31"/>
  <c r="J111" i="31"/>
  <c r="L111" i="31" s="1"/>
  <c r="M110" i="31"/>
  <c r="J110" i="31"/>
  <c r="L110" i="31" s="1"/>
  <c r="M197" i="31"/>
  <c r="J197" i="31"/>
  <c r="L197" i="31" s="1"/>
  <c r="M196" i="31"/>
  <c r="J196" i="31"/>
  <c r="L196" i="31" s="1"/>
  <c r="M195" i="31"/>
  <c r="J195" i="31"/>
  <c r="L195" i="31" s="1"/>
  <c r="M194" i="31"/>
  <c r="J194" i="31"/>
  <c r="L194" i="31" s="1"/>
  <c r="M42" i="31"/>
  <c r="J42" i="31"/>
  <c r="L42" i="31" s="1"/>
  <c r="M41" i="31"/>
  <c r="J41" i="31"/>
  <c r="L41" i="31" s="1"/>
  <c r="M40" i="31"/>
  <c r="J40" i="31"/>
  <c r="L40" i="31" s="1"/>
  <c r="M39" i="31"/>
  <c r="J39" i="31"/>
  <c r="L39" i="31" s="1"/>
  <c r="M38" i="31"/>
  <c r="J38" i="31"/>
  <c r="L38" i="31" s="1"/>
  <c r="M37" i="31"/>
  <c r="J37" i="31"/>
  <c r="L37" i="31" s="1"/>
  <c r="M36" i="31"/>
  <c r="J36" i="31"/>
  <c r="L36" i="31" s="1"/>
  <c r="M35" i="31"/>
  <c r="J35" i="31"/>
  <c r="L35" i="31" s="1"/>
  <c r="M34" i="31"/>
  <c r="J34" i="31"/>
  <c r="L34" i="31" s="1"/>
  <c r="M33" i="31"/>
  <c r="J33" i="31"/>
  <c r="L33" i="31" s="1"/>
  <c r="M32" i="31"/>
  <c r="J32" i="31"/>
  <c r="L32" i="31" s="1"/>
  <c r="M31" i="31"/>
  <c r="J31" i="31"/>
  <c r="L31" i="31" s="1"/>
  <c r="M30" i="31"/>
  <c r="J30" i="31"/>
  <c r="L30" i="31" s="1"/>
  <c r="M29" i="31"/>
  <c r="J29" i="31"/>
  <c r="L29" i="31" s="1"/>
  <c r="M28" i="31"/>
  <c r="J28" i="31"/>
  <c r="L28" i="31" s="1"/>
  <c r="M27" i="31"/>
  <c r="J27" i="31"/>
  <c r="L27" i="31" s="1"/>
  <c r="M193" i="31"/>
  <c r="J193" i="31"/>
  <c r="L193" i="31" s="1"/>
  <c r="M192" i="31"/>
  <c r="J192" i="31"/>
  <c r="L192" i="31" s="1"/>
  <c r="M279" i="31"/>
  <c r="J279" i="31"/>
  <c r="L279" i="31" s="1"/>
  <c r="M278" i="31"/>
  <c r="J278" i="31"/>
  <c r="L278" i="31" s="1"/>
  <c r="M277" i="31"/>
  <c r="J277" i="31"/>
  <c r="L277" i="31" s="1"/>
  <c r="M276" i="31"/>
  <c r="J276" i="31"/>
  <c r="L276" i="31" s="1"/>
  <c r="M26" i="31"/>
  <c r="J26" i="31"/>
  <c r="L26" i="31" s="1"/>
  <c r="M25" i="31"/>
  <c r="J25" i="31"/>
  <c r="L25" i="31" s="1"/>
  <c r="M24" i="31"/>
  <c r="J24" i="31"/>
  <c r="L24" i="31" s="1"/>
  <c r="M275" i="31"/>
  <c r="J275" i="31"/>
  <c r="L275" i="31" s="1"/>
  <c r="M274" i="31"/>
  <c r="J274" i="31"/>
  <c r="L274" i="31" s="1"/>
  <c r="M109" i="31"/>
  <c r="J109" i="31"/>
  <c r="L109" i="31" s="1"/>
  <c r="M108" i="31"/>
  <c r="J108" i="31"/>
  <c r="L108" i="31" s="1"/>
  <c r="M107" i="31"/>
  <c r="J107" i="31"/>
  <c r="L107" i="31" s="1"/>
  <c r="M293" i="31"/>
  <c r="J293" i="31"/>
  <c r="L293" i="31" s="1"/>
  <c r="M292" i="31"/>
  <c r="J292" i="31"/>
  <c r="L292" i="31" s="1"/>
  <c r="M291" i="31"/>
  <c r="J291" i="31"/>
  <c r="L291" i="31" s="1"/>
  <c r="M290" i="31"/>
  <c r="J290" i="31"/>
  <c r="L290" i="31" s="1"/>
  <c r="M289" i="31"/>
  <c r="J289" i="31"/>
  <c r="L289" i="31" s="1"/>
  <c r="M288" i="31"/>
  <c r="J288" i="31"/>
  <c r="L288" i="31" s="1"/>
  <c r="M242" i="31"/>
  <c r="J242" i="31"/>
  <c r="L242" i="31" s="1"/>
  <c r="M241" i="31"/>
  <c r="J241" i="31"/>
  <c r="L241" i="31" s="1"/>
  <c r="M106" i="31"/>
  <c r="J106" i="31"/>
  <c r="L106" i="31" s="1"/>
  <c r="M105" i="31"/>
  <c r="J105" i="31"/>
  <c r="L105" i="31" s="1"/>
  <c r="M19" i="31"/>
  <c r="J19" i="31"/>
  <c r="L19" i="31" s="1"/>
  <c r="M16" i="31"/>
  <c r="J16" i="31"/>
  <c r="L16" i="31" s="1"/>
  <c r="M15" i="31"/>
  <c r="J15" i="31"/>
  <c r="L15" i="31" s="1"/>
  <c r="M12" i="31"/>
  <c r="J12" i="31"/>
  <c r="L12" i="31" s="1"/>
  <c r="M287" i="31"/>
  <c r="J287" i="31"/>
  <c r="L287" i="31" s="1"/>
  <c r="M286" i="31"/>
  <c r="J286" i="31"/>
  <c r="L286" i="31" s="1"/>
  <c r="M104" i="31"/>
  <c r="J104" i="31"/>
  <c r="L104" i="31" s="1"/>
  <c r="M103" i="31"/>
  <c r="J103" i="31"/>
  <c r="L103" i="31" s="1"/>
  <c r="M264" i="31"/>
  <c r="J264" i="31"/>
  <c r="L264" i="31" s="1"/>
  <c r="M263" i="31"/>
  <c r="J263" i="31"/>
  <c r="L263" i="31" s="1"/>
  <c r="M262" i="31"/>
  <c r="J262" i="31"/>
  <c r="L262" i="31" s="1"/>
  <c r="M261" i="31"/>
  <c r="J261" i="31"/>
  <c r="L261" i="31" s="1"/>
  <c r="M102" i="31"/>
  <c r="J102" i="31"/>
  <c r="L102" i="31" s="1"/>
  <c r="M101" i="31"/>
  <c r="J101" i="31"/>
  <c r="L101" i="31" s="1"/>
  <c r="M100" i="31"/>
  <c r="J100" i="31"/>
  <c r="L100" i="31" s="1"/>
  <c r="M240" i="31"/>
  <c r="J240" i="31"/>
  <c r="L240" i="31" s="1"/>
  <c r="M239" i="31"/>
  <c r="J239" i="31"/>
  <c r="L239" i="31" s="1"/>
  <c r="M246" i="31"/>
  <c r="L246" i="31"/>
  <c r="J246" i="31"/>
  <c r="M245" i="31"/>
  <c r="J245" i="31"/>
  <c r="L245" i="31" s="1"/>
  <c r="M238" i="31"/>
  <c r="J238" i="31"/>
  <c r="L238" i="31" s="1"/>
  <c r="M99" i="31"/>
  <c r="J99" i="31"/>
  <c r="L99" i="31" s="1"/>
  <c r="M98" i="31"/>
  <c r="J98" i="31"/>
  <c r="L98" i="31" s="1"/>
  <c r="M97" i="31"/>
  <c r="J97" i="31"/>
  <c r="L97" i="31" s="1"/>
  <c r="M96" i="31"/>
  <c r="J96" i="31"/>
  <c r="L96" i="31" s="1"/>
  <c r="M23" i="31"/>
  <c r="J23" i="31"/>
  <c r="L23" i="31" s="1"/>
  <c r="M22" i="31"/>
  <c r="J22" i="31"/>
  <c r="L22" i="31" s="1"/>
  <c r="M252" i="31"/>
  <c r="J252" i="31"/>
  <c r="L252" i="31" s="1"/>
  <c r="M251" i="31"/>
  <c r="J251" i="31"/>
  <c r="L251" i="31" s="1"/>
  <c r="M258" i="31"/>
  <c r="J258" i="31"/>
  <c r="L258" i="31" s="1"/>
  <c r="M257" i="31"/>
  <c r="J257" i="31"/>
  <c r="L257" i="31" s="1"/>
  <c r="M18" i="31"/>
  <c r="J18" i="31"/>
  <c r="L18" i="31" s="1"/>
  <c r="M17" i="31"/>
  <c r="J17" i="31"/>
  <c r="L17" i="31" s="1"/>
  <c r="M11" i="31"/>
  <c r="J11" i="31"/>
  <c r="L11" i="31" s="1"/>
  <c r="M256" i="31"/>
  <c r="J256" i="31"/>
  <c r="L256" i="31" s="1"/>
  <c r="M255" i="31"/>
  <c r="J255" i="31"/>
  <c r="L255" i="31" s="1"/>
  <c r="M254" i="31"/>
  <c r="J254" i="31"/>
  <c r="L254" i="31" s="1"/>
  <c r="M253" i="31"/>
  <c r="J253" i="31"/>
  <c r="L253" i="31" s="1"/>
  <c r="M14" i="31"/>
  <c r="J14" i="31"/>
  <c r="L14" i="31" s="1"/>
  <c r="M13" i="31"/>
  <c r="J13" i="31"/>
  <c r="L13" i="31" s="1"/>
  <c r="M10" i="31"/>
  <c r="J10" i="31"/>
  <c r="L10" i="31" s="1"/>
  <c r="M9" i="31"/>
  <c r="J9" i="31"/>
  <c r="L9" i="31" s="1"/>
  <c r="M6" i="31"/>
  <c r="J6" i="31"/>
  <c r="L6" i="31" s="1"/>
  <c r="M5" i="31"/>
  <c r="J5" i="31"/>
  <c r="L5" i="31" s="1"/>
  <c r="M250" i="31"/>
  <c r="J250" i="31"/>
  <c r="L250" i="31" s="1"/>
  <c r="M249" i="31"/>
  <c r="J249" i="31"/>
  <c r="L249" i="31" s="1"/>
  <c r="L7" i="31" l="1"/>
  <c r="L247" i="31"/>
  <c r="M7" i="31"/>
  <c r="L20" i="31"/>
  <c r="M247" i="31"/>
  <c r="L259" i="31"/>
  <c r="M259" i="31"/>
  <c r="M20" i="31"/>
  <c r="L498" i="31"/>
  <c r="M236" i="31"/>
  <c r="M498" i="31"/>
  <c r="L300" i="31"/>
  <c r="L236" i="31"/>
  <c r="L243" i="31"/>
  <c r="M243" i="31"/>
  <c r="M300" i="31"/>
  <c r="O291" i="32"/>
  <c r="O472" i="32" s="1"/>
  <c r="C9" i="9" s="1"/>
  <c r="K6" i="32"/>
  <c r="M6" i="32" s="1"/>
  <c r="J7" i="32" l="1"/>
  <c r="K7" i="32" l="1"/>
  <c r="M7" i="32" s="1"/>
  <c r="J8" i="32" l="1"/>
  <c r="K8" i="32" l="1"/>
  <c r="M8" i="32" s="1"/>
  <c r="J9" i="32" l="1"/>
  <c r="K9" i="32" l="1"/>
  <c r="M9" i="32" s="1"/>
  <c r="J10" i="32" l="1"/>
  <c r="K10" i="32" l="1"/>
  <c r="M10" i="32" s="1"/>
  <c r="J11" i="32" l="1"/>
  <c r="K11" i="32" l="1"/>
  <c r="M11" i="32" s="1"/>
  <c r="J12" i="32" l="1"/>
  <c r="K12" i="32" l="1"/>
  <c r="M12" i="32" s="1"/>
  <c r="J13" i="32" l="1"/>
  <c r="K13" i="32" l="1"/>
  <c r="M13" i="32" s="1"/>
  <c r="J14" i="32" l="1"/>
  <c r="K14" i="32" l="1"/>
  <c r="M14" i="32" s="1"/>
  <c r="J15" i="32" l="1"/>
  <c r="K15" i="32" l="1"/>
  <c r="M15" i="32" s="1"/>
  <c r="J16" i="32" l="1"/>
  <c r="K16" i="32" l="1"/>
  <c r="M16" i="32" s="1"/>
  <c r="J17" i="32" l="1"/>
  <c r="K17" i="32" l="1"/>
  <c r="M17" i="32" s="1"/>
  <c r="J18" i="32" l="1"/>
  <c r="K18" i="32" l="1"/>
  <c r="M18" i="32" s="1"/>
  <c r="J19" i="32" l="1"/>
  <c r="J20" i="32" l="1"/>
  <c r="K19" i="32"/>
  <c r="M19" i="32" s="1"/>
  <c r="K20" i="32" l="1"/>
  <c r="M20" i="32" s="1"/>
  <c r="J21" i="32" l="1"/>
  <c r="K21" i="32" l="1"/>
  <c r="M21" i="32" s="1"/>
  <c r="J22" i="32" l="1"/>
  <c r="K22" i="32" l="1"/>
  <c r="M22" i="32" s="1"/>
  <c r="J23" i="32" l="1"/>
  <c r="K23" i="32" l="1"/>
  <c r="M23" i="32" s="1"/>
  <c r="J24" i="32" l="1"/>
  <c r="J25" i="32" l="1"/>
  <c r="K24" i="32"/>
  <c r="M24" i="32" s="1"/>
  <c r="J26" i="32" l="1"/>
  <c r="K25" i="32"/>
  <c r="M25" i="32" s="1"/>
  <c r="J27" i="32" l="1"/>
  <c r="K26" i="32"/>
  <c r="M26" i="32" s="1"/>
  <c r="J28" i="32" l="1"/>
  <c r="J29" i="32" s="1"/>
  <c r="J30" i="32" s="1"/>
  <c r="J31" i="32" s="1"/>
  <c r="J32" i="32" s="1"/>
  <c r="J33" i="32" s="1"/>
  <c r="J34" i="32" s="1"/>
  <c r="J35" i="32" s="1"/>
  <c r="J36" i="32" s="1"/>
  <c r="J37" i="32" s="1"/>
  <c r="J38" i="32" s="1"/>
  <c r="J39" i="32" s="1"/>
  <c r="J40" i="32" s="1"/>
  <c r="J41" i="32" s="1"/>
  <c r="J42" i="32" s="1"/>
  <c r="J43" i="32" s="1"/>
  <c r="J44" i="32" s="1"/>
  <c r="J45" i="32" s="1"/>
  <c r="J46" i="32" s="1"/>
  <c r="J47" i="32" s="1"/>
  <c r="J48" i="32" s="1"/>
  <c r="J49" i="32" s="1"/>
  <c r="J50" i="32" s="1"/>
  <c r="J51" i="32" s="1"/>
  <c r="J52" i="32" s="1"/>
  <c r="J53" i="32" s="1"/>
  <c r="J54" i="32" s="1"/>
  <c r="J55" i="32" s="1"/>
  <c r="J56" i="32" s="1"/>
  <c r="J57" i="32" s="1"/>
  <c r="J58" i="32" s="1"/>
  <c r="J59" i="32" s="1"/>
  <c r="J60" i="32" s="1"/>
  <c r="J61" i="32" s="1"/>
  <c r="J62" i="32" s="1"/>
  <c r="J63" i="32" s="1"/>
  <c r="J64" i="32" s="1"/>
  <c r="J65" i="32" s="1"/>
  <c r="J66" i="32" s="1"/>
  <c r="J67" i="32" s="1"/>
  <c r="J68" i="32" s="1"/>
  <c r="J69" i="32" s="1"/>
  <c r="J70" i="32" s="1"/>
  <c r="J71" i="32" s="1"/>
  <c r="J72" i="32" s="1"/>
  <c r="J73" i="32" s="1"/>
  <c r="J74" i="32" s="1"/>
  <c r="J75" i="32" s="1"/>
  <c r="J76" i="32" s="1"/>
  <c r="J77" i="32" s="1"/>
  <c r="J78" i="32" s="1"/>
  <c r="J79" i="32" s="1"/>
  <c r="J80" i="32" s="1"/>
  <c r="J81" i="32" s="1"/>
  <c r="J82" i="32" s="1"/>
  <c r="J83" i="32" s="1"/>
  <c r="J84" i="32" s="1"/>
  <c r="J85" i="32" s="1"/>
  <c r="J86" i="32" s="1"/>
  <c r="J87" i="32" s="1"/>
  <c r="J88" i="32" s="1"/>
  <c r="J89" i="32" s="1"/>
  <c r="J90" i="32" s="1"/>
  <c r="J91" i="32" s="1"/>
  <c r="J92" i="32" s="1"/>
  <c r="J93" i="32" s="1"/>
  <c r="J94" i="32" s="1"/>
  <c r="J95" i="32" s="1"/>
  <c r="J96" i="32" s="1"/>
  <c r="J97" i="32" s="1"/>
  <c r="J98" i="32" s="1"/>
  <c r="J99" i="32" s="1"/>
  <c r="J100" i="32" s="1"/>
  <c r="J101" i="32" s="1"/>
  <c r="J102" i="32" s="1"/>
  <c r="J103" i="32" s="1"/>
  <c r="J104" i="32" s="1"/>
  <c r="J105" i="32" s="1"/>
  <c r="J106" i="32" s="1"/>
  <c r="J107" i="32" s="1"/>
  <c r="J108" i="32" s="1"/>
  <c r="J109" i="32" s="1"/>
  <c r="J110" i="32" s="1"/>
  <c r="J111" i="32" s="1"/>
  <c r="J112" i="32" s="1"/>
  <c r="J113" i="32" s="1"/>
  <c r="J114" i="32" s="1"/>
  <c r="J115" i="32" s="1"/>
  <c r="J116" i="32" s="1"/>
  <c r="J117" i="32" s="1"/>
  <c r="J118" i="32" s="1"/>
  <c r="J119" i="32" s="1"/>
  <c r="J120" i="32" s="1"/>
  <c r="J121" i="32" s="1"/>
  <c r="J122" i="32" s="1"/>
  <c r="J123" i="32" s="1"/>
  <c r="J124" i="32" s="1"/>
  <c r="J125" i="32" s="1"/>
  <c r="J126" i="32" s="1"/>
  <c r="J127" i="32" s="1"/>
  <c r="J128" i="32" s="1"/>
  <c r="J129" i="32" s="1"/>
  <c r="J130" i="32" s="1"/>
  <c r="J131" i="32" s="1"/>
  <c r="J132" i="32" s="1"/>
  <c r="J133" i="32" s="1"/>
  <c r="K27" i="32"/>
  <c r="M27" i="32" s="1"/>
  <c r="K28" i="32" l="1"/>
  <c r="M28" i="32" s="1"/>
  <c r="K29" i="32" l="1"/>
  <c r="M29" i="32" s="1"/>
  <c r="K30" i="32" l="1"/>
  <c r="M30" i="32" s="1"/>
  <c r="K31" i="32" l="1"/>
  <c r="M31" i="32" s="1"/>
  <c r="K32" i="32" l="1"/>
  <c r="M32" i="32" s="1"/>
  <c r="K33" i="32" l="1"/>
  <c r="M33" i="32" s="1"/>
  <c r="K34" i="32" l="1"/>
  <c r="M34" i="32" s="1"/>
  <c r="K35" i="32" l="1"/>
  <c r="M35" i="32" s="1"/>
  <c r="K36" i="32" l="1"/>
  <c r="M36" i="32" s="1"/>
  <c r="K37" i="32" l="1"/>
  <c r="M37" i="32" s="1"/>
  <c r="K38" i="32" l="1"/>
  <c r="M38" i="32" s="1"/>
  <c r="K39" i="32" l="1"/>
  <c r="M39" i="32" s="1"/>
  <c r="K40" i="32" l="1"/>
  <c r="M40" i="32" s="1"/>
  <c r="K41" i="32" l="1"/>
  <c r="M41" i="32" s="1"/>
  <c r="K42" i="32" l="1"/>
  <c r="M42" i="32" s="1"/>
  <c r="K43" i="32" l="1"/>
  <c r="M43" i="32" s="1"/>
  <c r="K44" i="32" l="1"/>
  <c r="M44" i="32" s="1"/>
  <c r="K45" i="32" l="1"/>
  <c r="M45" i="32" s="1"/>
  <c r="K46" i="32" l="1"/>
  <c r="M46" i="32" s="1"/>
  <c r="K47" i="32" l="1"/>
  <c r="M47" i="32" s="1"/>
  <c r="K48" i="32" l="1"/>
  <c r="M48" i="32" s="1"/>
  <c r="K49" i="32" l="1"/>
  <c r="M49" i="32" s="1"/>
  <c r="K50" i="32" l="1"/>
  <c r="M50" i="32" s="1"/>
  <c r="K51" i="32" l="1"/>
  <c r="M51" i="32" s="1"/>
  <c r="K52" i="32" l="1"/>
  <c r="M52" i="32" s="1"/>
  <c r="K53" i="32" l="1"/>
  <c r="M53" i="32" s="1"/>
  <c r="K54" i="32" l="1"/>
  <c r="M54" i="32" s="1"/>
  <c r="K55" i="32" l="1"/>
  <c r="M55" i="32" s="1"/>
  <c r="K56" i="32" l="1"/>
  <c r="M56" i="32" s="1"/>
  <c r="K57" i="32" l="1"/>
  <c r="M57" i="32" s="1"/>
  <c r="K288" i="32" l="1"/>
  <c r="M288" i="32" s="1"/>
  <c r="K58" i="32" l="1"/>
  <c r="M58" i="32" s="1"/>
  <c r="J289" i="32"/>
  <c r="K289" i="32" l="1"/>
  <c r="M289" i="32" s="1"/>
  <c r="K59" i="32" l="1"/>
  <c r="M59" i="32" s="1"/>
  <c r="K60" i="32" l="1"/>
  <c r="M60" i="32" s="1"/>
  <c r="K61" i="32" l="1"/>
  <c r="M61" i="32" s="1"/>
  <c r="K62" i="32" l="1"/>
  <c r="M62" i="32" s="1"/>
  <c r="K63" i="32" l="1"/>
  <c r="M63" i="32" s="1"/>
  <c r="K64" i="32" l="1"/>
  <c r="M64" i="32" s="1"/>
  <c r="K65" i="32" l="1"/>
  <c r="M65" i="32" s="1"/>
  <c r="K66" i="32" l="1"/>
  <c r="M66" i="32" s="1"/>
  <c r="K67" i="32" l="1"/>
  <c r="M67" i="32" s="1"/>
  <c r="K68" i="32" l="1"/>
  <c r="M68" i="32" s="1"/>
  <c r="K69" i="32" l="1"/>
  <c r="M69" i="32" s="1"/>
  <c r="K70" i="32" l="1"/>
  <c r="M70" i="32" s="1"/>
  <c r="K71" i="32" l="1"/>
  <c r="M71" i="32" s="1"/>
  <c r="K72" i="32" l="1"/>
  <c r="M72" i="32" s="1"/>
  <c r="K73" i="32" l="1"/>
  <c r="M73" i="32" s="1"/>
  <c r="K74" i="32" l="1"/>
  <c r="M74" i="32" s="1"/>
  <c r="K75" i="32" l="1"/>
  <c r="M75" i="32" s="1"/>
  <c r="K76" i="32" l="1"/>
  <c r="M76" i="32" s="1"/>
  <c r="K77" i="32" l="1"/>
  <c r="M77" i="32" s="1"/>
  <c r="K78" i="32" l="1"/>
  <c r="M78" i="32" s="1"/>
  <c r="K79" i="32" l="1"/>
  <c r="M79" i="32" s="1"/>
  <c r="K80" i="32" l="1"/>
  <c r="M80" i="32" s="1"/>
  <c r="K81" i="32" l="1"/>
  <c r="M81" i="32" s="1"/>
  <c r="K82" i="32" l="1"/>
  <c r="M82" i="32" s="1"/>
  <c r="K83" i="32" l="1"/>
  <c r="M83" i="32" s="1"/>
  <c r="K84" i="32" l="1"/>
  <c r="M84" i="32" s="1"/>
  <c r="K85" i="32" l="1"/>
  <c r="M85" i="32" s="1"/>
  <c r="K86" i="32" l="1"/>
  <c r="M86" i="32" s="1"/>
  <c r="K87" i="32" l="1"/>
  <c r="M87" i="32" s="1"/>
  <c r="K88" i="32" l="1"/>
  <c r="M88" i="32" s="1"/>
  <c r="K89" i="32" l="1"/>
  <c r="M89" i="32" s="1"/>
  <c r="K90" i="32" l="1"/>
  <c r="M90" i="32" s="1"/>
  <c r="K91" i="32" l="1"/>
  <c r="M91" i="32" s="1"/>
  <c r="K92" i="32" l="1"/>
  <c r="M92" i="32" s="1"/>
  <c r="K93" i="32" l="1"/>
  <c r="M93" i="32" s="1"/>
  <c r="K94" i="32" l="1"/>
  <c r="M94" i="32" s="1"/>
  <c r="K95" i="32" l="1"/>
  <c r="M95" i="32" s="1"/>
  <c r="K96" i="32" l="1"/>
  <c r="M96" i="32" s="1"/>
  <c r="K97" i="32" l="1"/>
  <c r="M97" i="32" s="1"/>
  <c r="K98" i="32" l="1"/>
  <c r="M98" i="32" s="1"/>
  <c r="K99" i="32" l="1"/>
  <c r="M99" i="32" s="1"/>
  <c r="K100" i="32" l="1"/>
  <c r="M100" i="32" s="1"/>
  <c r="K101" i="32" l="1"/>
  <c r="M101" i="32" s="1"/>
  <c r="K102" i="32" l="1"/>
  <c r="M102" i="32" s="1"/>
  <c r="K103" i="32" l="1"/>
  <c r="M103" i="32" s="1"/>
  <c r="K104" i="32" l="1"/>
  <c r="M104" i="32" s="1"/>
  <c r="K105" i="32" l="1"/>
  <c r="M105" i="32" s="1"/>
  <c r="K106" i="32" l="1"/>
  <c r="M106" i="32" s="1"/>
  <c r="K107" i="32" l="1"/>
  <c r="M107" i="32" s="1"/>
  <c r="K108" i="32" l="1"/>
  <c r="M108" i="32" s="1"/>
  <c r="K109" i="32" l="1"/>
  <c r="M109" i="32" s="1"/>
  <c r="K110" i="32" l="1"/>
  <c r="M110" i="32" s="1"/>
  <c r="K111" i="32" l="1"/>
  <c r="M111" i="32" s="1"/>
  <c r="K112" i="32" l="1"/>
  <c r="M112" i="32" s="1"/>
  <c r="K113" i="32" l="1"/>
  <c r="M113" i="32" s="1"/>
  <c r="K114" i="32" l="1"/>
  <c r="M114" i="32" s="1"/>
  <c r="K115" i="32" l="1"/>
  <c r="M115" i="32" s="1"/>
  <c r="K116" i="32" l="1"/>
  <c r="M116" i="32" s="1"/>
  <c r="K117" i="32" l="1"/>
  <c r="M117" i="32" s="1"/>
  <c r="K118" i="32" l="1"/>
  <c r="M118" i="32" s="1"/>
  <c r="K119" i="32" l="1"/>
  <c r="M119" i="32" s="1"/>
  <c r="K120" i="32" l="1"/>
  <c r="M120" i="32" s="1"/>
  <c r="K121" i="32" l="1"/>
  <c r="M121" i="32" s="1"/>
  <c r="K122" i="32" l="1"/>
  <c r="M122" i="32" s="1"/>
  <c r="K123" i="32" l="1"/>
  <c r="M123" i="32" s="1"/>
  <c r="K124" i="32" l="1"/>
  <c r="M124" i="32" s="1"/>
  <c r="K125" i="32" l="1"/>
  <c r="M125" i="32" s="1"/>
  <c r="K126" i="32" l="1"/>
  <c r="M126" i="32" s="1"/>
  <c r="K127" i="32" l="1"/>
  <c r="M127" i="32" s="1"/>
  <c r="K128" i="32" l="1"/>
  <c r="M128" i="32" s="1"/>
  <c r="K129" i="32" l="1"/>
  <c r="M129" i="32" s="1"/>
  <c r="K130" i="32" l="1"/>
  <c r="M130" i="32" s="1"/>
  <c r="K131" i="32" l="1"/>
  <c r="M131" i="32" s="1"/>
  <c r="K132" i="32" l="1"/>
  <c r="M132" i="32" s="1"/>
  <c r="K133" i="32" l="1"/>
  <c r="M133" i="32" s="1"/>
  <c r="K134" i="32" l="1"/>
  <c r="M134" i="32" s="1"/>
  <c r="J135" i="32"/>
  <c r="K135" i="32" l="1"/>
  <c r="M135" i="32" s="1"/>
  <c r="J136" i="32"/>
  <c r="K136" i="32" l="1"/>
  <c r="M136" i="32" s="1"/>
  <c r="J137" i="32"/>
  <c r="K137" i="32" l="1"/>
  <c r="M137" i="32" s="1"/>
  <c r="J138" i="32"/>
  <c r="K138" i="32" l="1"/>
  <c r="M138" i="32" s="1"/>
  <c r="J139" i="32"/>
  <c r="J140" i="32" l="1"/>
  <c r="K139" i="32"/>
  <c r="M139" i="32" s="1"/>
  <c r="K140" i="32" l="1"/>
  <c r="M140" i="32" s="1"/>
  <c r="J141" i="32"/>
  <c r="K141" i="32" l="1"/>
  <c r="M141" i="32" s="1"/>
  <c r="J142" i="32"/>
  <c r="K142" i="32" l="1"/>
  <c r="M142" i="32" s="1"/>
  <c r="J143" i="32"/>
  <c r="K143" i="32" l="1"/>
  <c r="M143" i="32" s="1"/>
  <c r="J144" i="32"/>
  <c r="K144" i="32" l="1"/>
  <c r="M144" i="32" s="1"/>
  <c r="J145" i="32"/>
  <c r="K145" i="32" l="1"/>
  <c r="M145" i="32" s="1"/>
  <c r="J146" i="32"/>
  <c r="K146" i="32" l="1"/>
  <c r="M146" i="32" s="1"/>
  <c r="J147" i="32"/>
  <c r="K147" i="32" l="1"/>
  <c r="M147" i="32" s="1"/>
  <c r="J148" i="32"/>
  <c r="K148" i="32" l="1"/>
  <c r="M148" i="32" s="1"/>
  <c r="J149" i="32"/>
  <c r="J150" i="32" s="1"/>
  <c r="J151" i="32" s="1"/>
  <c r="J152" i="32" s="1"/>
  <c r="J153" i="32" s="1"/>
  <c r="J154" i="32" s="1"/>
  <c r="J155" i="32" s="1"/>
  <c r="J156" i="32" s="1"/>
  <c r="J157" i="32" s="1"/>
  <c r="J158" i="32" s="1"/>
  <c r="J159" i="32" s="1"/>
  <c r="J160" i="32" s="1"/>
  <c r="J161" i="32" s="1"/>
  <c r="J162" i="32" s="1"/>
  <c r="J163" i="32" s="1"/>
  <c r="J164" i="32" s="1"/>
  <c r="J165" i="32" s="1"/>
  <c r="J166" i="32" s="1"/>
  <c r="J167" i="32" s="1"/>
  <c r="J168" i="32" s="1"/>
  <c r="J169" i="32" s="1"/>
  <c r="J170" i="32" s="1"/>
  <c r="J171" i="32" s="1"/>
  <c r="J172" i="32" s="1"/>
  <c r="J173" i="32" s="1"/>
  <c r="J174" i="32" s="1"/>
  <c r="J175" i="32" s="1"/>
  <c r="J176" i="32" s="1"/>
  <c r="J177" i="32" s="1"/>
  <c r="J178" i="32" s="1"/>
  <c r="J179" i="32" s="1"/>
  <c r="J180" i="32" s="1"/>
  <c r="J181" i="32" s="1"/>
  <c r="J182" i="32" s="1"/>
  <c r="J183" i="32" s="1"/>
  <c r="J184" i="32" s="1"/>
  <c r="J185" i="32" s="1"/>
  <c r="J186" i="32" s="1"/>
  <c r="J187" i="32" s="1"/>
  <c r="J188" i="32" s="1"/>
  <c r="J189" i="32" s="1"/>
  <c r="J190" i="32" s="1"/>
  <c r="J191" i="32" s="1"/>
  <c r="J192" i="32" s="1"/>
  <c r="J193" i="32" s="1"/>
  <c r="J194" i="32" s="1"/>
  <c r="J195" i="32" s="1"/>
  <c r="J196" i="32" s="1"/>
  <c r="J197" i="32" s="1"/>
  <c r="J198" i="32" s="1"/>
  <c r="J199" i="32" s="1"/>
  <c r="J200" i="32" s="1"/>
  <c r="J201" i="32" s="1"/>
  <c r="J202" i="32" s="1"/>
  <c r="J203" i="32" s="1"/>
  <c r="J204" i="32" s="1"/>
  <c r="J205" i="32" s="1"/>
  <c r="J206" i="32" s="1"/>
  <c r="J207" i="32" s="1"/>
  <c r="J208" i="32" s="1"/>
  <c r="J209" i="32" s="1"/>
  <c r="J210" i="32" s="1"/>
  <c r="J211" i="32" s="1"/>
  <c r="J212" i="32" s="1"/>
  <c r="J213" i="32" s="1"/>
  <c r="J214" i="32" s="1"/>
  <c r="J215" i="32" s="1"/>
  <c r="J216" i="32" s="1"/>
  <c r="J217" i="32" s="1"/>
  <c r="J218" i="32" s="1"/>
  <c r="J219" i="32" s="1"/>
  <c r="J220" i="32" s="1"/>
  <c r="J221" i="32" s="1"/>
  <c r="J222" i="32" s="1"/>
  <c r="J223" i="32" s="1"/>
  <c r="J224" i="32" s="1"/>
  <c r="J225" i="32" s="1"/>
  <c r="J226" i="32" s="1"/>
  <c r="J227" i="32" s="1"/>
  <c r="J228" i="32" s="1"/>
  <c r="J229" i="32" s="1"/>
  <c r="J230" i="32" s="1"/>
  <c r="J231" i="32" s="1"/>
  <c r="J232" i="32" s="1"/>
  <c r="J233" i="32" s="1"/>
  <c r="J234" i="32" s="1"/>
  <c r="J235" i="32" s="1"/>
  <c r="J236" i="32" s="1"/>
  <c r="J237" i="32" s="1"/>
  <c r="J238" i="32" s="1"/>
  <c r="J239" i="32" s="1"/>
  <c r="J240" i="32" s="1"/>
  <c r="J241" i="32" s="1"/>
  <c r="J242" i="32" s="1"/>
  <c r="J243" i="32" s="1"/>
  <c r="J244" i="32" s="1"/>
  <c r="J245" i="32" s="1"/>
  <c r="J246" i="32" s="1"/>
  <c r="J247" i="32" s="1"/>
  <c r="J248" i="32" s="1"/>
  <c r="J249" i="32" s="1"/>
  <c r="J250" i="32" s="1"/>
  <c r="J251" i="32" s="1"/>
  <c r="J252" i="32" s="1"/>
  <c r="J253" i="32" s="1"/>
  <c r="J254" i="32" s="1"/>
  <c r="J255" i="32" s="1"/>
  <c r="J256" i="32" s="1"/>
  <c r="J257" i="32" s="1"/>
  <c r="J258" i="32" s="1"/>
  <c r="J259" i="32" s="1"/>
  <c r="J260" i="32" s="1"/>
  <c r="J261" i="32" s="1"/>
  <c r="J262" i="32" s="1"/>
  <c r="J263" i="32" s="1"/>
  <c r="J264" i="32" s="1"/>
  <c r="J265" i="32" s="1"/>
  <c r="J266" i="32" s="1"/>
  <c r="J267" i="32" s="1"/>
  <c r="J268" i="32" s="1"/>
  <c r="J269" i="32" s="1"/>
  <c r="J270" i="32" s="1"/>
  <c r="J271" i="32" s="1"/>
  <c r="J272" i="32" s="1"/>
  <c r="J273" i="32" s="1"/>
  <c r="J274" i="32" s="1"/>
  <c r="J275" i="32" s="1"/>
  <c r="J276" i="32" s="1"/>
  <c r="J277" i="32" s="1"/>
  <c r="J278" i="32" s="1"/>
  <c r="J279" i="32" s="1"/>
  <c r="J280" i="32" s="1"/>
  <c r="J281" i="32" s="1"/>
  <c r="J282" i="32" s="1"/>
  <c r="J283" i="32" s="1"/>
  <c r="J284" i="32" s="1"/>
  <c r="J285" i="32" s="1"/>
  <c r="J286" i="32" s="1"/>
  <c r="J287" i="32" s="1"/>
  <c r="K149" i="32" l="1"/>
  <c r="M149" i="32" s="1"/>
  <c r="K150" i="32" l="1"/>
  <c r="M150" i="32" s="1"/>
  <c r="K151" i="32" l="1"/>
  <c r="M151" i="32" s="1"/>
  <c r="K152" i="32" l="1"/>
  <c r="M152" i="32" s="1"/>
  <c r="K153" i="32" l="1"/>
  <c r="M153" i="32" s="1"/>
  <c r="K154" i="32" l="1"/>
  <c r="M154" i="32" s="1"/>
  <c r="K155" i="32" l="1"/>
  <c r="M155" i="32" s="1"/>
  <c r="K156" i="32" l="1"/>
  <c r="M156" i="32" s="1"/>
  <c r="K157" i="32" l="1"/>
  <c r="M157" i="32" s="1"/>
  <c r="K158" i="32" l="1"/>
  <c r="M158" i="32" s="1"/>
  <c r="K159" i="32" l="1"/>
  <c r="M159" i="32" s="1"/>
  <c r="K160" i="32" l="1"/>
  <c r="M160" i="32" s="1"/>
  <c r="K161" i="32" l="1"/>
  <c r="M161" i="32" s="1"/>
  <c r="K162" i="32" l="1"/>
  <c r="M162" i="32" s="1"/>
  <c r="K163" i="32" l="1"/>
  <c r="M163" i="32" s="1"/>
  <c r="K164" i="32" l="1"/>
  <c r="M164" i="32" s="1"/>
  <c r="K165" i="32" l="1"/>
  <c r="M165" i="32" s="1"/>
  <c r="K166" i="32" l="1"/>
  <c r="M166" i="32" s="1"/>
  <c r="K167" i="32" l="1"/>
  <c r="M167" i="32" s="1"/>
  <c r="K168" i="32" l="1"/>
  <c r="M168" i="32" s="1"/>
  <c r="K169" i="32" l="1"/>
  <c r="M169" i="32" s="1"/>
  <c r="K170" i="32" l="1"/>
  <c r="M170" i="32" s="1"/>
  <c r="K171" i="32" l="1"/>
  <c r="M171" i="32" s="1"/>
  <c r="K172" i="32" l="1"/>
  <c r="M172" i="32" s="1"/>
  <c r="K173" i="32" l="1"/>
  <c r="M173" i="32" s="1"/>
  <c r="K174" i="32" l="1"/>
  <c r="M174" i="32" s="1"/>
  <c r="K175" i="32" l="1"/>
  <c r="M175" i="32" s="1"/>
  <c r="K176" i="32" l="1"/>
  <c r="M176" i="32" s="1"/>
  <c r="K177" i="32" l="1"/>
  <c r="M177" i="32" s="1"/>
  <c r="K178" i="32" l="1"/>
  <c r="M178" i="32" s="1"/>
  <c r="K179" i="32" l="1"/>
  <c r="M179" i="32" s="1"/>
  <c r="K180" i="32" l="1"/>
  <c r="M180" i="32" s="1"/>
  <c r="K181" i="32" l="1"/>
  <c r="M181" i="32" s="1"/>
  <c r="K182" i="32" l="1"/>
  <c r="M182" i="32" s="1"/>
  <c r="K183" i="32" l="1"/>
  <c r="M183" i="32" s="1"/>
  <c r="K184" i="32" l="1"/>
  <c r="M184" i="32" s="1"/>
  <c r="K185" i="32" l="1"/>
  <c r="M185" i="32" s="1"/>
  <c r="K186" i="32" l="1"/>
  <c r="M186" i="32" s="1"/>
  <c r="K187" i="32" l="1"/>
  <c r="M187" i="32" s="1"/>
  <c r="K188" i="32" l="1"/>
  <c r="M188" i="32" s="1"/>
  <c r="K189" i="32" l="1"/>
  <c r="M189" i="32" s="1"/>
  <c r="K190" i="32" l="1"/>
  <c r="M190" i="32" s="1"/>
  <c r="K191" i="32" l="1"/>
  <c r="M191" i="32" s="1"/>
  <c r="K192" i="32" l="1"/>
  <c r="M192" i="32" s="1"/>
  <c r="K193" i="32" l="1"/>
  <c r="M193" i="32" s="1"/>
  <c r="K194" i="32" l="1"/>
  <c r="M194" i="32" s="1"/>
  <c r="K195" i="32" l="1"/>
  <c r="M195" i="32" s="1"/>
  <c r="K196" i="32" l="1"/>
  <c r="M196" i="32" s="1"/>
  <c r="K197" i="32" l="1"/>
  <c r="M197" i="32" s="1"/>
  <c r="K198" i="32" l="1"/>
  <c r="M198" i="32" s="1"/>
  <c r="K199" i="32" l="1"/>
  <c r="M199" i="32" s="1"/>
  <c r="K200" i="32" l="1"/>
  <c r="M200" i="32" s="1"/>
  <c r="K201" i="32" l="1"/>
  <c r="M201" i="32" s="1"/>
  <c r="K202" i="32" l="1"/>
  <c r="M202" i="32" s="1"/>
  <c r="K203" i="32" l="1"/>
  <c r="M203" i="32" s="1"/>
  <c r="K204" i="32" l="1"/>
  <c r="M204" i="32" s="1"/>
  <c r="K205" i="32" l="1"/>
  <c r="M205" i="32" s="1"/>
  <c r="K206" i="32" l="1"/>
  <c r="M206" i="32" s="1"/>
  <c r="K207" i="32" l="1"/>
  <c r="M207" i="32" s="1"/>
  <c r="K208" i="32" l="1"/>
  <c r="M208" i="32" s="1"/>
  <c r="K209" i="32" l="1"/>
  <c r="M209" i="32" s="1"/>
  <c r="K210" i="32" l="1"/>
  <c r="M210" i="32" s="1"/>
  <c r="K211" i="32" l="1"/>
  <c r="M211" i="32" s="1"/>
  <c r="K212" i="32" l="1"/>
  <c r="M212" i="32" s="1"/>
  <c r="K213" i="32" l="1"/>
  <c r="M213" i="32" s="1"/>
  <c r="K214" i="32" l="1"/>
  <c r="M214" i="32" s="1"/>
  <c r="K215" i="32" l="1"/>
  <c r="M215" i="32" s="1"/>
  <c r="K216" i="32" l="1"/>
  <c r="M216" i="32" s="1"/>
  <c r="K217" i="32" l="1"/>
  <c r="M217" i="32" s="1"/>
  <c r="K218" i="32" l="1"/>
  <c r="M218" i="32" s="1"/>
  <c r="K219" i="32" l="1"/>
  <c r="M219" i="32" s="1"/>
  <c r="K220" i="32" l="1"/>
  <c r="M220" i="32" s="1"/>
  <c r="K221" i="32" l="1"/>
  <c r="M221" i="32" s="1"/>
  <c r="K222" i="32" l="1"/>
  <c r="M222" i="32" s="1"/>
  <c r="K223" i="32" l="1"/>
  <c r="M223" i="32" s="1"/>
  <c r="K224" i="32" l="1"/>
  <c r="M224" i="32" s="1"/>
  <c r="K225" i="32" l="1"/>
  <c r="M225" i="32" s="1"/>
  <c r="K226" i="32" l="1"/>
  <c r="M226" i="32" s="1"/>
  <c r="K227" i="32" l="1"/>
  <c r="M227" i="32" s="1"/>
  <c r="K228" i="32" l="1"/>
  <c r="M228" i="32" s="1"/>
  <c r="K229" i="32" l="1"/>
  <c r="M229" i="32" s="1"/>
  <c r="K230" i="32" l="1"/>
  <c r="M230" i="32" s="1"/>
  <c r="K231" i="32" l="1"/>
  <c r="M231" i="32" s="1"/>
  <c r="K232" i="32" l="1"/>
  <c r="M232" i="32" s="1"/>
  <c r="K233" i="32" l="1"/>
  <c r="M233" i="32" s="1"/>
  <c r="K234" i="32" l="1"/>
  <c r="M234" i="32" s="1"/>
  <c r="K235" i="32" l="1"/>
  <c r="M235" i="32" s="1"/>
  <c r="K236" i="32" l="1"/>
  <c r="M236" i="32" s="1"/>
  <c r="K237" i="32" l="1"/>
  <c r="M237" i="32" s="1"/>
  <c r="K238" i="32" l="1"/>
  <c r="M238" i="32" s="1"/>
  <c r="K239" i="32" l="1"/>
  <c r="M239" i="32" s="1"/>
  <c r="K240" i="32" l="1"/>
  <c r="M240" i="32" s="1"/>
  <c r="K241" i="32" l="1"/>
  <c r="M241" i="32" s="1"/>
  <c r="K242" i="32" l="1"/>
  <c r="M242" i="32" s="1"/>
  <c r="K243" i="32" l="1"/>
  <c r="M243" i="32" s="1"/>
  <c r="K244" i="32" l="1"/>
  <c r="M244" i="32" s="1"/>
  <c r="K245" i="32" l="1"/>
  <c r="M245" i="32" s="1"/>
  <c r="K246" i="32" l="1"/>
  <c r="M246" i="32" s="1"/>
  <c r="K247" i="32" l="1"/>
  <c r="M247" i="32" s="1"/>
  <c r="K248" i="32" l="1"/>
  <c r="M248" i="32" s="1"/>
  <c r="K249" i="32" l="1"/>
  <c r="M249" i="32" s="1"/>
  <c r="K250" i="32" l="1"/>
  <c r="M250" i="32" s="1"/>
  <c r="K251" i="32" l="1"/>
  <c r="M251" i="32" s="1"/>
  <c r="K252" i="32" l="1"/>
  <c r="M252" i="32" s="1"/>
  <c r="K253" i="32" l="1"/>
  <c r="M253" i="32" s="1"/>
  <c r="K254" i="32" l="1"/>
  <c r="M254" i="32" s="1"/>
  <c r="K255" i="32" l="1"/>
  <c r="M255" i="32" s="1"/>
  <c r="K256" i="32" l="1"/>
  <c r="M256" i="32" s="1"/>
  <c r="K257" i="32" l="1"/>
  <c r="M257" i="32" s="1"/>
  <c r="K258" i="32" l="1"/>
  <c r="M258" i="32" s="1"/>
  <c r="K259" i="32" l="1"/>
  <c r="M259" i="32" s="1"/>
  <c r="K260" i="32" l="1"/>
  <c r="M260" i="32" s="1"/>
  <c r="K261" i="32" l="1"/>
  <c r="M261" i="32" s="1"/>
  <c r="K262" i="32" l="1"/>
  <c r="M262" i="32" s="1"/>
  <c r="K263" i="32" l="1"/>
  <c r="M263" i="32" s="1"/>
  <c r="K264" i="32" l="1"/>
  <c r="M264" i="32" s="1"/>
  <c r="K265" i="32" l="1"/>
  <c r="M265" i="32" s="1"/>
  <c r="K266" i="32" l="1"/>
  <c r="M266" i="32" s="1"/>
  <c r="K267" i="32" l="1"/>
  <c r="M267" i="32" s="1"/>
  <c r="K268" i="32" l="1"/>
  <c r="M268" i="32" s="1"/>
  <c r="K269" i="32" l="1"/>
  <c r="M269" i="32" s="1"/>
  <c r="K270" i="32" l="1"/>
  <c r="M270" i="32" s="1"/>
  <c r="K271" i="32" l="1"/>
  <c r="M271" i="32" s="1"/>
  <c r="K272" i="32" l="1"/>
  <c r="M272" i="32" s="1"/>
  <c r="K273" i="32" l="1"/>
  <c r="M273" i="32" s="1"/>
  <c r="K274" i="32" l="1"/>
  <c r="M274" i="32" s="1"/>
  <c r="K275" i="32" l="1"/>
  <c r="M275" i="32" s="1"/>
  <c r="K276" i="32" l="1"/>
  <c r="M276" i="32" s="1"/>
  <c r="K277" i="32" l="1"/>
  <c r="M277" i="32" s="1"/>
  <c r="K278" i="32" l="1"/>
  <c r="M278" i="32" s="1"/>
  <c r="K279" i="32" l="1"/>
  <c r="M279" i="32" s="1"/>
  <c r="K280" i="32" l="1"/>
  <c r="M280" i="32" s="1"/>
  <c r="K281" i="32" l="1"/>
  <c r="M281" i="32" s="1"/>
  <c r="K282" i="32" l="1"/>
  <c r="M282" i="32" s="1"/>
  <c r="K283" i="32" l="1"/>
  <c r="M283" i="32" s="1"/>
  <c r="K284" i="32" l="1"/>
  <c r="M284" i="32" s="1"/>
  <c r="K285" i="32" l="1"/>
  <c r="M285" i="32" s="1"/>
  <c r="K287" i="32" l="1"/>
  <c r="M287" i="32" s="1"/>
  <c r="M291" i="32" s="1"/>
  <c r="K286" i="32"/>
  <c r="M286" i="32" s="1"/>
  <c r="M472" i="32" l="1"/>
  <c r="C12" i="9" s="1"/>
  <c r="E13" i="12" s="1"/>
  <c r="G287" i="29"/>
  <c r="F287" i="29"/>
  <c r="E287" i="29"/>
  <c r="C287" i="29"/>
  <c r="B287" i="29"/>
  <c r="A287" i="29"/>
  <c r="G286" i="29"/>
  <c r="F286" i="29"/>
  <c r="E286" i="29"/>
  <c r="C286" i="29"/>
  <c r="B286" i="29"/>
  <c r="A286" i="29"/>
  <c r="G285" i="29"/>
  <c r="F285" i="29"/>
  <c r="E285" i="29"/>
  <c r="C285" i="29"/>
  <c r="B285" i="29"/>
  <c r="A285" i="29"/>
  <c r="G284" i="29"/>
  <c r="F284" i="29"/>
  <c r="E284" i="29"/>
  <c r="C284" i="29"/>
  <c r="B284" i="29"/>
  <c r="A284" i="29"/>
  <c r="G283" i="29"/>
  <c r="F283" i="29"/>
  <c r="E283" i="29"/>
  <c r="C283" i="29"/>
  <c r="B283" i="29"/>
  <c r="A283" i="29"/>
  <c r="G282" i="29"/>
  <c r="F282" i="29"/>
  <c r="E282" i="29"/>
  <c r="C282" i="29"/>
  <c r="B282" i="29"/>
  <c r="A282" i="29"/>
  <c r="G281" i="29"/>
  <c r="F281" i="29"/>
  <c r="E281" i="29"/>
  <c r="C281" i="29"/>
  <c r="B281" i="29"/>
  <c r="A281" i="29"/>
  <c r="G280" i="29"/>
  <c r="F280" i="29"/>
  <c r="E280" i="29"/>
  <c r="C280" i="29"/>
  <c r="B280" i="29"/>
  <c r="A280" i="29"/>
  <c r="G279" i="29"/>
  <c r="F279" i="29"/>
  <c r="E279" i="29"/>
  <c r="C279" i="29"/>
  <c r="B279" i="29"/>
  <c r="A279" i="29"/>
  <c r="G278" i="29"/>
  <c r="F278" i="29"/>
  <c r="E278" i="29"/>
  <c r="C278" i="29"/>
  <c r="B278" i="29"/>
  <c r="A278" i="29"/>
  <c r="G277" i="29"/>
  <c r="F277" i="29"/>
  <c r="E277" i="29"/>
  <c r="C277" i="29"/>
  <c r="B277" i="29"/>
  <c r="A277" i="29"/>
  <c r="G276" i="29"/>
  <c r="F276" i="29"/>
  <c r="E276" i="29"/>
  <c r="C276" i="29"/>
  <c r="B276" i="29"/>
  <c r="A276" i="29"/>
  <c r="G275" i="29"/>
  <c r="F275" i="29"/>
  <c r="E275" i="29"/>
  <c r="C275" i="29"/>
  <c r="B275" i="29"/>
  <c r="A275" i="29"/>
  <c r="G274" i="29"/>
  <c r="F274" i="29"/>
  <c r="E274" i="29"/>
  <c r="C274" i="29"/>
  <c r="B274" i="29"/>
  <c r="A274" i="29"/>
  <c r="G273" i="29"/>
  <c r="F273" i="29"/>
  <c r="E273" i="29"/>
  <c r="C273" i="29"/>
  <c r="B273" i="29"/>
  <c r="A273" i="29"/>
  <c r="G272" i="29"/>
  <c r="F272" i="29"/>
  <c r="E272" i="29"/>
  <c r="C272" i="29"/>
  <c r="B272" i="29"/>
  <c r="A272" i="29"/>
  <c r="G271" i="29"/>
  <c r="F271" i="29"/>
  <c r="E271" i="29"/>
  <c r="C271" i="29"/>
  <c r="B271" i="29"/>
  <c r="A271" i="29"/>
  <c r="G270" i="29"/>
  <c r="F270" i="29"/>
  <c r="E270" i="29"/>
  <c r="C270" i="29"/>
  <c r="B270" i="29"/>
  <c r="A270" i="29"/>
  <c r="G269" i="29"/>
  <c r="F269" i="29"/>
  <c r="E269" i="29"/>
  <c r="C269" i="29"/>
  <c r="B269" i="29"/>
  <c r="A269" i="29"/>
  <c r="G268" i="29"/>
  <c r="F268" i="29"/>
  <c r="E268" i="29"/>
  <c r="C268" i="29"/>
  <c r="B268" i="29"/>
  <c r="A268" i="29"/>
  <c r="G267" i="29"/>
  <c r="F267" i="29"/>
  <c r="E267" i="29"/>
  <c r="C267" i="29"/>
  <c r="B267" i="29"/>
  <c r="A267" i="29"/>
  <c r="G266" i="29"/>
  <c r="F266" i="29"/>
  <c r="E266" i="29"/>
  <c r="C266" i="29"/>
  <c r="B266" i="29"/>
  <c r="A266" i="29"/>
  <c r="G265" i="29"/>
  <c r="F265" i="29"/>
  <c r="E265" i="29"/>
  <c r="C265" i="29"/>
  <c r="B265" i="29"/>
  <c r="A265" i="29"/>
  <c r="G264" i="29"/>
  <c r="F264" i="29"/>
  <c r="E264" i="29"/>
  <c r="C264" i="29"/>
  <c r="B264" i="29"/>
  <c r="A264" i="29"/>
  <c r="G263" i="29"/>
  <c r="F263" i="29"/>
  <c r="E263" i="29"/>
  <c r="C263" i="29"/>
  <c r="B263" i="29"/>
  <c r="A263" i="29"/>
  <c r="G262" i="29"/>
  <c r="F262" i="29"/>
  <c r="E262" i="29"/>
  <c r="C262" i="29"/>
  <c r="B262" i="29"/>
  <c r="A262" i="29"/>
  <c r="G261" i="29"/>
  <c r="F261" i="29"/>
  <c r="E261" i="29"/>
  <c r="C261" i="29"/>
  <c r="B261" i="29"/>
  <c r="A261" i="29"/>
  <c r="G260" i="29"/>
  <c r="F260" i="29"/>
  <c r="E260" i="29"/>
  <c r="C260" i="29"/>
  <c r="B260" i="29"/>
  <c r="A260" i="29"/>
  <c r="G259" i="29"/>
  <c r="F259" i="29"/>
  <c r="E259" i="29"/>
  <c r="C259" i="29"/>
  <c r="B259" i="29"/>
  <c r="A259" i="29"/>
  <c r="G258" i="29"/>
  <c r="F258" i="29"/>
  <c r="E258" i="29"/>
  <c r="C258" i="29"/>
  <c r="B258" i="29"/>
  <c r="A258" i="29"/>
  <c r="G257" i="29"/>
  <c r="F257" i="29"/>
  <c r="E257" i="29"/>
  <c r="C257" i="29"/>
  <c r="B257" i="29"/>
  <c r="A257" i="29"/>
  <c r="G256" i="29"/>
  <c r="F256" i="29"/>
  <c r="E256" i="29"/>
  <c r="C256" i="29"/>
  <c r="B256" i="29"/>
  <c r="A256" i="29"/>
  <c r="G255" i="29"/>
  <c r="F255" i="29"/>
  <c r="E255" i="29"/>
  <c r="C255" i="29"/>
  <c r="B255" i="29"/>
  <c r="A255" i="29"/>
  <c r="G254" i="29"/>
  <c r="F254" i="29"/>
  <c r="E254" i="29"/>
  <c r="C254" i="29"/>
  <c r="B254" i="29"/>
  <c r="A254" i="29"/>
  <c r="G253" i="29"/>
  <c r="F253" i="29"/>
  <c r="E253" i="29"/>
  <c r="C253" i="29"/>
  <c r="B253" i="29"/>
  <c r="A253" i="29"/>
  <c r="G252" i="29"/>
  <c r="F252" i="29"/>
  <c r="E252" i="29"/>
  <c r="C252" i="29"/>
  <c r="B252" i="29"/>
  <c r="A252" i="29"/>
  <c r="G251" i="29"/>
  <c r="F251" i="29"/>
  <c r="E251" i="29"/>
  <c r="C251" i="29"/>
  <c r="B251" i="29"/>
  <c r="A251" i="29"/>
  <c r="G250" i="29"/>
  <c r="F250" i="29"/>
  <c r="E250" i="29"/>
  <c r="C250" i="29"/>
  <c r="B250" i="29"/>
  <c r="A250" i="29"/>
  <c r="G249" i="29"/>
  <c r="F249" i="29"/>
  <c r="E249" i="29"/>
  <c r="C249" i="29"/>
  <c r="B249" i="29"/>
  <c r="A249" i="29"/>
  <c r="G248" i="29"/>
  <c r="F248" i="29"/>
  <c r="E248" i="29"/>
  <c r="C248" i="29"/>
  <c r="B248" i="29"/>
  <c r="A248" i="29"/>
  <c r="G247" i="29"/>
  <c r="F247" i="29"/>
  <c r="E247" i="29"/>
  <c r="C247" i="29"/>
  <c r="B247" i="29"/>
  <c r="A247" i="29"/>
  <c r="G246" i="29"/>
  <c r="F246" i="29"/>
  <c r="E246" i="29"/>
  <c r="C246" i="29"/>
  <c r="B246" i="29"/>
  <c r="A246" i="29"/>
  <c r="G245" i="29"/>
  <c r="F245" i="29"/>
  <c r="E245" i="29"/>
  <c r="C245" i="29"/>
  <c r="B245" i="29"/>
  <c r="A245" i="29"/>
  <c r="G244" i="29"/>
  <c r="F244" i="29"/>
  <c r="E244" i="29"/>
  <c r="C244" i="29"/>
  <c r="B244" i="29"/>
  <c r="A244" i="29"/>
  <c r="G243" i="29"/>
  <c r="F243" i="29"/>
  <c r="E243" i="29"/>
  <c r="C243" i="29"/>
  <c r="B243" i="29"/>
  <c r="A243" i="29"/>
  <c r="G242" i="29"/>
  <c r="F242" i="29"/>
  <c r="E242" i="29"/>
  <c r="C242" i="29"/>
  <c r="B242" i="29"/>
  <c r="A242" i="29"/>
  <c r="G241" i="29"/>
  <c r="F241" i="29"/>
  <c r="E241" i="29"/>
  <c r="C241" i="29"/>
  <c r="B241" i="29"/>
  <c r="A241" i="29"/>
  <c r="G240" i="29"/>
  <c r="F240" i="29"/>
  <c r="E240" i="29"/>
  <c r="C240" i="29"/>
  <c r="B240" i="29"/>
  <c r="A240" i="29"/>
  <c r="G239" i="29"/>
  <c r="F239" i="29"/>
  <c r="E239" i="29"/>
  <c r="C239" i="29"/>
  <c r="B239" i="29"/>
  <c r="A239" i="29"/>
  <c r="G238" i="29"/>
  <c r="F238" i="29"/>
  <c r="E238" i="29"/>
  <c r="C238" i="29"/>
  <c r="B238" i="29"/>
  <c r="A238" i="29"/>
  <c r="G237" i="29"/>
  <c r="F237" i="29"/>
  <c r="E237" i="29"/>
  <c r="C237" i="29"/>
  <c r="B237" i="29"/>
  <c r="A237" i="29"/>
  <c r="G236" i="29"/>
  <c r="F236" i="29"/>
  <c r="E236" i="29"/>
  <c r="C236" i="29"/>
  <c r="B236" i="29"/>
  <c r="A236" i="29"/>
  <c r="G235" i="29"/>
  <c r="F235" i="29"/>
  <c r="E235" i="29"/>
  <c r="C235" i="29"/>
  <c r="B235" i="29"/>
  <c r="A235" i="29"/>
  <c r="G234" i="29"/>
  <c r="F234" i="29"/>
  <c r="E234" i="29"/>
  <c r="C234" i="29"/>
  <c r="B234" i="29"/>
  <c r="A234" i="29"/>
  <c r="G233" i="29"/>
  <c r="F233" i="29"/>
  <c r="E233" i="29"/>
  <c r="C233" i="29"/>
  <c r="B233" i="29"/>
  <c r="A233" i="29"/>
  <c r="G232" i="29"/>
  <c r="F232" i="29"/>
  <c r="E232" i="29"/>
  <c r="C232" i="29"/>
  <c r="B232" i="29"/>
  <c r="A232" i="29"/>
  <c r="G231" i="29"/>
  <c r="F231" i="29"/>
  <c r="E231" i="29"/>
  <c r="C231" i="29"/>
  <c r="B231" i="29"/>
  <c r="A231" i="29"/>
  <c r="G230" i="29"/>
  <c r="F230" i="29"/>
  <c r="E230" i="29"/>
  <c r="C230" i="29"/>
  <c r="B230" i="29"/>
  <c r="A230" i="29"/>
  <c r="G229" i="29"/>
  <c r="F229" i="29"/>
  <c r="E229" i="29"/>
  <c r="C229" i="29"/>
  <c r="B229" i="29"/>
  <c r="A229" i="29"/>
  <c r="G228" i="29"/>
  <c r="F228" i="29"/>
  <c r="E228" i="29"/>
  <c r="C228" i="29"/>
  <c r="B228" i="29"/>
  <c r="A228" i="29"/>
  <c r="G227" i="29"/>
  <c r="F227" i="29"/>
  <c r="E227" i="29"/>
  <c r="C227" i="29"/>
  <c r="B227" i="29"/>
  <c r="A227" i="29"/>
  <c r="G226" i="29"/>
  <c r="F226" i="29"/>
  <c r="E226" i="29"/>
  <c r="C226" i="29"/>
  <c r="B226" i="29"/>
  <c r="A226" i="29"/>
  <c r="G225" i="29"/>
  <c r="F225" i="29"/>
  <c r="E225" i="29"/>
  <c r="C225" i="29"/>
  <c r="B225" i="29"/>
  <c r="A225" i="29"/>
  <c r="G224" i="29"/>
  <c r="F224" i="29"/>
  <c r="E224" i="29"/>
  <c r="C224" i="29"/>
  <c r="B224" i="29"/>
  <c r="A224" i="29"/>
  <c r="G223" i="29"/>
  <c r="F223" i="29"/>
  <c r="E223" i="29"/>
  <c r="C223" i="29"/>
  <c r="B223" i="29"/>
  <c r="A223" i="29"/>
  <c r="G222" i="29"/>
  <c r="F222" i="29"/>
  <c r="E222" i="29"/>
  <c r="C222" i="29"/>
  <c r="B222" i="29"/>
  <c r="A222" i="29"/>
  <c r="G221" i="29"/>
  <c r="F221" i="29"/>
  <c r="E221" i="29"/>
  <c r="C221" i="29"/>
  <c r="B221" i="29"/>
  <c r="A221" i="29"/>
  <c r="G220" i="29"/>
  <c r="F220" i="29"/>
  <c r="E220" i="29"/>
  <c r="C220" i="29"/>
  <c r="B220" i="29"/>
  <c r="A220" i="29"/>
  <c r="G219" i="29"/>
  <c r="F219" i="29"/>
  <c r="E219" i="29"/>
  <c r="C219" i="29"/>
  <c r="B219" i="29"/>
  <c r="A219" i="29"/>
  <c r="G218" i="29"/>
  <c r="F218" i="29"/>
  <c r="E218" i="29"/>
  <c r="C218" i="29"/>
  <c r="B218" i="29"/>
  <c r="A218" i="29"/>
  <c r="G217" i="29"/>
  <c r="F217" i="29"/>
  <c r="E217" i="29"/>
  <c r="C217" i="29"/>
  <c r="B217" i="29"/>
  <c r="A217" i="29"/>
  <c r="G216" i="29"/>
  <c r="F216" i="29"/>
  <c r="E216" i="29"/>
  <c r="C216" i="29"/>
  <c r="B216" i="29"/>
  <c r="A216" i="29"/>
  <c r="G215" i="29"/>
  <c r="F215" i="29"/>
  <c r="E215" i="29"/>
  <c r="C215" i="29"/>
  <c r="B215" i="29"/>
  <c r="A215" i="29"/>
  <c r="G214" i="29"/>
  <c r="F214" i="29"/>
  <c r="E214" i="29"/>
  <c r="C214" i="29"/>
  <c r="B214" i="29"/>
  <c r="A214" i="29"/>
  <c r="G213" i="29"/>
  <c r="F213" i="29"/>
  <c r="E213" i="29"/>
  <c r="C213" i="29"/>
  <c r="B213" i="29"/>
  <c r="A213" i="29"/>
  <c r="G212" i="29"/>
  <c r="F212" i="29"/>
  <c r="E212" i="29"/>
  <c r="C212" i="29"/>
  <c r="B212" i="29"/>
  <c r="A212" i="29"/>
  <c r="G211" i="29"/>
  <c r="F211" i="29"/>
  <c r="E211" i="29"/>
  <c r="C211" i="29"/>
  <c r="B211" i="29"/>
  <c r="A211" i="29"/>
  <c r="G210" i="29"/>
  <c r="F210" i="29"/>
  <c r="E210" i="29"/>
  <c r="C210" i="29"/>
  <c r="B210" i="29"/>
  <c r="A210" i="29"/>
  <c r="G209" i="29"/>
  <c r="F209" i="29"/>
  <c r="E209" i="29"/>
  <c r="C209" i="29"/>
  <c r="B209" i="29"/>
  <c r="A209" i="29"/>
  <c r="G208" i="29"/>
  <c r="F208" i="29"/>
  <c r="E208" i="29"/>
  <c r="C208" i="29"/>
  <c r="B208" i="29"/>
  <c r="A208" i="29"/>
  <c r="G207" i="29"/>
  <c r="F207" i="29"/>
  <c r="E207" i="29"/>
  <c r="C207" i="29"/>
  <c r="B207" i="29"/>
  <c r="A207" i="29"/>
  <c r="G206" i="29"/>
  <c r="F206" i="29"/>
  <c r="E206" i="29"/>
  <c r="C206" i="29"/>
  <c r="B206" i="29"/>
  <c r="A206" i="29"/>
  <c r="G205" i="29"/>
  <c r="F205" i="29"/>
  <c r="E205" i="29"/>
  <c r="C205" i="29"/>
  <c r="B205" i="29"/>
  <c r="A205" i="29"/>
  <c r="G204" i="29"/>
  <c r="F204" i="29"/>
  <c r="E204" i="29"/>
  <c r="C204" i="29"/>
  <c r="B204" i="29"/>
  <c r="A204" i="29"/>
  <c r="G203" i="29"/>
  <c r="F203" i="29"/>
  <c r="E203" i="29"/>
  <c r="C203" i="29"/>
  <c r="B203" i="29"/>
  <c r="A203" i="29"/>
  <c r="G202" i="29"/>
  <c r="F202" i="29"/>
  <c r="E202" i="29"/>
  <c r="C202" i="29"/>
  <c r="B202" i="29"/>
  <c r="A202" i="29"/>
  <c r="G201" i="29"/>
  <c r="F201" i="29"/>
  <c r="E201" i="29"/>
  <c r="C201" i="29"/>
  <c r="B201" i="29"/>
  <c r="A201" i="29"/>
  <c r="G200" i="29"/>
  <c r="F200" i="29"/>
  <c r="E200" i="29"/>
  <c r="C200" i="29"/>
  <c r="B200" i="29"/>
  <c r="A200" i="29"/>
  <c r="G199" i="29"/>
  <c r="F199" i="29"/>
  <c r="E199" i="29"/>
  <c r="C199" i="29"/>
  <c r="B199" i="29"/>
  <c r="A199" i="29"/>
  <c r="G198" i="29"/>
  <c r="F198" i="29"/>
  <c r="E198" i="29"/>
  <c r="C198" i="29"/>
  <c r="B198" i="29"/>
  <c r="A198" i="29"/>
  <c r="G197" i="29"/>
  <c r="F197" i="29"/>
  <c r="E197" i="29"/>
  <c r="C197" i="29"/>
  <c r="B197" i="29"/>
  <c r="A197" i="29"/>
  <c r="G196" i="29"/>
  <c r="F196" i="29"/>
  <c r="E196" i="29"/>
  <c r="C196" i="29"/>
  <c r="B196" i="29"/>
  <c r="A196" i="29"/>
  <c r="G195" i="29"/>
  <c r="F195" i="29"/>
  <c r="E195" i="29"/>
  <c r="C195" i="29"/>
  <c r="B195" i="29"/>
  <c r="A195" i="29"/>
  <c r="G194" i="29"/>
  <c r="F194" i="29"/>
  <c r="E194" i="29"/>
  <c r="C194" i="29"/>
  <c r="B194" i="29"/>
  <c r="A194" i="29"/>
  <c r="G193" i="29"/>
  <c r="F193" i="29"/>
  <c r="E193" i="29"/>
  <c r="C193" i="29"/>
  <c r="B193" i="29"/>
  <c r="A193" i="29"/>
  <c r="G192" i="29"/>
  <c r="F192" i="29"/>
  <c r="E192" i="29"/>
  <c r="C192" i="29"/>
  <c r="B192" i="29"/>
  <c r="A192" i="29"/>
  <c r="G191" i="29"/>
  <c r="F191" i="29"/>
  <c r="E191" i="29"/>
  <c r="C191" i="29"/>
  <c r="B191" i="29"/>
  <c r="A191" i="29"/>
  <c r="G190" i="29"/>
  <c r="F190" i="29"/>
  <c r="E190" i="29"/>
  <c r="C190" i="29"/>
  <c r="B190" i="29"/>
  <c r="A190" i="29"/>
  <c r="G189" i="29"/>
  <c r="F189" i="29"/>
  <c r="E189" i="29"/>
  <c r="C189" i="29"/>
  <c r="B189" i="29"/>
  <c r="A189" i="29"/>
  <c r="G188" i="29"/>
  <c r="F188" i="29"/>
  <c r="E188" i="29"/>
  <c r="C188" i="29"/>
  <c r="B188" i="29"/>
  <c r="A188" i="29"/>
  <c r="G187" i="29"/>
  <c r="F187" i="29"/>
  <c r="E187" i="29"/>
  <c r="C187" i="29"/>
  <c r="B187" i="29"/>
  <c r="A187" i="29"/>
  <c r="G186" i="29"/>
  <c r="F186" i="29"/>
  <c r="E186" i="29"/>
  <c r="C186" i="29"/>
  <c r="B186" i="29"/>
  <c r="A186" i="29"/>
  <c r="G185" i="29"/>
  <c r="F185" i="29"/>
  <c r="E185" i="29"/>
  <c r="C185" i="29"/>
  <c r="B185" i="29"/>
  <c r="A185" i="29"/>
  <c r="G184" i="29"/>
  <c r="F184" i="29"/>
  <c r="E184" i="29"/>
  <c r="C184" i="29"/>
  <c r="B184" i="29"/>
  <c r="A184" i="29"/>
  <c r="G183" i="29"/>
  <c r="F183" i="29"/>
  <c r="E183" i="29"/>
  <c r="C183" i="29"/>
  <c r="B183" i="29"/>
  <c r="A183" i="29"/>
  <c r="G182" i="29"/>
  <c r="F182" i="29"/>
  <c r="E182" i="29"/>
  <c r="C182" i="29"/>
  <c r="B182" i="29"/>
  <c r="A182" i="29"/>
  <c r="G181" i="29"/>
  <c r="F181" i="29"/>
  <c r="E181" i="29"/>
  <c r="C181" i="29"/>
  <c r="B181" i="29"/>
  <c r="A181" i="29"/>
  <c r="G180" i="29"/>
  <c r="F180" i="29"/>
  <c r="E180" i="29"/>
  <c r="C180" i="29"/>
  <c r="B180" i="29"/>
  <c r="A180" i="29"/>
  <c r="G179" i="29"/>
  <c r="F179" i="29"/>
  <c r="E179" i="29"/>
  <c r="C179" i="29"/>
  <c r="B179" i="29"/>
  <c r="A179" i="29"/>
  <c r="G178" i="29"/>
  <c r="F178" i="29"/>
  <c r="E178" i="29"/>
  <c r="C178" i="29"/>
  <c r="B178" i="29"/>
  <c r="A178" i="29"/>
  <c r="G177" i="29"/>
  <c r="F177" i="29"/>
  <c r="E177" i="29"/>
  <c r="C177" i="29"/>
  <c r="B177" i="29"/>
  <c r="A177" i="29"/>
  <c r="G176" i="29"/>
  <c r="F176" i="29"/>
  <c r="E176" i="29"/>
  <c r="C176" i="29"/>
  <c r="B176" i="29"/>
  <c r="A176" i="29"/>
  <c r="G175" i="29"/>
  <c r="F175" i="29"/>
  <c r="E175" i="29"/>
  <c r="C175" i="29"/>
  <c r="B175" i="29"/>
  <c r="A175" i="29"/>
  <c r="G174" i="29"/>
  <c r="F174" i="29"/>
  <c r="E174" i="29"/>
  <c r="C174" i="29"/>
  <c r="B174" i="29"/>
  <c r="A174" i="29"/>
  <c r="G173" i="29"/>
  <c r="F173" i="29"/>
  <c r="E173" i="29"/>
  <c r="C173" i="29"/>
  <c r="B173" i="29"/>
  <c r="A173" i="29"/>
  <c r="G172" i="29"/>
  <c r="F172" i="29"/>
  <c r="E172" i="29"/>
  <c r="C172" i="29"/>
  <c r="B172" i="29"/>
  <c r="A172" i="29"/>
  <c r="G171" i="29"/>
  <c r="F171" i="29"/>
  <c r="E171" i="29"/>
  <c r="C171" i="29"/>
  <c r="B171" i="29"/>
  <c r="A171" i="29"/>
  <c r="G170" i="29"/>
  <c r="F170" i="29"/>
  <c r="E170" i="29"/>
  <c r="C170" i="29"/>
  <c r="B170" i="29"/>
  <c r="A170" i="29"/>
  <c r="G169" i="29"/>
  <c r="F169" i="29"/>
  <c r="E169" i="29"/>
  <c r="C169" i="29"/>
  <c r="B169" i="29"/>
  <c r="A169" i="29"/>
  <c r="G168" i="29"/>
  <c r="F168" i="29"/>
  <c r="E168" i="29"/>
  <c r="C168" i="29"/>
  <c r="B168" i="29"/>
  <c r="A168" i="29"/>
  <c r="G167" i="29"/>
  <c r="F167" i="29"/>
  <c r="E167" i="29"/>
  <c r="C167" i="29"/>
  <c r="B167" i="29"/>
  <c r="A167" i="29"/>
  <c r="G166" i="29"/>
  <c r="F166" i="29"/>
  <c r="E166" i="29"/>
  <c r="C166" i="29"/>
  <c r="B166" i="29"/>
  <c r="A166" i="29"/>
  <c r="G165" i="29"/>
  <c r="F165" i="29"/>
  <c r="E165" i="29"/>
  <c r="C165" i="29"/>
  <c r="B165" i="29"/>
  <c r="A165" i="29"/>
  <c r="G164" i="29"/>
  <c r="F164" i="29"/>
  <c r="E164" i="29"/>
  <c r="C164" i="29"/>
  <c r="B164" i="29"/>
  <c r="A164" i="29"/>
  <c r="G163" i="29"/>
  <c r="F163" i="29"/>
  <c r="E163" i="29"/>
  <c r="C163" i="29"/>
  <c r="B163" i="29"/>
  <c r="A163" i="29"/>
  <c r="G162" i="29"/>
  <c r="F162" i="29"/>
  <c r="E162" i="29"/>
  <c r="C162" i="29"/>
  <c r="B162" i="29"/>
  <c r="A162" i="29"/>
  <c r="G161" i="29"/>
  <c r="F161" i="29"/>
  <c r="E161" i="29"/>
  <c r="C161" i="29"/>
  <c r="B161" i="29"/>
  <c r="A161" i="29"/>
  <c r="G160" i="29"/>
  <c r="F160" i="29"/>
  <c r="E160" i="29"/>
  <c r="C160" i="29"/>
  <c r="B160" i="29"/>
  <c r="A160" i="29"/>
  <c r="G159" i="29"/>
  <c r="F159" i="29"/>
  <c r="E159" i="29"/>
  <c r="C159" i="29"/>
  <c r="B159" i="29"/>
  <c r="A159" i="29"/>
  <c r="G158" i="29"/>
  <c r="F158" i="29"/>
  <c r="E158" i="29"/>
  <c r="C158" i="29"/>
  <c r="B158" i="29"/>
  <c r="A158" i="29"/>
  <c r="G157" i="29"/>
  <c r="F157" i="29"/>
  <c r="E157" i="29"/>
  <c r="C157" i="29"/>
  <c r="B157" i="29"/>
  <c r="A157" i="29"/>
  <c r="G156" i="29"/>
  <c r="F156" i="29"/>
  <c r="E156" i="29"/>
  <c r="C156" i="29"/>
  <c r="B156" i="29"/>
  <c r="A156" i="29"/>
  <c r="G155" i="29"/>
  <c r="F155" i="29"/>
  <c r="E155" i="29"/>
  <c r="C155" i="29"/>
  <c r="B155" i="29"/>
  <c r="A155" i="29"/>
  <c r="G154" i="29"/>
  <c r="F154" i="29"/>
  <c r="E154" i="29"/>
  <c r="C154" i="29"/>
  <c r="B154" i="29"/>
  <c r="A154" i="29"/>
  <c r="G153" i="29"/>
  <c r="F153" i="29"/>
  <c r="E153" i="29"/>
  <c r="C153" i="29"/>
  <c r="B153" i="29"/>
  <c r="A153" i="29"/>
  <c r="G152" i="29"/>
  <c r="F152" i="29"/>
  <c r="E152" i="29"/>
  <c r="C152" i="29"/>
  <c r="B152" i="29"/>
  <c r="A152" i="29"/>
  <c r="G151" i="29"/>
  <c r="F151" i="29"/>
  <c r="E151" i="29"/>
  <c r="C151" i="29"/>
  <c r="B151" i="29"/>
  <c r="A151" i="29"/>
  <c r="G150" i="29"/>
  <c r="F150" i="29"/>
  <c r="E150" i="29"/>
  <c r="C150" i="29"/>
  <c r="B150" i="29"/>
  <c r="A150" i="29"/>
  <c r="G149" i="29"/>
  <c r="F149" i="29"/>
  <c r="E149" i="29"/>
  <c r="C149" i="29"/>
  <c r="B149" i="29"/>
  <c r="A149" i="29"/>
  <c r="G148" i="29"/>
  <c r="F148" i="29"/>
  <c r="E148" i="29"/>
  <c r="C148" i="29"/>
  <c r="B148" i="29"/>
  <c r="A148" i="29"/>
  <c r="G147" i="29"/>
  <c r="F147" i="29"/>
  <c r="E147" i="29"/>
  <c r="C147" i="29"/>
  <c r="B147" i="29"/>
  <c r="A147" i="29"/>
  <c r="G146" i="29"/>
  <c r="F146" i="29"/>
  <c r="E146" i="29"/>
  <c r="C146" i="29"/>
  <c r="B146" i="29"/>
  <c r="A146" i="29"/>
  <c r="G145" i="29"/>
  <c r="F145" i="29"/>
  <c r="E145" i="29"/>
  <c r="C145" i="29"/>
  <c r="B145" i="29"/>
  <c r="A145" i="29"/>
  <c r="G144" i="29"/>
  <c r="F144" i="29"/>
  <c r="E144" i="29"/>
  <c r="C144" i="29"/>
  <c r="B144" i="29"/>
  <c r="A144" i="29"/>
  <c r="G143" i="29"/>
  <c r="F143" i="29"/>
  <c r="E143" i="29"/>
  <c r="C143" i="29"/>
  <c r="B143" i="29"/>
  <c r="A143" i="29"/>
  <c r="G142" i="29"/>
  <c r="F142" i="29"/>
  <c r="E142" i="29"/>
  <c r="C142" i="29"/>
  <c r="B142" i="29"/>
  <c r="A142" i="29"/>
  <c r="G141" i="29"/>
  <c r="F141" i="29"/>
  <c r="E141" i="29"/>
  <c r="C141" i="29"/>
  <c r="B141" i="29"/>
  <c r="A141" i="29"/>
  <c r="G140" i="29"/>
  <c r="F140" i="29"/>
  <c r="E140" i="29"/>
  <c r="C140" i="29"/>
  <c r="B140" i="29"/>
  <c r="A140" i="29"/>
  <c r="G139" i="29"/>
  <c r="F139" i="29"/>
  <c r="E139" i="29"/>
  <c r="C139" i="29"/>
  <c r="B139" i="29"/>
  <c r="A139" i="29"/>
  <c r="G138" i="29"/>
  <c r="F138" i="29"/>
  <c r="E138" i="29"/>
  <c r="C138" i="29"/>
  <c r="B138" i="29"/>
  <c r="A138" i="29"/>
  <c r="G137" i="29"/>
  <c r="F137" i="29"/>
  <c r="E137" i="29"/>
  <c r="C137" i="29"/>
  <c r="B137" i="29"/>
  <c r="A137" i="29"/>
  <c r="G136" i="29"/>
  <c r="F136" i="29"/>
  <c r="E136" i="29"/>
  <c r="C136" i="29"/>
  <c r="B136" i="29"/>
  <c r="A136" i="29"/>
  <c r="G135" i="29"/>
  <c r="F135" i="29"/>
  <c r="E135" i="29"/>
  <c r="C135" i="29"/>
  <c r="B135" i="29"/>
  <c r="A135" i="29"/>
  <c r="G134" i="29"/>
  <c r="F134" i="29"/>
  <c r="E134" i="29"/>
  <c r="C134" i="29"/>
  <c r="B134" i="29"/>
  <c r="A134" i="29"/>
  <c r="G133" i="29"/>
  <c r="F133" i="29"/>
  <c r="E133" i="29"/>
  <c r="C133" i="29"/>
  <c r="B133" i="29"/>
  <c r="A133" i="29"/>
  <c r="G132" i="29"/>
  <c r="F132" i="29"/>
  <c r="E132" i="29"/>
  <c r="C132" i="29"/>
  <c r="B132" i="29"/>
  <c r="A132" i="29"/>
  <c r="G131" i="29"/>
  <c r="F131" i="29"/>
  <c r="E131" i="29"/>
  <c r="C131" i="29"/>
  <c r="B131" i="29"/>
  <c r="A131" i="29"/>
  <c r="G130" i="29"/>
  <c r="F130" i="29"/>
  <c r="E130" i="29"/>
  <c r="C130" i="29"/>
  <c r="B130" i="29"/>
  <c r="A130" i="29"/>
  <c r="G129" i="29"/>
  <c r="F129" i="29"/>
  <c r="E129" i="29"/>
  <c r="C129" i="29"/>
  <c r="B129" i="29"/>
  <c r="A129" i="29"/>
  <c r="G128" i="29"/>
  <c r="F128" i="29"/>
  <c r="E128" i="29"/>
  <c r="C128" i="29"/>
  <c r="B128" i="29"/>
  <c r="A128" i="29"/>
  <c r="G127" i="29"/>
  <c r="F127" i="29"/>
  <c r="E127" i="29"/>
  <c r="C127" i="29"/>
  <c r="B127" i="29"/>
  <c r="A127" i="29"/>
  <c r="G126" i="29"/>
  <c r="F126" i="29"/>
  <c r="E126" i="29"/>
  <c r="C126" i="29"/>
  <c r="B126" i="29"/>
  <c r="A126" i="29"/>
  <c r="G125" i="29"/>
  <c r="F125" i="29"/>
  <c r="E125" i="29"/>
  <c r="C125" i="29"/>
  <c r="B125" i="29"/>
  <c r="A125" i="29"/>
  <c r="G124" i="29"/>
  <c r="F124" i="29"/>
  <c r="E124" i="29"/>
  <c r="C124" i="29"/>
  <c r="B124" i="29"/>
  <c r="A124" i="29"/>
  <c r="G123" i="29"/>
  <c r="F123" i="29"/>
  <c r="E123" i="29"/>
  <c r="C123" i="29"/>
  <c r="B123" i="29"/>
  <c r="A123" i="29"/>
  <c r="G122" i="29"/>
  <c r="F122" i="29"/>
  <c r="E122" i="29"/>
  <c r="C122" i="29"/>
  <c r="B122" i="29"/>
  <c r="A122" i="29"/>
  <c r="G121" i="29"/>
  <c r="F121" i="29"/>
  <c r="E121" i="29"/>
  <c r="C121" i="29"/>
  <c r="B121" i="29"/>
  <c r="A121" i="29"/>
  <c r="G120" i="29"/>
  <c r="F120" i="29"/>
  <c r="E120" i="29"/>
  <c r="C120" i="29"/>
  <c r="B120" i="29"/>
  <c r="A120" i="29"/>
  <c r="G119" i="29"/>
  <c r="F119" i="29"/>
  <c r="E119" i="29"/>
  <c r="C119" i="29"/>
  <c r="B119" i="29"/>
  <c r="A119" i="29"/>
  <c r="G118" i="29"/>
  <c r="F118" i="29"/>
  <c r="E118" i="29"/>
  <c r="C118" i="29"/>
  <c r="B118" i="29"/>
  <c r="A118" i="29"/>
  <c r="G117" i="29"/>
  <c r="F117" i="29"/>
  <c r="E117" i="29"/>
  <c r="C117" i="29"/>
  <c r="B117" i="29"/>
  <c r="A117" i="29"/>
  <c r="G116" i="29"/>
  <c r="F116" i="29"/>
  <c r="E116" i="29"/>
  <c r="C116" i="29"/>
  <c r="B116" i="29"/>
  <c r="A116" i="29"/>
  <c r="G115" i="29"/>
  <c r="F115" i="29"/>
  <c r="E115" i="29"/>
  <c r="C115" i="29"/>
  <c r="B115" i="29"/>
  <c r="A115" i="29"/>
  <c r="G114" i="29"/>
  <c r="F114" i="29"/>
  <c r="E114" i="29"/>
  <c r="C114" i="29"/>
  <c r="B114" i="29"/>
  <c r="A114" i="29"/>
  <c r="G113" i="29"/>
  <c r="F113" i="29"/>
  <c r="E113" i="29"/>
  <c r="C113" i="29"/>
  <c r="B113" i="29"/>
  <c r="A113" i="29"/>
  <c r="G112" i="29"/>
  <c r="F112" i="29"/>
  <c r="E112" i="29"/>
  <c r="C112" i="29"/>
  <c r="B112" i="29"/>
  <c r="A112" i="29"/>
  <c r="G111" i="29"/>
  <c r="F111" i="29"/>
  <c r="E111" i="29"/>
  <c r="C111" i="29"/>
  <c r="B111" i="29"/>
  <c r="A111" i="29"/>
  <c r="G110" i="29"/>
  <c r="F110" i="29"/>
  <c r="E110" i="29"/>
  <c r="C110" i="29"/>
  <c r="B110" i="29"/>
  <c r="A110" i="29"/>
  <c r="G109" i="29"/>
  <c r="F109" i="29"/>
  <c r="E109" i="29"/>
  <c r="C109" i="29"/>
  <c r="B109" i="29"/>
  <c r="A109" i="29"/>
  <c r="G108" i="29"/>
  <c r="F108" i="29"/>
  <c r="E108" i="29"/>
  <c r="C108" i="29"/>
  <c r="B108" i="29"/>
  <c r="A108" i="29"/>
  <c r="G107" i="29"/>
  <c r="F107" i="29"/>
  <c r="E107" i="29"/>
  <c r="C107" i="29"/>
  <c r="B107" i="29"/>
  <c r="A107" i="29"/>
  <c r="G106" i="29"/>
  <c r="F106" i="29"/>
  <c r="E106" i="29"/>
  <c r="C106" i="29"/>
  <c r="B106" i="29"/>
  <c r="A106" i="29"/>
  <c r="G105" i="29"/>
  <c r="F105" i="29"/>
  <c r="E105" i="29"/>
  <c r="C105" i="29"/>
  <c r="B105" i="29"/>
  <c r="A105" i="29"/>
  <c r="G104" i="29"/>
  <c r="F104" i="29"/>
  <c r="E104" i="29"/>
  <c r="C104" i="29"/>
  <c r="B104" i="29"/>
  <c r="A104" i="29"/>
  <c r="G103" i="29"/>
  <c r="F103" i="29"/>
  <c r="E103" i="29"/>
  <c r="C103" i="29"/>
  <c r="B103" i="29"/>
  <c r="A103" i="29"/>
  <c r="G102" i="29"/>
  <c r="F102" i="29"/>
  <c r="E102" i="29"/>
  <c r="C102" i="29"/>
  <c r="B102" i="29"/>
  <c r="A102" i="29"/>
  <c r="G101" i="29"/>
  <c r="F101" i="29"/>
  <c r="E101" i="29"/>
  <c r="C101" i="29"/>
  <c r="B101" i="29"/>
  <c r="A101" i="29"/>
  <c r="G100" i="29"/>
  <c r="F100" i="29"/>
  <c r="E100" i="29"/>
  <c r="C100" i="29"/>
  <c r="B100" i="29"/>
  <c r="A100" i="29"/>
  <c r="G99" i="29"/>
  <c r="F99" i="29"/>
  <c r="E99" i="29"/>
  <c r="C99" i="29"/>
  <c r="B99" i="29"/>
  <c r="A99" i="29"/>
  <c r="G98" i="29"/>
  <c r="F98" i="29"/>
  <c r="E98" i="29"/>
  <c r="C98" i="29"/>
  <c r="B98" i="29"/>
  <c r="A98" i="29"/>
  <c r="G97" i="29"/>
  <c r="F97" i="29"/>
  <c r="E97" i="29"/>
  <c r="C97" i="29"/>
  <c r="B97" i="29"/>
  <c r="A97" i="29"/>
  <c r="G96" i="29"/>
  <c r="F96" i="29"/>
  <c r="E96" i="29"/>
  <c r="C96" i="29"/>
  <c r="B96" i="29"/>
  <c r="A96" i="29"/>
  <c r="G95" i="29"/>
  <c r="F95" i="29"/>
  <c r="E95" i="29"/>
  <c r="C95" i="29"/>
  <c r="B95" i="29"/>
  <c r="A95" i="29"/>
  <c r="G94" i="29"/>
  <c r="F94" i="29"/>
  <c r="E94" i="29"/>
  <c r="C94" i="29"/>
  <c r="B94" i="29"/>
  <c r="A94" i="29"/>
  <c r="G93" i="29"/>
  <c r="F93" i="29"/>
  <c r="E93" i="29"/>
  <c r="C93" i="29"/>
  <c r="B93" i="29"/>
  <c r="A93" i="29"/>
  <c r="G92" i="29"/>
  <c r="F92" i="29"/>
  <c r="E92" i="29"/>
  <c r="C92" i="29"/>
  <c r="B92" i="29"/>
  <c r="A92" i="29"/>
  <c r="G91" i="29"/>
  <c r="F91" i="29"/>
  <c r="E91" i="29"/>
  <c r="C91" i="29"/>
  <c r="B91" i="29"/>
  <c r="A91" i="29"/>
  <c r="G90" i="29"/>
  <c r="F90" i="29"/>
  <c r="E90" i="29"/>
  <c r="C90" i="29"/>
  <c r="B90" i="29"/>
  <c r="A90" i="29"/>
  <c r="G89" i="29"/>
  <c r="F89" i="29"/>
  <c r="E89" i="29"/>
  <c r="C89" i="29"/>
  <c r="B89" i="29"/>
  <c r="A89" i="29"/>
  <c r="G88" i="29"/>
  <c r="F88" i="29"/>
  <c r="E88" i="29"/>
  <c r="C88" i="29"/>
  <c r="B88" i="29"/>
  <c r="A88" i="29"/>
  <c r="G87" i="29"/>
  <c r="F87" i="29"/>
  <c r="E87" i="29"/>
  <c r="C87" i="29"/>
  <c r="B87" i="29"/>
  <c r="A87" i="29"/>
  <c r="G86" i="29"/>
  <c r="F86" i="29"/>
  <c r="E86" i="29"/>
  <c r="C86" i="29"/>
  <c r="B86" i="29"/>
  <c r="A86" i="29"/>
  <c r="G85" i="29"/>
  <c r="F85" i="29"/>
  <c r="E85" i="29"/>
  <c r="C85" i="29"/>
  <c r="B85" i="29"/>
  <c r="A85" i="29"/>
  <c r="G84" i="29"/>
  <c r="F84" i="29"/>
  <c r="E84" i="29"/>
  <c r="C84" i="29"/>
  <c r="B84" i="29"/>
  <c r="A84" i="29"/>
  <c r="G83" i="29"/>
  <c r="F83" i="29"/>
  <c r="E83" i="29"/>
  <c r="C83" i="29"/>
  <c r="B83" i="29"/>
  <c r="A83" i="29"/>
  <c r="G82" i="29"/>
  <c r="F82" i="29"/>
  <c r="E82" i="29"/>
  <c r="C82" i="29"/>
  <c r="B82" i="29"/>
  <c r="A82" i="29"/>
  <c r="G81" i="29"/>
  <c r="F81" i="29"/>
  <c r="E81" i="29"/>
  <c r="C81" i="29"/>
  <c r="B81" i="29"/>
  <c r="A81" i="29"/>
  <c r="G80" i="29"/>
  <c r="F80" i="29"/>
  <c r="E80" i="29"/>
  <c r="C80" i="29"/>
  <c r="B80" i="29"/>
  <c r="A80" i="29"/>
  <c r="G79" i="29"/>
  <c r="F79" i="29"/>
  <c r="E79" i="29"/>
  <c r="C79" i="29"/>
  <c r="B79" i="29"/>
  <c r="A79" i="29"/>
  <c r="G78" i="29"/>
  <c r="F78" i="29"/>
  <c r="E78" i="29"/>
  <c r="C78" i="29"/>
  <c r="B78" i="29"/>
  <c r="A78" i="29"/>
  <c r="G77" i="29"/>
  <c r="F77" i="29"/>
  <c r="E77" i="29"/>
  <c r="C77" i="29"/>
  <c r="B77" i="29"/>
  <c r="A77" i="29"/>
  <c r="G76" i="29"/>
  <c r="F76" i="29"/>
  <c r="E76" i="29"/>
  <c r="C76" i="29"/>
  <c r="B76" i="29"/>
  <c r="A76" i="29"/>
  <c r="G75" i="29"/>
  <c r="F75" i="29"/>
  <c r="E75" i="29"/>
  <c r="C75" i="29"/>
  <c r="B75" i="29"/>
  <c r="A75" i="29"/>
  <c r="G74" i="29"/>
  <c r="F74" i="29"/>
  <c r="E74" i="29"/>
  <c r="C74" i="29"/>
  <c r="B74" i="29"/>
  <c r="A74" i="29"/>
  <c r="G73" i="29"/>
  <c r="F73" i="29"/>
  <c r="E73" i="29"/>
  <c r="C73" i="29"/>
  <c r="B73" i="29"/>
  <c r="A73" i="29"/>
  <c r="G72" i="29"/>
  <c r="F72" i="29"/>
  <c r="E72" i="29"/>
  <c r="C72" i="29"/>
  <c r="B72" i="29"/>
  <c r="A72" i="29"/>
  <c r="G71" i="29"/>
  <c r="F71" i="29"/>
  <c r="E71" i="29"/>
  <c r="C71" i="29"/>
  <c r="B71" i="29"/>
  <c r="A71" i="29"/>
  <c r="G70" i="29"/>
  <c r="F70" i="29"/>
  <c r="E70" i="29"/>
  <c r="C70" i="29"/>
  <c r="B70" i="29"/>
  <c r="A70" i="29"/>
  <c r="G69" i="29"/>
  <c r="F69" i="29"/>
  <c r="E69" i="29"/>
  <c r="C69" i="29"/>
  <c r="B69" i="29"/>
  <c r="A69" i="29"/>
  <c r="G68" i="29"/>
  <c r="F68" i="29"/>
  <c r="E68" i="29"/>
  <c r="C68" i="29"/>
  <c r="B68" i="29"/>
  <c r="A68" i="29"/>
  <c r="G67" i="29"/>
  <c r="F67" i="29"/>
  <c r="E67" i="29"/>
  <c r="C67" i="29"/>
  <c r="B67" i="29"/>
  <c r="A67" i="29"/>
  <c r="G66" i="29"/>
  <c r="F66" i="29"/>
  <c r="E66" i="29"/>
  <c r="C66" i="29"/>
  <c r="B66" i="29"/>
  <c r="A66" i="29"/>
  <c r="G65" i="29"/>
  <c r="F65" i="29"/>
  <c r="E65" i="29"/>
  <c r="C65" i="29"/>
  <c r="B65" i="29"/>
  <c r="A65" i="29"/>
  <c r="G64" i="29"/>
  <c r="F64" i="29"/>
  <c r="E64" i="29"/>
  <c r="C64" i="29"/>
  <c r="B64" i="29"/>
  <c r="A64" i="29"/>
  <c r="G63" i="29"/>
  <c r="F63" i="29"/>
  <c r="E63" i="29"/>
  <c r="C63" i="29"/>
  <c r="B63" i="29"/>
  <c r="A63" i="29"/>
  <c r="G62" i="29"/>
  <c r="F62" i="29"/>
  <c r="E62" i="29"/>
  <c r="C62" i="29"/>
  <c r="B62" i="29"/>
  <c r="A62" i="29"/>
  <c r="G61" i="29"/>
  <c r="F61" i="29"/>
  <c r="E61" i="29"/>
  <c r="C61" i="29"/>
  <c r="B61" i="29"/>
  <c r="A61" i="29"/>
  <c r="G60" i="29"/>
  <c r="F60" i="29"/>
  <c r="E60" i="29"/>
  <c r="C60" i="29"/>
  <c r="B60" i="29"/>
  <c r="A60" i="29"/>
  <c r="G59" i="29"/>
  <c r="F59" i="29"/>
  <c r="E59" i="29"/>
  <c r="C59" i="29"/>
  <c r="B59" i="29"/>
  <c r="A59" i="29"/>
  <c r="G58" i="29"/>
  <c r="F58" i="29"/>
  <c r="E58" i="29"/>
  <c r="C58" i="29"/>
  <c r="B58" i="29"/>
  <c r="A58" i="29"/>
  <c r="G57" i="29"/>
  <c r="F57" i="29"/>
  <c r="E57" i="29"/>
  <c r="C57" i="29"/>
  <c r="B57" i="29"/>
  <c r="A57" i="29"/>
  <c r="G56" i="29"/>
  <c r="F56" i="29"/>
  <c r="E56" i="29"/>
  <c r="C56" i="29"/>
  <c r="B56" i="29"/>
  <c r="A56" i="29"/>
  <c r="G55" i="29"/>
  <c r="F55" i="29"/>
  <c r="E55" i="29"/>
  <c r="C55" i="29"/>
  <c r="B55" i="29"/>
  <c r="A55" i="29"/>
  <c r="G54" i="29"/>
  <c r="F54" i="29"/>
  <c r="E54" i="29"/>
  <c r="C54" i="29"/>
  <c r="B54" i="29"/>
  <c r="A54" i="29"/>
  <c r="G53" i="29"/>
  <c r="F53" i="29"/>
  <c r="E53" i="29"/>
  <c r="C53" i="29"/>
  <c r="B53" i="29"/>
  <c r="A53" i="29"/>
  <c r="G52" i="29"/>
  <c r="F52" i="29"/>
  <c r="E52" i="29"/>
  <c r="C52" i="29"/>
  <c r="B52" i="29"/>
  <c r="A52" i="29"/>
  <c r="G51" i="29"/>
  <c r="F51" i="29"/>
  <c r="E51" i="29"/>
  <c r="C51" i="29"/>
  <c r="B51" i="29"/>
  <c r="A51" i="29"/>
  <c r="G50" i="29"/>
  <c r="F50" i="29"/>
  <c r="E50" i="29"/>
  <c r="C50" i="29"/>
  <c r="B50" i="29"/>
  <c r="A50" i="29"/>
  <c r="G49" i="29"/>
  <c r="F49" i="29"/>
  <c r="E49" i="29"/>
  <c r="C49" i="29"/>
  <c r="B49" i="29"/>
  <c r="A49" i="29"/>
  <c r="G48" i="29"/>
  <c r="F48" i="29"/>
  <c r="E48" i="29"/>
  <c r="C48" i="29"/>
  <c r="B48" i="29"/>
  <c r="A48" i="29"/>
  <c r="G47" i="29"/>
  <c r="F47" i="29"/>
  <c r="E47" i="29"/>
  <c r="C47" i="29"/>
  <c r="B47" i="29"/>
  <c r="A47" i="29"/>
  <c r="G46" i="29"/>
  <c r="F46" i="29"/>
  <c r="E46" i="29"/>
  <c r="C46" i="29"/>
  <c r="B46" i="29"/>
  <c r="A46" i="29"/>
  <c r="G45" i="29"/>
  <c r="F45" i="29"/>
  <c r="E45" i="29"/>
  <c r="C45" i="29"/>
  <c r="B45" i="29"/>
  <c r="A45" i="29"/>
  <c r="G44" i="29"/>
  <c r="F44" i="29"/>
  <c r="E44" i="29"/>
  <c r="C44" i="29"/>
  <c r="B44" i="29"/>
  <c r="A44" i="29"/>
  <c r="G43" i="29"/>
  <c r="F43" i="29"/>
  <c r="E43" i="29"/>
  <c r="C43" i="29"/>
  <c r="B43" i="29"/>
  <c r="A43" i="29"/>
  <c r="G42" i="29"/>
  <c r="F42" i="29"/>
  <c r="E42" i="29"/>
  <c r="C42" i="29"/>
  <c r="B42" i="29"/>
  <c r="A42" i="29"/>
  <c r="G41" i="29"/>
  <c r="F41" i="29"/>
  <c r="E41" i="29"/>
  <c r="C41" i="29"/>
  <c r="B41" i="29"/>
  <c r="A41" i="29"/>
  <c r="G40" i="29"/>
  <c r="F40" i="29"/>
  <c r="E40" i="29"/>
  <c r="C40" i="29"/>
  <c r="B40" i="29"/>
  <c r="A40" i="29"/>
  <c r="G39" i="29"/>
  <c r="F39" i="29"/>
  <c r="E39" i="29"/>
  <c r="C39" i="29"/>
  <c r="B39" i="29"/>
  <c r="A39" i="29"/>
  <c r="G38" i="29"/>
  <c r="F38" i="29"/>
  <c r="E38" i="29"/>
  <c r="C38" i="29"/>
  <c r="B38" i="29"/>
  <c r="A38" i="29"/>
  <c r="G37" i="29"/>
  <c r="F37" i="29"/>
  <c r="E37" i="29"/>
  <c r="C37" i="29"/>
  <c r="B37" i="29"/>
  <c r="A37" i="29"/>
  <c r="G36" i="29"/>
  <c r="F36" i="29"/>
  <c r="E36" i="29"/>
  <c r="C36" i="29"/>
  <c r="B36" i="29"/>
  <c r="A36" i="29"/>
  <c r="G35" i="29"/>
  <c r="F35" i="29"/>
  <c r="E35" i="29"/>
  <c r="C35" i="29"/>
  <c r="B35" i="29"/>
  <c r="A35" i="29"/>
  <c r="G34" i="29"/>
  <c r="F34" i="29"/>
  <c r="E34" i="29"/>
  <c r="C34" i="29"/>
  <c r="B34" i="29"/>
  <c r="A34" i="29"/>
  <c r="G33" i="29"/>
  <c r="F33" i="29"/>
  <c r="E33" i="29"/>
  <c r="C33" i="29"/>
  <c r="B33" i="29"/>
  <c r="A33" i="29"/>
  <c r="G32" i="29"/>
  <c r="F32" i="29"/>
  <c r="E32" i="29"/>
  <c r="C32" i="29"/>
  <c r="B32" i="29"/>
  <c r="A32" i="29"/>
  <c r="G31" i="29"/>
  <c r="F31" i="29"/>
  <c r="E31" i="29"/>
  <c r="C31" i="29"/>
  <c r="B31" i="29"/>
  <c r="A31" i="29"/>
  <c r="G30" i="29"/>
  <c r="F30" i="29"/>
  <c r="E30" i="29"/>
  <c r="C30" i="29"/>
  <c r="B30" i="29"/>
  <c r="A30" i="29"/>
  <c r="G29" i="29"/>
  <c r="F29" i="29"/>
  <c r="E29" i="29"/>
  <c r="C29" i="29"/>
  <c r="B29" i="29"/>
  <c r="A29" i="29"/>
  <c r="G28" i="29"/>
  <c r="F28" i="29"/>
  <c r="E28" i="29"/>
  <c r="C28" i="29"/>
  <c r="B28" i="29"/>
  <c r="A28" i="29"/>
  <c r="G27" i="29"/>
  <c r="F27" i="29"/>
  <c r="E27" i="29"/>
  <c r="C27" i="29"/>
  <c r="B27" i="29"/>
  <c r="A27" i="29"/>
  <c r="G26" i="29"/>
  <c r="F26" i="29"/>
  <c r="E26" i="29"/>
  <c r="C26" i="29"/>
  <c r="B26" i="29"/>
  <c r="A26" i="29"/>
  <c r="G25" i="29"/>
  <c r="F25" i="29"/>
  <c r="E25" i="29"/>
  <c r="C25" i="29"/>
  <c r="B25" i="29"/>
  <c r="A25" i="29"/>
  <c r="G24" i="29"/>
  <c r="F24" i="29"/>
  <c r="E24" i="29"/>
  <c r="C24" i="29"/>
  <c r="B24" i="29"/>
  <c r="A24" i="29"/>
  <c r="G23" i="29"/>
  <c r="F23" i="29"/>
  <c r="E23" i="29"/>
  <c r="C23" i="29"/>
  <c r="B23" i="29"/>
  <c r="A23" i="29"/>
  <c r="G22" i="29"/>
  <c r="F22" i="29"/>
  <c r="E22" i="29"/>
  <c r="C22" i="29"/>
  <c r="B22" i="29"/>
  <c r="A22" i="29"/>
  <c r="G21" i="29"/>
  <c r="F21" i="29"/>
  <c r="E21" i="29"/>
  <c r="C21" i="29"/>
  <c r="B21" i="29"/>
  <c r="A21" i="29"/>
  <c r="G20" i="29"/>
  <c r="F20" i="29"/>
  <c r="E20" i="29"/>
  <c r="C20" i="29"/>
  <c r="B20" i="29"/>
  <c r="A20" i="29"/>
  <c r="G19" i="29"/>
  <c r="F19" i="29"/>
  <c r="E19" i="29"/>
  <c r="C19" i="29"/>
  <c r="B19" i="29"/>
  <c r="A19" i="29"/>
  <c r="G18" i="29"/>
  <c r="F18" i="29"/>
  <c r="E18" i="29"/>
  <c r="C18" i="29"/>
  <c r="B18" i="29"/>
  <c r="A18" i="29"/>
  <c r="G17" i="29"/>
  <c r="F17" i="29"/>
  <c r="E17" i="29"/>
  <c r="C17" i="29"/>
  <c r="B17" i="29"/>
  <c r="A17" i="29"/>
  <c r="G16" i="29"/>
  <c r="F16" i="29"/>
  <c r="E16" i="29"/>
  <c r="C16" i="29"/>
  <c r="B16" i="29"/>
  <c r="A16" i="29"/>
  <c r="G15" i="29"/>
  <c r="F15" i="29"/>
  <c r="E15" i="29"/>
  <c r="C15" i="29"/>
  <c r="B15" i="29"/>
  <c r="A15" i="29"/>
  <c r="G14" i="29"/>
  <c r="F14" i="29"/>
  <c r="E14" i="29"/>
  <c r="C14" i="29"/>
  <c r="B14" i="29"/>
  <c r="A14" i="29"/>
  <c r="G13" i="29"/>
  <c r="F13" i="29"/>
  <c r="E13" i="29"/>
  <c r="C13" i="29"/>
  <c r="B13" i="29"/>
  <c r="A13" i="29"/>
  <c r="G12" i="29"/>
  <c r="F12" i="29"/>
  <c r="E12" i="29"/>
  <c r="C12" i="29"/>
  <c r="B12" i="29"/>
  <c r="A12" i="29"/>
  <c r="G11" i="29"/>
  <c r="F11" i="29"/>
  <c r="E11" i="29"/>
  <c r="C11" i="29"/>
  <c r="B11" i="29"/>
  <c r="A11" i="29"/>
  <c r="G10" i="29"/>
  <c r="F10" i="29"/>
  <c r="E10" i="29"/>
  <c r="C10" i="29"/>
  <c r="B10" i="29"/>
  <c r="A10" i="29"/>
  <c r="G9" i="29"/>
  <c r="F9" i="29"/>
  <c r="E9" i="29"/>
  <c r="C9" i="29"/>
  <c r="B9" i="29"/>
  <c r="A9" i="29"/>
  <c r="G8" i="29"/>
  <c r="F8" i="29"/>
  <c r="E8" i="29"/>
  <c r="C8" i="29"/>
  <c r="B8" i="29"/>
  <c r="A8" i="29"/>
  <c r="G7" i="29"/>
  <c r="F7" i="29"/>
  <c r="E7" i="29"/>
  <c r="C7" i="29"/>
  <c r="B7" i="29"/>
  <c r="A7" i="29"/>
  <c r="G6" i="29"/>
  <c r="F6" i="29"/>
  <c r="E6" i="29"/>
  <c r="C6" i="29"/>
  <c r="B6" i="29"/>
  <c r="A6" i="29"/>
  <c r="G5" i="29"/>
  <c r="F5" i="29"/>
  <c r="E5" i="29"/>
  <c r="C5" i="29"/>
  <c r="B5" i="29"/>
  <c r="A5" i="29"/>
  <c r="O9" i="26" l="1"/>
  <c r="O275" i="26"/>
  <c r="O267" i="26"/>
  <c r="O258" i="26"/>
  <c r="O248" i="26"/>
  <c r="O101" i="26"/>
  <c r="O232" i="26"/>
  <c r="O88" i="26"/>
  <c r="O80" i="26"/>
  <c r="O74" i="26"/>
  <c r="O66" i="26"/>
  <c r="O189" i="26"/>
  <c r="O181" i="26"/>
  <c r="O173" i="26"/>
  <c r="O32" i="26"/>
  <c r="O286" i="26"/>
  <c r="O274" i="26"/>
  <c r="O266" i="26"/>
  <c r="O256" i="26"/>
  <c r="O247" i="26"/>
  <c r="O239" i="26"/>
  <c r="O94" i="26"/>
  <c r="O221" i="26"/>
  <c r="O78" i="26"/>
  <c r="O203" i="26"/>
  <c r="O195" i="26"/>
  <c r="O56" i="26"/>
  <c r="O48" i="26"/>
  <c r="O171" i="26"/>
  <c r="O165" i="26"/>
  <c r="O140" i="26"/>
  <c r="O290" i="26"/>
  <c r="O281" i="26"/>
  <c r="O271" i="26"/>
  <c r="O264" i="26"/>
  <c r="O115" i="26"/>
  <c r="O106" i="26"/>
  <c r="O236" i="26"/>
  <c r="O227" i="26"/>
  <c r="O84" i="26"/>
  <c r="O77" i="26"/>
  <c r="O201" i="26"/>
  <c r="O62" i="26"/>
  <c r="O54" i="26"/>
  <c r="O177" i="26"/>
  <c r="O169" i="26"/>
  <c r="O30" i="26"/>
  <c r="O142" i="26"/>
  <c r="O18" i="26"/>
  <c r="O25" i="26"/>
  <c r="O133" i="26"/>
  <c r="O270" i="26"/>
  <c r="O261" i="26"/>
  <c r="O113" i="26"/>
  <c r="O243" i="26"/>
  <c r="O97" i="26"/>
  <c r="O89" i="26"/>
  <c r="O217" i="26"/>
  <c r="O208" i="26"/>
  <c r="O69" i="26"/>
  <c r="O191" i="26"/>
  <c r="O52" i="26"/>
  <c r="O44" i="26"/>
  <c r="O167" i="26"/>
  <c r="O20" i="26"/>
  <c r="O158" i="26"/>
  <c r="O285" i="26"/>
  <c r="O278" i="26"/>
  <c r="O129" i="26"/>
  <c r="O269" i="26"/>
  <c r="O265" i="26"/>
  <c r="O260" i="26"/>
  <c r="O255" i="26"/>
  <c r="O250" i="26"/>
  <c r="O246" i="26"/>
  <c r="O242" i="26"/>
  <c r="O238" i="26"/>
  <c r="O234" i="26"/>
  <c r="O93" i="26"/>
  <c r="O226" i="26"/>
  <c r="O86" i="26"/>
  <c r="O82" i="26"/>
  <c r="O213" i="26"/>
  <c r="O207" i="26"/>
  <c r="O202" i="26"/>
  <c r="O68" i="26"/>
  <c r="O64" i="26"/>
  <c r="O60" i="26"/>
  <c r="O187" i="26"/>
  <c r="O183" i="26"/>
  <c r="O179" i="26"/>
  <c r="O175" i="26"/>
  <c r="O170" i="26"/>
  <c r="O36" i="26"/>
  <c r="O164" i="26"/>
  <c r="O160" i="26"/>
  <c r="O155" i="26"/>
  <c r="O146" i="26"/>
  <c r="O497" i="31"/>
  <c r="O496" i="31"/>
  <c r="O285" i="31"/>
  <c r="O235" i="31"/>
  <c r="O234" i="31"/>
  <c r="O95" i="31"/>
  <c r="O191" i="31"/>
  <c r="O190" i="31"/>
  <c r="O233" i="31"/>
  <c r="O232" i="31"/>
  <c r="O299" i="31"/>
  <c r="O298" i="31"/>
  <c r="O94" i="31"/>
  <c r="O93" i="31"/>
  <c r="O189" i="31"/>
  <c r="O188" i="31"/>
  <c r="O297" i="31"/>
  <c r="O296" i="31"/>
  <c r="O284" i="31"/>
  <c r="O92" i="31"/>
  <c r="O91" i="31"/>
  <c r="O273" i="31"/>
  <c r="O272" i="31"/>
  <c r="O187" i="31"/>
  <c r="O186" i="31"/>
  <c r="O185" i="31"/>
  <c r="O184" i="31"/>
  <c r="O90" i="31"/>
  <c r="O89" i="31"/>
  <c r="O88" i="31"/>
  <c r="O87" i="31"/>
  <c r="O183" i="31"/>
  <c r="O182" i="31"/>
  <c r="O181" i="31"/>
  <c r="O180" i="31"/>
  <c r="O179" i="31"/>
  <c r="O178" i="31"/>
  <c r="O177" i="31"/>
  <c r="O176" i="31"/>
  <c r="O175" i="31"/>
  <c r="O271" i="31"/>
  <c r="O231" i="31"/>
  <c r="O230" i="31"/>
  <c r="O229" i="31"/>
  <c r="O228" i="31"/>
  <c r="O227" i="31"/>
  <c r="O283" i="31"/>
  <c r="O282" i="31"/>
  <c r="O226" i="31"/>
  <c r="O225" i="31"/>
  <c r="O224" i="31"/>
  <c r="O223" i="31"/>
  <c r="O222" i="31"/>
  <c r="O221" i="31"/>
  <c r="O270" i="31"/>
  <c r="O269" i="31"/>
  <c r="O268" i="31"/>
  <c r="O267" i="31"/>
  <c r="O295" i="31"/>
  <c r="O294" i="31"/>
  <c r="O86" i="31"/>
  <c r="O85" i="31"/>
  <c r="O84" i="31"/>
  <c r="O174" i="31"/>
  <c r="O173" i="31"/>
  <c r="O172" i="31"/>
  <c r="O171" i="31"/>
  <c r="O170" i="31"/>
  <c r="O169" i="31"/>
  <c r="O168" i="31"/>
  <c r="O167" i="31"/>
  <c r="O166" i="31"/>
  <c r="O165" i="31"/>
  <c r="O164" i="31"/>
  <c r="O83" i="31"/>
  <c r="O82" i="31"/>
  <c r="O220" i="31"/>
  <c r="O219" i="31"/>
  <c r="O81" i="31"/>
  <c r="O80" i="31"/>
  <c r="O79" i="31"/>
  <c r="O218" i="31"/>
  <c r="O281" i="31"/>
  <c r="O280" i="31"/>
  <c r="O217" i="31"/>
  <c r="O216" i="31"/>
  <c r="O215" i="31"/>
  <c r="O214" i="31"/>
  <c r="O213" i="31"/>
  <c r="O212" i="31"/>
  <c r="O211" i="31"/>
  <c r="O210" i="31"/>
  <c r="O209" i="31"/>
  <c r="O208" i="31"/>
  <c r="O207" i="31"/>
  <c r="O206" i="31"/>
  <c r="O78" i="31"/>
  <c r="O77" i="31"/>
  <c r="O76" i="31"/>
  <c r="O75" i="31"/>
  <c r="O74" i="31"/>
  <c r="O73" i="31"/>
  <c r="O72" i="31"/>
  <c r="O71" i="31"/>
  <c r="O70" i="31"/>
  <c r="O69" i="31"/>
  <c r="O68" i="31"/>
  <c r="O67" i="31"/>
  <c r="O266" i="31"/>
  <c r="O265" i="31"/>
  <c r="O66" i="31"/>
  <c r="O65" i="31"/>
  <c r="O64" i="31"/>
  <c r="O63" i="31"/>
  <c r="O62" i="31"/>
  <c r="O61" i="31"/>
  <c r="O60" i="31"/>
  <c r="O59" i="31"/>
  <c r="O58" i="31"/>
  <c r="O57" i="31"/>
  <c r="O56" i="31"/>
  <c r="O55" i="31"/>
  <c r="O54" i="31"/>
  <c r="O53" i="31"/>
  <c r="O52" i="31"/>
  <c r="O51" i="31"/>
  <c r="O50" i="31"/>
  <c r="O49" i="31"/>
  <c r="O48" i="31"/>
  <c r="O47" i="31"/>
  <c r="O46" i="31"/>
  <c r="O45" i="31"/>
  <c r="O205" i="31"/>
  <c r="O204" i="31"/>
  <c r="O203" i="31"/>
  <c r="O202" i="31"/>
  <c r="O201" i="31"/>
  <c r="O200" i="31"/>
  <c r="O199" i="31"/>
  <c r="O198" i="31"/>
  <c r="O163" i="31"/>
  <c r="O162" i="31"/>
  <c r="O161" i="31"/>
  <c r="O160" i="31"/>
  <c r="O159" i="31"/>
  <c r="O158" i="31"/>
  <c r="O157" i="31"/>
  <c r="O156" i="31"/>
  <c r="O155" i="31"/>
  <c r="O154" i="31"/>
  <c r="O153" i="31"/>
  <c r="O152" i="31"/>
  <c r="O151" i="31"/>
  <c r="O150" i="31"/>
  <c r="O149" i="31"/>
  <c r="O148" i="31"/>
  <c r="O147" i="31"/>
  <c r="O146" i="31"/>
  <c r="O145" i="31"/>
  <c r="O144" i="31"/>
  <c r="O143" i="31"/>
  <c r="O142" i="31"/>
  <c r="O141" i="31"/>
  <c r="O140" i="31"/>
  <c r="O139" i="31"/>
  <c r="O138" i="31"/>
  <c r="O137" i="31"/>
  <c r="O136" i="31"/>
  <c r="O135" i="31"/>
  <c r="O134" i="31"/>
  <c r="O133" i="31"/>
  <c r="O132" i="31"/>
  <c r="O131" i="31"/>
  <c r="O130" i="31"/>
  <c r="O44" i="31"/>
  <c r="O43" i="31"/>
  <c r="O129" i="31"/>
  <c r="O128" i="31"/>
  <c r="O127" i="31"/>
  <c r="O126" i="31"/>
  <c r="O125" i="31"/>
  <c r="O124" i="31"/>
  <c r="O123" i="31"/>
  <c r="O122" i="31"/>
  <c r="O121" i="31"/>
  <c r="O120" i="31"/>
  <c r="O119" i="31"/>
  <c r="O118" i="31"/>
  <c r="O117" i="31"/>
  <c r="O116" i="31"/>
  <c r="O115" i="31"/>
  <c r="O114" i="31"/>
  <c r="O113" i="31"/>
  <c r="O112" i="31"/>
  <c r="O111" i="31"/>
  <c r="O110" i="31"/>
  <c r="O197" i="31"/>
  <c r="O196" i="31"/>
  <c r="O195" i="31"/>
  <c r="O194" i="31"/>
  <c r="O42" i="31"/>
  <c r="O41" i="31"/>
  <c r="O40" i="31"/>
  <c r="O39" i="31"/>
  <c r="O38" i="31"/>
  <c r="O37" i="31"/>
  <c r="O36" i="31"/>
  <c r="O35" i="31"/>
  <c r="O34" i="31"/>
  <c r="O33" i="31"/>
  <c r="O32" i="31"/>
  <c r="O31" i="31"/>
  <c r="O30" i="31"/>
  <c r="O29" i="31"/>
  <c r="O28" i="31"/>
  <c r="O27" i="31"/>
  <c r="O193" i="31"/>
  <c r="O192" i="31"/>
  <c r="O279" i="31"/>
  <c r="O278" i="31"/>
  <c r="O277" i="31"/>
  <c r="O276" i="31"/>
  <c r="O26" i="31"/>
  <c r="O25" i="31"/>
  <c r="O24" i="31"/>
  <c r="O275" i="31"/>
  <c r="O274" i="31"/>
  <c r="O109" i="31"/>
  <c r="O108" i="31"/>
  <c r="O107" i="31"/>
  <c r="O293" i="31"/>
  <c r="O292" i="31"/>
  <c r="O291" i="31"/>
  <c r="O290" i="31"/>
  <c r="O289" i="31"/>
  <c r="O288" i="31"/>
  <c r="O242" i="31"/>
  <c r="O241" i="31"/>
  <c r="O106" i="31"/>
  <c r="O105" i="31"/>
  <c r="O19" i="31"/>
  <c r="O16" i="31"/>
  <c r="O15" i="31"/>
  <c r="O12" i="31"/>
  <c r="O287" i="31"/>
  <c r="O286" i="31"/>
  <c r="O104" i="31"/>
  <c r="O103" i="31"/>
  <c r="O264" i="31"/>
  <c r="O263" i="31"/>
  <c r="O262" i="31"/>
  <c r="O261" i="31"/>
  <c r="O102" i="31"/>
  <c r="O100" i="31"/>
  <c r="O240" i="31"/>
  <c r="O239" i="31"/>
  <c r="O246" i="31"/>
  <c r="O245" i="31"/>
  <c r="O238" i="31"/>
  <c r="O99" i="31"/>
  <c r="O98" i="31"/>
  <c r="O97" i="31"/>
  <c r="O23" i="31"/>
  <c r="O22" i="31"/>
  <c r="O251" i="31"/>
  <c r="O257" i="31"/>
  <c r="O18" i="31"/>
  <c r="O11" i="31"/>
  <c r="O254" i="31"/>
  <c r="O14" i="31"/>
  <c r="O10" i="31"/>
  <c r="O6" i="31"/>
  <c r="O250" i="31"/>
  <c r="O101" i="31"/>
  <c r="O96" i="31"/>
  <c r="O252" i="31"/>
  <c r="O258" i="31"/>
  <c r="O17" i="31"/>
  <c r="O256" i="31"/>
  <c r="O255" i="31"/>
  <c r="O253" i="31"/>
  <c r="O13" i="31"/>
  <c r="O9" i="31"/>
  <c r="O5" i="31"/>
  <c r="O249" i="31"/>
  <c r="O134" i="26"/>
  <c r="O136" i="26"/>
  <c r="O138" i="26"/>
  <c r="O11" i="26"/>
  <c r="O13" i="26"/>
  <c r="O15" i="26"/>
  <c r="O147" i="26"/>
  <c r="O149" i="26"/>
  <c r="O150" i="26"/>
  <c r="O153" i="26"/>
  <c r="O156" i="26"/>
  <c r="O159" i="26"/>
  <c r="O27" i="26"/>
  <c r="O162" i="26"/>
  <c r="O31" i="26"/>
  <c r="O34" i="26"/>
  <c r="O168" i="26"/>
  <c r="O39" i="26"/>
  <c r="O172" i="26"/>
  <c r="O43" i="26"/>
  <c r="O45" i="26"/>
  <c r="O47" i="26"/>
  <c r="O49" i="26"/>
  <c r="O51" i="26"/>
  <c r="O184" i="26"/>
  <c r="O186" i="26"/>
  <c r="O57" i="26"/>
  <c r="O190" i="26"/>
  <c r="O192" i="26"/>
  <c r="O194" i="26"/>
  <c r="O196" i="26"/>
  <c r="O198" i="26"/>
  <c r="O199" i="26"/>
  <c r="O71" i="26"/>
  <c r="O204" i="26"/>
  <c r="O206" i="26"/>
  <c r="O209" i="26"/>
  <c r="O211" i="26"/>
  <c r="O214" i="26"/>
  <c r="O216" i="26"/>
  <c r="O218" i="26"/>
  <c r="O220" i="26"/>
  <c r="O222" i="26"/>
  <c r="O224" i="26"/>
  <c r="O90" i="26"/>
  <c r="O229" i="26"/>
  <c r="O230" i="26"/>
  <c r="O96" i="26"/>
  <c r="O98" i="26"/>
  <c r="O100" i="26"/>
  <c r="O240" i="26"/>
  <c r="O103" i="26"/>
  <c r="O244" i="26"/>
  <c r="O108" i="26"/>
  <c r="O109" i="26"/>
  <c r="O111" i="26"/>
  <c r="O251" i="26"/>
  <c r="O253" i="26"/>
  <c r="O257" i="26"/>
  <c r="O259" i="26"/>
  <c r="O262" i="26"/>
  <c r="O120" i="26"/>
  <c r="O122" i="26"/>
  <c r="O124" i="26"/>
  <c r="O126" i="26"/>
  <c r="O128" i="26"/>
  <c r="O130" i="26"/>
  <c r="O277" i="26"/>
  <c r="O279" i="26"/>
  <c r="O283" i="26"/>
  <c r="O287" i="26"/>
  <c r="O291" i="26"/>
  <c r="O6" i="26"/>
  <c r="O8" i="26"/>
  <c r="O10" i="26"/>
  <c r="O141" i="26"/>
  <c r="O143" i="26"/>
  <c r="O145" i="26"/>
  <c r="O17" i="26"/>
  <c r="O21" i="26"/>
  <c r="O22" i="26"/>
  <c r="O157" i="26"/>
  <c r="O24" i="26"/>
  <c r="O28" i="26"/>
  <c r="O29" i="26"/>
  <c r="O163" i="26"/>
  <c r="O166" i="26"/>
  <c r="O35" i="26"/>
  <c r="O37" i="26"/>
  <c r="O40" i="26"/>
  <c r="O41" i="26"/>
  <c r="O174" i="26"/>
  <c r="O176" i="26"/>
  <c r="O178" i="26"/>
  <c r="O180" i="26"/>
  <c r="O182" i="26"/>
  <c r="O53" i="26"/>
  <c r="O55" i="26"/>
  <c r="O188" i="26"/>
  <c r="O59" i="26"/>
  <c r="O61" i="26"/>
  <c r="O63" i="26"/>
  <c r="O65" i="26"/>
  <c r="O67" i="26"/>
  <c r="O200" i="26"/>
  <c r="O72" i="26"/>
  <c r="O73" i="26"/>
  <c r="O75" i="26"/>
  <c r="O76" i="26"/>
  <c r="O212" i="26"/>
  <c r="O79" i="26"/>
  <c r="O81" i="26"/>
  <c r="O83" i="26"/>
  <c r="O85" i="26"/>
  <c r="O87" i="26"/>
  <c r="O225" i="26"/>
  <c r="O91" i="26"/>
  <c r="O92" i="26"/>
  <c r="O231" i="26"/>
  <c r="O233" i="26"/>
  <c r="O235" i="26"/>
  <c r="O237" i="26"/>
  <c r="O241" i="26"/>
  <c r="O104" i="26"/>
  <c r="O105" i="26"/>
  <c r="O245" i="26"/>
  <c r="O110" i="26"/>
  <c r="O112" i="26"/>
  <c r="O114" i="26"/>
  <c r="O254" i="26"/>
  <c r="O116" i="26"/>
  <c r="O118" i="26"/>
  <c r="O263" i="26"/>
  <c r="O121" i="26"/>
  <c r="O123" i="26"/>
  <c r="O125" i="26"/>
  <c r="O127" i="26"/>
  <c r="O273" i="26"/>
  <c r="O131" i="26"/>
  <c r="O132" i="26"/>
  <c r="O280" i="26"/>
  <c r="O284" i="26"/>
  <c r="O288" i="26"/>
  <c r="O5" i="26"/>
  <c r="O135" i="26"/>
  <c r="O137" i="26"/>
  <c r="O139" i="26"/>
  <c r="O12" i="26"/>
  <c r="O14" i="26"/>
  <c r="O16" i="26"/>
  <c r="O148" i="26"/>
  <c r="O19" i="26"/>
  <c r="O151" i="26"/>
  <c r="O154" i="26"/>
  <c r="O23" i="26"/>
  <c r="O289" i="26"/>
  <c r="O282" i="26"/>
  <c r="O276" i="26"/>
  <c r="O272" i="26"/>
  <c r="O268" i="26"/>
  <c r="O119" i="26"/>
  <c r="O117" i="26"/>
  <c r="O252" i="26"/>
  <c r="O249" i="26"/>
  <c r="O107" i="26"/>
  <c r="O102" i="26"/>
  <c r="O99" i="26"/>
  <c r="O95" i="26"/>
  <c r="O228" i="26"/>
  <c r="O223" i="26"/>
  <c r="O219" i="26"/>
  <c r="O215" i="26"/>
  <c r="O210" i="26"/>
  <c r="O205" i="26"/>
  <c r="O70" i="26"/>
  <c r="O197" i="26"/>
  <c r="O193" i="26"/>
  <c r="O58" i="26"/>
  <c r="O185" i="26"/>
  <c r="O50" i="26"/>
  <c r="O46" i="26"/>
  <c r="O42" i="26"/>
  <c r="O38" i="26"/>
  <c r="O33" i="26"/>
  <c r="O161" i="26"/>
  <c r="O26" i="26"/>
  <c r="O152" i="26"/>
  <c r="O144" i="26"/>
  <c r="O7" i="26"/>
  <c r="G289" i="29"/>
  <c r="C8" i="11" s="1"/>
  <c r="C42" i="11" s="1"/>
  <c r="E72" i="28"/>
  <c r="C44" i="11" l="1"/>
  <c r="G44" i="11" s="1"/>
  <c r="C13" i="11" s="1"/>
  <c r="G42" i="11"/>
  <c r="D58" i="28"/>
  <c r="D61" i="28" s="1"/>
  <c r="D46" i="28"/>
  <c r="D49" i="28" s="1"/>
  <c r="D34" i="28"/>
  <c r="D37" i="28" s="1"/>
  <c r="D27" i="28"/>
  <c r="D22" i="28"/>
  <c r="D25" i="28" s="1"/>
  <c r="D10" i="28"/>
  <c r="D13" i="28" s="1"/>
  <c r="E17" i="28" s="1"/>
  <c r="E29" i="28" l="1"/>
  <c r="D39" i="28"/>
  <c r="E41" i="28" l="1"/>
  <c r="D51" i="28"/>
  <c r="D63" i="28" s="1"/>
  <c r="E53" i="28" l="1"/>
  <c r="E65" i="28" l="1"/>
  <c r="E74" i="28" s="1"/>
  <c r="E20" i="12" s="1"/>
  <c r="C10" i="11" l="1"/>
  <c r="C9" i="11"/>
  <c r="C7" i="11"/>
  <c r="C14" i="11"/>
  <c r="C12" i="11" l="1"/>
  <c r="C15" i="11" s="1"/>
  <c r="C19" i="11" s="1"/>
  <c r="C22" i="11" s="1"/>
  <c r="E21" i="12" s="1"/>
  <c r="M52" i="27" l="1"/>
  <c r="J134" i="26"/>
  <c r="J6" i="26"/>
  <c r="J135" i="26"/>
  <c r="J7" i="26"/>
  <c r="J136" i="26"/>
  <c r="J8" i="26"/>
  <c r="J137" i="26"/>
  <c r="J9" i="26"/>
  <c r="J138" i="26"/>
  <c r="J10" i="26"/>
  <c r="J139" i="26"/>
  <c r="J140" i="26"/>
  <c r="J11" i="26"/>
  <c r="J141" i="26"/>
  <c r="J12" i="26"/>
  <c r="J142" i="26"/>
  <c r="J13" i="26"/>
  <c r="J143" i="26"/>
  <c r="J14" i="26"/>
  <c r="J144" i="26"/>
  <c r="J15" i="26"/>
  <c r="J145" i="26"/>
  <c r="J16" i="26"/>
  <c r="J146" i="26"/>
  <c r="J147" i="26"/>
  <c r="J17" i="26"/>
  <c r="J148" i="26"/>
  <c r="J18" i="26"/>
  <c r="J149" i="26"/>
  <c r="J19" i="26"/>
  <c r="J20" i="26"/>
  <c r="J150" i="26"/>
  <c r="J21" i="26"/>
  <c r="J151" i="26"/>
  <c r="J152" i="26"/>
  <c r="J153" i="26"/>
  <c r="J22" i="26"/>
  <c r="J154" i="26"/>
  <c r="J155" i="26"/>
  <c r="J156" i="26"/>
  <c r="J157" i="26"/>
  <c r="J23" i="26"/>
  <c r="J158" i="26"/>
  <c r="J159" i="26"/>
  <c r="J24" i="26"/>
  <c r="J25" i="26"/>
  <c r="J26" i="26"/>
  <c r="J27" i="26"/>
  <c r="J28" i="26"/>
  <c r="J160" i="26"/>
  <c r="J29" i="26"/>
  <c r="J30" i="26"/>
  <c r="J161" i="26"/>
  <c r="J162" i="26"/>
  <c r="J163" i="26"/>
  <c r="J164" i="26"/>
  <c r="J165" i="26"/>
  <c r="J31" i="26"/>
  <c r="J166" i="26"/>
  <c r="J32" i="26"/>
  <c r="J33" i="26"/>
  <c r="J34" i="26"/>
  <c r="J35" i="26"/>
  <c r="J36" i="26"/>
  <c r="J167" i="26"/>
  <c r="J168" i="26"/>
  <c r="J37" i="26"/>
  <c r="J169" i="26"/>
  <c r="J38" i="26"/>
  <c r="J39" i="26"/>
  <c r="J40" i="26"/>
  <c r="J170" i="26"/>
  <c r="J171" i="26"/>
  <c r="J172" i="26"/>
  <c r="J41" i="26"/>
  <c r="J173" i="26"/>
  <c r="J42" i="26"/>
  <c r="J43" i="26"/>
  <c r="J174" i="26"/>
  <c r="J175" i="26"/>
  <c r="J44" i="26"/>
  <c r="J45" i="26"/>
  <c r="J176" i="26"/>
  <c r="J177" i="26"/>
  <c r="J46" i="26"/>
  <c r="J47" i="26"/>
  <c r="J178" i="26"/>
  <c r="J179" i="26"/>
  <c r="J48" i="26"/>
  <c r="J49" i="26"/>
  <c r="J180" i="26"/>
  <c r="J181" i="26"/>
  <c r="J50" i="26"/>
  <c r="J51" i="26"/>
  <c r="J182" i="26"/>
  <c r="J183" i="26"/>
  <c r="J52" i="26"/>
  <c r="J184" i="26"/>
  <c r="J53" i="26"/>
  <c r="J54" i="26"/>
  <c r="J185" i="26"/>
  <c r="J186" i="26"/>
  <c r="J55" i="26"/>
  <c r="J187" i="26"/>
  <c r="J56" i="26"/>
  <c r="J57" i="26"/>
  <c r="J188" i="26"/>
  <c r="J189" i="26"/>
  <c r="J58" i="26"/>
  <c r="J190" i="26"/>
  <c r="J59" i="26"/>
  <c r="J60" i="26"/>
  <c r="J191" i="26"/>
  <c r="J192" i="26"/>
  <c r="J61" i="26"/>
  <c r="J62" i="26"/>
  <c r="J193" i="26"/>
  <c r="J194" i="26"/>
  <c r="J63" i="26"/>
  <c r="J64" i="26"/>
  <c r="J195" i="26"/>
  <c r="J196" i="26"/>
  <c r="J65" i="26"/>
  <c r="J66" i="26"/>
  <c r="J197" i="26"/>
  <c r="J198" i="26"/>
  <c r="J67" i="26"/>
  <c r="J68" i="26"/>
  <c r="J69" i="26"/>
  <c r="J199" i="26"/>
  <c r="J200" i="26"/>
  <c r="J201" i="26"/>
  <c r="J70" i="26"/>
  <c r="J71" i="26"/>
  <c r="J72" i="26"/>
  <c r="J202" i="26"/>
  <c r="J203" i="26"/>
  <c r="J204" i="26"/>
  <c r="J73" i="26"/>
  <c r="J74" i="26"/>
  <c r="J205" i="26"/>
  <c r="J206" i="26"/>
  <c r="J75" i="26"/>
  <c r="J207" i="26"/>
  <c r="J208" i="26"/>
  <c r="J209" i="26"/>
  <c r="J76" i="26"/>
  <c r="J77" i="26"/>
  <c r="J210" i="26"/>
  <c r="J211" i="26"/>
  <c r="J212" i="26"/>
  <c r="J213" i="26"/>
  <c r="J78" i="26"/>
  <c r="J214" i="26"/>
  <c r="J79" i="26"/>
  <c r="J80" i="26"/>
  <c r="J215" i="26"/>
  <c r="J216" i="26"/>
  <c r="J81" i="26"/>
  <c r="J82" i="26"/>
  <c r="J217" i="26"/>
  <c r="J218" i="26"/>
  <c r="J83" i="26"/>
  <c r="J84" i="26"/>
  <c r="J219" i="26"/>
  <c r="J220" i="26"/>
  <c r="J85" i="26"/>
  <c r="J86" i="26"/>
  <c r="J221" i="26"/>
  <c r="J222" i="26"/>
  <c r="J87" i="26"/>
  <c r="J88" i="26"/>
  <c r="J223" i="26"/>
  <c r="J224" i="26"/>
  <c r="J225" i="26"/>
  <c r="J226" i="26"/>
  <c r="J89" i="26"/>
  <c r="J90" i="26"/>
  <c r="J91" i="26"/>
  <c r="J227" i="26"/>
  <c r="J228" i="26"/>
  <c r="J229" i="26"/>
  <c r="J92" i="26"/>
  <c r="J93" i="26"/>
  <c r="J94" i="26"/>
  <c r="J230" i="26"/>
  <c r="J231" i="26"/>
  <c r="J232" i="26"/>
  <c r="J95" i="26"/>
  <c r="J96" i="26"/>
  <c r="J233" i="26"/>
  <c r="J234" i="26"/>
  <c r="J97" i="26"/>
  <c r="J98" i="26"/>
  <c r="J235" i="26"/>
  <c r="J236" i="26"/>
  <c r="J99" i="26"/>
  <c r="J100" i="26"/>
  <c r="J237" i="26"/>
  <c r="J238" i="26"/>
  <c r="J239" i="26"/>
  <c r="J240" i="26"/>
  <c r="J241" i="26"/>
  <c r="J101" i="26"/>
  <c r="J102" i="26"/>
  <c r="J103" i="26"/>
  <c r="J104" i="26"/>
  <c r="J242" i="26"/>
  <c r="J243" i="26"/>
  <c r="J244" i="26"/>
  <c r="J105" i="26"/>
  <c r="J106" i="26"/>
  <c r="J107" i="26"/>
  <c r="J108" i="26"/>
  <c r="J245" i="26"/>
  <c r="J246" i="26"/>
  <c r="J247" i="26"/>
  <c r="J109" i="26"/>
  <c r="J110" i="26"/>
  <c r="J248" i="26"/>
  <c r="J249" i="26"/>
  <c r="J111" i="26"/>
  <c r="J112" i="26"/>
  <c r="J250" i="26"/>
  <c r="J113" i="26"/>
  <c r="J251" i="26"/>
  <c r="J114" i="26"/>
  <c r="J115" i="26"/>
  <c r="J252" i="26"/>
  <c r="J253" i="26"/>
  <c r="J254" i="26"/>
  <c r="J255" i="26"/>
  <c r="J256" i="26"/>
  <c r="J257" i="26"/>
  <c r="J116" i="26"/>
  <c r="J258" i="26"/>
  <c r="J117" i="26"/>
  <c r="J259" i="26"/>
  <c r="J118" i="26"/>
  <c r="J260" i="26"/>
  <c r="J261" i="26"/>
  <c r="J262" i="26"/>
  <c r="J263" i="26"/>
  <c r="J264" i="26"/>
  <c r="J119" i="26"/>
  <c r="J120" i="26"/>
  <c r="J121" i="26"/>
  <c r="J265" i="26"/>
  <c r="J266" i="26"/>
  <c r="J122" i="26"/>
  <c r="J123" i="26"/>
  <c r="J267" i="26"/>
  <c r="J268" i="26"/>
  <c r="J124" i="26"/>
  <c r="J125" i="26"/>
  <c r="J269" i="26"/>
  <c r="J270" i="26"/>
  <c r="J126" i="26"/>
  <c r="J127" i="26"/>
  <c r="J271" i="26"/>
  <c r="J272" i="26"/>
  <c r="J128" i="26"/>
  <c r="J273" i="26"/>
  <c r="J129" i="26"/>
  <c r="J274" i="26"/>
  <c r="J130" i="26"/>
  <c r="J131" i="26"/>
  <c r="J275" i="26"/>
  <c r="J276" i="26"/>
  <c r="J277" i="26"/>
  <c r="J132" i="26"/>
  <c r="J278" i="26"/>
  <c r="J133" i="26"/>
  <c r="J279" i="26"/>
  <c r="J280" i="26"/>
  <c r="J281" i="26"/>
  <c r="J282" i="26"/>
  <c r="J283" i="26"/>
  <c r="J284" i="26"/>
  <c r="J285" i="26"/>
  <c r="J286" i="26"/>
  <c r="J287" i="26"/>
  <c r="J288" i="26"/>
  <c r="L288" i="26" s="1"/>
  <c r="J290" i="26"/>
  <c r="J289" i="26"/>
  <c r="J291" i="26"/>
  <c r="J5" i="26"/>
  <c r="M291" i="26"/>
  <c r="M289" i="26"/>
  <c r="M290" i="26"/>
  <c r="M288" i="26"/>
  <c r="L290" i="26" l="1"/>
  <c r="L289" i="26"/>
  <c r="L291" i="26"/>
  <c r="I52" i="27" l="1"/>
  <c r="M49" i="27"/>
  <c r="L49" i="27"/>
  <c r="M48" i="27"/>
  <c r="L48" i="27"/>
  <c r="M47" i="27"/>
  <c r="L47" i="27"/>
  <c r="M46" i="27"/>
  <c r="L46" i="27"/>
  <c r="M45" i="27"/>
  <c r="L45" i="27"/>
  <c r="M44" i="27"/>
  <c r="L44" i="27"/>
  <c r="M43" i="27"/>
  <c r="L43" i="27"/>
  <c r="M42" i="27"/>
  <c r="L42" i="27"/>
  <c r="M41" i="27"/>
  <c r="L41" i="27"/>
  <c r="M40" i="27"/>
  <c r="L40" i="27"/>
  <c r="M39" i="27"/>
  <c r="L39" i="27"/>
  <c r="M38" i="27"/>
  <c r="L38" i="27"/>
  <c r="M37" i="27"/>
  <c r="L37" i="27"/>
  <c r="M36" i="27"/>
  <c r="L36" i="27"/>
  <c r="M35" i="27"/>
  <c r="L35" i="27"/>
  <c r="M34" i="27"/>
  <c r="L34" i="27"/>
  <c r="M33" i="27"/>
  <c r="L33" i="27"/>
  <c r="M32" i="27"/>
  <c r="L32" i="27"/>
  <c r="M31" i="27"/>
  <c r="L31" i="27"/>
  <c r="M30" i="27"/>
  <c r="L30" i="27"/>
  <c r="M29" i="27"/>
  <c r="L29" i="27"/>
  <c r="M28" i="27"/>
  <c r="L28" i="27"/>
  <c r="M27" i="27"/>
  <c r="L27" i="27"/>
  <c r="M26" i="27"/>
  <c r="L26" i="27"/>
  <c r="M25" i="27"/>
  <c r="L25" i="27"/>
  <c r="M24" i="27"/>
  <c r="L24" i="27"/>
  <c r="M23" i="27"/>
  <c r="L23" i="27"/>
  <c r="M22" i="27"/>
  <c r="L22" i="27"/>
  <c r="M21" i="27"/>
  <c r="L21" i="27"/>
  <c r="M20" i="27"/>
  <c r="L20" i="27"/>
  <c r="M19" i="27"/>
  <c r="L19" i="27"/>
  <c r="M18" i="27"/>
  <c r="L18" i="27"/>
  <c r="M17" i="27"/>
  <c r="L17" i="27"/>
  <c r="M16" i="27"/>
  <c r="L16" i="27"/>
  <c r="M15" i="27"/>
  <c r="L15" i="27"/>
  <c r="M14" i="27"/>
  <c r="L14" i="27"/>
  <c r="M13" i="27"/>
  <c r="L13" i="27"/>
  <c r="M12" i="27"/>
  <c r="L12" i="27"/>
  <c r="M11" i="27"/>
  <c r="L11" i="27"/>
  <c r="M10" i="27"/>
  <c r="L10" i="27"/>
  <c r="M9" i="27"/>
  <c r="L9" i="27"/>
  <c r="M8" i="27"/>
  <c r="L8" i="27"/>
  <c r="M7" i="27"/>
  <c r="L7" i="27"/>
  <c r="M6" i="27"/>
  <c r="L6" i="27"/>
  <c r="M5" i="27"/>
  <c r="L5" i="27"/>
  <c r="M287" i="26" l="1"/>
  <c r="L287" i="26"/>
  <c r="M286" i="26"/>
  <c r="L286" i="26"/>
  <c r="M285" i="26"/>
  <c r="L285" i="26"/>
  <c r="M284" i="26"/>
  <c r="L284" i="26"/>
  <c r="M283" i="26"/>
  <c r="L283" i="26"/>
  <c r="M282" i="26"/>
  <c r="L282" i="26"/>
  <c r="M281" i="26"/>
  <c r="L281" i="26"/>
  <c r="M280" i="26"/>
  <c r="L280" i="26"/>
  <c r="M279" i="26"/>
  <c r="L279" i="26"/>
  <c r="M133" i="26"/>
  <c r="L133" i="26"/>
  <c r="M278" i="26"/>
  <c r="L278" i="26"/>
  <c r="M132" i="26"/>
  <c r="L132" i="26"/>
  <c r="M277" i="26"/>
  <c r="L277" i="26"/>
  <c r="M276" i="26"/>
  <c r="L276" i="26"/>
  <c r="M275" i="26"/>
  <c r="L275" i="26"/>
  <c r="M131" i="26"/>
  <c r="L131" i="26"/>
  <c r="M130" i="26"/>
  <c r="L130" i="26"/>
  <c r="M274" i="26"/>
  <c r="L274" i="26"/>
  <c r="M129" i="26"/>
  <c r="L129" i="26"/>
  <c r="M273" i="26"/>
  <c r="L273" i="26"/>
  <c r="M128" i="26"/>
  <c r="L128" i="26"/>
  <c r="M272" i="26"/>
  <c r="L272" i="26"/>
  <c r="M271" i="26"/>
  <c r="L271" i="26"/>
  <c r="M127" i="26"/>
  <c r="L127" i="26"/>
  <c r="M126" i="26"/>
  <c r="L126" i="26"/>
  <c r="M270" i="26"/>
  <c r="L270" i="26"/>
  <c r="M269" i="26"/>
  <c r="L269" i="26"/>
  <c r="M125" i="26"/>
  <c r="L125" i="26"/>
  <c r="M124" i="26"/>
  <c r="L124" i="26"/>
  <c r="M268" i="26"/>
  <c r="L268" i="26"/>
  <c r="M267" i="26"/>
  <c r="L267" i="26"/>
  <c r="M123" i="26"/>
  <c r="L123" i="26"/>
  <c r="M122" i="26"/>
  <c r="L122" i="26"/>
  <c r="M266" i="26"/>
  <c r="L266" i="26"/>
  <c r="M265" i="26"/>
  <c r="L265" i="26"/>
  <c r="M121" i="26"/>
  <c r="L121" i="26"/>
  <c r="M120" i="26"/>
  <c r="L120" i="26"/>
  <c r="M119" i="26"/>
  <c r="L119" i="26"/>
  <c r="M264" i="26"/>
  <c r="L264" i="26"/>
  <c r="M263" i="26"/>
  <c r="L263" i="26"/>
  <c r="M262" i="26"/>
  <c r="L262" i="26"/>
  <c r="M261" i="26"/>
  <c r="L261" i="26"/>
  <c r="M260" i="26"/>
  <c r="L260" i="26"/>
  <c r="M118" i="26"/>
  <c r="L118" i="26"/>
  <c r="M259" i="26"/>
  <c r="L259" i="26"/>
  <c r="M117" i="26"/>
  <c r="L117" i="26"/>
  <c r="M258" i="26"/>
  <c r="L258" i="26"/>
  <c r="M116" i="26"/>
  <c r="L116" i="26"/>
  <c r="M257" i="26"/>
  <c r="L257" i="26"/>
  <c r="M256" i="26"/>
  <c r="L256" i="26"/>
  <c r="M255" i="26"/>
  <c r="L255" i="26"/>
  <c r="M254" i="26"/>
  <c r="L254" i="26"/>
  <c r="M253" i="26"/>
  <c r="L253" i="26"/>
  <c r="M252" i="26"/>
  <c r="L252" i="26"/>
  <c r="M115" i="26"/>
  <c r="L115" i="26"/>
  <c r="M114" i="26"/>
  <c r="L114" i="26"/>
  <c r="M251" i="26"/>
  <c r="L251" i="26"/>
  <c r="M113" i="26"/>
  <c r="L113" i="26"/>
  <c r="M250" i="26"/>
  <c r="L250" i="26"/>
  <c r="M112" i="26"/>
  <c r="L112" i="26"/>
  <c r="M111" i="26"/>
  <c r="L111" i="26"/>
  <c r="M249" i="26"/>
  <c r="L249" i="26"/>
  <c r="M248" i="26"/>
  <c r="L248" i="26"/>
  <c r="M110" i="26"/>
  <c r="L110" i="26"/>
  <c r="M109" i="26"/>
  <c r="L109" i="26"/>
  <c r="M247" i="26"/>
  <c r="L247" i="26"/>
  <c r="M246" i="26"/>
  <c r="L246" i="26"/>
  <c r="M245" i="26"/>
  <c r="L245" i="26"/>
  <c r="M108" i="26"/>
  <c r="L108" i="26"/>
  <c r="M107" i="26"/>
  <c r="L107" i="26"/>
  <c r="M106" i="26"/>
  <c r="L106" i="26"/>
  <c r="M105" i="26"/>
  <c r="L105" i="26"/>
  <c r="M244" i="26"/>
  <c r="L244" i="26"/>
  <c r="M243" i="26"/>
  <c r="L243" i="26"/>
  <c r="M242" i="26"/>
  <c r="L242" i="26"/>
  <c r="M104" i="26"/>
  <c r="L104" i="26"/>
  <c r="M103" i="26"/>
  <c r="L103" i="26"/>
  <c r="M102" i="26"/>
  <c r="L102" i="26"/>
  <c r="M101" i="26"/>
  <c r="L101" i="26"/>
  <c r="M241" i="26"/>
  <c r="L241" i="26"/>
  <c r="M240" i="26"/>
  <c r="L240" i="26"/>
  <c r="M239" i="26"/>
  <c r="L239" i="26"/>
  <c r="M238" i="26"/>
  <c r="L238" i="26"/>
  <c r="M237" i="26"/>
  <c r="L237" i="26"/>
  <c r="M100" i="26"/>
  <c r="L100" i="26"/>
  <c r="M99" i="26"/>
  <c r="L99" i="26"/>
  <c r="M236" i="26"/>
  <c r="L236" i="26"/>
  <c r="M235" i="26"/>
  <c r="L235" i="26"/>
  <c r="M98" i="26"/>
  <c r="L98" i="26"/>
  <c r="M97" i="26"/>
  <c r="L97" i="26"/>
  <c r="M234" i="26"/>
  <c r="L234" i="26"/>
  <c r="M233" i="26"/>
  <c r="L233" i="26"/>
  <c r="M96" i="26"/>
  <c r="L96" i="26"/>
  <c r="M95" i="26"/>
  <c r="L95" i="26"/>
  <c r="M232" i="26"/>
  <c r="L232" i="26"/>
  <c r="M231" i="26"/>
  <c r="L231" i="26"/>
  <c r="M230" i="26"/>
  <c r="L230" i="26"/>
  <c r="M94" i="26"/>
  <c r="L94" i="26"/>
  <c r="M93" i="26"/>
  <c r="L93" i="26"/>
  <c r="M92" i="26"/>
  <c r="L92" i="26"/>
  <c r="M229" i="26"/>
  <c r="L229" i="26"/>
  <c r="M228" i="26"/>
  <c r="L228" i="26"/>
  <c r="M227" i="26"/>
  <c r="L227" i="26"/>
  <c r="M91" i="26"/>
  <c r="L91" i="26"/>
  <c r="M90" i="26"/>
  <c r="L90" i="26"/>
  <c r="M89" i="26"/>
  <c r="L89" i="26"/>
  <c r="M226" i="26"/>
  <c r="L226" i="26"/>
  <c r="M225" i="26"/>
  <c r="L225" i="26"/>
  <c r="M224" i="26"/>
  <c r="L224" i="26"/>
  <c r="M223" i="26"/>
  <c r="L223" i="26"/>
  <c r="M88" i="26"/>
  <c r="L88" i="26"/>
  <c r="M87" i="26"/>
  <c r="L87" i="26"/>
  <c r="M222" i="26"/>
  <c r="L222" i="26"/>
  <c r="M221" i="26"/>
  <c r="L221" i="26"/>
  <c r="M86" i="26"/>
  <c r="L86" i="26"/>
  <c r="M85" i="26"/>
  <c r="L85" i="26"/>
  <c r="M220" i="26"/>
  <c r="L220" i="26"/>
  <c r="M219" i="26"/>
  <c r="L219" i="26"/>
  <c r="M84" i="26"/>
  <c r="L84" i="26"/>
  <c r="M83" i="26"/>
  <c r="L83" i="26"/>
  <c r="M218" i="26"/>
  <c r="L218" i="26"/>
  <c r="M217" i="26"/>
  <c r="L217" i="26"/>
  <c r="M82" i="26"/>
  <c r="L82" i="26"/>
  <c r="M81" i="26"/>
  <c r="L81" i="26"/>
  <c r="M216" i="26"/>
  <c r="L216" i="26"/>
  <c r="M215" i="26"/>
  <c r="L215" i="26"/>
  <c r="M80" i="26"/>
  <c r="L80" i="26"/>
  <c r="M79" i="26"/>
  <c r="L79" i="26"/>
  <c r="M214" i="26"/>
  <c r="L214" i="26"/>
  <c r="M78" i="26"/>
  <c r="L78" i="26"/>
  <c r="M213" i="26"/>
  <c r="L213" i="26"/>
  <c r="M212" i="26"/>
  <c r="L212" i="26"/>
  <c r="M211" i="26"/>
  <c r="L211" i="26"/>
  <c r="M210" i="26"/>
  <c r="L210" i="26"/>
  <c r="M77" i="26"/>
  <c r="L77" i="26"/>
  <c r="M76" i="26"/>
  <c r="L76" i="26"/>
  <c r="M209" i="26"/>
  <c r="L209" i="26"/>
  <c r="M208" i="26"/>
  <c r="L208" i="26"/>
  <c r="M207" i="26"/>
  <c r="L207" i="26"/>
  <c r="M75" i="26"/>
  <c r="L75" i="26"/>
  <c r="M206" i="26"/>
  <c r="L206" i="26"/>
  <c r="M205" i="26"/>
  <c r="L205" i="26"/>
  <c r="M74" i="26"/>
  <c r="L74" i="26"/>
  <c r="M73" i="26"/>
  <c r="L73" i="26"/>
  <c r="M204" i="26"/>
  <c r="L204" i="26"/>
  <c r="M203" i="26"/>
  <c r="L203" i="26"/>
  <c r="M202" i="26"/>
  <c r="L202" i="26"/>
  <c r="M72" i="26"/>
  <c r="L72" i="26"/>
  <c r="M71" i="26"/>
  <c r="L71" i="26"/>
  <c r="M70" i="26"/>
  <c r="L70" i="26"/>
  <c r="M201" i="26"/>
  <c r="L201" i="26"/>
  <c r="M200" i="26"/>
  <c r="L200" i="26"/>
  <c r="M199" i="26"/>
  <c r="L199" i="26"/>
  <c r="M69" i="26"/>
  <c r="L69" i="26"/>
  <c r="M68" i="26"/>
  <c r="L68" i="26"/>
  <c r="M67" i="26"/>
  <c r="L67" i="26"/>
  <c r="M198" i="26"/>
  <c r="L198" i="26"/>
  <c r="M197" i="26"/>
  <c r="L197" i="26"/>
  <c r="M66" i="26"/>
  <c r="L66" i="26"/>
  <c r="M65" i="26"/>
  <c r="L65" i="26"/>
  <c r="M196" i="26"/>
  <c r="L196" i="26"/>
  <c r="M195" i="26"/>
  <c r="L195" i="26"/>
  <c r="M64" i="26"/>
  <c r="L64" i="26"/>
  <c r="M63" i="26"/>
  <c r="L63" i="26"/>
  <c r="M194" i="26"/>
  <c r="L194" i="26"/>
  <c r="M193" i="26"/>
  <c r="L193" i="26"/>
  <c r="M62" i="26"/>
  <c r="L62" i="26"/>
  <c r="M61" i="26"/>
  <c r="L61" i="26"/>
  <c r="M192" i="26"/>
  <c r="L192" i="26"/>
  <c r="M191" i="26"/>
  <c r="L191" i="26"/>
  <c r="M60" i="26"/>
  <c r="L60" i="26"/>
  <c r="M59" i="26"/>
  <c r="L59" i="26"/>
  <c r="M190" i="26"/>
  <c r="L190" i="26"/>
  <c r="M58" i="26"/>
  <c r="L58" i="26"/>
  <c r="M189" i="26"/>
  <c r="L189" i="26"/>
  <c r="M188" i="26"/>
  <c r="L188" i="26"/>
  <c r="M57" i="26"/>
  <c r="L57" i="26"/>
  <c r="M56" i="26"/>
  <c r="L56" i="26"/>
  <c r="M187" i="26"/>
  <c r="L187" i="26"/>
  <c r="M55" i="26"/>
  <c r="L55" i="26"/>
  <c r="M186" i="26"/>
  <c r="L186" i="26"/>
  <c r="M185" i="26"/>
  <c r="L185" i="26"/>
  <c r="M54" i="26"/>
  <c r="L54" i="26"/>
  <c r="M53" i="26"/>
  <c r="L53" i="26"/>
  <c r="M184" i="26"/>
  <c r="L184" i="26"/>
  <c r="M52" i="26"/>
  <c r="L52" i="26"/>
  <c r="M183" i="26"/>
  <c r="L183" i="26"/>
  <c r="M182" i="26"/>
  <c r="L182" i="26"/>
  <c r="M51" i="26"/>
  <c r="L51" i="26"/>
  <c r="M50" i="26"/>
  <c r="L50" i="26"/>
  <c r="M181" i="26"/>
  <c r="L181" i="26"/>
  <c r="M180" i="26"/>
  <c r="L180" i="26"/>
  <c r="M49" i="26"/>
  <c r="L49" i="26"/>
  <c r="M48" i="26"/>
  <c r="L48" i="26"/>
  <c r="M179" i="26"/>
  <c r="L179" i="26"/>
  <c r="M178" i="26"/>
  <c r="L178" i="26"/>
  <c r="M47" i="26"/>
  <c r="L47" i="26"/>
  <c r="M46" i="26"/>
  <c r="L46" i="26"/>
  <c r="M177" i="26"/>
  <c r="L177" i="26"/>
  <c r="M176" i="26"/>
  <c r="L176" i="26"/>
  <c r="M45" i="26"/>
  <c r="L45" i="26"/>
  <c r="M44" i="26"/>
  <c r="L44" i="26"/>
  <c r="M175" i="26"/>
  <c r="L175" i="26"/>
  <c r="M174" i="26"/>
  <c r="L174" i="26"/>
  <c r="M43" i="26"/>
  <c r="L43" i="26"/>
  <c r="M42" i="26"/>
  <c r="L42" i="26"/>
  <c r="M173" i="26"/>
  <c r="L173" i="26"/>
  <c r="M41" i="26"/>
  <c r="L41" i="26"/>
  <c r="M172" i="26"/>
  <c r="L172" i="26"/>
  <c r="M171" i="26"/>
  <c r="L171" i="26"/>
  <c r="M170" i="26"/>
  <c r="L170" i="26"/>
  <c r="M40" i="26"/>
  <c r="L40" i="26"/>
  <c r="M39" i="26"/>
  <c r="L39" i="26"/>
  <c r="M38" i="26"/>
  <c r="L38" i="26"/>
  <c r="M169" i="26"/>
  <c r="L169" i="26"/>
  <c r="M37" i="26"/>
  <c r="L37" i="26"/>
  <c r="M168" i="26"/>
  <c r="L168" i="26"/>
  <c r="M167" i="26"/>
  <c r="L167" i="26"/>
  <c r="M36" i="26"/>
  <c r="L36" i="26"/>
  <c r="M35" i="26"/>
  <c r="L35" i="26"/>
  <c r="M34" i="26"/>
  <c r="L34" i="26"/>
  <c r="M33" i="26"/>
  <c r="L33" i="26"/>
  <c r="M32" i="26"/>
  <c r="L32" i="26"/>
  <c r="M166" i="26"/>
  <c r="L166" i="26"/>
  <c r="M31" i="26"/>
  <c r="L31" i="26"/>
  <c r="M165" i="26"/>
  <c r="L165" i="26"/>
  <c r="M164" i="26"/>
  <c r="L164" i="26"/>
  <c r="M163" i="26"/>
  <c r="L163" i="26"/>
  <c r="M162" i="26"/>
  <c r="L162" i="26"/>
  <c r="M161" i="26"/>
  <c r="L161" i="26"/>
  <c r="M30" i="26"/>
  <c r="L30" i="26"/>
  <c r="M29" i="26"/>
  <c r="L29" i="26"/>
  <c r="M160" i="26"/>
  <c r="L160" i="26"/>
  <c r="M28" i="26"/>
  <c r="L28" i="26"/>
  <c r="M27" i="26"/>
  <c r="L27" i="26"/>
  <c r="M26" i="26"/>
  <c r="L26" i="26"/>
  <c r="M25" i="26"/>
  <c r="L25" i="26"/>
  <c r="M24" i="26"/>
  <c r="L24" i="26"/>
  <c r="M159" i="26"/>
  <c r="L159" i="26"/>
  <c r="M158" i="26"/>
  <c r="L158" i="26"/>
  <c r="M23" i="26"/>
  <c r="L23" i="26"/>
  <c r="M157" i="26"/>
  <c r="L157" i="26"/>
  <c r="M156" i="26"/>
  <c r="L156" i="26"/>
  <c r="M155" i="26"/>
  <c r="L155" i="26"/>
  <c r="M154" i="26"/>
  <c r="L154" i="26"/>
  <c r="M22" i="26"/>
  <c r="L22" i="26"/>
  <c r="M153" i="26"/>
  <c r="L153" i="26"/>
  <c r="M152" i="26"/>
  <c r="L152" i="26"/>
  <c r="M151" i="26"/>
  <c r="L151" i="26"/>
  <c r="M21" i="26"/>
  <c r="L21" i="26"/>
  <c r="M150" i="26"/>
  <c r="L150" i="26"/>
  <c r="M20" i="26"/>
  <c r="L20" i="26"/>
  <c r="M19" i="26"/>
  <c r="L19" i="26"/>
  <c r="M149" i="26"/>
  <c r="L149" i="26"/>
  <c r="M18" i="26"/>
  <c r="L18" i="26"/>
  <c r="M148" i="26"/>
  <c r="L148" i="26"/>
  <c r="M17" i="26"/>
  <c r="L17" i="26"/>
  <c r="M147" i="26"/>
  <c r="L147" i="26"/>
  <c r="M146" i="26"/>
  <c r="L146" i="26"/>
  <c r="M16" i="26"/>
  <c r="L16" i="26"/>
  <c r="M145" i="26"/>
  <c r="L145" i="26"/>
  <c r="M15" i="26"/>
  <c r="L15" i="26"/>
  <c r="M144" i="26"/>
  <c r="L144" i="26"/>
  <c r="M14" i="26"/>
  <c r="L14" i="26"/>
  <c r="M143" i="26"/>
  <c r="L143" i="26"/>
  <c r="M13" i="26"/>
  <c r="L13" i="26"/>
  <c r="M142" i="26"/>
  <c r="L142" i="26"/>
  <c r="M12" i="26"/>
  <c r="L12" i="26"/>
  <c r="M141" i="26"/>
  <c r="L141" i="26"/>
  <c r="M11" i="26"/>
  <c r="L11" i="26"/>
  <c r="M140" i="26"/>
  <c r="L140" i="26"/>
  <c r="M139" i="26"/>
  <c r="L139" i="26"/>
  <c r="M10" i="26"/>
  <c r="L10" i="26"/>
  <c r="M138" i="26"/>
  <c r="L138" i="26"/>
  <c r="M9" i="26"/>
  <c r="L9" i="26"/>
  <c r="M137" i="26"/>
  <c r="L137" i="26"/>
  <c r="M8" i="26"/>
  <c r="L8" i="26"/>
  <c r="M136" i="26"/>
  <c r="L136" i="26"/>
  <c r="M7" i="26"/>
  <c r="L7" i="26"/>
  <c r="M135" i="26"/>
  <c r="L135" i="26"/>
  <c r="M6" i="26"/>
  <c r="L6" i="26"/>
  <c r="M134" i="26"/>
  <c r="L134" i="26"/>
  <c r="M5" i="26"/>
  <c r="L5" i="26"/>
  <c r="L293" i="26" l="1"/>
  <c r="M293" i="26"/>
  <c r="I832" i="5" l="1"/>
  <c r="I1750" i="5" l="1"/>
  <c r="K1617" i="5"/>
  <c r="M1617" i="5" s="1"/>
  <c r="K1618" i="5"/>
  <c r="M1618" i="5" s="1"/>
  <c r="K1619" i="5"/>
  <c r="M1619" i="5" s="1"/>
  <c r="K1620" i="5"/>
  <c r="M1620" i="5" s="1"/>
  <c r="K1621" i="5"/>
  <c r="M1621" i="5" s="1"/>
  <c r="K1622" i="5"/>
  <c r="M1622" i="5" s="1"/>
  <c r="K1623" i="5"/>
  <c r="M1623" i="5" s="1"/>
  <c r="K1624" i="5"/>
  <c r="M1624" i="5" s="1"/>
  <c r="K1625" i="5"/>
  <c r="M1625" i="5" s="1"/>
  <c r="K1626" i="5"/>
  <c r="M1626" i="5" s="1"/>
  <c r="K1627" i="5"/>
  <c r="M1627" i="5" s="1"/>
  <c r="K1628" i="5"/>
  <c r="M1628" i="5" s="1"/>
  <c r="K1629" i="5"/>
  <c r="M1629" i="5" s="1"/>
  <c r="K1630" i="5"/>
  <c r="M1630" i="5" s="1"/>
  <c r="K1631" i="5"/>
  <c r="M1631" i="5" s="1"/>
  <c r="K1632" i="5"/>
  <c r="M1632" i="5" s="1"/>
  <c r="K1633" i="5"/>
  <c r="M1633" i="5" s="1"/>
  <c r="K1634" i="5"/>
  <c r="M1634" i="5" s="1"/>
  <c r="K1635" i="5"/>
  <c r="M1635" i="5" s="1"/>
  <c r="K1636" i="5"/>
  <c r="M1636" i="5" s="1"/>
  <c r="K1637" i="5"/>
  <c r="M1637" i="5" s="1"/>
  <c r="K1638" i="5"/>
  <c r="M1638" i="5" s="1"/>
  <c r="K1639" i="5"/>
  <c r="M1639" i="5" s="1"/>
  <c r="K1640" i="5"/>
  <c r="M1640" i="5" s="1"/>
  <c r="K1641" i="5"/>
  <c r="M1641" i="5" s="1"/>
  <c r="K1642" i="5"/>
  <c r="M1642" i="5" s="1"/>
  <c r="K1643" i="5"/>
  <c r="M1643" i="5" s="1"/>
  <c r="K1644" i="5"/>
  <c r="M1644" i="5" s="1"/>
  <c r="K1645" i="5"/>
  <c r="M1645" i="5" s="1"/>
  <c r="K1646" i="5"/>
  <c r="M1646" i="5" s="1"/>
  <c r="K1647" i="5"/>
  <c r="M1647" i="5" s="1"/>
  <c r="K1648" i="5"/>
  <c r="M1648" i="5" s="1"/>
  <c r="K1649" i="5"/>
  <c r="M1649" i="5" s="1"/>
  <c r="K1650" i="5"/>
  <c r="M1650" i="5" s="1"/>
  <c r="K1651" i="5"/>
  <c r="M1651" i="5" s="1"/>
  <c r="K1652" i="5"/>
  <c r="M1652" i="5" s="1"/>
  <c r="K1653" i="5"/>
  <c r="M1653" i="5" s="1"/>
  <c r="K1654" i="5"/>
  <c r="M1654" i="5" s="1"/>
  <c r="K1655" i="5"/>
  <c r="M1655" i="5" s="1"/>
  <c r="K1656" i="5"/>
  <c r="M1656" i="5" s="1"/>
  <c r="K1657" i="5"/>
  <c r="M1657" i="5" s="1"/>
  <c r="K1658" i="5"/>
  <c r="M1658" i="5" s="1"/>
  <c r="K1659" i="5"/>
  <c r="M1659" i="5" s="1"/>
  <c r="K1660" i="5"/>
  <c r="M1660" i="5" s="1"/>
  <c r="K1661" i="5"/>
  <c r="M1661" i="5" s="1"/>
  <c r="K1662" i="5"/>
  <c r="M1662" i="5" s="1"/>
  <c r="K1663" i="5"/>
  <c r="M1663" i="5" s="1"/>
  <c r="K1664" i="5"/>
  <c r="M1664" i="5" s="1"/>
  <c r="K1665" i="5"/>
  <c r="M1665" i="5" s="1"/>
  <c r="K1666" i="5"/>
  <c r="M1666" i="5" s="1"/>
  <c r="K1667" i="5"/>
  <c r="M1667" i="5" s="1"/>
  <c r="K1668" i="5"/>
  <c r="M1668" i="5" s="1"/>
  <c r="K1669" i="5"/>
  <c r="M1669" i="5" s="1"/>
  <c r="K1670" i="5"/>
  <c r="M1670" i="5" s="1"/>
  <c r="K1671" i="5"/>
  <c r="M1671" i="5" s="1"/>
  <c r="K1672" i="5"/>
  <c r="M1672" i="5" s="1"/>
  <c r="K1673" i="5"/>
  <c r="M1673" i="5" s="1"/>
  <c r="K1674" i="5"/>
  <c r="M1674" i="5" s="1"/>
  <c r="K1675" i="5"/>
  <c r="M1675" i="5" s="1"/>
  <c r="K1676" i="5"/>
  <c r="M1676" i="5" s="1"/>
  <c r="K1677" i="5"/>
  <c r="M1677" i="5" s="1"/>
  <c r="K1678" i="5"/>
  <c r="M1678" i="5" s="1"/>
  <c r="K1679" i="5"/>
  <c r="M1679" i="5" s="1"/>
  <c r="K1680" i="5"/>
  <c r="M1680" i="5" s="1"/>
  <c r="K1681" i="5"/>
  <c r="M1681" i="5" s="1"/>
  <c r="K1682" i="5"/>
  <c r="M1682" i="5" s="1"/>
  <c r="K1683" i="5"/>
  <c r="M1683" i="5" s="1"/>
  <c r="K1684" i="5"/>
  <c r="M1684" i="5" s="1"/>
  <c r="K1685" i="5"/>
  <c r="M1685" i="5" s="1"/>
  <c r="K1686" i="5"/>
  <c r="M1686" i="5" s="1"/>
  <c r="K1687" i="5"/>
  <c r="M1687" i="5" s="1"/>
  <c r="K1688" i="5"/>
  <c r="M1688" i="5" s="1"/>
  <c r="K1689" i="5"/>
  <c r="M1689" i="5" s="1"/>
  <c r="K1690" i="5"/>
  <c r="M1690" i="5" s="1"/>
  <c r="K1691" i="5"/>
  <c r="M1691" i="5" s="1"/>
  <c r="K1692" i="5"/>
  <c r="M1692" i="5" s="1"/>
  <c r="K1693" i="5"/>
  <c r="M1693" i="5" s="1"/>
  <c r="K1694" i="5"/>
  <c r="M1694" i="5" s="1"/>
  <c r="K1695" i="5"/>
  <c r="M1695" i="5" s="1"/>
  <c r="K1696" i="5"/>
  <c r="M1696" i="5" s="1"/>
  <c r="K1697" i="5"/>
  <c r="M1697" i="5" s="1"/>
  <c r="K1698" i="5"/>
  <c r="M1698" i="5" s="1"/>
  <c r="K1699" i="5"/>
  <c r="M1699" i="5" s="1"/>
  <c r="K1700" i="5"/>
  <c r="M1700" i="5" s="1"/>
  <c r="K1701" i="5"/>
  <c r="M1701" i="5" s="1"/>
  <c r="K1702" i="5"/>
  <c r="M1702" i="5" s="1"/>
  <c r="K1703" i="5"/>
  <c r="M1703" i="5" s="1"/>
  <c r="K1704" i="5"/>
  <c r="M1704" i="5" s="1"/>
  <c r="K1705" i="5"/>
  <c r="M1705" i="5" s="1"/>
  <c r="K1706" i="5"/>
  <c r="M1706" i="5" s="1"/>
  <c r="K1707" i="5"/>
  <c r="M1707" i="5" s="1"/>
  <c r="K1708" i="5"/>
  <c r="M1708" i="5" s="1"/>
  <c r="K1709" i="5"/>
  <c r="M1709" i="5" s="1"/>
  <c r="K1710" i="5"/>
  <c r="M1710" i="5" s="1"/>
  <c r="K1711" i="5"/>
  <c r="M1711" i="5" s="1"/>
  <c r="K1712" i="5"/>
  <c r="M1712" i="5" s="1"/>
  <c r="K1713" i="5"/>
  <c r="M1713" i="5" s="1"/>
  <c r="K1714" i="5"/>
  <c r="M1714" i="5" s="1"/>
  <c r="K1715" i="5"/>
  <c r="M1715" i="5" s="1"/>
  <c r="K1716" i="5"/>
  <c r="M1716" i="5" s="1"/>
  <c r="K1717" i="5"/>
  <c r="M1717" i="5" s="1"/>
  <c r="K1718" i="5"/>
  <c r="M1718" i="5" s="1"/>
  <c r="K1719" i="5"/>
  <c r="M1719" i="5" s="1"/>
  <c r="K1720" i="5"/>
  <c r="M1720" i="5" s="1"/>
  <c r="K1721" i="5"/>
  <c r="M1721" i="5" s="1"/>
  <c r="K1722" i="5"/>
  <c r="M1722" i="5" s="1"/>
  <c r="K1723" i="5"/>
  <c r="M1723" i="5" s="1"/>
  <c r="K1724" i="5"/>
  <c r="M1724" i="5" s="1"/>
  <c r="K1725" i="5"/>
  <c r="M1725" i="5" s="1"/>
  <c r="K1726" i="5"/>
  <c r="M1726" i="5" s="1"/>
  <c r="K1727" i="5"/>
  <c r="M1727" i="5" s="1"/>
  <c r="K1728" i="5"/>
  <c r="M1728" i="5" s="1"/>
  <c r="K1729" i="5"/>
  <c r="M1729" i="5" s="1"/>
  <c r="K1730" i="5"/>
  <c r="M1730" i="5" s="1"/>
  <c r="K1731" i="5"/>
  <c r="M1731" i="5" s="1"/>
  <c r="K1732" i="5"/>
  <c r="M1732" i="5" s="1"/>
  <c r="K1733" i="5"/>
  <c r="M1733" i="5" s="1"/>
  <c r="K1734" i="5"/>
  <c r="M1734" i="5" s="1"/>
  <c r="K1735" i="5"/>
  <c r="M1735" i="5" s="1"/>
  <c r="K1736" i="5"/>
  <c r="M1736" i="5" s="1"/>
  <c r="K1737" i="5"/>
  <c r="M1737" i="5" s="1"/>
  <c r="K1738" i="5"/>
  <c r="M1738" i="5" s="1"/>
  <c r="K1739" i="5"/>
  <c r="M1739" i="5" s="1"/>
  <c r="K1740" i="5"/>
  <c r="M1740" i="5" s="1"/>
  <c r="K1741" i="5"/>
  <c r="M1741" i="5" s="1"/>
  <c r="K1742" i="5"/>
  <c r="M1742" i="5" s="1"/>
  <c r="K1743" i="5"/>
  <c r="M1743" i="5" s="1"/>
  <c r="K1744" i="5"/>
  <c r="M1744" i="5" s="1"/>
  <c r="K1745" i="5"/>
  <c r="M1745" i="5" s="1"/>
  <c r="K1746" i="5"/>
  <c r="M1746" i="5" s="1"/>
  <c r="K1747" i="5"/>
  <c r="M1747" i="5" s="1"/>
  <c r="K1748" i="5"/>
  <c r="M1748" i="5" s="1"/>
  <c r="K1327" i="5" l="1"/>
  <c r="M1327" i="5" s="1"/>
  <c r="K1328" i="5" l="1"/>
  <c r="M1328" i="5" s="1"/>
  <c r="K1329" i="5"/>
  <c r="M1329" i="5" s="1"/>
  <c r="K1330" i="5"/>
  <c r="M1330" i="5" s="1"/>
  <c r="K1331" i="5" l="1"/>
  <c r="M1331" i="5" s="1"/>
  <c r="K1332" i="5" l="1"/>
  <c r="M1332" i="5" s="1"/>
  <c r="K1333" i="5" l="1"/>
  <c r="M1333" i="5" s="1"/>
  <c r="K1334" i="5" l="1"/>
  <c r="M1334" i="5" s="1"/>
  <c r="K1335" i="5" l="1"/>
  <c r="M1335" i="5" s="1"/>
  <c r="K1336" i="5" l="1"/>
  <c r="M1336" i="5" s="1"/>
  <c r="K1337" i="5" l="1"/>
  <c r="M1337" i="5" s="1"/>
  <c r="K1338" i="5" l="1"/>
  <c r="M1338" i="5" s="1"/>
  <c r="K1339" i="5" l="1"/>
  <c r="M1339" i="5" s="1"/>
  <c r="K1340" i="5" l="1"/>
  <c r="M1340" i="5" s="1"/>
  <c r="K1341" i="5" l="1"/>
  <c r="M1341" i="5" s="1"/>
  <c r="K1342" i="5" l="1"/>
  <c r="M1342" i="5" s="1"/>
  <c r="K1343" i="5" l="1"/>
  <c r="M1343" i="5" s="1"/>
  <c r="K1344" i="5" l="1"/>
  <c r="M1344" i="5" s="1"/>
  <c r="K1345" i="5" l="1"/>
  <c r="M1345" i="5" s="1"/>
  <c r="K1346" i="5" l="1"/>
  <c r="M1346" i="5" s="1"/>
  <c r="K1347" i="5" l="1"/>
  <c r="M1347" i="5" s="1"/>
  <c r="K1348" i="5" l="1"/>
  <c r="M1348" i="5" s="1"/>
  <c r="K1349" i="5" l="1"/>
  <c r="M1349" i="5" s="1"/>
  <c r="K1350" i="5" l="1"/>
  <c r="M1350" i="5" s="1"/>
  <c r="K1351" i="5" l="1"/>
  <c r="M1351" i="5" s="1"/>
  <c r="K1352" i="5" l="1"/>
  <c r="M1352" i="5" s="1"/>
  <c r="K1353" i="5" l="1"/>
  <c r="M1353" i="5" s="1"/>
  <c r="K1354" i="5" l="1"/>
  <c r="M1354" i="5" s="1"/>
  <c r="K1355" i="5" l="1"/>
  <c r="M1355" i="5" s="1"/>
  <c r="K1356" i="5" l="1"/>
  <c r="M1356" i="5" s="1"/>
  <c r="K1357" i="5" l="1"/>
  <c r="M1357" i="5" s="1"/>
  <c r="K1358" i="5" l="1"/>
  <c r="M1358" i="5" s="1"/>
  <c r="K1359" i="5" l="1"/>
  <c r="M1359" i="5" s="1"/>
  <c r="K1360" i="5" l="1"/>
  <c r="M1360" i="5" s="1"/>
  <c r="K1361" i="5" l="1"/>
  <c r="M1361" i="5" s="1"/>
  <c r="K1362" i="5" l="1"/>
  <c r="M1362" i="5" s="1"/>
  <c r="K1363" i="5" l="1"/>
  <c r="M1363" i="5" s="1"/>
  <c r="K1364" i="5" l="1"/>
  <c r="M1364" i="5" s="1"/>
  <c r="K1365" i="5" l="1"/>
  <c r="M1365" i="5" s="1"/>
  <c r="K1366" i="5" l="1"/>
  <c r="M1366" i="5" s="1"/>
  <c r="K1367" i="5" l="1"/>
  <c r="M1367" i="5" s="1"/>
  <c r="K1368" i="5" l="1"/>
  <c r="M1368" i="5" s="1"/>
  <c r="K1369" i="5" l="1"/>
  <c r="M1369" i="5" s="1"/>
  <c r="K1370" i="5" l="1"/>
  <c r="M1370" i="5" s="1"/>
  <c r="K1371" i="5" l="1"/>
  <c r="M1371" i="5" s="1"/>
  <c r="K1372" i="5" l="1"/>
  <c r="M1372" i="5" s="1"/>
  <c r="K1373" i="5" l="1"/>
  <c r="M1373" i="5" s="1"/>
  <c r="K1374" i="5" l="1"/>
  <c r="M1374" i="5" s="1"/>
  <c r="K1375" i="5" l="1"/>
  <c r="M1375" i="5" s="1"/>
  <c r="K1376" i="5" l="1"/>
  <c r="M1376" i="5" s="1"/>
  <c r="K1377" i="5" l="1"/>
  <c r="M1377" i="5" s="1"/>
  <c r="K1378" i="5" l="1"/>
  <c r="M1378" i="5" s="1"/>
  <c r="K1379" i="5" l="1"/>
  <c r="M1379" i="5" s="1"/>
  <c r="K1380" i="5" l="1"/>
  <c r="M1380" i="5" s="1"/>
  <c r="K1381" i="5" l="1"/>
  <c r="M1381" i="5" s="1"/>
  <c r="K1382" i="5" l="1"/>
  <c r="M1382" i="5" s="1"/>
  <c r="K1383" i="5" l="1"/>
  <c r="M1383" i="5" s="1"/>
  <c r="K1384" i="5" l="1"/>
  <c r="M1384" i="5" s="1"/>
  <c r="K1385" i="5" l="1"/>
  <c r="M1385" i="5" s="1"/>
  <c r="K1386" i="5" l="1"/>
  <c r="M1386" i="5" s="1"/>
  <c r="K1387" i="5" l="1"/>
  <c r="M1387" i="5" s="1"/>
  <c r="K1388" i="5" l="1"/>
  <c r="M1388" i="5" s="1"/>
  <c r="K1389" i="5" l="1"/>
  <c r="M1389" i="5" s="1"/>
  <c r="K1390" i="5" l="1"/>
  <c r="M1390" i="5" s="1"/>
  <c r="K1391" i="5" l="1"/>
  <c r="M1391" i="5" s="1"/>
  <c r="K1392" i="5" l="1"/>
  <c r="M1392" i="5" s="1"/>
  <c r="K1393" i="5" l="1"/>
  <c r="M1393" i="5" s="1"/>
  <c r="K1394" i="5" l="1"/>
  <c r="M1394" i="5" s="1"/>
  <c r="K1395" i="5" l="1"/>
  <c r="M1395" i="5" s="1"/>
  <c r="K1396" i="5" l="1"/>
  <c r="M1396" i="5" s="1"/>
  <c r="K1397" i="5" l="1"/>
  <c r="M1397" i="5" s="1"/>
  <c r="K1398" i="5" l="1"/>
  <c r="M1398" i="5" s="1"/>
  <c r="K1399" i="5" l="1"/>
  <c r="M1399" i="5" s="1"/>
  <c r="K1400" i="5" l="1"/>
  <c r="M1400" i="5" s="1"/>
  <c r="K1401" i="5" l="1"/>
  <c r="M1401" i="5" s="1"/>
  <c r="K1402" i="5" l="1"/>
  <c r="M1402" i="5" s="1"/>
  <c r="K1403" i="5" l="1"/>
  <c r="M1403" i="5" s="1"/>
  <c r="K1404" i="5" l="1"/>
  <c r="M1404" i="5" s="1"/>
  <c r="K1405" i="5" l="1"/>
  <c r="M1405" i="5" s="1"/>
  <c r="K1406" i="5" l="1"/>
  <c r="M1406" i="5" s="1"/>
  <c r="K1407" i="5" l="1"/>
  <c r="M1407" i="5" s="1"/>
  <c r="K1408" i="5" l="1"/>
  <c r="M1408" i="5" s="1"/>
  <c r="K1409" i="5" l="1"/>
  <c r="M1409" i="5" s="1"/>
  <c r="K1410" i="5" l="1"/>
  <c r="M1410" i="5" s="1"/>
  <c r="K1411" i="5" l="1"/>
  <c r="M1411" i="5" s="1"/>
  <c r="K1412" i="5" l="1"/>
  <c r="M1412" i="5" s="1"/>
  <c r="K1413" i="5" l="1"/>
  <c r="M1413" i="5" s="1"/>
  <c r="K1414" i="5" l="1"/>
  <c r="M1414" i="5" s="1"/>
  <c r="K1415" i="5" l="1"/>
  <c r="M1415" i="5" s="1"/>
  <c r="K1416" i="5" l="1"/>
  <c r="M1416" i="5" s="1"/>
  <c r="K1417" i="5" l="1"/>
  <c r="M1417" i="5" s="1"/>
  <c r="K1418" i="5" l="1"/>
  <c r="M1418" i="5" s="1"/>
  <c r="K1419" i="5" l="1"/>
  <c r="M1419" i="5" s="1"/>
  <c r="K1420" i="5" l="1"/>
  <c r="M1420" i="5" s="1"/>
  <c r="K1421" i="5" l="1"/>
  <c r="M1421" i="5" s="1"/>
  <c r="K1422" i="5" l="1"/>
  <c r="M1422" i="5" s="1"/>
  <c r="K1423" i="5" l="1"/>
  <c r="M1423" i="5" s="1"/>
  <c r="K1424" i="5" l="1"/>
  <c r="M1424" i="5" s="1"/>
  <c r="K1425" i="5" l="1"/>
  <c r="M1425" i="5" s="1"/>
  <c r="K1426" i="5" l="1"/>
  <c r="M1426" i="5" s="1"/>
  <c r="K1427" i="5" l="1"/>
  <c r="M1427" i="5" s="1"/>
  <c r="K1428" i="5" l="1"/>
  <c r="M1428" i="5" s="1"/>
  <c r="K1429" i="5" l="1"/>
  <c r="M1429" i="5" s="1"/>
  <c r="K1430" i="5" l="1"/>
  <c r="M1430" i="5" s="1"/>
  <c r="K1431" i="5" l="1"/>
  <c r="M1431" i="5" s="1"/>
  <c r="K1432" i="5" l="1"/>
  <c r="M1432" i="5" s="1"/>
  <c r="K1433" i="5" l="1"/>
  <c r="M1433" i="5" s="1"/>
  <c r="K1434" i="5" l="1"/>
  <c r="M1434" i="5" s="1"/>
  <c r="K1435" i="5" l="1"/>
  <c r="M1435" i="5" s="1"/>
  <c r="K1436" i="5" l="1"/>
  <c r="M1436" i="5" s="1"/>
  <c r="K1437" i="5" l="1"/>
  <c r="M1437" i="5" s="1"/>
  <c r="K1438" i="5" l="1"/>
  <c r="M1438" i="5" s="1"/>
  <c r="K1439" i="5" l="1"/>
  <c r="M1439" i="5" s="1"/>
  <c r="K1440" i="5" l="1"/>
  <c r="M1440" i="5" s="1"/>
  <c r="K1441" i="5" l="1"/>
  <c r="M1441" i="5" s="1"/>
  <c r="K1442" i="5" l="1"/>
  <c r="M1442" i="5" s="1"/>
  <c r="K1443" i="5" l="1"/>
  <c r="M1443" i="5" s="1"/>
  <c r="K1444" i="5" l="1"/>
  <c r="M1444" i="5" s="1"/>
  <c r="K1445" i="5" l="1"/>
  <c r="M1445" i="5" s="1"/>
  <c r="K1446" i="5" l="1"/>
  <c r="M1446" i="5" s="1"/>
  <c r="K1447" i="5" l="1"/>
  <c r="M1447" i="5" s="1"/>
  <c r="K1448" i="5" l="1"/>
  <c r="M1448" i="5" s="1"/>
  <c r="K1449" i="5" l="1"/>
  <c r="M1449" i="5" s="1"/>
  <c r="K1450" i="5" l="1"/>
  <c r="M1450" i="5" s="1"/>
  <c r="K1451" i="5" l="1"/>
  <c r="M1451" i="5" s="1"/>
  <c r="K1452" i="5" l="1"/>
  <c r="M1452" i="5" s="1"/>
  <c r="K1453" i="5" l="1"/>
  <c r="M1453" i="5" s="1"/>
  <c r="K1454" i="5" l="1"/>
  <c r="M1454" i="5" s="1"/>
  <c r="K1455" i="5" l="1"/>
  <c r="M1455" i="5" s="1"/>
  <c r="K1456" i="5" l="1"/>
  <c r="M1456" i="5" s="1"/>
  <c r="K1457" i="5" l="1"/>
  <c r="M1457" i="5" s="1"/>
  <c r="K1458" i="5" l="1"/>
  <c r="M1458" i="5" s="1"/>
  <c r="K1459" i="5" l="1"/>
  <c r="M1459" i="5" s="1"/>
  <c r="K1460" i="5" l="1"/>
  <c r="M1460" i="5" s="1"/>
  <c r="K1461" i="5" l="1"/>
  <c r="M1461" i="5" s="1"/>
  <c r="K1462" i="5" l="1"/>
  <c r="M1462" i="5" s="1"/>
  <c r="K1463" i="5" l="1"/>
  <c r="M1463" i="5" s="1"/>
  <c r="K1464" i="5" l="1"/>
  <c r="M1464" i="5" s="1"/>
  <c r="K1465" i="5" l="1"/>
  <c r="M1465" i="5" s="1"/>
  <c r="K1466" i="5" l="1"/>
  <c r="M1466" i="5" s="1"/>
  <c r="K1467" i="5" l="1"/>
  <c r="M1467" i="5" s="1"/>
  <c r="K1468" i="5" l="1"/>
  <c r="M1468" i="5" s="1"/>
  <c r="K1469" i="5" l="1"/>
  <c r="M1469" i="5" s="1"/>
  <c r="K1470" i="5" l="1"/>
  <c r="M1470" i="5" s="1"/>
  <c r="K1471" i="5" l="1"/>
  <c r="M1471" i="5" s="1"/>
  <c r="K1472" i="5" l="1"/>
  <c r="M1472" i="5" s="1"/>
  <c r="K1473" i="5" l="1"/>
  <c r="M1473" i="5" s="1"/>
  <c r="K1474" i="5" l="1"/>
  <c r="M1474" i="5" s="1"/>
  <c r="K1475" i="5" l="1"/>
  <c r="M1475" i="5" s="1"/>
  <c r="K1476" i="5" l="1"/>
  <c r="M1476" i="5" s="1"/>
  <c r="K1477" i="5" l="1"/>
  <c r="M1477" i="5" s="1"/>
  <c r="K1478" i="5" l="1"/>
  <c r="M1478" i="5" s="1"/>
  <c r="K1479" i="5" l="1"/>
  <c r="M1479" i="5" s="1"/>
  <c r="K1480" i="5" l="1"/>
  <c r="M1480" i="5" s="1"/>
  <c r="K1481" i="5" l="1"/>
  <c r="M1481" i="5" s="1"/>
  <c r="K1482" i="5" l="1"/>
  <c r="M1482" i="5" s="1"/>
  <c r="K1483" i="5" l="1"/>
  <c r="M1483" i="5" s="1"/>
  <c r="K1484" i="5" l="1"/>
  <c r="M1484" i="5" s="1"/>
  <c r="K1485" i="5" l="1"/>
  <c r="M1485" i="5" s="1"/>
  <c r="K1486" i="5" l="1"/>
  <c r="M1486" i="5" s="1"/>
  <c r="K1487" i="5" l="1"/>
  <c r="M1487" i="5" s="1"/>
  <c r="K1488" i="5" l="1"/>
  <c r="M1488" i="5" s="1"/>
  <c r="K1489" i="5" l="1"/>
  <c r="M1489" i="5" s="1"/>
  <c r="K1490" i="5" l="1"/>
  <c r="M1490" i="5" s="1"/>
  <c r="K1491" i="5" l="1"/>
  <c r="M1491" i="5" s="1"/>
  <c r="K1492" i="5" l="1"/>
  <c r="M1492" i="5" s="1"/>
  <c r="K1493" i="5" l="1"/>
  <c r="M1493" i="5" s="1"/>
  <c r="K1494" i="5" l="1"/>
  <c r="M1494" i="5" s="1"/>
  <c r="K1495" i="5" l="1"/>
  <c r="M1495" i="5" s="1"/>
  <c r="K1496" i="5" l="1"/>
  <c r="M1496" i="5" s="1"/>
  <c r="K1497" i="5" l="1"/>
  <c r="M1497" i="5" s="1"/>
  <c r="K1498" i="5" l="1"/>
  <c r="M1498" i="5" s="1"/>
  <c r="K1499" i="5" l="1"/>
  <c r="M1499" i="5" s="1"/>
  <c r="K1500" i="5" l="1"/>
  <c r="M1500" i="5" s="1"/>
  <c r="K1501" i="5" l="1"/>
  <c r="M1501" i="5" s="1"/>
  <c r="K1502" i="5" l="1"/>
  <c r="M1502" i="5" s="1"/>
  <c r="K1503" i="5" l="1"/>
  <c r="M1503" i="5" s="1"/>
  <c r="K1504" i="5" l="1"/>
  <c r="M1504" i="5" s="1"/>
  <c r="K1505" i="5" l="1"/>
  <c r="M1505" i="5" s="1"/>
  <c r="K1506" i="5" l="1"/>
  <c r="M1506" i="5" s="1"/>
  <c r="K1507" i="5" l="1"/>
  <c r="M1507" i="5" s="1"/>
  <c r="K1508" i="5" l="1"/>
  <c r="M1508" i="5" s="1"/>
  <c r="K1509" i="5" l="1"/>
  <c r="M1509" i="5" s="1"/>
  <c r="K1510" i="5" l="1"/>
  <c r="M1510" i="5" s="1"/>
  <c r="K1511" i="5" l="1"/>
  <c r="M1511" i="5" s="1"/>
  <c r="K1512" i="5" l="1"/>
  <c r="M1512" i="5" s="1"/>
  <c r="K1513" i="5" l="1"/>
  <c r="M1513" i="5" s="1"/>
  <c r="K1514" i="5" l="1"/>
  <c r="M1514" i="5" s="1"/>
  <c r="K1515" i="5" l="1"/>
  <c r="M1515" i="5" s="1"/>
  <c r="K1516" i="5" l="1"/>
  <c r="M1516" i="5" s="1"/>
  <c r="K1517" i="5" l="1"/>
  <c r="M1517" i="5" s="1"/>
  <c r="K1518" i="5" l="1"/>
  <c r="M1518" i="5" s="1"/>
  <c r="K1519" i="5" l="1"/>
  <c r="M1519" i="5" s="1"/>
  <c r="K1520" i="5" l="1"/>
  <c r="M1520" i="5" s="1"/>
  <c r="K1521" i="5" l="1"/>
  <c r="M1521" i="5" s="1"/>
  <c r="K1522" i="5" l="1"/>
  <c r="M1522" i="5" s="1"/>
  <c r="K1523" i="5" l="1"/>
  <c r="M1523" i="5" s="1"/>
  <c r="K1524" i="5" l="1"/>
  <c r="M1524" i="5" s="1"/>
  <c r="K1525" i="5" l="1"/>
  <c r="M1525" i="5" s="1"/>
  <c r="K1526" i="5" l="1"/>
  <c r="M1526" i="5" s="1"/>
  <c r="K1527" i="5" l="1"/>
  <c r="M1527" i="5" s="1"/>
  <c r="K1528" i="5" l="1"/>
  <c r="M1528" i="5" s="1"/>
  <c r="K1529" i="5" l="1"/>
  <c r="M1529" i="5" s="1"/>
  <c r="K1530" i="5" l="1"/>
  <c r="M1530" i="5" s="1"/>
  <c r="K1531" i="5" l="1"/>
  <c r="M1531" i="5" s="1"/>
  <c r="K1532" i="5" l="1"/>
  <c r="M1532" i="5" s="1"/>
  <c r="K1533" i="5" l="1"/>
  <c r="M1533" i="5" s="1"/>
  <c r="K1534" i="5" l="1"/>
  <c r="M1534" i="5" s="1"/>
  <c r="K1535" i="5" l="1"/>
  <c r="M1535" i="5" s="1"/>
  <c r="K1536" i="5" l="1"/>
  <c r="M1536" i="5" s="1"/>
  <c r="K1537" i="5" l="1"/>
  <c r="M1537" i="5" s="1"/>
  <c r="K1538" i="5" l="1"/>
  <c r="M1538" i="5" s="1"/>
  <c r="K1539" i="5" l="1"/>
  <c r="M1539" i="5" s="1"/>
  <c r="K1540" i="5" l="1"/>
  <c r="M1540" i="5" s="1"/>
  <c r="K1541" i="5" l="1"/>
  <c r="M1541" i="5" s="1"/>
  <c r="K1542" i="5" l="1"/>
  <c r="M1542" i="5" s="1"/>
  <c r="K1543" i="5" l="1"/>
  <c r="M1543" i="5" s="1"/>
  <c r="K1544" i="5" l="1"/>
  <c r="M1544" i="5" s="1"/>
  <c r="K1545" i="5" l="1"/>
  <c r="M1545" i="5" s="1"/>
  <c r="K1546" i="5" l="1"/>
  <c r="M1546" i="5" s="1"/>
  <c r="K1547" i="5" l="1"/>
  <c r="M1547" i="5" s="1"/>
  <c r="K1548" i="5" l="1"/>
  <c r="M1548" i="5" s="1"/>
  <c r="K1549" i="5" l="1"/>
  <c r="M1549" i="5" s="1"/>
  <c r="K1550" i="5" l="1"/>
  <c r="M1550" i="5" s="1"/>
  <c r="K1551" i="5" l="1"/>
  <c r="M1551" i="5" s="1"/>
  <c r="K1552" i="5" l="1"/>
  <c r="M1552" i="5" s="1"/>
  <c r="K1553" i="5" l="1"/>
  <c r="M1553" i="5" s="1"/>
  <c r="K1554" i="5" l="1"/>
  <c r="M1554" i="5" s="1"/>
  <c r="K1555" i="5" l="1"/>
  <c r="M1555" i="5" s="1"/>
  <c r="K1556" i="5" l="1"/>
  <c r="M1556" i="5" s="1"/>
  <c r="K1557" i="5" l="1"/>
  <c r="M1557" i="5" s="1"/>
  <c r="K1558" i="5" l="1"/>
  <c r="M1558" i="5" s="1"/>
  <c r="K1559" i="5" l="1"/>
  <c r="M1559" i="5" s="1"/>
  <c r="K1560" i="5" l="1"/>
  <c r="M1560" i="5" s="1"/>
  <c r="K1561" i="5" l="1"/>
  <c r="M1561" i="5" s="1"/>
  <c r="K1562" i="5" l="1"/>
  <c r="M1562" i="5" s="1"/>
  <c r="K1563" i="5" l="1"/>
  <c r="M1563" i="5" s="1"/>
  <c r="K1564" i="5" l="1"/>
  <c r="M1564" i="5" s="1"/>
  <c r="K1565" i="5" l="1"/>
  <c r="M1565" i="5" s="1"/>
  <c r="K1566" i="5" l="1"/>
  <c r="M1566" i="5" s="1"/>
  <c r="K1567" i="5" l="1"/>
  <c r="M1567" i="5" s="1"/>
  <c r="K1568" i="5" l="1"/>
  <c r="M1568" i="5" s="1"/>
  <c r="K1569" i="5" l="1"/>
  <c r="M1569" i="5" s="1"/>
  <c r="K1570" i="5" l="1"/>
  <c r="M1570" i="5" s="1"/>
  <c r="K1571" i="5" l="1"/>
  <c r="M1571" i="5" s="1"/>
  <c r="K1572" i="5" l="1"/>
  <c r="M1572" i="5" s="1"/>
  <c r="K1573" i="5" l="1"/>
  <c r="M1573" i="5" s="1"/>
  <c r="K1574" i="5" l="1"/>
  <c r="M1574" i="5" s="1"/>
  <c r="K1575" i="5" l="1"/>
  <c r="M1575" i="5" s="1"/>
  <c r="K1576" i="5" l="1"/>
  <c r="M1576" i="5" s="1"/>
  <c r="K1577" i="5" l="1"/>
  <c r="M1577" i="5" s="1"/>
  <c r="K1578" i="5" l="1"/>
  <c r="M1578" i="5" s="1"/>
  <c r="K1579" i="5" l="1"/>
  <c r="M1579" i="5" s="1"/>
  <c r="K1580" i="5" l="1"/>
  <c r="M1580" i="5" s="1"/>
  <c r="K1581" i="5" l="1"/>
  <c r="M1581" i="5" s="1"/>
  <c r="K1582" i="5" l="1"/>
  <c r="M1582" i="5" s="1"/>
  <c r="K1583" i="5" l="1"/>
  <c r="M1583" i="5" s="1"/>
  <c r="K1584" i="5" l="1"/>
  <c r="M1584" i="5" s="1"/>
  <c r="K1585" i="5" l="1"/>
  <c r="M1585" i="5" s="1"/>
  <c r="K1586" i="5" l="1"/>
  <c r="M1586" i="5" s="1"/>
  <c r="K1587" i="5" l="1"/>
  <c r="M1587" i="5" s="1"/>
  <c r="K1588" i="5" l="1"/>
  <c r="M1588" i="5" s="1"/>
  <c r="K1589" i="5" l="1"/>
  <c r="M1589" i="5" s="1"/>
  <c r="K1590" i="5" l="1"/>
  <c r="M1590" i="5" s="1"/>
  <c r="K1591" i="5" l="1"/>
  <c r="M1591" i="5" s="1"/>
  <c r="K1592" i="5" l="1"/>
  <c r="M1592" i="5" s="1"/>
  <c r="K1593" i="5" l="1"/>
  <c r="M1593" i="5" s="1"/>
  <c r="K1594" i="5" l="1"/>
  <c r="M1594" i="5" s="1"/>
  <c r="K1595" i="5" l="1"/>
  <c r="M1595" i="5" s="1"/>
  <c r="K1596" i="5" l="1"/>
  <c r="M1596" i="5" s="1"/>
  <c r="K1597" i="5" l="1"/>
  <c r="M1597" i="5" s="1"/>
  <c r="K1598" i="5" l="1"/>
  <c r="M1598" i="5" s="1"/>
  <c r="K1599" i="5" l="1"/>
  <c r="M1599" i="5" s="1"/>
  <c r="K1600" i="5" l="1"/>
  <c r="M1600" i="5" s="1"/>
  <c r="K1601" i="5" l="1"/>
  <c r="M1601" i="5" s="1"/>
  <c r="K1602" i="5" l="1"/>
  <c r="M1602" i="5" s="1"/>
  <c r="K1603" i="5" l="1"/>
  <c r="M1603" i="5" s="1"/>
  <c r="K1604" i="5" l="1"/>
  <c r="M1604" i="5" s="1"/>
  <c r="K1605" i="5" l="1"/>
  <c r="M1605" i="5" s="1"/>
  <c r="K1606" i="5" l="1"/>
  <c r="M1606" i="5" s="1"/>
  <c r="K1607" i="5" l="1"/>
  <c r="M1607" i="5" s="1"/>
  <c r="K1608" i="5" l="1"/>
  <c r="M1608" i="5" s="1"/>
  <c r="K1609" i="5" l="1"/>
  <c r="M1609" i="5" s="1"/>
  <c r="K1610" i="5" l="1"/>
  <c r="M1610" i="5" s="1"/>
  <c r="K1611" i="5" l="1"/>
  <c r="M1611" i="5" s="1"/>
  <c r="K1612" i="5" l="1"/>
  <c r="M1612" i="5" s="1"/>
  <c r="K1613" i="5" l="1"/>
  <c r="M1613" i="5" s="1"/>
  <c r="K1614" i="5" l="1"/>
  <c r="M1614" i="5" s="1"/>
  <c r="K1616" i="5" l="1"/>
  <c r="M1616" i="5" s="1"/>
  <c r="K1615" i="5"/>
  <c r="M1615" i="5" s="1"/>
  <c r="T12" i="3" l="1"/>
  <c r="U12" i="2"/>
  <c r="V8" i="1" l="1"/>
  <c r="U8" i="2"/>
  <c r="T8" i="3"/>
  <c r="U8" i="4"/>
  <c r="T7" i="5"/>
  <c r="K1062" i="5" l="1"/>
  <c r="M1062" i="5" s="1"/>
  <c r="K1063" i="5"/>
  <c r="M1063" i="5" s="1"/>
  <c r="K1064" i="5" l="1"/>
  <c r="M1064" i="5" s="1"/>
  <c r="K1065" i="5" l="1"/>
  <c r="M1065" i="5" s="1"/>
  <c r="I138" i="18"/>
  <c r="M136" i="18"/>
  <c r="L136" i="18"/>
  <c r="M135" i="18"/>
  <c r="L135" i="18"/>
  <c r="M134" i="18"/>
  <c r="L134" i="18"/>
  <c r="M133" i="18"/>
  <c r="L133" i="18"/>
  <c r="M132" i="18"/>
  <c r="L132" i="18"/>
  <c r="M131" i="18"/>
  <c r="L131" i="18"/>
  <c r="M130" i="18"/>
  <c r="L130" i="18"/>
  <c r="M129" i="18"/>
  <c r="L129" i="18"/>
  <c r="M128" i="18"/>
  <c r="L128" i="18"/>
  <c r="M127" i="18"/>
  <c r="L127" i="18"/>
  <c r="M126" i="18"/>
  <c r="L126" i="18"/>
  <c r="M125" i="18"/>
  <c r="L125" i="18"/>
  <c r="M124" i="18"/>
  <c r="L124" i="18"/>
  <c r="M123" i="18"/>
  <c r="L123" i="18"/>
  <c r="M122" i="18"/>
  <c r="L122" i="18"/>
  <c r="M121" i="18"/>
  <c r="L121" i="18"/>
  <c r="M120" i="18"/>
  <c r="L120" i="18"/>
  <c r="M119" i="18"/>
  <c r="L119" i="18"/>
  <c r="M118" i="18"/>
  <c r="L118" i="18"/>
  <c r="M117" i="18"/>
  <c r="L117" i="18"/>
  <c r="M116" i="18"/>
  <c r="L116" i="18"/>
  <c r="M115" i="18"/>
  <c r="L115" i="18"/>
  <c r="M114" i="18"/>
  <c r="L114" i="18"/>
  <c r="M113" i="18"/>
  <c r="L113" i="18"/>
  <c r="M112" i="18"/>
  <c r="L112" i="18"/>
  <c r="M111" i="18"/>
  <c r="L111" i="18"/>
  <c r="M110" i="18"/>
  <c r="L110" i="18"/>
  <c r="M109" i="18"/>
  <c r="L109" i="18"/>
  <c r="M108" i="18"/>
  <c r="L108" i="18"/>
  <c r="M107" i="18"/>
  <c r="L107" i="18"/>
  <c r="M106" i="18"/>
  <c r="L106" i="18"/>
  <c r="M105" i="18"/>
  <c r="L105" i="18"/>
  <c r="M104" i="18"/>
  <c r="L104" i="18"/>
  <c r="M103" i="18"/>
  <c r="L103" i="18"/>
  <c r="M102" i="18"/>
  <c r="L102" i="18"/>
  <c r="M101" i="18"/>
  <c r="L101" i="18"/>
  <c r="M100" i="18"/>
  <c r="L100" i="18"/>
  <c r="M99" i="18"/>
  <c r="L99" i="18"/>
  <c r="M98" i="18"/>
  <c r="L98" i="18"/>
  <c r="M97" i="18"/>
  <c r="L97" i="18"/>
  <c r="M96" i="18"/>
  <c r="L96" i="18"/>
  <c r="M95" i="18"/>
  <c r="L95" i="18"/>
  <c r="M94" i="18"/>
  <c r="L94" i="18"/>
  <c r="M93" i="18"/>
  <c r="L93" i="18"/>
  <c r="M92" i="18"/>
  <c r="L92" i="18"/>
  <c r="M91" i="18"/>
  <c r="L91" i="18"/>
  <c r="M90" i="18"/>
  <c r="L90" i="18"/>
  <c r="M89" i="18"/>
  <c r="L89" i="18"/>
  <c r="M88" i="18"/>
  <c r="L88" i="18"/>
  <c r="M87" i="18"/>
  <c r="L87" i="18"/>
  <c r="M86" i="18"/>
  <c r="L86" i="18"/>
  <c r="M85" i="18"/>
  <c r="L85" i="18"/>
  <c r="M84" i="18"/>
  <c r="L84" i="18"/>
  <c r="M83" i="18"/>
  <c r="L83" i="18"/>
  <c r="M82" i="18"/>
  <c r="L82" i="18"/>
  <c r="M81" i="18"/>
  <c r="L81" i="18"/>
  <c r="M80" i="18"/>
  <c r="L80" i="18"/>
  <c r="M79" i="18"/>
  <c r="L79" i="18"/>
  <c r="M78" i="18"/>
  <c r="L78" i="18"/>
  <c r="M77" i="18"/>
  <c r="L77" i="18"/>
  <c r="M76" i="18"/>
  <c r="L76" i="18"/>
  <c r="M75" i="18"/>
  <c r="L75" i="18"/>
  <c r="M74" i="18"/>
  <c r="L74" i="18"/>
  <c r="M73" i="18"/>
  <c r="L73" i="18"/>
  <c r="M72" i="18"/>
  <c r="L72" i="18"/>
  <c r="M71" i="18"/>
  <c r="L71" i="18"/>
  <c r="M70" i="18"/>
  <c r="L70" i="18"/>
  <c r="M69" i="18"/>
  <c r="L69" i="18"/>
  <c r="M68" i="18"/>
  <c r="L68" i="18"/>
  <c r="M67" i="18"/>
  <c r="L67" i="18"/>
  <c r="M66" i="18"/>
  <c r="L66" i="18"/>
  <c r="M65" i="18"/>
  <c r="L65" i="18"/>
  <c r="M64" i="18"/>
  <c r="L64" i="18"/>
  <c r="M63" i="18"/>
  <c r="L63" i="18"/>
  <c r="M62" i="18"/>
  <c r="L62" i="18"/>
  <c r="M61" i="18"/>
  <c r="L61" i="18"/>
  <c r="M60" i="18"/>
  <c r="L60" i="18"/>
  <c r="M59" i="18"/>
  <c r="L59" i="18"/>
  <c r="M58" i="18"/>
  <c r="L58" i="18"/>
  <c r="M57" i="18"/>
  <c r="L57" i="18"/>
  <c r="M56" i="18"/>
  <c r="L56" i="18"/>
  <c r="M55" i="18"/>
  <c r="L55" i="18"/>
  <c r="M54" i="18"/>
  <c r="L54" i="18"/>
  <c r="M53" i="18"/>
  <c r="L53" i="18"/>
  <c r="M52" i="18"/>
  <c r="L52" i="18"/>
  <c r="M51" i="18"/>
  <c r="L51" i="18"/>
  <c r="M50" i="18"/>
  <c r="L50" i="18"/>
  <c r="M49" i="18"/>
  <c r="L49" i="18"/>
  <c r="M48" i="18"/>
  <c r="L48" i="18"/>
  <c r="M47" i="18"/>
  <c r="L47" i="18"/>
  <c r="M46" i="18"/>
  <c r="L46" i="18"/>
  <c r="M45" i="18"/>
  <c r="L45" i="18"/>
  <c r="M44" i="18"/>
  <c r="L44" i="18"/>
  <c r="M43" i="18"/>
  <c r="L43" i="18"/>
  <c r="M42" i="18"/>
  <c r="L42" i="18"/>
  <c r="M41" i="18"/>
  <c r="L41" i="18"/>
  <c r="M40" i="18"/>
  <c r="L40" i="18"/>
  <c r="M39" i="18"/>
  <c r="L39" i="18"/>
  <c r="M38" i="18"/>
  <c r="L38" i="18"/>
  <c r="M37" i="18"/>
  <c r="L37" i="18"/>
  <c r="M36" i="18"/>
  <c r="L36" i="18"/>
  <c r="M35" i="18"/>
  <c r="L35" i="18"/>
  <c r="M34" i="18"/>
  <c r="L34" i="18"/>
  <c r="M33" i="18"/>
  <c r="L33" i="18"/>
  <c r="M32" i="18"/>
  <c r="L32" i="18"/>
  <c r="M31" i="18"/>
  <c r="L31" i="18"/>
  <c r="M30" i="18"/>
  <c r="L30" i="18"/>
  <c r="M29" i="18"/>
  <c r="L29" i="18"/>
  <c r="M28" i="18"/>
  <c r="L28" i="18"/>
  <c r="M27" i="18"/>
  <c r="L27" i="18"/>
  <c r="M26" i="18"/>
  <c r="L26" i="18"/>
  <c r="M25" i="18"/>
  <c r="L25" i="18"/>
  <c r="M24" i="18"/>
  <c r="L24" i="18"/>
  <c r="M23" i="18"/>
  <c r="L23" i="18"/>
  <c r="M22" i="18"/>
  <c r="L22" i="18"/>
  <c r="M21" i="18"/>
  <c r="L21" i="18"/>
  <c r="M20" i="18"/>
  <c r="L20" i="18"/>
  <c r="M19" i="18"/>
  <c r="L19" i="18"/>
  <c r="M18" i="18"/>
  <c r="L18" i="18"/>
  <c r="M17" i="18"/>
  <c r="L17" i="18"/>
  <c r="M16" i="18"/>
  <c r="L16" i="18"/>
  <c r="M15" i="18"/>
  <c r="L15" i="18"/>
  <c r="M14" i="18"/>
  <c r="L14" i="18"/>
  <c r="M13" i="18"/>
  <c r="L13" i="18"/>
  <c r="M12" i="18"/>
  <c r="L12" i="18"/>
  <c r="M11" i="18"/>
  <c r="L11" i="18"/>
  <c r="M10" i="18"/>
  <c r="L10" i="18"/>
  <c r="M9" i="18"/>
  <c r="L9" i="18"/>
  <c r="M8" i="18"/>
  <c r="L8" i="18"/>
  <c r="M7" i="18"/>
  <c r="L7" i="18"/>
  <c r="M6" i="18"/>
  <c r="L6" i="18"/>
  <c r="M5" i="18"/>
  <c r="L5" i="18"/>
  <c r="M138" i="18" l="1"/>
  <c r="K1066" i="5"/>
  <c r="M1066" i="5" s="1"/>
  <c r="K1067" i="5" l="1"/>
  <c r="M1067" i="5" s="1"/>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556" i="6"/>
  <c r="N557" i="6"/>
  <c r="N558" i="6"/>
  <c r="N559" i="6"/>
  <c r="N560" i="6"/>
  <c r="N561" i="6"/>
  <c r="N562" i="6"/>
  <c r="N563" i="6"/>
  <c r="N564" i="6"/>
  <c r="N565" i="6"/>
  <c r="N566" i="6"/>
  <c r="N567" i="6"/>
  <c r="N568" i="6"/>
  <c r="N569" i="6"/>
  <c r="N570" i="6"/>
  <c r="N571" i="6"/>
  <c r="N572" i="6"/>
  <c r="N573" i="6"/>
  <c r="N574" i="6"/>
  <c r="N575" i="6"/>
  <c r="N576" i="6"/>
  <c r="N577" i="6"/>
  <c r="N578" i="6"/>
  <c r="N579" i="6"/>
  <c r="N580" i="6"/>
  <c r="N581" i="6"/>
  <c r="N582" i="6"/>
  <c r="N583" i="6"/>
  <c r="N584" i="6"/>
  <c r="N585" i="6"/>
  <c r="N586" i="6"/>
  <c r="N587" i="6"/>
  <c r="N588" i="6"/>
  <c r="N589" i="6"/>
  <c r="N590" i="6"/>
  <c r="N591" i="6"/>
  <c r="N592" i="6"/>
  <c r="N593" i="6"/>
  <c r="N594" i="6"/>
  <c r="N595" i="6"/>
  <c r="N596" i="6"/>
  <c r="N597" i="6"/>
  <c r="N598" i="6"/>
  <c r="N599" i="6"/>
  <c r="N600" i="6"/>
  <c r="N601" i="6"/>
  <c r="N602" i="6"/>
  <c r="N603" i="6"/>
  <c r="N604" i="6"/>
  <c r="N605" i="6"/>
  <c r="N606" i="6"/>
  <c r="N607" i="6"/>
  <c r="N608" i="6"/>
  <c r="N609" i="6"/>
  <c r="N610" i="6"/>
  <c r="N611" i="6"/>
  <c r="N612" i="6"/>
  <c r="N613" i="6"/>
  <c r="N614" i="6"/>
  <c r="N615" i="6"/>
  <c r="N616" i="6"/>
  <c r="N617" i="6"/>
  <c r="N618" i="6"/>
  <c r="N619" i="6"/>
  <c r="N620" i="6"/>
  <c r="N621" i="6"/>
  <c r="N622" i="6"/>
  <c r="N623" i="6"/>
  <c r="N624" i="6"/>
  <c r="N625" i="6"/>
  <c r="N626" i="6"/>
  <c r="N627" i="6"/>
  <c r="N628" i="6"/>
  <c r="N629" i="6"/>
  <c r="N630" i="6"/>
  <c r="N631" i="6"/>
  <c r="N632" i="6"/>
  <c r="N633" i="6"/>
  <c r="N634" i="6"/>
  <c r="N635" i="6"/>
  <c r="N636" i="6"/>
  <c r="N637" i="6"/>
  <c r="N638" i="6"/>
  <c r="N639" i="6"/>
  <c r="N640" i="6"/>
  <c r="N641" i="6"/>
  <c r="N642" i="6"/>
  <c r="N643" i="6"/>
  <c r="N644" i="6"/>
  <c r="N645" i="6"/>
  <c r="N646" i="6"/>
  <c r="N647" i="6"/>
  <c r="N648" i="6"/>
  <c r="N649" i="6"/>
  <c r="N650" i="6"/>
  <c r="N651" i="6"/>
  <c r="N652" i="6"/>
  <c r="N653" i="6"/>
  <c r="N654" i="6"/>
  <c r="N655" i="6"/>
  <c r="N656" i="6"/>
  <c r="N657" i="6"/>
  <c r="N658" i="6"/>
  <c r="N659" i="6"/>
  <c r="N660" i="6"/>
  <c r="N661" i="6"/>
  <c r="N662" i="6"/>
  <c r="N663" i="6"/>
  <c r="N664" i="6"/>
  <c r="N665" i="6"/>
  <c r="N666" i="6"/>
  <c r="N667" i="6"/>
  <c r="N668" i="6"/>
  <c r="N669" i="6"/>
  <c r="N670" i="6"/>
  <c r="N671" i="6"/>
  <c r="N672" i="6"/>
  <c r="N673" i="6"/>
  <c r="N674" i="6"/>
  <c r="N675" i="6"/>
  <c r="N676" i="6"/>
  <c r="N677" i="6"/>
  <c r="N678" i="6"/>
  <c r="N679" i="6"/>
  <c r="N680" i="6"/>
  <c r="N681" i="6"/>
  <c r="N682" i="6"/>
  <c r="N683" i="6"/>
  <c r="N684" i="6"/>
  <c r="N685" i="6"/>
  <c r="N686" i="6"/>
  <c r="N687" i="6"/>
  <c r="N688" i="6"/>
  <c r="N689" i="6"/>
  <c r="N690" i="6"/>
  <c r="N691" i="6"/>
  <c r="N692" i="6"/>
  <c r="N693" i="6"/>
  <c r="N694" i="6"/>
  <c r="N695" i="6"/>
  <c r="N696" i="6"/>
  <c r="N697" i="6"/>
  <c r="N698" i="6"/>
  <c r="N699" i="6"/>
  <c r="N700" i="6"/>
  <c r="N701" i="6"/>
  <c r="N702" i="6"/>
  <c r="N703" i="6"/>
  <c r="N704" i="6"/>
  <c r="N705" i="6"/>
  <c r="N706" i="6"/>
  <c r="N707" i="6"/>
  <c r="N708" i="6"/>
  <c r="N709" i="6"/>
  <c r="N710" i="6"/>
  <c r="N711" i="6"/>
  <c r="N712" i="6"/>
  <c r="N713" i="6"/>
  <c r="N714" i="6"/>
  <c r="N715" i="6"/>
  <c r="N716" i="6"/>
  <c r="N717" i="6"/>
  <c r="N718" i="6"/>
  <c r="N719" i="6"/>
  <c r="N720" i="6"/>
  <c r="N721" i="6"/>
  <c r="N722" i="6"/>
  <c r="N723" i="6"/>
  <c r="N724" i="6"/>
  <c r="N725" i="6"/>
  <c r="N726" i="6"/>
  <c r="N727" i="6"/>
  <c r="N728" i="6"/>
  <c r="N729" i="6"/>
  <c r="N730" i="6"/>
  <c r="N731" i="6"/>
  <c r="N732" i="6"/>
  <c r="N733" i="6"/>
  <c r="N734" i="6"/>
  <c r="N735" i="6"/>
  <c r="N736" i="6"/>
  <c r="N737" i="6"/>
  <c r="N738" i="6"/>
  <c r="N739" i="6"/>
  <c r="N740" i="6"/>
  <c r="N741" i="6"/>
  <c r="N742" i="6"/>
  <c r="N743" i="6"/>
  <c r="N744" i="6"/>
  <c r="N745" i="6"/>
  <c r="N746" i="6"/>
  <c r="N747" i="6"/>
  <c r="N748" i="6"/>
  <c r="N749" i="6"/>
  <c r="N750" i="6"/>
  <c r="N751" i="6"/>
  <c r="N752" i="6"/>
  <c r="N753" i="6"/>
  <c r="N754" i="6"/>
  <c r="N755" i="6"/>
  <c r="N756" i="6"/>
  <c r="N757" i="6"/>
  <c r="N758" i="6"/>
  <c r="N759" i="6"/>
  <c r="N760" i="6"/>
  <c r="N761" i="6"/>
  <c r="N762" i="6"/>
  <c r="N763" i="6"/>
  <c r="N764" i="6"/>
  <c r="N765" i="6"/>
  <c r="N766" i="6"/>
  <c r="N767" i="6"/>
  <c r="N768" i="6"/>
  <c r="N769" i="6"/>
  <c r="N770" i="6"/>
  <c r="N771" i="6"/>
  <c r="N772" i="6"/>
  <c r="N773" i="6"/>
  <c r="N774" i="6"/>
  <c r="N775" i="6"/>
  <c r="N776" i="6"/>
  <c r="N777" i="6"/>
  <c r="N778" i="6"/>
  <c r="N779" i="6"/>
  <c r="N780" i="6"/>
  <c r="N781" i="6"/>
  <c r="N782" i="6"/>
  <c r="N783" i="6"/>
  <c r="N784" i="6"/>
  <c r="N785" i="6"/>
  <c r="N786" i="6"/>
  <c r="N787" i="6"/>
  <c r="N788" i="6"/>
  <c r="N789" i="6"/>
  <c r="N790" i="6"/>
  <c r="N791" i="6"/>
  <c r="N792" i="6"/>
  <c r="N793" i="6"/>
  <c r="N794" i="6"/>
  <c r="N795" i="6"/>
  <c r="N796" i="6"/>
  <c r="N797" i="6"/>
  <c r="N798" i="6"/>
  <c r="N799" i="6"/>
  <c r="N800" i="6"/>
  <c r="N801" i="6"/>
  <c r="N802" i="6"/>
  <c r="N803" i="6"/>
  <c r="N804" i="6"/>
  <c r="N805" i="6"/>
  <c r="N806" i="6"/>
  <c r="N807" i="6"/>
  <c r="N808" i="6"/>
  <c r="N809" i="6"/>
  <c r="N810" i="6"/>
  <c r="N811" i="6"/>
  <c r="N812" i="6"/>
  <c r="N813" i="6"/>
  <c r="N814" i="6"/>
  <c r="N815" i="6"/>
  <c r="N816" i="6"/>
  <c r="N817" i="6"/>
  <c r="N818" i="6"/>
  <c r="N819" i="6"/>
  <c r="N820" i="6"/>
  <c r="N821" i="6"/>
  <c r="N822" i="6"/>
  <c r="N823" i="6"/>
  <c r="N824" i="6"/>
  <c r="N825" i="6"/>
  <c r="N826" i="6"/>
  <c r="N827" i="6"/>
  <c r="N828" i="6"/>
  <c r="N829" i="6"/>
  <c r="N830" i="6"/>
  <c r="N831" i="6"/>
  <c r="N832" i="6"/>
  <c r="N833" i="6"/>
  <c r="N834" i="6"/>
  <c r="N835" i="6"/>
  <c r="N836" i="6"/>
  <c r="N837" i="6"/>
  <c r="N838" i="6"/>
  <c r="N839" i="6"/>
  <c r="N840" i="6"/>
  <c r="N841" i="6"/>
  <c r="N842" i="6"/>
  <c r="N843" i="6"/>
  <c r="N844" i="6"/>
  <c r="N845" i="6"/>
  <c r="N846" i="6"/>
  <c r="N847" i="6"/>
  <c r="N848" i="6"/>
  <c r="N849" i="6"/>
  <c r="N850" i="6"/>
  <c r="N851" i="6"/>
  <c r="N852" i="6"/>
  <c r="N853" i="6"/>
  <c r="N854" i="6"/>
  <c r="N855" i="6"/>
  <c r="N856" i="6"/>
  <c r="N857" i="6"/>
  <c r="N858" i="6"/>
  <c r="N859" i="6"/>
  <c r="N860" i="6"/>
  <c r="N861" i="6"/>
  <c r="N862" i="6"/>
  <c r="N863" i="6"/>
  <c r="N864" i="6"/>
  <c r="N865" i="6"/>
  <c r="N866" i="6"/>
  <c r="N867" i="6"/>
  <c r="N868" i="6"/>
  <c r="N869" i="6"/>
  <c r="N870" i="6"/>
  <c r="N871" i="6"/>
  <c r="N872" i="6"/>
  <c r="N873" i="6"/>
  <c r="N874" i="6"/>
  <c r="N875" i="6"/>
  <c r="N876" i="6"/>
  <c r="N877" i="6"/>
  <c r="N878" i="6"/>
  <c r="N879" i="6"/>
  <c r="N880" i="6"/>
  <c r="N881" i="6"/>
  <c r="N882" i="6"/>
  <c r="N883" i="6"/>
  <c r="N884" i="6"/>
  <c r="N885" i="6"/>
  <c r="N886" i="6"/>
  <c r="N887" i="6"/>
  <c r="N888" i="6"/>
  <c r="N889" i="6"/>
  <c r="N890" i="6"/>
  <c r="N891" i="6"/>
  <c r="N892" i="6"/>
  <c r="N893" i="6"/>
  <c r="N894" i="6"/>
  <c r="N895" i="6"/>
  <c r="N896" i="6"/>
  <c r="N897" i="6"/>
  <c r="N898" i="6"/>
  <c r="N899" i="6"/>
  <c r="N900" i="6"/>
  <c r="N901" i="6"/>
  <c r="N902" i="6"/>
  <c r="N903" i="6"/>
  <c r="N904" i="6"/>
  <c r="N905" i="6"/>
  <c r="N906" i="6"/>
  <c r="N907" i="6"/>
  <c r="N908" i="6"/>
  <c r="N909" i="6"/>
  <c r="N910" i="6"/>
  <c r="N911" i="6"/>
  <c r="N912" i="6"/>
  <c r="N913" i="6"/>
  <c r="N914" i="6"/>
  <c r="N915" i="6"/>
  <c r="N916" i="6"/>
  <c r="N917" i="6"/>
  <c r="N918" i="6"/>
  <c r="N919" i="6"/>
  <c r="N920" i="6"/>
  <c r="N921" i="6"/>
  <c r="N922" i="6"/>
  <c r="N923" i="6"/>
  <c r="N924" i="6"/>
  <c r="N925" i="6"/>
  <c r="N926" i="6"/>
  <c r="N927" i="6"/>
  <c r="N928" i="6"/>
  <c r="N929" i="6"/>
  <c r="N930" i="6"/>
  <c r="N931" i="6"/>
  <c r="N932" i="6"/>
  <c r="N933" i="6"/>
  <c r="N934" i="6"/>
  <c r="N935" i="6"/>
  <c r="N936" i="6"/>
  <c r="N937" i="6"/>
  <c r="N938" i="6"/>
  <c r="N939" i="6"/>
  <c r="N940" i="6"/>
  <c r="N941" i="6"/>
  <c r="N942" i="6"/>
  <c r="N943" i="6"/>
  <c r="N944" i="6"/>
  <c r="N945" i="6"/>
  <c r="N946" i="6"/>
  <c r="N947" i="6"/>
  <c r="N948" i="6"/>
  <c r="N949" i="6"/>
  <c r="N950" i="6"/>
  <c r="N951" i="6"/>
  <c r="N952" i="6"/>
  <c r="N953" i="6"/>
  <c r="N954" i="6"/>
  <c r="N955" i="6"/>
  <c r="N956" i="6"/>
  <c r="N957" i="6"/>
  <c r="N958" i="6"/>
  <c r="N959" i="6"/>
  <c r="N960" i="6"/>
  <c r="N961" i="6"/>
  <c r="N962" i="6"/>
  <c r="N963" i="6"/>
  <c r="N964" i="6"/>
  <c r="N965" i="6"/>
  <c r="N966" i="6"/>
  <c r="N967" i="6"/>
  <c r="N968" i="6"/>
  <c r="N969" i="6"/>
  <c r="N970" i="6"/>
  <c r="N971" i="6"/>
  <c r="N972" i="6"/>
  <c r="N973" i="6"/>
  <c r="N974" i="6"/>
  <c r="N975" i="6"/>
  <c r="N976" i="6"/>
  <c r="N977" i="6"/>
  <c r="N978" i="6"/>
  <c r="N979" i="6"/>
  <c r="N980" i="6"/>
  <c r="N981" i="6"/>
  <c r="N982" i="6"/>
  <c r="N983" i="6"/>
  <c r="N984" i="6"/>
  <c r="N985" i="6"/>
  <c r="N986" i="6"/>
  <c r="N987" i="6"/>
  <c r="N988" i="6"/>
  <c r="N989" i="6"/>
  <c r="N990" i="6"/>
  <c r="N991" i="6"/>
  <c r="N992" i="6"/>
  <c r="N993" i="6"/>
  <c r="N994" i="6"/>
  <c r="N995" i="6"/>
  <c r="N996" i="6"/>
  <c r="N997" i="6"/>
  <c r="N998" i="6"/>
  <c r="N999" i="6"/>
  <c r="N1000" i="6"/>
  <c r="N1001" i="6"/>
  <c r="N1002" i="6"/>
  <c r="N1003" i="6"/>
  <c r="N1004" i="6"/>
  <c r="N1005" i="6"/>
  <c r="N1006" i="6"/>
  <c r="N1007" i="6"/>
  <c r="N1008" i="6"/>
  <c r="N1009" i="6"/>
  <c r="N1010" i="6"/>
  <c r="N1011" i="6"/>
  <c r="N1012" i="6"/>
  <c r="N1013" i="6"/>
  <c r="N1014" i="6"/>
  <c r="N1015" i="6"/>
  <c r="N1016" i="6"/>
  <c r="N1017" i="6"/>
  <c r="N1018" i="6"/>
  <c r="N1019" i="6"/>
  <c r="N1020" i="6"/>
  <c r="N1021" i="6"/>
  <c r="N1022" i="6"/>
  <c r="N1023" i="6"/>
  <c r="N1024" i="6"/>
  <c r="N1025" i="6"/>
  <c r="N1026" i="6"/>
  <c r="N1027" i="6"/>
  <c r="N1028" i="6"/>
  <c r="N1029" i="6"/>
  <c r="N1030" i="6"/>
  <c r="N1031" i="6"/>
  <c r="N1032" i="6"/>
  <c r="N1033" i="6"/>
  <c r="N1034" i="6"/>
  <c r="N1035" i="6"/>
  <c r="N1036" i="6"/>
  <c r="N1037" i="6"/>
  <c r="N1038" i="6"/>
  <c r="N1039" i="6"/>
  <c r="N1040" i="6"/>
  <c r="N1041" i="6"/>
  <c r="N1042" i="6"/>
  <c r="N1043" i="6"/>
  <c r="N1044" i="6"/>
  <c r="N1045" i="6"/>
  <c r="N1046" i="6"/>
  <c r="N1047" i="6"/>
  <c r="N1048" i="6"/>
  <c r="N1049" i="6"/>
  <c r="N1050" i="6"/>
  <c r="N1051" i="6"/>
  <c r="N1052" i="6"/>
  <c r="N1053" i="6"/>
  <c r="N1054" i="6"/>
  <c r="N1055" i="6"/>
  <c r="N1056" i="6"/>
  <c r="N1057" i="6"/>
  <c r="N1058" i="6"/>
  <c r="N1059" i="6"/>
  <c r="N1060" i="6"/>
  <c r="N1061" i="6"/>
  <c r="N6" i="6"/>
  <c r="N7" i="6"/>
  <c r="N8" i="6"/>
  <c r="N9" i="6"/>
  <c r="N10" i="6"/>
  <c r="N11" i="6"/>
  <c r="N12" i="6"/>
  <c r="N13" i="6"/>
  <c r="N14" i="6"/>
  <c r="N15" i="6"/>
  <c r="N16" i="6"/>
  <c r="N17" i="6"/>
  <c r="N18" i="6"/>
  <c r="N19" i="6"/>
  <c r="N20" i="6"/>
  <c r="N21" i="6"/>
  <c r="N22" i="6"/>
  <c r="N23" i="6"/>
  <c r="N5" i="6"/>
  <c r="K1068" i="5" l="1"/>
  <c r="M1068" i="5" s="1"/>
  <c r="S929" i="4"/>
  <c r="T10" i="5"/>
  <c r="T9" i="5"/>
  <c r="T8" i="5"/>
  <c r="T6" i="5"/>
  <c r="K181" i="5"/>
  <c r="M181" i="5" s="1"/>
  <c r="K385" i="5"/>
  <c r="M385" i="5" s="1"/>
  <c r="K594" i="5"/>
  <c r="M594" i="5" s="1"/>
  <c r="K824" i="5"/>
  <c r="M824" i="5" s="1"/>
  <c r="K5" i="5"/>
  <c r="M5" i="5" s="1"/>
  <c r="J6" i="5"/>
  <c r="K6" i="5" s="1"/>
  <c r="M6" i="5" s="1"/>
  <c r="M832" i="16"/>
  <c r="I1086" i="16"/>
  <c r="I949" i="16"/>
  <c r="I935" i="16"/>
  <c r="I832" i="16"/>
  <c r="I827" i="16"/>
  <c r="I806" i="16"/>
  <c r="I794" i="16"/>
  <c r="I787" i="16"/>
  <c r="I618" i="16"/>
  <c r="I601" i="16"/>
  <c r="I575" i="16"/>
  <c r="I57" i="16"/>
  <c r="I10" i="16"/>
  <c r="I1088" i="16" s="1"/>
  <c r="J84" i="16"/>
  <c r="L84" i="16" s="1"/>
  <c r="J113" i="16"/>
  <c r="L113" i="16" s="1"/>
  <c r="J141" i="16"/>
  <c r="L141" i="16" s="1"/>
  <c r="J867" i="16"/>
  <c r="L867" i="16" s="1"/>
  <c r="J868" i="16"/>
  <c r="J869" i="16"/>
  <c r="L869" i="16" s="1"/>
  <c r="J870" i="16"/>
  <c r="L870" i="16" s="1"/>
  <c r="J847" i="16"/>
  <c r="L847" i="16" s="1"/>
  <c r="J851" i="16"/>
  <c r="L851" i="16" s="1"/>
  <c r="J855" i="16"/>
  <c r="L855" i="16" s="1"/>
  <c r="J859" i="16"/>
  <c r="L859" i="16" s="1"/>
  <c r="J848" i="16"/>
  <c r="L848" i="16" s="1"/>
  <c r="J852" i="16"/>
  <c r="L852" i="16" s="1"/>
  <c r="J856" i="16"/>
  <c r="L856" i="16" s="1"/>
  <c r="J860" i="16"/>
  <c r="L860" i="16" s="1"/>
  <c r="J897" i="16"/>
  <c r="L897" i="16" s="1"/>
  <c r="J901" i="16"/>
  <c r="L901" i="16" s="1"/>
  <c r="J905" i="16"/>
  <c r="L905" i="16" s="1"/>
  <c r="J909" i="16"/>
  <c r="L909" i="16" s="1"/>
  <c r="J898" i="16"/>
  <c r="L898" i="16" s="1"/>
  <c r="J902" i="16"/>
  <c r="J906" i="16"/>
  <c r="L906" i="16" s="1"/>
  <c r="J910" i="16"/>
  <c r="L910" i="16" s="1"/>
  <c r="J17" i="16"/>
  <c r="L17" i="16" s="1"/>
  <c r="J18" i="16"/>
  <c r="L18" i="16" s="1"/>
  <c r="J19" i="16"/>
  <c r="L19" i="16" s="1"/>
  <c r="J20" i="16"/>
  <c r="L20" i="16" s="1"/>
  <c r="J917" i="16"/>
  <c r="L917" i="16" s="1"/>
  <c r="J920" i="16"/>
  <c r="L920" i="16" s="1"/>
  <c r="J923" i="16"/>
  <c r="L923" i="16" s="1"/>
  <c r="J927" i="16"/>
  <c r="L927" i="16" s="1"/>
  <c r="J5" i="16"/>
  <c r="L5" i="16" s="1"/>
  <c r="J6" i="16"/>
  <c r="L6" i="16" s="1"/>
  <c r="J7" i="16"/>
  <c r="L7" i="16" s="1"/>
  <c r="J8" i="16"/>
  <c r="L8" i="16" s="1"/>
  <c r="J849" i="16"/>
  <c r="L849" i="16" s="1"/>
  <c r="J853" i="16"/>
  <c r="J857" i="16"/>
  <c r="L857" i="16" s="1"/>
  <c r="J861" i="16"/>
  <c r="L861" i="16" s="1"/>
  <c r="J12" i="16"/>
  <c r="L12" i="16" s="1"/>
  <c r="J13" i="16"/>
  <c r="L13" i="16" s="1"/>
  <c r="J14" i="16"/>
  <c r="L14" i="16" s="1"/>
  <c r="J15" i="16"/>
  <c r="L15" i="16" s="1"/>
  <c r="J835" i="16"/>
  <c r="L835" i="16" s="1"/>
  <c r="J838" i="16"/>
  <c r="L838" i="16" s="1"/>
  <c r="J841" i="16"/>
  <c r="L841" i="16" s="1"/>
  <c r="J836" i="16"/>
  <c r="L836" i="16" s="1"/>
  <c r="J839" i="16"/>
  <c r="L839" i="16" s="1"/>
  <c r="J842" i="16"/>
  <c r="L842" i="16" s="1"/>
  <c r="J951" i="16"/>
  <c r="L951" i="16" s="1"/>
  <c r="J952" i="16"/>
  <c r="L952" i="16" s="1"/>
  <c r="J955" i="16"/>
  <c r="L955" i="16" s="1"/>
  <c r="J958" i="16"/>
  <c r="J953" i="16"/>
  <c r="L953" i="16" s="1"/>
  <c r="J956" i="16"/>
  <c r="L956" i="16" s="1"/>
  <c r="J959" i="16"/>
  <c r="L959" i="16" s="1"/>
  <c r="J850" i="16"/>
  <c r="L850" i="16" s="1"/>
  <c r="J854" i="16"/>
  <c r="L854" i="16" s="1"/>
  <c r="J858" i="16"/>
  <c r="L858" i="16" s="1"/>
  <c r="J862" i="16"/>
  <c r="L862" i="16" s="1"/>
  <c r="J872" i="16"/>
  <c r="L872" i="16" s="1"/>
  <c r="J874" i="16"/>
  <c r="L874" i="16" s="1"/>
  <c r="J876" i="16"/>
  <c r="L876" i="16" s="1"/>
  <c r="J878" i="16"/>
  <c r="L878" i="16" s="1"/>
  <c r="J27" i="16"/>
  <c r="L27" i="16" s="1"/>
  <c r="J29" i="16"/>
  <c r="L29" i="16" s="1"/>
  <c r="J31" i="16"/>
  <c r="L31" i="16" s="1"/>
  <c r="J33" i="16"/>
  <c r="L33" i="16" s="1"/>
  <c r="J37" i="16"/>
  <c r="J39" i="16"/>
  <c r="L39" i="16" s="1"/>
  <c r="J41" i="16"/>
  <c r="L41" i="16" s="1"/>
  <c r="J43" i="16"/>
  <c r="L43" i="16" s="1"/>
  <c r="J1029" i="16"/>
  <c r="L1029" i="16" s="1"/>
  <c r="J1031" i="16"/>
  <c r="L1031" i="16" s="1"/>
  <c r="J1038" i="16"/>
  <c r="L1038" i="16" s="1"/>
  <c r="J1043" i="16"/>
  <c r="L1043" i="16" s="1"/>
  <c r="J887" i="16"/>
  <c r="L887" i="16" s="1"/>
  <c r="J889" i="16"/>
  <c r="L889" i="16" s="1"/>
  <c r="J891" i="16"/>
  <c r="L891" i="16" s="1"/>
  <c r="J893" i="16"/>
  <c r="L893" i="16" s="1"/>
  <c r="J899" i="16"/>
  <c r="L899" i="16" s="1"/>
  <c r="J903" i="16"/>
  <c r="L903" i="16" s="1"/>
  <c r="J907" i="16"/>
  <c r="L907" i="16" s="1"/>
  <c r="J911" i="16"/>
  <c r="L911" i="16" s="1"/>
  <c r="J211" i="16"/>
  <c r="J259" i="16"/>
  <c r="L259" i="16" s="1"/>
  <c r="J311" i="16"/>
  <c r="L311" i="16" s="1"/>
  <c r="J365" i="16"/>
  <c r="L365" i="16" s="1"/>
  <c r="J888" i="16"/>
  <c r="L888" i="16" s="1"/>
  <c r="J890" i="16"/>
  <c r="L890" i="16" s="1"/>
  <c r="J892" i="16"/>
  <c r="L892" i="16" s="1"/>
  <c r="J894" i="16"/>
  <c r="L894" i="16" s="1"/>
  <c r="J796" i="16"/>
  <c r="L796" i="16" s="1"/>
  <c r="J798" i="16"/>
  <c r="L798" i="16" s="1"/>
  <c r="J800" i="16"/>
  <c r="L800" i="16" s="1"/>
  <c r="J802" i="16"/>
  <c r="L802" i="16" s="1"/>
  <c r="J1030" i="16"/>
  <c r="L1030" i="16" s="1"/>
  <c r="J1032" i="16"/>
  <c r="L1032" i="16" s="1"/>
  <c r="J1039" i="16"/>
  <c r="L1039" i="16" s="1"/>
  <c r="J1044" i="16"/>
  <c r="L1044" i="16" s="1"/>
  <c r="J834" i="16"/>
  <c r="J837" i="16"/>
  <c r="L837" i="16" s="1"/>
  <c r="J840" i="16"/>
  <c r="L840" i="16" s="1"/>
  <c r="J843" i="16"/>
  <c r="L843" i="16" s="1"/>
  <c r="J873" i="16"/>
  <c r="L873" i="16" s="1"/>
  <c r="J875" i="16"/>
  <c r="L875" i="16" s="1"/>
  <c r="J877" i="16"/>
  <c r="L877" i="16" s="1"/>
  <c r="J879" i="16"/>
  <c r="L879" i="16" s="1"/>
  <c r="J797" i="16"/>
  <c r="L797" i="16" s="1"/>
  <c r="J799" i="16"/>
  <c r="L799" i="16" s="1"/>
  <c r="J801" i="16"/>
  <c r="L801" i="16" s="1"/>
  <c r="J803" i="16"/>
  <c r="L803" i="16" s="1"/>
  <c r="J487" i="16"/>
  <c r="L487" i="16" s="1"/>
  <c r="J501" i="16"/>
  <c r="L501" i="16" s="1"/>
  <c r="J516" i="16"/>
  <c r="L516" i="16" s="1"/>
  <c r="J531" i="16"/>
  <c r="L531" i="16" s="1"/>
  <c r="J918" i="16"/>
  <c r="J921" i="16"/>
  <c r="L921" i="16" s="1"/>
  <c r="J924" i="16"/>
  <c r="L924" i="16" s="1"/>
  <c r="J928" i="16"/>
  <c r="L928" i="16" s="1"/>
  <c r="J900" i="16"/>
  <c r="L900" i="16" s="1"/>
  <c r="J904" i="16"/>
  <c r="L904" i="16" s="1"/>
  <c r="J908" i="16"/>
  <c r="L908" i="16" s="1"/>
  <c r="J912" i="16"/>
  <c r="L912" i="16" s="1"/>
  <c r="J47" i="16"/>
  <c r="L47" i="16" s="1"/>
  <c r="J49" i="16"/>
  <c r="L49" i="16" s="1"/>
  <c r="J51" i="16"/>
  <c r="L51" i="16" s="1"/>
  <c r="J53" i="16"/>
  <c r="L53" i="16" s="1"/>
  <c r="J919" i="16"/>
  <c r="L919" i="16" s="1"/>
  <c r="J922" i="16"/>
  <c r="L922" i="16" s="1"/>
  <c r="J925" i="16"/>
  <c r="L925" i="16" s="1"/>
  <c r="J929" i="16"/>
  <c r="L929" i="16" s="1"/>
  <c r="J926" i="16"/>
  <c r="J930" i="16"/>
  <c r="L930" i="16" s="1"/>
  <c r="J22" i="16"/>
  <c r="L22" i="16" s="1"/>
  <c r="J23" i="16"/>
  <c r="L23" i="16" s="1"/>
  <c r="J24" i="16"/>
  <c r="L24" i="16" s="1"/>
  <c r="J25" i="16"/>
  <c r="L25" i="16" s="1"/>
  <c r="J882" i="16"/>
  <c r="L882" i="16" s="1"/>
  <c r="J883" i="16"/>
  <c r="L883" i="16" s="1"/>
  <c r="J884" i="16"/>
  <c r="L884" i="16" s="1"/>
  <c r="J885" i="16"/>
  <c r="L885" i="16" s="1"/>
  <c r="J488" i="16"/>
  <c r="L488" i="16" s="1"/>
  <c r="J502" i="16"/>
  <c r="L502" i="16" s="1"/>
  <c r="J503" i="16"/>
  <c r="L503" i="16" s="1"/>
  <c r="J517" i="16"/>
  <c r="L517" i="16" s="1"/>
  <c r="J518" i="16"/>
  <c r="L518" i="16" s="1"/>
  <c r="J532" i="16"/>
  <c r="L532" i="16" s="1"/>
  <c r="J533" i="16"/>
  <c r="J937" i="16"/>
  <c r="L937" i="16" s="1"/>
  <c r="J938" i="16"/>
  <c r="L938" i="16" s="1"/>
  <c r="J939" i="16"/>
  <c r="L939" i="16" s="1"/>
  <c r="J954" i="16"/>
  <c r="L954" i="16" s="1"/>
  <c r="J957" i="16"/>
  <c r="L957" i="16" s="1"/>
  <c r="J960" i="16"/>
  <c r="L960" i="16" s="1"/>
  <c r="J620" i="16"/>
  <c r="L620" i="16" s="1"/>
  <c r="J645" i="16"/>
  <c r="L645" i="16" s="1"/>
  <c r="J676" i="16"/>
  <c r="L676" i="16" s="1"/>
  <c r="J677" i="16"/>
  <c r="L677" i="16" s="1"/>
  <c r="J713" i="16"/>
  <c r="L713" i="16" s="1"/>
  <c r="J714" i="16"/>
  <c r="L714" i="16" s="1"/>
  <c r="J646" i="16"/>
  <c r="L646" i="16" s="1"/>
  <c r="J678" i="16"/>
  <c r="L678" i="16" s="1"/>
  <c r="J715" i="16"/>
  <c r="L715" i="16" s="1"/>
  <c r="J85" i="16"/>
  <c r="J114" i="16"/>
  <c r="L114" i="16" s="1"/>
  <c r="J142" i="16"/>
  <c r="L142" i="16" s="1"/>
  <c r="J621" i="16"/>
  <c r="L621" i="16" s="1"/>
  <c r="J647" i="16"/>
  <c r="L647" i="16" s="1"/>
  <c r="J679" i="16"/>
  <c r="L679" i="16" s="1"/>
  <c r="J716" i="16"/>
  <c r="L716" i="16" s="1"/>
  <c r="J1056" i="16"/>
  <c r="L1056" i="16" s="1"/>
  <c r="J1060" i="16"/>
  <c r="L1060" i="16" s="1"/>
  <c r="J1066" i="16"/>
  <c r="L1066" i="16" s="1"/>
  <c r="J1072" i="16"/>
  <c r="L1072" i="16" s="1"/>
  <c r="J613" i="16"/>
  <c r="L613" i="16" s="1"/>
  <c r="J614" i="16"/>
  <c r="L614" i="16" s="1"/>
  <c r="J615" i="16"/>
  <c r="L615" i="16" s="1"/>
  <c r="J616" i="16"/>
  <c r="L616" i="16" s="1"/>
  <c r="J608" i="16"/>
  <c r="L608" i="16" s="1"/>
  <c r="J609" i="16"/>
  <c r="J610" i="16"/>
  <c r="L610" i="16" s="1"/>
  <c r="J611" i="16"/>
  <c r="L611" i="16" s="1"/>
  <c r="J603" i="16"/>
  <c r="L603" i="16" s="1"/>
  <c r="J604" i="16"/>
  <c r="L604" i="16" s="1"/>
  <c r="J605" i="16"/>
  <c r="L605" i="16" s="1"/>
  <c r="J606" i="16"/>
  <c r="L606" i="16" s="1"/>
  <c r="J86" i="16"/>
  <c r="L86" i="16" s="1"/>
  <c r="J115" i="16"/>
  <c r="L115" i="16" s="1"/>
  <c r="J143" i="16"/>
  <c r="L143" i="16" s="1"/>
  <c r="J648" i="16"/>
  <c r="L648" i="16" s="1"/>
  <c r="J680" i="16"/>
  <c r="L680" i="16" s="1"/>
  <c r="J717" i="16"/>
  <c r="L717" i="16" s="1"/>
  <c r="J60" i="16"/>
  <c r="L60" i="16" s="1"/>
  <c r="J87" i="16"/>
  <c r="L87" i="16" s="1"/>
  <c r="J116" i="16"/>
  <c r="L116" i="16" s="1"/>
  <c r="J144" i="16"/>
  <c r="J489" i="16"/>
  <c r="L489" i="16" s="1"/>
  <c r="J490" i="16"/>
  <c r="L490" i="16" s="1"/>
  <c r="J504" i="16"/>
  <c r="L504" i="16" s="1"/>
  <c r="J505" i="16"/>
  <c r="L505" i="16" s="1"/>
  <c r="J519" i="16"/>
  <c r="L519" i="16" s="1"/>
  <c r="J520" i="16"/>
  <c r="L520" i="16" s="1"/>
  <c r="J534" i="16"/>
  <c r="L534" i="16" s="1"/>
  <c r="J535" i="16"/>
  <c r="L535" i="16" s="1"/>
  <c r="J491" i="16"/>
  <c r="L491" i="16" s="1"/>
  <c r="J506" i="16"/>
  <c r="L506" i="16" s="1"/>
  <c r="J521" i="16"/>
  <c r="L521" i="16" s="1"/>
  <c r="J536" i="16"/>
  <c r="L536" i="16" s="1"/>
  <c r="J941" i="16"/>
  <c r="L941" i="16" s="1"/>
  <c r="J944" i="16"/>
  <c r="L944" i="16" s="1"/>
  <c r="J946" i="16"/>
  <c r="L946" i="16" s="1"/>
  <c r="J947" i="16"/>
  <c r="J260" i="16"/>
  <c r="L260" i="16" s="1"/>
  <c r="J312" i="16"/>
  <c r="L312" i="16" s="1"/>
  <c r="J366" i="16"/>
  <c r="L366" i="16" s="1"/>
  <c r="J622" i="16"/>
  <c r="L622" i="16" s="1"/>
  <c r="J649" i="16"/>
  <c r="L649" i="16" s="1"/>
  <c r="J650" i="16"/>
  <c r="L650" i="16" s="1"/>
  <c r="J681" i="16"/>
  <c r="L681" i="16" s="1"/>
  <c r="J682" i="16"/>
  <c r="L682" i="16" s="1"/>
  <c r="J718" i="16"/>
  <c r="L718" i="16" s="1"/>
  <c r="J719" i="16"/>
  <c r="L719" i="16" s="1"/>
  <c r="J623" i="16"/>
  <c r="L623" i="16" s="1"/>
  <c r="J651" i="16"/>
  <c r="L651" i="16" s="1"/>
  <c r="J683" i="16"/>
  <c r="L683" i="16" s="1"/>
  <c r="J720" i="16"/>
  <c r="L720" i="16" s="1"/>
  <c r="J212" i="16"/>
  <c r="L212" i="16" s="1"/>
  <c r="J261" i="16"/>
  <c r="J313" i="16"/>
  <c r="L313" i="16" s="1"/>
  <c r="J367" i="16"/>
  <c r="L367" i="16" s="1"/>
  <c r="J492" i="16"/>
  <c r="L492" i="16" s="1"/>
  <c r="J507" i="16"/>
  <c r="L507" i="16" s="1"/>
  <c r="J522" i="16"/>
  <c r="L522" i="16" s="1"/>
  <c r="J537" i="16"/>
  <c r="L537" i="16" s="1"/>
  <c r="J213" i="16"/>
  <c r="L213" i="16" s="1"/>
  <c r="J262" i="16"/>
  <c r="L262" i="16" s="1"/>
  <c r="J314" i="16"/>
  <c r="L314" i="16" s="1"/>
  <c r="J368" i="16"/>
  <c r="L368" i="16" s="1"/>
  <c r="J214" i="16"/>
  <c r="L214" i="16" s="1"/>
  <c r="J263" i="16"/>
  <c r="L263" i="16" s="1"/>
  <c r="J315" i="16"/>
  <c r="L315" i="16" s="1"/>
  <c r="J369" i="16"/>
  <c r="L369" i="16" s="1"/>
  <c r="J215" i="16"/>
  <c r="L215" i="16" s="1"/>
  <c r="J264" i="16"/>
  <c r="J316" i="16"/>
  <c r="L316" i="16" s="1"/>
  <c r="J370" i="16"/>
  <c r="L370" i="16" s="1"/>
  <c r="J624" i="16"/>
  <c r="L624" i="16" s="1"/>
  <c r="J652" i="16"/>
  <c r="L652" i="16" s="1"/>
  <c r="J684" i="16"/>
  <c r="L684" i="16" s="1"/>
  <c r="J721" i="16"/>
  <c r="L721" i="16" s="1"/>
  <c r="J216" i="16"/>
  <c r="L216" i="16" s="1"/>
  <c r="J265" i="16"/>
  <c r="L265" i="16" s="1"/>
  <c r="J317" i="16"/>
  <c r="L317" i="16" s="1"/>
  <c r="J371" i="16"/>
  <c r="L371" i="16" s="1"/>
  <c r="J61" i="16"/>
  <c r="L61" i="16" s="1"/>
  <c r="J88" i="16"/>
  <c r="L88" i="16" s="1"/>
  <c r="J117" i="16"/>
  <c r="L117" i="16" s="1"/>
  <c r="J145" i="16"/>
  <c r="L145" i="16" s="1"/>
  <c r="J217" i="16"/>
  <c r="L217" i="16" s="1"/>
  <c r="J266" i="16"/>
  <c r="J318" i="16"/>
  <c r="L318" i="16" s="1"/>
  <c r="J372" i="16"/>
  <c r="L372" i="16" s="1"/>
  <c r="J218" i="16"/>
  <c r="L218" i="16" s="1"/>
  <c r="J267" i="16"/>
  <c r="L267" i="16" s="1"/>
  <c r="J319" i="16"/>
  <c r="L319" i="16" s="1"/>
  <c r="J373" i="16"/>
  <c r="L373" i="16" s="1"/>
  <c r="J625" i="16"/>
  <c r="L625" i="16" s="1"/>
  <c r="J653" i="16"/>
  <c r="L653" i="16" s="1"/>
  <c r="J685" i="16"/>
  <c r="L685" i="16" s="1"/>
  <c r="J722" i="16"/>
  <c r="L722" i="16" s="1"/>
  <c r="J626" i="16"/>
  <c r="L626" i="16" s="1"/>
  <c r="J654" i="16"/>
  <c r="L654" i="16" s="1"/>
  <c r="J686" i="16"/>
  <c r="L686" i="16" s="1"/>
  <c r="J723" i="16"/>
  <c r="L723" i="16" s="1"/>
  <c r="J655" i="16"/>
  <c r="L655" i="16" s="1"/>
  <c r="J687" i="16"/>
  <c r="J724" i="16"/>
  <c r="L724" i="16" s="1"/>
  <c r="J627" i="16"/>
  <c r="L627" i="16" s="1"/>
  <c r="J656" i="16"/>
  <c r="L656" i="16" s="1"/>
  <c r="J688" i="16"/>
  <c r="L688" i="16" s="1"/>
  <c r="J725" i="16"/>
  <c r="L725" i="16" s="1"/>
  <c r="J219" i="16"/>
  <c r="L219" i="16" s="1"/>
  <c r="J268" i="16"/>
  <c r="L268" i="16" s="1"/>
  <c r="J320" i="16"/>
  <c r="L320" i="16" s="1"/>
  <c r="J374" i="16"/>
  <c r="L374" i="16" s="1"/>
  <c r="J628" i="16"/>
  <c r="L628" i="16" s="1"/>
  <c r="J657" i="16"/>
  <c r="L657" i="16" s="1"/>
  <c r="J689" i="16"/>
  <c r="L689" i="16" s="1"/>
  <c r="J726" i="16"/>
  <c r="L726" i="16" s="1"/>
  <c r="J629" i="16"/>
  <c r="L629" i="16" s="1"/>
  <c r="J658" i="16"/>
  <c r="L658" i="16" s="1"/>
  <c r="J690" i="16"/>
  <c r="J727" i="16"/>
  <c r="L727" i="16" s="1"/>
  <c r="J728" i="16"/>
  <c r="L728" i="16" s="1"/>
  <c r="J630" i="16"/>
  <c r="L630" i="16" s="1"/>
  <c r="J659" i="16"/>
  <c r="L659" i="16" s="1"/>
  <c r="J691" i="16"/>
  <c r="L691" i="16" s="1"/>
  <c r="J729" i="16"/>
  <c r="L729" i="16" s="1"/>
  <c r="J811" i="16"/>
  <c r="L811" i="16" s="1"/>
  <c r="J815" i="16"/>
  <c r="L815" i="16" s="1"/>
  <c r="J819" i="16"/>
  <c r="L819" i="16" s="1"/>
  <c r="J1057" i="16"/>
  <c r="L1057" i="16" s="1"/>
  <c r="J1061" i="16"/>
  <c r="L1061" i="16" s="1"/>
  <c r="J1067" i="16"/>
  <c r="L1067" i="16" s="1"/>
  <c r="J1073" i="16"/>
  <c r="L1073" i="16" s="1"/>
  <c r="J220" i="16"/>
  <c r="L220" i="16" s="1"/>
  <c r="J269" i="16"/>
  <c r="L269" i="16" s="1"/>
  <c r="J321" i="16"/>
  <c r="J375" i="16"/>
  <c r="L375" i="16" s="1"/>
  <c r="J221" i="16"/>
  <c r="L221" i="16" s="1"/>
  <c r="J270" i="16"/>
  <c r="L270" i="16" s="1"/>
  <c r="J322" i="16"/>
  <c r="L322" i="16" s="1"/>
  <c r="J376" i="16"/>
  <c r="L376" i="16" s="1"/>
  <c r="J62" i="16"/>
  <c r="L62" i="16" s="1"/>
  <c r="J89" i="16"/>
  <c r="L89" i="16" s="1"/>
  <c r="J118" i="16"/>
  <c r="L118" i="16" s="1"/>
  <c r="J146" i="16"/>
  <c r="L146" i="16" s="1"/>
  <c r="J222" i="16"/>
  <c r="L222" i="16" s="1"/>
  <c r="J271" i="16"/>
  <c r="L271" i="16" s="1"/>
  <c r="J323" i="16"/>
  <c r="L323" i="16" s="1"/>
  <c r="J377" i="16"/>
  <c r="L377" i="16" s="1"/>
  <c r="J631" i="16"/>
  <c r="L631" i="16" s="1"/>
  <c r="J660" i="16"/>
  <c r="L660" i="16" s="1"/>
  <c r="J692" i="16"/>
  <c r="J730" i="16"/>
  <c r="L730" i="16" s="1"/>
  <c r="J63" i="16"/>
  <c r="L63" i="16" s="1"/>
  <c r="J90" i="16"/>
  <c r="L90" i="16" s="1"/>
  <c r="J119" i="16"/>
  <c r="L119" i="16" s="1"/>
  <c r="J147" i="16"/>
  <c r="L147" i="16" s="1"/>
  <c r="J632" i="16"/>
  <c r="L632" i="16" s="1"/>
  <c r="J661" i="16"/>
  <c r="L661" i="16" s="1"/>
  <c r="J693" i="16"/>
  <c r="L693" i="16" s="1"/>
  <c r="J731" i="16"/>
  <c r="L731" i="16" s="1"/>
  <c r="J223" i="16"/>
  <c r="L223" i="16" s="1"/>
  <c r="J272" i="16"/>
  <c r="L272" i="16" s="1"/>
  <c r="J324" i="16"/>
  <c r="L324" i="16" s="1"/>
  <c r="J378" i="16"/>
  <c r="L378" i="16" s="1"/>
  <c r="J493" i="16"/>
  <c r="L493" i="16" s="1"/>
  <c r="J508" i="16"/>
  <c r="L508" i="16" s="1"/>
  <c r="J523" i="16"/>
  <c r="J538" i="16"/>
  <c r="L538" i="16" s="1"/>
  <c r="J224" i="16"/>
  <c r="L224" i="16" s="1"/>
  <c r="J273" i="16"/>
  <c r="L273" i="16" s="1"/>
  <c r="J325" i="16"/>
  <c r="L325" i="16" s="1"/>
  <c r="J379" i="16"/>
  <c r="L379" i="16" s="1"/>
  <c r="J662" i="16"/>
  <c r="L662" i="16" s="1"/>
  <c r="J694" i="16"/>
  <c r="L694" i="16" s="1"/>
  <c r="J732" i="16"/>
  <c r="L732" i="16" s="1"/>
  <c r="J225" i="16"/>
  <c r="L225" i="16" s="1"/>
  <c r="J274" i="16"/>
  <c r="L274" i="16" s="1"/>
  <c r="J326" i="16"/>
  <c r="L326" i="16" s="1"/>
  <c r="J380" i="16"/>
  <c r="L380" i="16" s="1"/>
  <c r="J695" i="16"/>
  <c r="L695" i="16" s="1"/>
  <c r="J733" i="16"/>
  <c r="L733" i="16" s="1"/>
  <c r="J633" i="16"/>
  <c r="L633" i="16" s="1"/>
  <c r="J663" i="16"/>
  <c r="J696" i="16"/>
  <c r="L696" i="16" s="1"/>
  <c r="J734" i="16"/>
  <c r="L734" i="16" s="1"/>
  <c r="J808" i="16"/>
  <c r="L808" i="16" s="1"/>
  <c r="J812" i="16"/>
  <c r="L812" i="16" s="1"/>
  <c r="J816" i="16"/>
  <c r="L816" i="16" s="1"/>
  <c r="J820" i="16"/>
  <c r="L820" i="16" s="1"/>
  <c r="J226" i="16"/>
  <c r="L226" i="16" s="1"/>
  <c r="J275" i="16"/>
  <c r="L275" i="16" s="1"/>
  <c r="J327" i="16"/>
  <c r="L327" i="16" s="1"/>
  <c r="J381" i="16"/>
  <c r="L381" i="16" s="1"/>
  <c r="J942" i="16"/>
  <c r="L942" i="16" s="1"/>
  <c r="J943" i="16"/>
  <c r="L943" i="16" s="1"/>
  <c r="J945" i="16"/>
  <c r="L945" i="16" s="1"/>
  <c r="J577" i="16"/>
  <c r="L577" i="16" s="1"/>
  <c r="J581" i="16"/>
  <c r="L581" i="16" s="1"/>
  <c r="J586" i="16"/>
  <c r="J591" i="16"/>
  <c r="L591" i="16" s="1"/>
  <c r="J578" i="16"/>
  <c r="L578" i="16" s="1"/>
  <c r="J582" i="16"/>
  <c r="L582" i="16" s="1"/>
  <c r="J587" i="16"/>
  <c r="L587" i="16" s="1"/>
  <c r="J592" i="16"/>
  <c r="L592" i="16" s="1"/>
  <c r="J227" i="16"/>
  <c r="L227" i="16" s="1"/>
  <c r="J276" i="16"/>
  <c r="L276" i="16" s="1"/>
  <c r="J328" i="16"/>
  <c r="L328" i="16" s="1"/>
  <c r="J382" i="16"/>
  <c r="L382" i="16" s="1"/>
  <c r="J64" i="16"/>
  <c r="L64" i="16" s="1"/>
  <c r="J91" i="16"/>
  <c r="L91" i="16" s="1"/>
  <c r="J120" i="16"/>
  <c r="L120" i="16" s="1"/>
  <c r="J148" i="16"/>
  <c r="L148" i="16" s="1"/>
  <c r="J228" i="16"/>
  <c r="L228" i="16" s="1"/>
  <c r="J277" i="16"/>
  <c r="L277" i="16" s="1"/>
  <c r="J329" i="16"/>
  <c r="J383" i="16"/>
  <c r="L383" i="16" s="1"/>
  <c r="J65" i="16"/>
  <c r="L65" i="16" s="1"/>
  <c r="J92" i="16"/>
  <c r="L92" i="16" s="1"/>
  <c r="J121" i="16"/>
  <c r="L121" i="16" s="1"/>
  <c r="J149" i="16"/>
  <c r="L149" i="16" s="1"/>
  <c r="J809" i="16"/>
  <c r="L809" i="16" s="1"/>
  <c r="J813" i="16"/>
  <c r="L813" i="16" s="1"/>
  <c r="J817" i="16"/>
  <c r="L817" i="16" s="1"/>
  <c r="J821" i="16"/>
  <c r="L821" i="16" s="1"/>
  <c r="J969" i="16"/>
  <c r="L969" i="16" s="1"/>
  <c r="J980" i="16"/>
  <c r="L980" i="16" s="1"/>
  <c r="J991" i="16"/>
  <c r="L991" i="16" s="1"/>
  <c r="J1003" i="16"/>
  <c r="L1003" i="16" s="1"/>
  <c r="J1033" i="16"/>
  <c r="L1033" i="16" s="1"/>
  <c r="J1040" i="16"/>
  <c r="L1040" i="16" s="1"/>
  <c r="J1045" i="16"/>
  <c r="L1045" i="16" s="1"/>
  <c r="J66" i="16"/>
  <c r="L66" i="16" s="1"/>
  <c r="J93" i="16"/>
  <c r="L93" i="16" s="1"/>
  <c r="J122" i="16"/>
  <c r="L122" i="16" s="1"/>
  <c r="J150" i="16"/>
  <c r="L150" i="16" s="1"/>
  <c r="J789" i="16"/>
  <c r="L789" i="16" s="1"/>
  <c r="J790" i="16"/>
  <c r="L790" i="16" s="1"/>
  <c r="J791" i="16"/>
  <c r="L791" i="16" s="1"/>
  <c r="J792" i="16"/>
  <c r="J810" i="16"/>
  <c r="L810" i="16" s="1"/>
  <c r="J814" i="16"/>
  <c r="L814" i="16" s="1"/>
  <c r="J818" i="16"/>
  <c r="L818" i="16" s="1"/>
  <c r="J822" i="16"/>
  <c r="L822" i="16" s="1"/>
  <c r="J67" i="16"/>
  <c r="L67" i="16" s="1"/>
  <c r="J94" i="16"/>
  <c r="L94" i="16" s="1"/>
  <c r="J123" i="16"/>
  <c r="L123" i="16" s="1"/>
  <c r="J151" i="16"/>
  <c r="L151" i="16" s="1"/>
  <c r="J697" i="16"/>
  <c r="L697" i="16" s="1"/>
  <c r="J229" i="16"/>
  <c r="L229" i="16" s="1"/>
  <c r="J278" i="16"/>
  <c r="L278" i="16" s="1"/>
  <c r="J330" i="16"/>
  <c r="L330" i="16" s="1"/>
  <c r="J384" i="16"/>
  <c r="L384" i="16" s="1"/>
  <c r="J230" i="16"/>
  <c r="L230" i="16" s="1"/>
  <c r="J279" i="16"/>
  <c r="L279" i="16" s="1"/>
  <c r="J331" i="16"/>
  <c r="J385" i="16"/>
  <c r="L385" i="16" s="1"/>
  <c r="J231" i="16"/>
  <c r="L231" i="16" s="1"/>
  <c r="J280" i="16"/>
  <c r="L280" i="16" s="1"/>
  <c r="J332" i="16"/>
  <c r="L332" i="16" s="1"/>
  <c r="J386" i="16"/>
  <c r="L386" i="16" s="1"/>
  <c r="J664" i="16"/>
  <c r="L664" i="16" s="1"/>
  <c r="J232" i="16"/>
  <c r="L232" i="16" s="1"/>
  <c r="J281" i="16"/>
  <c r="L281" i="16" s="1"/>
  <c r="J333" i="16"/>
  <c r="L333" i="16" s="1"/>
  <c r="J387" i="16"/>
  <c r="L387" i="16" s="1"/>
  <c r="J233" i="16"/>
  <c r="L233" i="16" s="1"/>
  <c r="J282" i="16"/>
  <c r="L282" i="16" s="1"/>
  <c r="J334" i="16"/>
  <c r="L334" i="16" s="1"/>
  <c r="J388" i="16"/>
  <c r="L388" i="16" s="1"/>
  <c r="J234" i="16"/>
  <c r="L234" i="16" s="1"/>
  <c r="J283" i="16"/>
  <c r="L283" i="16" s="1"/>
  <c r="J335" i="16"/>
  <c r="L335" i="16" s="1"/>
  <c r="J389" i="16"/>
  <c r="L389" i="16" s="1"/>
  <c r="J634" i="16"/>
  <c r="L634" i="16" s="1"/>
  <c r="J665" i="16"/>
  <c r="J698" i="16"/>
  <c r="L698" i="16" s="1"/>
  <c r="J735" i="16"/>
  <c r="L735" i="16" s="1"/>
  <c r="J68" i="16"/>
  <c r="L68" i="16" s="1"/>
  <c r="J95" i="16"/>
  <c r="L95" i="16" s="1"/>
  <c r="J124" i="16"/>
  <c r="L124" i="16" s="1"/>
  <c r="J152" i="16"/>
  <c r="L152" i="16" s="1"/>
  <c r="J235" i="16"/>
  <c r="L235" i="16" s="1"/>
  <c r="J284" i="16"/>
  <c r="L284" i="16" s="1"/>
  <c r="J336" i="16"/>
  <c r="L336" i="16" s="1"/>
  <c r="J390" i="16"/>
  <c r="L390" i="16" s="1"/>
  <c r="J635" i="16"/>
  <c r="L635" i="16" s="1"/>
  <c r="J666" i="16"/>
  <c r="L666" i="16" s="1"/>
  <c r="J699" i="16"/>
  <c r="L699" i="16" s="1"/>
  <c r="J736" i="16"/>
  <c r="L736" i="16" s="1"/>
  <c r="J636" i="16"/>
  <c r="L636" i="16" s="1"/>
  <c r="J667" i="16"/>
  <c r="L667" i="16" s="1"/>
  <c r="J700" i="16"/>
  <c r="L700" i="16" s="1"/>
  <c r="J701" i="16"/>
  <c r="L701" i="16" s="1"/>
  <c r="J737" i="16"/>
  <c r="L737" i="16" s="1"/>
  <c r="J738" i="16"/>
  <c r="L738" i="16" s="1"/>
  <c r="J236" i="16"/>
  <c r="L236" i="16" s="1"/>
  <c r="J285" i="16"/>
  <c r="L285" i="16" s="1"/>
  <c r="J337" i="16"/>
  <c r="L337" i="16" s="1"/>
  <c r="J391" i="16"/>
  <c r="L391" i="16" s="1"/>
  <c r="J286" i="16"/>
  <c r="L286" i="16" s="1"/>
  <c r="J338" i="16"/>
  <c r="L338" i="16" s="1"/>
  <c r="J392" i="16"/>
  <c r="L392" i="16" s="1"/>
  <c r="J237" i="16"/>
  <c r="J287" i="16"/>
  <c r="L287" i="16" s="1"/>
  <c r="J339" i="16"/>
  <c r="L339" i="16" s="1"/>
  <c r="J393" i="16"/>
  <c r="L393" i="16" s="1"/>
  <c r="J238" i="16"/>
  <c r="L238" i="16" s="1"/>
  <c r="J288" i="16"/>
  <c r="L288" i="16" s="1"/>
  <c r="J340" i="16"/>
  <c r="L340" i="16" s="1"/>
  <c r="J394" i="16"/>
  <c r="L394" i="16" s="1"/>
  <c r="J69" i="16"/>
  <c r="L69" i="16" s="1"/>
  <c r="J96" i="16"/>
  <c r="L96" i="16" s="1"/>
  <c r="J125" i="16"/>
  <c r="L125" i="16" s="1"/>
  <c r="J153" i="16"/>
  <c r="L153" i="16" s="1"/>
  <c r="J239" i="16"/>
  <c r="L239" i="16" s="1"/>
  <c r="J289" i="16"/>
  <c r="L289" i="16" s="1"/>
  <c r="J341" i="16"/>
  <c r="L341" i="16" s="1"/>
  <c r="J395" i="16"/>
  <c r="L395" i="16" s="1"/>
  <c r="J240" i="16"/>
  <c r="J290" i="16"/>
  <c r="L290" i="16" s="1"/>
  <c r="J342" i="16"/>
  <c r="L342" i="16" s="1"/>
  <c r="J396" i="16"/>
  <c r="L396" i="16" s="1"/>
  <c r="J241" i="16"/>
  <c r="L241" i="16" s="1"/>
  <c r="J291" i="16"/>
  <c r="L291" i="16" s="1"/>
  <c r="J343" i="16"/>
  <c r="L343" i="16" s="1"/>
  <c r="J397" i="16"/>
  <c r="L397" i="16" s="1"/>
  <c r="J398" i="16"/>
  <c r="L398" i="16" s="1"/>
  <c r="J242" i="16"/>
  <c r="L242" i="16" s="1"/>
  <c r="J292" i="16"/>
  <c r="L292" i="16" s="1"/>
  <c r="J344" i="16"/>
  <c r="L344" i="16" s="1"/>
  <c r="J399" i="16"/>
  <c r="L399" i="16" s="1"/>
  <c r="J964" i="16"/>
  <c r="L964" i="16" s="1"/>
  <c r="J965" i="16"/>
  <c r="L965" i="16" s="1"/>
  <c r="J966" i="16"/>
  <c r="L966" i="16" s="1"/>
  <c r="J967" i="16"/>
  <c r="J243" i="16"/>
  <c r="L243" i="16" s="1"/>
  <c r="J293" i="16"/>
  <c r="L293" i="16" s="1"/>
  <c r="J345" i="16"/>
  <c r="L345" i="16" s="1"/>
  <c r="J400" i="16"/>
  <c r="L400" i="16" s="1"/>
  <c r="J244" i="16"/>
  <c r="L244" i="16" s="1"/>
  <c r="J294" i="16"/>
  <c r="L294" i="16" s="1"/>
  <c r="J346" i="16"/>
  <c r="L346" i="16" s="1"/>
  <c r="J401" i="16"/>
  <c r="L401" i="16" s="1"/>
  <c r="J402" i="16"/>
  <c r="L402" i="16" s="1"/>
  <c r="J1034" i="16"/>
  <c r="L1034" i="16" s="1"/>
  <c r="J637" i="16"/>
  <c r="L637" i="16" s="1"/>
  <c r="J668" i="16"/>
  <c r="L668" i="16" s="1"/>
  <c r="J702" i="16"/>
  <c r="L702" i="16" s="1"/>
  <c r="J739" i="16"/>
  <c r="L739" i="16" s="1"/>
  <c r="J829" i="16"/>
  <c r="L829" i="16" s="1"/>
  <c r="J830" i="16"/>
  <c r="L830" i="16" s="1"/>
  <c r="J970" i="16"/>
  <c r="L970" i="16" s="1"/>
  <c r="J981" i="16"/>
  <c r="L981" i="16" s="1"/>
  <c r="J992" i="16"/>
  <c r="L992" i="16" s="1"/>
  <c r="J1004" i="16"/>
  <c r="L1004" i="16" s="1"/>
  <c r="J579" i="16"/>
  <c r="L579" i="16" s="1"/>
  <c r="J583" i="16"/>
  <c r="L583" i="16" s="1"/>
  <c r="J588" i="16"/>
  <c r="L588" i="16" s="1"/>
  <c r="J593" i="16"/>
  <c r="L593" i="16" s="1"/>
  <c r="J580" i="16"/>
  <c r="L580" i="16" s="1"/>
  <c r="J584" i="16"/>
  <c r="L584" i="16" s="1"/>
  <c r="J589" i="16"/>
  <c r="L589" i="16" s="1"/>
  <c r="J594" i="16"/>
  <c r="L594" i="16" s="1"/>
  <c r="J1035" i="16"/>
  <c r="L1035" i="16" s="1"/>
  <c r="J245" i="16"/>
  <c r="L245" i="16" s="1"/>
  <c r="J295" i="16"/>
  <c r="L295" i="16" s="1"/>
  <c r="J347" i="16"/>
  <c r="J403" i="16"/>
  <c r="L403" i="16" s="1"/>
  <c r="J246" i="16"/>
  <c r="L246" i="16" s="1"/>
  <c r="J296" i="16"/>
  <c r="L296" i="16" s="1"/>
  <c r="J348" i="16"/>
  <c r="L348" i="16" s="1"/>
  <c r="J404" i="16"/>
  <c r="L404" i="16" s="1"/>
  <c r="J971" i="16"/>
  <c r="L971" i="16" s="1"/>
  <c r="J982" i="16"/>
  <c r="L982" i="16" s="1"/>
  <c r="J993" i="16"/>
  <c r="L993" i="16" s="1"/>
  <c r="J1005" i="16"/>
  <c r="L1005" i="16" s="1"/>
  <c r="J638" i="16"/>
  <c r="L638" i="16" s="1"/>
  <c r="J669" i="16"/>
  <c r="L669" i="16" s="1"/>
  <c r="J703" i="16"/>
  <c r="L703" i="16" s="1"/>
  <c r="J740" i="16"/>
  <c r="L740" i="16" s="1"/>
  <c r="J972" i="16"/>
  <c r="L972" i="16" s="1"/>
  <c r="J983" i="16"/>
  <c r="L983" i="16" s="1"/>
  <c r="J994" i="16"/>
  <c r="L994" i="16" s="1"/>
  <c r="J1006" i="16"/>
  <c r="L1006" i="16" s="1"/>
  <c r="J247" i="16"/>
  <c r="L247" i="16" s="1"/>
  <c r="J297" i="16"/>
  <c r="L297" i="16" s="1"/>
  <c r="J349" i="16"/>
  <c r="J405" i="16"/>
  <c r="L405" i="16" s="1"/>
  <c r="J973" i="16"/>
  <c r="L973" i="16" s="1"/>
  <c r="J984" i="16"/>
  <c r="L984" i="16" s="1"/>
  <c r="J995" i="16"/>
  <c r="L995" i="16" s="1"/>
  <c r="J996" i="16"/>
  <c r="L996" i="16" s="1"/>
  <c r="J1007" i="16"/>
  <c r="L1007" i="16" s="1"/>
  <c r="J1008" i="16"/>
  <c r="L1008" i="16" s="1"/>
  <c r="J248" i="16"/>
  <c r="L248" i="16" s="1"/>
  <c r="J298" i="16"/>
  <c r="L298" i="16" s="1"/>
  <c r="J350" i="16"/>
  <c r="L350" i="16" s="1"/>
  <c r="J406" i="16"/>
  <c r="L406" i="16" s="1"/>
  <c r="J639" i="16"/>
  <c r="L639" i="16" s="1"/>
  <c r="J670" i="16"/>
  <c r="L670" i="16" s="1"/>
  <c r="J704" i="16"/>
  <c r="L704" i="16" s="1"/>
  <c r="J741" i="16"/>
  <c r="L741" i="16" s="1"/>
  <c r="J249" i="16"/>
  <c r="L249" i="16" s="1"/>
  <c r="J299" i="16"/>
  <c r="L299" i="16" s="1"/>
  <c r="J351" i="16"/>
  <c r="L351" i="16" s="1"/>
  <c r="J407" i="16"/>
  <c r="L407" i="16" s="1"/>
  <c r="J1058" i="16"/>
  <c r="L1058" i="16" s="1"/>
  <c r="J1062" i="16"/>
  <c r="L1062" i="16" s="1"/>
  <c r="J1068" i="16"/>
  <c r="L1068" i="16" s="1"/>
  <c r="J1074" i="16"/>
  <c r="L1074" i="16" s="1"/>
  <c r="J974" i="16"/>
  <c r="J985" i="16"/>
  <c r="L985" i="16" s="1"/>
  <c r="J997" i="16"/>
  <c r="L997" i="16" s="1"/>
  <c r="J1009" i="16"/>
  <c r="L1009" i="16" s="1"/>
  <c r="J975" i="16"/>
  <c r="L975" i="16" s="1"/>
  <c r="J986" i="16"/>
  <c r="L986" i="16" s="1"/>
  <c r="J998" i="16"/>
  <c r="L998" i="16" s="1"/>
  <c r="J1010" i="16"/>
  <c r="L1010" i="16" s="1"/>
  <c r="J300" i="16"/>
  <c r="L300" i="16" s="1"/>
  <c r="J640" i="16"/>
  <c r="L640" i="16" s="1"/>
  <c r="J671" i="16"/>
  <c r="L671" i="16" s="1"/>
  <c r="J705" i="16"/>
  <c r="L705" i="16" s="1"/>
  <c r="J742" i="16"/>
  <c r="L742" i="16" s="1"/>
  <c r="J28" i="16"/>
  <c r="L28" i="16" s="1"/>
  <c r="J30" i="16"/>
  <c r="L30" i="16" s="1"/>
  <c r="J32" i="16"/>
  <c r="L32" i="16" s="1"/>
  <c r="J34" i="16"/>
  <c r="L34" i="16" s="1"/>
  <c r="J38" i="16"/>
  <c r="L38" i="16" s="1"/>
  <c r="J40" i="16"/>
  <c r="L40" i="16" s="1"/>
  <c r="J42" i="16"/>
  <c r="L42" i="16" s="1"/>
  <c r="J44" i="16"/>
  <c r="L44" i="16" s="1"/>
  <c r="J48" i="16"/>
  <c r="L48" i="16" s="1"/>
  <c r="J50" i="16"/>
  <c r="L50" i="16" s="1"/>
  <c r="J52" i="16"/>
  <c r="L52" i="16" s="1"/>
  <c r="J54" i="16"/>
  <c r="L54" i="16" s="1"/>
  <c r="J250" i="16"/>
  <c r="L250" i="16" s="1"/>
  <c r="J301" i="16"/>
  <c r="L301" i="16" s="1"/>
  <c r="J352" i="16"/>
  <c r="L352" i="16" s="1"/>
  <c r="J408" i="16"/>
  <c r="J251" i="16"/>
  <c r="L251" i="16" s="1"/>
  <c r="J302" i="16"/>
  <c r="L302" i="16" s="1"/>
  <c r="J353" i="16"/>
  <c r="L353" i="16" s="1"/>
  <c r="J409" i="16"/>
  <c r="L409" i="16" s="1"/>
  <c r="J252" i="16"/>
  <c r="L252" i="16" s="1"/>
  <c r="J303" i="16"/>
  <c r="L303" i="16" s="1"/>
  <c r="J354" i="16"/>
  <c r="L354" i="16" s="1"/>
  <c r="J410" i="16"/>
  <c r="L410" i="16" s="1"/>
  <c r="J641" i="16"/>
  <c r="L641" i="16" s="1"/>
  <c r="J672" i="16"/>
  <c r="L672" i="16" s="1"/>
  <c r="J706" i="16"/>
  <c r="L706" i="16" s="1"/>
  <c r="J743" i="16"/>
  <c r="L743" i="16" s="1"/>
  <c r="J707" i="16"/>
  <c r="L707" i="16" s="1"/>
  <c r="J744" i="16"/>
  <c r="L744" i="16" s="1"/>
  <c r="J494" i="16"/>
  <c r="L494" i="16" s="1"/>
  <c r="J509" i="16"/>
  <c r="L509" i="16" s="1"/>
  <c r="J524" i="16"/>
  <c r="L524" i="16" s="1"/>
  <c r="J539" i="16"/>
  <c r="L539" i="16" s="1"/>
  <c r="J642" i="16"/>
  <c r="L642" i="16" s="1"/>
  <c r="J673" i="16"/>
  <c r="L673" i="16" s="1"/>
  <c r="J708" i="16"/>
  <c r="L708" i="16" s="1"/>
  <c r="J745" i="16"/>
  <c r="L745" i="16" s="1"/>
  <c r="J709" i="16"/>
  <c r="L709" i="16" s="1"/>
  <c r="J746" i="16"/>
  <c r="L746" i="16" s="1"/>
  <c r="J710" i="16"/>
  <c r="L710" i="16" s="1"/>
  <c r="J747" i="16"/>
  <c r="L747" i="16" s="1"/>
  <c r="J70" i="16"/>
  <c r="L70" i="16" s="1"/>
  <c r="J71" i="16"/>
  <c r="J97" i="16"/>
  <c r="L97" i="16" s="1"/>
  <c r="J98" i="16"/>
  <c r="L98" i="16" s="1"/>
  <c r="J126" i="16"/>
  <c r="L126" i="16" s="1"/>
  <c r="J127" i="16"/>
  <c r="L127" i="16" s="1"/>
  <c r="J154" i="16"/>
  <c r="L154" i="16" s="1"/>
  <c r="J155" i="16"/>
  <c r="L155" i="16" s="1"/>
  <c r="J72" i="16"/>
  <c r="L72" i="16" s="1"/>
  <c r="J99" i="16"/>
  <c r="L99" i="16" s="1"/>
  <c r="J253" i="16"/>
  <c r="L253" i="16" s="1"/>
  <c r="J304" i="16"/>
  <c r="L304" i="16" s="1"/>
  <c r="J355" i="16"/>
  <c r="L355" i="16" s="1"/>
  <c r="J411" i="16"/>
  <c r="L411" i="16" s="1"/>
  <c r="J254" i="16"/>
  <c r="L254" i="16" s="1"/>
  <c r="J305" i="16"/>
  <c r="L305" i="16" s="1"/>
  <c r="J356" i="16"/>
  <c r="L356" i="16" s="1"/>
  <c r="J412" i="16"/>
  <c r="J255" i="16"/>
  <c r="L255" i="16" s="1"/>
  <c r="J306" i="16"/>
  <c r="L306" i="16" s="1"/>
  <c r="J357" i="16"/>
  <c r="L357" i="16" s="1"/>
  <c r="J413" i="16"/>
  <c r="L413" i="16" s="1"/>
  <c r="J643" i="16"/>
  <c r="L643" i="16" s="1"/>
  <c r="J674" i="16"/>
  <c r="L674" i="16" s="1"/>
  <c r="J711" i="16"/>
  <c r="L711" i="16" s="1"/>
  <c r="J748" i="16"/>
  <c r="L748" i="16" s="1"/>
  <c r="J1059" i="16"/>
  <c r="L1059" i="16" s="1"/>
  <c r="J1063" i="16"/>
  <c r="L1063" i="16" s="1"/>
  <c r="J1069" i="16"/>
  <c r="L1069" i="16" s="1"/>
  <c r="J1075" i="16"/>
  <c r="L1075" i="16" s="1"/>
  <c r="J644" i="16"/>
  <c r="L644" i="16" s="1"/>
  <c r="J675" i="16"/>
  <c r="L675" i="16" s="1"/>
  <c r="J712" i="16"/>
  <c r="J749" i="16"/>
  <c r="L749" i="16" s="1"/>
  <c r="J976" i="16"/>
  <c r="L976" i="16" s="1"/>
  <c r="J987" i="16"/>
  <c r="L987" i="16" s="1"/>
  <c r="J999" i="16"/>
  <c r="L999" i="16" s="1"/>
  <c r="J1011" i="16"/>
  <c r="L1011" i="16" s="1"/>
  <c r="J585" i="16"/>
  <c r="L585" i="16" s="1"/>
  <c r="J590" i="16"/>
  <c r="L590" i="16" s="1"/>
  <c r="J595" i="16"/>
  <c r="L595" i="16" s="1"/>
  <c r="J73" i="16"/>
  <c r="L73" i="16" s="1"/>
  <c r="J74" i="16"/>
  <c r="L74" i="16" s="1"/>
  <c r="J100" i="16"/>
  <c r="L100" i="16" s="1"/>
  <c r="J101" i="16"/>
  <c r="L101" i="16" s="1"/>
  <c r="J128" i="16"/>
  <c r="L128" i="16" s="1"/>
  <c r="J129" i="16"/>
  <c r="L129" i="16" s="1"/>
  <c r="J156" i="16"/>
  <c r="L156" i="16" s="1"/>
  <c r="J157" i="16"/>
  <c r="L157" i="16" s="1"/>
  <c r="J256" i="16"/>
  <c r="L256" i="16" s="1"/>
  <c r="J257" i="16"/>
  <c r="L257" i="16" s="1"/>
  <c r="J258" i="16"/>
  <c r="L258" i="16" s="1"/>
  <c r="J307" i="16"/>
  <c r="L307" i="16" s="1"/>
  <c r="J308" i="16"/>
  <c r="L308" i="16" s="1"/>
  <c r="J309" i="16"/>
  <c r="L309" i="16" s="1"/>
  <c r="J358" i="16"/>
  <c r="L358" i="16" s="1"/>
  <c r="J359" i="16"/>
  <c r="L359" i="16" s="1"/>
  <c r="J360" i="16"/>
  <c r="J414" i="16"/>
  <c r="L414" i="16" s="1"/>
  <c r="J415" i="16"/>
  <c r="L415" i="16" s="1"/>
  <c r="J416" i="16"/>
  <c r="L416" i="16" s="1"/>
  <c r="J75" i="16"/>
  <c r="L75" i="16" s="1"/>
  <c r="J76" i="16"/>
  <c r="L76" i="16" s="1"/>
  <c r="J102" i="16"/>
  <c r="L102" i="16" s="1"/>
  <c r="J103" i="16"/>
  <c r="L103" i="16" s="1"/>
  <c r="J130" i="16"/>
  <c r="L130" i="16" s="1"/>
  <c r="J131" i="16"/>
  <c r="L131" i="16" s="1"/>
  <c r="J158" i="16"/>
  <c r="L158" i="16" s="1"/>
  <c r="J159" i="16"/>
  <c r="L159" i="16" s="1"/>
  <c r="J77" i="16"/>
  <c r="L77" i="16" s="1"/>
  <c r="J78" i="16"/>
  <c r="L78" i="16" s="1"/>
  <c r="J79" i="16"/>
  <c r="L79" i="16" s="1"/>
  <c r="J104" i="16"/>
  <c r="L104" i="16" s="1"/>
  <c r="J105" i="16"/>
  <c r="L105" i="16" s="1"/>
  <c r="J106" i="16"/>
  <c r="L106" i="16" s="1"/>
  <c r="J132" i="16"/>
  <c r="L132" i="16" s="1"/>
  <c r="J133" i="16"/>
  <c r="L133" i="16" s="1"/>
  <c r="J134" i="16"/>
  <c r="L134" i="16" s="1"/>
  <c r="J160" i="16"/>
  <c r="L160" i="16" s="1"/>
  <c r="J161" i="16"/>
  <c r="L161" i="16" s="1"/>
  <c r="J162" i="16"/>
  <c r="L162" i="16" s="1"/>
  <c r="J977" i="16"/>
  <c r="L977" i="16" s="1"/>
  <c r="J978" i="16"/>
  <c r="L978" i="16" s="1"/>
  <c r="J988" i="16"/>
  <c r="L988" i="16" s="1"/>
  <c r="J989" i="16"/>
  <c r="L989" i="16" s="1"/>
  <c r="J1000" i="16"/>
  <c r="L1000" i="16" s="1"/>
  <c r="J1001" i="16"/>
  <c r="L1001" i="16" s="1"/>
  <c r="J1012" i="16"/>
  <c r="L1012" i="16" s="1"/>
  <c r="J1013" i="16"/>
  <c r="L1013" i="16" s="1"/>
  <c r="J495" i="16"/>
  <c r="J510" i="16"/>
  <c r="L510" i="16" s="1"/>
  <c r="J525" i="16"/>
  <c r="L525" i="16" s="1"/>
  <c r="J540" i="16"/>
  <c r="L540" i="16" s="1"/>
  <c r="J1036" i="16"/>
  <c r="L1036" i="16" s="1"/>
  <c r="J1041" i="16"/>
  <c r="L1041" i="16" s="1"/>
  <c r="J1046" i="16"/>
  <c r="L1046" i="16" s="1"/>
  <c r="J1064" i="16"/>
  <c r="L1064" i="16" s="1"/>
  <c r="J1070" i="16"/>
  <c r="L1070" i="16" s="1"/>
  <c r="J1076" i="16"/>
  <c r="L1076" i="16" s="1"/>
  <c r="J496" i="16"/>
  <c r="L496" i="16" s="1"/>
  <c r="J511" i="16"/>
  <c r="L511" i="16" s="1"/>
  <c r="J526" i="16"/>
  <c r="L526" i="16" s="1"/>
  <c r="J541" i="16"/>
  <c r="L541" i="16" s="1"/>
  <c r="J497" i="16"/>
  <c r="L497" i="16" s="1"/>
  <c r="J498" i="16"/>
  <c r="L498" i="16" s="1"/>
  <c r="J512" i="16"/>
  <c r="L512" i="16" s="1"/>
  <c r="J513" i="16"/>
  <c r="L513" i="16" s="1"/>
  <c r="J527" i="16"/>
  <c r="L527" i="16" s="1"/>
  <c r="J528" i="16"/>
  <c r="L528" i="16" s="1"/>
  <c r="J542" i="16"/>
  <c r="L542" i="16" s="1"/>
  <c r="J543" i="16"/>
  <c r="L543" i="16" s="1"/>
  <c r="J499" i="16"/>
  <c r="L499" i="16" s="1"/>
  <c r="J500" i="16"/>
  <c r="L500" i="16" s="1"/>
  <c r="J514" i="16"/>
  <c r="L514" i="16" s="1"/>
  <c r="J515" i="16"/>
  <c r="L515" i="16" s="1"/>
  <c r="J529" i="16"/>
  <c r="L529" i="16" s="1"/>
  <c r="J530" i="16"/>
  <c r="L530" i="16" s="1"/>
  <c r="J544" i="16"/>
  <c r="L544" i="16" s="1"/>
  <c r="J545" i="16"/>
  <c r="L545" i="16" s="1"/>
  <c r="J107" i="16"/>
  <c r="L107" i="16" s="1"/>
  <c r="J108" i="16"/>
  <c r="L108" i="16" s="1"/>
  <c r="J135" i="16"/>
  <c r="L135" i="16" s="1"/>
  <c r="J136" i="16"/>
  <c r="L136" i="16" s="1"/>
  <c r="J163" i="16"/>
  <c r="L163" i="16" s="1"/>
  <c r="J164" i="16"/>
  <c r="L164" i="16" s="1"/>
  <c r="J546" i="16"/>
  <c r="J165" i="16"/>
  <c r="L165" i="16" s="1"/>
  <c r="J361" i="16"/>
  <c r="L361" i="16" s="1"/>
  <c r="J417" i="16"/>
  <c r="L417" i="16" s="1"/>
  <c r="J80" i="16"/>
  <c r="L80" i="16" s="1"/>
  <c r="J81" i="16"/>
  <c r="L81" i="16" s="1"/>
  <c r="J109" i="16"/>
  <c r="L109" i="16" s="1"/>
  <c r="J110" i="16"/>
  <c r="L110" i="16" s="1"/>
  <c r="J137" i="16"/>
  <c r="L137" i="16" s="1"/>
  <c r="J138" i="16"/>
  <c r="L138" i="16" s="1"/>
  <c r="J166" i="16"/>
  <c r="L166" i="16" s="1"/>
  <c r="J167" i="16"/>
  <c r="L167" i="16" s="1"/>
  <c r="J82" i="16"/>
  <c r="L82" i="16" s="1"/>
  <c r="J83" i="16"/>
  <c r="L83" i="16" s="1"/>
  <c r="J111" i="16"/>
  <c r="L111" i="16" s="1"/>
  <c r="J112" i="16"/>
  <c r="L112" i="16" s="1"/>
  <c r="J139" i="16"/>
  <c r="L139" i="16" s="1"/>
  <c r="J140" i="16"/>
  <c r="L140" i="16" s="1"/>
  <c r="J168" i="16"/>
  <c r="L168" i="16" s="1"/>
  <c r="J169" i="16"/>
  <c r="L169" i="16" s="1"/>
  <c r="J547" i="16"/>
  <c r="L547" i="16" s="1"/>
  <c r="J310" i="16"/>
  <c r="L310" i="16" s="1"/>
  <c r="J362" i="16"/>
  <c r="L362" i="16" s="1"/>
  <c r="J418" i="16"/>
  <c r="L418" i="16" s="1"/>
  <c r="J979" i="16"/>
  <c r="L979" i="16" s="1"/>
  <c r="J990" i="16"/>
  <c r="L990" i="16" s="1"/>
  <c r="J1002" i="16"/>
  <c r="L1002" i="16" s="1"/>
  <c r="J1014" i="16"/>
  <c r="L1014" i="16" s="1"/>
  <c r="J363" i="16"/>
  <c r="L363" i="16" s="1"/>
  <c r="J419" i="16"/>
  <c r="L419" i="16" s="1"/>
  <c r="J364" i="16"/>
  <c r="L364" i="16" s="1"/>
  <c r="J420" i="16"/>
  <c r="L420" i="16" s="1"/>
  <c r="J170" i="16"/>
  <c r="L170" i="16" s="1"/>
  <c r="J171" i="16"/>
  <c r="L171" i="16" s="1"/>
  <c r="J172" i="16"/>
  <c r="L172" i="16" s="1"/>
  <c r="J173" i="16"/>
  <c r="L173" i="16" s="1"/>
  <c r="J1065" i="16"/>
  <c r="L1065" i="16" s="1"/>
  <c r="J1071" i="16"/>
  <c r="L1071" i="16" s="1"/>
  <c r="J1077" i="16"/>
  <c r="L1077" i="16" s="1"/>
  <c r="J1037" i="16"/>
  <c r="L1037" i="16" s="1"/>
  <c r="J1042" i="16"/>
  <c r="J1047" i="16"/>
  <c r="L1047" i="16" s="1"/>
  <c r="J174" i="16"/>
  <c r="L174" i="16" s="1"/>
  <c r="J548" i="16"/>
  <c r="L548" i="16" s="1"/>
  <c r="J549" i="16"/>
  <c r="L549" i="16" s="1"/>
  <c r="J550" i="16"/>
  <c r="L550" i="16" s="1"/>
  <c r="J551" i="16"/>
  <c r="L551" i="16" s="1"/>
  <c r="J552" i="16"/>
  <c r="L552" i="16" s="1"/>
  <c r="J1078" i="16"/>
  <c r="L1078" i="16" s="1"/>
  <c r="J421" i="16"/>
  <c r="L421" i="16" s="1"/>
  <c r="J1048" i="16"/>
  <c r="L1048" i="16" s="1"/>
  <c r="J422" i="16"/>
  <c r="L422" i="16" s="1"/>
  <c r="J423" i="16"/>
  <c r="L423" i="16" s="1"/>
  <c r="J424" i="16"/>
  <c r="L424" i="16" s="1"/>
  <c r="J1015" i="16"/>
  <c r="L1015" i="16" s="1"/>
  <c r="J1016" i="16"/>
  <c r="L1016" i="16" s="1"/>
  <c r="J425" i="16"/>
  <c r="L425" i="16" s="1"/>
  <c r="J553" i="16"/>
  <c r="L553" i="16" s="1"/>
  <c r="J554" i="16"/>
  <c r="L554" i="16" s="1"/>
  <c r="J45" i="16"/>
  <c r="L45" i="16" s="1"/>
  <c r="J555" i="16"/>
  <c r="L555" i="16" s="1"/>
  <c r="J175" i="16"/>
  <c r="L175" i="16" s="1"/>
  <c r="J750" i="16"/>
  <c r="L750" i="16" s="1"/>
  <c r="J880" i="16"/>
  <c r="L880" i="16" s="1"/>
  <c r="J863" i="16"/>
  <c r="L863" i="16" s="1"/>
  <c r="J1049" i="16"/>
  <c r="L1049" i="16" s="1"/>
  <c r="J844" i="16"/>
  <c r="L844" i="16" s="1"/>
  <c r="J426" i="16"/>
  <c r="L426" i="16" s="1"/>
  <c r="J804" i="16"/>
  <c r="L804" i="16" s="1"/>
  <c r="J751" i="16"/>
  <c r="L751" i="16" s="1"/>
  <c r="J176" i="16"/>
  <c r="L176" i="16" s="1"/>
  <c r="J617" i="16"/>
  <c r="L617" i="16" s="1"/>
  <c r="J752" i="16"/>
  <c r="L752" i="16" s="1"/>
  <c r="J596" i="16"/>
  <c r="L596" i="16" s="1"/>
  <c r="J556" i="16"/>
  <c r="L556" i="16" s="1"/>
  <c r="J177" i="16"/>
  <c r="L177" i="16" s="1"/>
  <c r="J805" i="16"/>
  <c r="L805" i="16" s="1"/>
  <c r="J1079" i="16"/>
  <c r="L1079" i="16" s="1"/>
  <c r="J557" i="16"/>
  <c r="L557" i="16" s="1"/>
  <c r="J831" i="16"/>
  <c r="L831" i="16" s="1"/>
  <c r="J940" i="16"/>
  <c r="J845" i="16"/>
  <c r="L845" i="16" s="1"/>
  <c r="J178" i="16"/>
  <c r="L178" i="16" s="1"/>
  <c r="J427" i="16"/>
  <c r="L427" i="16" s="1"/>
  <c r="J753" i="16"/>
  <c r="L753" i="16" s="1"/>
  <c r="J754" i="16"/>
  <c r="L754" i="16" s="1"/>
  <c r="J755" i="16"/>
  <c r="L755" i="16" s="1"/>
  <c r="J179" i="16"/>
  <c r="L179" i="16" s="1"/>
  <c r="J1017" i="16"/>
  <c r="L1017" i="16" s="1"/>
  <c r="J180" i="16"/>
  <c r="L180" i="16" s="1"/>
  <c r="J823" i="16"/>
  <c r="L823" i="16" s="1"/>
  <c r="J1018" i="16"/>
  <c r="L1018" i="16" s="1"/>
  <c r="J756" i="16"/>
  <c r="L756" i="16" s="1"/>
  <c r="J181" i="16"/>
  <c r="L181" i="16" s="1"/>
  <c r="J182" i="16"/>
  <c r="L182" i="16" s="1"/>
  <c r="J183" i="16"/>
  <c r="L183" i="16" s="1"/>
  <c r="J184" i="16"/>
  <c r="L184" i="16" s="1"/>
  <c r="J558" i="16"/>
  <c r="L558" i="16" s="1"/>
  <c r="J824" i="16"/>
  <c r="L824" i="16" s="1"/>
  <c r="J559" i="16"/>
  <c r="L559" i="16" s="1"/>
  <c r="J757" i="16"/>
  <c r="L757" i="16" s="1"/>
  <c r="J1080" i="16"/>
  <c r="L1080" i="16" s="1"/>
  <c r="J931" i="16"/>
  <c r="L931" i="16" s="1"/>
  <c r="J428" i="16"/>
  <c r="L428" i="16" s="1"/>
  <c r="J1081" i="16"/>
  <c r="L1081" i="16" s="1"/>
  <c r="J758" i="16"/>
  <c r="L758" i="16" s="1"/>
  <c r="J597" i="16"/>
  <c r="L597" i="16" s="1"/>
  <c r="J598" i="16"/>
  <c r="L598" i="16" s="1"/>
  <c r="J913" i="16"/>
  <c r="L913" i="16" s="1"/>
  <c r="J932" i="16"/>
  <c r="L932" i="16" s="1"/>
  <c r="J429" i="16"/>
  <c r="L429" i="16" s="1"/>
  <c r="J759" i="16"/>
  <c r="L759" i="16" s="1"/>
  <c r="J760" i="16"/>
  <c r="L760" i="16" s="1"/>
  <c r="J430" i="16"/>
  <c r="L430" i="16" s="1"/>
  <c r="J793" i="16"/>
  <c r="L793" i="16" s="1"/>
  <c r="J185" i="16"/>
  <c r="L185" i="16" s="1"/>
  <c r="J186" i="16"/>
  <c r="J961" i="16"/>
  <c r="L961" i="16" s="1"/>
  <c r="J560" i="16"/>
  <c r="L560" i="16" s="1"/>
  <c r="J607" i="16"/>
  <c r="L607" i="16" s="1"/>
  <c r="J431" i="16"/>
  <c r="L431" i="16" s="1"/>
  <c r="J761" i="16"/>
  <c r="L761" i="16" s="1"/>
  <c r="J187" i="16"/>
  <c r="L187" i="16" s="1"/>
  <c r="J561" i="16"/>
  <c r="L561" i="16" s="1"/>
  <c r="J762" i="16"/>
  <c r="L762" i="16" s="1"/>
  <c r="J864" i="16"/>
  <c r="L864" i="16" s="1"/>
  <c r="J188" i="16"/>
  <c r="L188" i="16" s="1"/>
  <c r="J763" i="16"/>
  <c r="L763" i="16" s="1"/>
  <c r="J962" i="16"/>
  <c r="L962" i="16" s="1"/>
  <c r="J599" i="16"/>
  <c r="L599" i="16" s="1"/>
  <c r="J432" i="16"/>
  <c r="L432" i="16" s="1"/>
  <c r="J433" i="16"/>
  <c r="L433" i="16" s="1"/>
  <c r="J189" i="16"/>
  <c r="L189" i="16" s="1"/>
  <c r="J562" i="16"/>
  <c r="L562" i="16" s="1"/>
  <c r="J948" i="16"/>
  <c r="L948" i="16" s="1"/>
  <c r="J846" i="16"/>
  <c r="L846" i="16" s="1"/>
  <c r="J190" i="16"/>
  <c r="J434" i="16"/>
  <c r="L434" i="16" s="1"/>
  <c r="J435" i="16"/>
  <c r="L435" i="16" s="1"/>
  <c r="J764" i="16"/>
  <c r="L764" i="16" s="1"/>
  <c r="J600" i="16"/>
  <c r="L600" i="16" s="1"/>
  <c r="J436" i="16"/>
  <c r="L436" i="16" s="1"/>
  <c r="J437" i="16"/>
  <c r="L437" i="16" s="1"/>
  <c r="J968" i="16"/>
  <c r="L968" i="16" s="1"/>
  <c r="J1082" i="16"/>
  <c r="L1082" i="16" s="1"/>
  <c r="J765" i="16"/>
  <c r="L765" i="16" s="1"/>
  <c r="J563" i="16"/>
  <c r="L563" i="16" s="1"/>
  <c r="J191" i="16"/>
  <c r="L191" i="16" s="1"/>
  <c r="J438" i="16"/>
  <c r="L438" i="16" s="1"/>
  <c r="J766" i="16"/>
  <c r="L766" i="16" s="1"/>
  <c r="J767" i="16"/>
  <c r="L767" i="16" s="1"/>
  <c r="J192" i="16"/>
  <c r="L192" i="16" s="1"/>
  <c r="J1050" i="16"/>
  <c r="J193" i="16"/>
  <c r="L193" i="16" s="1"/>
  <c r="J564" i="16"/>
  <c r="L564" i="16" s="1"/>
  <c r="J1019" i="16"/>
  <c r="L1019" i="16" s="1"/>
  <c r="J439" i="16"/>
  <c r="L439" i="16" s="1"/>
  <c r="J1051" i="16"/>
  <c r="L1051" i="16" s="1"/>
  <c r="J440" i="16"/>
  <c r="L440" i="16" s="1"/>
  <c r="J768" i="16"/>
  <c r="L768" i="16" s="1"/>
  <c r="J612" i="16"/>
  <c r="L612" i="16" s="1"/>
  <c r="J1020" i="16"/>
  <c r="L1020" i="16" s="1"/>
  <c r="J441" i="16"/>
  <c r="L441" i="16" s="1"/>
  <c r="J1021" i="16"/>
  <c r="L1021" i="16" s="1"/>
  <c r="J442" i="16"/>
  <c r="L442" i="16" s="1"/>
  <c r="J565" i="16"/>
  <c r="L565" i="16" s="1"/>
  <c r="J443" i="16"/>
  <c r="L443" i="16" s="1"/>
  <c r="J444" i="16"/>
  <c r="L444" i="16" s="1"/>
  <c r="J445" i="16"/>
  <c r="L445" i="16" s="1"/>
  <c r="J194" i="16"/>
  <c r="L194" i="16" s="1"/>
  <c r="J933" i="16"/>
  <c r="L933" i="16" s="1"/>
  <c r="J446" i="16"/>
  <c r="L446" i="16" s="1"/>
  <c r="J1022" i="16"/>
  <c r="J963" i="16"/>
  <c r="L963" i="16" s="1"/>
  <c r="J447" i="16"/>
  <c r="L447" i="16" s="1"/>
  <c r="J448" i="16"/>
  <c r="L448" i="16" s="1"/>
  <c r="J886" i="16"/>
  <c r="L886" i="16" s="1"/>
  <c r="J914" i="16"/>
  <c r="L914" i="16" s="1"/>
  <c r="J195" i="16"/>
  <c r="L195" i="16" s="1"/>
  <c r="J1023" i="16"/>
  <c r="L1023" i="16" s="1"/>
  <c r="J449" i="16"/>
  <c r="L449" i="16" s="1"/>
  <c r="J196" i="16"/>
  <c r="L196" i="16" s="1"/>
  <c r="J197" i="16"/>
  <c r="L197" i="16" s="1"/>
  <c r="J566" i="16"/>
  <c r="L566" i="16" s="1"/>
  <c r="J769" i="16"/>
  <c r="L769" i="16" s="1"/>
  <c r="J450" i="16"/>
  <c r="L450" i="16" s="1"/>
  <c r="J770" i="16"/>
  <c r="L770" i="16" s="1"/>
  <c r="J451" i="16"/>
  <c r="L451" i="16" s="1"/>
  <c r="J198" i="16"/>
  <c r="L198" i="16" s="1"/>
  <c r="J825" i="16"/>
  <c r="L825" i="16" s="1"/>
  <c r="J1024" i="16"/>
  <c r="L1024" i="16" s="1"/>
  <c r="J199" i="16"/>
  <c r="L199" i="16" s="1"/>
  <c r="J200" i="16"/>
  <c r="L200" i="16" s="1"/>
  <c r="J201" i="16"/>
  <c r="L201" i="16" s="1"/>
  <c r="J881" i="16"/>
  <c r="L881" i="16" s="1"/>
  <c r="J452" i="16"/>
  <c r="L452" i="16" s="1"/>
  <c r="J771" i="16"/>
  <c r="J202" i="16"/>
  <c r="L202" i="16" s="1"/>
  <c r="J453" i="16"/>
  <c r="L453" i="16" s="1"/>
  <c r="J1025" i="16"/>
  <c r="L1025" i="16" s="1"/>
  <c r="J772" i="16"/>
  <c r="L772" i="16" s="1"/>
  <c r="J454" i="16"/>
  <c r="L454" i="16" s="1"/>
  <c r="J1026" i="16"/>
  <c r="L1026" i="16" s="1"/>
  <c r="J1052" i="16"/>
  <c r="L1052" i="16" s="1"/>
  <c r="J203" i="16"/>
  <c r="L203" i="16" s="1"/>
  <c r="J455" i="16"/>
  <c r="L455" i="16" s="1"/>
  <c r="J773" i="16"/>
  <c r="L773" i="16" s="1"/>
  <c r="J456" i="16"/>
  <c r="L456" i="16" s="1"/>
  <c r="J457" i="16"/>
  <c r="L457" i="16" s="1"/>
  <c r="J458" i="16"/>
  <c r="L458" i="16" s="1"/>
  <c r="J774" i="16"/>
  <c r="L774" i="16" s="1"/>
  <c r="J775" i="16"/>
  <c r="L775" i="16" s="1"/>
  <c r="J459" i="16"/>
  <c r="L459" i="16" s="1"/>
  <c r="J776" i="16"/>
  <c r="L776" i="16" s="1"/>
  <c r="J204" i="16"/>
  <c r="L204" i="16" s="1"/>
  <c r="J865" i="16"/>
  <c r="L865" i="16" s="1"/>
  <c r="J460" i="16"/>
  <c r="L460" i="16" s="1"/>
  <c r="J1083" i="16"/>
  <c r="L1083" i="16" s="1"/>
  <c r="J567" i="16"/>
  <c r="L567" i="16" s="1"/>
  <c r="J777" i="16"/>
  <c r="L777" i="16" s="1"/>
  <c r="J461" i="16"/>
  <c r="L461" i="16" s="1"/>
  <c r="J462" i="16"/>
  <c r="L462" i="16" s="1"/>
  <c r="J55" i="16"/>
  <c r="L55" i="16" s="1"/>
  <c r="J778" i="16"/>
  <c r="L778" i="16" s="1"/>
  <c r="J463" i="16"/>
  <c r="L463" i="16" s="1"/>
  <c r="J568" i="16"/>
  <c r="L568" i="16" s="1"/>
  <c r="J569" i="16"/>
  <c r="L569" i="16" s="1"/>
  <c r="J1027" i="16"/>
  <c r="L1027" i="16" s="1"/>
  <c r="J464" i="16"/>
  <c r="J826" i="16"/>
  <c r="L826" i="16" s="1"/>
  <c r="J895" i="16"/>
  <c r="L895" i="16" s="1"/>
  <c r="J465" i="16"/>
  <c r="L465" i="16" s="1"/>
  <c r="J466" i="16"/>
  <c r="L466" i="16" s="1"/>
  <c r="J1053" i="16"/>
  <c r="L1053" i="16" s="1"/>
  <c r="J779" i="16"/>
  <c r="L779" i="16" s="1"/>
  <c r="J570" i="16"/>
  <c r="L570" i="16" s="1"/>
  <c r="J26" i="16"/>
  <c r="L26" i="16" s="1"/>
  <c r="J467" i="16"/>
  <c r="L467" i="16" s="1"/>
  <c r="J468" i="16"/>
  <c r="L468" i="16" s="1"/>
  <c r="J469" i="16"/>
  <c r="L469" i="16" s="1"/>
  <c r="J470" i="16"/>
  <c r="L470" i="16" s="1"/>
  <c r="J915" i="16"/>
  <c r="L915" i="16" s="1"/>
  <c r="J205" i="16"/>
  <c r="L205" i="16" s="1"/>
  <c r="J206" i="16"/>
  <c r="L206" i="16" s="1"/>
  <c r="J207" i="16"/>
  <c r="L207" i="16" s="1"/>
  <c r="J780" i="16"/>
  <c r="L780" i="16" s="1"/>
  <c r="J35" i="16"/>
  <c r="L35" i="16" s="1"/>
  <c r="J571" i="16"/>
  <c r="L571" i="16" s="1"/>
  <c r="J471" i="16"/>
  <c r="L471" i="16" s="1"/>
  <c r="J472" i="16"/>
  <c r="L472" i="16" s="1"/>
  <c r="J473" i="16"/>
  <c r="L473" i="16" s="1"/>
  <c r="J781" i="16"/>
  <c r="L781" i="16" s="1"/>
  <c r="J572" i="16"/>
  <c r="L572" i="16" s="1"/>
  <c r="J474" i="16"/>
  <c r="L474" i="16" s="1"/>
  <c r="J916" i="16"/>
  <c r="L916" i="16" s="1"/>
  <c r="J1054" i="16"/>
  <c r="L1054" i="16" s="1"/>
  <c r="J782" i="16"/>
  <c r="L782" i="16" s="1"/>
  <c r="J208" i="16"/>
  <c r="L208" i="16" s="1"/>
  <c r="J475" i="16"/>
  <c r="L475" i="16" s="1"/>
  <c r="J934" i="16"/>
  <c r="L934" i="16" s="1"/>
  <c r="J866" i="16"/>
  <c r="L866" i="16" s="1"/>
  <c r="J476" i="16"/>
  <c r="L476" i="16" s="1"/>
  <c r="J871" i="16"/>
  <c r="L871" i="16" s="1"/>
  <c r="J477" i="16"/>
  <c r="L477" i="16" s="1"/>
  <c r="J783" i="16"/>
  <c r="J46" i="16"/>
  <c r="L46" i="16" s="1"/>
  <c r="J573" i="16"/>
  <c r="L573" i="16" s="1"/>
  <c r="J478" i="16"/>
  <c r="L478" i="16" s="1"/>
  <c r="J784" i="16"/>
  <c r="L784" i="16" s="1"/>
  <c r="J1084" i="16"/>
  <c r="L1084" i="16" s="1"/>
  <c r="J479" i="16"/>
  <c r="L479" i="16" s="1"/>
  <c r="J480" i="16"/>
  <c r="L480" i="16" s="1"/>
  <c r="J481" i="16"/>
  <c r="L481" i="16" s="1"/>
  <c r="J1055" i="16"/>
  <c r="L1055" i="16" s="1"/>
  <c r="J785" i="16"/>
  <c r="L785" i="16" s="1"/>
  <c r="J1028" i="16"/>
  <c r="L1028" i="16" s="1"/>
  <c r="J786" i="16"/>
  <c r="L786" i="16" s="1"/>
  <c r="J1085" i="16"/>
  <c r="L1085" i="16" s="1"/>
  <c r="J574" i="16"/>
  <c r="L574" i="16" s="1"/>
  <c r="J482" i="16"/>
  <c r="L482" i="16" s="1"/>
  <c r="J21" i="16"/>
  <c r="L21" i="16" s="1"/>
  <c r="J483" i="16"/>
  <c r="L483" i="16" s="1"/>
  <c r="J209" i="16"/>
  <c r="L209" i="16" s="1"/>
  <c r="J484" i="16"/>
  <c r="L484" i="16" s="1"/>
  <c r="J56" i="16"/>
  <c r="L56" i="16" s="1"/>
  <c r="J16" i="16"/>
  <c r="J210" i="16"/>
  <c r="L210" i="16" s="1"/>
  <c r="J9" i="16"/>
  <c r="L9" i="16" s="1"/>
  <c r="J485" i="16"/>
  <c r="L485" i="16" s="1"/>
  <c r="J486" i="16"/>
  <c r="L486" i="16" s="1"/>
  <c r="J896" i="16"/>
  <c r="L896" i="16" s="1"/>
  <c r="J36" i="16"/>
  <c r="L36" i="16" s="1"/>
  <c r="J59" i="16"/>
  <c r="L59" i="16" s="1"/>
  <c r="M36" i="16"/>
  <c r="M896" i="16"/>
  <c r="M486" i="16"/>
  <c r="M485" i="16"/>
  <c r="M9" i="16"/>
  <c r="M210" i="16"/>
  <c r="M16" i="16"/>
  <c r="L16" i="16"/>
  <c r="M56" i="16"/>
  <c r="M484" i="16"/>
  <c r="M209" i="16"/>
  <c r="M483" i="16"/>
  <c r="M21" i="16"/>
  <c r="M482" i="16"/>
  <c r="M574" i="16"/>
  <c r="M1085" i="16"/>
  <c r="M786" i="16"/>
  <c r="M1028" i="16"/>
  <c r="M785" i="16"/>
  <c r="M1055" i="16"/>
  <c r="M481" i="16"/>
  <c r="M480" i="16"/>
  <c r="M479" i="16"/>
  <c r="M1084" i="16"/>
  <c r="M784" i="16"/>
  <c r="M478" i="16"/>
  <c r="M573" i="16"/>
  <c r="M46" i="16"/>
  <c r="M783" i="16"/>
  <c r="L783" i="16"/>
  <c r="M477" i="16"/>
  <c r="M871" i="16"/>
  <c r="M476" i="16"/>
  <c r="M866" i="16"/>
  <c r="M934" i="16"/>
  <c r="M475" i="16"/>
  <c r="M208" i="16"/>
  <c r="M782" i="16"/>
  <c r="M1054" i="16"/>
  <c r="M916" i="16"/>
  <c r="M474" i="16"/>
  <c r="M572" i="16"/>
  <c r="M781" i="16"/>
  <c r="M473" i="16"/>
  <c r="M472" i="16"/>
  <c r="M471" i="16"/>
  <c r="M571" i="16"/>
  <c r="M35" i="16"/>
  <c r="M780" i="16"/>
  <c r="M207" i="16"/>
  <c r="M206" i="16"/>
  <c r="M205" i="16"/>
  <c r="M915" i="16"/>
  <c r="M470" i="16"/>
  <c r="M469" i="16"/>
  <c r="M468" i="16"/>
  <c r="M467" i="16"/>
  <c r="M26" i="16"/>
  <c r="M570" i="16"/>
  <c r="M779" i="16"/>
  <c r="M1053" i="16"/>
  <c r="M466" i="16"/>
  <c r="M465" i="16"/>
  <c r="M895" i="16"/>
  <c r="M826" i="16"/>
  <c r="M464" i="16"/>
  <c r="L464" i="16"/>
  <c r="M1027" i="16"/>
  <c r="M569" i="16"/>
  <c r="M568" i="16"/>
  <c r="M463" i="16"/>
  <c r="M778" i="16"/>
  <c r="M55" i="16"/>
  <c r="M462" i="16"/>
  <c r="M461" i="16"/>
  <c r="M777" i="16"/>
  <c r="M567" i="16"/>
  <c r="M1083" i="16"/>
  <c r="M460" i="16"/>
  <c r="M865" i="16"/>
  <c r="M204" i="16"/>
  <c r="M776" i="16"/>
  <c r="M459" i="16"/>
  <c r="M775" i="16"/>
  <c r="M774" i="16"/>
  <c r="M458" i="16"/>
  <c r="M457" i="16"/>
  <c r="M456" i="16"/>
  <c r="M773" i="16"/>
  <c r="M455" i="16"/>
  <c r="M203" i="16"/>
  <c r="M1052" i="16"/>
  <c r="M1026" i="16"/>
  <c r="M454" i="16"/>
  <c r="M772" i="16"/>
  <c r="M1025" i="16"/>
  <c r="M453" i="16"/>
  <c r="M202" i="16"/>
  <c r="M771" i="16"/>
  <c r="L771" i="16"/>
  <c r="M452" i="16"/>
  <c r="M881" i="16"/>
  <c r="M201" i="16"/>
  <c r="M200" i="16"/>
  <c r="M199" i="16"/>
  <c r="M1024" i="16"/>
  <c r="M825" i="16"/>
  <c r="M198" i="16"/>
  <c r="M451" i="16"/>
  <c r="M770" i="16"/>
  <c r="M450" i="16"/>
  <c r="M769" i="16"/>
  <c r="M566" i="16"/>
  <c r="M197" i="16"/>
  <c r="M196" i="16"/>
  <c r="M449" i="16"/>
  <c r="M1023" i="16"/>
  <c r="M195" i="16"/>
  <c r="M914" i="16"/>
  <c r="M886" i="16"/>
  <c r="M448" i="16"/>
  <c r="M447" i="16"/>
  <c r="M963" i="16"/>
  <c r="M1022" i="16"/>
  <c r="L1022" i="16"/>
  <c r="M446" i="16"/>
  <c r="M933" i="16"/>
  <c r="M194" i="16"/>
  <c r="M445" i="16"/>
  <c r="M444" i="16"/>
  <c r="M443" i="16"/>
  <c r="M565" i="16"/>
  <c r="M442" i="16"/>
  <c r="M1021" i="16"/>
  <c r="M441" i="16"/>
  <c r="M1020" i="16"/>
  <c r="M612" i="16"/>
  <c r="M768" i="16"/>
  <c r="M440" i="16"/>
  <c r="M1051" i="16"/>
  <c r="M439" i="16"/>
  <c r="M1019" i="16"/>
  <c r="M564" i="16"/>
  <c r="M193" i="16"/>
  <c r="M1050" i="16"/>
  <c r="L1050" i="16"/>
  <c r="M192" i="16"/>
  <c r="M767" i="16"/>
  <c r="M766" i="16"/>
  <c r="M438" i="16"/>
  <c r="M191" i="16"/>
  <c r="M563" i="16"/>
  <c r="M765" i="16"/>
  <c r="M1082" i="16"/>
  <c r="M968" i="16"/>
  <c r="M437" i="16"/>
  <c r="M436" i="16"/>
  <c r="M600" i="16"/>
  <c r="M764" i="16"/>
  <c r="M435" i="16"/>
  <c r="M434" i="16"/>
  <c r="M190" i="16"/>
  <c r="L190" i="16"/>
  <c r="M846" i="16"/>
  <c r="M948" i="16"/>
  <c r="M562" i="16"/>
  <c r="M189" i="16"/>
  <c r="M433" i="16"/>
  <c r="M432" i="16"/>
  <c r="M599" i="16"/>
  <c r="M962" i="16"/>
  <c r="M763" i="16"/>
  <c r="M188" i="16"/>
  <c r="M864" i="16"/>
  <c r="M762" i="16"/>
  <c r="M561" i="16"/>
  <c r="M187" i="16"/>
  <c r="M761" i="16"/>
  <c r="M431" i="16"/>
  <c r="M607" i="16"/>
  <c r="M560" i="16"/>
  <c r="M961" i="16"/>
  <c r="M186" i="16"/>
  <c r="L186" i="16"/>
  <c r="M185" i="16"/>
  <c r="M793" i="16"/>
  <c r="M430" i="16"/>
  <c r="M760" i="16"/>
  <c r="M759" i="16"/>
  <c r="M429" i="16"/>
  <c r="M932" i="16"/>
  <c r="M913" i="16"/>
  <c r="M598" i="16"/>
  <c r="M597" i="16"/>
  <c r="M758" i="16"/>
  <c r="M1081" i="16"/>
  <c r="M428" i="16"/>
  <c r="M931" i="16"/>
  <c r="M1080" i="16"/>
  <c r="M757" i="16"/>
  <c r="M559" i="16"/>
  <c r="M824" i="16"/>
  <c r="M558" i="16"/>
  <c r="M184" i="16"/>
  <c r="M183" i="16"/>
  <c r="M182" i="16"/>
  <c r="M181" i="16"/>
  <c r="M756" i="16"/>
  <c r="M1018" i="16"/>
  <c r="M823" i="16"/>
  <c r="M180" i="16"/>
  <c r="M1017" i="16"/>
  <c r="M179" i="16"/>
  <c r="M755" i="16"/>
  <c r="M754" i="16"/>
  <c r="M753" i="16"/>
  <c r="M427" i="16"/>
  <c r="M178" i="16"/>
  <c r="M845" i="16"/>
  <c r="M940" i="16"/>
  <c r="L940" i="16"/>
  <c r="M831" i="16"/>
  <c r="M557" i="16"/>
  <c r="M1079" i="16"/>
  <c r="M805" i="16"/>
  <c r="M177" i="16"/>
  <c r="M556" i="16"/>
  <c r="M596" i="16"/>
  <c r="M752" i="16"/>
  <c r="M617" i="16"/>
  <c r="M176" i="16"/>
  <c r="M751" i="16"/>
  <c r="M804" i="16"/>
  <c r="M426" i="16"/>
  <c r="M844" i="16"/>
  <c r="M1049" i="16"/>
  <c r="M863" i="16"/>
  <c r="M880" i="16"/>
  <c r="M750" i="16"/>
  <c r="M175" i="16"/>
  <c r="M555" i="16"/>
  <c r="M45" i="16"/>
  <c r="M554" i="16"/>
  <c r="M553" i="16"/>
  <c r="M425" i="16"/>
  <c r="M1016" i="16"/>
  <c r="M1015" i="16"/>
  <c r="M424" i="16"/>
  <c r="M423" i="16"/>
  <c r="M422" i="16"/>
  <c r="M1048" i="16"/>
  <c r="M421" i="16"/>
  <c r="M1078" i="16"/>
  <c r="M552" i="16"/>
  <c r="M551" i="16"/>
  <c r="M550" i="16"/>
  <c r="M549" i="16"/>
  <c r="M548" i="16"/>
  <c r="M174" i="16"/>
  <c r="M1047" i="16"/>
  <c r="M1042" i="16"/>
  <c r="L1042" i="16"/>
  <c r="M1037" i="16"/>
  <c r="M1077" i="16"/>
  <c r="M1071" i="16"/>
  <c r="M1065" i="16"/>
  <c r="M173" i="16"/>
  <c r="M172" i="16"/>
  <c r="M171" i="16"/>
  <c r="M170" i="16"/>
  <c r="M420" i="16"/>
  <c r="M364" i="16"/>
  <c r="M419" i="16"/>
  <c r="M363" i="16"/>
  <c r="M1014" i="16"/>
  <c r="M1002" i="16"/>
  <c r="M990" i="16"/>
  <c r="M979" i="16"/>
  <c r="M418" i="16"/>
  <c r="M362" i="16"/>
  <c r="M310" i="16"/>
  <c r="M547" i="16"/>
  <c r="M169" i="16"/>
  <c r="M168" i="16"/>
  <c r="M140" i="16"/>
  <c r="M139" i="16"/>
  <c r="M112" i="16"/>
  <c r="M111" i="16"/>
  <c r="M83" i="16"/>
  <c r="M82" i="16"/>
  <c r="M167" i="16"/>
  <c r="M166" i="16"/>
  <c r="M138" i="16"/>
  <c r="M137" i="16"/>
  <c r="M110" i="16"/>
  <c r="M109" i="16"/>
  <c r="M81" i="16"/>
  <c r="M80" i="16"/>
  <c r="M417" i="16"/>
  <c r="M361" i="16"/>
  <c r="M165" i="16"/>
  <c r="M546" i="16"/>
  <c r="L546" i="16"/>
  <c r="M164" i="16"/>
  <c r="M163" i="16"/>
  <c r="M136" i="16"/>
  <c r="M135" i="16"/>
  <c r="M108" i="16"/>
  <c r="M107" i="16"/>
  <c r="M545" i="16"/>
  <c r="M544" i="16"/>
  <c r="M530" i="16"/>
  <c r="M529" i="16"/>
  <c r="M515" i="16"/>
  <c r="M514" i="16"/>
  <c r="M500" i="16"/>
  <c r="M499" i="16"/>
  <c r="M543" i="16"/>
  <c r="M542" i="16"/>
  <c r="M528" i="16"/>
  <c r="M527" i="16"/>
  <c r="M513" i="16"/>
  <c r="M512" i="16"/>
  <c r="M498" i="16"/>
  <c r="M497" i="16"/>
  <c r="M541" i="16"/>
  <c r="M526" i="16"/>
  <c r="M511" i="16"/>
  <c r="M496" i="16"/>
  <c r="M1076" i="16"/>
  <c r="M1070" i="16"/>
  <c r="M1064" i="16"/>
  <c r="M1046" i="16"/>
  <c r="M1041" i="16"/>
  <c r="M1036" i="16"/>
  <c r="M540" i="16"/>
  <c r="M525" i="16"/>
  <c r="M510" i="16"/>
  <c r="M495" i="16"/>
  <c r="L495" i="16"/>
  <c r="M1013" i="16"/>
  <c r="M1012" i="16"/>
  <c r="M1001" i="16"/>
  <c r="M1000" i="16"/>
  <c r="M989" i="16"/>
  <c r="M988" i="16"/>
  <c r="M978" i="16"/>
  <c r="M977" i="16"/>
  <c r="M162" i="16"/>
  <c r="M161" i="16"/>
  <c r="M160" i="16"/>
  <c r="M134" i="16"/>
  <c r="M133" i="16"/>
  <c r="M132" i="16"/>
  <c r="M106" i="16"/>
  <c r="M105" i="16"/>
  <c r="M104" i="16"/>
  <c r="M79" i="16"/>
  <c r="M78" i="16"/>
  <c r="M77" i="16"/>
  <c r="M159" i="16"/>
  <c r="M158" i="16"/>
  <c r="M131" i="16"/>
  <c r="M130" i="16"/>
  <c r="M103" i="16"/>
  <c r="M102" i="16"/>
  <c r="M76" i="16"/>
  <c r="M75" i="16"/>
  <c r="M416" i="16"/>
  <c r="M415" i="16"/>
  <c r="M414" i="16"/>
  <c r="M360" i="16"/>
  <c r="L360" i="16"/>
  <c r="M359" i="16"/>
  <c r="M358" i="16"/>
  <c r="M309" i="16"/>
  <c r="M308" i="16"/>
  <c r="M307" i="16"/>
  <c r="M258" i="16"/>
  <c r="M257" i="16"/>
  <c r="M256" i="16"/>
  <c r="M157" i="16"/>
  <c r="M156" i="16"/>
  <c r="M129" i="16"/>
  <c r="M128" i="16"/>
  <c r="M101" i="16"/>
  <c r="M100" i="16"/>
  <c r="M74" i="16"/>
  <c r="M73" i="16"/>
  <c r="M595" i="16"/>
  <c r="M590" i="16"/>
  <c r="M585" i="16"/>
  <c r="M1011" i="16"/>
  <c r="M999" i="16"/>
  <c r="M987" i="16"/>
  <c r="M976" i="16"/>
  <c r="M749" i="16"/>
  <c r="M712" i="16"/>
  <c r="L712" i="16"/>
  <c r="M675" i="16"/>
  <c r="M644" i="16"/>
  <c r="M1075" i="16"/>
  <c r="M1069" i="16"/>
  <c r="M1063" i="16"/>
  <c r="M1059" i="16"/>
  <c r="M748" i="16"/>
  <c r="M711" i="16"/>
  <c r="M674" i="16"/>
  <c r="M643" i="16"/>
  <c r="M413" i="16"/>
  <c r="M357" i="16"/>
  <c r="M306" i="16"/>
  <c r="M255" i="16"/>
  <c r="M412" i="16"/>
  <c r="L412" i="16"/>
  <c r="M356" i="16"/>
  <c r="M305" i="16"/>
  <c r="M254" i="16"/>
  <c r="M411" i="16"/>
  <c r="M355" i="16"/>
  <c r="M304" i="16"/>
  <c r="M253" i="16"/>
  <c r="M99" i="16"/>
  <c r="M72" i="16"/>
  <c r="M155" i="16"/>
  <c r="M154" i="16"/>
  <c r="M127" i="16"/>
  <c r="M126" i="16"/>
  <c r="M98" i="16"/>
  <c r="M97" i="16"/>
  <c r="M71" i="16"/>
  <c r="L71" i="16"/>
  <c r="M70" i="16"/>
  <c r="M747" i="16"/>
  <c r="M710" i="16"/>
  <c r="M746" i="16"/>
  <c r="M709" i="16"/>
  <c r="M745" i="16"/>
  <c r="M708" i="16"/>
  <c r="M673" i="16"/>
  <c r="M642" i="16"/>
  <c r="M539" i="16"/>
  <c r="M524" i="16"/>
  <c r="M509" i="16"/>
  <c r="M494" i="16"/>
  <c r="M744" i="16"/>
  <c r="M707" i="16"/>
  <c r="M743" i="16"/>
  <c r="M706" i="16"/>
  <c r="M672" i="16"/>
  <c r="M641" i="16"/>
  <c r="M410" i="16"/>
  <c r="M354" i="16"/>
  <c r="M303" i="16"/>
  <c r="M252" i="16"/>
  <c r="M409" i="16"/>
  <c r="M353" i="16"/>
  <c r="M302" i="16"/>
  <c r="M251" i="16"/>
  <c r="M408" i="16"/>
  <c r="L408" i="16"/>
  <c r="M352" i="16"/>
  <c r="M301" i="16"/>
  <c r="M250" i="16"/>
  <c r="M54" i="16"/>
  <c r="M52" i="16"/>
  <c r="M50" i="16"/>
  <c r="M48" i="16"/>
  <c r="M44" i="16"/>
  <c r="M42" i="16"/>
  <c r="M40" i="16"/>
  <c r="M38" i="16"/>
  <c r="M34" i="16"/>
  <c r="M32" i="16"/>
  <c r="M30" i="16"/>
  <c r="M28" i="16"/>
  <c r="M742" i="16"/>
  <c r="M705" i="16"/>
  <c r="M671" i="16"/>
  <c r="M640" i="16"/>
  <c r="M300" i="16"/>
  <c r="M1010" i="16"/>
  <c r="M998" i="16"/>
  <c r="M986" i="16"/>
  <c r="M975" i="16"/>
  <c r="M1009" i="16"/>
  <c r="M997" i="16"/>
  <c r="M985" i="16"/>
  <c r="M974" i="16"/>
  <c r="L974" i="16"/>
  <c r="M1074" i="16"/>
  <c r="M1068" i="16"/>
  <c r="M1062" i="16"/>
  <c r="M1058" i="16"/>
  <c r="M407" i="16"/>
  <c r="M351" i="16"/>
  <c r="M299" i="16"/>
  <c r="M249" i="16"/>
  <c r="M741" i="16"/>
  <c r="M704" i="16"/>
  <c r="M670" i="16"/>
  <c r="M639" i="16"/>
  <c r="M406" i="16"/>
  <c r="M350" i="16"/>
  <c r="M298" i="16"/>
  <c r="M248" i="16"/>
  <c r="M1008" i="16"/>
  <c r="M1007" i="16"/>
  <c r="M996" i="16"/>
  <c r="M995" i="16"/>
  <c r="M984" i="16"/>
  <c r="M973" i="16"/>
  <c r="M405" i="16"/>
  <c r="M349" i="16"/>
  <c r="L349" i="16"/>
  <c r="M297" i="16"/>
  <c r="M247" i="16"/>
  <c r="M1006" i="16"/>
  <c r="M994" i="16"/>
  <c r="M983" i="16"/>
  <c r="M972" i="16"/>
  <c r="M740" i="16"/>
  <c r="M703" i="16"/>
  <c r="M669" i="16"/>
  <c r="M638" i="16"/>
  <c r="M1005" i="16"/>
  <c r="M993" i="16"/>
  <c r="M982" i="16"/>
  <c r="M971" i="16"/>
  <c r="M404" i="16"/>
  <c r="M348" i="16"/>
  <c r="M296" i="16"/>
  <c r="M246" i="16"/>
  <c r="M403" i="16"/>
  <c r="M347" i="16"/>
  <c r="L347" i="16"/>
  <c r="M295" i="16"/>
  <c r="M245" i="16"/>
  <c r="M1035" i="16"/>
  <c r="M594" i="16"/>
  <c r="M589" i="16"/>
  <c r="M584" i="16"/>
  <c r="M580" i="16"/>
  <c r="M593" i="16"/>
  <c r="M588" i="16"/>
  <c r="M583" i="16"/>
  <c r="M579" i="16"/>
  <c r="M1004" i="16"/>
  <c r="M992" i="16"/>
  <c r="M981" i="16"/>
  <c r="M970" i="16"/>
  <c r="M830" i="16"/>
  <c r="M829" i="16"/>
  <c r="M739" i="16"/>
  <c r="M702" i="16"/>
  <c r="M668" i="16"/>
  <c r="M637" i="16"/>
  <c r="M1034" i="16"/>
  <c r="M402" i="16"/>
  <c r="M401" i="16"/>
  <c r="M346" i="16"/>
  <c r="M294" i="16"/>
  <c r="M244" i="16"/>
  <c r="M400" i="16"/>
  <c r="M345" i="16"/>
  <c r="M293" i="16"/>
  <c r="M243" i="16"/>
  <c r="M967" i="16"/>
  <c r="L967" i="16"/>
  <c r="M966" i="16"/>
  <c r="M965" i="16"/>
  <c r="M964" i="16"/>
  <c r="M399" i="16"/>
  <c r="M344" i="16"/>
  <c r="M292" i="16"/>
  <c r="M242" i="16"/>
  <c r="M398" i="16"/>
  <c r="M397" i="16"/>
  <c r="M343" i="16"/>
  <c r="M291" i="16"/>
  <c r="M241" i="16"/>
  <c r="M396" i="16"/>
  <c r="M342" i="16"/>
  <c r="M290" i="16"/>
  <c r="M240" i="16"/>
  <c r="L240" i="16"/>
  <c r="M395" i="16"/>
  <c r="M341" i="16"/>
  <c r="M289" i="16"/>
  <c r="M239" i="16"/>
  <c r="M153" i="16"/>
  <c r="M125" i="16"/>
  <c r="M96" i="16"/>
  <c r="M69" i="16"/>
  <c r="M394" i="16"/>
  <c r="M340" i="16"/>
  <c r="M288" i="16"/>
  <c r="M238" i="16"/>
  <c r="M393" i="16"/>
  <c r="M339" i="16"/>
  <c r="M287" i="16"/>
  <c r="M237" i="16"/>
  <c r="L237" i="16"/>
  <c r="M392" i="16"/>
  <c r="M338" i="16"/>
  <c r="M286" i="16"/>
  <c r="M391" i="16"/>
  <c r="M337" i="16"/>
  <c r="M285" i="16"/>
  <c r="M236" i="16"/>
  <c r="M738" i="16"/>
  <c r="M737" i="16"/>
  <c r="M701" i="16"/>
  <c r="M700" i="16"/>
  <c r="M667" i="16"/>
  <c r="M636" i="16"/>
  <c r="M736" i="16"/>
  <c r="M699" i="16"/>
  <c r="M666" i="16"/>
  <c r="M635" i="16"/>
  <c r="M390" i="16"/>
  <c r="M336" i="16"/>
  <c r="M284" i="16"/>
  <c r="M235" i="16"/>
  <c r="M152" i="16"/>
  <c r="M124" i="16"/>
  <c r="M95" i="16"/>
  <c r="M68" i="16"/>
  <c r="M735" i="16"/>
  <c r="M698" i="16"/>
  <c r="M665" i="16"/>
  <c r="L665" i="16"/>
  <c r="M634" i="16"/>
  <c r="M389" i="16"/>
  <c r="M335" i="16"/>
  <c r="M283" i="16"/>
  <c r="M234" i="16"/>
  <c r="M388" i="16"/>
  <c r="M334" i="16"/>
  <c r="M282" i="16"/>
  <c r="M233" i="16"/>
  <c r="M387" i="16"/>
  <c r="M333" i="16"/>
  <c r="M281" i="16"/>
  <c r="M232" i="16"/>
  <c r="M664" i="16"/>
  <c r="M386" i="16"/>
  <c r="M332" i="16"/>
  <c r="M280" i="16"/>
  <c r="M231" i="16"/>
  <c r="M385" i="16"/>
  <c r="M331" i="16"/>
  <c r="L331" i="16"/>
  <c r="M279" i="16"/>
  <c r="M230" i="16"/>
  <c r="M384" i="16"/>
  <c r="M330" i="16"/>
  <c r="M278" i="16"/>
  <c r="M229" i="16"/>
  <c r="M697" i="16"/>
  <c r="M151" i="16"/>
  <c r="M123" i="16"/>
  <c r="M94" i="16"/>
  <c r="M67" i="16"/>
  <c r="M822" i="16"/>
  <c r="M818" i="16"/>
  <c r="M814" i="16"/>
  <c r="M810" i="16"/>
  <c r="M792" i="16"/>
  <c r="L792" i="16"/>
  <c r="M791" i="16"/>
  <c r="M790" i="16"/>
  <c r="M789" i="16"/>
  <c r="M794" i="16" s="1"/>
  <c r="M150" i="16"/>
  <c r="M122" i="16"/>
  <c r="M93" i="16"/>
  <c r="M66" i="16"/>
  <c r="M1045" i="16"/>
  <c r="M1040" i="16"/>
  <c r="M1033" i="16"/>
  <c r="M1003" i="16"/>
  <c r="M991" i="16"/>
  <c r="M980" i="16"/>
  <c r="M969" i="16"/>
  <c r="M821" i="16"/>
  <c r="M817" i="16"/>
  <c r="M813" i="16"/>
  <c r="M809" i="16"/>
  <c r="M149" i="16"/>
  <c r="M121" i="16"/>
  <c r="M92" i="16"/>
  <c r="M65" i="16"/>
  <c r="M383" i="16"/>
  <c r="M329" i="16"/>
  <c r="L329" i="16"/>
  <c r="M277" i="16"/>
  <c r="M228" i="16"/>
  <c r="M148" i="16"/>
  <c r="M120" i="16"/>
  <c r="M91" i="16"/>
  <c r="M64" i="16"/>
  <c r="M382" i="16"/>
  <c r="M328" i="16"/>
  <c r="M276" i="16"/>
  <c r="M227" i="16"/>
  <c r="M592" i="16"/>
  <c r="M587" i="16"/>
  <c r="M582" i="16"/>
  <c r="M578" i="16"/>
  <c r="M591" i="16"/>
  <c r="M586" i="16"/>
  <c r="L586" i="16"/>
  <c r="M581" i="16"/>
  <c r="M577" i="16"/>
  <c r="M601" i="16" s="1"/>
  <c r="M945" i="16"/>
  <c r="M943" i="16"/>
  <c r="M942" i="16"/>
  <c r="M381" i="16"/>
  <c r="M327" i="16"/>
  <c r="M275" i="16"/>
  <c r="M226" i="16"/>
  <c r="M820" i="16"/>
  <c r="M816" i="16"/>
  <c r="M812" i="16"/>
  <c r="M808" i="16"/>
  <c r="M827" i="16" s="1"/>
  <c r="M734" i="16"/>
  <c r="M696" i="16"/>
  <c r="M663" i="16"/>
  <c r="L663" i="16"/>
  <c r="M633" i="16"/>
  <c r="M733" i="16"/>
  <c r="M695" i="16"/>
  <c r="M380" i="16"/>
  <c r="M326" i="16"/>
  <c r="M274" i="16"/>
  <c r="M225" i="16"/>
  <c r="M732" i="16"/>
  <c r="M694" i="16"/>
  <c r="M662" i="16"/>
  <c r="M379" i="16"/>
  <c r="M325" i="16"/>
  <c r="M273" i="16"/>
  <c r="M224" i="16"/>
  <c r="M538" i="16"/>
  <c r="M523" i="16"/>
  <c r="L523" i="16"/>
  <c r="M508" i="16"/>
  <c r="M493" i="16"/>
  <c r="M378" i="16"/>
  <c r="M324" i="16"/>
  <c r="M272" i="16"/>
  <c r="M223" i="16"/>
  <c r="M731" i="16"/>
  <c r="M693" i="16"/>
  <c r="M661" i="16"/>
  <c r="M632" i="16"/>
  <c r="M147" i="16"/>
  <c r="M119" i="16"/>
  <c r="M90" i="16"/>
  <c r="M63" i="16"/>
  <c r="M730" i="16"/>
  <c r="M692" i="16"/>
  <c r="L692" i="16"/>
  <c r="M660" i="16"/>
  <c r="M631" i="16"/>
  <c r="M377" i="16"/>
  <c r="M323" i="16"/>
  <c r="M271" i="16"/>
  <c r="M222" i="16"/>
  <c r="M146" i="16"/>
  <c r="M118" i="16"/>
  <c r="M89" i="16"/>
  <c r="M62" i="16"/>
  <c r="M376" i="16"/>
  <c r="M322" i="16"/>
  <c r="M270" i="16"/>
  <c r="M221" i="16"/>
  <c r="M375" i="16"/>
  <c r="M321" i="16"/>
  <c r="L321" i="16"/>
  <c r="M269" i="16"/>
  <c r="M220" i="16"/>
  <c r="M1073" i="16"/>
  <c r="M1067" i="16"/>
  <c r="M1061" i="16"/>
  <c r="M1057" i="16"/>
  <c r="M819" i="16"/>
  <c r="M815" i="16"/>
  <c r="M811" i="16"/>
  <c r="M729" i="16"/>
  <c r="M691" i="16"/>
  <c r="M659" i="16"/>
  <c r="M630" i="16"/>
  <c r="M728" i="16"/>
  <c r="M727" i="16"/>
  <c r="M690" i="16"/>
  <c r="L690" i="16"/>
  <c r="M658" i="16"/>
  <c r="M629" i="16"/>
  <c r="M726" i="16"/>
  <c r="M689" i="16"/>
  <c r="M657" i="16"/>
  <c r="M628" i="16"/>
  <c r="M374" i="16"/>
  <c r="M320" i="16"/>
  <c r="M268" i="16"/>
  <c r="M219" i="16"/>
  <c r="M725" i="16"/>
  <c r="M688" i="16"/>
  <c r="M656" i="16"/>
  <c r="M627" i="16"/>
  <c r="M724" i="16"/>
  <c r="M687" i="16"/>
  <c r="L687" i="16"/>
  <c r="M655" i="16"/>
  <c r="M723" i="16"/>
  <c r="M686" i="16"/>
  <c r="M654" i="16"/>
  <c r="M626" i="16"/>
  <c r="M722" i="16"/>
  <c r="M685" i="16"/>
  <c r="M653" i="16"/>
  <c r="M625" i="16"/>
  <c r="M373" i="16"/>
  <c r="M319" i="16"/>
  <c r="M267" i="16"/>
  <c r="M218" i="16"/>
  <c r="M372" i="16"/>
  <c r="M318" i="16"/>
  <c r="M266" i="16"/>
  <c r="L266" i="16"/>
  <c r="M217" i="16"/>
  <c r="M145" i="16"/>
  <c r="M117" i="16"/>
  <c r="M88" i="16"/>
  <c r="M61" i="16"/>
  <c r="M371" i="16"/>
  <c r="M317" i="16"/>
  <c r="M265" i="16"/>
  <c r="M216" i="16"/>
  <c r="M721" i="16"/>
  <c r="M684" i="16"/>
  <c r="M652" i="16"/>
  <c r="M624" i="16"/>
  <c r="M370" i="16"/>
  <c r="M316" i="16"/>
  <c r="M264" i="16"/>
  <c r="L264" i="16"/>
  <c r="M215" i="16"/>
  <c r="M369" i="16"/>
  <c r="M315" i="16"/>
  <c r="M263" i="16"/>
  <c r="M214" i="16"/>
  <c r="M368" i="16"/>
  <c r="M314" i="16"/>
  <c r="M262" i="16"/>
  <c r="M213" i="16"/>
  <c r="M537" i="16"/>
  <c r="M522" i="16"/>
  <c r="M507" i="16"/>
  <c r="M492" i="16"/>
  <c r="M367" i="16"/>
  <c r="M313" i="16"/>
  <c r="M261" i="16"/>
  <c r="L261" i="16"/>
  <c r="M212" i="16"/>
  <c r="M720" i="16"/>
  <c r="M683" i="16"/>
  <c r="M651" i="16"/>
  <c r="M623" i="16"/>
  <c r="M719" i="16"/>
  <c r="M718" i="16"/>
  <c r="M682" i="16"/>
  <c r="M681" i="16"/>
  <c r="M650" i="16"/>
  <c r="M649" i="16"/>
  <c r="M622" i="16"/>
  <c r="M366" i="16"/>
  <c r="M312" i="16"/>
  <c r="M260" i="16"/>
  <c r="M947" i="16"/>
  <c r="L947" i="16"/>
  <c r="M946" i="16"/>
  <c r="M944" i="16"/>
  <c r="M941" i="16"/>
  <c r="M536" i="16"/>
  <c r="M521" i="16"/>
  <c r="M506" i="16"/>
  <c r="M491" i="16"/>
  <c r="M535" i="16"/>
  <c r="M534" i="16"/>
  <c r="M520" i="16"/>
  <c r="M519" i="16"/>
  <c r="M505" i="16"/>
  <c r="M504" i="16"/>
  <c r="M490" i="16"/>
  <c r="M489" i="16"/>
  <c r="M144" i="16"/>
  <c r="L144" i="16"/>
  <c r="M116" i="16"/>
  <c r="M87" i="16"/>
  <c r="M60" i="16"/>
  <c r="M717" i="16"/>
  <c r="M680" i="16"/>
  <c r="M648" i="16"/>
  <c r="M143" i="16"/>
  <c r="M115" i="16"/>
  <c r="M86" i="16"/>
  <c r="M606" i="16"/>
  <c r="M605" i="16"/>
  <c r="M604" i="16"/>
  <c r="M603" i="16"/>
  <c r="M618" i="16" s="1"/>
  <c r="M611" i="16"/>
  <c r="M610" i="16"/>
  <c r="M609" i="16"/>
  <c r="L609" i="16"/>
  <c r="M608" i="16"/>
  <c r="M616" i="16"/>
  <c r="M615" i="16"/>
  <c r="M614" i="16"/>
  <c r="M613" i="16"/>
  <c r="M1072" i="16"/>
  <c r="M1066" i="16"/>
  <c r="M1060" i="16"/>
  <c r="M1056" i="16"/>
  <c r="M716" i="16"/>
  <c r="M679" i="16"/>
  <c r="M647" i="16"/>
  <c r="M621" i="16"/>
  <c r="M787" i="16" s="1"/>
  <c r="M142" i="16"/>
  <c r="M114" i="16"/>
  <c r="M85" i="16"/>
  <c r="L85" i="16"/>
  <c r="M715" i="16"/>
  <c r="M678" i="16"/>
  <c r="M646" i="16"/>
  <c r="M714" i="16"/>
  <c r="M713" i="16"/>
  <c r="M677" i="16"/>
  <c r="M676" i="16"/>
  <c r="M645" i="16"/>
  <c r="M620" i="16"/>
  <c r="M960" i="16"/>
  <c r="M957" i="16"/>
  <c r="M954" i="16"/>
  <c r="M939" i="16"/>
  <c r="M938" i="16"/>
  <c r="M937" i="16"/>
  <c r="M949" i="16" s="1"/>
  <c r="M533" i="16"/>
  <c r="L533" i="16"/>
  <c r="M532" i="16"/>
  <c r="M518" i="16"/>
  <c r="M517" i="16"/>
  <c r="M503" i="16"/>
  <c r="M502" i="16"/>
  <c r="M488" i="16"/>
  <c r="M885" i="16"/>
  <c r="M884" i="16"/>
  <c r="M883" i="16"/>
  <c r="M882" i="16"/>
  <c r="M25" i="16"/>
  <c r="M24" i="16"/>
  <c r="M23" i="16"/>
  <c r="M22" i="16"/>
  <c r="M930" i="16"/>
  <c r="M926" i="16"/>
  <c r="L926" i="16"/>
  <c r="M929" i="16"/>
  <c r="M925" i="16"/>
  <c r="M922" i="16"/>
  <c r="M919" i="16"/>
  <c r="M53" i="16"/>
  <c r="M51" i="16"/>
  <c r="M49" i="16"/>
  <c r="M47" i="16"/>
  <c r="M912" i="16"/>
  <c r="M908" i="16"/>
  <c r="M904" i="16"/>
  <c r="M900" i="16"/>
  <c r="M928" i="16"/>
  <c r="M924" i="16"/>
  <c r="M921" i="16"/>
  <c r="M918" i="16"/>
  <c r="L918" i="16"/>
  <c r="M531" i="16"/>
  <c r="M516" i="16"/>
  <c r="M501" i="16"/>
  <c r="M487" i="16"/>
  <c r="M803" i="16"/>
  <c r="M801" i="16"/>
  <c r="M799" i="16"/>
  <c r="M797" i="16"/>
  <c r="M879" i="16"/>
  <c r="M877" i="16"/>
  <c r="M875" i="16"/>
  <c r="M873" i="16"/>
  <c r="M843" i="16"/>
  <c r="M840" i="16"/>
  <c r="M837" i="16"/>
  <c r="M834" i="16"/>
  <c r="M935" i="16" s="1"/>
  <c r="L834" i="16"/>
  <c r="M1044" i="16"/>
  <c r="M1039" i="16"/>
  <c r="M1032" i="16"/>
  <c r="M1030" i="16"/>
  <c r="M802" i="16"/>
  <c r="M800" i="16"/>
  <c r="M798" i="16"/>
  <c r="M796" i="16"/>
  <c r="M806" i="16" s="1"/>
  <c r="M894" i="16"/>
  <c r="M892" i="16"/>
  <c r="M890" i="16"/>
  <c r="M888" i="16"/>
  <c r="M365" i="16"/>
  <c r="M311" i="16"/>
  <c r="M259" i="16"/>
  <c r="M211" i="16"/>
  <c r="L211" i="16"/>
  <c r="M911" i="16"/>
  <c r="M907" i="16"/>
  <c r="M903" i="16"/>
  <c r="M899" i="16"/>
  <c r="M893" i="16"/>
  <c r="M891" i="16"/>
  <c r="M889" i="16"/>
  <c r="M887" i="16"/>
  <c r="M1043" i="16"/>
  <c r="M1038" i="16"/>
  <c r="M1031" i="16"/>
  <c r="M1029" i="16"/>
  <c r="M43" i="16"/>
  <c r="M41" i="16"/>
  <c r="M39" i="16"/>
  <c r="M37" i="16"/>
  <c r="L37" i="16"/>
  <c r="M33" i="16"/>
  <c r="M31" i="16"/>
  <c r="M29" i="16"/>
  <c r="M27" i="16"/>
  <c r="M878" i="16"/>
  <c r="M876" i="16"/>
  <c r="M874" i="16"/>
  <c r="M872" i="16"/>
  <c r="M862" i="16"/>
  <c r="M858" i="16"/>
  <c r="M854" i="16"/>
  <c r="M850" i="16"/>
  <c r="M959" i="16"/>
  <c r="M956" i="16"/>
  <c r="M953" i="16"/>
  <c r="M958" i="16"/>
  <c r="L958" i="16"/>
  <c r="M955" i="16"/>
  <c r="M952" i="16"/>
  <c r="M951" i="16"/>
  <c r="M1086" i="16" s="1"/>
  <c r="M842" i="16"/>
  <c r="M839" i="16"/>
  <c r="M836" i="16"/>
  <c r="M841" i="16"/>
  <c r="M838" i="16"/>
  <c r="M835" i="16"/>
  <c r="M15" i="16"/>
  <c r="M14" i="16"/>
  <c r="M13" i="16"/>
  <c r="M12" i="16"/>
  <c r="M57" i="16" s="1"/>
  <c r="M861" i="16"/>
  <c r="M857" i="16"/>
  <c r="M853" i="16"/>
  <c r="L853" i="16"/>
  <c r="M849" i="16"/>
  <c r="M8" i="16"/>
  <c r="M7" i="16"/>
  <c r="M6" i="16"/>
  <c r="M5" i="16"/>
  <c r="M10" i="16" s="1"/>
  <c r="M1088" i="16" s="1"/>
  <c r="M927" i="16"/>
  <c r="M923" i="16"/>
  <c r="M920" i="16"/>
  <c r="M917" i="16"/>
  <c r="M20" i="16"/>
  <c r="M19" i="16"/>
  <c r="M18" i="16"/>
  <c r="M17" i="16"/>
  <c r="M910" i="16"/>
  <c r="M906" i="16"/>
  <c r="M902" i="16"/>
  <c r="L902" i="16"/>
  <c r="M898" i="16"/>
  <c r="M909" i="16"/>
  <c r="M905" i="16"/>
  <c r="M901" i="16"/>
  <c r="M897" i="16"/>
  <c r="M860" i="16"/>
  <c r="M856" i="16"/>
  <c r="M852" i="16"/>
  <c r="M848" i="16"/>
  <c r="M859" i="16"/>
  <c r="M855" i="16"/>
  <c r="M851" i="16"/>
  <c r="M847" i="16"/>
  <c r="M870" i="16"/>
  <c r="M869" i="16"/>
  <c r="M868" i="16"/>
  <c r="L868" i="16"/>
  <c r="M867" i="16"/>
  <c r="M141" i="16"/>
  <c r="M113" i="16"/>
  <c r="M84" i="16"/>
  <c r="M59" i="16"/>
  <c r="M575" i="16" s="1"/>
  <c r="C7" i="14"/>
  <c r="Q1750" i="5" l="1"/>
  <c r="O1750" i="5"/>
  <c r="J7" i="5"/>
  <c r="J8" i="5" s="1"/>
  <c r="K1069" i="5"/>
  <c r="M1069" i="5" s="1"/>
  <c r="L949" i="16"/>
  <c r="L827" i="16"/>
  <c r="L794" i="16"/>
  <c r="L10" i="16"/>
  <c r="L806" i="16"/>
  <c r="L1086" i="16"/>
  <c r="L618" i="16"/>
  <c r="L832" i="16"/>
  <c r="L935" i="16"/>
  <c r="L575" i="16"/>
  <c r="L787" i="16"/>
  <c r="L601" i="16"/>
  <c r="L57" i="16"/>
  <c r="C10" i="9" l="1"/>
  <c r="H10" i="9"/>
  <c r="H9" i="9"/>
  <c r="K7" i="5"/>
  <c r="M7" i="5" s="1"/>
  <c r="K8" i="5"/>
  <c r="M8" i="5" s="1"/>
  <c r="J9" i="5"/>
  <c r="K1070" i="5"/>
  <c r="M1070" i="5" s="1"/>
  <c r="L1088" i="16"/>
  <c r="H11" i="9" l="1"/>
  <c r="K9" i="5"/>
  <c r="M9" i="5" s="1"/>
  <c r="J10" i="5"/>
  <c r="K1071" i="5"/>
  <c r="M1071" i="5" s="1"/>
  <c r="C22" i="14"/>
  <c r="C20" i="14"/>
  <c r="C18" i="14"/>
  <c r="J18" i="14" s="1"/>
  <c r="C16" i="14"/>
  <c r="D11" i="15"/>
  <c r="F22" i="14"/>
  <c r="F20" i="14"/>
  <c r="F18" i="14"/>
  <c r="F16" i="14"/>
  <c r="C10" i="14"/>
  <c r="C9" i="14"/>
  <c r="C8" i="14"/>
  <c r="C17" i="13"/>
  <c r="J19" i="12"/>
  <c r="C11" i="9"/>
  <c r="I108" i="8"/>
  <c r="M104" i="8"/>
  <c r="L104" i="8"/>
  <c r="M103" i="8"/>
  <c r="L103" i="8"/>
  <c r="M102" i="8"/>
  <c r="L102" i="8"/>
  <c r="M101" i="8"/>
  <c r="L101" i="8"/>
  <c r="M100" i="8"/>
  <c r="L100" i="8"/>
  <c r="M99" i="8"/>
  <c r="L99" i="8"/>
  <c r="M98" i="8"/>
  <c r="L98" i="8"/>
  <c r="M97" i="8"/>
  <c r="L97" i="8"/>
  <c r="M96" i="8"/>
  <c r="L96" i="8"/>
  <c r="M95" i="8"/>
  <c r="L95" i="8"/>
  <c r="M94" i="8"/>
  <c r="L94" i="8"/>
  <c r="M93" i="8"/>
  <c r="L93" i="8"/>
  <c r="M92" i="8"/>
  <c r="L92" i="8"/>
  <c r="M91" i="8"/>
  <c r="L91" i="8"/>
  <c r="M90" i="8"/>
  <c r="L90" i="8"/>
  <c r="M89" i="8"/>
  <c r="L89" i="8"/>
  <c r="M88" i="8"/>
  <c r="L88" i="8"/>
  <c r="M87" i="8"/>
  <c r="L87" i="8"/>
  <c r="M86" i="8"/>
  <c r="L86" i="8"/>
  <c r="M85" i="8"/>
  <c r="L85" i="8"/>
  <c r="M84" i="8"/>
  <c r="L84" i="8"/>
  <c r="M83" i="8"/>
  <c r="L83" i="8"/>
  <c r="M82" i="8"/>
  <c r="L82" i="8"/>
  <c r="M81" i="8"/>
  <c r="L81" i="8"/>
  <c r="M80" i="8"/>
  <c r="L80" i="8"/>
  <c r="M79" i="8"/>
  <c r="L79" i="8"/>
  <c r="M78" i="8"/>
  <c r="L78" i="8"/>
  <c r="M77" i="8"/>
  <c r="L77" i="8"/>
  <c r="M76" i="8"/>
  <c r="L76" i="8"/>
  <c r="M75" i="8"/>
  <c r="L75" i="8"/>
  <c r="M74" i="8"/>
  <c r="L74" i="8"/>
  <c r="M73" i="8"/>
  <c r="L73" i="8"/>
  <c r="M72" i="8"/>
  <c r="L72" i="8"/>
  <c r="M71" i="8"/>
  <c r="L71" i="8"/>
  <c r="M70" i="8"/>
  <c r="L70" i="8"/>
  <c r="M69" i="8"/>
  <c r="L69" i="8"/>
  <c r="M68" i="8"/>
  <c r="L68" i="8"/>
  <c r="M67" i="8"/>
  <c r="L67" i="8"/>
  <c r="M66" i="8"/>
  <c r="L66" i="8"/>
  <c r="M65" i="8"/>
  <c r="L65" i="8"/>
  <c r="M64" i="8"/>
  <c r="L64" i="8"/>
  <c r="M63" i="8"/>
  <c r="L63" i="8"/>
  <c r="M62" i="8"/>
  <c r="L62" i="8"/>
  <c r="M61" i="8"/>
  <c r="L61" i="8"/>
  <c r="M60" i="8"/>
  <c r="L60" i="8"/>
  <c r="M59" i="8"/>
  <c r="L59" i="8"/>
  <c r="M58" i="8"/>
  <c r="L58" i="8"/>
  <c r="M57" i="8"/>
  <c r="L57" i="8"/>
  <c r="M56" i="8"/>
  <c r="L56" i="8"/>
  <c r="M55" i="8"/>
  <c r="L55" i="8"/>
  <c r="M54" i="8"/>
  <c r="L54" i="8"/>
  <c r="M53" i="8"/>
  <c r="L53" i="8"/>
  <c r="M52" i="8"/>
  <c r="L52" i="8"/>
  <c r="M51" i="8"/>
  <c r="L51" i="8"/>
  <c r="M50" i="8"/>
  <c r="L50" i="8"/>
  <c r="M49" i="8"/>
  <c r="L49" i="8"/>
  <c r="M48" i="8"/>
  <c r="L48" i="8"/>
  <c r="M47" i="8"/>
  <c r="L47" i="8"/>
  <c r="M46" i="8"/>
  <c r="L46" i="8"/>
  <c r="M45" i="8"/>
  <c r="L45" i="8"/>
  <c r="M44" i="8"/>
  <c r="L44" i="8"/>
  <c r="M43" i="8"/>
  <c r="L43" i="8"/>
  <c r="M42" i="8"/>
  <c r="L42" i="8"/>
  <c r="M41" i="8"/>
  <c r="L41" i="8"/>
  <c r="M40" i="8"/>
  <c r="L40" i="8"/>
  <c r="M39" i="8"/>
  <c r="L39" i="8"/>
  <c r="M38" i="8"/>
  <c r="L38" i="8"/>
  <c r="M37" i="8"/>
  <c r="L37" i="8"/>
  <c r="M36" i="8"/>
  <c r="L36" i="8"/>
  <c r="M35" i="8"/>
  <c r="L35" i="8"/>
  <c r="M34" i="8"/>
  <c r="L34" i="8"/>
  <c r="M33" i="8"/>
  <c r="L33" i="8"/>
  <c r="M32" i="8"/>
  <c r="L32" i="8"/>
  <c r="M31" i="8"/>
  <c r="L31" i="8"/>
  <c r="M30" i="8"/>
  <c r="L30" i="8"/>
  <c r="M29" i="8"/>
  <c r="L29" i="8"/>
  <c r="M28" i="8"/>
  <c r="L28" i="8"/>
  <c r="M27" i="8"/>
  <c r="L27" i="8"/>
  <c r="M26" i="8"/>
  <c r="L26" i="8"/>
  <c r="M25" i="8"/>
  <c r="L25" i="8"/>
  <c r="M24" i="8"/>
  <c r="L24" i="8"/>
  <c r="M23" i="8"/>
  <c r="L23" i="8"/>
  <c r="M22" i="8"/>
  <c r="L22" i="8"/>
  <c r="M21" i="8"/>
  <c r="L21" i="8"/>
  <c r="M20" i="8"/>
  <c r="L20" i="8"/>
  <c r="M19" i="8"/>
  <c r="L19" i="8"/>
  <c r="M18" i="8"/>
  <c r="L18" i="8"/>
  <c r="M17" i="8"/>
  <c r="L17" i="8"/>
  <c r="M16" i="8"/>
  <c r="L16" i="8"/>
  <c r="M15" i="8"/>
  <c r="L15" i="8"/>
  <c r="M14" i="8"/>
  <c r="L14" i="8"/>
  <c r="M13" i="8"/>
  <c r="L13" i="8"/>
  <c r="M12" i="8"/>
  <c r="L12" i="8"/>
  <c r="M11" i="8"/>
  <c r="L11" i="8"/>
  <c r="M10" i="8"/>
  <c r="L10" i="8"/>
  <c r="M9" i="8"/>
  <c r="L9" i="8"/>
  <c r="M8" i="8"/>
  <c r="L8" i="8"/>
  <c r="M7" i="8"/>
  <c r="L7" i="8"/>
  <c r="M6" i="8"/>
  <c r="L6" i="8"/>
  <c r="M5" i="8"/>
  <c r="L5" i="8"/>
  <c r="I1063" i="6"/>
  <c r="I1065" i="6" s="1"/>
  <c r="M1061" i="6"/>
  <c r="J1061" i="6"/>
  <c r="L1061" i="6" s="1"/>
  <c r="M1060" i="6"/>
  <c r="J1060" i="6"/>
  <c r="L1060" i="6" s="1"/>
  <c r="M1059" i="6"/>
  <c r="J1059" i="6"/>
  <c r="L1059" i="6" s="1"/>
  <c r="M1058" i="6"/>
  <c r="J1058" i="6"/>
  <c r="L1058" i="6" s="1"/>
  <c r="M1057" i="6"/>
  <c r="J1057" i="6"/>
  <c r="L1057" i="6" s="1"/>
  <c r="M1056" i="6"/>
  <c r="J1056" i="6"/>
  <c r="L1056" i="6" s="1"/>
  <c r="M1055" i="6"/>
  <c r="J1055" i="6"/>
  <c r="L1055" i="6" s="1"/>
  <c r="M1054" i="6"/>
  <c r="J1054" i="6"/>
  <c r="L1054" i="6" s="1"/>
  <c r="M1053" i="6"/>
  <c r="J1053" i="6"/>
  <c r="L1053" i="6" s="1"/>
  <c r="M1052" i="6"/>
  <c r="J1052" i="6"/>
  <c r="L1052" i="6" s="1"/>
  <c r="M1051" i="6"/>
  <c r="J1051" i="6"/>
  <c r="L1051" i="6" s="1"/>
  <c r="M1050" i="6"/>
  <c r="J1050" i="6"/>
  <c r="L1050" i="6" s="1"/>
  <c r="M1049" i="6"/>
  <c r="J1049" i="6"/>
  <c r="L1049" i="6" s="1"/>
  <c r="M1048" i="6"/>
  <c r="J1048" i="6"/>
  <c r="L1048" i="6" s="1"/>
  <c r="M1047" i="6"/>
  <c r="J1047" i="6"/>
  <c r="L1047" i="6" s="1"/>
  <c r="M1046" i="6"/>
  <c r="J1046" i="6"/>
  <c r="L1046" i="6" s="1"/>
  <c r="M1045" i="6"/>
  <c r="J1045" i="6"/>
  <c r="L1045" i="6" s="1"/>
  <c r="M1044" i="6"/>
  <c r="J1044" i="6"/>
  <c r="L1044" i="6" s="1"/>
  <c r="M1043" i="6"/>
  <c r="J1043" i="6"/>
  <c r="L1043" i="6" s="1"/>
  <c r="M1042" i="6"/>
  <c r="J1042" i="6"/>
  <c r="L1042" i="6" s="1"/>
  <c r="M1041" i="6"/>
  <c r="J1041" i="6"/>
  <c r="L1041" i="6" s="1"/>
  <c r="M1040" i="6"/>
  <c r="J1040" i="6"/>
  <c r="L1040" i="6" s="1"/>
  <c r="M1039" i="6"/>
  <c r="J1039" i="6"/>
  <c r="L1039" i="6" s="1"/>
  <c r="M1038" i="6"/>
  <c r="J1038" i="6"/>
  <c r="L1038" i="6" s="1"/>
  <c r="M1037" i="6"/>
  <c r="J1037" i="6"/>
  <c r="L1037" i="6" s="1"/>
  <c r="M1036" i="6"/>
  <c r="J1036" i="6"/>
  <c r="L1036" i="6" s="1"/>
  <c r="M1035" i="6"/>
  <c r="J1035" i="6"/>
  <c r="L1035" i="6" s="1"/>
  <c r="M1034" i="6"/>
  <c r="J1034" i="6"/>
  <c r="L1034" i="6" s="1"/>
  <c r="M1033" i="6"/>
  <c r="J1033" i="6"/>
  <c r="L1033" i="6" s="1"/>
  <c r="M1032" i="6"/>
  <c r="J1032" i="6"/>
  <c r="L1032" i="6" s="1"/>
  <c r="M1031" i="6"/>
  <c r="J1031" i="6"/>
  <c r="L1031" i="6" s="1"/>
  <c r="M1030" i="6"/>
  <c r="J1030" i="6"/>
  <c r="L1030" i="6" s="1"/>
  <c r="M1029" i="6"/>
  <c r="J1029" i="6"/>
  <c r="L1029" i="6" s="1"/>
  <c r="M1028" i="6"/>
  <c r="J1028" i="6"/>
  <c r="L1028" i="6" s="1"/>
  <c r="M1027" i="6"/>
  <c r="J1027" i="6"/>
  <c r="L1027" i="6" s="1"/>
  <c r="M1026" i="6"/>
  <c r="J1026" i="6"/>
  <c r="L1026" i="6" s="1"/>
  <c r="M1025" i="6"/>
  <c r="J1025" i="6"/>
  <c r="L1025" i="6" s="1"/>
  <c r="M1024" i="6"/>
  <c r="J1024" i="6"/>
  <c r="L1024" i="6" s="1"/>
  <c r="M1023" i="6"/>
  <c r="J1023" i="6"/>
  <c r="L1023" i="6" s="1"/>
  <c r="M1022" i="6"/>
  <c r="J1022" i="6"/>
  <c r="L1022" i="6" s="1"/>
  <c r="M1021" i="6"/>
  <c r="J1021" i="6"/>
  <c r="L1021" i="6" s="1"/>
  <c r="M1020" i="6"/>
  <c r="J1020" i="6"/>
  <c r="L1020" i="6" s="1"/>
  <c r="M1019" i="6"/>
  <c r="J1019" i="6"/>
  <c r="L1019" i="6" s="1"/>
  <c r="M1018" i="6"/>
  <c r="J1018" i="6"/>
  <c r="L1018" i="6" s="1"/>
  <c r="M1017" i="6"/>
  <c r="J1017" i="6"/>
  <c r="L1017" i="6" s="1"/>
  <c r="M1016" i="6"/>
  <c r="J1016" i="6"/>
  <c r="L1016" i="6" s="1"/>
  <c r="M1015" i="6"/>
  <c r="J1015" i="6"/>
  <c r="L1015" i="6" s="1"/>
  <c r="M1014" i="6"/>
  <c r="J1014" i="6"/>
  <c r="L1014" i="6" s="1"/>
  <c r="M1013" i="6"/>
  <c r="J1013" i="6"/>
  <c r="L1013" i="6" s="1"/>
  <c r="M1012" i="6"/>
  <c r="J1012" i="6"/>
  <c r="L1012" i="6" s="1"/>
  <c r="M1011" i="6"/>
  <c r="J1011" i="6"/>
  <c r="L1011" i="6" s="1"/>
  <c r="M1010" i="6"/>
  <c r="J1010" i="6"/>
  <c r="L1010" i="6" s="1"/>
  <c r="M1009" i="6"/>
  <c r="J1009" i="6"/>
  <c r="L1009" i="6" s="1"/>
  <c r="M1008" i="6"/>
  <c r="J1008" i="6"/>
  <c r="L1008" i="6" s="1"/>
  <c r="M1007" i="6"/>
  <c r="J1007" i="6"/>
  <c r="L1007" i="6" s="1"/>
  <c r="M1006" i="6"/>
  <c r="J1006" i="6"/>
  <c r="L1006" i="6" s="1"/>
  <c r="M1005" i="6"/>
  <c r="J1005" i="6"/>
  <c r="L1005" i="6" s="1"/>
  <c r="M1004" i="6"/>
  <c r="J1004" i="6"/>
  <c r="L1004" i="6" s="1"/>
  <c r="M1003" i="6"/>
  <c r="J1003" i="6"/>
  <c r="L1003" i="6" s="1"/>
  <c r="M1002" i="6"/>
  <c r="J1002" i="6"/>
  <c r="L1002" i="6" s="1"/>
  <c r="M1001" i="6"/>
  <c r="J1001" i="6"/>
  <c r="L1001" i="6" s="1"/>
  <c r="M1000" i="6"/>
  <c r="J1000" i="6"/>
  <c r="L1000" i="6" s="1"/>
  <c r="M999" i="6"/>
  <c r="J999" i="6"/>
  <c r="L999" i="6" s="1"/>
  <c r="M998" i="6"/>
  <c r="J998" i="6"/>
  <c r="L998" i="6" s="1"/>
  <c r="M997" i="6"/>
  <c r="J997" i="6"/>
  <c r="L997" i="6" s="1"/>
  <c r="M996" i="6"/>
  <c r="J996" i="6"/>
  <c r="L996" i="6" s="1"/>
  <c r="M995" i="6"/>
  <c r="J995" i="6"/>
  <c r="L995" i="6" s="1"/>
  <c r="M994" i="6"/>
  <c r="J994" i="6"/>
  <c r="L994" i="6" s="1"/>
  <c r="M993" i="6"/>
  <c r="J993" i="6"/>
  <c r="L993" i="6" s="1"/>
  <c r="M992" i="6"/>
  <c r="J992" i="6"/>
  <c r="L992" i="6" s="1"/>
  <c r="M991" i="6"/>
  <c r="J991" i="6"/>
  <c r="L991" i="6" s="1"/>
  <c r="M990" i="6"/>
  <c r="J990" i="6"/>
  <c r="L990" i="6" s="1"/>
  <c r="M989" i="6"/>
  <c r="J989" i="6"/>
  <c r="L989" i="6" s="1"/>
  <c r="M988" i="6"/>
  <c r="J988" i="6"/>
  <c r="L988" i="6" s="1"/>
  <c r="M987" i="6"/>
  <c r="J987" i="6"/>
  <c r="L987" i="6" s="1"/>
  <c r="M986" i="6"/>
  <c r="J986" i="6"/>
  <c r="L986" i="6" s="1"/>
  <c r="M985" i="6"/>
  <c r="J985" i="6"/>
  <c r="L985" i="6" s="1"/>
  <c r="M984" i="6"/>
  <c r="J984" i="6"/>
  <c r="L984" i="6" s="1"/>
  <c r="M983" i="6"/>
  <c r="J983" i="6"/>
  <c r="L983" i="6" s="1"/>
  <c r="M982" i="6"/>
  <c r="J982" i="6"/>
  <c r="L982" i="6" s="1"/>
  <c r="M981" i="6"/>
  <c r="J981" i="6"/>
  <c r="L981" i="6" s="1"/>
  <c r="M980" i="6"/>
  <c r="J980" i="6"/>
  <c r="L980" i="6" s="1"/>
  <c r="M979" i="6"/>
  <c r="J979" i="6"/>
  <c r="L979" i="6" s="1"/>
  <c r="M978" i="6"/>
  <c r="J978" i="6"/>
  <c r="L978" i="6" s="1"/>
  <c r="M977" i="6"/>
  <c r="J977" i="6"/>
  <c r="L977" i="6" s="1"/>
  <c r="M976" i="6"/>
  <c r="J976" i="6"/>
  <c r="L976" i="6" s="1"/>
  <c r="M975" i="6"/>
  <c r="J975" i="6"/>
  <c r="L975" i="6" s="1"/>
  <c r="M974" i="6"/>
  <c r="J974" i="6"/>
  <c r="L974" i="6" s="1"/>
  <c r="M973" i="6"/>
  <c r="J973" i="6"/>
  <c r="L973" i="6" s="1"/>
  <c r="M972" i="6"/>
  <c r="J972" i="6"/>
  <c r="L972" i="6" s="1"/>
  <c r="M971" i="6"/>
  <c r="J971" i="6"/>
  <c r="L971" i="6" s="1"/>
  <c r="M970" i="6"/>
  <c r="J970" i="6"/>
  <c r="L970" i="6" s="1"/>
  <c r="M969" i="6"/>
  <c r="J969" i="6"/>
  <c r="L969" i="6" s="1"/>
  <c r="M968" i="6"/>
  <c r="J968" i="6"/>
  <c r="L968" i="6" s="1"/>
  <c r="M967" i="6"/>
  <c r="J967" i="6"/>
  <c r="L967" i="6" s="1"/>
  <c r="M966" i="6"/>
  <c r="J966" i="6"/>
  <c r="L966" i="6" s="1"/>
  <c r="M965" i="6"/>
  <c r="J965" i="6"/>
  <c r="L965" i="6" s="1"/>
  <c r="M964" i="6"/>
  <c r="J964" i="6"/>
  <c r="L964" i="6" s="1"/>
  <c r="M963" i="6"/>
  <c r="J963" i="6"/>
  <c r="L963" i="6" s="1"/>
  <c r="M962" i="6"/>
  <c r="J962" i="6"/>
  <c r="L962" i="6" s="1"/>
  <c r="M961" i="6"/>
  <c r="J961" i="6"/>
  <c r="L961" i="6" s="1"/>
  <c r="M960" i="6"/>
  <c r="J960" i="6"/>
  <c r="L960" i="6" s="1"/>
  <c r="M959" i="6"/>
  <c r="J959" i="6"/>
  <c r="L959" i="6" s="1"/>
  <c r="M958" i="6"/>
  <c r="J958" i="6"/>
  <c r="L958" i="6" s="1"/>
  <c r="M957" i="6"/>
  <c r="J957" i="6"/>
  <c r="L957" i="6" s="1"/>
  <c r="M956" i="6"/>
  <c r="J956" i="6"/>
  <c r="L956" i="6" s="1"/>
  <c r="M955" i="6"/>
  <c r="J955" i="6"/>
  <c r="L955" i="6" s="1"/>
  <c r="M954" i="6"/>
  <c r="J954" i="6"/>
  <c r="L954" i="6" s="1"/>
  <c r="M953" i="6"/>
  <c r="J953" i="6"/>
  <c r="L953" i="6" s="1"/>
  <c r="M952" i="6"/>
  <c r="J952" i="6"/>
  <c r="L952" i="6" s="1"/>
  <c r="M951" i="6"/>
  <c r="J951" i="6"/>
  <c r="L951" i="6" s="1"/>
  <c r="M950" i="6"/>
  <c r="J950" i="6"/>
  <c r="L950" i="6" s="1"/>
  <c r="M949" i="6"/>
  <c r="J949" i="6"/>
  <c r="L949" i="6" s="1"/>
  <c r="M948" i="6"/>
  <c r="J948" i="6"/>
  <c r="L948" i="6" s="1"/>
  <c r="M947" i="6"/>
  <c r="J947" i="6"/>
  <c r="L947" i="6" s="1"/>
  <c r="M946" i="6"/>
  <c r="J946" i="6"/>
  <c r="L946" i="6" s="1"/>
  <c r="M945" i="6"/>
  <c r="J945" i="6"/>
  <c r="L945" i="6" s="1"/>
  <c r="M944" i="6"/>
  <c r="J944" i="6"/>
  <c r="L944" i="6" s="1"/>
  <c r="M943" i="6"/>
  <c r="J943" i="6"/>
  <c r="L943" i="6" s="1"/>
  <c r="M942" i="6"/>
  <c r="J942" i="6"/>
  <c r="L942" i="6" s="1"/>
  <c r="M941" i="6"/>
  <c r="J941" i="6"/>
  <c r="L941" i="6" s="1"/>
  <c r="M940" i="6"/>
  <c r="J940" i="6"/>
  <c r="L940" i="6" s="1"/>
  <c r="M939" i="6"/>
  <c r="J939" i="6"/>
  <c r="L939" i="6" s="1"/>
  <c r="M938" i="6"/>
  <c r="J938" i="6"/>
  <c r="L938" i="6" s="1"/>
  <c r="M937" i="6"/>
  <c r="J937" i="6"/>
  <c r="L937" i="6" s="1"/>
  <c r="M936" i="6"/>
  <c r="J936" i="6"/>
  <c r="L936" i="6" s="1"/>
  <c r="M935" i="6"/>
  <c r="J935" i="6"/>
  <c r="L935" i="6" s="1"/>
  <c r="M934" i="6"/>
  <c r="J934" i="6"/>
  <c r="L934" i="6" s="1"/>
  <c r="M933" i="6"/>
  <c r="J933" i="6"/>
  <c r="L933" i="6" s="1"/>
  <c r="M932" i="6"/>
  <c r="J932" i="6"/>
  <c r="L932" i="6" s="1"/>
  <c r="M931" i="6"/>
  <c r="J931" i="6"/>
  <c r="L931" i="6" s="1"/>
  <c r="M930" i="6"/>
  <c r="J930" i="6"/>
  <c r="L930" i="6" s="1"/>
  <c r="M929" i="6"/>
  <c r="J929" i="6"/>
  <c r="L929" i="6" s="1"/>
  <c r="M928" i="6"/>
  <c r="J928" i="6"/>
  <c r="L928" i="6" s="1"/>
  <c r="M927" i="6"/>
  <c r="J927" i="6"/>
  <c r="L927" i="6" s="1"/>
  <c r="M926" i="6"/>
  <c r="J926" i="6"/>
  <c r="L926" i="6" s="1"/>
  <c r="M925" i="6"/>
  <c r="J925" i="6"/>
  <c r="L925" i="6" s="1"/>
  <c r="M924" i="6"/>
  <c r="J924" i="6"/>
  <c r="L924" i="6" s="1"/>
  <c r="M923" i="6"/>
  <c r="J923" i="6"/>
  <c r="L923" i="6" s="1"/>
  <c r="M922" i="6"/>
  <c r="J922" i="6"/>
  <c r="L922" i="6" s="1"/>
  <c r="M921" i="6"/>
  <c r="J921" i="6"/>
  <c r="L921" i="6" s="1"/>
  <c r="M920" i="6"/>
  <c r="J920" i="6"/>
  <c r="L920" i="6" s="1"/>
  <c r="M919" i="6"/>
  <c r="J919" i="6"/>
  <c r="L919" i="6" s="1"/>
  <c r="M918" i="6"/>
  <c r="J918" i="6"/>
  <c r="L918" i="6" s="1"/>
  <c r="M917" i="6"/>
  <c r="J917" i="6"/>
  <c r="L917" i="6" s="1"/>
  <c r="M916" i="6"/>
  <c r="J916" i="6"/>
  <c r="L916" i="6" s="1"/>
  <c r="M915" i="6"/>
  <c r="J915" i="6"/>
  <c r="L915" i="6" s="1"/>
  <c r="M914" i="6"/>
  <c r="J914" i="6"/>
  <c r="L914" i="6" s="1"/>
  <c r="M913" i="6"/>
  <c r="J913" i="6"/>
  <c r="L913" i="6" s="1"/>
  <c r="M912" i="6"/>
  <c r="J912" i="6"/>
  <c r="L912" i="6" s="1"/>
  <c r="M911" i="6"/>
  <c r="J911" i="6"/>
  <c r="L911" i="6" s="1"/>
  <c r="M910" i="6"/>
  <c r="J910" i="6"/>
  <c r="L910" i="6" s="1"/>
  <c r="M909" i="6"/>
  <c r="J909" i="6"/>
  <c r="L909" i="6" s="1"/>
  <c r="M908" i="6"/>
  <c r="J908" i="6"/>
  <c r="L908" i="6" s="1"/>
  <c r="M907" i="6"/>
  <c r="J907" i="6"/>
  <c r="L907" i="6" s="1"/>
  <c r="M906" i="6"/>
  <c r="J906" i="6"/>
  <c r="L906" i="6" s="1"/>
  <c r="M905" i="6"/>
  <c r="J905" i="6"/>
  <c r="L905" i="6" s="1"/>
  <c r="M904" i="6"/>
  <c r="J904" i="6"/>
  <c r="L904" i="6" s="1"/>
  <c r="M903" i="6"/>
  <c r="J903" i="6"/>
  <c r="L903" i="6" s="1"/>
  <c r="M902" i="6"/>
  <c r="J902" i="6"/>
  <c r="L902" i="6" s="1"/>
  <c r="M901" i="6"/>
  <c r="J901" i="6"/>
  <c r="L901" i="6" s="1"/>
  <c r="M900" i="6"/>
  <c r="J900" i="6"/>
  <c r="L900" i="6" s="1"/>
  <c r="M899" i="6"/>
  <c r="J899" i="6"/>
  <c r="L899" i="6" s="1"/>
  <c r="M898" i="6"/>
  <c r="J898" i="6"/>
  <c r="L898" i="6" s="1"/>
  <c r="M897" i="6"/>
  <c r="J897" i="6"/>
  <c r="L897" i="6" s="1"/>
  <c r="M896" i="6"/>
  <c r="J896" i="6"/>
  <c r="L896" i="6" s="1"/>
  <c r="M895" i="6"/>
  <c r="J895" i="6"/>
  <c r="L895" i="6" s="1"/>
  <c r="M894" i="6"/>
  <c r="J894" i="6"/>
  <c r="L894" i="6" s="1"/>
  <c r="M893" i="6"/>
  <c r="J893" i="6"/>
  <c r="L893" i="6" s="1"/>
  <c r="M892" i="6"/>
  <c r="J892" i="6"/>
  <c r="L892" i="6" s="1"/>
  <c r="M891" i="6"/>
  <c r="J891" i="6"/>
  <c r="L891" i="6" s="1"/>
  <c r="M890" i="6"/>
  <c r="J890" i="6"/>
  <c r="L890" i="6" s="1"/>
  <c r="M889" i="6"/>
  <c r="J889" i="6"/>
  <c r="L889" i="6" s="1"/>
  <c r="M888" i="6"/>
  <c r="J888" i="6"/>
  <c r="L888" i="6" s="1"/>
  <c r="M887" i="6"/>
  <c r="J887" i="6"/>
  <c r="L887" i="6" s="1"/>
  <c r="M886" i="6"/>
  <c r="J886" i="6"/>
  <c r="L886" i="6" s="1"/>
  <c r="M885" i="6"/>
  <c r="J885" i="6"/>
  <c r="L885" i="6" s="1"/>
  <c r="M884" i="6"/>
  <c r="J884" i="6"/>
  <c r="L884" i="6" s="1"/>
  <c r="M883" i="6"/>
  <c r="J883" i="6"/>
  <c r="L883" i="6" s="1"/>
  <c r="M882" i="6"/>
  <c r="J882" i="6"/>
  <c r="L882" i="6" s="1"/>
  <c r="M881" i="6"/>
  <c r="J881" i="6"/>
  <c r="L881" i="6" s="1"/>
  <c r="M880" i="6"/>
  <c r="J880" i="6"/>
  <c r="L880" i="6" s="1"/>
  <c r="M879" i="6"/>
  <c r="J879" i="6"/>
  <c r="L879" i="6" s="1"/>
  <c r="M878" i="6"/>
  <c r="J878" i="6"/>
  <c r="L878" i="6" s="1"/>
  <c r="M877" i="6"/>
  <c r="J877" i="6"/>
  <c r="L877" i="6" s="1"/>
  <c r="M876" i="6"/>
  <c r="J876" i="6"/>
  <c r="L876" i="6" s="1"/>
  <c r="M875" i="6"/>
  <c r="J875" i="6"/>
  <c r="L875" i="6" s="1"/>
  <c r="M874" i="6"/>
  <c r="J874" i="6"/>
  <c r="L874" i="6" s="1"/>
  <c r="M873" i="6"/>
  <c r="J873" i="6"/>
  <c r="L873" i="6" s="1"/>
  <c r="M872" i="6"/>
  <c r="J872" i="6"/>
  <c r="L872" i="6" s="1"/>
  <c r="M871" i="6"/>
  <c r="J871" i="6"/>
  <c r="L871" i="6" s="1"/>
  <c r="M870" i="6"/>
  <c r="J870" i="6"/>
  <c r="L870" i="6" s="1"/>
  <c r="M869" i="6"/>
  <c r="J869" i="6"/>
  <c r="L869" i="6" s="1"/>
  <c r="M868" i="6"/>
  <c r="J868" i="6"/>
  <c r="L868" i="6" s="1"/>
  <c r="M867" i="6"/>
  <c r="J867" i="6"/>
  <c r="L867" i="6" s="1"/>
  <c r="M866" i="6"/>
  <c r="J866" i="6"/>
  <c r="L866" i="6" s="1"/>
  <c r="M865" i="6"/>
  <c r="J865" i="6"/>
  <c r="L865" i="6" s="1"/>
  <c r="M864" i="6"/>
  <c r="J864" i="6"/>
  <c r="L864" i="6" s="1"/>
  <c r="M863" i="6"/>
  <c r="J863" i="6"/>
  <c r="L863" i="6" s="1"/>
  <c r="M862" i="6"/>
  <c r="J862" i="6"/>
  <c r="L862" i="6" s="1"/>
  <c r="M861" i="6"/>
  <c r="J861" i="6"/>
  <c r="L861" i="6" s="1"/>
  <c r="M860" i="6"/>
  <c r="J860" i="6"/>
  <c r="L860" i="6" s="1"/>
  <c r="M859" i="6"/>
  <c r="J859" i="6"/>
  <c r="L859" i="6" s="1"/>
  <c r="M858" i="6"/>
  <c r="J858" i="6"/>
  <c r="L858" i="6" s="1"/>
  <c r="M857" i="6"/>
  <c r="J857" i="6"/>
  <c r="L857" i="6" s="1"/>
  <c r="M856" i="6"/>
  <c r="J856" i="6"/>
  <c r="L856" i="6" s="1"/>
  <c r="M855" i="6"/>
  <c r="J855" i="6"/>
  <c r="L855" i="6" s="1"/>
  <c r="M854" i="6"/>
  <c r="J854" i="6"/>
  <c r="L854" i="6" s="1"/>
  <c r="M853" i="6"/>
  <c r="J853" i="6"/>
  <c r="L853" i="6" s="1"/>
  <c r="M852" i="6"/>
  <c r="J852" i="6"/>
  <c r="L852" i="6" s="1"/>
  <c r="M851" i="6"/>
  <c r="J851" i="6"/>
  <c r="L851" i="6" s="1"/>
  <c r="M850" i="6"/>
  <c r="J850" i="6"/>
  <c r="L850" i="6" s="1"/>
  <c r="M849" i="6"/>
  <c r="J849" i="6"/>
  <c r="L849" i="6" s="1"/>
  <c r="M848" i="6"/>
  <c r="J848" i="6"/>
  <c r="L848" i="6" s="1"/>
  <c r="M847" i="6"/>
  <c r="J847" i="6"/>
  <c r="L847" i="6" s="1"/>
  <c r="M846" i="6"/>
  <c r="J846" i="6"/>
  <c r="L846" i="6" s="1"/>
  <c r="M845" i="6"/>
  <c r="J845" i="6"/>
  <c r="L845" i="6" s="1"/>
  <c r="M844" i="6"/>
  <c r="J844" i="6"/>
  <c r="L844" i="6" s="1"/>
  <c r="M843" i="6"/>
  <c r="J843" i="6"/>
  <c r="L843" i="6" s="1"/>
  <c r="M842" i="6"/>
  <c r="J842" i="6"/>
  <c r="L842" i="6" s="1"/>
  <c r="M841" i="6"/>
  <c r="J841" i="6"/>
  <c r="L841" i="6" s="1"/>
  <c r="M840" i="6"/>
  <c r="J840" i="6"/>
  <c r="L840" i="6" s="1"/>
  <c r="M839" i="6"/>
  <c r="J839" i="6"/>
  <c r="L839" i="6" s="1"/>
  <c r="M838" i="6"/>
  <c r="J838" i="6"/>
  <c r="L838" i="6" s="1"/>
  <c r="M837" i="6"/>
  <c r="J837" i="6"/>
  <c r="L837" i="6" s="1"/>
  <c r="M836" i="6"/>
  <c r="J836" i="6"/>
  <c r="L836" i="6" s="1"/>
  <c r="M835" i="6"/>
  <c r="J835" i="6"/>
  <c r="L835" i="6" s="1"/>
  <c r="M834" i="6"/>
  <c r="J834" i="6"/>
  <c r="L834" i="6" s="1"/>
  <c r="M833" i="6"/>
  <c r="J833" i="6"/>
  <c r="L833" i="6" s="1"/>
  <c r="M832" i="6"/>
  <c r="J832" i="6"/>
  <c r="L832" i="6" s="1"/>
  <c r="M831" i="6"/>
  <c r="J831" i="6"/>
  <c r="L831" i="6" s="1"/>
  <c r="M830" i="6"/>
  <c r="J830" i="6"/>
  <c r="L830" i="6" s="1"/>
  <c r="M829" i="6"/>
  <c r="J829" i="6"/>
  <c r="L829" i="6" s="1"/>
  <c r="M828" i="6"/>
  <c r="J828" i="6"/>
  <c r="L828" i="6" s="1"/>
  <c r="M827" i="6"/>
  <c r="J827" i="6"/>
  <c r="L827" i="6" s="1"/>
  <c r="M826" i="6"/>
  <c r="J826" i="6"/>
  <c r="L826" i="6" s="1"/>
  <c r="M825" i="6"/>
  <c r="J825" i="6"/>
  <c r="L825" i="6" s="1"/>
  <c r="M824" i="6"/>
  <c r="J824" i="6"/>
  <c r="L824" i="6" s="1"/>
  <c r="M823" i="6"/>
  <c r="J823" i="6"/>
  <c r="L823" i="6" s="1"/>
  <c r="M822" i="6"/>
  <c r="J822" i="6"/>
  <c r="L822" i="6" s="1"/>
  <c r="M821" i="6"/>
  <c r="J821" i="6"/>
  <c r="L821" i="6" s="1"/>
  <c r="M820" i="6"/>
  <c r="J820" i="6"/>
  <c r="L820" i="6" s="1"/>
  <c r="M819" i="6"/>
  <c r="J819" i="6"/>
  <c r="L819" i="6" s="1"/>
  <c r="M818" i="6"/>
  <c r="J818" i="6"/>
  <c r="L818" i="6" s="1"/>
  <c r="M817" i="6"/>
  <c r="J817" i="6"/>
  <c r="L817" i="6" s="1"/>
  <c r="M816" i="6"/>
  <c r="J816" i="6"/>
  <c r="L816" i="6" s="1"/>
  <c r="M815" i="6"/>
  <c r="J815" i="6"/>
  <c r="L815" i="6" s="1"/>
  <c r="M814" i="6"/>
  <c r="J814" i="6"/>
  <c r="L814" i="6" s="1"/>
  <c r="M813" i="6"/>
  <c r="J813" i="6"/>
  <c r="L813" i="6" s="1"/>
  <c r="M812" i="6"/>
  <c r="J812" i="6"/>
  <c r="L812" i="6" s="1"/>
  <c r="M811" i="6"/>
  <c r="J811" i="6"/>
  <c r="L811" i="6" s="1"/>
  <c r="M810" i="6"/>
  <c r="J810" i="6"/>
  <c r="L810" i="6" s="1"/>
  <c r="M809" i="6"/>
  <c r="J809" i="6"/>
  <c r="L809" i="6" s="1"/>
  <c r="M808" i="6"/>
  <c r="J808" i="6"/>
  <c r="L808" i="6" s="1"/>
  <c r="M807" i="6"/>
  <c r="J807" i="6"/>
  <c r="L807" i="6" s="1"/>
  <c r="M806" i="6"/>
  <c r="J806" i="6"/>
  <c r="L806" i="6" s="1"/>
  <c r="M805" i="6"/>
  <c r="J805" i="6"/>
  <c r="L805" i="6" s="1"/>
  <c r="M804" i="6"/>
  <c r="J804" i="6"/>
  <c r="L804" i="6" s="1"/>
  <c r="M803" i="6"/>
  <c r="J803" i="6"/>
  <c r="L803" i="6" s="1"/>
  <c r="M802" i="6"/>
  <c r="J802" i="6"/>
  <c r="L802" i="6" s="1"/>
  <c r="M801" i="6"/>
  <c r="J801" i="6"/>
  <c r="L801" i="6" s="1"/>
  <c r="M800" i="6"/>
  <c r="J800" i="6"/>
  <c r="L800" i="6" s="1"/>
  <c r="M799" i="6"/>
  <c r="J799" i="6"/>
  <c r="L799" i="6" s="1"/>
  <c r="M798" i="6"/>
  <c r="J798" i="6"/>
  <c r="L798" i="6" s="1"/>
  <c r="M797" i="6"/>
  <c r="J797" i="6"/>
  <c r="L797" i="6" s="1"/>
  <c r="M796" i="6"/>
  <c r="J796" i="6"/>
  <c r="L796" i="6" s="1"/>
  <c r="M795" i="6"/>
  <c r="J795" i="6"/>
  <c r="L795" i="6" s="1"/>
  <c r="M794" i="6"/>
  <c r="J794" i="6"/>
  <c r="L794" i="6" s="1"/>
  <c r="M793" i="6"/>
  <c r="J793" i="6"/>
  <c r="L793" i="6" s="1"/>
  <c r="M792" i="6"/>
  <c r="J792" i="6"/>
  <c r="L792" i="6" s="1"/>
  <c r="M791" i="6"/>
  <c r="J791" i="6"/>
  <c r="L791" i="6" s="1"/>
  <c r="M790" i="6"/>
  <c r="J790" i="6"/>
  <c r="L790" i="6" s="1"/>
  <c r="M789" i="6"/>
  <c r="J789" i="6"/>
  <c r="L789" i="6" s="1"/>
  <c r="M788" i="6"/>
  <c r="J788" i="6"/>
  <c r="L788" i="6" s="1"/>
  <c r="M787" i="6"/>
  <c r="J787" i="6"/>
  <c r="L787" i="6" s="1"/>
  <c r="M786" i="6"/>
  <c r="J786" i="6"/>
  <c r="L786" i="6" s="1"/>
  <c r="M785" i="6"/>
  <c r="J785" i="6"/>
  <c r="L785" i="6" s="1"/>
  <c r="M784" i="6"/>
  <c r="J784" i="6"/>
  <c r="L784" i="6" s="1"/>
  <c r="M783" i="6"/>
  <c r="J783" i="6"/>
  <c r="L783" i="6" s="1"/>
  <c r="M782" i="6"/>
  <c r="J782" i="6"/>
  <c r="L782" i="6" s="1"/>
  <c r="M781" i="6"/>
  <c r="J781" i="6"/>
  <c r="L781" i="6" s="1"/>
  <c r="M780" i="6"/>
  <c r="J780" i="6"/>
  <c r="L780" i="6" s="1"/>
  <c r="M779" i="6"/>
  <c r="J779" i="6"/>
  <c r="L779" i="6" s="1"/>
  <c r="M778" i="6"/>
  <c r="J778" i="6"/>
  <c r="L778" i="6" s="1"/>
  <c r="M777" i="6"/>
  <c r="J777" i="6"/>
  <c r="L777" i="6" s="1"/>
  <c r="M776" i="6"/>
  <c r="J776" i="6"/>
  <c r="L776" i="6" s="1"/>
  <c r="M775" i="6"/>
  <c r="J775" i="6"/>
  <c r="L775" i="6" s="1"/>
  <c r="M774" i="6"/>
  <c r="J774" i="6"/>
  <c r="L774" i="6" s="1"/>
  <c r="M773" i="6"/>
  <c r="J773" i="6"/>
  <c r="L773" i="6" s="1"/>
  <c r="M772" i="6"/>
  <c r="J772" i="6"/>
  <c r="L772" i="6" s="1"/>
  <c r="M771" i="6"/>
  <c r="J771" i="6"/>
  <c r="L771" i="6" s="1"/>
  <c r="M770" i="6"/>
  <c r="J770" i="6"/>
  <c r="L770" i="6" s="1"/>
  <c r="M769" i="6"/>
  <c r="J769" i="6"/>
  <c r="L769" i="6" s="1"/>
  <c r="M768" i="6"/>
  <c r="J768" i="6"/>
  <c r="L768" i="6" s="1"/>
  <c r="M767" i="6"/>
  <c r="J767" i="6"/>
  <c r="L767" i="6" s="1"/>
  <c r="M766" i="6"/>
  <c r="J766" i="6"/>
  <c r="L766" i="6" s="1"/>
  <c r="M765" i="6"/>
  <c r="J765" i="6"/>
  <c r="L765" i="6" s="1"/>
  <c r="M764" i="6"/>
  <c r="J764" i="6"/>
  <c r="L764" i="6" s="1"/>
  <c r="M763" i="6"/>
  <c r="J763" i="6"/>
  <c r="L763" i="6" s="1"/>
  <c r="M762" i="6"/>
  <c r="J762" i="6"/>
  <c r="L762" i="6" s="1"/>
  <c r="M761" i="6"/>
  <c r="J761" i="6"/>
  <c r="L761" i="6" s="1"/>
  <c r="M760" i="6"/>
  <c r="J760" i="6"/>
  <c r="L760" i="6" s="1"/>
  <c r="M759" i="6"/>
  <c r="J759" i="6"/>
  <c r="L759" i="6" s="1"/>
  <c r="M758" i="6"/>
  <c r="J758" i="6"/>
  <c r="L758" i="6" s="1"/>
  <c r="M757" i="6"/>
  <c r="J757" i="6"/>
  <c r="L757" i="6" s="1"/>
  <c r="M756" i="6"/>
  <c r="J756" i="6"/>
  <c r="L756" i="6" s="1"/>
  <c r="M755" i="6"/>
  <c r="J755" i="6"/>
  <c r="L755" i="6" s="1"/>
  <c r="M754" i="6"/>
  <c r="J754" i="6"/>
  <c r="L754" i="6" s="1"/>
  <c r="M753" i="6"/>
  <c r="J753" i="6"/>
  <c r="L753" i="6" s="1"/>
  <c r="M752" i="6"/>
  <c r="J752" i="6"/>
  <c r="L752" i="6" s="1"/>
  <c r="M751" i="6"/>
  <c r="J751" i="6"/>
  <c r="L751" i="6" s="1"/>
  <c r="M750" i="6"/>
  <c r="J750" i="6"/>
  <c r="L750" i="6" s="1"/>
  <c r="M749" i="6"/>
  <c r="J749" i="6"/>
  <c r="L749" i="6" s="1"/>
  <c r="M748" i="6"/>
  <c r="J748" i="6"/>
  <c r="L748" i="6" s="1"/>
  <c r="M747" i="6"/>
  <c r="J747" i="6"/>
  <c r="L747" i="6" s="1"/>
  <c r="M746" i="6"/>
  <c r="J746" i="6"/>
  <c r="L746" i="6" s="1"/>
  <c r="M745" i="6"/>
  <c r="J745" i="6"/>
  <c r="L745" i="6" s="1"/>
  <c r="M744" i="6"/>
  <c r="J744" i="6"/>
  <c r="L744" i="6" s="1"/>
  <c r="M743" i="6"/>
  <c r="J743" i="6"/>
  <c r="L743" i="6" s="1"/>
  <c r="M742" i="6"/>
  <c r="J742" i="6"/>
  <c r="L742" i="6" s="1"/>
  <c r="M741" i="6"/>
  <c r="J741" i="6"/>
  <c r="L741" i="6" s="1"/>
  <c r="M740" i="6"/>
  <c r="J740" i="6"/>
  <c r="L740" i="6" s="1"/>
  <c r="M739" i="6"/>
  <c r="J739" i="6"/>
  <c r="L739" i="6" s="1"/>
  <c r="M738" i="6"/>
  <c r="J738" i="6"/>
  <c r="L738" i="6" s="1"/>
  <c r="M737" i="6"/>
  <c r="J737" i="6"/>
  <c r="L737" i="6" s="1"/>
  <c r="M736" i="6"/>
  <c r="J736" i="6"/>
  <c r="L736" i="6" s="1"/>
  <c r="M735" i="6"/>
  <c r="J735" i="6"/>
  <c r="L735" i="6" s="1"/>
  <c r="M734" i="6"/>
  <c r="J734" i="6"/>
  <c r="L734" i="6" s="1"/>
  <c r="M733" i="6"/>
  <c r="J733" i="6"/>
  <c r="L733" i="6" s="1"/>
  <c r="M732" i="6"/>
  <c r="J732" i="6"/>
  <c r="L732" i="6" s="1"/>
  <c r="M731" i="6"/>
  <c r="J731" i="6"/>
  <c r="L731" i="6" s="1"/>
  <c r="M730" i="6"/>
  <c r="J730" i="6"/>
  <c r="L730" i="6" s="1"/>
  <c r="M729" i="6"/>
  <c r="J729" i="6"/>
  <c r="L729" i="6" s="1"/>
  <c r="M728" i="6"/>
  <c r="J728" i="6"/>
  <c r="L728" i="6" s="1"/>
  <c r="M727" i="6"/>
  <c r="J727" i="6"/>
  <c r="L727" i="6" s="1"/>
  <c r="M726" i="6"/>
  <c r="J726" i="6"/>
  <c r="L726" i="6" s="1"/>
  <c r="M725" i="6"/>
  <c r="J725" i="6"/>
  <c r="L725" i="6" s="1"/>
  <c r="M724" i="6"/>
  <c r="J724" i="6"/>
  <c r="L724" i="6" s="1"/>
  <c r="M723" i="6"/>
  <c r="J723" i="6"/>
  <c r="L723" i="6" s="1"/>
  <c r="M722" i="6"/>
  <c r="J722" i="6"/>
  <c r="L722" i="6" s="1"/>
  <c r="M721" i="6"/>
  <c r="J721" i="6"/>
  <c r="L721" i="6" s="1"/>
  <c r="M720" i="6"/>
  <c r="J720" i="6"/>
  <c r="L720" i="6" s="1"/>
  <c r="M719" i="6"/>
  <c r="J719" i="6"/>
  <c r="L719" i="6" s="1"/>
  <c r="M718" i="6"/>
  <c r="J718" i="6"/>
  <c r="L718" i="6" s="1"/>
  <c r="M717" i="6"/>
  <c r="J717" i="6"/>
  <c r="L717" i="6" s="1"/>
  <c r="M716" i="6"/>
  <c r="J716" i="6"/>
  <c r="L716" i="6" s="1"/>
  <c r="M715" i="6"/>
  <c r="J715" i="6"/>
  <c r="L715" i="6" s="1"/>
  <c r="M714" i="6"/>
  <c r="J714" i="6"/>
  <c r="L714" i="6" s="1"/>
  <c r="M713" i="6"/>
  <c r="J713" i="6"/>
  <c r="L713" i="6" s="1"/>
  <c r="M712" i="6"/>
  <c r="J712" i="6"/>
  <c r="L712" i="6" s="1"/>
  <c r="M711" i="6"/>
  <c r="J711" i="6"/>
  <c r="L711" i="6" s="1"/>
  <c r="M710" i="6"/>
  <c r="J710" i="6"/>
  <c r="L710" i="6" s="1"/>
  <c r="M709" i="6"/>
  <c r="J709" i="6"/>
  <c r="L709" i="6" s="1"/>
  <c r="M708" i="6"/>
  <c r="J708" i="6"/>
  <c r="L708" i="6" s="1"/>
  <c r="M707" i="6"/>
  <c r="J707" i="6"/>
  <c r="L707" i="6" s="1"/>
  <c r="M706" i="6"/>
  <c r="J706" i="6"/>
  <c r="L706" i="6" s="1"/>
  <c r="M705" i="6"/>
  <c r="J705" i="6"/>
  <c r="L705" i="6" s="1"/>
  <c r="M704" i="6"/>
  <c r="J704" i="6"/>
  <c r="L704" i="6" s="1"/>
  <c r="M703" i="6"/>
  <c r="J703" i="6"/>
  <c r="L703" i="6" s="1"/>
  <c r="M702" i="6"/>
  <c r="J702" i="6"/>
  <c r="L702" i="6" s="1"/>
  <c r="M701" i="6"/>
  <c r="J701" i="6"/>
  <c r="L701" i="6" s="1"/>
  <c r="M700" i="6"/>
  <c r="J700" i="6"/>
  <c r="L700" i="6" s="1"/>
  <c r="M699" i="6"/>
  <c r="J699" i="6"/>
  <c r="L699" i="6" s="1"/>
  <c r="M698" i="6"/>
  <c r="J698" i="6"/>
  <c r="L698" i="6" s="1"/>
  <c r="M697" i="6"/>
  <c r="J697" i="6"/>
  <c r="L697" i="6" s="1"/>
  <c r="M696" i="6"/>
  <c r="J696" i="6"/>
  <c r="L696" i="6" s="1"/>
  <c r="M695" i="6"/>
  <c r="J695" i="6"/>
  <c r="L695" i="6" s="1"/>
  <c r="M694" i="6"/>
  <c r="J694" i="6"/>
  <c r="L694" i="6" s="1"/>
  <c r="M693" i="6"/>
  <c r="J693" i="6"/>
  <c r="L693" i="6" s="1"/>
  <c r="M692" i="6"/>
  <c r="J692" i="6"/>
  <c r="L692" i="6" s="1"/>
  <c r="M691" i="6"/>
  <c r="J691" i="6"/>
  <c r="L691" i="6" s="1"/>
  <c r="M690" i="6"/>
  <c r="J690" i="6"/>
  <c r="L690" i="6" s="1"/>
  <c r="M689" i="6"/>
  <c r="J689" i="6"/>
  <c r="L689" i="6" s="1"/>
  <c r="M688" i="6"/>
  <c r="J688" i="6"/>
  <c r="L688" i="6" s="1"/>
  <c r="M687" i="6"/>
  <c r="J687" i="6"/>
  <c r="L687" i="6" s="1"/>
  <c r="M686" i="6"/>
  <c r="J686" i="6"/>
  <c r="L686" i="6" s="1"/>
  <c r="M685" i="6"/>
  <c r="J685" i="6"/>
  <c r="L685" i="6" s="1"/>
  <c r="M684" i="6"/>
  <c r="J684" i="6"/>
  <c r="L684" i="6" s="1"/>
  <c r="M683" i="6"/>
  <c r="J683" i="6"/>
  <c r="L683" i="6" s="1"/>
  <c r="M682" i="6"/>
  <c r="J682" i="6"/>
  <c r="L682" i="6" s="1"/>
  <c r="M681" i="6"/>
  <c r="J681" i="6"/>
  <c r="L681" i="6" s="1"/>
  <c r="M680" i="6"/>
  <c r="J680" i="6"/>
  <c r="L680" i="6" s="1"/>
  <c r="M679" i="6"/>
  <c r="J679" i="6"/>
  <c r="L679" i="6" s="1"/>
  <c r="M678" i="6"/>
  <c r="J678" i="6"/>
  <c r="L678" i="6" s="1"/>
  <c r="M677" i="6"/>
  <c r="J677" i="6"/>
  <c r="L677" i="6" s="1"/>
  <c r="M676" i="6"/>
  <c r="J676" i="6"/>
  <c r="L676" i="6" s="1"/>
  <c r="M675" i="6"/>
  <c r="J675" i="6"/>
  <c r="L675" i="6" s="1"/>
  <c r="M674" i="6"/>
  <c r="J674" i="6"/>
  <c r="L674" i="6" s="1"/>
  <c r="M673" i="6"/>
  <c r="J673" i="6"/>
  <c r="L673" i="6" s="1"/>
  <c r="M672" i="6"/>
  <c r="J672" i="6"/>
  <c r="L672" i="6" s="1"/>
  <c r="M671" i="6"/>
  <c r="J671" i="6"/>
  <c r="L671" i="6" s="1"/>
  <c r="M670" i="6"/>
  <c r="J670" i="6"/>
  <c r="L670" i="6" s="1"/>
  <c r="M669" i="6"/>
  <c r="J669" i="6"/>
  <c r="L669" i="6" s="1"/>
  <c r="M668" i="6"/>
  <c r="J668" i="6"/>
  <c r="L668" i="6" s="1"/>
  <c r="M667" i="6"/>
  <c r="J667" i="6"/>
  <c r="L667" i="6" s="1"/>
  <c r="M666" i="6"/>
  <c r="J666" i="6"/>
  <c r="L666" i="6" s="1"/>
  <c r="M665" i="6"/>
  <c r="J665" i="6"/>
  <c r="L665" i="6" s="1"/>
  <c r="M664" i="6"/>
  <c r="J664" i="6"/>
  <c r="L664" i="6" s="1"/>
  <c r="M663" i="6"/>
  <c r="J663" i="6"/>
  <c r="L663" i="6" s="1"/>
  <c r="M662" i="6"/>
  <c r="J662" i="6"/>
  <c r="L662" i="6" s="1"/>
  <c r="M661" i="6"/>
  <c r="J661" i="6"/>
  <c r="L661" i="6" s="1"/>
  <c r="M660" i="6"/>
  <c r="J660" i="6"/>
  <c r="L660" i="6" s="1"/>
  <c r="M659" i="6"/>
  <c r="J659" i="6"/>
  <c r="L659" i="6" s="1"/>
  <c r="M658" i="6"/>
  <c r="J658" i="6"/>
  <c r="L658" i="6" s="1"/>
  <c r="M657" i="6"/>
  <c r="J657" i="6"/>
  <c r="L657" i="6" s="1"/>
  <c r="M656" i="6"/>
  <c r="J656" i="6"/>
  <c r="L656" i="6" s="1"/>
  <c r="M655" i="6"/>
  <c r="J655" i="6"/>
  <c r="L655" i="6" s="1"/>
  <c r="M654" i="6"/>
  <c r="J654" i="6"/>
  <c r="L654" i="6" s="1"/>
  <c r="M653" i="6"/>
  <c r="J653" i="6"/>
  <c r="L653" i="6" s="1"/>
  <c r="M652" i="6"/>
  <c r="J652" i="6"/>
  <c r="L652" i="6" s="1"/>
  <c r="M651" i="6"/>
  <c r="J651" i="6"/>
  <c r="L651" i="6" s="1"/>
  <c r="M650" i="6"/>
  <c r="J650" i="6"/>
  <c r="L650" i="6" s="1"/>
  <c r="M649" i="6"/>
  <c r="J649" i="6"/>
  <c r="L649" i="6" s="1"/>
  <c r="M648" i="6"/>
  <c r="J648" i="6"/>
  <c r="L648" i="6" s="1"/>
  <c r="M647" i="6"/>
  <c r="J647" i="6"/>
  <c r="L647" i="6" s="1"/>
  <c r="M646" i="6"/>
  <c r="J646" i="6"/>
  <c r="L646" i="6" s="1"/>
  <c r="M645" i="6"/>
  <c r="J645" i="6"/>
  <c r="L645" i="6" s="1"/>
  <c r="M644" i="6"/>
  <c r="J644" i="6"/>
  <c r="L644" i="6" s="1"/>
  <c r="M643" i="6"/>
  <c r="J643" i="6"/>
  <c r="L643" i="6" s="1"/>
  <c r="M642" i="6"/>
  <c r="J642" i="6"/>
  <c r="L642" i="6" s="1"/>
  <c r="M641" i="6"/>
  <c r="J641" i="6"/>
  <c r="L641" i="6" s="1"/>
  <c r="M640" i="6"/>
  <c r="J640" i="6"/>
  <c r="L640" i="6" s="1"/>
  <c r="M639" i="6"/>
  <c r="J639" i="6"/>
  <c r="L639" i="6" s="1"/>
  <c r="M638" i="6"/>
  <c r="J638" i="6"/>
  <c r="L638" i="6" s="1"/>
  <c r="M637" i="6"/>
  <c r="J637" i="6"/>
  <c r="L637" i="6" s="1"/>
  <c r="M636" i="6"/>
  <c r="J636" i="6"/>
  <c r="L636" i="6" s="1"/>
  <c r="M635" i="6"/>
  <c r="J635" i="6"/>
  <c r="L635" i="6" s="1"/>
  <c r="M634" i="6"/>
  <c r="J634" i="6"/>
  <c r="L634" i="6" s="1"/>
  <c r="M633" i="6"/>
  <c r="J633" i="6"/>
  <c r="L633" i="6" s="1"/>
  <c r="M632" i="6"/>
  <c r="J632" i="6"/>
  <c r="L632" i="6" s="1"/>
  <c r="M631" i="6"/>
  <c r="J631" i="6"/>
  <c r="L631" i="6" s="1"/>
  <c r="M630" i="6"/>
  <c r="J630" i="6"/>
  <c r="L630" i="6" s="1"/>
  <c r="M629" i="6"/>
  <c r="J629" i="6"/>
  <c r="L629" i="6" s="1"/>
  <c r="M628" i="6"/>
  <c r="J628" i="6"/>
  <c r="L628" i="6" s="1"/>
  <c r="M627" i="6"/>
  <c r="J627" i="6"/>
  <c r="L627" i="6" s="1"/>
  <c r="M626" i="6"/>
  <c r="J626" i="6"/>
  <c r="L626" i="6" s="1"/>
  <c r="M625" i="6"/>
  <c r="J625" i="6"/>
  <c r="L625" i="6" s="1"/>
  <c r="M624" i="6"/>
  <c r="J624" i="6"/>
  <c r="L624" i="6" s="1"/>
  <c r="M623" i="6"/>
  <c r="J623" i="6"/>
  <c r="L623" i="6" s="1"/>
  <c r="M622" i="6"/>
  <c r="J622" i="6"/>
  <c r="L622" i="6" s="1"/>
  <c r="M621" i="6"/>
  <c r="J621" i="6"/>
  <c r="L621" i="6" s="1"/>
  <c r="M620" i="6"/>
  <c r="J620" i="6"/>
  <c r="L620" i="6" s="1"/>
  <c r="M619" i="6"/>
  <c r="J619" i="6"/>
  <c r="L619" i="6" s="1"/>
  <c r="M618" i="6"/>
  <c r="J618" i="6"/>
  <c r="L618" i="6" s="1"/>
  <c r="M617" i="6"/>
  <c r="J617" i="6"/>
  <c r="L617" i="6" s="1"/>
  <c r="M616" i="6"/>
  <c r="J616" i="6"/>
  <c r="L616" i="6" s="1"/>
  <c r="M615" i="6"/>
  <c r="J615" i="6"/>
  <c r="L615" i="6" s="1"/>
  <c r="M614" i="6"/>
  <c r="J614" i="6"/>
  <c r="L614" i="6" s="1"/>
  <c r="M613" i="6"/>
  <c r="J613" i="6"/>
  <c r="L613" i="6" s="1"/>
  <c r="M612" i="6"/>
  <c r="J612" i="6"/>
  <c r="L612" i="6" s="1"/>
  <c r="M611" i="6"/>
  <c r="J611" i="6"/>
  <c r="L611" i="6" s="1"/>
  <c r="M610" i="6"/>
  <c r="J610" i="6"/>
  <c r="L610" i="6" s="1"/>
  <c r="M609" i="6"/>
  <c r="J609" i="6"/>
  <c r="L609" i="6" s="1"/>
  <c r="M608" i="6"/>
  <c r="J608" i="6"/>
  <c r="L608" i="6" s="1"/>
  <c r="M607" i="6"/>
  <c r="J607" i="6"/>
  <c r="L607" i="6" s="1"/>
  <c r="M606" i="6"/>
  <c r="J606" i="6"/>
  <c r="L606" i="6" s="1"/>
  <c r="M605" i="6"/>
  <c r="J605" i="6"/>
  <c r="L605" i="6" s="1"/>
  <c r="M604" i="6"/>
  <c r="J604" i="6"/>
  <c r="L604" i="6" s="1"/>
  <c r="M603" i="6"/>
  <c r="J603" i="6"/>
  <c r="L603" i="6" s="1"/>
  <c r="M602" i="6"/>
  <c r="J602" i="6"/>
  <c r="L602" i="6" s="1"/>
  <c r="M601" i="6"/>
  <c r="J601" i="6"/>
  <c r="L601" i="6" s="1"/>
  <c r="M600" i="6"/>
  <c r="J600" i="6"/>
  <c r="L600" i="6" s="1"/>
  <c r="M599" i="6"/>
  <c r="J599" i="6"/>
  <c r="L599" i="6" s="1"/>
  <c r="M598" i="6"/>
  <c r="J598" i="6"/>
  <c r="L598" i="6" s="1"/>
  <c r="M597" i="6"/>
  <c r="J597" i="6"/>
  <c r="L597" i="6" s="1"/>
  <c r="M596" i="6"/>
  <c r="J596" i="6"/>
  <c r="L596" i="6" s="1"/>
  <c r="M595" i="6"/>
  <c r="J595" i="6"/>
  <c r="L595" i="6" s="1"/>
  <c r="M594" i="6"/>
  <c r="J594" i="6"/>
  <c r="L594" i="6" s="1"/>
  <c r="M593" i="6"/>
  <c r="J593" i="6"/>
  <c r="L593" i="6" s="1"/>
  <c r="M592" i="6"/>
  <c r="J592" i="6"/>
  <c r="L592" i="6" s="1"/>
  <c r="M591" i="6"/>
  <c r="J591" i="6"/>
  <c r="L591" i="6" s="1"/>
  <c r="M590" i="6"/>
  <c r="J590" i="6"/>
  <c r="L590" i="6" s="1"/>
  <c r="M589" i="6"/>
  <c r="J589" i="6"/>
  <c r="L589" i="6" s="1"/>
  <c r="M588" i="6"/>
  <c r="J588" i="6"/>
  <c r="L588" i="6" s="1"/>
  <c r="M587" i="6"/>
  <c r="J587" i="6"/>
  <c r="L587" i="6" s="1"/>
  <c r="M586" i="6"/>
  <c r="J586" i="6"/>
  <c r="L586" i="6" s="1"/>
  <c r="M585" i="6"/>
  <c r="J585" i="6"/>
  <c r="L585" i="6" s="1"/>
  <c r="M584" i="6"/>
  <c r="J584" i="6"/>
  <c r="L584" i="6" s="1"/>
  <c r="M583" i="6"/>
  <c r="J583" i="6"/>
  <c r="L583" i="6" s="1"/>
  <c r="M582" i="6"/>
  <c r="J582" i="6"/>
  <c r="L582" i="6" s="1"/>
  <c r="M581" i="6"/>
  <c r="J581" i="6"/>
  <c r="L581" i="6" s="1"/>
  <c r="M580" i="6"/>
  <c r="J580" i="6"/>
  <c r="L580" i="6" s="1"/>
  <c r="M579" i="6"/>
  <c r="J579" i="6"/>
  <c r="L579" i="6" s="1"/>
  <c r="M578" i="6"/>
  <c r="J578" i="6"/>
  <c r="L578" i="6" s="1"/>
  <c r="M577" i="6"/>
  <c r="J577" i="6"/>
  <c r="L577" i="6" s="1"/>
  <c r="M576" i="6"/>
  <c r="J576" i="6"/>
  <c r="L576" i="6" s="1"/>
  <c r="M575" i="6"/>
  <c r="J575" i="6"/>
  <c r="L575" i="6" s="1"/>
  <c r="M574" i="6"/>
  <c r="J574" i="6"/>
  <c r="L574" i="6" s="1"/>
  <c r="M573" i="6"/>
  <c r="J573" i="6"/>
  <c r="L573" i="6" s="1"/>
  <c r="M572" i="6"/>
  <c r="J572" i="6"/>
  <c r="L572" i="6" s="1"/>
  <c r="M571" i="6"/>
  <c r="J571" i="6"/>
  <c r="L571" i="6" s="1"/>
  <c r="M570" i="6"/>
  <c r="J570" i="6"/>
  <c r="L570" i="6" s="1"/>
  <c r="M569" i="6"/>
  <c r="J569" i="6"/>
  <c r="L569" i="6" s="1"/>
  <c r="M568" i="6"/>
  <c r="J568" i="6"/>
  <c r="L568" i="6" s="1"/>
  <c r="M567" i="6"/>
  <c r="J567" i="6"/>
  <c r="L567" i="6" s="1"/>
  <c r="M566" i="6"/>
  <c r="J566" i="6"/>
  <c r="L566" i="6" s="1"/>
  <c r="M565" i="6"/>
  <c r="J565" i="6"/>
  <c r="L565" i="6" s="1"/>
  <c r="M564" i="6"/>
  <c r="J564" i="6"/>
  <c r="L564" i="6" s="1"/>
  <c r="M563" i="6"/>
  <c r="J563" i="6"/>
  <c r="L563" i="6" s="1"/>
  <c r="M562" i="6"/>
  <c r="J562" i="6"/>
  <c r="L562" i="6" s="1"/>
  <c r="M561" i="6"/>
  <c r="J561" i="6"/>
  <c r="L561" i="6" s="1"/>
  <c r="M560" i="6"/>
  <c r="J560" i="6"/>
  <c r="L560" i="6" s="1"/>
  <c r="M559" i="6"/>
  <c r="J559" i="6"/>
  <c r="L559" i="6" s="1"/>
  <c r="M558" i="6"/>
  <c r="J558" i="6"/>
  <c r="L558" i="6" s="1"/>
  <c r="M557" i="6"/>
  <c r="J557" i="6"/>
  <c r="L557" i="6" s="1"/>
  <c r="M556" i="6"/>
  <c r="J556" i="6"/>
  <c r="L556" i="6" s="1"/>
  <c r="M555" i="6"/>
  <c r="J555" i="6"/>
  <c r="L555" i="6" s="1"/>
  <c r="M554" i="6"/>
  <c r="J554" i="6"/>
  <c r="L554" i="6" s="1"/>
  <c r="M553" i="6"/>
  <c r="J553" i="6"/>
  <c r="L553" i="6" s="1"/>
  <c r="M552" i="6"/>
  <c r="J552" i="6"/>
  <c r="L552" i="6" s="1"/>
  <c r="M551" i="6"/>
  <c r="J551" i="6"/>
  <c r="L551" i="6" s="1"/>
  <c r="M550" i="6"/>
  <c r="J550" i="6"/>
  <c r="L550" i="6" s="1"/>
  <c r="M549" i="6"/>
  <c r="J549" i="6"/>
  <c r="L549" i="6" s="1"/>
  <c r="M548" i="6"/>
  <c r="J548" i="6"/>
  <c r="L548" i="6" s="1"/>
  <c r="M547" i="6"/>
  <c r="J547" i="6"/>
  <c r="L547" i="6" s="1"/>
  <c r="M546" i="6"/>
  <c r="J546" i="6"/>
  <c r="L546" i="6" s="1"/>
  <c r="M545" i="6"/>
  <c r="J545" i="6"/>
  <c r="L545" i="6" s="1"/>
  <c r="M544" i="6"/>
  <c r="J544" i="6"/>
  <c r="L544" i="6" s="1"/>
  <c r="M543" i="6"/>
  <c r="J543" i="6"/>
  <c r="L543" i="6" s="1"/>
  <c r="M542" i="6"/>
  <c r="J542" i="6"/>
  <c r="L542" i="6" s="1"/>
  <c r="M541" i="6"/>
  <c r="J541" i="6"/>
  <c r="L541" i="6" s="1"/>
  <c r="M540" i="6"/>
  <c r="J540" i="6"/>
  <c r="L540" i="6" s="1"/>
  <c r="M539" i="6"/>
  <c r="J539" i="6"/>
  <c r="L539" i="6" s="1"/>
  <c r="M538" i="6"/>
  <c r="J538" i="6"/>
  <c r="L538" i="6" s="1"/>
  <c r="M537" i="6"/>
  <c r="J537" i="6"/>
  <c r="L537" i="6" s="1"/>
  <c r="M536" i="6"/>
  <c r="J536" i="6"/>
  <c r="L536" i="6" s="1"/>
  <c r="M535" i="6"/>
  <c r="J535" i="6"/>
  <c r="L535" i="6" s="1"/>
  <c r="M534" i="6"/>
  <c r="J534" i="6"/>
  <c r="L534" i="6" s="1"/>
  <c r="M533" i="6"/>
  <c r="J533" i="6"/>
  <c r="L533" i="6" s="1"/>
  <c r="M532" i="6"/>
  <c r="J532" i="6"/>
  <c r="L532" i="6" s="1"/>
  <c r="M531" i="6"/>
  <c r="J531" i="6"/>
  <c r="L531" i="6" s="1"/>
  <c r="M530" i="6"/>
  <c r="J530" i="6"/>
  <c r="L530" i="6" s="1"/>
  <c r="M529" i="6"/>
  <c r="J529" i="6"/>
  <c r="L529" i="6" s="1"/>
  <c r="M528" i="6"/>
  <c r="J528" i="6"/>
  <c r="L528" i="6" s="1"/>
  <c r="M527" i="6"/>
  <c r="J527" i="6"/>
  <c r="L527" i="6" s="1"/>
  <c r="M526" i="6"/>
  <c r="J526" i="6"/>
  <c r="L526" i="6" s="1"/>
  <c r="M525" i="6"/>
  <c r="J525" i="6"/>
  <c r="L525" i="6" s="1"/>
  <c r="M524" i="6"/>
  <c r="J524" i="6"/>
  <c r="L524" i="6" s="1"/>
  <c r="M523" i="6"/>
  <c r="J523" i="6"/>
  <c r="L523" i="6" s="1"/>
  <c r="M522" i="6"/>
  <c r="J522" i="6"/>
  <c r="L522" i="6" s="1"/>
  <c r="M521" i="6"/>
  <c r="J521" i="6"/>
  <c r="L521" i="6" s="1"/>
  <c r="M520" i="6"/>
  <c r="J520" i="6"/>
  <c r="L520" i="6" s="1"/>
  <c r="M519" i="6"/>
  <c r="J519" i="6"/>
  <c r="L519" i="6" s="1"/>
  <c r="M518" i="6"/>
  <c r="J518" i="6"/>
  <c r="L518" i="6" s="1"/>
  <c r="M517" i="6"/>
  <c r="J517" i="6"/>
  <c r="L517" i="6" s="1"/>
  <c r="M516" i="6"/>
  <c r="J516" i="6"/>
  <c r="L516" i="6" s="1"/>
  <c r="M515" i="6"/>
  <c r="J515" i="6"/>
  <c r="L515" i="6" s="1"/>
  <c r="M514" i="6"/>
  <c r="J514" i="6"/>
  <c r="L514" i="6" s="1"/>
  <c r="M513" i="6"/>
  <c r="J513" i="6"/>
  <c r="L513" i="6" s="1"/>
  <c r="M512" i="6"/>
  <c r="J512" i="6"/>
  <c r="L512" i="6" s="1"/>
  <c r="M511" i="6"/>
  <c r="J511" i="6"/>
  <c r="L511" i="6" s="1"/>
  <c r="M510" i="6"/>
  <c r="J510" i="6"/>
  <c r="L510" i="6" s="1"/>
  <c r="M509" i="6"/>
  <c r="J509" i="6"/>
  <c r="L509" i="6" s="1"/>
  <c r="M508" i="6"/>
  <c r="J508" i="6"/>
  <c r="L508" i="6" s="1"/>
  <c r="M507" i="6"/>
  <c r="J507" i="6"/>
  <c r="L507" i="6" s="1"/>
  <c r="M506" i="6"/>
  <c r="J506" i="6"/>
  <c r="L506" i="6" s="1"/>
  <c r="M505" i="6"/>
  <c r="J505" i="6"/>
  <c r="L505" i="6" s="1"/>
  <c r="M504" i="6"/>
  <c r="J504" i="6"/>
  <c r="L504" i="6" s="1"/>
  <c r="M503" i="6"/>
  <c r="J503" i="6"/>
  <c r="L503" i="6" s="1"/>
  <c r="M502" i="6"/>
  <c r="J502" i="6"/>
  <c r="L502" i="6" s="1"/>
  <c r="M501" i="6"/>
  <c r="J501" i="6"/>
  <c r="L501" i="6" s="1"/>
  <c r="M500" i="6"/>
  <c r="J500" i="6"/>
  <c r="L500" i="6" s="1"/>
  <c r="M499" i="6"/>
  <c r="J499" i="6"/>
  <c r="L499" i="6" s="1"/>
  <c r="M498" i="6"/>
  <c r="J498" i="6"/>
  <c r="L498" i="6" s="1"/>
  <c r="M497" i="6"/>
  <c r="J497" i="6"/>
  <c r="L497" i="6" s="1"/>
  <c r="M496" i="6"/>
  <c r="J496" i="6"/>
  <c r="L496" i="6" s="1"/>
  <c r="M495" i="6"/>
  <c r="J495" i="6"/>
  <c r="L495" i="6" s="1"/>
  <c r="M494" i="6"/>
  <c r="J494" i="6"/>
  <c r="L494" i="6" s="1"/>
  <c r="M493" i="6"/>
  <c r="J493" i="6"/>
  <c r="L493" i="6" s="1"/>
  <c r="M492" i="6"/>
  <c r="J492" i="6"/>
  <c r="L492" i="6" s="1"/>
  <c r="M491" i="6"/>
  <c r="J491" i="6"/>
  <c r="L491" i="6" s="1"/>
  <c r="M490" i="6"/>
  <c r="J490" i="6"/>
  <c r="L490" i="6" s="1"/>
  <c r="M489" i="6"/>
  <c r="J489" i="6"/>
  <c r="L489" i="6" s="1"/>
  <c r="M488" i="6"/>
  <c r="J488" i="6"/>
  <c r="L488" i="6" s="1"/>
  <c r="M487" i="6"/>
  <c r="J487" i="6"/>
  <c r="L487" i="6" s="1"/>
  <c r="M486" i="6"/>
  <c r="J486" i="6"/>
  <c r="L486" i="6" s="1"/>
  <c r="M485" i="6"/>
  <c r="J485" i="6"/>
  <c r="L485" i="6" s="1"/>
  <c r="M484" i="6"/>
  <c r="J484" i="6"/>
  <c r="L484" i="6" s="1"/>
  <c r="M483" i="6"/>
  <c r="J483" i="6"/>
  <c r="L483" i="6" s="1"/>
  <c r="M482" i="6"/>
  <c r="J482" i="6"/>
  <c r="L482" i="6" s="1"/>
  <c r="M481" i="6"/>
  <c r="J481" i="6"/>
  <c r="L481" i="6" s="1"/>
  <c r="M480" i="6"/>
  <c r="J480" i="6"/>
  <c r="L480" i="6" s="1"/>
  <c r="M479" i="6"/>
  <c r="J479" i="6"/>
  <c r="L479" i="6" s="1"/>
  <c r="M478" i="6"/>
  <c r="J478" i="6"/>
  <c r="L478" i="6" s="1"/>
  <c r="M477" i="6"/>
  <c r="J477" i="6"/>
  <c r="L477" i="6" s="1"/>
  <c r="M476" i="6"/>
  <c r="J476" i="6"/>
  <c r="L476" i="6" s="1"/>
  <c r="M475" i="6"/>
  <c r="J475" i="6"/>
  <c r="L475" i="6" s="1"/>
  <c r="M474" i="6"/>
  <c r="J474" i="6"/>
  <c r="L474" i="6" s="1"/>
  <c r="M473" i="6"/>
  <c r="J473" i="6"/>
  <c r="L473" i="6" s="1"/>
  <c r="M472" i="6"/>
  <c r="J472" i="6"/>
  <c r="L472" i="6" s="1"/>
  <c r="M471" i="6"/>
  <c r="J471" i="6"/>
  <c r="L471" i="6" s="1"/>
  <c r="M470" i="6"/>
  <c r="J470" i="6"/>
  <c r="L470" i="6" s="1"/>
  <c r="M469" i="6"/>
  <c r="J469" i="6"/>
  <c r="L469" i="6" s="1"/>
  <c r="M468" i="6"/>
  <c r="J468" i="6"/>
  <c r="L468" i="6" s="1"/>
  <c r="M467" i="6"/>
  <c r="J467" i="6"/>
  <c r="L467" i="6" s="1"/>
  <c r="M466" i="6"/>
  <c r="J466" i="6"/>
  <c r="L466" i="6" s="1"/>
  <c r="M465" i="6"/>
  <c r="J465" i="6"/>
  <c r="L465" i="6" s="1"/>
  <c r="M464" i="6"/>
  <c r="J464" i="6"/>
  <c r="L464" i="6" s="1"/>
  <c r="M463" i="6"/>
  <c r="J463" i="6"/>
  <c r="L463" i="6" s="1"/>
  <c r="M462" i="6"/>
  <c r="J462" i="6"/>
  <c r="L462" i="6" s="1"/>
  <c r="M461" i="6"/>
  <c r="J461" i="6"/>
  <c r="L461" i="6" s="1"/>
  <c r="M460" i="6"/>
  <c r="J460" i="6"/>
  <c r="L460" i="6" s="1"/>
  <c r="M459" i="6"/>
  <c r="J459" i="6"/>
  <c r="L459" i="6" s="1"/>
  <c r="M458" i="6"/>
  <c r="J458" i="6"/>
  <c r="L458" i="6" s="1"/>
  <c r="M457" i="6"/>
  <c r="J457" i="6"/>
  <c r="L457" i="6" s="1"/>
  <c r="M456" i="6"/>
  <c r="J456" i="6"/>
  <c r="L456" i="6" s="1"/>
  <c r="M455" i="6"/>
  <c r="J455" i="6"/>
  <c r="L455" i="6" s="1"/>
  <c r="M454" i="6"/>
  <c r="J454" i="6"/>
  <c r="L454" i="6" s="1"/>
  <c r="M453" i="6"/>
  <c r="J453" i="6"/>
  <c r="L453" i="6" s="1"/>
  <c r="M452" i="6"/>
  <c r="J452" i="6"/>
  <c r="L452" i="6" s="1"/>
  <c r="M451" i="6"/>
  <c r="J451" i="6"/>
  <c r="L451" i="6" s="1"/>
  <c r="M450" i="6"/>
  <c r="J450" i="6"/>
  <c r="L450" i="6" s="1"/>
  <c r="M449" i="6"/>
  <c r="J449" i="6"/>
  <c r="L449" i="6" s="1"/>
  <c r="M448" i="6"/>
  <c r="J448" i="6"/>
  <c r="L448" i="6" s="1"/>
  <c r="M447" i="6"/>
  <c r="J447" i="6"/>
  <c r="L447" i="6" s="1"/>
  <c r="M446" i="6"/>
  <c r="J446" i="6"/>
  <c r="L446" i="6" s="1"/>
  <c r="M445" i="6"/>
  <c r="J445" i="6"/>
  <c r="L445" i="6" s="1"/>
  <c r="M444" i="6"/>
  <c r="J444" i="6"/>
  <c r="L444" i="6" s="1"/>
  <c r="M443" i="6"/>
  <c r="J443" i="6"/>
  <c r="L443" i="6" s="1"/>
  <c r="M442" i="6"/>
  <c r="J442" i="6"/>
  <c r="L442" i="6" s="1"/>
  <c r="M441" i="6"/>
  <c r="J441" i="6"/>
  <c r="L441" i="6" s="1"/>
  <c r="M440" i="6"/>
  <c r="J440" i="6"/>
  <c r="L440" i="6" s="1"/>
  <c r="M439" i="6"/>
  <c r="J439" i="6"/>
  <c r="L439" i="6" s="1"/>
  <c r="M438" i="6"/>
  <c r="J438" i="6"/>
  <c r="L438" i="6" s="1"/>
  <c r="M437" i="6"/>
  <c r="J437" i="6"/>
  <c r="L437" i="6" s="1"/>
  <c r="M436" i="6"/>
  <c r="J436" i="6"/>
  <c r="L436" i="6" s="1"/>
  <c r="M435" i="6"/>
  <c r="J435" i="6"/>
  <c r="L435" i="6" s="1"/>
  <c r="M434" i="6"/>
  <c r="J434" i="6"/>
  <c r="L434" i="6" s="1"/>
  <c r="M433" i="6"/>
  <c r="J433" i="6"/>
  <c r="L433" i="6" s="1"/>
  <c r="M432" i="6"/>
  <c r="J432" i="6"/>
  <c r="L432" i="6" s="1"/>
  <c r="M431" i="6"/>
  <c r="J431" i="6"/>
  <c r="L431" i="6" s="1"/>
  <c r="M430" i="6"/>
  <c r="J430" i="6"/>
  <c r="L430" i="6" s="1"/>
  <c r="M429" i="6"/>
  <c r="J429" i="6"/>
  <c r="L429" i="6" s="1"/>
  <c r="M428" i="6"/>
  <c r="J428" i="6"/>
  <c r="L428" i="6" s="1"/>
  <c r="M427" i="6"/>
  <c r="J427" i="6"/>
  <c r="L427" i="6" s="1"/>
  <c r="M426" i="6"/>
  <c r="J426" i="6"/>
  <c r="L426" i="6" s="1"/>
  <c r="M425" i="6"/>
  <c r="J425" i="6"/>
  <c r="L425" i="6" s="1"/>
  <c r="M424" i="6"/>
  <c r="J424" i="6"/>
  <c r="L424" i="6" s="1"/>
  <c r="M423" i="6"/>
  <c r="J423" i="6"/>
  <c r="L423" i="6" s="1"/>
  <c r="M422" i="6"/>
  <c r="J422" i="6"/>
  <c r="L422" i="6" s="1"/>
  <c r="M421" i="6"/>
  <c r="J421" i="6"/>
  <c r="L421" i="6" s="1"/>
  <c r="M420" i="6"/>
  <c r="J420" i="6"/>
  <c r="L420" i="6" s="1"/>
  <c r="M419" i="6"/>
  <c r="J419" i="6"/>
  <c r="L419" i="6" s="1"/>
  <c r="M418" i="6"/>
  <c r="J418" i="6"/>
  <c r="L418" i="6" s="1"/>
  <c r="M417" i="6"/>
  <c r="J417" i="6"/>
  <c r="L417" i="6" s="1"/>
  <c r="M416" i="6"/>
  <c r="J416" i="6"/>
  <c r="L416" i="6" s="1"/>
  <c r="M415" i="6"/>
  <c r="J415" i="6"/>
  <c r="L415" i="6" s="1"/>
  <c r="M414" i="6"/>
  <c r="J414" i="6"/>
  <c r="L414" i="6" s="1"/>
  <c r="M413" i="6"/>
  <c r="J413" i="6"/>
  <c r="L413" i="6" s="1"/>
  <c r="M412" i="6"/>
  <c r="J412" i="6"/>
  <c r="L412" i="6" s="1"/>
  <c r="M411" i="6"/>
  <c r="J411" i="6"/>
  <c r="L411" i="6" s="1"/>
  <c r="M410" i="6"/>
  <c r="J410" i="6"/>
  <c r="L410" i="6" s="1"/>
  <c r="M409" i="6"/>
  <c r="J409" i="6"/>
  <c r="L409" i="6" s="1"/>
  <c r="M408" i="6"/>
  <c r="J408" i="6"/>
  <c r="L408" i="6" s="1"/>
  <c r="M407" i="6"/>
  <c r="J407" i="6"/>
  <c r="L407" i="6" s="1"/>
  <c r="M406" i="6"/>
  <c r="J406" i="6"/>
  <c r="L406" i="6" s="1"/>
  <c r="M405" i="6"/>
  <c r="J405" i="6"/>
  <c r="L405" i="6" s="1"/>
  <c r="M404" i="6"/>
  <c r="J404" i="6"/>
  <c r="L404" i="6" s="1"/>
  <c r="M403" i="6"/>
  <c r="J403" i="6"/>
  <c r="L403" i="6" s="1"/>
  <c r="M402" i="6"/>
  <c r="J402" i="6"/>
  <c r="L402" i="6" s="1"/>
  <c r="M401" i="6"/>
  <c r="J401" i="6"/>
  <c r="L401" i="6" s="1"/>
  <c r="M400" i="6"/>
  <c r="J400" i="6"/>
  <c r="L400" i="6" s="1"/>
  <c r="M399" i="6"/>
  <c r="J399" i="6"/>
  <c r="L399" i="6" s="1"/>
  <c r="M398" i="6"/>
  <c r="J398" i="6"/>
  <c r="L398" i="6" s="1"/>
  <c r="M397" i="6"/>
  <c r="J397" i="6"/>
  <c r="L397" i="6" s="1"/>
  <c r="M396" i="6"/>
  <c r="J396" i="6"/>
  <c r="L396" i="6" s="1"/>
  <c r="M395" i="6"/>
  <c r="J395" i="6"/>
  <c r="L395" i="6" s="1"/>
  <c r="M394" i="6"/>
  <c r="J394" i="6"/>
  <c r="L394" i="6" s="1"/>
  <c r="M393" i="6"/>
  <c r="J393" i="6"/>
  <c r="L393" i="6" s="1"/>
  <c r="M392" i="6"/>
  <c r="J392" i="6"/>
  <c r="L392" i="6" s="1"/>
  <c r="M391" i="6"/>
  <c r="J391" i="6"/>
  <c r="L391" i="6" s="1"/>
  <c r="M390" i="6"/>
  <c r="J390" i="6"/>
  <c r="L390" i="6" s="1"/>
  <c r="M389" i="6"/>
  <c r="J389" i="6"/>
  <c r="L389" i="6" s="1"/>
  <c r="M388" i="6"/>
  <c r="J388" i="6"/>
  <c r="L388" i="6" s="1"/>
  <c r="M387" i="6"/>
  <c r="J387" i="6"/>
  <c r="L387" i="6" s="1"/>
  <c r="M386" i="6"/>
  <c r="J386" i="6"/>
  <c r="L386" i="6" s="1"/>
  <c r="M385" i="6"/>
  <c r="J385" i="6"/>
  <c r="L385" i="6" s="1"/>
  <c r="M384" i="6"/>
  <c r="J384" i="6"/>
  <c r="L384" i="6" s="1"/>
  <c r="M383" i="6"/>
  <c r="J383" i="6"/>
  <c r="L383" i="6" s="1"/>
  <c r="M382" i="6"/>
  <c r="J382" i="6"/>
  <c r="L382" i="6" s="1"/>
  <c r="M381" i="6"/>
  <c r="J381" i="6"/>
  <c r="L381" i="6" s="1"/>
  <c r="M380" i="6"/>
  <c r="J380" i="6"/>
  <c r="L380" i="6" s="1"/>
  <c r="M379" i="6"/>
  <c r="J379" i="6"/>
  <c r="L379" i="6" s="1"/>
  <c r="M378" i="6"/>
  <c r="J378" i="6"/>
  <c r="L378" i="6" s="1"/>
  <c r="M377" i="6"/>
  <c r="J377" i="6"/>
  <c r="L377" i="6" s="1"/>
  <c r="M376" i="6"/>
  <c r="J376" i="6"/>
  <c r="L376" i="6" s="1"/>
  <c r="M375" i="6"/>
  <c r="J375" i="6"/>
  <c r="L375" i="6" s="1"/>
  <c r="M374" i="6"/>
  <c r="J374" i="6"/>
  <c r="L374" i="6" s="1"/>
  <c r="M373" i="6"/>
  <c r="J373" i="6"/>
  <c r="L373" i="6" s="1"/>
  <c r="M372" i="6"/>
  <c r="J372" i="6"/>
  <c r="L372" i="6" s="1"/>
  <c r="M371" i="6"/>
  <c r="J371" i="6"/>
  <c r="L371" i="6" s="1"/>
  <c r="M370" i="6"/>
  <c r="J370" i="6"/>
  <c r="L370" i="6" s="1"/>
  <c r="M369" i="6"/>
  <c r="J369" i="6"/>
  <c r="L369" i="6" s="1"/>
  <c r="M368" i="6"/>
  <c r="J368" i="6"/>
  <c r="L368" i="6" s="1"/>
  <c r="M367" i="6"/>
  <c r="J367" i="6"/>
  <c r="L367" i="6" s="1"/>
  <c r="M366" i="6"/>
  <c r="J366" i="6"/>
  <c r="L366" i="6" s="1"/>
  <c r="M365" i="6"/>
  <c r="J365" i="6"/>
  <c r="L365" i="6" s="1"/>
  <c r="M364" i="6"/>
  <c r="J364" i="6"/>
  <c r="L364" i="6" s="1"/>
  <c r="M363" i="6"/>
  <c r="J363" i="6"/>
  <c r="L363" i="6" s="1"/>
  <c r="M362" i="6"/>
  <c r="J362" i="6"/>
  <c r="L362" i="6" s="1"/>
  <c r="M361" i="6"/>
  <c r="J361" i="6"/>
  <c r="L361" i="6" s="1"/>
  <c r="M360" i="6"/>
  <c r="J360" i="6"/>
  <c r="L360" i="6" s="1"/>
  <c r="M359" i="6"/>
  <c r="J359" i="6"/>
  <c r="L359" i="6" s="1"/>
  <c r="M358" i="6"/>
  <c r="J358" i="6"/>
  <c r="L358" i="6" s="1"/>
  <c r="M357" i="6"/>
  <c r="J357" i="6"/>
  <c r="L357" i="6" s="1"/>
  <c r="M356" i="6"/>
  <c r="J356" i="6"/>
  <c r="L356" i="6" s="1"/>
  <c r="M355" i="6"/>
  <c r="J355" i="6"/>
  <c r="L355" i="6" s="1"/>
  <c r="M354" i="6"/>
  <c r="J354" i="6"/>
  <c r="L354" i="6" s="1"/>
  <c r="M353" i="6"/>
  <c r="J353" i="6"/>
  <c r="L353" i="6" s="1"/>
  <c r="M352" i="6"/>
  <c r="J352" i="6"/>
  <c r="L352" i="6" s="1"/>
  <c r="M351" i="6"/>
  <c r="J351" i="6"/>
  <c r="L351" i="6" s="1"/>
  <c r="M350" i="6"/>
  <c r="J350" i="6"/>
  <c r="L350" i="6" s="1"/>
  <c r="M349" i="6"/>
  <c r="J349" i="6"/>
  <c r="L349" i="6" s="1"/>
  <c r="M348" i="6"/>
  <c r="J348" i="6"/>
  <c r="L348" i="6" s="1"/>
  <c r="M347" i="6"/>
  <c r="J347" i="6"/>
  <c r="L347" i="6" s="1"/>
  <c r="M346" i="6"/>
  <c r="J346" i="6"/>
  <c r="L346" i="6" s="1"/>
  <c r="M345" i="6"/>
  <c r="J345" i="6"/>
  <c r="L345" i="6" s="1"/>
  <c r="M344" i="6"/>
  <c r="J344" i="6"/>
  <c r="L344" i="6" s="1"/>
  <c r="M343" i="6"/>
  <c r="J343" i="6"/>
  <c r="L343" i="6" s="1"/>
  <c r="M342" i="6"/>
  <c r="J342" i="6"/>
  <c r="L342" i="6" s="1"/>
  <c r="M341" i="6"/>
  <c r="J341" i="6"/>
  <c r="L341" i="6" s="1"/>
  <c r="M340" i="6"/>
  <c r="J340" i="6"/>
  <c r="L340" i="6" s="1"/>
  <c r="M339" i="6"/>
  <c r="J339" i="6"/>
  <c r="L339" i="6" s="1"/>
  <c r="M338" i="6"/>
  <c r="J338" i="6"/>
  <c r="L338" i="6" s="1"/>
  <c r="M337" i="6"/>
  <c r="J337" i="6"/>
  <c r="L337" i="6" s="1"/>
  <c r="M336" i="6"/>
  <c r="J336" i="6"/>
  <c r="L336" i="6" s="1"/>
  <c r="M335" i="6"/>
  <c r="J335" i="6"/>
  <c r="L335" i="6" s="1"/>
  <c r="M334" i="6"/>
  <c r="J334" i="6"/>
  <c r="L334" i="6" s="1"/>
  <c r="M333" i="6"/>
  <c r="J333" i="6"/>
  <c r="L333" i="6" s="1"/>
  <c r="M332" i="6"/>
  <c r="J332" i="6"/>
  <c r="L332" i="6" s="1"/>
  <c r="M331" i="6"/>
  <c r="J331" i="6"/>
  <c r="L331" i="6" s="1"/>
  <c r="M330" i="6"/>
  <c r="J330" i="6"/>
  <c r="L330" i="6" s="1"/>
  <c r="M329" i="6"/>
  <c r="J329" i="6"/>
  <c r="L329" i="6" s="1"/>
  <c r="M328" i="6"/>
  <c r="J328" i="6"/>
  <c r="L328" i="6" s="1"/>
  <c r="M327" i="6"/>
  <c r="J327" i="6"/>
  <c r="L327" i="6" s="1"/>
  <c r="M326" i="6"/>
  <c r="J326" i="6"/>
  <c r="L326" i="6" s="1"/>
  <c r="M325" i="6"/>
  <c r="J325" i="6"/>
  <c r="L325" i="6" s="1"/>
  <c r="M324" i="6"/>
  <c r="J324" i="6"/>
  <c r="L324" i="6" s="1"/>
  <c r="M323" i="6"/>
  <c r="J323" i="6"/>
  <c r="L323" i="6" s="1"/>
  <c r="M322" i="6"/>
  <c r="J322" i="6"/>
  <c r="L322" i="6" s="1"/>
  <c r="M321" i="6"/>
  <c r="J321" i="6"/>
  <c r="L321" i="6" s="1"/>
  <c r="M320" i="6"/>
  <c r="J320" i="6"/>
  <c r="L320" i="6" s="1"/>
  <c r="M319" i="6"/>
  <c r="J319" i="6"/>
  <c r="L319" i="6" s="1"/>
  <c r="M318" i="6"/>
  <c r="J318" i="6"/>
  <c r="L318" i="6" s="1"/>
  <c r="M317" i="6"/>
  <c r="J317" i="6"/>
  <c r="L317" i="6" s="1"/>
  <c r="M316" i="6"/>
  <c r="J316" i="6"/>
  <c r="L316" i="6" s="1"/>
  <c r="M315" i="6"/>
  <c r="J315" i="6"/>
  <c r="L315" i="6" s="1"/>
  <c r="M314" i="6"/>
  <c r="J314" i="6"/>
  <c r="L314" i="6" s="1"/>
  <c r="M313" i="6"/>
  <c r="J313" i="6"/>
  <c r="L313" i="6" s="1"/>
  <c r="M312" i="6"/>
  <c r="J312" i="6"/>
  <c r="L312" i="6" s="1"/>
  <c r="M311" i="6"/>
  <c r="J311" i="6"/>
  <c r="L311" i="6" s="1"/>
  <c r="M310" i="6"/>
  <c r="J310" i="6"/>
  <c r="L310" i="6" s="1"/>
  <c r="M309" i="6"/>
  <c r="J309" i="6"/>
  <c r="L309" i="6" s="1"/>
  <c r="M308" i="6"/>
  <c r="J308" i="6"/>
  <c r="L308" i="6" s="1"/>
  <c r="M307" i="6"/>
  <c r="J307" i="6"/>
  <c r="L307" i="6" s="1"/>
  <c r="M306" i="6"/>
  <c r="J306" i="6"/>
  <c r="L306" i="6" s="1"/>
  <c r="M305" i="6"/>
  <c r="J305" i="6"/>
  <c r="L305" i="6" s="1"/>
  <c r="M304" i="6"/>
  <c r="J304" i="6"/>
  <c r="L304" i="6" s="1"/>
  <c r="M303" i="6"/>
  <c r="J303" i="6"/>
  <c r="L303" i="6" s="1"/>
  <c r="M302" i="6"/>
  <c r="J302" i="6"/>
  <c r="L302" i="6" s="1"/>
  <c r="M301" i="6"/>
  <c r="J301" i="6"/>
  <c r="L301" i="6" s="1"/>
  <c r="M300" i="6"/>
  <c r="J300" i="6"/>
  <c r="L300" i="6" s="1"/>
  <c r="M299" i="6"/>
  <c r="J299" i="6"/>
  <c r="L299" i="6" s="1"/>
  <c r="M298" i="6"/>
  <c r="J298" i="6"/>
  <c r="L298" i="6" s="1"/>
  <c r="M297" i="6"/>
  <c r="J297" i="6"/>
  <c r="L297" i="6" s="1"/>
  <c r="M296" i="6"/>
  <c r="J296" i="6"/>
  <c r="L296" i="6" s="1"/>
  <c r="M295" i="6"/>
  <c r="J295" i="6"/>
  <c r="L295" i="6" s="1"/>
  <c r="M294" i="6"/>
  <c r="J294" i="6"/>
  <c r="L294" i="6" s="1"/>
  <c r="M293" i="6"/>
  <c r="J293" i="6"/>
  <c r="L293" i="6" s="1"/>
  <c r="M292" i="6"/>
  <c r="J292" i="6"/>
  <c r="L292" i="6" s="1"/>
  <c r="M291" i="6"/>
  <c r="J291" i="6"/>
  <c r="L291" i="6" s="1"/>
  <c r="M290" i="6"/>
  <c r="J290" i="6"/>
  <c r="L290" i="6" s="1"/>
  <c r="M289" i="6"/>
  <c r="J289" i="6"/>
  <c r="L289" i="6" s="1"/>
  <c r="M288" i="6"/>
  <c r="J288" i="6"/>
  <c r="L288" i="6" s="1"/>
  <c r="M287" i="6"/>
  <c r="J287" i="6"/>
  <c r="L287" i="6" s="1"/>
  <c r="M286" i="6"/>
  <c r="J286" i="6"/>
  <c r="L286" i="6" s="1"/>
  <c r="M285" i="6"/>
  <c r="J285" i="6"/>
  <c r="L285" i="6" s="1"/>
  <c r="M284" i="6"/>
  <c r="J284" i="6"/>
  <c r="L284" i="6" s="1"/>
  <c r="M283" i="6"/>
  <c r="J283" i="6"/>
  <c r="L283" i="6" s="1"/>
  <c r="M282" i="6"/>
  <c r="J282" i="6"/>
  <c r="L282" i="6" s="1"/>
  <c r="M281" i="6"/>
  <c r="J281" i="6"/>
  <c r="L281" i="6" s="1"/>
  <c r="M280" i="6"/>
  <c r="J280" i="6"/>
  <c r="L280" i="6" s="1"/>
  <c r="M279" i="6"/>
  <c r="J279" i="6"/>
  <c r="L279" i="6" s="1"/>
  <c r="M278" i="6"/>
  <c r="J278" i="6"/>
  <c r="L278" i="6" s="1"/>
  <c r="M277" i="6"/>
  <c r="J277" i="6"/>
  <c r="L277" i="6" s="1"/>
  <c r="M276" i="6"/>
  <c r="J276" i="6"/>
  <c r="L276" i="6" s="1"/>
  <c r="M275" i="6"/>
  <c r="J275" i="6"/>
  <c r="L275" i="6" s="1"/>
  <c r="M274" i="6"/>
  <c r="J274" i="6"/>
  <c r="L274" i="6" s="1"/>
  <c r="M273" i="6"/>
  <c r="J273" i="6"/>
  <c r="L273" i="6" s="1"/>
  <c r="M272" i="6"/>
  <c r="J272" i="6"/>
  <c r="L272" i="6" s="1"/>
  <c r="M271" i="6"/>
  <c r="J271" i="6"/>
  <c r="L271" i="6" s="1"/>
  <c r="M270" i="6"/>
  <c r="J270" i="6"/>
  <c r="L270" i="6" s="1"/>
  <c r="M269" i="6"/>
  <c r="J269" i="6"/>
  <c r="L269" i="6" s="1"/>
  <c r="M268" i="6"/>
  <c r="J268" i="6"/>
  <c r="L268" i="6" s="1"/>
  <c r="M267" i="6"/>
  <c r="J267" i="6"/>
  <c r="L267" i="6" s="1"/>
  <c r="M266" i="6"/>
  <c r="J266" i="6"/>
  <c r="L266" i="6" s="1"/>
  <c r="M265" i="6"/>
  <c r="J265" i="6"/>
  <c r="L265" i="6" s="1"/>
  <c r="M264" i="6"/>
  <c r="J264" i="6"/>
  <c r="L264" i="6" s="1"/>
  <c r="M263" i="6"/>
  <c r="J263" i="6"/>
  <c r="L263" i="6" s="1"/>
  <c r="M262" i="6"/>
  <c r="J262" i="6"/>
  <c r="L262" i="6" s="1"/>
  <c r="M261" i="6"/>
  <c r="J261" i="6"/>
  <c r="L261" i="6" s="1"/>
  <c r="M260" i="6"/>
  <c r="J260" i="6"/>
  <c r="L260" i="6" s="1"/>
  <c r="M259" i="6"/>
  <c r="J259" i="6"/>
  <c r="L259" i="6" s="1"/>
  <c r="M258" i="6"/>
  <c r="J258" i="6"/>
  <c r="L258" i="6" s="1"/>
  <c r="M257" i="6"/>
  <c r="J257" i="6"/>
  <c r="L257" i="6" s="1"/>
  <c r="M256" i="6"/>
  <c r="J256" i="6"/>
  <c r="L256" i="6" s="1"/>
  <c r="M255" i="6"/>
  <c r="J255" i="6"/>
  <c r="L255" i="6" s="1"/>
  <c r="M254" i="6"/>
  <c r="J254" i="6"/>
  <c r="L254" i="6" s="1"/>
  <c r="M253" i="6"/>
  <c r="J253" i="6"/>
  <c r="L253" i="6" s="1"/>
  <c r="M252" i="6"/>
  <c r="J252" i="6"/>
  <c r="L252" i="6" s="1"/>
  <c r="M251" i="6"/>
  <c r="J251" i="6"/>
  <c r="L251" i="6" s="1"/>
  <c r="M250" i="6"/>
  <c r="J250" i="6"/>
  <c r="L250" i="6" s="1"/>
  <c r="M249" i="6"/>
  <c r="J249" i="6"/>
  <c r="L249" i="6" s="1"/>
  <c r="M248" i="6"/>
  <c r="J248" i="6"/>
  <c r="L248" i="6" s="1"/>
  <c r="M247" i="6"/>
  <c r="J247" i="6"/>
  <c r="L247" i="6" s="1"/>
  <c r="M246" i="6"/>
  <c r="J246" i="6"/>
  <c r="L246" i="6" s="1"/>
  <c r="M245" i="6"/>
  <c r="J245" i="6"/>
  <c r="L245" i="6" s="1"/>
  <c r="M244" i="6"/>
  <c r="J244" i="6"/>
  <c r="L244" i="6" s="1"/>
  <c r="M243" i="6"/>
  <c r="J243" i="6"/>
  <c r="L243" i="6" s="1"/>
  <c r="M242" i="6"/>
  <c r="J242" i="6"/>
  <c r="L242" i="6" s="1"/>
  <c r="M241" i="6"/>
  <c r="J241" i="6"/>
  <c r="L241" i="6" s="1"/>
  <c r="M240" i="6"/>
  <c r="J240" i="6"/>
  <c r="L240" i="6" s="1"/>
  <c r="M239" i="6"/>
  <c r="J239" i="6"/>
  <c r="L239" i="6" s="1"/>
  <c r="M238" i="6"/>
  <c r="J238" i="6"/>
  <c r="L238" i="6" s="1"/>
  <c r="M237" i="6"/>
  <c r="J237" i="6"/>
  <c r="L237" i="6" s="1"/>
  <c r="M236" i="6"/>
  <c r="J236" i="6"/>
  <c r="L236" i="6" s="1"/>
  <c r="M235" i="6"/>
  <c r="J235" i="6"/>
  <c r="L235" i="6" s="1"/>
  <c r="M234" i="6"/>
  <c r="J234" i="6"/>
  <c r="L234" i="6" s="1"/>
  <c r="M233" i="6"/>
  <c r="J233" i="6"/>
  <c r="L233" i="6" s="1"/>
  <c r="M232" i="6"/>
  <c r="J232" i="6"/>
  <c r="L232" i="6" s="1"/>
  <c r="M231" i="6"/>
  <c r="J231" i="6"/>
  <c r="L231" i="6" s="1"/>
  <c r="M230" i="6"/>
  <c r="J230" i="6"/>
  <c r="L230" i="6" s="1"/>
  <c r="M229" i="6"/>
  <c r="J229" i="6"/>
  <c r="L229" i="6" s="1"/>
  <c r="M228" i="6"/>
  <c r="J228" i="6"/>
  <c r="L228" i="6" s="1"/>
  <c r="M227" i="6"/>
  <c r="J227" i="6"/>
  <c r="L227" i="6" s="1"/>
  <c r="M226" i="6"/>
  <c r="J226" i="6"/>
  <c r="L226" i="6" s="1"/>
  <c r="M225" i="6"/>
  <c r="J225" i="6"/>
  <c r="L225" i="6" s="1"/>
  <c r="M224" i="6"/>
  <c r="J224" i="6"/>
  <c r="L224" i="6" s="1"/>
  <c r="M223" i="6"/>
  <c r="J223" i="6"/>
  <c r="L223" i="6" s="1"/>
  <c r="M222" i="6"/>
  <c r="J222" i="6"/>
  <c r="L222" i="6" s="1"/>
  <c r="M221" i="6"/>
  <c r="J221" i="6"/>
  <c r="L221" i="6" s="1"/>
  <c r="M220" i="6"/>
  <c r="J220" i="6"/>
  <c r="L220" i="6" s="1"/>
  <c r="M219" i="6"/>
  <c r="J219" i="6"/>
  <c r="L219" i="6" s="1"/>
  <c r="M218" i="6"/>
  <c r="J218" i="6"/>
  <c r="L218" i="6" s="1"/>
  <c r="M217" i="6"/>
  <c r="J217" i="6"/>
  <c r="L217" i="6" s="1"/>
  <c r="M216" i="6"/>
  <c r="J216" i="6"/>
  <c r="L216" i="6" s="1"/>
  <c r="M215" i="6"/>
  <c r="J215" i="6"/>
  <c r="L215" i="6" s="1"/>
  <c r="M214" i="6"/>
  <c r="J214" i="6"/>
  <c r="L214" i="6" s="1"/>
  <c r="M213" i="6"/>
  <c r="J213" i="6"/>
  <c r="L213" i="6" s="1"/>
  <c r="M212" i="6"/>
  <c r="J212" i="6"/>
  <c r="L212" i="6" s="1"/>
  <c r="M211" i="6"/>
  <c r="J211" i="6"/>
  <c r="L211" i="6" s="1"/>
  <c r="M210" i="6"/>
  <c r="J210" i="6"/>
  <c r="L210" i="6" s="1"/>
  <c r="M209" i="6"/>
  <c r="J209" i="6"/>
  <c r="L209" i="6" s="1"/>
  <c r="M208" i="6"/>
  <c r="J208" i="6"/>
  <c r="L208" i="6" s="1"/>
  <c r="M207" i="6"/>
  <c r="J207" i="6"/>
  <c r="L207" i="6" s="1"/>
  <c r="M206" i="6"/>
  <c r="J206" i="6"/>
  <c r="L206" i="6" s="1"/>
  <c r="M205" i="6"/>
  <c r="J205" i="6"/>
  <c r="L205" i="6" s="1"/>
  <c r="M204" i="6"/>
  <c r="J204" i="6"/>
  <c r="L204" i="6" s="1"/>
  <c r="M203" i="6"/>
  <c r="J203" i="6"/>
  <c r="L203" i="6" s="1"/>
  <c r="M202" i="6"/>
  <c r="J202" i="6"/>
  <c r="L202" i="6" s="1"/>
  <c r="M201" i="6"/>
  <c r="J201" i="6"/>
  <c r="L201" i="6" s="1"/>
  <c r="M200" i="6"/>
  <c r="J200" i="6"/>
  <c r="L200" i="6" s="1"/>
  <c r="M199" i="6"/>
  <c r="J199" i="6"/>
  <c r="L199" i="6" s="1"/>
  <c r="M198" i="6"/>
  <c r="J198" i="6"/>
  <c r="L198" i="6" s="1"/>
  <c r="M197" i="6"/>
  <c r="J197" i="6"/>
  <c r="L197" i="6" s="1"/>
  <c r="M196" i="6"/>
  <c r="J196" i="6"/>
  <c r="L196" i="6" s="1"/>
  <c r="M195" i="6"/>
  <c r="J195" i="6"/>
  <c r="L195" i="6" s="1"/>
  <c r="M194" i="6"/>
  <c r="J194" i="6"/>
  <c r="L194" i="6" s="1"/>
  <c r="M193" i="6"/>
  <c r="J193" i="6"/>
  <c r="L193" i="6" s="1"/>
  <c r="M192" i="6"/>
  <c r="J192" i="6"/>
  <c r="L192" i="6" s="1"/>
  <c r="M191" i="6"/>
  <c r="J191" i="6"/>
  <c r="L191" i="6" s="1"/>
  <c r="M190" i="6"/>
  <c r="J190" i="6"/>
  <c r="L190" i="6" s="1"/>
  <c r="M189" i="6"/>
  <c r="J189" i="6"/>
  <c r="L189" i="6" s="1"/>
  <c r="M188" i="6"/>
  <c r="J188" i="6"/>
  <c r="L188" i="6" s="1"/>
  <c r="M187" i="6"/>
  <c r="J187" i="6"/>
  <c r="L187" i="6" s="1"/>
  <c r="M186" i="6"/>
  <c r="J186" i="6"/>
  <c r="L186" i="6" s="1"/>
  <c r="M185" i="6"/>
  <c r="J185" i="6"/>
  <c r="L185" i="6" s="1"/>
  <c r="M184" i="6"/>
  <c r="J184" i="6"/>
  <c r="L184" i="6" s="1"/>
  <c r="M183" i="6"/>
  <c r="J183" i="6"/>
  <c r="L183" i="6" s="1"/>
  <c r="M182" i="6"/>
  <c r="J182" i="6"/>
  <c r="L182" i="6" s="1"/>
  <c r="M181" i="6"/>
  <c r="J181" i="6"/>
  <c r="L181" i="6" s="1"/>
  <c r="M180" i="6"/>
  <c r="J180" i="6"/>
  <c r="L180" i="6" s="1"/>
  <c r="M179" i="6"/>
  <c r="J179" i="6"/>
  <c r="L179" i="6" s="1"/>
  <c r="M178" i="6"/>
  <c r="J178" i="6"/>
  <c r="L178" i="6" s="1"/>
  <c r="M177" i="6"/>
  <c r="J177" i="6"/>
  <c r="L177" i="6" s="1"/>
  <c r="M176" i="6"/>
  <c r="J176" i="6"/>
  <c r="L176" i="6" s="1"/>
  <c r="M175" i="6"/>
  <c r="J175" i="6"/>
  <c r="L175" i="6" s="1"/>
  <c r="M174" i="6"/>
  <c r="J174" i="6"/>
  <c r="L174" i="6" s="1"/>
  <c r="M173" i="6"/>
  <c r="J173" i="6"/>
  <c r="L173" i="6" s="1"/>
  <c r="M172" i="6"/>
  <c r="J172" i="6"/>
  <c r="L172" i="6" s="1"/>
  <c r="M171" i="6"/>
  <c r="J171" i="6"/>
  <c r="L171" i="6" s="1"/>
  <c r="M170" i="6"/>
  <c r="J170" i="6"/>
  <c r="L170" i="6" s="1"/>
  <c r="M169" i="6"/>
  <c r="J169" i="6"/>
  <c r="L169" i="6" s="1"/>
  <c r="M168" i="6"/>
  <c r="J168" i="6"/>
  <c r="L168" i="6" s="1"/>
  <c r="M167" i="6"/>
  <c r="J167" i="6"/>
  <c r="L167" i="6" s="1"/>
  <c r="M166" i="6"/>
  <c r="J166" i="6"/>
  <c r="L166" i="6" s="1"/>
  <c r="M165" i="6"/>
  <c r="J165" i="6"/>
  <c r="L165" i="6" s="1"/>
  <c r="M164" i="6"/>
  <c r="J164" i="6"/>
  <c r="L164" i="6" s="1"/>
  <c r="M163" i="6"/>
  <c r="J163" i="6"/>
  <c r="L163" i="6" s="1"/>
  <c r="M162" i="6"/>
  <c r="J162" i="6"/>
  <c r="L162" i="6" s="1"/>
  <c r="M161" i="6"/>
  <c r="J161" i="6"/>
  <c r="L161" i="6" s="1"/>
  <c r="M160" i="6"/>
  <c r="J160" i="6"/>
  <c r="L160" i="6" s="1"/>
  <c r="M159" i="6"/>
  <c r="J159" i="6"/>
  <c r="L159" i="6" s="1"/>
  <c r="M158" i="6"/>
  <c r="J158" i="6"/>
  <c r="L158" i="6" s="1"/>
  <c r="M157" i="6"/>
  <c r="J157" i="6"/>
  <c r="L157" i="6" s="1"/>
  <c r="M156" i="6"/>
  <c r="J156" i="6"/>
  <c r="L156" i="6" s="1"/>
  <c r="M155" i="6"/>
  <c r="J155" i="6"/>
  <c r="L155" i="6" s="1"/>
  <c r="M154" i="6"/>
  <c r="J154" i="6"/>
  <c r="L154" i="6" s="1"/>
  <c r="M153" i="6"/>
  <c r="J153" i="6"/>
  <c r="L153" i="6" s="1"/>
  <c r="M152" i="6"/>
  <c r="J152" i="6"/>
  <c r="L152" i="6" s="1"/>
  <c r="M151" i="6"/>
  <c r="J151" i="6"/>
  <c r="L151" i="6" s="1"/>
  <c r="M150" i="6"/>
  <c r="J150" i="6"/>
  <c r="L150" i="6" s="1"/>
  <c r="M149" i="6"/>
  <c r="J149" i="6"/>
  <c r="L149" i="6" s="1"/>
  <c r="M148" i="6"/>
  <c r="J148" i="6"/>
  <c r="L148" i="6" s="1"/>
  <c r="M147" i="6"/>
  <c r="J147" i="6"/>
  <c r="L147" i="6" s="1"/>
  <c r="M146" i="6"/>
  <c r="J146" i="6"/>
  <c r="L146" i="6" s="1"/>
  <c r="M145" i="6"/>
  <c r="J145" i="6"/>
  <c r="L145" i="6" s="1"/>
  <c r="M144" i="6"/>
  <c r="J144" i="6"/>
  <c r="L144" i="6" s="1"/>
  <c r="M143" i="6"/>
  <c r="J143" i="6"/>
  <c r="L143" i="6" s="1"/>
  <c r="M142" i="6"/>
  <c r="J142" i="6"/>
  <c r="L142" i="6" s="1"/>
  <c r="M141" i="6"/>
  <c r="J141" i="6"/>
  <c r="L141" i="6" s="1"/>
  <c r="M140" i="6"/>
  <c r="J140" i="6"/>
  <c r="L140" i="6" s="1"/>
  <c r="M139" i="6"/>
  <c r="J139" i="6"/>
  <c r="L139" i="6" s="1"/>
  <c r="M138" i="6"/>
  <c r="J138" i="6"/>
  <c r="L138" i="6" s="1"/>
  <c r="M137" i="6"/>
  <c r="J137" i="6"/>
  <c r="L137" i="6" s="1"/>
  <c r="M136" i="6"/>
  <c r="J136" i="6"/>
  <c r="L136" i="6" s="1"/>
  <c r="M135" i="6"/>
  <c r="J135" i="6"/>
  <c r="L135" i="6" s="1"/>
  <c r="M134" i="6"/>
  <c r="J134" i="6"/>
  <c r="L134" i="6" s="1"/>
  <c r="M133" i="6"/>
  <c r="J133" i="6"/>
  <c r="L133" i="6" s="1"/>
  <c r="M132" i="6"/>
  <c r="J132" i="6"/>
  <c r="L132" i="6" s="1"/>
  <c r="M131" i="6"/>
  <c r="J131" i="6"/>
  <c r="L131" i="6" s="1"/>
  <c r="M130" i="6"/>
  <c r="J130" i="6"/>
  <c r="L130" i="6" s="1"/>
  <c r="M129" i="6"/>
  <c r="J129" i="6"/>
  <c r="L129" i="6" s="1"/>
  <c r="M128" i="6"/>
  <c r="J128" i="6"/>
  <c r="L128" i="6" s="1"/>
  <c r="M127" i="6"/>
  <c r="J127" i="6"/>
  <c r="L127" i="6" s="1"/>
  <c r="M126" i="6"/>
  <c r="J126" i="6"/>
  <c r="L126" i="6" s="1"/>
  <c r="M125" i="6"/>
  <c r="J125" i="6"/>
  <c r="L125" i="6" s="1"/>
  <c r="M124" i="6"/>
  <c r="J124" i="6"/>
  <c r="L124" i="6" s="1"/>
  <c r="M123" i="6"/>
  <c r="J123" i="6"/>
  <c r="L123" i="6" s="1"/>
  <c r="M122" i="6"/>
  <c r="J122" i="6"/>
  <c r="L122" i="6" s="1"/>
  <c r="M121" i="6"/>
  <c r="J121" i="6"/>
  <c r="L121" i="6" s="1"/>
  <c r="M120" i="6"/>
  <c r="J120" i="6"/>
  <c r="L120" i="6" s="1"/>
  <c r="M119" i="6"/>
  <c r="J119" i="6"/>
  <c r="L119" i="6" s="1"/>
  <c r="M118" i="6"/>
  <c r="J118" i="6"/>
  <c r="L118" i="6" s="1"/>
  <c r="M117" i="6"/>
  <c r="J117" i="6"/>
  <c r="L117" i="6" s="1"/>
  <c r="M116" i="6"/>
  <c r="J116" i="6"/>
  <c r="L116" i="6" s="1"/>
  <c r="M115" i="6"/>
  <c r="J115" i="6"/>
  <c r="L115" i="6" s="1"/>
  <c r="M114" i="6"/>
  <c r="J114" i="6"/>
  <c r="L114" i="6" s="1"/>
  <c r="M113" i="6"/>
  <c r="J113" i="6"/>
  <c r="L113" i="6" s="1"/>
  <c r="M112" i="6"/>
  <c r="J112" i="6"/>
  <c r="L112" i="6" s="1"/>
  <c r="M111" i="6"/>
  <c r="J111" i="6"/>
  <c r="L111" i="6" s="1"/>
  <c r="M110" i="6"/>
  <c r="J110" i="6"/>
  <c r="L110" i="6" s="1"/>
  <c r="M109" i="6"/>
  <c r="J109" i="6"/>
  <c r="L109" i="6" s="1"/>
  <c r="M108" i="6"/>
  <c r="J108" i="6"/>
  <c r="L108" i="6" s="1"/>
  <c r="M107" i="6"/>
  <c r="J107" i="6"/>
  <c r="L107" i="6" s="1"/>
  <c r="M106" i="6"/>
  <c r="J106" i="6"/>
  <c r="L106" i="6" s="1"/>
  <c r="M105" i="6"/>
  <c r="J105" i="6"/>
  <c r="L105" i="6" s="1"/>
  <c r="M104" i="6"/>
  <c r="J104" i="6"/>
  <c r="L104" i="6" s="1"/>
  <c r="M103" i="6"/>
  <c r="J103" i="6"/>
  <c r="L103" i="6" s="1"/>
  <c r="M102" i="6"/>
  <c r="J102" i="6"/>
  <c r="L102" i="6" s="1"/>
  <c r="M101" i="6"/>
  <c r="J101" i="6"/>
  <c r="L101" i="6" s="1"/>
  <c r="M100" i="6"/>
  <c r="J100" i="6"/>
  <c r="L100" i="6" s="1"/>
  <c r="M99" i="6"/>
  <c r="J99" i="6"/>
  <c r="L99" i="6" s="1"/>
  <c r="M98" i="6"/>
  <c r="J98" i="6"/>
  <c r="L98" i="6" s="1"/>
  <c r="M97" i="6"/>
  <c r="J97" i="6"/>
  <c r="L97" i="6" s="1"/>
  <c r="M96" i="6"/>
  <c r="J96" i="6"/>
  <c r="L96" i="6" s="1"/>
  <c r="M95" i="6"/>
  <c r="J95" i="6"/>
  <c r="L95" i="6" s="1"/>
  <c r="M94" i="6"/>
  <c r="J94" i="6"/>
  <c r="L94" i="6" s="1"/>
  <c r="M93" i="6"/>
  <c r="J93" i="6"/>
  <c r="L93" i="6" s="1"/>
  <c r="M92" i="6"/>
  <c r="J92" i="6"/>
  <c r="L92" i="6" s="1"/>
  <c r="M91" i="6"/>
  <c r="J91" i="6"/>
  <c r="L91" i="6" s="1"/>
  <c r="M90" i="6"/>
  <c r="J90" i="6"/>
  <c r="L90" i="6" s="1"/>
  <c r="M89" i="6"/>
  <c r="J89" i="6"/>
  <c r="L89" i="6" s="1"/>
  <c r="M88" i="6"/>
  <c r="J88" i="6"/>
  <c r="L88" i="6" s="1"/>
  <c r="M87" i="6"/>
  <c r="J87" i="6"/>
  <c r="L87" i="6" s="1"/>
  <c r="M86" i="6"/>
  <c r="J86" i="6"/>
  <c r="L86" i="6" s="1"/>
  <c r="M85" i="6"/>
  <c r="J85" i="6"/>
  <c r="L85" i="6" s="1"/>
  <c r="M84" i="6"/>
  <c r="J84" i="6"/>
  <c r="L84" i="6" s="1"/>
  <c r="M83" i="6"/>
  <c r="J83" i="6"/>
  <c r="L83" i="6" s="1"/>
  <c r="M82" i="6"/>
  <c r="J82" i="6"/>
  <c r="L82" i="6" s="1"/>
  <c r="M81" i="6"/>
  <c r="J81" i="6"/>
  <c r="L81" i="6" s="1"/>
  <c r="M80" i="6"/>
  <c r="J80" i="6"/>
  <c r="L80" i="6" s="1"/>
  <c r="M79" i="6"/>
  <c r="J79" i="6"/>
  <c r="L79" i="6" s="1"/>
  <c r="M78" i="6"/>
  <c r="J78" i="6"/>
  <c r="L78" i="6" s="1"/>
  <c r="M77" i="6"/>
  <c r="J77" i="6"/>
  <c r="L77" i="6" s="1"/>
  <c r="M76" i="6"/>
  <c r="J76" i="6"/>
  <c r="L76" i="6" s="1"/>
  <c r="M75" i="6"/>
  <c r="J75" i="6"/>
  <c r="L75" i="6" s="1"/>
  <c r="M74" i="6"/>
  <c r="J74" i="6"/>
  <c r="L74" i="6" s="1"/>
  <c r="M73" i="6"/>
  <c r="J73" i="6"/>
  <c r="L73" i="6" s="1"/>
  <c r="M72" i="6"/>
  <c r="J72" i="6"/>
  <c r="L72" i="6" s="1"/>
  <c r="M71" i="6"/>
  <c r="J71" i="6"/>
  <c r="L71" i="6" s="1"/>
  <c r="M70" i="6"/>
  <c r="J70" i="6"/>
  <c r="L70" i="6" s="1"/>
  <c r="M69" i="6"/>
  <c r="J69" i="6"/>
  <c r="L69" i="6" s="1"/>
  <c r="M68" i="6"/>
  <c r="J68" i="6"/>
  <c r="L68" i="6" s="1"/>
  <c r="M67" i="6"/>
  <c r="J67" i="6"/>
  <c r="L67" i="6" s="1"/>
  <c r="M66" i="6"/>
  <c r="J66" i="6"/>
  <c r="L66" i="6" s="1"/>
  <c r="M65" i="6"/>
  <c r="J65" i="6"/>
  <c r="L65" i="6" s="1"/>
  <c r="M64" i="6"/>
  <c r="J64" i="6"/>
  <c r="L64" i="6" s="1"/>
  <c r="M63" i="6"/>
  <c r="J63" i="6"/>
  <c r="L63" i="6" s="1"/>
  <c r="M62" i="6"/>
  <c r="J62" i="6"/>
  <c r="L62" i="6" s="1"/>
  <c r="M61" i="6"/>
  <c r="J61" i="6"/>
  <c r="L61" i="6" s="1"/>
  <c r="M60" i="6"/>
  <c r="J60" i="6"/>
  <c r="L60" i="6" s="1"/>
  <c r="M59" i="6"/>
  <c r="J59" i="6"/>
  <c r="L59" i="6" s="1"/>
  <c r="M58" i="6"/>
  <c r="J58" i="6"/>
  <c r="L58" i="6" s="1"/>
  <c r="M57" i="6"/>
  <c r="J57" i="6"/>
  <c r="L57" i="6" s="1"/>
  <c r="M56" i="6"/>
  <c r="J56" i="6"/>
  <c r="L56" i="6" s="1"/>
  <c r="M55" i="6"/>
  <c r="J55" i="6"/>
  <c r="L55" i="6" s="1"/>
  <c r="M54" i="6"/>
  <c r="J54" i="6"/>
  <c r="L54" i="6" s="1"/>
  <c r="M53" i="6"/>
  <c r="J53" i="6"/>
  <c r="L53" i="6" s="1"/>
  <c r="M52" i="6"/>
  <c r="J52" i="6"/>
  <c r="L52" i="6" s="1"/>
  <c r="M51" i="6"/>
  <c r="J51" i="6"/>
  <c r="L51" i="6" s="1"/>
  <c r="M50" i="6"/>
  <c r="J50" i="6"/>
  <c r="L50" i="6" s="1"/>
  <c r="M49" i="6"/>
  <c r="J49" i="6"/>
  <c r="L49" i="6" s="1"/>
  <c r="M48" i="6"/>
  <c r="J48" i="6"/>
  <c r="L48" i="6" s="1"/>
  <c r="M47" i="6"/>
  <c r="J47" i="6"/>
  <c r="L47" i="6" s="1"/>
  <c r="M46" i="6"/>
  <c r="J46" i="6"/>
  <c r="L46" i="6" s="1"/>
  <c r="M45" i="6"/>
  <c r="J45" i="6"/>
  <c r="L45" i="6" s="1"/>
  <c r="M44" i="6"/>
  <c r="J44" i="6"/>
  <c r="L44" i="6" s="1"/>
  <c r="M43" i="6"/>
  <c r="J43" i="6"/>
  <c r="L43" i="6" s="1"/>
  <c r="M42" i="6"/>
  <c r="J42" i="6"/>
  <c r="L42" i="6" s="1"/>
  <c r="M41" i="6"/>
  <c r="J41" i="6"/>
  <c r="L41" i="6" s="1"/>
  <c r="M40" i="6"/>
  <c r="J40" i="6"/>
  <c r="L40" i="6" s="1"/>
  <c r="M39" i="6"/>
  <c r="J39" i="6"/>
  <c r="L39" i="6" s="1"/>
  <c r="M38" i="6"/>
  <c r="J38" i="6"/>
  <c r="L38" i="6" s="1"/>
  <c r="M37" i="6"/>
  <c r="J37" i="6"/>
  <c r="L37" i="6" s="1"/>
  <c r="M36" i="6"/>
  <c r="J36" i="6"/>
  <c r="L36" i="6" s="1"/>
  <c r="M35" i="6"/>
  <c r="J35" i="6"/>
  <c r="L35" i="6" s="1"/>
  <c r="M34" i="6"/>
  <c r="J34" i="6"/>
  <c r="L34" i="6" s="1"/>
  <c r="M33" i="6"/>
  <c r="J33" i="6"/>
  <c r="L33" i="6" s="1"/>
  <c r="M32" i="6"/>
  <c r="J32" i="6"/>
  <c r="L32" i="6" s="1"/>
  <c r="M31" i="6"/>
  <c r="J31" i="6"/>
  <c r="L31" i="6" s="1"/>
  <c r="M30" i="6"/>
  <c r="J30" i="6"/>
  <c r="L30" i="6" s="1"/>
  <c r="M29" i="6"/>
  <c r="J29" i="6"/>
  <c r="L29" i="6" s="1"/>
  <c r="M28" i="6"/>
  <c r="J28" i="6"/>
  <c r="L28" i="6" s="1"/>
  <c r="M27" i="6"/>
  <c r="J27" i="6"/>
  <c r="L27" i="6" s="1"/>
  <c r="M26" i="6"/>
  <c r="J26" i="6"/>
  <c r="L26" i="6" s="1"/>
  <c r="M25" i="6"/>
  <c r="J25" i="6"/>
  <c r="L25" i="6" s="1"/>
  <c r="M24" i="6"/>
  <c r="J24" i="6"/>
  <c r="L24" i="6" s="1"/>
  <c r="M23" i="6"/>
  <c r="J23" i="6"/>
  <c r="L23" i="6" s="1"/>
  <c r="M22" i="6"/>
  <c r="J22" i="6"/>
  <c r="L22" i="6" s="1"/>
  <c r="M21" i="6"/>
  <c r="J21" i="6"/>
  <c r="L21" i="6" s="1"/>
  <c r="M20" i="6"/>
  <c r="J20" i="6"/>
  <c r="L20" i="6" s="1"/>
  <c r="M19" i="6"/>
  <c r="J19" i="6"/>
  <c r="L19" i="6" s="1"/>
  <c r="M18" i="6"/>
  <c r="J18" i="6"/>
  <c r="L18" i="6" s="1"/>
  <c r="M17" i="6"/>
  <c r="J17" i="6"/>
  <c r="L17" i="6" s="1"/>
  <c r="M16" i="6"/>
  <c r="J16" i="6"/>
  <c r="L16" i="6" s="1"/>
  <c r="M15" i="6"/>
  <c r="J15" i="6"/>
  <c r="L15" i="6" s="1"/>
  <c r="M14" i="6"/>
  <c r="J14" i="6"/>
  <c r="L14" i="6" s="1"/>
  <c r="M13" i="6"/>
  <c r="J13" i="6"/>
  <c r="L13" i="6" s="1"/>
  <c r="M12" i="6"/>
  <c r="J12" i="6"/>
  <c r="L12" i="6" s="1"/>
  <c r="M11" i="6"/>
  <c r="J11" i="6"/>
  <c r="L11" i="6" s="1"/>
  <c r="M10" i="6"/>
  <c r="J10" i="6"/>
  <c r="L10" i="6" s="1"/>
  <c r="M9" i="6"/>
  <c r="J9" i="6"/>
  <c r="L9" i="6" s="1"/>
  <c r="M8" i="6"/>
  <c r="J8" i="6"/>
  <c r="L8" i="6" s="1"/>
  <c r="M7" i="6"/>
  <c r="J7" i="6"/>
  <c r="L7" i="6" s="1"/>
  <c r="M6" i="6"/>
  <c r="J6" i="6"/>
  <c r="L6" i="6" s="1"/>
  <c r="M5" i="6"/>
  <c r="J5" i="6"/>
  <c r="L5" i="6" s="1"/>
  <c r="J16" i="14" l="1"/>
  <c r="M108" i="8"/>
  <c r="J22" i="14"/>
  <c r="E17" i="13"/>
  <c r="E19" i="12" s="1"/>
  <c r="J11" i="5"/>
  <c r="K10" i="5"/>
  <c r="M10" i="5" s="1"/>
  <c r="K1072" i="5"/>
  <c r="M1072" i="5" s="1"/>
  <c r="J20" i="14"/>
  <c r="B17" i="13"/>
  <c r="E9" i="12" s="1"/>
  <c r="C24" i="14"/>
  <c r="L1063" i="6"/>
  <c r="M1063" i="6"/>
  <c r="J926" i="4"/>
  <c r="U11" i="4"/>
  <c r="J24" i="14" l="1"/>
  <c r="J12" i="5"/>
  <c r="K11" i="5"/>
  <c r="M11" i="5" s="1"/>
  <c r="K1073" i="5"/>
  <c r="M1073" i="5" s="1"/>
  <c r="P108" i="4"/>
  <c r="P308" i="4"/>
  <c r="P312" i="4"/>
  <c r="P316" i="4"/>
  <c r="P320" i="4"/>
  <c r="P324" i="4"/>
  <c r="P328" i="4"/>
  <c r="P332" i="4"/>
  <c r="P336" i="4"/>
  <c r="P340" i="4"/>
  <c r="P344" i="4"/>
  <c r="P348" i="4"/>
  <c r="P352" i="4"/>
  <c r="P356" i="4"/>
  <c r="P360" i="4"/>
  <c r="P364" i="4"/>
  <c r="P368" i="4"/>
  <c r="P372" i="4"/>
  <c r="P376" i="4"/>
  <c r="P380" i="4"/>
  <c r="P384" i="4"/>
  <c r="P388" i="4"/>
  <c r="P392" i="4"/>
  <c r="P396" i="4"/>
  <c r="P400" i="4"/>
  <c r="P404" i="4"/>
  <c r="P408" i="4"/>
  <c r="P412" i="4"/>
  <c r="P416" i="4"/>
  <c r="P420" i="4"/>
  <c r="P424" i="4"/>
  <c r="P428" i="4"/>
  <c r="P432" i="4"/>
  <c r="P436" i="4"/>
  <c r="P440" i="4"/>
  <c r="P444" i="4"/>
  <c r="P448" i="4"/>
  <c r="P452" i="4"/>
  <c r="P456" i="4"/>
  <c r="P460" i="4"/>
  <c r="P464" i="4"/>
  <c r="P468" i="4"/>
  <c r="P472" i="4"/>
  <c r="P476" i="4"/>
  <c r="P480" i="4"/>
  <c r="P484" i="4"/>
  <c r="P488" i="4"/>
  <c r="P492" i="4"/>
  <c r="P496" i="4"/>
  <c r="P500" i="4"/>
  <c r="P504" i="4"/>
  <c r="P508" i="4"/>
  <c r="P512" i="4"/>
  <c r="P516" i="4"/>
  <c r="P520" i="4"/>
  <c r="P524" i="4"/>
  <c r="P528" i="4"/>
  <c r="P532" i="4"/>
  <c r="P536" i="4"/>
  <c r="P540" i="4"/>
  <c r="P544" i="4"/>
  <c r="P548" i="4"/>
  <c r="P552" i="4"/>
  <c r="P556" i="4"/>
  <c r="P560" i="4"/>
  <c r="P564" i="4"/>
  <c r="P568" i="4"/>
  <c r="P572" i="4"/>
  <c r="P576" i="4"/>
  <c r="P580" i="4"/>
  <c r="P584" i="4"/>
  <c r="P588" i="4"/>
  <c r="P592" i="4"/>
  <c r="P596" i="4"/>
  <c r="P600" i="4"/>
  <c r="P604" i="4"/>
  <c r="P608" i="4"/>
  <c r="P612" i="4"/>
  <c r="P616" i="4"/>
  <c r="P620" i="4"/>
  <c r="P624" i="4"/>
  <c r="P628" i="4"/>
  <c r="P632" i="4"/>
  <c r="P636" i="4"/>
  <c r="P309" i="4"/>
  <c r="P313" i="4"/>
  <c r="P317" i="4"/>
  <c r="P321" i="4"/>
  <c r="P325" i="4"/>
  <c r="P329" i="4"/>
  <c r="P333" i="4"/>
  <c r="P337" i="4"/>
  <c r="P341" i="4"/>
  <c r="P345" i="4"/>
  <c r="P349" i="4"/>
  <c r="P353" i="4"/>
  <c r="P357" i="4"/>
  <c r="P361" i="4"/>
  <c r="P365" i="4"/>
  <c r="P369" i="4"/>
  <c r="P373" i="4"/>
  <c r="P377" i="4"/>
  <c r="P381" i="4"/>
  <c r="P385" i="4"/>
  <c r="P389" i="4"/>
  <c r="P393" i="4"/>
  <c r="P397" i="4"/>
  <c r="P401" i="4"/>
  <c r="P405" i="4"/>
  <c r="P409" i="4"/>
  <c r="P413" i="4"/>
  <c r="P417" i="4"/>
  <c r="P421" i="4"/>
  <c r="P425" i="4"/>
  <c r="P429" i="4"/>
  <c r="P433" i="4"/>
  <c r="P437" i="4"/>
  <c r="P441" i="4"/>
  <c r="P445" i="4"/>
  <c r="P449" i="4"/>
  <c r="P453" i="4"/>
  <c r="P457" i="4"/>
  <c r="P461" i="4"/>
  <c r="P465" i="4"/>
  <c r="P469" i="4"/>
  <c r="P473" i="4"/>
  <c r="P477" i="4"/>
  <c r="P481" i="4"/>
  <c r="P485" i="4"/>
  <c r="P489" i="4"/>
  <c r="P493" i="4"/>
  <c r="P497" i="4"/>
  <c r="P501" i="4"/>
  <c r="P505" i="4"/>
  <c r="P509" i="4"/>
  <c r="P513" i="4"/>
  <c r="P517" i="4"/>
  <c r="P521" i="4"/>
  <c r="P525" i="4"/>
  <c r="P529" i="4"/>
  <c r="P533" i="4"/>
  <c r="P537" i="4"/>
  <c r="P541" i="4"/>
  <c r="P545" i="4"/>
  <c r="P549" i="4"/>
  <c r="P553" i="4"/>
  <c r="P557" i="4"/>
  <c r="P561" i="4"/>
  <c r="P565" i="4"/>
  <c r="P569" i="4"/>
  <c r="P573" i="4"/>
  <c r="P577" i="4"/>
  <c r="P581" i="4"/>
  <c r="P585" i="4"/>
  <c r="P589" i="4"/>
  <c r="P593" i="4"/>
  <c r="P597" i="4"/>
  <c r="P601" i="4"/>
  <c r="P605" i="4"/>
  <c r="P609" i="4"/>
  <c r="P613" i="4"/>
  <c r="P617" i="4"/>
  <c r="P621" i="4"/>
  <c r="P625" i="4"/>
  <c r="P629" i="4"/>
  <c r="P633" i="4"/>
  <c r="P637" i="4"/>
  <c r="P310" i="4"/>
  <c r="P318" i="4"/>
  <c r="P326" i="4"/>
  <c r="P334" i="4"/>
  <c r="P342" i="4"/>
  <c r="P350" i="4"/>
  <c r="P358" i="4"/>
  <c r="P366" i="4"/>
  <c r="P374" i="4"/>
  <c r="P382" i="4"/>
  <c r="P390" i="4"/>
  <c r="P398" i="4"/>
  <c r="P406" i="4"/>
  <c r="P414" i="4"/>
  <c r="P422" i="4"/>
  <c r="P430" i="4"/>
  <c r="P438" i="4"/>
  <c r="P446" i="4"/>
  <c r="P454" i="4"/>
  <c r="P462" i="4"/>
  <c r="P470" i="4"/>
  <c r="P478" i="4"/>
  <c r="P486" i="4"/>
  <c r="P494" i="4"/>
  <c r="P502" i="4"/>
  <c r="P510" i="4"/>
  <c r="P518" i="4"/>
  <c r="P526" i="4"/>
  <c r="P534" i="4"/>
  <c r="P542" i="4"/>
  <c r="P550" i="4"/>
  <c r="P558" i="4"/>
  <c r="P566" i="4"/>
  <c r="P574" i="4"/>
  <c r="P582" i="4"/>
  <c r="P590" i="4"/>
  <c r="P598" i="4"/>
  <c r="P606" i="4"/>
  <c r="P614" i="4"/>
  <c r="P622" i="4"/>
  <c r="P630" i="4"/>
  <c r="P638" i="4"/>
  <c r="P642" i="4"/>
  <c r="P646" i="4"/>
  <c r="P650" i="4"/>
  <c r="P654" i="4"/>
  <c r="P658" i="4"/>
  <c r="P662" i="4"/>
  <c r="P666" i="4"/>
  <c r="P670" i="4"/>
  <c r="P674" i="4"/>
  <c r="P678" i="4"/>
  <c r="P682" i="4"/>
  <c r="P686" i="4"/>
  <c r="P690" i="4"/>
  <c r="P694" i="4"/>
  <c r="P698" i="4"/>
  <c r="P702" i="4"/>
  <c r="P706" i="4"/>
  <c r="P710" i="4"/>
  <c r="P714" i="4"/>
  <c r="P718" i="4"/>
  <c r="P722" i="4"/>
  <c r="P726" i="4"/>
  <c r="P730" i="4"/>
  <c r="P734" i="4"/>
  <c r="P738" i="4"/>
  <c r="P742" i="4"/>
  <c r="P746" i="4"/>
  <c r="P750" i="4"/>
  <c r="P754" i="4"/>
  <c r="P758" i="4"/>
  <c r="P762" i="4"/>
  <c r="P766" i="4"/>
  <c r="P770" i="4"/>
  <c r="P774" i="4"/>
  <c r="P778" i="4"/>
  <c r="P782" i="4"/>
  <c r="P786" i="4"/>
  <c r="P790" i="4"/>
  <c r="P794" i="4"/>
  <c r="P798" i="4"/>
  <c r="P802" i="4"/>
  <c r="P806" i="4"/>
  <c r="P810" i="4"/>
  <c r="P814" i="4"/>
  <c r="P818" i="4"/>
  <c r="P311" i="4"/>
  <c r="P319" i="4"/>
  <c r="P327" i="4"/>
  <c r="P335" i="4"/>
  <c r="P343" i="4"/>
  <c r="P351" i="4"/>
  <c r="P359" i="4"/>
  <c r="P367" i="4"/>
  <c r="P375" i="4"/>
  <c r="P383" i="4"/>
  <c r="P391" i="4"/>
  <c r="P399" i="4"/>
  <c r="P407" i="4"/>
  <c r="P415" i="4"/>
  <c r="P423" i="4"/>
  <c r="P431" i="4"/>
  <c r="P439" i="4"/>
  <c r="P447" i="4"/>
  <c r="P455" i="4"/>
  <c r="P463" i="4"/>
  <c r="P471" i="4"/>
  <c r="P479" i="4"/>
  <c r="P487" i="4"/>
  <c r="P495" i="4"/>
  <c r="P503" i="4"/>
  <c r="P511" i="4"/>
  <c r="P519" i="4"/>
  <c r="P527" i="4"/>
  <c r="P535" i="4"/>
  <c r="P543" i="4"/>
  <c r="P551" i="4"/>
  <c r="P559" i="4"/>
  <c r="P567" i="4"/>
  <c r="P575" i="4"/>
  <c r="P583" i="4"/>
  <c r="P591" i="4"/>
  <c r="P599" i="4"/>
  <c r="P607" i="4"/>
  <c r="P615" i="4"/>
  <c r="P623" i="4"/>
  <c r="P631" i="4"/>
  <c r="P639" i="4"/>
  <c r="P643" i="4"/>
  <c r="P647" i="4"/>
  <c r="P651" i="4"/>
  <c r="P655" i="4"/>
  <c r="P659" i="4"/>
  <c r="P663" i="4"/>
  <c r="P667" i="4"/>
  <c r="P671" i="4"/>
  <c r="P675" i="4"/>
  <c r="P679" i="4"/>
  <c r="P683" i="4"/>
  <c r="P687" i="4"/>
  <c r="P691" i="4"/>
  <c r="P695" i="4"/>
  <c r="P699" i="4"/>
  <c r="P703" i="4"/>
  <c r="P707" i="4"/>
  <c r="P711" i="4"/>
  <c r="P715" i="4"/>
  <c r="P719" i="4"/>
  <c r="P723" i="4"/>
  <c r="P727" i="4"/>
  <c r="P731" i="4"/>
  <c r="P735" i="4"/>
  <c r="P739" i="4"/>
  <c r="P743" i="4"/>
  <c r="P747" i="4"/>
  <c r="P751" i="4"/>
  <c r="P755" i="4"/>
  <c r="P759" i="4"/>
  <c r="P763" i="4"/>
  <c r="P767" i="4"/>
  <c r="P771" i="4"/>
  <c r="P775" i="4"/>
  <c r="P779" i="4"/>
  <c r="P783" i="4"/>
  <c r="P787" i="4"/>
  <c r="P791" i="4"/>
  <c r="P795" i="4"/>
  <c r="P799" i="4"/>
  <c r="P803" i="4"/>
  <c r="P807" i="4"/>
  <c r="P811" i="4"/>
  <c r="P314" i="4"/>
  <c r="P330" i="4"/>
  <c r="P346" i="4"/>
  <c r="P362" i="4"/>
  <c r="P378" i="4"/>
  <c r="P394" i="4"/>
  <c r="P410" i="4"/>
  <c r="P426" i="4"/>
  <c r="P442" i="4"/>
  <c r="P458" i="4"/>
  <c r="P474" i="4"/>
  <c r="P490" i="4"/>
  <c r="P506" i="4"/>
  <c r="P522" i="4"/>
  <c r="P538" i="4"/>
  <c r="P554" i="4"/>
  <c r="P570" i="4"/>
  <c r="P586" i="4"/>
  <c r="P602" i="4"/>
  <c r="P618" i="4"/>
  <c r="P634" i="4"/>
  <c r="P644" i="4"/>
  <c r="P652" i="4"/>
  <c r="P660" i="4"/>
  <c r="P668" i="4"/>
  <c r="P676" i="4"/>
  <c r="P684" i="4"/>
  <c r="P692" i="4"/>
  <c r="P700" i="4"/>
  <c r="P708" i="4"/>
  <c r="P716" i="4"/>
  <c r="P724" i="4"/>
  <c r="P732" i="4"/>
  <c r="P740" i="4"/>
  <c r="P748" i="4"/>
  <c r="P756" i="4"/>
  <c r="P764" i="4"/>
  <c r="P772" i="4"/>
  <c r="P780" i="4"/>
  <c r="P788" i="4"/>
  <c r="P796" i="4"/>
  <c r="P804" i="4"/>
  <c r="P812" i="4"/>
  <c r="P817" i="4"/>
  <c r="P822" i="4"/>
  <c r="P826" i="4"/>
  <c r="P830" i="4"/>
  <c r="P834" i="4"/>
  <c r="P838" i="4"/>
  <c r="P842" i="4"/>
  <c r="P846" i="4"/>
  <c r="P850" i="4"/>
  <c r="P854" i="4"/>
  <c r="P858" i="4"/>
  <c r="P862" i="4"/>
  <c r="P866" i="4"/>
  <c r="P870" i="4"/>
  <c r="P874" i="4"/>
  <c r="P878" i="4"/>
  <c r="P882" i="4"/>
  <c r="P886" i="4"/>
  <c r="P890" i="4"/>
  <c r="P894" i="4"/>
  <c r="P898" i="4"/>
  <c r="P902" i="4"/>
  <c r="P906" i="4"/>
  <c r="P910" i="4"/>
  <c r="P914" i="4"/>
  <c r="P918" i="4"/>
  <c r="P922" i="4"/>
  <c r="P322" i="4"/>
  <c r="P354" i="4"/>
  <c r="P370" i="4"/>
  <c r="P402" i="4"/>
  <c r="P434" i="4"/>
  <c r="P466" i="4"/>
  <c r="P498" i="4"/>
  <c r="P546" i="4"/>
  <c r="P578" i="4"/>
  <c r="P610" i="4"/>
  <c r="P640" i="4"/>
  <c r="P648" i="4"/>
  <c r="P672" i="4"/>
  <c r="P688" i="4"/>
  <c r="P704" i="4"/>
  <c r="P720" i="4"/>
  <c r="P736" i="4"/>
  <c r="P752" i="4"/>
  <c r="P768" i="4"/>
  <c r="P784" i="4"/>
  <c r="P792" i="4"/>
  <c r="P815" i="4"/>
  <c r="P824" i="4"/>
  <c r="P828" i="4"/>
  <c r="P836" i="4"/>
  <c r="P844" i="4"/>
  <c r="P852" i="4"/>
  <c r="P864" i="4"/>
  <c r="P872" i="4"/>
  <c r="P880" i="4"/>
  <c r="P888" i="4"/>
  <c r="P896" i="4"/>
  <c r="P904" i="4"/>
  <c r="P908" i="4"/>
  <c r="P916" i="4"/>
  <c r="P306" i="4"/>
  <c r="P307" i="4"/>
  <c r="P355" i="4"/>
  <c r="P387" i="4"/>
  <c r="P419" i="4"/>
  <c r="P435" i="4"/>
  <c r="P483" i="4"/>
  <c r="P515" i="4"/>
  <c r="P547" i="4"/>
  <c r="P579" i="4"/>
  <c r="P595" i="4"/>
  <c r="P627" i="4"/>
  <c r="P649" i="4"/>
  <c r="P665" i="4"/>
  <c r="P681" i="4"/>
  <c r="P705" i="4"/>
  <c r="P721" i="4"/>
  <c r="P737" i="4"/>
  <c r="P753" i="4"/>
  <c r="P769" i="4"/>
  <c r="P785" i="4"/>
  <c r="P801" i="4"/>
  <c r="P816" i="4"/>
  <c r="P825" i="4"/>
  <c r="P833" i="4"/>
  <c r="P841" i="4"/>
  <c r="P849" i="4"/>
  <c r="P857" i="4"/>
  <c r="P861" i="4"/>
  <c r="P869" i="4"/>
  <c r="P877" i="4"/>
  <c r="P885" i="4"/>
  <c r="P893" i="4"/>
  <c r="P901" i="4"/>
  <c r="P905" i="4"/>
  <c r="P913" i="4"/>
  <c r="P921" i="4"/>
  <c r="P315" i="4"/>
  <c r="P331" i="4"/>
  <c r="P347" i="4"/>
  <c r="P363" i="4"/>
  <c r="P379" i="4"/>
  <c r="P395" i="4"/>
  <c r="P411" i="4"/>
  <c r="P427" i="4"/>
  <c r="P443" i="4"/>
  <c r="P459" i="4"/>
  <c r="P475" i="4"/>
  <c r="P491" i="4"/>
  <c r="P507" i="4"/>
  <c r="P523" i="4"/>
  <c r="P539" i="4"/>
  <c r="P555" i="4"/>
  <c r="P571" i="4"/>
  <c r="P587" i="4"/>
  <c r="P603" i="4"/>
  <c r="P619" i="4"/>
  <c r="P635" i="4"/>
  <c r="P645" i="4"/>
  <c r="P653" i="4"/>
  <c r="P661" i="4"/>
  <c r="P669" i="4"/>
  <c r="P677" i="4"/>
  <c r="P685" i="4"/>
  <c r="P693" i="4"/>
  <c r="P701" i="4"/>
  <c r="P709" i="4"/>
  <c r="P717" i="4"/>
  <c r="P725" i="4"/>
  <c r="P733" i="4"/>
  <c r="P741" i="4"/>
  <c r="P749" i="4"/>
  <c r="P757" i="4"/>
  <c r="P765" i="4"/>
  <c r="P773" i="4"/>
  <c r="P781" i="4"/>
  <c r="P789" i="4"/>
  <c r="P797" i="4"/>
  <c r="P805" i="4"/>
  <c r="P813" i="4"/>
  <c r="P819" i="4"/>
  <c r="P823" i="4"/>
  <c r="P827" i="4"/>
  <c r="P831" i="4"/>
  <c r="P835" i="4"/>
  <c r="P839" i="4"/>
  <c r="P843" i="4"/>
  <c r="P847" i="4"/>
  <c r="P851" i="4"/>
  <c r="P855" i="4"/>
  <c r="P859" i="4"/>
  <c r="P863" i="4"/>
  <c r="P867" i="4"/>
  <c r="P871" i="4"/>
  <c r="P875" i="4"/>
  <c r="P879" i="4"/>
  <c r="P883" i="4"/>
  <c r="P887" i="4"/>
  <c r="P891" i="4"/>
  <c r="P895" i="4"/>
  <c r="P899" i="4"/>
  <c r="P903" i="4"/>
  <c r="P907" i="4"/>
  <c r="P911" i="4"/>
  <c r="P915" i="4"/>
  <c r="P919" i="4"/>
  <c r="P923" i="4"/>
  <c r="P924" i="4"/>
  <c r="P338" i="4"/>
  <c r="P386" i="4"/>
  <c r="P418" i="4"/>
  <c r="P450" i="4"/>
  <c r="P482" i="4"/>
  <c r="P514" i="4"/>
  <c r="P530" i="4"/>
  <c r="P562" i="4"/>
  <c r="P594" i="4"/>
  <c r="P626" i="4"/>
  <c r="P656" i="4"/>
  <c r="P664" i="4"/>
  <c r="P680" i="4"/>
  <c r="P696" i="4"/>
  <c r="P712" i="4"/>
  <c r="P728" i="4"/>
  <c r="P744" i="4"/>
  <c r="P760" i="4"/>
  <c r="P776" i="4"/>
  <c r="P800" i="4"/>
  <c r="P808" i="4"/>
  <c r="P820" i="4"/>
  <c r="P832" i="4"/>
  <c r="P840" i="4"/>
  <c r="P848" i="4"/>
  <c r="P856" i="4"/>
  <c r="P860" i="4"/>
  <c r="P868" i="4"/>
  <c r="P876" i="4"/>
  <c r="P884" i="4"/>
  <c r="P892" i="4"/>
  <c r="P900" i="4"/>
  <c r="P912" i="4"/>
  <c r="P920" i="4"/>
  <c r="P323" i="4"/>
  <c r="P339" i="4"/>
  <c r="P371" i="4"/>
  <c r="P403" i="4"/>
  <c r="P451" i="4"/>
  <c r="P467" i="4"/>
  <c r="P499" i="4"/>
  <c r="P531" i="4"/>
  <c r="P563" i="4"/>
  <c r="P611" i="4"/>
  <c r="P641" i="4"/>
  <c r="P657" i="4"/>
  <c r="P673" i="4"/>
  <c r="P689" i="4"/>
  <c r="P697" i="4"/>
  <c r="P713" i="4"/>
  <c r="P729" i="4"/>
  <c r="P745" i="4"/>
  <c r="P761" i="4"/>
  <c r="P777" i="4"/>
  <c r="P793" i="4"/>
  <c r="P809" i="4"/>
  <c r="P821" i="4"/>
  <c r="P829" i="4"/>
  <c r="P837" i="4"/>
  <c r="P845" i="4"/>
  <c r="P853" i="4"/>
  <c r="P865" i="4"/>
  <c r="P873" i="4"/>
  <c r="P881" i="4"/>
  <c r="P889" i="4"/>
  <c r="P897" i="4"/>
  <c r="P909" i="4"/>
  <c r="P917" i="4"/>
  <c r="P304" i="4"/>
  <c r="P300" i="4"/>
  <c r="P296" i="4"/>
  <c r="P292" i="4"/>
  <c r="P288" i="4"/>
  <c r="P284" i="4"/>
  <c r="P280" i="4"/>
  <c r="P276" i="4"/>
  <c r="P272" i="4"/>
  <c r="P268" i="4"/>
  <c r="P264" i="4"/>
  <c r="P260" i="4"/>
  <c r="P256" i="4"/>
  <c r="P252" i="4"/>
  <c r="P248" i="4"/>
  <c r="P244" i="4"/>
  <c r="P240" i="4"/>
  <c r="P236" i="4"/>
  <c r="P232" i="4"/>
  <c r="P228" i="4"/>
  <c r="P224" i="4"/>
  <c r="P220" i="4"/>
  <c r="P216" i="4"/>
  <c r="P212" i="4"/>
  <c r="P208" i="4"/>
  <c r="P204" i="4"/>
  <c r="P200" i="4"/>
  <c r="P196" i="4"/>
  <c r="P192" i="4"/>
  <c r="P188" i="4"/>
  <c r="P184" i="4"/>
  <c r="P180" i="4"/>
  <c r="P176" i="4"/>
  <c r="P172" i="4"/>
  <c r="P168" i="4"/>
  <c r="P164" i="4"/>
  <c r="P160" i="4"/>
  <c r="P156" i="4"/>
  <c r="P152" i="4"/>
  <c r="P148" i="4"/>
  <c r="P144" i="4"/>
  <c r="P140" i="4"/>
  <c r="P136" i="4"/>
  <c r="P132" i="4"/>
  <c r="P128" i="4"/>
  <c r="P124" i="4"/>
  <c r="P120" i="4"/>
  <c r="P116" i="4"/>
  <c r="P112" i="4"/>
  <c r="P7" i="4"/>
  <c r="P11" i="4"/>
  <c r="P15" i="4"/>
  <c r="P19" i="4"/>
  <c r="P23" i="4"/>
  <c r="P27" i="4"/>
  <c r="P31" i="4"/>
  <c r="P35" i="4"/>
  <c r="P39" i="4"/>
  <c r="P43" i="4"/>
  <c r="P47" i="4"/>
  <c r="P51" i="4"/>
  <c r="P55" i="4"/>
  <c r="P59" i="4"/>
  <c r="P63" i="4"/>
  <c r="P67" i="4"/>
  <c r="P71" i="4"/>
  <c r="P75" i="4"/>
  <c r="P79" i="4"/>
  <c r="P83" i="4"/>
  <c r="P87" i="4"/>
  <c r="P91" i="4"/>
  <c r="P95" i="4"/>
  <c r="P99" i="4"/>
  <c r="P103" i="4"/>
  <c r="P8" i="4"/>
  <c r="P12" i="4"/>
  <c r="P16" i="4"/>
  <c r="P20" i="4"/>
  <c r="P24" i="4"/>
  <c r="P28" i="4"/>
  <c r="P32" i="4"/>
  <c r="P36" i="4"/>
  <c r="P40" i="4"/>
  <c r="P44" i="4"/>
  <c r="P48" i="4"/>
  <c r="P52" i="4"/>
  <c r="P56" i="4"/>
  <c r="P60" i="4"/>
  <c r="P64" i="4"/>
  <c r="P68" i="4"/>
  <c r="P72" i="4"/>
  <c r="P76" i="4"/>
  <c r="P80" i="4"/>
  <c r="P84" i="4"/>
  <c r="P88" i="4"/>
  <c r="P92" i="4"/>
  <c r="P96" i="4"/>
  <c r="P100" i="4"/>
  <c r="P104" i="4"/>
  <c r="P9" i="4"/>
  <c r="P13" i="4"/>
  <c r="P17" i="4"/>
  <c r="P21" i="4"/>
  <c r="P25" i="4"/>
  <c r="P29" i="4"/>
  <c r="P33" i="4"/>
  <c r="P37" i="4"/>
  <c r="P41" i="4"/>
  <c r="P45" i="4"/>
  <c r="P49" i="4"/>
  <c r="P53" i="4"/>
  <c r="P57" i="4"/>
  <c r="P61" i="4"/>
  <c r="P65" i="4"/>
  <c r="P69" i="4"/>
  <c r="P73" i="4"/>
  <c r="P77" i="4"/>
  <c r="P81" i="4"/>
  <c r="P85" i="4"/>
  <c r="P89" i="4"/>
  <c r="P93" i="4"/>
  <c r="P97" i="4"/>
  <c r="P101" i="4"/>
  <c r="P6" i="4"/>
  <c r="P10" i="4"/>
  <c r="P14" i="4"/>
  <c r="P18" i="4"/>
  <c r="P22" i="4"/>
  <c r="P26" i="4"/>
  <c r="P30" i="4"/>
  <c r="P34" i="4"/>
  <c r="P38" i="4"/>
  <c r="P42" i="4"/>
  <c r="P46" i="4"/>
  <c r="P50" i="4"/>
  <c r="P54" i="4"/>
  <c r="P58" i="4"/>
  <c r="P62" i="4"/>
  <c r="P66" i="4"/>
  <c r="P70" i="4"/>
  <c r="P74" i="4"/>
  <c r="P78" i="4"/>
  <c r="P82" i="4"/>
  <c r="P86" i="4"/>
  <c r="P90" i="4"/>
  <c r="P94" i="4"/>
  <c r="P98" i="4"/>
  <c r="P102" i="4"/>
  <c r="P303" i="4"/>
  <c r="P299" i="4"/>
  <c r="P295" i="4"/>
  <c r="P291" i="4"/>
  <c r="P287" i="4"/>
  <c r="P283" i="4"/>
  <c r="P279" i="4"/>
  <c r="P275" i="4"/>
  <c r="P271" i="4"/>
  <c r="P267" i="4"/>
  <c r="P263" i="4"/>
  <c r="P259" i="4"/>
  <c r="P255" i="4"/>
  <c r="P251" i="4"/>
  <c r="P247" i="4"/>
  <c r="P243" i="4"/>
  <c r="P239" i="4"/>
  <c r="P235" i="4"/>
  <c r="P231" i="4"/>
  <c r="P227" i="4"/>
  <c r="P223" i="4"/>
  <c r="P219" i="4"/>
  <c r="P215" i="4"/>
  <c r="P211" i="4"/>
  <c r="P207" i="4"/>
  <c r="P203" i="4"/>
  <c r="P199" i="4"/>
  <c r="P195" i="4"/>
  <c r="P191" i="4"/>
  <c r="P187" i="4"/>
  <c r="P183" i="4"/>
  <c r="P179" i="4"/>
  <c r="P175" i="4"/>
  <c r="P171" i="4"/>
  <c r="P167" i="4"/>
  <c r="P163" i="4"/>
  <c r="P159" i="4"/>
  <c r="P155" i="4"/>
  <c r="P151" i="4"/>
  <c r="P147" i="4"/>
  <c r="P143" i="4"/>
  <c r="P139" i="4"/>
  <c r="P135" i="4"/>
  <c r="P131" i="4"/>
  <c r="P127" i="4"/>
  <c r="P123" i="4"/>
  <c r="P119" i="4"/>
  <c r="P115" i="4"/>
  <c r="P111" i="4"/>
  <c r="P107" i="4"/>
  <c r="P302" i="4"/>
  <c r="P298" i="4"/>
  <c r="P294" i="4"/>
  <c r="P290" i="4"/>
  <c r="P286" i="4"/>
  <c r="P282" i="4"/>
  <c r="P278" i="4"/>
  <c r="P274" i="4"/>
  <c r="P270" i="4"/>
  <c r="P266" i="4"/>
  <c r="P262" i="4"/>
  <c r="P258" i="4"/>
  <c r="P254" i="4"/>
  <c r="P250" i="4"/>
  <c r="P246" i="4"/>
  <c r="P242" i="4"/>
  <c r="P238" i="4"/>
  <c r="P234" i="4"/>
  <c r="P230" i="4"/>
  <c r="P226" i="4"/>
  <c r="P222" i="4"/>
  <c r="P218" i="4"/>
  <c r="P214" i="4"/>
  <c r="P210" i="4"/>
  <c r="P206" i="4"/>
  <c r="P202" i="4"/>
  <c r="P198" i="4"/>
  <c r="P194" i="4"/>
  <c r="P190" i="4"/>
  <c r="P186" i="4"/>
  <c r="P182" i="4"/>
  <c r="P178" i="4"/>
  <c r="P174" i="4"/>
  <c r="P170" i="4"/>
  <c r="P166" i="4"/>
  <c r="P162" i="4"/>
  <c r="P158" i="4"/>
  <c r="P154" i="4"/>
  <c r="P150" i="4"/>
  <c r="P146" i="4"/>
  <c r="P142" i="4"/>
  <c r="P138" i="4"/>
  <c r="P134" i="4"/>
  <c r="P130" i="4"/>
  <c r="P126" i="4"/>
  <c r="P122" i="4"/>
  <c r="P118" i="4"/>
  <c r="P114" i="4"/>
  <c r="P110" i="4"/>
  <c r="P106" i="4"/>
  <c r="P5" i="4"/>
  <c r="P301" i="4"/>
  <c r="P297" i="4"/>
  <c r="P293" i="4"/>
  <c r="P289" i="4"/>
  <c r="P285" i="4"/>
  <c r="P281" i="4"/>
  <c r="P277" i="4"/>
  <c r="P273" i="4"/>
  <c r="P269" i="4"/>
  <c r="P265" i="4"/>
  <c r="P261" i="4"/>
  <c r="P257" i="4"/>
  <c r="P253" i="4"/>
  <c r="P249" i="4"/>
  <c r="P245" i="4"/>
  <c r="P241" i="4"/>
  <c r="P237" i="4"/>
  <c r="P233" i="4"/>
  <c r="P229" i="4"/>
  <c r="P225" i="4"/>
  <c r="P221" i="4"/>
  <c r="P217" i="4"/>
  <c r="P213" i="4"/>
  <c r="P209" i="4"/>
  <c r="P205" i="4"/>
  <c r="P201" i="4"/>
  <c r="P197" i="4"/>
  <c r="P193" i="4"/>
  <c r="P189" i="4"/>
  <c r="P185" i="4"/>
  <c r="P181" i="4"/>
  <c r="P177" i="4"/>
  <c r="P173" i="4"/>
  <c r="P169" i="4"/>
  <c r="P165" i="4"/>
  <c r="P161" i="4"/>
  <c r="P157" i="4"/>
  <c r="P153" i="4"/>
  <c r="P149" i="4"/>
  <c r="P145" i="4"/>
  <c r="P141" i="4"/>
  <c r="P137" i="4"/>
  <c r="P133" i="4"/>
  <c r="P129" i="4"/>
  <c r="P125" i="4"/>
  <c r="P121" i="4"/>
  <c r="P117" i="4"/>
  <c r="P113" i="4"/>
  <c r="P109" i="4"/>
  <c r="P105" i="4"/>
  <c r="P1145" i="3"/>
  <c r="R627" i="2"/>
  <c r="R4" i="2"/>
  <c r="L740" i="4"/>
  <c r="N740" i="4" s="1"/>
  <c r="L739" i="4"/>
  <c r="N739" i="4" s="1"/>
  <c r="L605" i="4"/>
  <c r="N605" i="4" s="1"/>
  <c r="L500" i="4"/>
  <c r="N500" i="4" s="1"/>
  <c r="L499" i="4"/>
  <c r="N499" i="4" s="1"/>
  <c r="L408" i="4"/>
  <c r="N408" i="4" s="1"/>
  <c r="K307" i="4"/>
  <c r="K308" i="4" s="1"/>
  <c r="L306" i="4"/>
  <c r="N306" i="4" s="1"/>
  <c r="U10" i="4"/>
  <c r="U9" i="4"/>
  <c r="U7" i="4"/>
  <c r="K6" i="4"/>
  <c r="L5" i="4"/>
  <c r="N5" i="4" s="1"/>
  <c r="J1372" i="3"/>
  <c r="W17" i="3"/>
  <c r="T11" i="3"/>
  <c r="T9" i="3"/>
  <c r="T7" i="3"/>
  <c r="K6" i="3"/>
  <c r="K7" i="3" s="1"/>
  <c r="L5" i="3"/>
  <c r="N5" i="3" s="1"/>
  <c r="J931" i="2"/>
  <c r="J924" i="2"/>
  <c r="K629" i="2"/>
  <c r="K630" i="2" s="1"/>
  <c r="K631" i="2" s="1"/>
  <c r="L628" i="2"/>
  <c r="N628" i="2" s="1"/>
  <c r="K302" i="2"/>
  <c r="K303" i="2" s="1"/>
  <c r="L301" i="2"/>
  <c r="N301" i="2" s="1"/>
  <c r="U11" i="2"/>
  <c r="U10" i="2"/>
  <c r="U9" i="2"/>
  <c r="U7" i="2"/>
  <c r="K6" i="2"/>
  <c r="L5" i="2"/>
  <c r="N5" i="2" s="1"/>
  <c r="J859" i="1"/>
  <c r="J858" i="1"/>
  <c r="V830" i="1"/>
  <c r="V829" i="1"/>
  <c r="V828" i="1"/>
  <c r="V827" i="1"/>
  <c r="V826" i="1"/>
  <c r="V825" i="1"/>
  <c r="V824" i="1"/>
  <c r="J95" i="1"/>
  <c r="J94" i="1"/>
  <c r="J92" i="1"/>
  <c r="J89" i="1"/>
  <c r="J85" i="1"/>
  <c r="J80" i="1"/>
  <c r="J79" i="1"/>
  <c r="R79" i="1" s="1"/>
  <c r="J73" i="1"/>
  <c r="J71" i="1"/>
  <c r="J66" i="1"/>
  <c r="J65" i="1"/>
  <c r="J63" i="1"/>
  <c r="J60" i="1"/>
  <c r="J56" i="1"/>
  <c r="J39" i="1"/>
  <c r="J38" i="1"/>
  <c r="J37" i="1"/>
  <c r="J31" i="1"/>
  <c r="J30" i="1"/>
  <c r="J29" i="1"/>
  <c r="R25" i="1"/>
  <c r="Y17" i="1"/>
  <c r="Y18" i="1" s="1"/>
  <c r="Y20" i="1" s="1"/>
  <c r="J16" i="1"/>
  <c r="J14" i="1"/>
  <c r="J13" i="1"/>
  <c r="V10" i="1"/>
  <c r="V9" i="1"/>
  <c r="R1120" i="1" s="1"/>
  <c r="V7" i="1"/>
  <c r="K6" i="1"/>
  <c r="L6" i="1" s="1"/>
  <c r="N6" i="1" s="1"/>
  <c r="L5" i="1"/>
  <c r="N5" i="1" s="1"/>
  <c r="R16" i="1" l="1"/>
  <c r="R58" i="1"/>
  <c r="R76" i="1"/>
  <c r="R70" i="1"/>
  <c r="R97" i="1"/>
  <c r="R7" i="1"/>
  <c r="R47" i="1"/>
  <c r="L6" i="3"/>
  <c r="N6" i="3" s="1"/>
  <c r="P299" i="2"/>
  <c r="P7" i="2"/>
  <c r="D17" i="13"/>
  <c r="J13" i="5"/>
  <c r="K12" i="5"/>
  <c r="M12" i="5" s="1"/>
  <c r="K1074" i="5"/>
  <c r="M1074" i="5" s="1"/>
  <c r="P17" i="2"/>
  <c r="P33" i="2"/>
  <c r="P49" i="2"/>
  <c r="P65" i="2"/>
  <c r="P81" i="2"/>
  <c r="P97" i="2"/>
  <c r="P113" i="2"/>
  <c r="P129" i="2"/>
  <c r="P145" i="2"/>
  <c r="P161" i="2"/>
  <c r="P178" i="2"/>
  <c r="P199" i="2"/>
  <c r="P228" i="2"/>
  <c r="P248" i="2"/>
  <c r="P282" i="2"/>
  <c r="P11" i="2"/>
  <c r="P21" i="2"/>
  <c r="P37" i="2"/>
  <c r="P53" i="2"/>
  <c r="P69" i="2"/>
  <c r="P85" i="2"/>
  <c r="P101" i="2"/>
  <c r="P117" i="2"/>
  <c r="P133" i="2"/>
  <c r="P149" i="2"/>
  <c r="P165" i="2"/>
  <c r="P182" i="2"/>
  <c r="P210" i="2"/>
  <c r="P231" i="2"/>
  <c r="P260" i="2"/>
  <c r="P290" i="2"/>
  <c r="P25" i="2"/>
  <c r="P41" i="2"/>
  <c r="P57" i="2"/>
  <c r="P73" i="2"/>
  <c r="P89" i="2"/>
  <c r="P105" i="2"/>
  <c r="P121" i="2"/>
  <c r="P137" i="2"/>
  <c r="P153" i="2"/>
  <c r="P169" i="2"/>
  <c r="P184" i="2"/>
  <c r="P214" i="2"/>
  <c r="P242" i="2"/>
  <c r="P263" i="2"/>
  <c r="P298" i="2"/>
  <c r="L302" i="2"/>
  <c r="N302" i="2" s="1"/>
  <c r="P6" i="2"/>
  <c r="P13" i="2"/>
  <c r="P29" i="2"/>
  <c r="P45" i="2"/>
  <c r="P61" i="2"/>
  <c r="P77" i="2"/>
  <c r="P93" i="2"/>
  <c r="P109" i="2"/>
  <c r="P125" i="2"/>
  <c r="P141" i="2"/>
  <c r="P157" i="2"/>
  <c r="P173" i="2"/>
  <c r="P196" i="2"/>
  <c r="P216" i="2"/>
  <c r="P246" i="2"/>
  <c r="P274" i="2"/>
  <c r="P520" i="2"/>
  <c r="P1337" i="1"/>
  <c r="P1227" i="1"/>
  <c r="P1143" i="1"/>
  <c r="P1090" i="1"/>
  <c r="P999" i="1"/>
  <c r="P954" i="1"/>
  <c r="P921" i="1"/>
  <c r="P900" i="1"/>
  <c r="P811" i="1"/>
  <c r="P778" i="1"/>
  <c r="P761" i="1"/>
  <c r="P741" i="1"/>
  <c r="P666" i="1"/>
  <c r="P649" i="1"/>
  <c r="P630" i="1"/>
  <c r="P595" i="1"/>
  <c r="P548" i="1"/>
  <c r="P533" i="1"/>
  <c r="P528" i="1"/>
  <c r="P511" i="1"/>
  <c r="P481" i="1"/>
  <c r="P467" i="1"/>
  <c r="P420" i="1"/>
  <c r="P405" i="1"/>
  <c r="P400" i="1"/>
  <c r="P1256" i="1"/>
  <c r="P1187" i="1"/>
  <c r="P1113" i="1"/>
  <c r="P1073" i="1"/>
  <c r="P971" i="1"/>
  <c r="P934" i="1"/>
  <c r="P874" i="1"/>
  <c r="P831" i="1"/>
  <c r="P794" i="1"/>
  <c r="P775" i="1"/>
  <c r="P757" i="1"/>
  <c r="P703" i="1"/>
  <c r="P686" i="1"/>
  <c r="P669" i="1"/>
  <c r="P653" i="1"/>
  <c r="P646" i="1"/>
  <c r="P597" i="1"/>
  <c r="P592" i="1"/>
  <c r="P575" i="1"/>
  <c r="P545" i="1"/>
  <c r="P531" i="1"/>
  <c r="P484" i="1"/>
  <c r="P469" i="1"/>
  <c r="P464" i="1"/>
  <c r="P447" i="1"/>
  <c r="P417" i="1"/>
  <c r="P403" i="1"/>
  <c r="P41" i="1"/>
  <c r="P5" i="1"/>
  <c r="P7" i="1"/>
  <c r="P10" i="1"/>
  <c r="P19" i="1"/>
  <c r="P23" i="1"/>
  <c r="P29" i="1"/>
  <c r="R34" i="1"/>
  <c r="R37" i="1"/>
  <c r="P40" i="1"/>
  <c r="P45" i="1"/>
  <c r="R51" i="1"/>
  <c r="R56" i="1"/>
  <c r="R61" i="1"/>
  <c r="P65" i="1"/>
  <c r="P68" i="1"/>
  <c r="P74" i="1"/>
  <c r="P79" i="1"/>
  <c r="P83" i="1"/>
  <c r="P86" i="1"/>
  <c r="R92" i="1"/>
  <c r="P95" i="1"/>
  <c r="R101" i="1"/>
  <c r="P106" i="1"/>
  <c r="P111" i="1"/>
  <c r="R117" i="1"/>
  <c r="P122" i="1"/>
  <c r="P127" i="1"/>
  <c r="R133" i="1"/>
  <c r="P138" i="1"/>
  <c r="P143" i="1"/>
  <c r="R149" i="1"/>
  <c r="P154" i="1"/>
  <c r="P159" i="1"/>
  <c r="R165" i="1"/>
  <c r="P170" i="1"/>
  <c r="P175" i="1"/>
  <c r="R181" i="1"/>
  <c r="P186" i="1"/>
  <c r="P191" i="1"/>
  <c r="R197" i="1"/>
  <c r="P202" i="1"/>
  <c r="P207" i="1"/>
  <c r="R213" i="1"/>
  <c r="P218" i="1"/>
  <c r="P223" i="1"/>
  <c r="P232" i="1"/>
  <c r="R236" i="1"/>
  <c r="P246" i="1"/>
  <c r="R251" i="1"/>
  <c r="P261" i="1"/>
  <c r="P266" i="1"/>
  <c r="P276" i="1"/>
  <c r="P281" i="1"/>
  <c r="R285" i="1"/>
  <c r="P296" i="1"/>
  <c r="R300" i="1"/>
  <c r="P310" i="1"/>
  <c r="P319" i="1"/>
  <c r="P336" i="1"/>
  <c r="P341" i="1"/>
  <c r="P356" i="1"/>
  <c r="R372" i="1"/>
  <c r="R387" i="1"/>
  <c r="P415" i="1"/>
  <c r="P437" i="1"/>
  <c r="R468" i="1"/>
  <c r="P499" i="1"/>
  <c r="R530" i="1"/>
  <c r="P560" i="1"/>
  <c r="P580" i="1"/>
  <c r="P613" i="1"/>
  <c r="P650" i="1"/>
  <c r="P683" i="1"/>
  <c r="R720" i="1"/>
  <c r="P774" i="1"/>
  <c r="P813" i="1"/>
  <c r="P827" i="1"/>
  <c r="P917" i="1"/>
  <c r="P982" i="1"/>
  <c r="P1079" i="1"/>
  <c r="P1217" i="1"/>
  <c r="P320" i="2"/>
  <c r="P352" i="2"/>
  <c r="P384" i="2"/>
  <c r="P417" i="2"/>
  <c r="P462" i="2"/>
  <c r="P17" i="1"/>
  <c r="P35" i="1"/>
  <c r="P52" i="1"/>
  <c r="P66" i="1"/>
  <c r="P87" i="1"/>
  <c r="P102" i="1"/>
  <c r="P107" i="1"/>
  <c r="R113" i="1"/>
  <c r="P118" i="1"/>
  <c r="P123" i="1"/>
  <c r="R129" i="1"/>
  <c r="P134" i="1"/>
  <c r="P139" i="1"/>
  <c r="R145" i="1"/>
  <c r="P150" i="1"/>
  <c r="P155" i="1"/>
  <c r="R161" i="1"/>
  <c r="P166" i="1"/>
  <c r="P171" i="1"/>
  <c r="R177" i="1"/>
  <c r="P182" i="1"/>
  <c r="P187" i="1"/>
  <c r="R193" i="1"/>
  <c r="P198" i="1"/>
  <c r="P203" i="1"/>
  <c r="R209" i="1"/>
  <c r="P214" i="1"/>
  <c r="P219" i="1"/>
  <c r="P228" i="1"/>
  <c r="P233" i="1"/>
  <c r="R237" i="1"/>
  <c r="P248" i="1"/>
  <c r="R252" i="1"/>
  <c r="P262" i="1"/>
  <c r="R267" i="1"/>
  <c r="P277" i="1"/>
  <c r="P282" i="1"/>
  <c r="P292" i="1"/>
  <c r="P297" i="1"/>
  <c r="R301" i="1"/>
  <c r="P313" i="1"/>
  <c r="P321" i="1"/>
  <c r="R338" i="1"/>
  <c r="P351" i="1"/>
  <c r="P368" i="1"/>
  <c r="P373" i="1"/>
  <c r="P388" i="1"/>
  <c r="R419" i="1"/>
  <c r="P449" i="1"/>
  <c r="P479" i="1"/>
  <c r="P501" i="1"/>
  <c r="R532" i="1"/>
  <c r="P563" i="1"/>
  <c r="R594" i="1"/>
  <c r="P629" i="1"/>
  <c r="P663" i="1"/>
  <c r="P687" i="1"/>
  <c r="R737" i="1"/>
  <c r="P777" i="1"/>
  <c r="P843" i="1"/>
  <c r="P870" i="1"/>
  <c r="R925" i="1"/>
  <c r="R1016" i="1"/>
  <c r="P1107" i="1"/>
  <c r="R1239" i="1"/>
  <c r="P625" i="2"/>
  <c r="P613" i="2"/>
  <c r="P609" i="2"/>
  <c r="P566" i="2"/>
  <c r="P533" i="2"/>
  <c r="P501" i="2"/>
  <c r="P464" i="2"/>
  <c r="P445" i="2"/>
  <c r="P428" i="2"/>
  <c r="P400" i="2"/>
  <c r="P387" i="2"/>
  <c r="P371" i="2"/>
  <c r="P355" i="2"/>
  <c r="P339" i="2"/>
  <c r="P323" i="2"/>
  <c r="P307" i="2"/>
  <c r="P626" i="2"/>
  <c r="P596" i="2"/>
  <c r="P549" i="2"/>
  <c r="P517" i="2"/>
  <c r="P485" i="2"/>
  <c r="P460" i="2"/>
  <c r="P432" i="2"/>
  <c r="P413" i="2"/>
  <c r="P396" i="2"/>
  <c r="P379" i="2"/>
  <c r="P363" i="2"/>
  <c r="P347" i="2"/>
  <c r="P331" i="2"/>
  <c r="P315" i="2"/>
  <c r="P328" i="2"/>
  <c r="P360" i="2"/>
  <c r="P392" i="2"/>
  <c r="P430" i="2"/>
  <c r="P466" i="2"/>
  <c r="P545" i="2"/>
  <c r="P630" i="2"/>
  <c r="P632" i="2"/>
  <c r="P634" i="2"/>
  <c r="P636" i="2"/>
  <c r="P638" i="2"/>
  <c r="P640" i="2"/>
  <c r="P642" i="2"/>
  <c r="P644" i="2"/>
  <c r="P646" i="2"/>
  <c r="P648" i="2"/>
  <c r="P650" i="2"/>
  <c r="P652" i="2"/>
  <c r="P654" i="2"/>
  <c r="P656" i="2"/>
  <c r="P658" i="2"/>
  <c r="P660" i="2"/>
  <c r="P662" i="2"/>
  <c r="P664" i="2"/>
  <c r="P666" i="2"/>
  <c r="P668" i="2"/>
  <c r="P670" i="2"/>
  <c r="P672" i="2"/>
  <c r="P674" i="2"/>
  <c r="P676" i="2"/>
  <c r="P678" i="2"/>
  <c r="P680" i="2"/>
  <c r="P682" i="2"/>
  <c r="P684" i="2"/>
  <c r="P686" i="2"/>
  <c r="P688" i="2"/>
  <c r="P690" i="2"/>
  <c r="P692" i="2"/>
  <c r="P694" i="2"/>
  <c r="P696" i="2"/>
  <c r="P698" i="2"/>
  <c r="P700" i="2"/>
  <c r="P702" i="2"/>
  <c r="P704" i="2"/>
  <c r="P706" i="2"/>
  <c r="P708" i="2"/>
  <c r="P710" i="2"/>
  <c r="P712" i="2"/>
  <c r="P714" i="2"/>
  <c r="P716" i="2"/>
  <c r="P718" i="2"/>
  <c r="P720" i="2"/>
  <c r="P722" i="2"/>
  <c r="P724" i="2"/>
  <c r="P726" i="2"/>
  <c r="P728" i="2"/>
  <c r="P730" i="2"/>
  <c r="P732" i="2"/>
  <c r="P734" i="2"/>
  <c r="P736" i="2"/>
  <c r="P738" i="2"/>
  <c r="P740" i="2"/>
  <c r="P742" i="2"/>
  <c r="P744" i="2"/>
  <c r="P746" i="2"/>
  <c r="P748" i="2"/>
  <c r="P750" i="2"/>
  <c r="P752" i="2"/>
  <c r="P754" i="2"/>
  <c r="P756" i="2"/>
  <c r="P758" i="2"/>
  <c r="P760" i="2"/>
  <c r="P762" i="2"/>
  <c r="P764" i="2"/>
  <c r="P766" i="2"/>
  <c r="P768" i="2"/>
  <c r="P770" i="2"/>
  <c r="P772" i="2"/>
  <c r="P774" i="2"/>
  <c r="P776" i="2"/>
  <c r="P778" i="2"/>
  <c r="P780" i="2"/>
  <c r="P782" i="2"/>
  <c r="P784" i="2"/>
  <c r="P629" i="2"/>
  <c r="P631" i="2"/>
  <c r="P633" i="2"/>
  <c r="P635" i="2"/>
  <c r="P637" i="2"/>
  <c r="P639" i="2"/>
  <c r="P641" i="2"/>
  <c r="P643" i="2"/>
  <c r="P645" i="2"/>
  <c r="P647" i="2"/>
  <c r="P649" i="2"/>
  <c r="P651" i="2"/>
  <c r="P653" i="2"/>
  <c r="P655" i="2"/>
  <c r="P657" i="2"/>
  <c r="P659" i="2"/>
  <c r="P661" i="2"/>
  <c r="P663" i="2"/>
  <c r="P665" i="2"/>
  <c r="P667" i="2"/>
  <c r="P669" i="2"/>
  <c r="P671" i="2"/>
  <c r="P673" i="2"/>
  <c r="P675" i="2"/>
  <c r="P677" i="2"/>
  <c r="P679" i="2"/>
  <c r="P681" i="2"/>
  <c r="P683" i="2"/>
  <c r="P685" i="2"/>
  <c r="P687" i="2"/>
  <c r="P689" i="2"/>
  <c r="P691" i="2"/>
  <c r="P693" i="2"/>
  <c r="P695" i="2"/>
  <c r="P697" i="2"/>
  <c r="P699" i="2"/>
  <c r="P701" i="2"/>
  <c r="P703" i="2"/>
  <c r="P705" i="2"/>
  <c r="P707" i="2"/>
  <c r="P709" i="2"/>
  <c r="P711" i="2"/>
  <c r="P713" i="2"/>
  <c r="P715" i="2"/>
  <c r="P717" i="2"/>
  <c r="P719" i="2"/>
  <c r="P721" i="2"/>
  <c r="P723" i="2"/>
  <c r="P725" i="2"/>
  <c r="P727" i="2"/>
  <c r="P729" i="2"/>
  <c r="P731" i="2"/>
  <c r="P733" i="2"/>
  <c r="P735" i="2"/>
  <c r="P737" i="2"/>
  <c r="P739" i="2"/>
  <c r="P741" i="2"/>
  <c r="P743" i="2"/>
  <c r="P751" i="2"/>
  <c r="P745" i="2"/>
  <c r="P753" i="2"/>
  <c r="P757" i="2"/>
  <c r="P761" i="2"/>
  <c r="P765" i="2"/>
  <c r="P769" i="2"/>
  <c r="P773" i="2"/>
  <c r="P777" i="2"/>
  <c r="P781" i="2"/>
  <c r="P785" i="2"/>
  <c r="P787" i="2"/>
  <c r="P789" i="2"/>
  <c r="P791" i="2"/>
  <c r="P793" i="2"/>
  <c r="P795" i="2"/>
  <c r="P797" i="2"/>
  <c r="P799" i="2"/>
  <c r="P801" i="2"/>
  <c r="P803" i="2"/>
  <c r="P805" i="2"/>
  <c r="P807" i="2"/>
  <c r="P809" i="2"/>
  <c r="P811" i="2"/>
  <c r="P813" i="2"/>
  <c r="P815" i="2"/>
  <c r="P817" i="2"/>
  <c r="P819" i="2"/>
  <c r="P821" i="2"/>
  <c r="P823" i="2"/>
  <c r="P825" i="2"/>
  <c r="P827" i="2"/>
  <c r="P829" i="2"/>
  <c r="P831" i="2"/>
  <c r="P833" i="2"/>
  <c r="P835" i="2"/>
  <c r="P837" i="2"/>
  <c r="P839" i="2"/>
  <c r="P841" i="2"/>
  <c r="P843" i="2"/>
  <c r="P845" i="2"/>
  <c r="P847" i="2"/>
  <c r="P849" i="2"/>
  <c r="P851" i="2"/>
  <c r="P853" i="2"/>
  <c r="P855" i="2"/>
  <c r="P857" i="2"/>
  <c r="P859" i="2"/>
  <c r="P861" i="2"/>
  <c r="P863" i="2"/>
  <c r="P865" i="2"/>
  <c r="P867" i="2"/>
  <c r="P869" i="2"/>
  <c r="P871" i="2"/>
  <c r="P873" i="2"/>
  <c r="P875" i="2"/>
  <c r="P877" i="2"/>
  <c r="P879" i="2"/>
  <c r="P881" i="2"/>
  <c r="P883" i="2"/>
  <c r="P885" i="2"/>
  <c r="P887" i="2"/>
  <c r="P889" i="2"/>
  <c r="P891" i="2"/>
  <c r="P893" i="2"/>
  <c r="P895" i="2"/>
  <c r="P897" i="2"/>
  <c r="P899" i="2"/>
  <c r="P901" i="2"/>
  <c r="P903" i="2"/>
  <c r="P905" i="2"/>
  <c r="P907" i="2"/>
  <c r="P909" i="2"/>
  <c r="P911" i="2"/>
  <c r="P913" i="2"/>
  <c r="P915" i="2"/>
  <c r="P917" i="2"/>
  <c r="P919" i="2"/>
  <c r="P921" i="2"/>
  <c r="P747" i="2"/>
  <c r="P628" i="2"/>
  <c r="P749" i="2"/>
  <c r="P755" i="2"/>
  <c r="P759" i="2"/>
  <c r="P763" i="2"/>
  <c r="P767" i="2"/>
  <c r="P771" i="2"/>
  <c r="P775" i="2"/>
  <c r="P779" i="2"/>
  <c r="P783" i="2"/>
  <c r="P786" i="2"/>
  <c r="P788" i="2"/>
  <c r="P790" i="2"/>
  <c r="P792" i="2"/>
  <c r="P794" i="2"/>
  <c r="P796" i="2"/>
  <c r="P798" i="2"/>
  <c r="P800" i="2"/>
  <c r="P802" i="2"/>
  <c r="P804" i="2"/>
  <c r="P806" i="2"/>
  <c r="P808" i="2"/>
  <c r="P810" i="2"/>
  <c r="P812" i="2"/>
  <c r="P814" i="2"/>
  <c r="P816" i="2"/>
  <c r="P818" i="2"/>
  <c r="P820" i="2"/>
  <c r="P822" i="2"/>
  <c r="P824" i="2"/>
  <c r="P826" i="2"/>
  <c r="P828" i="2"/>
  <c r="P830" i="2"/>
  <c r="P832" i="2"/>
  <c r="P834" i="2"/>
  <c r="P836" i="2"/>
  <c r="P838" i="2"/>
  <c r="P840" i="2"/>
  <c r="P842" i="2"/>
  <c r="P844" i="2"/>
  <c r="P846" i="2"/>
  <c r="P848" i="2"/>
  <c r="P850" i="2"/>
  <c r="P852" i="2"/>
  <c r="P854" i="2"/>
  <c r="P856" i="2"/>
  <c r="P858" i="2"/>
  <c r="P860" i="2"/>
  <c r="P862" i="2"/>
  <c r="P864" i="2"/>
  <c r="P866" i="2"/>
  <c r="P868" i="2"/>
  <c r="P870" i="2"/>
  <c r="P872" i="2"/>
  <c r="P874" i="2"/>
  <c r="P876" i="2"/>
  <c r="P878" i="2"/>
  <c r="P880" i="2"/>
  <c r="P882" i="2"/>
  <c r="P884" i="2"/>
  <c r="P886" i="2"/>
  <c r="P888" i="2"/>
  <c r="P890" i="2"/>
  <c r="P892" i="2"/>
  <c r="P894" i="2"/>
  <c r="P896" i="2"/>
  <c r="P898" i="2"/>
  <c r="P900" i="2"/>
  <c r="P902" i="2"/>
  <c r="P904" i="2"/>
  <c r="P906" i="2"/>
  <c r="P908" i="2"/>
  <c r="P910" i="2"/>
  <c r="P912" i="2"/>
  <c r="P914" i="2"/>
  <c r="P916" i="2"/>
  <c r="P918" i="2"/>
  <c r="P920" i="2"/>
  <c r="P922" i="2"/>
  <c r="P9" i="1"/>
  <c r="R14" i="1"/>
  <c r="P20" i="1"/>
  <c r="R30" i="1"/>
  <c r="R38" i="1"/>
  <c r="P62" i="1"/>
  <c r="P84" i="1"/>
  <c r="P93" i="1"/>
  <c r="P6" i="1"/>
  <c r="R9" i="1"/>
  <c r="R11" i="1"/>
  <c r="P15" i="1"/>
  <c r="R21" i="1"/>
  <c r="P26" i="1"/>
  <c r="P31" i="1"/>
  <c r="P36" i="1"/>
  <c r="P39" i="1"/>
  <c r="R43" i="1"/>
  <c r="P48" i="1"/>
  <c r="P53" i="1"/>
  <c r="P59" i="1"/>
  <c r="R63" i="1"/>
  <c r="R66" i="1"/>
  <c r="P71" i="1"/>
  <c r="P77" i="1"/>
  <c r="P80" i="1"/>
  <c r="P85" i="1"/>
  <c r="R89" i="1"/>
  <c r="P94" i="1"/>
  <c r="P98" i="1"/>
  <c r="P103" i="1"/>
  <c r="R109" i="1"/>
  <c r="P114" i="1"/>
  <c r="P119" i="1"/>
  <c r="R125" i="1"/>
  <c r="P130" i="1"/>
  <c r="P135" i="1"/>
  <c r="R141" i="1"/>
  <c r="P146" i="1"/>
  <c r="P151" i="1"/>
  <c r="R157" i="1"/>
  <c r="P162" i="1"/>
  <c r="P167" i="1"/>
  <c r="R173" i="1"/>
  <c r="P178" i="1"/>
  <c r="P183" i="1"/>
  <c r="R189" i="1"/>
  <c r="P194" i="1"/>
  <c r="P199" i="1"/>
  <c r="R205" i="1"/>
  <c r="P210" i="1"/>
  <c r="P215" i="1"/>
  <c r="R221" i="1"/>
  <c r="P229" i="1"/>
  <c r="P234" i="1"/>
  <c r="P244" i="1"/>
  <c r="P249" i="1"/>
  <c r="R253" i="1"/>
  <c r="P264" i="1"/>
  <c r="R268" i="1"/>
  <c r="P278" i="1"/>
  <c r="R283" i="1"/>
  <c r="P293" i="1"/>
  <c r="P298" i="1"/>
  <c r="P308" i="1"/>
  <c r="P314" i="1"/>
  <c r="R323" i="1"/>
  <c r="P339" i="1"/>
  <c r="P353" i="1"/>
  <c r="R370" i="1"/>
  <c r="P383" i="1"/>
  <c r="R402" i="1"/>
  <c r="P432" i="1"/>
  <c r="P452" i="1"/>
  <c r="R483" i="1"/>
  <c r="P513" i="1"/>
  <c r="P543" i="1"/>
  <c r="P565" i="1"/>
  <c r="R596" i="1"/>
  <c r="P633" i="1"/>
  <c r="P667" i="1"/>
  <c r="R700" i="1"/>
  <c r="R754" i="1"/>
  <c r="P781" i="1"/>
  <c r="P848" i="1"/>
  <c r="R891" i="1"/>
  <c r="P938" i="1"/>
  <c r="P1045" i="1"/>
  <c r="P1305" i="1"/>
  <c r="P304" i="2"/>
  <c r="P336" i="2"/>
  <c r="P368" i="2"/>
  <c r="P398" i="2"/>
  <c r="P434" i="2"/>
  <c r="P488" i="2"/>
  <c r="P562" i="2"/>
  <c r="K7" i="1"/>
  <c r="L7" i="1" s="1"/>
  <c r="N7" i="1" s="1"/>
  <c r="P8" i="1"/>
  <c r="R1050" i="1"/>
  <c r="R861" i="1"/>
  <c r="R847" i="1"/>
  <c r="R717" i="1"/>
  <c r="R697" i="1"/>
  <c r="R680" i="1"/>
  <c r="R609" i="1"/>
  <c r="R579" i="1"/>
  <c r="R564" i="1"/>
  <c r="R498" i="1"/>
  <c r="R451" i="1"/>
  <c r="R436" i="1"/>
  <c r="R1033" i="1"/>
  <c r="R908" i="1"/>
  <c r="R734" i="1"/>
  <c r="R626" i="1"/>
  <c r="R562" i="1"/>
  <c r="R515" i="1"/>
  <c r="R500" i="1"/>
  <c r="R434" i="1"/>
  <c r="P12" i="1"/>
  <c r="P16" i="1"/>
  <c r="P22" i="1"/>
  <c r="P27" i="1"/>
  <c r="P32" i="1"/>
  <c r="P37" i="1"/>
  <c r="R39" i="1"/>
  <c r="P44" i="1"/>
  <c r="P49" i="1"/>
  <c r="R55" i="1"/>
  <c r="R60" i="1"/>
  <c r="R64" i="1"/>
  <c r="P67" i="1"/>
  <c r="P73" i="1"/>
  <c r="P78" i="1"/>
  <c r="R82" i="1"/>
  <c r="R85" i="1"/>
  <c r="P90" i="1"/>
  <c r="R94" i="1"/>
  <c r="P99" i="1"/>
  <c r="R105" i="1"/>
  <c r="P110" i="1"/>
  <c r="P115" i="1"/>
  <c r="R121" i="1"/>
  <c r="P126" i="1"/>
  <c r="P131" i="1"/>
  <c r="R137" i="1"/>
  <c r="P142" i="1"/>
  <c r="P147" i="1"/>
  <c r="R153" i="1"/>
  <c r="P158" i="1"/>
  <c r="P163" i="1"/>
  <c r="R169" i="1"/>
  <c r="P174" i="1"/>
  <c r="P179" i="1"/>
  <c r="R185" i="1"/>
  <c r="P190" i="1"/>
  <c r="P195" i="1"/>
  <c r="R201" i="1"/>
  <c r="P206" i="1"/>
  <c r="P211" i="1"/>
  <c r="R217" i="1"/>
  <c r="P222" i="1"/>
  <c r="P230" i="1"/>
  <c r="R235" i="1"/>
  <c r="P245" i="1"/>
  <c r="P250" i="1"/>
  <c r="P260" i="1"/>
  <c r="P265" i="1"/>
  <c r="R269" i="1"/>
  <c r="P280" i="1"/>
  <c r="R284" i="1"/>
  <c r="P294" i="1"/>
  <c r="R299" i="1"/>
  <c r="P309" i="1"/>
  <c r="R317" i="1"/>
  <c r="P324" i="1"/>
  <c r="R340" i="1"/>
  <c r="R355" i="1"/>
  <c r="P371" i="1"/>
  <c r="P385" i="1"/>
  <c r="R404" i="1"/>
  <c r="P435" i="1"/>
  <c r="R466" i="1"/>
  <c r="P496" i="1"/>
  <c r="P516" i="1"/>
  <c r="R547" i="1"/>
  <c r="P577" i="1"/>
  <c r="R606" i="1"/>
  <c r="P647" i="1"/>
  <c r="P670" i="1"/>
  <c r="R714" i="1"/>
  <c r="P758" i="1"/>
  <c r="R798" i="1"/>
  <c r="P904" i="1"/>
  <c r="P965" i="1"/>
  <c r="P1062" i="1"/>
  <c r="R1158" i="1"/>
  <c r="P312" i="2"/>
  <c r="P344" i="2"/>
  <c r="P376" i="2"/>
  <c r="P402" i="2"/>
  <c r="P449" i="2"/>
  <c r="P504" i="2"/>
  <c r="P592" i="2"/>
  <c r="J930" i="2"/>
  <c r="J933" i="2" s="1"/>
  <c r="P14" i="2"/>
  <c r="P22" i="2"/>
  <c r="P30" i="2"/>
  <c r="P38" i="2"/>
  <c r="P46" i="2"/>
  <c r="P54" i="2"/>
  <c r="P62" i="2"/>
  <c r="P70" i="2"/>
  <c r="P78" i="2"/>
  <c r="P86" i="2"/>
  <c r="P94" i="2"/>
  <c r="P102" i="2"/>
  <c r="P110" i="2"/>
  <c r="P118" i="2"/>
  <c r="P126" i="2"/>
  <c r="P134" i="2"/>
  <c r="P142" i="2"/>
  <c r="P150" i="2"/>
  <c r="P158" i="2"/>
  <c r="P166" i="2"/>
  <c r="P174" i="2"/>
  <c r="P180" i="2"/>
  <c r="P194" i="2"/>
  <c r="P198" i="2"/>
  <c r="P211" i="2"/>
  <c r="P215" i="2"/>
  <c r="P227" i="2"/>
  <c r="P232" i="2"/>
  <c r="P244" i="2"/>
  <c r="P258" i="2"/>
  <c r="P262" i="2"/>
  <c r="P275" i="2"/>
  <c r="P291" i="2"/>
  <c r="P9" i="2"/>
  <c r="P598" i="2"/>
  <c r="P18" i="2"/>
  <c r="P26" i="2"/>
  <c r="P34" i="2"/>
  <c r="P42" i="2"/>
  <c r="P50" i="2"/>
  <c r="P58" i="2"/>
  <c r="P66" i="2"/>
  <c r="P74" i="2"/>
  <c r="P82" i="2"/>
  <c r="P90" i="2"/>
  <c r="P98" i="2"/>
  <c r="P106" i="2"/>
  <c r="P114" i="2"/>
  <c r="P122" i="2"/>
  <c r="P130" i="2"/>
  <c r="P138" i="2"/>
  <c r="P146" i="2"/>
  <c r="P154" i="2"/>
  <c r="P162" i="2"/>
  <c r="P170" i="2"/>
  <c r="P179" i="2"/>
  <c r="P183" i="2"/>
  <c r="P195" i="2"/>
  <c r="P200" i="2"/>
  <c r="P212" i="2"/>
  <c r="P226" i="2"/>
  <c r="P230" i="2"/>
  <c r="P243" i="2"/>
  <c r="P247" i="2"/>
  <c r="P259" i="2"/>
  <c r="P264" i="2"/>
  <c r="P283" i="2"/>
  <c r="P6" i="3"/>
  <c r="P8" i="3"/>
  <c r="P10" i="3"/>
  <c r="P12" i="3"/>
  <c r="P14" i="3"/>
  <c r="P16" i="3"/>
  <c r="P18" i="3"/>
  <c r="P20" i="3"/>
  <c r="P22" i="3"/>
  <c r="P24" i="3"/>
  <c r="P26" i="3"/>
  <c r="P28" i="3"/>
  <c r="P30" i="3"/>
  <c r="P32" i="3"/>
  <c r="P34" i="3"/>
  <c r="P36" i="3"/>
  <c r="P38" i="3"/>
  <c r="P40" i="3"/>
  <c r="P42" i="3"/>
  <c r="P44" i="3"/>
  <c r="P46" i="3"/>
  <c r="P48" i="3"/>
  <c r="P50" i="3"/>
  <c r="P52" i="3"/>
  <c r="P54" i="3"/>
  <c r="P56" i="3"/>
  <c r="P58" i="3"/>
  <c r="P60" i="3"/>
  <c r="P62" i="3"/>
  <c r="P64" i="3"/>
  <c r="P66" i="3"/>
  <c r="P68" i="3"/>
  <c r="P70" i="3"/>
  <c r="P72" i="3"/>
  <c r="P74" i="3"/>
  <c r="P76" i="3"/>
  <c r="P78" i="3"/>
  <c r="P80" i="3"/>
  <c r="P82" i="3"/>
  <c r="P84" i="3"/>
  <c r="P86" i="3"/>
  <c r="P88" i="3"/>
  <c r="P90" i="3"/>
  <c r="P92" i="3"/>
  <c r="P94" i="3"/>
  <c r="P96" i="3"/>
  <c r="P98" i="3"/>
  <c r="P100" i="3"/>
  <c r="P102" i="3"/>
  <c r="P104" i="3"/>
  <c r="P106" i="3"/>
  <c r="P108" i="3"/>
  <c r="P110" i="3"/>
  <c r="P112" i="3"/>
  <c r="P114" i="3"/>
  <c r="P116" i="3"/>
  <c r="P118" i="3"/>
  <c r="P120" i="3"/>
  <c r="P122" i="3"/>
  <c r="P124" i="3"/>
  <c r="P126" i="3"/>
  <c r="P128" i="3"/>
  <c r="P130" i="3"/>
  <c r="P132" i="3"/>
  <c r="P134" i="3"/>
  <c r="P136" i="3"/>
  <c r="P138" i="3"/>
  <c r="P140" i="3"/>
  <c r="P142" i="3"/>
  <c r="P144" i="3"/>
  <c r="P146" i="3"/>
  <c r="P148" i="3"/>
  <c r="P150" i="3"/>
  <c r="P152" i="3"/>
  <c r="P154" i="3"/>
  <c r="P156" i="3"/>
  <c r="P158" i="3"/>
  <c r="P160" i="3"/>
  <c r="P162" i="3"/>
  <c r="P164" i="3"/>
  <c r="P166" i="3"/>
  <c r="P168" i="3"/>
  <c r="P170" i="3"/>
  <c r="P172" i="3"/>
  <c r="P174" i="3"/>
  <c r="P7" i="3"/>
  <c r="P9" i="3"/>
  <c r="P11" i="3"/>
  <c r="P13" i="3"/>
  <c r="P15" i="3"/>
  <c r="P17" i="3"/>
  <c r="P19" i="3"/>
  <c r="P21" i="3"/>
  <c r="P23" i="3"/>
  <c r="P25" i="3"/>
  <c r="P27" i="3"/>
  <c r="P29" i="3"/>
  <c r="P31" i="3"/>
  <c r="P33" i="3"/>
  <c r="P35" i="3"/>
  <c r="P37" i="3"/>
  <c r="P39" i="3"/>
  <c r="P41" i="3"/>
  <c r="P43" i="3"/>
  <c r="P45" i="3"/>
  <c r="P47" i="3"/>
  <c r="P49" i="3"/>
  <c r="P51" i="3"/>
  <c r="P53" i="3"/>
  <c r="P55" i="3"/>
  <c r="P57" i="3"/>
  <c r="P59" i="3"/>
  <c r="P61" i="3"/>
  <c r="P63" i="3"/>
  <c r="P65" i="3"/>
  <c r="P67" i="3"/>
  <c r="P69" i="3"/>
  <c r="P71" i="3"/>
  <c r="P73" i="3"/>
  <c r="P75" i="3"/>
  <c r="P77" i="3"/>
  <c r="P79" i="3"/>
  <c r="P81" i="3"/>
  <c r="P83" i="3"/>
  <c r="P85" i="3"/>
  <c r="P87" i="3"/>
  <c r="P89" i="3"/>
  <c r="P91" i="3"/>
  <c r="P93" i="3"/>
  <c r="P95" i="3"/>
  <c r="P97" i="3"/>
  <c r="P99" i="3"/>
  <c r="P101" i="3"/>
  <c r="P103" i="3"/>
  <c r="P105" i="3"/>
  <c r="P107" i="3"/>
  <c r="P109" i="3"/>
  <c r="P111" i="3"/>
  <c r="P113" i="3"/>
  <c r="P115" i="3"/>
  <c r="P117" i="3"/>
  <c r="P119" i="3"/>
  <c r="P121" i="3"/>
  <c r="P123" i="3"/>
  <c r="P125" i="3"/>
  <c r="P127" i="3"/>
  <c r="P129" i="3"/>
  <c r="P131" i="3"/>
  <c r="P133" i="3"/>
  <c r="P135" i="3"/>
  <c r="P137" i="3"/>
  <c r="P139" i="3"/>
  <c r="P141" i="3"/>
  <c r="P143" i="3"/>
  <c r="P145" i="3"/>
  <c r="P147" i="3"/>
  <c r="P149" i="3"/>
  <c r="P151" i="3"/>
  <c r="P153" i="3"/>
  <c r="P155" i="3"/>
  <c r="P157" i="3"/>
  <c r="P159" i="3"/>
  <c r="P161" i="3"/>
  <c r="P163" i="3"/>
  <c r="P165" i="3"/>
  <c r="P167" i="3"/>
  <c r="P169" i="3"/>
  <c r="P173" i="3"/>
  <c r="P177" i="3"/>
  <c r="P179" i="3"/>
  <c r="P181" i="3"/>
  <c r="P183" i="3"/>
  <c r="P185" i="3"/>
  <c r="P187" i="3"/>
  <c r="P189" i="3"/>
  <c r="P191" i="3"/>
  <c r="P193" i="3"/>
  <c r="P195" i="3"/>
  <c r="P197" i="3"/>
  <c r="P199" i="3"/>
  <c r="P201" i="3"/>
  <c r="P203" i="3"/>
  <c r="P205" i="3"/>
  <c r="P207" i="3"/>
  <c r="P209" i="3"/>
  <c r="P211" i="3"/>
  <c r="P213" i="3"/>
  <c r="P215" i="3"/>
  <c r="P217" i="3"/>
  <c r="P219" i="3"/>
  <c r="P221" i="3"/>
  <c r="P223" i="3"/>
  <c r="P225" i="3"/>
  <c r="P227" i="3"/>
  <c r="P229" i="3"/>
  <c r="P231" i="3"/>
  <c r="P233" i="3"/>
  <c r="P235" i="3"/>
  <c r="P237" i="3"/>
  <c r="P239" i="3"/>
  <c r="P241" i="3"/>
  <c r="P243" i="3"/>
  <c r="P245" i="3"/>
  <c r="P247" i="3"/>
  <c r="P249" i="3"/>
  <c r="P251" i="3"/>
  <c r="P253" i="3"/>
  <c r="P255" i="3"/>
  <c r="P257" i="3"/>
  <c r="P259" i="3"/>
  <c r="P261" i="3"/>
  <c r="P263" i="3"/>
  <c r="P265" i="3"/>
  <c r="P267" i="3"/>
  <c r="P269" i="3"/>
  <c r="P271" i="3"/>
  <c r="P273" i="3"/>
  <c r="P275" i="3"/>
  <c r="P277" i="3"/>
  <c r="P279" i="3"/>
  <c r="P281" i="3"/>
  <c r="P283" i="3"/>
  <c r="P285" i="3"/>
  <c r="P287" i="3"/>
  <c r="P289" i="3"/>
  <c r="P291" i="3"/>
  <c r="P293" i="3"/>
  <c r="P295" i="3"/>
  <c r="P297" i="3"/>
  <c r="P299" i="3"/>
  <c r="P301" i="3"/>
  <c r="P303" i="3"/>
  <c r="P305" i="3"/>
  <c r="P307" i="3"/>
  <c r="P309" i="3"/>
  <c r="P311" i="3"/>
  <c r="P313" i="3"/>
  <c r="P315" i="3"/>
  <c r="P317" i="3"/>
  <c r="P319" i="3"/>
  <c r="P321" i="3"/>
  <c r="P323" i="3"/>
  <c r="P325" i="3"/>
  <c r="P327" i="3"/>
  <c r="P329" i="3"/>
  <c r="P331" i="3"/>
  <c r="P333" i="3"/>
  <c r="P335" i="3"/>
  <c r="P337" i="3"/>
  <c r="P339" i="3"/>
  <c r="P341" i="3"/>
  <c r="P343" i="3"/>
  <c r="P345" i="3"/>
  <c r="P347" i="3"/>
  <c r="P349" i="3"/>
  <c r="P351" i="3"/>
  <c r="P353" i="3"/>
  <c r="P355" i="3"/>
  <c r="P357" i="3"/>
  <c r="P359" i="3"/>
  <c r="P361" i="3"/>
  <c r="P363" i="3"/>
  <c r="P365" i="3"/>
  <c r="P367" i="3"/>
  <c r="P369" i="3"/>
  <c r="P371" i="3"/>
  <c r="P373" i="3"/>
  <c r="P375" i="3"/>
  <c r="P377" i="3"/>
  <c r="P379" i="3"/>
  <c r="P381" i="3"/>
  <c r="P383" i="3"/>
  <c r="P385" i="3"/>
  <c r="P387" i="3"/>
  <c r="P389" i="3"/>
  <c r="P391" i="3"/>
  <c r="P393" i="3"/>
  <c r="P395" i="3"/>
  <c r="P397" i="3"/>
  <c r="P399" i="3"/>
  <c r="P401" i="3"/>
  <c r="P403" i="3"/>
  <c r="P405" i="3"/>
  <c r="P407" i="3"/>
  <c r="P409" i="3"/>
  <c r="P411" i="3"/>
  <c r="P413" i="3"/>
  <c r="P415" i="3"/>
  <c r="P417" i="3"/>
  <c r="P419" i="3"/>
  <c r="P421" i="3"/>
  <c r="P423" i="3"/>
  <c r="P425" i="3"/>
  <c r="P427" i="3"/>
  <c r="P429" i="3"/>
  <c r="P431" i="3"/>
  <c r="P433" i="3"/>
  <c r="P435" i="3"/>
  <c r="P437" i="3"/>
  <c r="P439" i="3"/>
  <c r="P441" i="3"/>
  <c r="P443" i="3"/>
  <c r="P445" i="3"/>
  <c r="P447" i="3"/>
  <c r="P449" i="3"/>
  <c r="P451" i="3"/>
  <c r="P453" i="3"/>
  <c r="P455" i="3"/>
  <c r="P457" i="3"/>
  <c r="P459" i="3"/>
  <c r="P461" i="3"/>
  <c r="P463" i="3"/>
  <c r="P465" i="3"/>
  <c r="P467" i="3"/>
  <c r="P469" i="3"/>
  <c r="P471" i="3"/>
  <c r="P473" i="3"/>
  <c r="P475" i="3"/>
  <c r="P477" i="3"/>
  <c r="P479" i="3"/>
  <c r="P481" i="3"/>
  <c r="P483" i="3"/>
  <c r="P485" i="3"/>
  <c r="P487" i="3"/>
  <c r="P489" i="3"/>
  <c r="P491" i="3"/>
  <c r="P493" i="3"/>
  <c r="P495" i="3"/>
  <c r="P497" i="3"/>
  <c r="P499" i="3"/>
  <c r="P501" i="3"/>
  <c r="P503" i="3"/>
  <c r="P505" i="3"/>
  <c r="P507" i="3"/>
  <c r="P509" i="3"/>
  <c r="P511" i="3"/>
  <c r="P513" i="3"/>
  <c r="P175" i="3"/>
  <c r="P178" i="3"/>
  <c r="P180" i="3"/>
  <c r="P182" i="3"/>
  <c r="P184" i="3"/>
  <c r="P186" i="3"/>
  <c r="P188" i="3"/>
  <c r="P190" i="3"/>
  <c r="P192" i="3"/>
  <c r="P194" i="3"/>
  <c r="P196" i="3"/>
  <c r="P198" i="3"/>
  <c r="P200" i="3"/>
  <c r="P202" i="3"/>
  <c r="P204" i="3"/>
  <c r="P206" i="3"/>
  <c r="P208" i="3"/>
  <c r="P210" i="3"/>
  <c r="P212" i="3"/>
  <c r="P214" i="3"/>
  <c r="P216" i="3"/>
  <c r="P218" i="3"/>
  <c r="P220" i="3"/>
  <c r="P222" i="3"/>
  <c r="P224" i="3"/>
  <c r="P226" i="3"/>
  <c r="P228" i="3"/>
  <c r="P230" i="3"/>
  <c r="P232" i="3"/>
  <c r="P234" i="3"/>
  <c r="P236" i="3"/>
  <c r="P238" i="3"/>
  <c r="P240" i="3"/>
  <c r="P242" i="3"/>
  <c r="P244" i="3"/>
  <c r="P246" i="3"/>
  <c r="P248" i="3"/>
  <c r="P250" i="3"/>
  <c r="P252" i="3"/>
  <c r="P254" i="3"/>
  <c r="P256" i="3"/>
  <c r="P258" i="3"/>
  <c r="P260" i="3"/>
  <c r="P262" i="3"/>
  <c r="P264" i="3"/>
  <c r="P266" i="3"/>
  <c r="P268" i="3"/>
  <c r="P270" i="3"/>
  <c r="P272" i="3"/>
  <c r="P274" i="3"/>
  <c r="P276" i="3"/>
  <c r="P278" i="3"/>
  <c r="P280" i="3"/>
  <c r="P282" i="3"/>
  <c r="P284" i="3"/>
  <c r="P286" i="3"/>
  <c r="P288" i="3"/>
  <c r="P290" i="3"/>
  <c r="P292" i="3"/>
  <c r="P294" i="3"/>
  <c r="P296" i="3"/>
  <c r="P298" i="3"/>
  <c r="P300" i="3"/>
  <c r="P302" i="3"/>
  <c r="P304" i="3"/>
  <c r="P306" i="3"/>
  <c r="P308" i="3"/>
  <c r="P310" i="3"/>
  <c r="P312" i="3"/>
  <c r="P314" i="3"/>
  <c r="P316" i="3"/>
  <c r="P318" i="3"/>
  <c r="P320" i="3"/>
  <c r="P322" i="3"/>
  <c r="P324" i="3"/>
  <c r="P326" i="3"/>
  <c r="P328" i="3"/>
  <c r="P330" i="3"/>
  <c r="P332" i="3"/>
  <c r="P334" i="3"/>
  <c r="P336" i="3"/>
  <c r="P338" i="3"/>
  <c r="P340" i="3"/>
  <c r="P342" i="3"/>
  <c r="P344" i="3"/>
  <c r="P346" i="3"/>
  <c r="P348" i="3"/>
  <c r="P350" i="3"/>
  <c r="P352" i="3"/>
  <c r="P354" i="3"/>
  <c r="P356" i="3"/>
  <c r="P358" i="3"/>
  <c r="P360" i="3"/>
  <c r="P362" i="3"/>
  <c r="P364" i="3"/>
  <c r="P366" i="3"/>
  <c r="P368" i="3"/>
  <c r="P370" i="3"/>
  <c r="P372" i="3"/>
  <c r="P374" i="3"/>
  <c r="P376" i="3"/>
  <c r="P378" i="3"/>
  <c r="P380" i="3"/>
  <c r="P382" i="3"/>
  <c r="P384" i="3"/>
  <c r="P386" i="3"/>
  <c r="P388" i="3"/>
  <c r="P390" i="3"/>
  <c r="P392" i="3"/>
  <c r="P394" i="3"/>
  <c r="P396" i="3"/>
  <c r="P398" i="3"/>
  <c r="P400" i="3"/>
  <c r="P402" i="3"/>
  <c r="P404" i="3"/>
  <c r="P406" i="3"/>
  <c r="P408" i="3"/>
  <c r="P410" i="3"/>
  <c r="P412" i="3"/>
  <c r="P414" i="3"/>
  <c r="P416" i="3"/>
  <c r="P418" i="3"/>
  <c r="P420" i="3"/>
  <c r="P422" i="3"/>
  <c r="P424" i="3"/>
  <c r="P426" i="3"/>
  <c r="P428" i="3"/>
  <c r="P430" i="3"/>
  <c r="P432" i="3"/>
  <c r="P434" i="3"/>
  <c r="P436" i="3"/>
  <c r="P438" i="3"/>
  <c r="P440" i="3"/>
  <c r="P442" i="3"/>
  <c r="P444" i="3"/>
  <c r="P446" i="3"/>
  <c r="P448" i="3"/>
  <c r="P450" i="3"/>
  <c r="P452" i="3"/>
  <c r="P454" i="3"/>
  <c r="P456" i="3"/>
  <c r="P458" i="3"/>
  <c r="P460" i="3"/>
  <c r="P462" i="3"/>
  <c r="P464" i="3"/>
  <c r="P466" i="3"/>
  <c r="P468" i="3"/>
  <c r="P470" i="3"/>
  <c r="P472" i="3"/>
  <c r="P474" i="3"/>
  <c r="P476" i="3"/>
  <c r="P478" i="3"/>
  <c r="P480" i="3"/>
  <c r="P482" i="3"/>
  <c r="P484" i="3"/>
  <c r="P486" i="3"/>
  <c r="P488" i="3"/>
  <c r="P490" i="3"/>
  <c r="P492" i="3"/>
  <c r="P494" i="3"/>
  <c r="P496" i="3"/>
  <c r="P498" i="3"/>
  <c r="P500" i="3"/>
  <c r="P502" i="3"/>
  <c r="P504" i="3"/>
  <c r="P506" i="3"/>
  <c r="P508" i="3"/>
  <c r="P510" i="3"/>
  <c r="P512" i="3"/>
  <c r="P514" i="3"/>
  <c r="P171" i="3"/>
  <c r="P176" i="3"/>
  <c r="P515" i="3"/>
  <c r="P517" i="3"/>
  <c r="P519" i="3"/>
  <c r="P521" i="3"/>
  <c r="P523" i="3"/>
  <c r="P525" i="3"/>
  <c r="P527" i="3"/>
  <c r="P529" i="3"/>
  <c r="P531" i="3"/>
  <c r="P533" i="3"/>
  <c r="P535" i="3"/>
  <c r="P537" i="3"/>
  <c r="P539" i="3"/>
  <c r="P541" i="3"/>
  <c r="P543" i="3"/>
  <c r="P545" i="3"/>
  <c r="P547" i="3"/>
  <c r="P549" i="3"/>
  <c r="P551" i="3"/>
  <c r="P553" i="3"/>
  <c r="P555" i="3"/>
  <c r="P557" i="3"/>
  <c r="P559" i="3"/>
  <c r="P561" i="3"/>
  <c r="P563" i="3"/>
  <c r="P565" i="3"/>
  <c r="P567" i="3"/>
  <c r="P569" i="3"/>
  <c r="P571" i="3"/>
  <c r="P573" i="3"/>
  <c r="P575" i="3"/>
  <c r="P577" i="3"/>
  <c r="P579" i="3"/>
  <c r="P581" i="3"/>
  <c r="P583" i="3"/>
  <c r="P585" i="3"/>
  <c r="P587" i="3"/>
  <c r="P589" i="3"/>
  <c r="P591" i="3"/>
  <c r="P593" i="3"/>
  <c r="P595" i="3"/>
  <c r="P597" i="3"/>
  <c r="P599" i="3"/>
  <c r="P601" i="3"/>
  <c r="P603" i="3"/>
  <c r="P605" i="3"/>
  <c r="P607" i="3"/>
  <c r="P609" i="3"/>
  <c r="P611" i="3"/>
  <c r="P613" i="3"/>
  <c r="P615" i="3"/>
  <c r="P617" i="3"/>
  <c r="P619" i="3"/>
  <c r="P621" i="3"/>
  <c r="P623" i="3"/>
  <c r="P625" i="3"/>
  <c r="P627" i="3"/>
  <c r="P629" i="3"/>
  <c r="P631" i="3"/>
  <c r="P633" i="3"/>
  <c r="P635" i="3"/>
  <c r="P637" i="3"/>
  <c r="P639" i="3"/>
  <c r="P641" i="3"/>
  <c r="P643" i="3"/>
  <c r="P645" i="3"/>
  <c r="P647" i="3"/>
  <c r="P649" i="3"/>
  <c r="P651" i="3"/>
  <c r="P653" i="3"/>
  <c r="P655" i="3"/>
  <c r="P657" i="3"/>
  <c r="P659" i="3"/>
  <c r="P661" i="3"/>
  <c r="P663" i="3"/>
  <c r="P665" i="3"/>
  <c r="P667" i="3"/>
  <c r="P669" i="3"/>
  <c r="P671" i="3"/>
  <c r="P673" i="3"/>
  <c r="P675" i="3"/>
  <c r="P677" i="3"/>
  <c r="P679" i="3"/>
  <c r="P681" i="3"/>
  <c r="P683" i="3"/>
  <c r="P685" i="3"/>
  <c r="P687" i="3"/>
  <c r="P689" i="3"/>
  <c r="P691" i="3"/>
  <c r="P693" i="3"/>
  <c r="P695" i="3"/>
  <c r="P697" i="3"/>
  <c r="P699" i="3"/>
  <c r="P701" i="3"/>
  <c r="P703" i="3"/>
  <c r="P705" i="3"/>
  <c r="P707" i="3"/>
  <c r="P709" i="3"/>
  <c r="P711" i="3"/>
  <c r="P713" i="3"/>
  <c r="P715" i="3"/>
  <c r="P717" i="3"/>
  <c r="P719" i="3"/>
  <c r="P721" i="3"/>
  <c r="P723" i="3"/>
  <c r="P725" i="3"/>
  <c r="P727" i="3"/>
  <c r="P729" i="3"/>
  <c r="P731" i="3"/>
  <c r="P733" i="3"/>
  <c r="P735" i="3"/>
  <c r="P737" i="3"/>
  <c r="P739" i="3"/>
  <c r="P741" i="3"/>
  <c r="P743" i="3"/>
  <c r="P745" i="3"/>
  <c r="P747" i="3"/>
  <c r="P749" i="3"/>
  <c r="P751" i="3"/>
  <c r="P753" i="3"/>
  <c r="P755" i="3"/>
  <c r="P757" i="3"/>
  <c r="P759" i="3"/>
  <c r="P761" i="3"/>
  <c r="P763" i="3"/>
  <c r="P765" i="3"/>
  <c r="P767" i="3"/>
  <c r="P769" i="3"/>
  <c r="P771" i="3"/>
  <c r="P773" i="3"/>
  <c r="P775" i="3"/>
  <c r="P777" i="3"/>
  <c r="P779" i="3"/>
  <c r="P781" i="3"/>
  <c r="P783" i="3"/>
  <c r="P785" i="3"/>
  <c r="P787" i="3"/>
  <c r="P789" i="3"/>
  <c r="P791" i="3"/>
  <c r="P793" i="3"/>
  <c r="P795" i="3"/>
  <c r="P797" i="3"/>
  <c r="P799" i="3"/>
  <c r="P801" i="3"/>
  <c r="P803" i="3"/>
  <c r="P805" i="3"/>
  <c r="P807" i="3"/>
  <c r="P809" i="3"/>
  <c r="P811" i="3"/>
  <c r="P813" i="3"/>
  <c r="P815" i="3"/>
  <c r="P817" i="3"/>
  <c r="P516" i="3"/>
  <c r="P518" i="3"/>
  <c r="P520" i="3"/>
  <c r="P522" i="3"/>
  <c r="P524" i="3"/>
  <c r="P526" i="3"/>
  <c r="P528" i="3"/>
  <c r="P530" i="3"/>
  <c r="P532" i="3"/>
  <c r="P534" i="3"/>
  <c r="P536" i="3"/>
  <c r="P538" i="3"/>
  <c r="P540" i="3"/>
  <c r="P542" i="3"/>
  <c r="P544" i="3"/>
  <c r="P546" i="3"/>
  <c r="P548" i="3"/>
  <c r="P550" i="3"/>
  <c r="P552" i="3"/>
  <c r="P554" i="3"/>
  <c r="P556" i="3"/>
  <c r="P558" i="3"/>
  <c r="P560" i="3"/>
  <c r="P562" i="3"/>
  <c r="P564" i="3"/>
  <c r="P566" i="3"/>
  <c r="P568" i="3"/>
  <c r="P570" i="3"/>
  <c r="P572" i="3"/>
  <c r="P574" i="3"/>
  <c r="P576" i="3"/>
  <c r="P578" i="3"/>
  <c r="P580" i="3"/>
  <c r="P582" i="3"/>
  <c r="P584" i="3"/>
  <c r="P586" i="3"/>
  <c r="P588" i="3"/>
  <c r="P590" i="3"/>
  <c r="P592" i="3"/>
  <c r="P594" i="3"/>
  <c r="P596" i="3"/>
  <c r="P598" i="3"/>
  <c r="P600" i="3"/>
  <c r="P602" i="3"/>
  <c r="P604" i="3"/>
  <c r="P606" i="3"/>
  <c r="P608" i="3"/>
  <c r="P610" i="3"/>
  <c r="P612" i="3"/>
  <c r="P614" i="3"/>
  <c r="P616" i="3"/>
  <c r="P618" i="3"/>
  <c r="P620" i="3"/>
  <c r="P622" i="3"/>
  <c r="P624" i="3"/>
  <c r="P626" i="3"/>
  <c r="P628" i="3"/>
  <c r="P630" i="3"/>
  <c r="P632" i="3"/>
  <c r="P634" i="3"/>
  <c r="P636" i="3"/>
  <c r="P638" i="3"/>
  <c r="P640" i="3"/>
  <c r="P642" i="3"/>
  <c r="P644" i="3"/>
  <c r="P646" i="3"/>
  <c r="P648" i="3"/>
  <c r="P650" i="3"/>
  <c r="P652" i="3"/>
  <c r="P654" i="3"/>
  <c r="P656" i="3"/>
  <c r="P658" i="3"/>
  <c r="P660" i="3"/>
  <c r="P662" i="3"/>
  <c r="P664" i="3"/>
  <c r="P666" i="3"/>
  <c r="P668" i="3"/>
  <c r="P670" i="3"/>
  <c r="P672" i="3"/>
  <c r="P674" i="3"/>
  <c r="P676" i="3"/>
  <c r="P678" i="3"/>
  <c r="P680" i="3"/>
  <c r="P682" i="3"/>
  <c r="P684" i="3"/>
  <c r="P686" i="3"/>
  <c r="P688" i="3"/>
  <c r="P690" i="3"/>
  <c r="P692" i="3"/>
  <c r="P694" i="3"/>
  <c r="P696" i="3"/>
  <c r="P698" i="3"/>
  <c r="P700" i="3"/>
  <c r="P702" i="3"/>
  <c r="P704" i="3"/>
  <c r="P706" i="3"/>
  <c r="P708" i="3"/>
  <c r="P710" i="3"/>
  <c r="P712" i="3"/>
  <c r="P714" i="3"/>
  <c r="P716" i="3"/>
  <c r="P718" i="3"/>
  <c r="P720" i="3"/>
  <c r="P722" i="3"/>
  <c r="P724" i="3"/>
  <c r="P726" i="3"/>
  <c r="P728" i="3"/>
  <c r="P730" i="3"/>
  <c r="P732" i="3"/>
  <c r="P734" i="3"/>
  <c r="P736" i="3"/>
  <c r="P738" i="3"/>
  <c r="P740" i="3"/>
  <c r="P742" i="3"/>
  <c r="P744" i="3"/>
  <c r="P746" i="3"/>
  <c r="P748" i="3"/>
  <c r="P750" i="3"/>
  <c r="P752" i="3"/>
  <c r="P754" i="3"/>
  <c r="P756" i="3"/>
  <c r="P758" i="3"/>
  <c r="P760" i="3"/>
  <c r="P762" i="3"/>
  <c r="P764" i="3"/>
  <c r="P766" i="3"/>
  <c r="P768" i="3"/>
  <c r="P770" i="3"/>
  <c r="P772" i="3"/>
  <c r="P774" i="3"/>
  <c r="P776" i="3"/>
  <c r="P778" i="3"/>
  <c r="P780" i="3"/>
  <c r="P782" i="3"/>
  <c r="P784" i="3"/>
  <c r="P786" i="3"/>
  <c r="P788" i="3"/>
  <c r="P790" i="3"/>
  <c r="P792" i="3"/>
  <c r="P794" i="3"/>
  <c r="P796" i="3"/>
  <c r="P798" i="3"/>
  <c r="P800" i="3"/>
  <c r="P802" i="3"/>
  <c r="P804" i="3"/>
  <c r="P806" i="3"/>
  <c r="P808" i="3"/>
  <c r="P810" i="3"/>
  <c r="P812" i="3"/>
  <c r="P816" i="3"/>
  <c r="P820" i="3"/>
  <c r="P822" i="3"/>
  <c r="P824" i="3"/>
  <c r="P826" i="3"/>
  <c r="P828" i="3"/>
  <c r="P830" i="3"/>
  <c r="P832" i="3"/>
  <c r="P834" i="3"/>
  <c r="P836" i="3"/>
  <c r="P838" i="3"/>
  <c r="P840" i="3"/>
  <c r="P842" i="3"/>
  <c r="P844" i="3"/>
  <c r="P846" i="3"/>
  <c r="P848" i="3"/>
  <c r="P850" i="3"/>
  <c r="P852" i="3"/>
  <c r="P854" i="3"/>
  <c r="P856" i="3"/>
  <c r="P858" i="3"/>
  <c r="P860" i="3"/>
  <c r="P862" i="3"/>
  <c r="P864" i="3"/>
  <c r="P866" i="3"/>
  <c r="P868" i="3"/>
  <c r="P870" i="3"/>
  <c r="P872" i="3"/>
  <c r="P874" i="3"/>
  <c r="P876" i="3"/>
  <c r="P878" i="3"/>
  <c r="P880" i="3"/>
  <c r="P882" i="3"/>
  <c r="P884" i="3"/>
  <c r="P886" i="3"/>
  <c r="P888" i="3"/>
  <c r="P890" i="3"/>
  <c r="P892" i="3"/>
  <c r="P894" i="3"/>
  <c r="P896" i="3"/>
  <c r="P898" i="3"/>
  <c r="P900" i="3"/>
  <c r="P902" i="3"/>
  <c r="P904" i="3"/>
  <c r="P906" i="3"/>
  <c r="P908" i="3"/>
  <c r="P910" i="3"/>
  <c r="P912" i="3"/>
  <c r="P914" i="3"/>
  <c r="P916" i="3"/>
  <c r="P918" i="3"/>
  <c r="P920" i="3"/>
  <c r="P922" i="3"/>
  <c r="P924" i="3"/>
  <c r="P926" i="3"/>
  <c r="P928" i="3"/>
  <c r="P930" i="3"/>
  <c r="P932" i="3"/>
  <c r="P934" i="3"/>
  <c r="P936" i="3"/>
  <c r="P938" i="3"/>
  <c r="P940" i="3"/>
  <c r="P942" i="3"/>
  <c r="P944" i="3"/>
  <c r="P946" i="3"/>
  <c r="P948" i="3"/>
  <c r="P950" i="3"/>
  <c r="P952" i="3"/>
  <c r="P954" i="3"/>
  <c r="P956" i="3"/>
  <c r="P958" i="3"/>
  <c r="P960" i="3"/>
  <c r="P962" i="3"/>
  <c r="P964" i="3"/>
  <c r="P966" i="3"/>
  <c r="P968" i="3"/>
  <c r="P970" i="3"/>
  <c r="P972" i="3"/>
  <c r="P974" i="3"/>
  <c r="P976" i="3"/>
  <c r="P978" i="3"/>
  <c r="P980" i="3"/>
  <c r="P982" i="3"/>
  <c r="P984" i="3"/>
  <c r="P986" i="3"/>
  <c r="P988" i="3"/>
  <c r="P990" i="3"/>
  <c r="P992" i="3"/>
  <c r="P994" i="3"/>
  <c r="P996" i="3"/>
  <c r="P998" i="3"/>
  <c r="P1000" i="3"/>
  <c r="P1002" i="3"/>
  <c r="P1004" i="3"/>
  <c r="P1006" i="3"/>
  <c r="P1008" i="3"/>
  <c r="P1010" i="3"/>
  <c r="P1012" i="3"/>
  <c r="P1014" i="3"/>
  <c r="P1016" i="3"/>
  <c r="P1018" i="3"/>
  <c r="P1020" i="3"/>
  <c r="P1022" i="3"/>
  <c r="P1024" i="3"/>
  <c r="P1026" i="3"/>
  <c r="P1028" i="3"/>
  <c r="P1030" i="3"/>
  <c r="P1032" i="3"/>
  <c r="P1034" i="3"/>
  <c r="P1036" i="3"/>
  <c r="P1038" i="3"/>
  <c r="P1040" i="3"/>
  <c r="P1042" i="3"/>
  <c r="P1044" i="3"/>
  <c r="P1046" i="3"/>
  <c r="P1048" i="3"/>
  <c r="P1050" i="3"/>
  <c r="P1052" i="3"/>
  <c r="P1054" i="3"/>
  <c r="P1056" i="3"/>
  <c r="P1058" i="3"/>
  <c r="P1060" i="3"/>
  <c r="P1062" i="3"/>
  <c r="P1064" i="3"/>
  <c r="P1066" i="3"/>
  <c r="P1068" i="3"/>
  <c r="P1070" i="3"/>
  <c r="P1072" i="3"/>
  <c r="P1074" i="3"/>
  <c r="P1076" i="3"/>
  <c r="P1078" i="3"/>
  <c r="P1080" i="3"/>
  <c r="P1082" i="3"/>
  <c r="P1084" i="3"/>
  <c r="P1086" i="3"/>
  <c r="P1088" i="3"/>
  <c r="P1090" i="3"/>
  <c r="P1092" i="3"/>
  <c r="P1094" i="3"/>
  <c r="P1096" i="3"/>
  <c r="P1098" i="3"/>
  <c r="P1100" i="3"/>
  <c r="P1102" i="3"/>
  <c r="P1104" i="3"/>
  <c r="P1106" i="3"/>
  <c r="P1108" i="3"/>
  <c r="P1110" i="3"/>
  <c r="P1112" i="3"/>
  <c r="P1114" i="3"/>
  <c r="P1116" i="3"/>
  <c r="P1118" i="3"/>
  <c r="P1120" i="3"/>
  <c r="P1122" i="3"/>
  <c r="P1124" i="3"/>
  <c r="P1126" i="3"/>
  <c r="P1128" i="3"/>
  <c r="P1130" i="3"/>
  <c r="P1132" i="3"/>
  <c r="P1134" i="3"/>
  <c r="P1136" i="3"/>
  <c r="P1138" i="3"/>
  <c r="P1140" i="3"/>
  <c r="P1142" i="3"/>
  <c r="P1144" i="3"/>
  <c r="P1146" i="3"/>
  <c r="P814" i="3"/>
  <c r="P818" i="3"/>
  <c r="P819" i="3"/>
  <c r="P821" i="3"/>
  <c r="P823" i="3"/>
  <c r="P825" i="3"/>
  <c r="P827" i="3"/>
  <c r="P829" i="3"/>
  <c r="P831" i="3"/>
  <c r="P833" i="3"/>
  <c r="P835" i="3"/>
  <c r="P837" i="3"/>
  <c r="P839" i="3"/>
  <c r="P841" i="3"/>
  <c r="P843" i="3"/>
  <c r="P845" i="3"/>
  <c r="P847" i="3"/>
  <c r="P849" i="3"/>
  <c r="P851" i="3"/>
  <c r="P853" i="3"/>
  <c r="P855" i="3"/>
  <c r="P857" i="3"/>
  <c r="P859" i="3"/>
  <c r="P861" i="3"/>
  <c r="P863" i="3"/>
  <c r="P865" i="3"/>
  <c r="P867" i="3"/>
  <c r="P869" i="3"/>
  <c r="P871" i="3"/>
  <c r="P873" i="3"/>
  <c r="P875" i="3"/>
  <c r="P877" i="3"/>
  <c r="P879" i="3"/>
  <c r="P881" i="3"/>
  <c r="P883" i="3"/>
  <c r="P885" i="3"/>
  <c r="P887" i="3"/>
  <c r="P889" i="3"/>
  <c r="P891" i="3"/>
  <c r="P893" i="3"/>
  <c r="P895" i="3"/>
  <c r="P897" i="3"/>
  <c r="P899" i="3"/>
  <c r="P901" i="3"/>
  <c r="P903" i="3"/>
  <c r="P905" i="3"/>
  <c r="P907" i="3"/>
  <c r="P909" i="3"/>
  <c r="P911" i="3"/>
  <c r="P913" i="3"/>
  <c r="P915" i="3"/>
  <c r="P917" i="3"/>
  <c r="P919" i="3"/>
  <c r="P921" i="3"/>
  <c r="P923" i="3"/>
  <c r="P925" i="3"/>
  <c r="P927" i="3"/>
  <c r="P929" i="3"/>
  <c r="P931" i="3"/>
  <c r="P933" i="3"/>
  <c r="P935" i="3"/>
  <c r="P937" i="3"/>
  <c r="P939" i="3"/>
  <c r="P941" i="3"/>
  <c r="P943" i="3"/>
  <c r="P945" i="3"/>
  <c r="P947" i="3"/>
  <c r="P949" i="3"/>
  <c r="P951" i="3"/>
  <c r="P953" i="3"/>
  <c r="P955" i="3"/>
  <c r="P957" i="3"/>
  <c r="P959" i="3"/>
  <c r="P961" i="3"/>
  <c r="P963" i="3"/>
  <c r="P965" i="3"/>
  <c r="P967" i="3"/>
  <c r="P969" i="3"/>
  <c r="P971" i="3"/>
  <c r="P973" i="3"/>
  <c r="P975" i="3"/>
  <c r="P977" i="3"/>
  <c r="P979" i="3"/>
  <c r="P981" i="3"/>
  <c r="P983" i="3"/>
  <c r="P985" i="3"/>
  <c r="P987" i="3"/>
  <c r="P989" i="3"/>
  <c r="P991" i="3"/>
  <c r="P993" i="3"/>
  <c r="P995" i="3"/>
  <c r="P997" i="3"/>
  <c r="P999" i="3"/>
  <c r="P1001" i="3"/>
  <c r="P1003" i="3"/>
  <c r="P1005" i="3"/>
  <c r="P1007" i="3"/>
  <c r="P1009" i="3"/>
  <c r="P1011" i="3"/>
  <c r="P1013" i="3"/>
  <c r="P1015" i="3"/>
  <c r="P1017" i="3"/>
  <c r="P1019" i="3"/>
  <c r="P1021" i="3"/>
  <c r="P1023" i="3"/>
  <c r="P1025" i="3"/>
  <c r="P1027" i="3"/>
  <c r="P1029" i="3"/>
  <c r="P1031" i="3"/>
  <c r="P1033" i="3"/>
  <c r="P1035" i="3"/>
  <c r="P1037" i="3"/>
  <c r="P1039" i="3"/>
  <c r="P1041" i="3"/>
  <c r="P1043" i="3"/>
  <c r="P1045" i="3"/>
  <c r="P1047" i="3"/>
  <c r="P1049" i="3"/>
  <c r="P1051" i="3"/>
  <c r="P1053" i="3"/>
  <c r="P1055" i="3"/>
  <c r="P1057" i="3"/>
  <c r="P1059" i="3"/>
  <c r="P1061" i="3"/>
  <c r="P1063" i="3"/>
  <c r="P1065" i="3"/>
  <c r="P1067" i="3"/>
  <c r="P1069" i="3"/>
  <c r="P1071" i="3"/>
  <c r="P1073" i="3"/>
  <c r="P1075" i="3"/>
  <c r="P1077" i="3"/>
  <c r="P1079" i="3"/>
  <c r="P1081" i="3"/>
  <c r="P1083" i="3"/>
  <c r="P1085" i="3"/>
  <c r="P1087" i="3"/>
  <c r="P1089" i="3"/>
  <c r="P1091" i="3"/>
  <c r="P1093" i="3"/>
  <c r="P1095" i="3"/>
  <c r="P1097" i="3"/>
  <c r="P1099" i="3"/>
  <c r="P1101" i="3"/>
  <c r="P1103" i="3"/>
  <c r="P1105" i="3"/>
  <c r="P1107" i="3"/>
  <c r="P1109" i="3"/>
  <c r="P1111" i="3"/>
  <c r="P1113" i="3"/>
  <c r="P1115" i="3"/>
  <c r="P1117" i="3"/>
  <c r="P1119" i="3"/>
  <c r="P1121" i="3"/>
  <c r="P1123" i="3"/>
  <c r="P1125" i="3"/>
  <c r="P1127" i="3"/>
  <c r="P1129" i="3"/>
  <c r="P1131" i="3"/>
  <c r="P1133" i="3"/>
  <c r="P1135" i="3"/>
  <c r="P1137" i="3"/>
  <c r="P1139" i="3"/>
  <c r="P1141" i="3"/>
  <c r="P1143" i="3"/>
  <c r="P1370" i="3"/>
  <c r="P1368" i="3"/>
  <c r="P1366" i="3"/>
  <c r="P1364" i="3"/>
  <c r="P1362" i="3"/>
  <c r="P1360" i="3"/>
  <c r="P1358" i="3"/>
  <c r="P1356" i="3"/>
  <c r="P1354" i="3"/>
  <c r="P1352" i="3"/>
  <c r="P1350" i="3"/>
  <c r="P1348" i="3"/>
  <c r="P1346" i="3"/>
  <c r="P1344" i="3"/>
  <c r="P1342" i="3"/>
  <c r="P1340" i="3"/>
  <c r="P1338" i="3"/>
  <c r="P1336" i="3"/>
  <c r="P1334" i="3"/>
  <c r="P1332" i="3"/>
  <c r="P1330" i="3"/>
  <c r="P1328" i="3"/>
  <c r="P1326" i="3"/>
  <c r="P1324" i="3"/>
  <c r="P1322" i="3"/>
  <c r="P1320" i="3"/>
  <c r="P1318" i="3"/>
  <c r="P1316" i="3"/>
  <c r="P1314" i="3"/>
  <c r="P1312" i="3"/>
  <c r="P1310" i="3"/>
  <c r="P1308" i="3"/>
  <c r="P1306" i="3"/>
  <c r="P1304" i="3"/>
  <c r="P1302" i="3"/>
  <c r="P1300" i="3"/>
  <c r="P1298" i="3"/>
  <c r="P1296" i="3"/>
  <c r="P1294" i="3"/>
  <c r="P1292" i="3"/>
  <c r="P1290" i="3"/>
  <c r="P1288" i="3"/>
  <c r="P1286" i="3"/>
  <c r="P1284" i="3"/>
  <c r="P1282" i="3"/>
  <c r="P1280" i="3"/>
  <c r="P1278" i="3"/>
  <c r="P1276" i="3"/>
  <c r="P1274" i="3"/>
  <c r="P1272" i="3"/>
  <c r="P1270" i="3"/>
  <c r="P1268" i="3"/>
  <c r="P1266" i="3"/>
  <c r="P1264" i="3"/>
  <c r="P1262" i="3"/>
  <c r="P1260" i="3"/>
  <c r="P1258" i="3"/>
  <c r="P1256" i="3"/>
  <c r="P1254" i="3"/>
  <c r="P1252" i="3"/>
  <c r="P1250" i="3"/>
  <c r="P1248" i="3"/>
  <c r="P1246" i="3"/>
  <c r="P1244" i="3"/>
  <c r="P1242" i="3"/>
  <c r="P1240" i="3"/>
  <c r="P1238" i="3"/>
  <c r="P1236" i="3"/>
  <c r="P1234" i="3"/>
  <c r="P1232" i="3"/>
  <c r="P1230" i="3"/>
  <c r="P1228" i="3"/>
  <c r="P1226" i="3"/>
  <c r="P1224" i="3"/>
  <c r="P1222" i="3"/>
  <c r="P1220" i="3"/>
  <c r="P1218" i="3"/>
  <c r="P1216" i="3"/>
  <c r="P1214" i="3"/>
  <c r="P1212" i="3"/>
  <c r="P1210" i="3"/>
  <c r="P1208" i="3"/>
  <c r="P1206" i="3"/>
  <c r="P1204" i="3"/>
  <c r="P1202" i="3"/>
  <c r="P1200" i="3"/>
  <c r="P1198" i="3"/>
  <c r="P1196" i="3"/>
  <c r="P1194" i="3"/>
  <c r="P1192" i="3"/>
  <c r="P1190" i="3"/>
  <c r="P1188" i="3"/>
  <c r="P1186" i="3"/>
  <c r="P1184" i="3"/>
  <c r="P1182" i="3"/>
  <c r="P1180" i="3"/>
  <c r="P1178" i="3"/>
  <c r="P1176" i="3"/>
  <c r="P1174" i="3"/>
  <c r="P1172" i="3"/>
  <c r="P1170" i="3"/>
  <c r="P1168" i="3"/>
  <c r="P1166" i="3"/>
  <c r="P1164" i="3"/>
  <c r="P1162" i="3"/>
  <c r="P1160" i="3"/>
  <c r="P1158" i="3"/>
  <c r="P1156" i="3"/>
  <c r="P1154" i="3"/>
  <c r="P1152" i="3"/>
  <c r="P1150" i="3"/>
  <c r="P1148" i="3"/>
  <c r="P5" i="3"/>
  <c r="P1147" i="3"/>
  <c r="P1369" i="3"/>
  <c r="P1367" i="3"/>
  <c r="P1365" i="3"/>
  <c r="P1363" i="3"/>
  <c r="P1361" i="3"/>
  <c r="P1359" i="3"/>
  <c r="P1357" i="3"/>
  <c r="P1355" i="3"/>
  <c r="P1353" i="3"/>
  <c r="P1351" i="3"/>
  <c r="P1349" i="3"/>
  <c r="P1347" i="3"/>
  <c r="P1345" i="3"/>
  <c r="P1343" i="3"/>
  <c r="P1341" i="3"/>
  <c r="P1339" i="3"/>
  <c r="P1337" i="3"/>
  <c r="P1335" i="3"/>
  <c r="P1333" i="3"/>
  <c r="P1331" i="3"/>
  <c r="P1329" i="3"/>
  <c r="P1327" i="3"/>
  <c r="P1325" i="3"/>
  <c r="P1323" i="3"/>
  <c r="P1321" i="3"/>
  <c r="P1319" i="3"/>
  <c r="P1317" i="3"/>
  <c r="P1315" i="3"/>
  <c r="P1313" i="3"/>
  <c r="P1311" i="3"/>
  <c r="P1309" i="3"/>
  <c r="P1307" i="3"/>
  <c r="P1305" i="3"/>
  <c r="P1303" i="3"/>
  <c r="P1301" i="3"/>
  <c r="P1299" i="3"/>
  <c r="P1297" i="3"/>
  <c r="P1295" i="3"/>
  <c r="P1293" i="3"/>
  <c r="P1291" i="3"/>
  <c r="P1289" i="3"/>
  <c r="P1287" i="3"/>
  <c r="P1285" i="3"/>
  <c r="P1283" i="3"/>
  <c r="P1281" i="3"/>
  <c r="P1279" i="3"/>
  <c r="P1277" i="3"/>
  <c r="P1275" i="3"/>
  <c r="P1273" i="3"/>
  <c r="P1271" i="3"/>
  <c r="P1269" i="3"/>
  <c r="P1267" i="3"/>
  <c r="P1265" i="3"/>
  <c r="P1263" i="3"/>
  <c r="P1261" i="3"/>
  <c r="P1259" i="3"/>
  <c r="P1257" i="3"/>
  <c r="P1255" i="3"/>
  <c r="P1253" i="3"/>
  <c r="P1251" i="3"/>
  <c r="P1249" i="3"/>
  <c r="P1247" i="3"/>
  <c r="P1245" i="3"/>
  <c r="P1243" i="3"/>
  <c r="P1241" i="3"/>
  <c r="P1239" i="3"/>
  <c r="P1237" i="3"/>
  <c r="P1235" i="3"/>
  <c r="P1233" i="3"/>
  <c r="P1231" i="3"/>
  <c r="P1229" i="3"/>
  <c r="P1227" i="3"/>
  <c r="P1225" i="3"/>
  <c r="P1223" i="3"/>
  <c r="P1221" i="3"/>
  <c r="P1219" i="3"/>
  <c r="P1217" i="3"/>
  <c r="P1215" i="3"/>
  <c r="P1213" i="3"/>
  <c r="P1211" i="3"/>
  <c r="P1209" i="3"/>
  <c r="P1207" i="3"/>
  <c r="P1205" i="3"/>
  <c r="P1203" i="3"/>
  <c r="P1201" i="3"/>
  <c r="P1199" i="3"/>
  <c r="P1197" i="3"/>
  <c r="P1195" i="3"/>
  <c r="P1193" i="3"/>
  <c r="P1191" i="3"/>
  <c r="P1189" i="3"/>
  <c r="P1187" i="3"/>
  <c r="P1185" i="3"/>
  <c r="P1183" i="3"/>
  <c r="P1181" i="3"/>
  <c r="P1179" i="3"/>
  <c r="P1177" i="3"/>
  <c r="P1175" i="3"/>
  <c r="P1173" i="3"/>
  <c r="P1171" i="3"/>
  <c r="P1169" i="3"/>
  <c r="P1167" i="3"/>
  <c r="P1165" i="3"/>
  <c r="P1163" i="3"/>
  <c r="P1161" i="3"/>
  <c r="P1159" i="3"/>
  <c r="P1157" i="3"/>
  <c r="P1155" i="3"/>
  <c r="P1153" i="3"/>
  <c r="P1151" i="3"/>
  <c r="P1149" i="3"/>
  <c r="L741" i="4"/>
  <c r="N741" i="4" s="1"/>
  <c r="L307" i="4"/>
  <c r="N307" i="4" s="1"/>
  <c r="L630" i="2"/>
  <c r="N630" i="2" s="1"/>
  <c r="L409" i="4"/>
  <c r="N409" i="4" s="1"/>
  <c r="L6" i="4"/>
  <c r="N6" i="4" s="1"/>
  <c r="K7" i="4"/>
  <c r="L411" i="4"/>
  <c r="N411" i="4" s="1"/>
  <c r="L308" i="4"/>
  <c r="N308" i="4" s="1"/>
  <c r="K309" i="4"/>
  <c r="L410" i="4"/>
  <c r="N410" i="4" s="1"/>
  <c r="L606" i="4"/>
  <c r="N606" i="4" s="1"/>
  <c r="L7" i="3"/>
  <c r="N7" i="3" s="1"/>
  <c r="K8" i="3"/>
  <c r="K7" i="2"/>
  <c r="L6" i="2"/>
  <c r="N6" i="2" s="1"/>
  <c r="K304" i="2"/>
  <c r="L303" i="2"/>
  <c r="N303" i="2" s="1"/>
  <c r="P296" i="2"/>
  <c r="P292" i="2"/>
  <c r="P288" i="2"/>
  <c r="P284" i="2"/>
  <c r="P280" i="2"/>
  <c r="P276" i="2"/>
  <c r="P272" i="2"/>
  <c r="P297" i="2"/>
  <c r="P293" i="2"/>
  <c r="P289" i="2"/>
  <c r="P285" i="2"/>
  <c r="P281" i="2"/>
  <c r="P277" i="2"/>
  <c r="P273" i="2"/>
  <c r="P269" i="2"/>
  <c r="P265" i="2"/>
  <c r="P261" i="2"/>
  <c r="P257" i="2"/>
  <c r="P253" i="2"/>
  <c r="P249" i="2"/>
  <c r="P245" i="2"/>
  <c r="P241" i="2"/>
  <c r="P237" i="2"/>
  <c r="P233" i="2"/>
  <c r="P229" i="2"/>
  <c r="P225" i="2"/>
  <c r="P221" i="2"/>
  <c r="P217" i="2"/>
  <c r="P213" i="2"/>
  <c r="P209" i="2"/>
  <c r="P205" i="2"/>
  <c r="P201" i="2"/>
  <c r="P197" i="2"/>
  <c r="P193" i="2"/>
  <c r="P189" i="2"/>
  <c r="P185" i="2"/>
  <c r="P181" i="2"/>
  <c r="P177" i="2"/>
  <c r="P5" i="2"/>
  <c r="P8" i="2"/>
  <c r="P10" i="2"/>
  <c r="P12" i="2"/>
  <c r="P16" i="2"/>
  <c r="P20" i="2"/>
  <c r="P24" i="2"/>
  <c r="P28" i="2"/>
  <c r="P32" i="2"/>
  <c r="P36" i="2"/>
  <c r="P40" i="2"/>
  <c r="P44" i="2"/>
  <c r="P48" i="2"/>
  <c r="P52" i="2"/>
  <c r="P56" i="2"/>
  <c r="P60" i="2"/>
  <c r="P64" i="2"/>
  <c r="P68" i="2"/>
  <c r="P72" i="2"/>
  <c r="P76" i="2"/>
  <c r="P80" i="2"/>
  <c r="P84" i="2"/>
  <c r="P88" i="2"/>
  <c r="P92" i="2"/>
  <c r="P96" i="2"/>
  <c r="P100" i="2"/>
  <c r="P104" i="2"/>
  <c r="P108" i="2"/>
  <c r="P112" i="2"/>
  <c r="P116" i="2"/>
  <c r="P120" i="2"/>
  <c r="P124" i="2"/>
  <c r="P128" i="2"/>
  <c r="P132" i="2"/>
  <c r="P136" i="2"/>
  <c r="P140" i="2"/>
  <c r="P144" i="2"/>
  <c r="P148" i="2"/>
  <c r="P152" i="2"/>
  <c r="P156" i="2"/>
  <c r="P160" i="2"/>
  <c r="P164" i="2"/>
  <c r="P168" i="2"/>
  <c r="P172" i="2"/>
  <c r="P186" i="2"/>
  <c r="P187" i="2"/>
  <c r="P188" i="2"/>
  <c r="P202" i="2"/>
  <c r="P203" i="2"/>
  <c r="P204" i="2"/>
  <c r="P218" i="2"/>
  <c r="P219" i="2"/>
  <c r="P220" i="2"/>
  <c r="P234" i="2"/>
  <c r="P235" i="2"/>
  <c r="P236" i="2"/>
  <c r="P250" i="2"/>
  <c r="P251" i="2"/>
  <c r="P252" i="2"/>
  <c r="P266" i="2"/>
  <c r="P267" i="2"/>
  <c r="P268" i="2"/>
  <c r="P278" i="2"/>
  <c r="P286" i="2"/>
  <c r="P294" i="2"/>
  <c r="P308" i="2"/>
  <c r="P316" i="2"/>
  <c r="P324" i="2"/>
  <c r="P332" i="2"/>
  <c r="P340" i="2"/>
  <c r="P348" i="2"/>
  <c r="P356" i="2"/>
  <c r="P364" i="2"/>
  <c r="P372" i="2"/>
  <c r="P380" i="2"/>
  <c r="P388" i="2"/>
  <c r="P397" i="2"/>
  <c r="P412" i="2"/>
  <c r="P414" i="2"/>
  <c r="P429" i="2"/>
  <c r="P444" i="2"/>
  <c r="P446" i="2"/>
  <c r="P461" i="2"/>
  <c r="P477" i="2"/>
  <c r="P493" i="2"/>
  <c r="P509" i="2"/>
  <c r="P525" i="2"/>
  <c r="P560" i="2"/>
  <c r="P577" i="2"/>
  <c r="P594" i="2"/>
  <c r="P624" i="2"/>
  <c r="P15" i="2"/>
  <c r="P19" i="2"/>
  <c r="P23" i="2"/>
  <c r="P27" i="2"/>
  <c r="P31" i="2"/>
  <c r="P35" i="2"/>
  <c r="P39" i="2"/>
  <c r="P43" i="2"/>
  <c r="P47" i="2"/>
  <c r="P51" i="2"/>
  <c r="P55" i="2"/>
  <c r="P59" i="2"/>
  <c r="P63" i="2"/>
  <c r="P67" i="2"/>
  <c r="P71" i="2"/>
  <c r="P75" i="2"/>
  <c r="P79" i="2"/>
  <c r="P83" i="2"/>
  <c r="P87" i="2"/>
  <c r="P91" i="2"/>
  <c r="P95" i="2"/>
  <c r="P99" i="2"/>
  <c r="P103" i="2"/>
  <c r="P107" i="2"/>
  <c r="P111" i="2"/>
  <c r="P115" i="2"/>
  <c r="P119" i="2"/>
  <c r="P123" i="2"/>
  <c r="P127" i="2"/>
  <c r="P131" i="2"/>
  <c r="P135" i="2"/>
  <c r="P139" i="2"/>
  <c r="P143" i="2"/>
  <c r="P147" i="2"/>
  <c r="P151" i="2"/>
  <c r="P155" i="2"/>
  <c r="P159" i="2"/>
  <c r="P163" i="2"/>
  <c r="P167" i="2"/>
  <c r="P171" i="2"/>
  <c r="P175" i="2"/>
  <c r="P176" i="2"/>
  <c r="P190" i="2"/>
  <c r="P191" i="2"/>
  <c r="P192" i="2"/>
  <c r="P206" i="2"/>
  <c r="P207" i="2"/>
  <c r="P208" i="2"/>
  <c r="P222" i="2"/>
  <c r="P223" i="2"/>
  <c r="P224" i="2"/>
  <c r="P238" i="2"/>
  <c r="P239" i="2"/>
  <c r="P240" i="2"/>
  <c r="P254" i="2"/>
  <c r="P255" i="2"/>
  <c r="P256" i="2"/>
  <c r="P270" i="2"/>
  <c r="P271" i="2"/>
  <c r="P279" i="2"/>
  <c r="P287" i="2"/>
  <c r="P295" i="2"/>
  <c r="P303" i="2"/>
  <c r="P311" i="2"/>
  <c r="P319" i="2"/>
  <c r="P327" i="2"/>
  <c r="P335" i="2"/>
  <c r="P343" i="2"/>
  <c r="P351" i="2"/>
  <c r="P359" i="2"/>
  <c r="P367" i="2"/>
  <c r="P375" i="2"/>
  <c r="P383" i="2"/>
  <c r="P391" i="2"/>
  <c r="P401" i="2"/>
  <c r="P416" i="2"/>
  <c r="P418" i="2"/>
  <c r="P433" i="2"/>
  <c r="P448" i="2"/>
  <c r="P450" i="2"/>
  <c r="P465" i="2"/>
  <c r="P480" i="2"/>
  <c r="P496" i="2"/>
  <c r="P512" i="2"/>
  <c r="P528" i="2"/>
  <c r="P564" i="2"/>
  <c r="P581" i="2"/>
  <c r="P302" i="2"/>
  <c r="P306" i="2"/>
  <c r="P310" i="2"/>
  <c r="P314" i="2"/>
  <c r="P318" i="2"/>
  <c r="P322" i="2"/>
  <c r="P326" i="2"/>
  <c r="P330" i="2"/>
  <c r="P334" i="2"/>
  <c r="P338" i="2"/>
  <c r="P342" i="2"/>
  <c r="P346" i="2"/>
  <c r="P350" i="2"/>
  <c r="P354" i="2"/>
  <c r="P358" i="2"/>
  <c r="P362" i="2"/>
  <c r="P366" i="2"/>
  <c r="P370" i="2"/>
  <c r="P374" i="2"/>
  <c r="P378" i="2"/>
  <c r="P382" i="2"/>
  <c r="P386" i="2"/>
  <c r="P390" i="2"/>
  <c r="P404" i="2"/>
  <c r="P405" i="2"/>
  <c r="P406" i="2"/>
  <c r="P420" i="2"/>
  <c r="P421" i="2"/>
  <c r="P422" i="2"/>
  <c r="P436" i="2"/>
  <c r="P437" i="2"/>
  <c r="P438" i="2"/>
  <c r="P452" i="2"/>
  <c r="P453" i="2"/>
  <c r="P454" i="2"/>
  <c r="P468" i="2"/>
  <c r="P469" i="2"/>
  <c r="P470" i="2"/>
  <c r="P481" i="2"/>
  <c r="P489" i="2"/>
  <c r="P497" i="2"/>
  <c r="P505" i="2"/>
  <c r="P513" i="2"/>
  <c r="P521" i="2"/>
  <c r="P529" i="2"/>
  <c r="P544" i="2"/>
  <c r="P546" i="2"/>
  <c r="P561" i="2"/>
  <c r="P576" i="2"/>
  <c r="P578" i="2"/>
  <c r="P593" i="2"/>
  <c r="P608" i="2"/>
  <c r="P610" i="2"/>
  <c r="P623" i="2"/>
  <c r="P619" i="2"/>
  <c r="P615" i="2"/>
  <c r="P611" i="2"/>
  <c r="P607" i="2"/>
  <c r="P603" i="2"/>
  <c r="P599" i="2"/>
  <c r="P595" i="2"/>
  <c r="P591" i="2"/>
  <c r="P587" i="2"/>
  <c r="P583" i="2"/>
  <c r="P579" i="2"/>
  <c r="P575" i="2"/>
  <c r="P571" i="2"/>
  <c r="P567" i="2"/>
  <c r="P563" i="2"/>
  <c r="P559" i="2"/>
  <c r="P555" i="2"/>
  <c r="P551" i="2"/>
  <c r="P547" i="2"/>
  <c r="P543" i="2"/>
  <c r="P539" i="2"/>
  <c r="P622" i="2"/>
  <c r="P621" i="2"/>
  <c r="P620" i="2"/>
  <c r="P606" i="2"/>
  <c r="P605" i="2"/>
  <c r="P604" i="2"/>
  <c r="P590" i="2"/>
  <c r="P589" i="2"/>
  <c r="P588" i="2"/>
  <c r="P574" i="2"/>
  <c r="P573" i="2"/>
  <c r="P572" i="2"/>
  <c r="P558" i="2"/>
  <c r="P557" i="2"/>
  <c r="P556" i="2"/>
  <c r="P542" i="2"/>
  <c r="P541" i="2"/>
  <c r="P540" i="2"/>
  <c r="P534" i="2"/>
  <c r="P530" i="2"/>
  <c r="P526" i="2"/>
  <c r="P522" i="2"/>
  <c r="P518" i="2"/>
  <c r="P514" i="2"/>
  <c r="P510" i="2"/>
  <c r="P506" i="2"/>
  <c r="P502" i="2"/>
  <c r="P498" i="2"/>
  <c r="P494" i="2"/>
  <c r="P490" i="2"/>
  <c r="P486" i="2"/>
  <c r="P482" i="2"/>
  <c r="P478" i="2"/>
  <c r="P474" i="2"/>
  <c r="P618" i="2"/>
  <c r="P617" i="2"/>
  <c r="P616" i="2"/>
  <c r="P602" i="2"/>
  <c r="P601" i="2"/>
  <c r="P600" i="2"/>
  <c r="P586" i="2"/>
  <c r="P585" i="2"/>
  <c r="P584" i="2"/>
  <c r="P570" i="2"/>
  <c r="P569" i="2"/>
  <c r="P568" i="2"/>
  <c r="P554" i="2"/>
  <c r="P553" i="2"/>
  <c r="P552" i="2"/>
  <c r="P538" i="2"/>
  <c r="P537" i="2"/>
  <c r="P536" i="2"/>
  <c r="P535" i="2"/>
  <c r="P531" i="2"/>
  <c r="P527" i="2"/>
  <c r="P523" i="2"/>
  <c r="P519" i="2"/>
  <c r="P515" i="2"/>
  <c r="P511" i="2"/>
  <c r="P507" i="2"/>
  <c r="P503" i="2"/>
  <c r="P499" i="2"/>
  <c r="P495" i="2"/>
  <c r="P491" i="2"/>
  <c r="P487" i="2"/>
  <c r="P483" i="2"/>
  <c r="P479" i="2"/>
  <c r="P475" i="2"/>
  <c r="P471" i="2"/>
  <c r="P467" i="2"/>
  <c r="P463" i="2"/>
  <c r="P459" i="2"/>
  <c r="P455" i="2"/>
  <c r="P451" i="2"/>
  <c r="P447" i="2"/>
  <c r="P443" i="2"/>
  <c r="P439" i="2"/>
  <c r="P435" i="2"/>
  <c r="P431" i="2"/>
  <c r="P427" i="2"/>
  <c r="P423" i="2"/>
  <c r="P419" i="2"/>
  <c r="P415" i="2"/>
  <c r="P411" i="2"/>
  <c r="P407" i="2"/>
  <c r="P403" i="2"/>
  <c r="P399" i="2"/>
  <c r="P395" i="2"/>
  <c r="P301" i="2"/>
  <c r="P305" i="2"/>
  <c r="P309" i="2"/>
  <c r="P313" i="2"/>
  <c r="P317" i="2"/>
  <c r="P321" i="2"/>
  <c r="P325" i="2"/>
  <c r="P329" i="2"/>
  <c r="P333" i="2"/>
  <c r="P337" i="2"/>
  <c r="P341" i="2"/>
  <c r="P345" i="2"/>
  <c r="P349" i="2"/>
  <c r="P353" i="2"/>
  <c r="P357" i="2"/>
  <c r="P361" i="2"/>
  <c r="P365" i="2"/>
  <c r="P369" i="2"/>
  <c r="P373" i="2"/>
  <c r="P377" i="2"/>
  <c r="P381" i="2"/>
  <c r="P385" i="2"/>
  <c r="P389" i="2"/>
  <c r="P393" i="2"/>
  <c r="P394" i="2"/>
  <c r="P408" i="2"/>
  <c r="P409" i="2"/>
  <c r="P410" i="2"/>
  <c r="P424" i="2"/>
  <c r="P425" i="2"/>
  <c r="P426" i="2"/>
  <c r="P440" i="2"/>
  <c r="P441" i="2"/>
  <c r="P442" i="2"/>
  <c r="P456" i="2"/>
  <c r="P457" i="2"/>
  <c r="P458" i="2"/>
  <c r="P472" i="2"/>
  <c r="P473" i="2"/>
  <c r="P476" i="2"/>
  <c r="P484" i="2"/>
  <c r="P492" i="2"/>
  <c r="P500" i="2"/>
  <c r="P508" i="2"/>
  <c r="P516" i="2"/>
  <c r="P524" i="2"/>
  <c r="P532" i="2"/>
  <c r="P548" i="2"/>
  <c r="P550" i="2"/>
  <c r="P565" i="2"/>
  <c r="P580" i="2"/>
  <c r="P582" i="2"/>
  <c r="P597" i="2"/>
  <c r="P612" i="2"/>
  <c r="P614" i="2"/>
  <c r="K632" i="2"/>
  <c r="L631" i="2"/>
  <c r="N631" i="2" s="1"/>
  <c r="L629" i="2"/>
  <c r="N629" i="2" s="1"/>
  <c r="P14" i="1"/>
  <c r="P89" i="1"/>
  <c r="R1367" i="1"/>
  <c r="R1363" i="1"/>
  <c r="R1359" i="1"/>
  <c r="R1355" i="1"/>
  <c r="R1351" i="1"/>
  <c r="R1347" i="1"/>
  <c r="R1343" i="1"/>
  <c r="R1339" i="1"/>
  <c r="R1335" i="1"/>
  <c r="R1331" i="1"/>
  <c r="R1327" i="1"/>
  <c r="R1323" i="1"/>
  <c r="R1319" i="1"/>
  <c r="R1315" i="1"/>
  <c r="R1311" i="1"/>
  <c r="R1307" i="1"/>
  <c r="R1303" i="1"/>
  <c r="R1366" i="1"/>
  <c r="R1362" i="1"/>
  <c r="R1358" i="1"/>
  <c r="R1354" i="1"/>
  <c r="R1350" i="1"/>
  <c r="R1346" i="1"/>
  <c r="R1342" i="1"/>
  <c r="R1338" i="1"/>
  <c r="R1334" i="1"/>
  <c r="R1330" i="1"/>
  <c r="R1326" i="1"/>
  <c r="R1322" i="1"/>
  <c r="R1318" i="1"/>
  <c r="R1314" i="1"/>
  <c r="R1310" i="1"/>
  <c r="R1306" i="1"/>
  <c r="R1302" i="1"/>
  <c r="R1365" i="1"/>
  <c r="R1357" i="1"/>
  <c r="R1349" i="1"/>
  <c r="R1341" i="1"/>
  <c r="R1333" i="1"/>
  <c r="R1325" i="1"/>
  <c r="R1317" i="1"/>
  <c r="R1309" i="1"/>
  <c r="R1301" i="1"/>
  <c r="R1297" i="1"/>
  <c r="R1293" i="1"/>
  <c r="R1289" i="1"/>
  <c r="R1285" i="1"/>
  <c r="R1281" i="1"/>
  <c r="R1277" i="1"/>
  <c r="R1273" i="1"/>
  <c r="R1269" i="1"/>
  <c r="R1360" i="1"/>
  <c r="R1352" i="1"/>
  <c r="R1344" i="1"/>
  <c r="R1336" i="1"/>
  <c r="R1328" i="1"/>
  <c r="R1320" i="1"/>
  <c r="R1312" i="1"/>
  <c r="R1304" i="1"/>
  <c r="R1300" i="1"/>
  <c r="R1296" i="1"/>
  <c r="R1292" i="1"/>
  <c r="R1288" i="1"/>
  <c r="R1284" i="1"/>
  <c r="R1280" i="1"/>
  <c r="R1276" i="1"/>
  <c r="R1272" i="1"/>
  <c r="R1268" i="1"/>
  <c r="R1361" i="1"/>
  <c r="R1345" i="1"/>
  <c r="R1329" i="1"/>
  <c r="R1313" i="1"/>
  <c r="R1299" i="1"/>
  <c r="R1291" i="1"/>
  <c r="R1283" i="1"/>
  <c r="R1275" i="1"/>
  <c r="R1267" i="1"/>
  <c r="R1266" i="1"/>
  <c r="R1262" i="1"/>
  <c r="R1258" i="1"/>
  <c r="R1254" i="1"/>
  <c r="R1250" i="1"/>
  <c r="R1246" i="1"/>
  <c r="R1242" i="1"/>
  <c r="R1238" i="1"/>
  <c r="R1234" i="1"/>
  <c r="R1364" i="1"/>
  <c r="R1348" i="1"/>
  <c r="R1332" i="1"/>
  <c r="R1316" i="1"/>
  <c r="R1294" i="1"/>
  <c r="R1286" i="1"/>
  <c r="R1278" i="1"/>
  <c r="R1270" i="1"/>
  <c r="R1265" i="1"/>
  <c r="R1261" i="1"/>
  <c r="R1257" i="1"/>
  <c r="R1253" i="1"/>
  <c r="R1249" i="1"/>
  <c r="R1245" i="1"/>
  <c r="R1241" i="1"/>
  <c r="R1237" i="1"/>
  <c r="R1233" i="1"/>
  <c r="R1229" i="1"/>
  <c r="R1225" i="1"/>
  <c r="R1221" i="1"/>
  <c r="R1217" i="1"/>
  <c r="R1213" i="1"/>
  <c r="R1209" i="1"/>
  <c r="R1205" i="1"/>
  <c r="R1201" i="1"/>
  <c r="R1197" i="1"/>
  <c r="R1193" i="1"/>
  <c r="R1189" i="1"/>
  <c r="R1185" i="1"/>
  <c r="R1181" i="1"/>
  <c r="R1177" i="1"/>
  <c r="R1173" i="1"/>
  <c r="R1169" i="1"/>
  <c r="R1165" i="1"/>
  <c r="R1353" i="1"/>
  <c r="R1321" i="1"/>
  <c r="R1295" i="1"/>
  <c r="R1279" i="1"/>
  <c r="R1260" i="1"/>
  <c r="R1252" i="1"/>
  <c r="R1244" i="1"/>
  <c r="R1236" i="1"/>
  <c r="R1228" i="1"/>
  <c r="R1227" i="1"/>
  <c r="R1226" i="1"/>
  <c r="R1212" i="1"/>
  <c r="R1211" i="1"/>
  <c r="R1210" i="1"/>
  <c r="R1196" i="1"/>
  <c r="R1195" i="1"/>
  <c r="R1194" i="1"/>
  <c r="R1180" i="1"/>
  <c r="R1179" i="1"/>
  <c r="R1178" i="1"/>
  <c r="R1161" i="1"/>
  <c r="R1157" i="1"/>
  <c r="R1153" i="1"/>
  <c r="R1149" i="1"/>
  <c r="R1145" i="1"/>
  <c r="R1141" i="1"/>
  <c r="R1137" i="1"/>
  <c r="R1133" i="1"/>
  <c r="R1129" i="1"/>
  <c r="R1125" i="1"/>
  <c r="R1121" i="1"/>
  <c r="R1117" i="1"/>
  <c r="R1340" i="1"/>
  <c r="R1324" i="1"/>
  <c r="R1305" i="1"/>
  <c r="R1282" i="1"/>
  <c r="R1274" i="1"/>
  <c r="R1255" i="1"/>
  <c r="R1251" i="1"/>
  <c r="R1240" i="1"/>
  <c r="R1230" i="1"/>
  <c r="R1223" i="1"/>
  <c r="R1220" i="1"/>
  <c r="R1206" i="1"/>
  <c r="R1203" i="1"/>
  <c r="R1200" i="1"/>
  <c r="R1186" i="1"/>
  <c r="R1183" i="1"/>
  <c r="R1176" i="1"/>
  <c r="R1166" i="1"/>
  <c r="R1156" i="1"/>
  <c r="R1155" i="1"/>
  <c r="R1154" i="1"/>
  <c r="R1140" i="1"/>
  <c r="R1139" i="1"/>
  <c r="R1138" i="1"/>
  <c r="R1124" i="1"/>
  <c r="R1123" i="1"/>
  <c r="R1122" i="1"/>
  <c r="R1111" i="1"/>
  <c r="R1107" i="1"/>
  <c r="R1103" i="1"/>
  <c r="R1099" i="1"/>
  <c r="R1095" i="1"/>
  <c r="R1091" i="1"/>
  <c r="R1087" i="1"/>
  <c r="R1083" i="1"/>
  <c r="R1079" i="1"/>
  <c r="R1075" i="1"/>
  <c r="R1071" i="1"/>
  <c r="R1067" i="1"/>
  <c r="R1063" i="1"/>
  <c r="R1059" i="1"/>
  <c r="R1055" i="1"/>
  <c r="R1051" i="1"/>
  <c r="R1047" i="1"/>
  <c r="R1043" i="1"/>
  <c r="R1039" i="1"/>
  <c r="R1035" i="1"/>
  <c r="R1031" i="1"/>
  <c r="R1027" i="1"/>
  <c r="R1023" i="1"/>
  <c r="R1019" i="1"/>
  <c r="R1015" i="1"/>
  <c r="R1011" i="1"/>
  <c r="R1007" i="1"/>
  <c r="R1003" i="1"/>
  <c r="R999" i="1"/>
  <c r="R995" i="1"/>
  <c r="R991" i="1"/>
  <c r="R987" i="1"/>
  <c r="R983" i="1"/>
  <c r="R979" i="1"/>
  <c r="R975" i="1"/>
  <c r="R971" i="1"/>
  <c r="R967" i="1"/>
  <c r="R963" i="1"/>
  <c r="R959" i="1"/>
  <c r="R955" i="1"/>
  <c r="R951" i="1"/>
  <c r="R947" i="1"/>
  <c r="R943" i="1"/>
  <c r="R1308" i="1"/>
  <c r="R1298" i="1"/>
  <c r="R1287" i="1"/>
  <c r="R1248" i="1"/>
  <c r="R1243" i="1"/>
  <c r="R1231" i="1"/>
  <c r="R1222" i="1"/>
  <c r="R1218" i="1"/>
  <c r="R1216" i="1"/>
  <c r="R1214" i="1"/>
  <c r="R1199" i="1"/>
  <c r="R1182" i="1"/>
  <c r="R1162" i="1"/>
  <c r="R1159" i="1"/>
  <c r="R1152" i="1"/>
  <c r="R1142" i="1"/>
  <c r="R1135" i="1"/>
  <c r="R1132" i="1"/>
  <c r="R1118" i="1"/>
  <c r="R1115" i="1"/>
  <c r="R1106" i="1"/>
  <c r="R1105" i="1"/>
  <c r="R1104" i="1"/>
  <c r="R1090" i="1"/>
  <c r="R1089" i="1"/>
  <c r="R1088" i="1"/>
  <c r="R1074" i="1"/>
  <c r="R1073" i="1"/>
  <c r="R1072" i="1"/>
  <c r="R1058" i="1"/>
  <c r="R1057" i="1"/>
  <c r="R1056" i="1"/>
  <c r="R1042" i="1"/>
  <c r="R1041" i="1"/>
  <c r="R1040" i="1"/>
  <c r="R1026" i="1"/>
  <c r="R1025" i="1"/>
  <c r="R1024" i="1"/>
  <c r="R1010" i="1"/>
  <c r="R1009" i="1"/>
  <c r="R1008" i="1"/>
  <c r="R994" i="1"/>
  <c r="R993" i="1"/>
  <c r="R992" i="1"/>
  <c r="R978" i="1"/>
  <c r="R977" i="1"/>
  <c r="R976" i="1"/>
  <c r="R962" i="1"/>
  <c r="R961" i="1"/>
  <c r="R960" i="1"/>
  <c r="R946" i="1"/>
  <c r="R945" i="1"/>
  <c r="R944" i="1"/>
  <c r="R942" i="1"/>
  <c r="R938" i="1"/>
  <c r="R934" i="1"/>
  <c r="R930" i="1"/>
  <c r="R926" i="1"/>
  <c r="R922" i="1"/>
  <c r="R918" i="1"/>
  <c r="R914" i="1"/>
  <c r="R910" i="1"/>
  <c r="R906" i="1"/>
  <c r="R902" i="1"/>
  <c r="R898" i="1"/>
  <c r="R894" i="1"/>
  <c r="R890" i="1"/>
  <c r="R886" i="1"/>
  <c r="R882" i="1"/>
  <c r="R878" i="1"/>
  <c r="R874" i="1"/>
  <c r="R870" i="1"/>
  <c r="R866" i="1"/>
  <c r="R862" i="1"/>
  <c r="R856" i="1"/>
  <c r="R852" i="1"/>
  <c r="R848" i="1"/>
  <c r="R844" i="1"/>
  <c r="R840" i="1"/>
  <c r="R836" i="1"/>
  <c r="R832" i="1"/>
  <c r="R823" i="1"/>
  <c r="R819" i="1"/>
  <c r="R815" i="1"/>
  <c r="R811" i="1"/>
  <c r="R807" i="1"/>
  <c r="R803" i="1"/>
  <c r="R799" i="1"/>
  <c r="R795" i="1"/>
  <c r="R791" i="1"/>
  <c r="R787" i="1"/>
  <c r="R783" i="1"/>
  <c r="R779" i="1"/>
  <c r="R775" i="1"/>
  <c r="R771" i="1"/>
  <c r="R767" i="1"/>
  <c r="R763" i="1"/>
  <c r="R759" i="1"/>
  <c r="R755" i="1"/>
  <c r="R751" i="1"/>
  <c r="R747" i="1"/>
  <c r="R743" i="1"/>
  <c r="R739" i="1"/>
  <c r="R735" i="1"/>
  <c r="R731" i="1"/>
  <c r="R727" i="1"/>
  <c r="R723" i="1"/>
  <c r="R719" i="1"/>
  <c r="R715" i="1"/>
  <c r="R711" i="1"/>
  <c r="R707" i="1"/>
  <c r="R703" i="1"/>
  <c r="R699" i="1"/>
  <c r="R695" i="1"/>
  <c r="R691" i="1"/>
  <c r="R687" i="1"/>
  <c r="R683" i="1"/>
  <c r="R679" i="1"/>
  <c r="R675" i="1"/>
  <c r="R671" i="1"/>
  <c r="R667" i="1"/>
  <c r="R663" i="1"/>
  <c r="R659" i="1"/>
  <c r="R655" i="1"/>
  <c r="R651" i="1"/>
  <c r="R647" i="1"/>
  <c r="R643" i="1"/>
  <c r="R639" i="1"/>
  <c r="R635" i="1"/>
  <c r="R631" i="1"/>
  <c r="R627" i="1"/>
  <c r="R623" i="1"/>
  <c r="R619" i="1"/>
  <c r="R615" i="1"/>
  <c r="R611" i="1"/>
  <c r="R607" i="1"/>
  <c r="R603" i="1"/>
  <c r="R1271" i="1"/>
  <c r="R1235" i="1"/>
  <c r="R1208" i="1"/>
  <c r="R1198" i="1"/>
  <c r="R1188" i="1"/>
  <c r="R1170" i="1"/>
  <c r="R1163" i="1"/>
  <c r="R1150" i="1"/>
  <c r="R1148" i="1"/>
  <c r="R1146" i="1"/>
  <c r="R1144" i="1"/>
  <c r="R1131" i="1"/>
  <c r="R1127" i="1"/>
  <c r="R1114" i="1"/>
  <c r="R1108" i="1"/>
  <c r="R1101" i="1"/>
  <c r="R1098" i="1"/>
  <c r="R1084" i="1"/>
  <c r="R1081" i="1"/>
  <c r="R1078" i="1"/>
  <c r="R1064" i="1"/>
  <c r="R1061" i="1"/>
  <c r="R1054" i="1"/>
  <c r="R1044" i="1"/>
  <c r="R1037" i="1"/>
  <c r="R1034" i="1"/>
  <c r="R1020" i="1"/>
  <c r="R1017" i="1"/>
  <c r="R1014" i="1"/>
  <c r="R1000" i="1"/>
  <c r="R997" i="1"/>
  <c r="R990" i="1"/>
  <c r="R980" i="1"/>
  <c r="R973" i="1"/>
  <c r="R970" i="1"/>
  <c r="R956" i="1"/>
  <c r="R953" i="1"/>
  <c r="R950" i="1"/>
  <c r="R929" i="1"/>
  <c r="R928" i="1"/>
  <c r="R927" i="1"/>
  <c r="R913" i="1"/>
  <c r="R912" i="1"/>
  <c r="R911" i="1"/>
  <c r="R897" i="1"/>
  <c r="R896" i="1"/>
  <c r="R895" i="1"/>
  <c r="R881" i="1"/>
  <c r="R880" i="1"/>
  <c r="R879" i="1"/>
  <c r="R865" i="1"/>
  <c r="R864" i="1"/>
  <c r="R863" i="1"/>
  <c r="R855" i="1"/>
  <c r="R854" i="1"/>
  <c r="R853" i="1"/>
  <c r="R839" i="1"/>
  <c r="R838" i="1"/>
  <c r="R837" i="1"/>
  <c r="R829" i="1"/>
  <c r="R825" i="1"/>
  <c r="R822" i="1"/>
  <c r="R821" i="1"/>
  <c r="R820" i="1"/>
  <c r="R806" i="1"/>
  <c r="R805" i="1"/>
  <c r="R804" i="1"/>
  <c r="R790" i="1"/>
  <c r="R789" i="1"/>
  <c r="R788" i="1"/>
  <c r="R774" i="1"/>
  <c r="R773" i="1"/>
  <c r="R772" i="1"/>
  <c r="R758" i="1"/>
  <c r="R757" i="1"/>
  <c r="R756" i="1"/>
  <c r="R742" i="1"/>
  <c r="R741" i="1"/>
  <c r="R740" i="1"/>
  <c r="R726" i="1"/>
  <c r="R725" i="1"/>
  <c r="R724" i="1"/>
  <c r="R710" i="1"/>
  <c r="R709" i="1"/>
  <c r="R708" i="1"/>
  <c r="R694" i="1"/>
  <c r="R693" i="1"/>
  <c r="R692" i="1"/>
  <c r="R678" i="1"/>
  <c r="R677" i="1"/>
  <c r="R676" i="1"/>
  <c r="R662" i="1"/>
  <c r="R661" i="1"/>
  <c r="R660" i="1"/>
  <c r="R646" i="1"/>
  <c r="R645" i="1"/>
  <c r="R644" i="1"/>
  <c r="R630" i="1"/>
  <c r="R629" i="1"/>
  <c r="R628" i="1"/>
  <c r="R614" i="1"/>
  <c r="R613" i="1"/>
  <c r="R612" i="1"/>
  <c r="R597" i="1"/>
  <c r="R593" i="1"/>
  <c r="R589" i="1"/>
  <c r="R585" i="1"/>
  <c r="R581" i="1"/>
  <c r="R577" i="1"/>
  <c r="R573" i="1"/>
  <c r="R569" i="1"/>
  <c r="R565" i="1"/>
  <c r="R561" i="1"/>
  <c r="R557" i="1"/>
  <c r="R553" i="1"/>
  <c r="R549" i="1"/>
  <c r="R545" i="1"/>
  <c r="R541" i="1"/>
  <c r="R537" i="1"/>
  <c r="R533" i="1"/>
  <c r="R529" i="1"/>
  <c r="R525" i="1"/>
  <c r="R521" i="1"/>
  <c r="R517" i="1"/>
  <c r="R513" i="1"/>
  <c r="R509" i="1"/>
  <c r="R505" i="1"/>
  <c r="R501" i="1"/>
  <c r="R497" i="1"/>
  <c r="R493" i="1"/>
  <c r="R489" i="1"/>
  <c r="R485" i="1"/>
  <c r="R481" i="1"/>
  <c r="R477" i="1"/>
  <c r="R473" i="1"/>
  <c r="R469" i="1"/>
  <c r="R465" i="1"/>
  <c r="R461" i="1"/>
  <c r="R457" i="1"/>
  <c r="R453" i="1"/>
  <c r="R449" i="1"/>
  <c r="R445" i="1"/>
  <c r="R441" i="1"/>
  <c r="R437" i="1"/>
  <c r="R433" i="1"/>
  <c r="R429" i="1"/>
  <c r="R425" i="1"/>
  <c r="R421" i="1"/>
  <c r="R417" i="1"/>
  <c r="R413" i="1"/>
  <c r="R409" i="1"/>
  <c r="R405" i="1"/>
  <c r="R401" i="1"/>
  <c r="R397" i="1"/>
  <c r="R393" i="1"/>
  <c r="R389" i="1"/>
  <c r="R385" i="1"/>
  <c r="R381" i="1"/>
  <c r="R377" i="1"/>
  <c r="R373" i="1"/>
  <c r="R369" i="1"/>
  <c r="R365" i="1"/>
  <c r="R361" i="1"/>
  <c r="R357" i="1"/>
  <c r="R353" i="1"/>
  <c r="R349" i="1"/>
  <c r="R345" i="1"/>
  <c r="R341" i="1"/>
  <c r="R337" i="1"/>
  <c r="R333" i="1"/>
  <c r="R329" i="1"/>
  <c r="R325" i="1"/>
  <c r="R321" i="1"/>
  <c r="R1264" i="1"/>
  <c r="R1256" i="1"/>
  <c r="R1215" i="1"/>
  <c r="R1190" i="1"/>
  <c r="R1187" i="1"/>
  <c r="R1175" i="1"/>
  <c r="R1172" i="1"/>
  <c r="R1167" i="1"/>
  <c r="R1136" i="1"/>
  <c r="R1119" i="1"/>
  <c r="R1112" i="1"/>
  <c r="R1109" i="1"/>
  <c r="R1102" i="1"/>
  <c r="R1092" i="1"/>
  <c r="R1085" i="1"/>
  <c r="R1082" i="1"/>
  <c r="R1068" i="1"/>
  <c r="R1065" i="1"/>
  <c r="R1062" i="1"/>
  <c r="R1048" i="1"/>
  <c r="R1045" i="1"/>
  <c r="R1038" i="1"/>
  <c r="R1028" i="1"/>
  <c r="R1021" i="1"/>
  <c r="R1018" i="1"/>
  <c r="R1004" i="1"/>
  <c r="R1001" i="1"/>
  <c r="R998" i="1"/>
  <c r="R984" i="1"/>
  <c r="R981" i="1"/>
  <c r="R974" i="1"/>
  <c r="R964" i="1"/>
  <c r="R957" i="1"/>
  <c r="R954" i="1"/>
  <c r="R933" i="1"/>
  <c r="R932" i="1"/>
  <c r="R931" i="1"/>
  <c r="R917" i="1"/>
  <c r="R916" i="1"/>
  <c r="R915" i="1"/>
  <c r="R901" i="1"/>
  <c r="R900" i="1"/>
  <c r="R899" i="1"/>
  <c r="R885" i="1"/>
  <c r="R884" i="1"/>
  <c r="R883" i="1"/>
  <c r="R869" i="1"/>
  <c r="R868" i="1"/>
  <c r="R867" i="1"/>
  <c r="R857" i="1"/>
  <c r="R843" i="1"/>
  <c r="R842" i="1"/>
  <c r="R841" i="1"/>
  <c r="R828" i="1"/>
  <c r="R824" i="1"/>
  <c r="R810" i="1"/>
  <c r="R809" i="1"/>
  <c r="R808" i="1"/>
  <c r="R794" i="1"/>
  <c r="R793" i="1"/>
  <c r="R792" i="1"/>
  <c r="R1356" i="1"/>
  <c r="R1259" i="1"/>
  <c r="R1204" i="1"/>
  <c r="R1184" i="1"/>
  <c r="R1174" i="1"/>
  <c r="R1164" i="1"/>
  <c r="R1160" i="1"/>
  <c r="R1134" i="1"/>
  <c r="R1130" i="1"/>
  <c r="R1126" i="1"/>
  <c r="R1086" i="1"/>
  <c r="R1069" i="1"/>
  <c r="R1066" i="1"/>
  <c r="R1052" i="1"/>
  <c r="R1049" i="1"/>
  <c r="R1046" i="1"/>
  <c r="R1032" i="1"/>
  <c r="R1029" i="1"/>
  <c r="R1012" i="1"/>
  <c r="R958" i="1"/>
  <c r="R937" i="1"/>
  <c r="R935" i="1"/>
  <c r="R920" i="1"/>
  <c r="R905" i="1"/>
  <c r="R903" i="1"/>
  <c r="R888" i="1"/>
  <c r="R873" i="1"/>
  <c r="R871" i="1"/>
  <c r="R851" i="1"/>
  <c r="R849" i="1"/>
  <c r="R834" i="1"/>
  <c r="R830" i="1"/>
  <c r="R826" i="1"/>
  <c r="R814" i="1"/>
  <c r="R812" i="1"/>
  <c r="R797" i="1"/>
  <c r="R776" i="1"/>
  <c r="R769" i="1"/>
  <c r="R766" i="1"/>
  <c r="R752" i="1"/>
  <c r="R749" i="1"/>
  <c r="R746" i="1"/>
  <c r="R732" i="1"/>
  <c r="R729" i="1"/>
  <c r="R722" i="1"/>
  <c r="R712" i="1"/>
  <c r="R705" i="1"/>
  <c r="R702" i="1"/>
  <c r="R688" i="1"/>
  <c r="R685" i="1"/>
  <c r="R682" i="1"/>
  <c r="R668" i="1"/>
  <c r="R665" i="1"/>
  <c r="R658" i="1"/>
  <c r="R648" i="1"/>
  <c r="R641" i="1"/>
  <c r="R638" i="1"/>
  <c r="R624" i="1"/>
  <c r="R621" i="1"/>
  <c r="R618" i="1"/>
  <c r="R604" i="1"/>
  <c r="R601" i="1"/>
  <c r="R588" i="1"/>
  <c r="R587" i="1"/>
  <c r="R586" i="1"/>
  <c r="R572" i="1"/>
  <c r="R571" i="1"/>
  <c r="R570" i="1"/>
  <c r="R556" i="1"/>
  <c r="R555" i="1"/>
  <c r="R554" i="1"/>
  <c r="R540" i="1"/>
  <c r="R539" i="1"/>
  <c r="R538" i="1"/>
  <c r="R524" i="1"/>
  <c r="R523" i="1"/>
  <c r="R522" i="1"/>
  <c r="R508" i="1"/>
  <c r="R507" i="1"/>
  <c r="R506" i="1"/>
  <c r="R492" i="1"/>
  <c r="R491" i="1"/>
  <c r="R490" i="1"/>
  <c r="R476" i="1"/>
  <c r="R475" i="1"/>
  <c r="R474" i="1"/>
  <c r="R460" i="1"/>
  <c r="R459" i="1"/>
  <c r="R458" i="1"/>
  <c r="R444" i="1"/>
  <c r="R443" i="1"/>
  <c r="R442" i="1"/>
  <c r="R428" i="1"/>
  <c r="R427" i="1"/>
  <c r="R426" i="1"/>
  <c r="R412" i="1"/>
  <c r="R411" i="1"/>
  <c r="R410" i="1"/>
  <c r="R396" i="1"/>
  <c r="R395" i="1"/>
  <c r="R394" i="1"/>
  <c r="R380" i="1"/>
  <c r="R379" i="1"/>
  <c r="R378" i="1"/>
  <c r="R364" i="1"/>
  <c r="R363" i="1"/>
  <c r="R362" i="1"/>
  <c r="R348" i="1"/>
  <c r="R347" i="1"/>
  <c r="R346" i="1"/>
  <c r="R332" i="1"/>
  <c r="R331" i="1"/>
  <c r="R330" i="1"/>
  <c r="R315" i="1"/>
  <c r="R311" i="1"/>
  <c r="R1224" i="1"/>
  <c r="R1219" i="1"/>
  <c r="R1168" i="1"/>
  <c r="R1100" i="1"/>
  <c r="R1097" i="1"/>
  <c r="R1094" i="1"/>
  <c r="R1080" i="1"/>
  <c r="R1077" i="1"/>
  <c r="R1060" i="1"/>
  <c r="R1006" i="1"/>
  <c r="R989" i="1"/>
  <c r="R986" i="1"/>
  <c r="R972" i="1"/>
  <c r="R969" i="1"/>
  <c r="R966" i="1"/>
  <c r="R952" i="1"/>
  <c r="R949" i="1"/>
  <c r="R941" i="1"/>
  <c r="R939" i="1"/>
  <c r="R924" i="1"/>
  <c r="R909" i="1"/>
  <c r="R907" i="1"/>
  <c r="R892" i="1"/>
  <c r="R877" i="1"/>
  <c r="R875" i="1"/>
  <c r="R860" i="1"/>
  <c r="R846" i="1"/>
  <c r="R831" i="1"/>
  <c r="R827" i="1"/>
  <c r="R818" i="1"/>
  <c r="R816" i="1"/>
  <c r="R801" i="1"/>
  <c r="R786" i="1"/>
  <c r="R780" i="1"/>
  <c r="R777" i="1"/>
  <c r="R770" i="1"/>
  <c r="R760" i="1"/>
  <c r="R753" i="1"/>
  <c r="R750" i="1"/>
  <c r="R736" i="1"/>
  <c r="R733" i="1"/>
  <c r="R730" i="1"/>
  <c r="R716" i="1"/>
  <c r="R713" i="1"/>
  <c r="R706" i="1"/>
  <c r="R696" i="1"/>
  <c r="R689" i="1"/>
  <c r="R686" i="1"/>
  <c r="R672" i="1"/>
  <c r="R669" i="1"/>
  <c r="R666" i="1"/>
  <c r="R652" i="1"/>
  <c r="R649" i="1"/>
  <c r="R642" i="1"/>
  <c r="R632" i="1"/>
  <c r="R625" i="1"/>
  <c r="R622" i="1"/>
  <c r="R608" i="1"/>
  <c r="R605" i="1"/>
  <c r="R602" i="1"/>
  <c r="R592" i="1"/>
  <c r="R591" i="1"/>
  <c r="R590" i="1"/>
  <c r="R576" i="1"/>
  <c r="R575" i="1"/>
  <c r="R574" i="1"/>
  <c r="R560" i="1"/>
  <c r="R559" i="1"/>
  <c r="R558" i="1"/>
  <c r="R544" i="1"/>
  <c r="R543" i="1"/>
  <c r="R542" i="1"/>
  <c r="R528" i="1"/>
  <c r="R527" i="1"/>
  <c r="R526" i="1"/>
  <c r="R512" i="1"/>
  <c r="R511" i="1"/>
  <c r="R510" i="1"/>
  <c r="R496" i="1"/>
  <c r="R495" i="1"/>
  <c r="R494" i="1"/>
  <c r="R480" i="1"/>
  <c r="R479" i="1"/>
  <c r="R478" i="1"/>
  <c r="R464" i="1"/>
  <c r="R463" i="1"/>
  <c r="R462" i="1"/>
  <c r="R448" i="1"/>
  <c r="R447" i="1"/>
  <c r="R446" i="1"/>
  <c r="R432" i="1"/>
  <c r="R431" i="1"/>
  <c r="R430" i="1"/>
  <c r="R416" i="1"/>
  <c r="R415" i="1"/>
  <c r="R414" i="1"/>
  <c r="R400" i="1"/>
  <c r="R399" i="1"/>
  <c r="R398" i="1"/>
  <c r="R384" i="1"/>
  <c r="R383" i="1"/>
  <c r="R382" i="1"/>
  <c r="R368" i="1"/>
  <c r="R367" i="1"/>
  <c r="R366" i="1"/>
  <c r="R352" i="1"/>
  <c r="R351" i="1"/>
  <c r="R350" i="1"/>
  <c r="R336" i="1"/>
  <c r="R335" i="1"/>
  <c r="R334" i="1"/>
  <c r="R320" i="1"/>
  <c r="R319" i="1"/>
  <c r="R318" i="1"/>
  <c r="R314" i="1"/>
  <c r="R310" i="1"/>
  <c r="R306" i="1"/>
  <c r="R302" i="1"/>
  <c r="R298" i="1"/>
  <c r="R294" i="1"/>
  <c r="R290" i="1"/>
  <c r="R286" i="1"/>
  <c r="R282" i="1"/>
  <c r="R278" i="1"/>
  <c r="R274" i="1"/>
  <c r="R270" i="1"/>
  <c r="R266" i="1"/>
  <c r="R262" i="1"/>
  <c r="R258" i="1"/>
  <c r="R254" i="1"/>
  <c r="R250" i="1"/>
  <c r="R246" i="1"/>
  <c r="R242" i="1"/>
  <c r="R238" i="1"/>
  <c r="R234" i="1"/>
  <c r="R230" i="1"/>
  <c r="R226" i="1"/>
  <c r="R12" i="1"/>
  <c r="R19" i="1"/>
  <c r="R22" i="1"/>
  <c r="R29" i="1"/>
  <c r="R31" i="1"/>
  <c r="P38" i="1"/>
  <c r="R44" i="1"/>
  <c r="R52" i="1"/>
  <c r="P56" i="1"/>
  <c r="R59" i="1"/>
  <c r="R73" i="1"/>
  <c r="R83" i="1"/>
  <c r="R86" i="1"/>
  <c r="R98" i="1"/>
  <c r="R106" i="1"/>
  <c r="R114" i="1"/>
  <c r="R122" i="1"/>
  <c r="R126" i="1"/>
  <c r="R138" i="1"/>
  <c r="R146" i="1"/>
  <c r="R158" i="1"/>
  <c r="R162" i="1"/>
  <c r="R170" i="1"/>
  <c r="R178" i="1"/>
  <c r="R182" i="1"/>
  <c r="R186" i="1"/>
  <c r="R194" i="1"/>
  <c r="R198" i="1"/>
  <c r="R218" i="1"/>
  <c r="R232" i="1"/>
  <c r="R247" i="1"/>
  <c r="R249" i="1"/>
  <c r="R264" i="1"/>
  <c r="R279" i="1"/>
  <c r="R281" i="1"/>
  <c r="R296" i="1"/>
  <c r="R326" i="1"/>
  <c r="R343" i="1"/>
  <c r="R360" i="1"/>
  <c r="R375" i="1"/>
  <c r="R390" i="1"/>
  <c r="R407" i="1"/>
  <c r="R424" i="1"/>
  <c r="R456" i="1"/>
  <c r="R486" i="1"/>
  <c r="R503" i="1"/>
  <c r="R518" i="1"/>
  <c r="R550" i="1"/>
  <c r="R584" i="1"/>
  <c r="R599" i="1"/>
  <c r="R610" i="1"/>
  <c r="R664" i="1"/>
  <c r="R681" i="1"/>
  <c r="R698" i="1"/>
  <c r="R701" i="1"/>
  <c r="R718" i="1"/>
  <c r="R721" i="1"/>
  <c r="R738" i="1"/>
  <c r="R800" i="1"/>
  <c r="R817" i="1"/>
  <c r="R835" i="1"/>
  <c r="R887" i="1"/>
  <c r="R904" i="1"/>
  <c r="R921" i="1"/>
  <c r="R948" i="1"/>
  <c r="R965" i="1"/>
  <c r="R982" i="1"/>
  <c r="R988" i="1"/>
  <c r="R1005" i="1"/>
  <c r="R1022" i="1"/>
  <c r="R1096" i="1"/>
  <c r="R1113" i="1"/>
  <c r="R1128" i="1"/>
  <c r="R1143" i="1"/>
  <c r="R1151" i="1"/>
  <c r="R1207" i="1"/>
  <c r="K8" i="1"/>
  <c r="R8" i="1"/>
  <c r="R10" i="1"/>
  <c r="J1369" i="1"/>
  <c r="P13" i="1"/>
  <c r="R15" i="1"/>
  <c r="P18" i="1"/>
  <c r="R20" i="1"/>
  <c r="R23" i="1"/>
  <c r="P24" i="1"/>
  <c r="R27" i="1"/>
  <c r="P28" i="1"/>
  <c r="P30" i="1"/>
  <c r="R32" i="1"/>
  <c r="P33" i="1"/>
  <c r="R36" i="1"/>
  <c r="R41" i="1"/>
  <c r="P42" i="1"/>
  <c r="R45" i="1"/>
  <c r="P46" i="1"/>
  <c r="R49" i="1"/>
  <c r="P50" i="1"/>
  <c r="R53" i="1"/>
  <c r="P54" i="1"/>
  <c r="P57" i="1"/>
  <c r="P60" i="1"/>
  <c r="P63" i="1"/>
  <c r="R65" i="1"/>
  <c r="R68" i="1"/>
  <c r="P69" i="1"/>
  <c r="R71" i="1"/>
  <c r="P72" i="1"/>
  <c r="R74" i="1"/>
  <c r="P75" i="1"/>
  <c r="R78" i="1"/>
  <c r="R80" i="1"/>
  <c r="P81" i="1"/>
  <c r="R84" i="1"/>
  <c r="R87" i="1"/>
  <c r="P88" i="1"/>
  <c r="R90" i="1"/>
  <c r="P91" i="1"/>
  <c r="R93" i="1"/>
  <c r="R95" i="1"/>
  <c r="P96" i="1"/>
  <c r="R99" i="1"/>
  <c r="P100" i="1"/>
  <c r="R103" i="1"/>
  <c r="P104" i="1"/>
  <c r="R107" i="1"/>
  <c r="P108" i="1"/>
  <c r="R111" i="1"/>
  <c r="P112" i="1"/>
  <c r="R115" i="1"/>
  <c r="P116" i="1"/>
  <c r="R119" i="1"/>
  <c r="P120" i="1"/>
  <c r="R123" i="1"/>
  <c r="P124" i="1"/>
  <c r="R127" i="1"/>
  <c r="P128" i="1"/>
  <c r="R131" i="1"/>
  <c r="P132" i="1"/>
  <c r="R135" i="1"/>
  <c r="P136" i="1"/>
  <c r="R139" i="1"/>
  <c r="P140" i="1"/>
  <c r="R143" i="1"/>
  <c r="P144" i="1"/>
  <c r="R147" i="1"/>
  <c r="P148" i="1"/>
  <c r="R151" i="1"/>
  <c r="P152" i="1"/>
  <c r="R155" i="1"/>
  <c r="P156" i="1"/>
  <c r="R159" i="1"/>
  <c r="P160" i="1"/>
  <c r="R163" i="1"/>
  <c r="P164" i="1"/>
  <c r="R167" i="1"/>
  <c r="P168" i="1"/>
  <c r="R171" i="1"/>
  <c r="P172" i="1"/>
  <c r="R175" i="1"/>
  <c r="P176" i="1"/>
  <c r="R179" i="1"/>
  <c r="P180" i="1"/>
  <c r="R183" i="1"/>
  <c r="P184" i="1"/>
  <c r="R187" i="1"/>
  <c r="P188" i="1"/>
  <c r="R191" i="1"/>
  <c r="P192" i="1"/>
  <c r="R195" i="1"/>
  <c r="P196" i="1"/>
  <c r="R199" i="1"/>
  <c r="P200" i="1"/>
  <c r="R203" i="1"/>
  <c r="P204" i="1"/>
  <c r="R207" i="1"/>
  <c r="P208" i="1"/>
  <c r="R211" i="1"/>
  <c r="P212" i="1"/>
  <c r="R215" i="1"/>
  <c r="P216" i="1"/>
  <c r="R219" i="1"/>
  <c r="P220" i="1"/>
  <c r="R223" i="1"/>
  <c r="P224" i="1"/>
  <c r="P225" i="1"/>
  <c r="P226" i="1"/>
  <c r="R227" i="1"/>
  <c r="R228" i="1"/>
  <c r="R229" i="1"/>
  <c r="P240" i="1"/>
  <c r="P241" i="1"/>
  <c r="P242" i="1"/>
  <c r="R243" i="1"/>
  <c r="R244" i="1"/>
  <c r="R245" i="1"/>
  <c r="P256" i="1"/>
  <c r="P257" i="1"/>
  <c r="P258" i="1"/>
  <c r="R259" i="1"/>
  <c r="R260" i="1"/>
  <c r="R261" i="1"/>
  <c r="P272" i="1"/>
  <c r="P273" i="1"/>
  <c r="P274" i="1"/>
  <c r="R275" i="1"/>
  <c r="R276" i="1"/>
  <c r="R277" i="1"/>
  <c r="P288" i="1"/>
  <c r="P289" i="1"/>
  <c r="P290" i="1"/>
  <c r="R291" i="1"/>
  <c r="R292" i="1"/>
  <c r="R293" i="1"/>
  <c r="P304" i="1"/>
  <c r="P305" i="1"/>
  <c r="P306" i="1"/>
  <c r="R307" i="1"/>
  <c r="R308" i="1"/>
  <c r="R309" i="1"/>
  <c r="R313" i="1"/>
  <c r="P318" i="1"/>
  <c r="P320" i="1"/>
  <c r="R322" i="1"/>
  <c r="R324" i="1"/>
  <c r="P335" i="1"/>
  <c r="P337" i="1"/>
  <c r="R339" i="1"/>
  <c r="P352" i="1"/>
  <c r="R354" i="1"/>
  <c r="R356" i="1"/>
  <c r="P367" i="1"/>
  <c r="P369" i="1"/>
  <c r="R371" i="1"/>
  <c r="P384" i="1"/>
  <c r="R386" i="1"/>
  <c r="R388" i="1"/>
  <c r="P399" i="1"/>
  <c r="P401" i="1"/>
  <c r="R403" i="1"/>
  <c r="P416" i="1"/>
  <c r="R418" i="1"/>
  <c r="R420" i="1"/>
  <c r="P431" i="1"/>
  <c r="P433" i="1"/>
  <c r="R435" i="1"/>
  <c r="P448" i="1"/>
  <c r="R450" i="1"/>
  <c r="R452" i="1"/>
  <c r="P463" i="1"/>
  <c r="P465" i="1"/>
  <c r="R467" i="1"/>
  <c r="P480" i="1"/>
  <c r="R482" i="1"/>
  <c r="R484" i="1"/>
  <c r="P495" i="1"/>
  <c r="P497" i="1"/>
  <c r="R499" i="1"/>
  <c r="P512" i="1"/>
  <c r="R514" i="1"/>
  <c r="R516" i="1"/>
  <c r="P527" i="1"/>
  <c r="P529" i="1"/>
  <c r="R531" i="1"/>
  <c r="P544" i="1"/>
  <c r="R546" i="1"/>
  <c r="R548" i="1"/>
  <c r="P559" i="1"/>
  <c r="P561" i="1"/>
  <c r="R563" i="1"/>
  <c r="P576" i="1"/>
  <c r="R578" i="1"/>
  <c r="R580" i="1"/>
  <c r="P591" i="1"/>
  <c r="P593" i="1"/>
  <c r="R595" i="1"/>
  <c r="P602" i="1"/>
  <c r="P605" i="1"/>
  <c r="R616" i="1"/>
  <c r="P619" i="1"/>
  <c r="P622" i="1"/>
  <c r="R633" i="1"/>
  <c r="R636" i="1"/>
  <c r="P639" i="1"/>
  <c r="R650" i="1"/>
  <c r="R653" i="1"/>
  <c r="R656" i="1"/>
  <c r="R670" i="1"/>
  <c r="R673" i="1"/>
  <c r="R690" i="1"/>
  <c r="P693" i="1"/>
  <c r="P710" i="1"/>
  <c r="P713" i="1"/>
  <c r="P727" i="1"/>
  <c r="P730" i="1"/>
  <c r="P733" i="1"/>
  <c r="R744" i="1"/>
  <c r="P747" i="1"/>
  <c r="P750" i="1"/>
  <c r="R761" i="1"/>
  <c r="R764" i="1"/>
  <c r="P767" i="1"/>
  <c r="R778" i="1"/>
  <c r="R781" i="1"/>
  <c r="R784" i="1"/>
  <c r="R796" i="1"/>
  <c r="P809" i="1"/>
  <c r="R813" i="1"/>
  <c r="R845" i="1"/>
  <c r="R859" i="1"/>
  <c r="P872" i="1"/>
  <c r="R876" i="1"/>
  <c r="P889" i="1"/>
  <c r="R893" i="1"/>
  <c r="P906" i="1"/>
  <c r="R923" i="1"/>
  <c r="P936" i="1"/>
  <c r="R940" i="1"/>
  <c r="P945" i="1"/>
  <c r="P962" i="1"/>
  <c r="P979" i="1"/>
  <c r="P985" i="1"/>
  <c r="R996" i="1"/>
  <c r="P1002" i="1"/>
  <c r="R1013" i="1"/>
  <c r="P1019" i="1"/>
  <c r="R1030" i="1"/>
  <c r="R1036" i="1"/>
  <c r="R1053" i="1"/>
  <c r="R1070" i="1"/>
  <c r="P1093" i="1"/>
  <c r="P1110" i="1"/>
  <c r="R1116" i="1"/>
  <c r="P1124" i="1"/>
  <c r="P1139" i="1"/>
  <c r="P1147" i="1"/>
  <c r="R1171" i="1"/>
  <c r="P1181" i="1"/>
  <c r="R1191" i="1"/>
  <c r="R1232" i="1"/>
  <c r="R1247" i="1"/>
  <c r="P92" i="1"/>
  <c r="R17" i="1"/>
  <c r="R26" i="1"/>
  <c r="R35" i="1"/>
  <c r="R40" i="1"/>
  <c r="R48" i="1"/>
  <c r="R62" i="1"/>
  <c r="R67" i="1"/>
  <c r="R77" i="1"/>
  <c r="R102" i="1"/>
  <c r="R110" i="1"/>
  <c r="R118" i="1"/>
  <c r="R130" i="1"/>
  <c r="R134" i="1"/>
  <c r="R142" i="1"/>
  <c r="R150" i="1"/>
  <c r="R154" i="1"/>
  <c r="R166" i="1"/>
  <c r="R174" i="1"/>
  <c r="R190" i="1"/>
  <c r="R202" i="1"/>
  <c r="R206" i="1"/>
  <c r="R210" i="1"/>
  <c r="R214" i="1"/>
  <c r="R222" i="1"/>
  <c r="R231" i="1"/>
  <c r="R233" i="1"/>
  <c r="R248" i="1"/>
  <c r="R263" i="1"/>
  <c r="R265" i="1"/>
  <c r="R280" i="1"/>
  <c r="R295" i="1"/>
  <c r="R297" i="1"/>
  <c r="R316" i="1"/>
  <c r="R328" i="1"/>
  <c r="R358" i="1"/>
  <c r="R392" i="1"/>
  <c r="R422" i="1"/>
  <c r="R439" i="1"/>
  <c r="R454" i="1"/>
  <c r="R471" i="1"/>
  <c r="R488" i="1"/>
  <c r="R520" i="1"/>
  <c r="R535" i="1"/>
  <c r="R552" i="1"/>
  <c r="R567" i="1"/>
  <c r="R582" i="1"/>
  <c r="R684" i="1"/>
  <c r="R704" i="1"/>
  <c r="R6" i="1"/>
  <c r="P1364" i="1"/>
  <c r="P1360" i="1"/>
  <c r="P1356" i="1"/>
  <c r="P1352" i="1"/>
  <c r="P1348" i="1"/>
  <c r="P1344" i="1"/>
  <c r="P1340" i="1"/>
  <c r="P1336" i="1"/>
  <c r="P1332" i="1"/>
  <c r="P1328" i="1"/>
  <c r="P1324" i="1"/>
  <c r="P1320" i="1"/>
  <c r="P1316" i="1"/>
  <c r="P1312" i="1"/>
  <c r="P1308" i="1"/>
  <c r="P1304" i="1"/>
  <c r="P1367" i="1"/>
  <c r="P1363" i="1"/>
  <c r="P1359" i="1"/>
  <c r="P1355" i="1"/>
  <c r="P1351" i="1"/>
  <c r="P1347" i="1"/>
  <c r="P1343" i="1"/>
  <c r="P1339" i="1"/>
  <c r="P1335" i="1"/>
  <c r="P1331" i="1"/>
  <c r="P1327" i="1"/>
  <c r="P1323" i="1"/>
  <c r="P1319" i="1"/>
  <c r="P1315" i="1"/>
  <c r="P1311" i="1"/>
  <c r="P1307" i="1"/>
  <c r="P1303" i="1"/>
  <c r="P1362" i="1"/>
  <c r="P1354" i="1"/>
  <c r="P1346" i="1"/>
  <c r="P1338" i="1"/>
  <c r="P1330" i="1"/>
  <c r="P1322" i="1"/>
  <c r="P1314" i="1"/>
  <c r="P1306" i="1"/>
  <c r="P1298" i="1"/>
  <c r="P1294" i="1"/>
  <c r="P1290" i="1"/>
  <c r="P1286" i="1"/>
  <c r="P1282" i="1"/>
  <c r="P1278" i="1"/>
  <c r="P1274" i="1"/>
  <c r="P1270" i="1"/>
  <c r="P1365" i="1"/>
  <c r="P1357" i="1"/>
  <c r="P1349" i="1"/>
  <c r="P1341" i="1"/>
  <c r="P1333" i="1"/>
  <c r="P1325" i="1"/>
  <c r="P1317" i="1"/>
  <c r="P1309" i="1"/>
  <c r="P1301" i="1"/>
  <c r="P1297" i="1"/>
  <c r="P1293" i="1"/>
  <c r="P1289" i="1"/>
  <c r="P1285" i="1"/>
  <c r="P1281" i="1"/>
  <c r="P1277" i="1"/>
  <c r="P1273" i="1"/>
  <c r="P1269" i="1"/>
  <c r="P1358" i="1"/>
  <c r="P1342" i="1"/>
  <c r="P1326" i="1"/>
  <c r="P1310" i="1"/>
  <c r="P1296" i="1"/>
  <c r="P1288" i="1"/>
  <c r="P1280" i="1"/>
  <c r="P1272" i="1"/>
  <c r="P1263" i="1"/>
  <c r="P1259" i="1"/>
  <c r="P1255" i="1"/>
  <c r="P1251" i="1"/>
  <c r="P1247" i="1"/>
  <c r="P1243" i="1"/>
  <c r="P1239" i="1"/>
  <c r="P1235" i="1"/>
  <c r="P1361" i="1"/>
  <c r="P1345" i="1"/>
  <c r="P1329" i="1"/>
  <c r="P1313" i="1"/>
  <c r="P1299" i="1"/>
  <c r="P1291" i="1"/>
  <c r="P1283" i="1"/>
  <c r="P1275" i="1"/>
  <c r="P1267" i="1"/>
  <c r="P1266" i="1"/>
  <c r="P1262" i="1"/>
  <c r="P1258" i="1"/>
  <c r="P1254" i="1"/>
  <c r="P1250" i="1"/>
  <c r="P1246" i="1"/>
  <c r="P1242" i="1"/>
  <c r="P1238" i="1"/>
  <c r="P1234" i="1"/>
  <c r="P1230" i="1"/>
  <c r="P1226" i="1"/>
  <c r="P1222" i="1"/>
  <c r="P1218" i="1"/>
  <c r="P1214" i="1"/>
  <c r="P1210" i="1"/>
  <c r="P1206" i="1"/>
  <c r="P1202" i="1"/>
  <c r="P1198" i="1"/>
  <c r="P1194" i="1"/>
  <c r="P1190" i="1"/>
  <c r="P1186" i="1"/>
  <c r="P1182" i="1"/>
  <c r="P1178" i="1"/>
  <c r="P1174" i="1"/>
  <c r="P1170" i="1"/>
  <c r="P1166" i="1"/>
  <c r="P1366" i="1"/>
  <c r="P1334" i="1"/>
  <c r="P1302" i="1"/>
  <c r="P1292" i="1"/>
  <c r="P1276" i="1"/>
  <c r="P1265" i="1"/>
  <c r="P1257" i="1"/>
  <c r="P1249" i="1"/>
  <c r="P1241" i="1"/>
  <c r="P1233" i="1"/>
  <c r="P1225" i="1"/>
  <c r="P1224" i="1"/>
  <c r="P1223" i="1"/>
  <c r="P1209" i="1"/>
  <c r="P1208" i="1"/>
  <c r="P1207" i="1"/>
  <c r="P1193" i="1"/>
  <c r="P1192" i="1"/>
  <c r="P1191" i="1"/>
  <c r="P1177" i="1"/>
  <c r="P1176" i="1"/>
  <c r="P1175" i="1"/>
  <c r="P1162" i="1"/>
  <c r="P1158" i="1"/>
  <c r="P1154" i="1"/>
  <c r="P1150" i="1"/>
  <c r="P1146" i="1"/>
  <c r="P1142" i="1"/>
  <c r="P1138" i="1"/>
  <c r="P1134" i="1"/>
  <c r="P1130" i="1"/>
  <c r="P1126" i="1"/>
  <c r="P1122" i="1"/>
  <c r="P1118" i="1"/>
  <c r="P1114" i="1"/>
  <c r="P1295" i="1"/>
  <c r="P1287" i="1"/>
  <c r="P1264" i="1"/>
  <c r="P1253" i="1"/>
  <c r="P1236" i="1"/>
  <c r="P1232" i="1"/>
  <c r="P1219" i="1"/>
  <c r="P1216" i="1"/>
  <c r="P1213" i="1"/>
  <c r="P1199" i="1"/>
  <c r="P1196" i="1"/>
  <c r="P1189" i="1"/>
  <c r="P1179" i="1"/>
  <c r="P1172" i="1"/>
  <c r="P1169" i="1"/>
  <c r="P1153" i="1"/>
  <c r="P1152" i="1"/>
  <c r="P1151" i="1"/>
  <c r="P1137" i="1"/>
  <c r="P1136" i="1"/>
  <c r="P1135" i="1"/>
  <c r="P1121" i="1"/>
  <c r="P1120" i="1"/>
  <c r="P1119" i="1"/>
  <c r="P1112" i="1"/>
  <c r="P1108" i="1"/>
  <c r="P1104" i="1"/>
  <c r="P1100" i="1"/>
  <c r="P1096" i="1"/>
  <c r="P1092" i="1"/>
  <c r="P1088" i="1"/>
  <c r="P1084" i="1"/>
  <c r="P1080" i="1"/>
  <c r="P1076" i="1"/>
  <c r="P1072" i="1"/>
  <c r="P1068" i="1"/>
  <c r="P1064" i="1"/>
  <c r="P1060" i="1"/>
  <c r="P1056" i="1"/>
  <c r="P1052" i="1"/>
  <c r="P1048" i="1"/>
  <c r="P1044" i="1"/>
  <c r="P1040" i="1"/>
  <c r="P1036" i="1"/>
  <c r="P1032" i="1"/>
  <c r="P1028" i="1"/>
  <c r="P1024" i="1"/>
  <c r="P1020" i="1"/>
  <c r="P1016" i="1"/>
  <c r="P1012" i="1"/>
  <c r="P1008" i="1"/>
  <c r="P1004" i="1"/>
  <c r="P1000" i="1"/>
  <c r="P996" i="1"/>
  <c r="P992" i="1"/>
  <c r="P988" i="1"/>
  <c r="P984" i="1"/>
  <c r="P980" i="1"/>
  <c r="P976" i="1"/>
  <c r="P972" i="1"/>
  <c r="P968" i="1"/>
  <c r="P964" i="1"/>
  <c r="P960" i="1"/>
  <c r="P956" i="1"/>
  <c r="P952" i="1"/>
  <c r="P948" i="1"/>
  <c r="P944" i="1"/>
  <c r="P1353" i="1"/>
  <c r="P1318" i="1"/>
  <c r="P1271" i="1"/>
  <c r="P1260" i="1"/>
  <c r="P1240" i="1"/>
  <c r="P1237" i="1"/>
  <c r="P1220" i="1"/>
  <c r="P1205" i="1"/>
  <c r="P1203" i="1"/>
  <c r="P1201" i="1"/>
  <c r="P1197" i="1"/>
  <c r="P1188" i="1"/>
  <c r="P1184" i="1"/>
  <c r="P1180" i="1"/>
  <c r="P1171" i="1"/>
  <c r="P1167" i="1"/>
  <c r="P1165" i="1"/>
  <c r="P1155" i="1"/>
  <c r="P1148" i="1"/>
  <c r="P1145" i="1"/>
  <c r="P1131" i="1"/>
  <c r="P1128" i="1"/>
  <c r="P1125" i="1"/>
  <c r="P1103" i="1"/>
  <c r="P1102" i="1"/>
  <c r="P1101" i="1"/>
  <c r="P1087" i="1"/>
  <c r="P1086" i="1"/>
  <c r="P1085" i="1"/>
  <c r="P1071" i="1"/>
  <c r="P1070" i="1"/>
  <c r="P1069" i="1"/>
  <c r="P1055" i="1"/>
  <c r="P1054" i="1"/>
  <c r="P1053" i="1"/>
  <c r="P1039" i="1"/>
  <c r="P1038" i="1"/>
  <c r="P1037" i="1"/>
  <c r="P1023" i="1"/>
  <c r="P1022" i="1"/>
  <c r="P1021" i="1"/>
  <c r="P1007" i="1"/>
  <c r="P1006" i="1"/>
  <c r="P1005" i="1"/>
  <c r="P991" i="1"/>
  <c r="P990" i="1"/>
  <c r="P989" i="1"/>
  <c r="P975" i="1"/>
  <c r="P974" i="1"/>
  <c r="P973" i="1"/>
  <c r="P959" i="1"/>
  <c r="P958" i="1"/>
  <c r="P957" i="1"/>
  <c r="P943" i="1"/>
  <c r="P939" i="1"/>
  <c r="P935" i="1"/>
  <c r="P931" i="1"/>
  <c r="P927" i="1"/>
  <c r="P923" i="1"/>
  <c r="P919" i="1"/>
  <c r="P915" i="1"/>
  <c r="P911" i="1"/>
  <c r="P907" i="1"/>
  <c r="P903" i="1"/>
  <c r="P899" i="1"/>
  <c r="P895" i="1"/>
  <c r="P891" i="1"/>
  <c r="P887" i="1"/>
  <c r="P883" i="1"/>
  <c r="P879" i="1"/>
  <c r="P875" i="1"/>
  <c r="P871" i="1"/>
  <c r="P867" i="1"/>
  <c r="P863" i="1"/>
  <c r="P857" i="1"/>
  <c r="P853" i="1"/>
  <c r="P849" i="1"/>
  <c r="P845" i="1"/>
  <c r="P841" i="1"/>
  <c r="P837" i="1"/>
  <c r="P833" i="1"/>
  <c r="P830" i="1"/>
  <c r="P828" i="1"/>
  <c r="P826" i="1"/>
  <c r="P824" i="1"/>
  <c r="P820" i="1"/>
  <c r="P816" i="1"/>
  <c r="P812" i="1"/>
  <c r="P808" i="1"/>
  <c r="P804" i="1"/>
  <c r="P800" i="1"/>
  <c r="P796" i="1"/>
  <c r="P792" i="1"/>
  <c r="P788" i="1"/>
  <c r="P784" i="1"/>
  <c r="P780" i="1"/>
  <c r="P776" i="1"/>
  <c r="P772" i="1"/>
  <c r="P768" i="1"/>
  <c r="P764" i="1"/>
  <c r="P760" i="1"/>
  <c r="P756" i="1"/>
  <c r="P752" i="1"/>
  <c r="P748" i="1"/>
  <c r="P744" i="1"/>
  <c r="P740" i="1"/>
  <c r="P736" i="1"/>
  <c r="P732" i="1"/>
  <c r="P728" i="1"/>
  <c r="P724" i="1"/>
  <c r="P720" i="1"/>
  <c r="P716" i="1"/>
  <c r="P712" i="1"/>
  <c r="P708" i="1"/>
  <c r="P704" i="1"/>
  <c r="P700" i="1"/>
  <c r="P696" i="1"/>
  <c r="P692" i="1"/>
  <c r="P688" i="1"/>
  <c r="P684" i="1"/>
  <c r="P680" i="1"/>
  <c r="P676" i="1"/>
  <c r="P672" i="1"/>
  <c r="P668" i="1"/>
  <c r="P664" i="1"/>
  <c r="P660" i="1"/>
  <c r="P656" i="1"/>
  <c r="P652" i="1"/>
  <c r="P648" i="1"/>
  <c r="P644" i="1"/>
  <c r="P640" i="1"/>
  <c r="P636" i="1"/>
  <c r="P632" i="1"/>
  <c r="P628" i="1"/>
  <c r="P624" i="1"/>
  <c r="P620" i="1"/>
  <c r="P616" i="1"/>
  <c r="P612" i="1"/>
  <c r="P608" i="1"/>
  <c r="P604" i="1"/>
  <c r="P1279" i="1"/>
  <c r="P1261" i="1"/>
  <c r="P1231" i="1"/>
  <c r="P1221" i="1"/>
  <c r="P1211" i="1"/>
  <c r="P1183" i="1"/>
  <c r="P1173" i="1"/>
  <c r="P1168" i="1"/>
  <c r="P1133" i="1"/>
  <c r="P1129" i="1"/>
  <c r="P1116" i="1"/>
  <c r="P1111" i="1"/>
  <c r="P1097" i="1"/>
  <c r="P1094" i="1"/>
  <c r="P1091" i="1"/>
  <c r="P1077" i="1"/>
  <c r="P1074" i="1"/>
  <c r="P1067" i="1"/>
  <c r="P1057" i="1"/>
  <c r="P1050" i="1"/>
  <c r="P1047" i="1"/>
  <c r="P1033" i="1"/>
  <c r="P1030" i="1"/>
  <c r="P1027" i="1"/>
  <c r="P1013" i="1"/>
  <c r="P1010" i="1"/>
  <c r="P1003" i="1"/>
  <c r="P993" i="1"/>
  <c r="P986" i="1"/>
  <c r="P983" i="1"/>
  <c r="P969" i="1"/>
  <c r="P966" i="1"/>
  <c r="P963" i="1"/>
  <c r="P949" i="1"/>
  <c r="P946" i="1"/>
  <c r="P942" i="1"/>
  <c r="P941" i="1"/>
  <c r="P940" i="1"/>
  <c r="P926" i="1"/>
  <c r="P925" i="1"/>
  <c r="P924" i="1"/>
  <c r="P910" i="1"/>
  <c r="P909" i="1"/>
  <c r="P908" i="1"/>
  <c r="P894" i="1"/>
  <c r="P893" i="1"/>
  <c r="P892" i="1"/>
  <c r="P878" i="1"/>
  <c r="P877" i="1"/>
  <c r="P876" i="1"/>
  <c r="P862" i="1"/>
  <c r="P861" i="1"/>
  <c r="P860" i="1"/>
  <c r="P852" i="1"/>
  <c r="P851" i="1"/>
  <c r="P850" i="1"/>
  <c r="P836" i="1"/>
  <c r="P835" i="1"/>
  <c r="P834" i="1"/>
  <c r="P819" i="1"/>
  <c r="P818" i="1"/>
  <c r="P817" i="1"/>
  <c r="P803" i="1"/>
  <c r="P802" i="1"/>
  <c r="P801" i="1"/>
  <c r="P787" i="1"/>
  <c r="P786" i="1"/>
  <c r="P785" i="1"/>
  <c r="P771" i="1"/>
  <c r="P770" i="1"/>
  <c r="P769" i="1"/>
  <c r="P755" i="1"/>
  <c r="P754" i="1"/>
  <c r="P753" i="1"/>
  <c r="P739" i="1"/>
  <c r="P738" i="1"/>
  <c r="P737" i="1"/>
  <c r="P723" i="1"/>
  <c r="P722" i="1"/>
  <c r="P721" i="1"/>
  <c r="P707" i="1"/>
  <c r="P706" i="1"/>
  <c r="P705" i="1"/>
  <c r="P691" i="1"/>
  <c r="P690" i="1"/>
  <c r="P689" i="1"/>
  <c r="P675" i="1"/>
  <c r="P674" i="1"/>
  <c r="P673" i="1"/>
  <c r="P659" i="1"/>
  <c r="P658" i="1"/>
  <c r="P657" i="1"/>
  <c r="P643" i="1"/>
  <c r="P642" i="1"/>
  <c r="P641" i="1"/>
  <c r="P627" i="1"/>
  <c r="P626" i="1"/>
  <c r="P625" i="1"/>
  <c r="P611" i="1"/>
  <c r="P610" i="1"/>
  <c r="P609" i="1"/>
  <c r="P598" i="1"/>
  <c r="P594" i="1"/>
  <c r="P590" i="1"/>
  <c r="P586" i="1"/>
  <c r="P582" i="1"/>
  <c r="P578" i="1"/>
  <c r="P574" i="1"/>
  <c r="P570" i="1"/>
  <c r="P566" i="1"/>
  <c r="P562" i="1"/>
  <c r="P558" i="1"/>
  <c r="P554" i="1"/>
  <c r="P550" i="1"/>
  <c r="P546" i="1"/>
  <c r="P542" i="1"/>
  <c r="P538" i="1"/>
  <c r="P534" i="1"/>
  <c r="P530" i="1"/>
  <c r="P526" i="1"/>
  <c r="P522" i="1"/>
  <c r="P518" i="1"/>
  <c r="P514" i="1"/>
  <c r="P510" i="1"/>
  <c r="P506" i="1"/>
  <c r="P502" i="1"/>
  <c r="P498" i="1"/>
  <c r="P494" i="1"/>
  <c r="P490" i="1"/>
  <c r="P486" i="1"/>
  <c r="P482" i="1"/>
  <c r="P478" i="1"/>
  <c r="P474" i="1"/>
  <c r="P470" i="1"/>
  <c r="P466" i="1"/>
  <c r="P462" i="1"/>
  <c r="P458" i="1"/>
  <c r="P454" i="1"/>
  <c r="P450" i="1"/>
  <c r="P446" i="1"/>
  <c r="P442" i="1"/>
  <c r="P438" i="1"/>
  <c r="P434" i="1"/>
  <c r="P430" i="1"/>
  <c r="P426" i="1"/>
  <c r="P422" i="1"/>
  <c r="P418" i="1"/>
  <c r="P414" i="1"/>
  <c r="P410" i="1"/>
  <c r="P406" i="1"/>
  <c r="P402" i="1"/>
  <c r="P398" i="1"/>
  <c r="P394" i="1"/>
  <c r="P390" i="1"/>
  <c r="P386" i="1"/>
  <c r="P382" i="1"/>
  <c r="P378" i="1"/>
  <c r="P374" i="1"/>
  <c r="P370" i="1"/>
  <c r="P366" i="1"/>
  <c r="P362" i="1"/>
  <c r="P358" i="1"/>
  <c r="P354" i="1"/>
  <c r="P350" i="1"/>
  <c r="P346" i="1"/>
  <c r="P342" i="1"/>
  <c r="P338" i="1"/>
  <c r="P334" i="1"/>
  <c r="P330" i="1"/>
  <c r="P326" i="1"/>
  <c r="P322" i="1"/>
  <c r="P1300" i="1"/>
  <c r="P1284" i="1"/>
  <c r="P1268" i="1"/>
  <c r="P1245" i="1"/>
  <c r="P1228" i="1"/>
  <c r="P1200" i="1"/>
  <c r="P1195" i="1"/>
  <c r="P1185" i="1"/>
  <c r="P1163" i="1"/>
  <c r="P1161" i="1"/>
  <c r="P1159" i="1"/>
  <c r="P1157" i="1"/>
  <c r="P1144" i="1"/>
  <c r="P1140" i="1"/>
  <c r="P1127" i="1"/>
  <c r="P1123" i="1"/>
  <c r="P1105" i="1"/>
  <c r="P1098" i="1"/>
  <c r="P1095" i="1"/>
  <c r="P1081" i="1"/>
  <c r="P1078" i="1"/>
  <c r="P1075" i="1"/>
  <c r="P1061" i="1"/>
  <c r="P1058" i="1"/>
  <c r="P1051" i="1"/>
  <c r="P1041" i="1"/>
  <c r="P1034" i="1"/>
  <c r="P1031" i="1"/>
  <c r="P1017" i="1"/>
  <c r="P1014" i="1"/>
  <c r="P1011" i="1"/>
  <c r="P997" i="1"/>
  <c r="P994" i="1"/>
  <c r="P987" i="1"/>
  <c r="P977" i="1"/>
  <c r="P970" i="1"/>
  <c r="P967" i="1"/>
  <c r="P953" i="1"/>
  <c r="P950" i="1"/>
  <c r="P947" i="1"/>
  <c r="P930" i="1"/>
  <c r="P929" i="1"/>
  <c r="P928" i="1"/>
  <c r="P914" i="1"/>
  <c r="P913" i="1"/>
  <c r="P912" i="1"/>
  <c r="P898" i="1"/>
  <c r="P897" i="1"/>
  <c r="P896" i="1"/>
  <c r="P882" i="1"/>
  <c r="P881" i="1"/>
  <c r="P880" i="1"/>
  <c r="P866" i="1"/>
  <c r="P865" i="1"/>
  <c r="P864" i="1"/>
  <c r="P858" i="1"/>
  <c r="P856" i="1"/>
  <c r="P855" i="1"/>
  <c r="P854" i="1"/>
  <c r="P840" i="1"/>
  <c r="P839" i="1"/>
  <c r="P838" i="1"/>
  <c r="P829" i="1"/>
  <c r="P825" i="1"/>
  <c r="P823" i="1"/>
  <c r="P822" i="1"/>
  <c r="P821" i="1"/>
  <c r="P807" i="1"/>
  <c r="P806" i="1"/>
  <c r="P805" i="1"/>
  <c r="P791" i="1"/>
  <c r="P790" i="1"/>
  <c r="P789" i="1"/>
  <c r="P1252" i="1"/>
  <c r="P1244" i="1"/>
  <c r="P1215" i="1"/>
  <c r="P1149" i="1"/>
  <c r="P1115" i="1"/>
  <c r="P1109" i="1"/>
  <c r="P1106" i="1"/>
  <c r="P1089" i="1"/>
  <c r="P1035" i="1"/>
  <c r="P1018" i="1"/>
  <c r="P1015" i="1"/>
  <c r="P1001" i="1"/>
  <c r="P998" i="1"/>
  <c r="P995" i="1"/>
  <c r="P981" i="1"/>
  <c r="P978" i="1"/>
  <c r="P961" i="1"/>
  <c r="P933" i="1"/>
  <c r="P918" i="1"/>
  <c r="P916" i="1"/>
  <c r="P901" i="1"/>
  <c r="P886" i="1"/>
  <c r="P884" i="1"/>
  <c r="P869" i="1"/>
  <c r="P847" i="1"/>
  <c r="P832" i="1"/>
  <c r="P810" i="1"/>
  <c r="P795" i="1"/>
  <c r="P793" i="1"/>
  <c r="P782" i="1"/>
  <c r="P779" i="1"/>
  <c r="P765" i="1"/>
  <c r="P762" i="1"/>
  <c r="P759" i="1"/>
  <c r="P745" i="1"/>
  <c r="P742" i="1"/>
  <c r="P735" i="1"/>
  <c r="P725" i="1"/>
  <c r="P718" i="1"/>
  <c r="P715" i="1"/>
  <c r="P701" i="1"/>
  <c r="P698" i="1"/>
  <c r="P695" i="1"/>
  <c r="P681" i="1"/>
  <c r="P678" i="1"/>
  <c r="P671" i="1"/>
  <c r="P661" i="1"/>
  <c r="P654" i="1"/>
  <c r="P651" i="1"/>
  <c r="P637" i="1"/>
  <c r="P634" i="1"/>
  <c r="P631" i="1"/>
  <c r="P617" i="1"/>
  <c r="P614" i="1"/>
  <c r="P607" i="1"/>
  <c r="P600" i="1"/>
  <c r="P599" i="1"/>
  <c r="P585" i="1"/>
  <c r="P584" i="1"/>
  <c r="P583" i="1"/>
  <c r="P569" i="1"/>
  <c r="P568" i="1"/>
  <c r="P567" i="1"/>
  <c r="P553" i="1"/>
  <c r="P552" i="1"/>
  <c r="P551" i="1"/>
  <c r="P537" i="1"/>
  <c r="P536" i="1"/>
  <c r="P535" i="1"/>
  <c r="P521" i="1"/>
  <c r="P520" i="1"/>
  <c r="P519" i="1"/>
  <c r="P505" i="1"/>
  <c r="P504" i="1"/>
  <c r="P503" i="1"/>
  <c r="P489" i="1"/>
  <c r="P488" i="1"/>
  <c r="P487" i="1"/>
  <c r="P473" i="1"/>
  <c r="P472" i="1"/>
  <c r="P471" i="1"/>
  <c r="P457" i="1"/>
  <c r="P456" i="1"/>
  <c r="P455" i="1"/>
  <c r="P441" i="1"/>
  <c r="P440" i="1"/>
  <c r="P439" i="1"/>
  <c r="P425" i="1"/>
  <c r="P424" i="1"/>
  <c r="P423" i="1"/>
  <c r="P409" i="1"/>
  <c r="P408" i="1"/>
  <c r="P407" i="1"/>
  <c r="P393" i="1"/>
  <c r="P392" i="1"/>
  <c r="P391" i="1"/>
  <c r="P377" i="1"/>
  <c r="P376" i="1"/>
  <c r="P375" i="1"/>
  <c r="P361" i="1"/>
  <c r="P360" i="1"/>
  <c r="P359" i="1"/>
  <c r="P345" i="1"/>
  <c r="P344" i="1"/>
  <c r="P343" i="1"/>
  <c r="P329" i="1"/>
  <c r="P328" i="1"/>
  <c r="P327" i="1"/>
  <c r="P316" i="1"/>
  <c r="P312" i="1"/>
  <c r="P1350" i="1"/>
  <c r="P1321" i="1"/>
  <c r="P1229" i="1"/>
  <c r="P1204" i="1"/>
  <c r="P1164" i="1"/>
  <c r="P1160" i="1"/>
  <c r="P1156" i="1"/>
  <c r="P1141" i="1"/>
  <c r="P1083" i="1"/>
  <c r="P1066" i="1"/>
  <c r="P1063" i="1"/>
  <c r="P1049" i="1"/>
  <c r="P1046" i="1"/>
  <c r="P1043" i="1"/>
  <c r="P1029" i="1"/>
  <c r="P1026" i="1"/>
  <c r="P1009" i="1"/>
  <c r="P955" i="1"/>
  <c r="P937" i="1"/>
  <c r="P922" i="1"/>
  <c r="P920" i="1"/>
  <c r="P905" i="1"/>
  <c r="P890" i="1"/>
  <c r="P888" i="1"/>
  <c r="P873" i="1"/>
  <c r="P844" i="1"/>
  <c r="P842" i="1"/>
  <c r="P814" i="1"/>
  <c r="P799" i="1"/>
  <c r="P797" i="1"/>
  <c r="P783" i="1"/>
  <c r="P773" i="1"/>
  <c r="P766" i="1"/>
  <c r="P763" i="1"/>
  <c r="P749" i="1"/>
  <c r="P746" i="1"/>
  <c r="P743" i="1"/>
  <c r="P729" i="1"/>
  <c r="P726" i="1"/>
  <c r="P719" i="1"/>
  <c r="P709" i="1"/>
  <c r="P702" i="1"/>
  <c r="P699" i="1"/>
  <c r="P685" i="1"/>
  <c r="P682" i="1"/>
  <c r="P679" i="1"/>
  <c r="P665" i="1"/>
  <c r="P662" i="1"/>
  <c r="P655" i="1"/>
  <c r="P645" i="1"/>
  <c r="P638" i="1"/>
  <c r="P635" i="1"/>
  <c r="P621" i="1"/>
  <c r="P618" i="1"/>
  <c r="P615" i="1"/>
  <c r="P601" i="1"/>
  <c r="P589" i="1"/>
  <c r="P588" i="1"/>
  <c r="P587" i="1"/>
  <c r="P573" i="1"/>
  <c r="P572" i="1"/>
  <c r="P571" i="1"/>
  <c r="P557" i="1"/>
  <c r="P556" i="1"/>
  <c r="P555" i="1"/>
  <c r="P541" i="1"/>
  <c r="P540" i="1"/>
  <c r="P539" i="1"/>
  <c r="P525" i="1"/>
  <c r="P524" i="1"/>
  <c r="P523" i="1"/>
  <c r="P509" i="1"/>
  <c r="P508" i="1"/>
  <c r="P507" i="1"/>
  <c r="P493" i="1"/>
  <c r="P492" i="1"/>
  <c r="P491" i="1"/>
  <c r="P477" i="1"/>
  <c r="P476" i="1"/>
  <c r="P475" i="1"/>
  <c r="P461" i="1"/>
  <c r="P460" i="1"/>
  <c r="P459" i="1"/>
  <c r="P445" i="1"/>
  <c r="P444" i="1"/>
  <c r="P443" i="1"/>
  <c r="P429" i="1"/>
  <c r="P428" i="1"/>
  <c r="P427" i="1"/>
  <c r="P413" i="1"/>
  <c r="P412" i="1"/>
  <c r="P411" i="1"/>
  <c r="P397" i="1"/>
  <c r="P396" i="1"/>
  <c r="P395" i="1"/>
  <c r="P381" i="1"/>
  <c r="P380" i="1"/>
  <c r="P379" i="1"/>
  <c r="P365" i="1"/>
  <c r="P364" i="1"/>
  <c r="P363" i="1"/>
  <c r="P349" i="1"/>
  <c r="P348" i="1"/>
  <c r="P347" i="1"/>
  <c r="P333" i="1"/>
  <c r="P332" i="1"/>
  <c r="P331" i="1"/>
  <c r="P315" i="1"/>
  <c r="P311" i="1"/>
  <c r="P307" i="1"/>
  <c r="P303" i="1"/>
  <c r="P299" i="1"/>
  <c r="P295" i="1"/>
  <c r="P291" i="1"/>
  <c r="P287" i="1"/>
  <c r="P283" i="1"/>
  <c r="P279" i="1"/>
  <c r="P275" i="1"/>
  <c r="P271" i="1"/>
  <c r="P267" i="1"/>
  <c r="P263" i="1"/>
  <c r="P259" i="1"/>
  <c r="P255" i="1"/>
  <c r="P251" i="1"/>
  <c r="P247" i="1"/>
  <c r="P243" i="1"/>
  <c r="P239" i="1"/>
  <c r="P235" i="1"/>
  <c r="P231" i="1"/>
  <c r="P227" i="1"/>
  <c r="P11" i="1"/>
  <c r="R13" i="1"/>
  <c r="R18" i="1"/>
  <c r="P21" i="1"/>
  <c r="R24" i="1"/>
  <c r="P25" i="1"/>
  <c r="R28" i="1"/>
  <c r="R33" i="1"/>
  <c r="P34" i="1"/>
  <c r="R42" i="1"/>
  <c r="P43" i="1"/>
  <c r="R46" i="1"/>
  <c r="P47" i="1"/>
  <c r="R50" i="1"/>
  <c r="P51" i="1"/>
  <c r="R54" i="1"/>
  <c r="P55" i="1"/>
  <c r="R57" i="1"/>
  <c r="P58" i="1"/>
  <c r="P61" i="1"/>
  <c r="P64" i="1"/>
  <c r="R69" i="1"/>
  <c r="P70" i="1"/>
  <c r="R72" i="1"/>
  <c r="R75" i="1"/>
  <c r="P76" i="1"/>
  <c r="R81" i="1"/>
  <c r="P82" i="1"/>
  <c r="R88" i="1"/>
  <c r="R91" i="1"/>
  <c r="R96" i="1"/>
  <c r="P97" i="1"/>
  <c r="R100" i="1"/>
  <c r="P101" i="1"/>
  <c r="R104" i="1"/>
  <c r="P105" i="1"/>
  <c r="R108" i="1"/>
  <c r="P109" i="1"/>
  <c r="R112" i="1"/>
  <c r="P113" i="1"/>
  <c r="R116" i="1"/>
  <c r="P117" i="1"/>
  <c r="R120" i="1"/>
  <c r="P121" i="1"/>
  <c r="R124" i="1"/>
  <c r="P125" i="1"/>
  <c r="R128" i="1"/>
  <c r="P129" i="1"/>
  <c r="R132" i="1"/>
  <c r="P133" i="1"/>
  <c r="R136" i="1"/>
  <c r="P137" i="1"/>
  <c r="R140" i="1"/>
  <c r="P141" i="1"/>
  <c r="R144" i="1"/>
  <c r="P145" i="1"/>
  <c r="R148" i="1"/>
  <c r="P149" i="1"/>
  <c r="R152" i="1"/>
  <c r="P153" i="1"/>
  <c r="R156" i="1"/>
  <c r="P157" i="1"/>
  <c r="R160" i="1"/>
  <c r="P161" i="1"/>
  <c r="R164" i="1"/>
  <c r="P165" i="1"/>
  <c r="R168" i="1"/>
  <c r="P169" i="1"/>
  <c r="R172" i="1"/>
  <c r="P173" i="1"/>
  <c r="R176" i="1"/>
  <c r="P177" i="1"/>
  <c r="R180" i="1"/>
  <c r="P181" i="1"/>
  <c r="R184" i="1"/>
  <c r="P185" i="1"/>
  <c r="R188" i="1"/>
  <c r="P189" i="1"/>
  <c r="R192" i="1"/>
  <c r="P193" i="1"/>
  <c r="R196" i="1"/>
  <c r="P197" i="1"/>
  <c r="R200" i="1"/>
  <c r="P201" i="1"/>
  <c r="R204" i="1"/>
  <c r="P205" i="1"/>
  <c r="R208" i="1"/>
  <c r="P209" i="1"/>
  <c r="R212" i="1"/>
  <c r="P213" i="1"/>
  <c r="R216" i="1"/>
  <c r="P217" i="1"/>
  <c r="R220" i="1"/>
  <c r="P221" i="1"/>
  <c r="R224" i="1"/>
  <c r="R225" i="1"/>
  <c r="P236" i="1"/>
  <c r="P237" i="1"/>
  <c r="P238" i="1"/>
  <c r="R239" i="1"/>
  <c r="R240" i="1"/>
  <c r="R241" i="1"/>
  <c r="P252" i="1"/>
  <c r="P253" i="1"/>
  <c r="P254" i="1"/>
  <c r="R255" i="1"/>
  <c r="R256" i="1"/>
  <c r="R257" i="1"/>
  <c r="P268" i="1"/>
  <c r="P269" i="1"/>
  <c r="P270" i="1"/>
  <c r="R271" i="1"/>
  <c r="R272" i="1"/>
  <c r="R273" i="1"/>
  <c r="P284" i="1"/>
  <c r="P285" i="1"/>
  <c r="P286" i="1"/>
  <c r="R287" i="1"/>
  <c r="R288" i="1"/>
  <c r="R289" i="1"/>
  <c r="P300" i="1"/>
  <c r="P301" i="1"/>
  <c r="P302" i="1"/>
  <c r="R303" i="1"/>
  <c r="R304" i="1"/>
  <c r="R305" i="1"/>
  <c r="R312" i="1"/>
  <c r="P317" i="1"/>
  <c r="P323" i="1"/>
  <c r="P325" i="1"/>
  <c r="R327" i="1"/>
  <c r="P340" i="1"/>
  <c r="R342" i="1"/>
  <c r="R344" i="1"/>
  <c r="P355" i="1"/>
  <c r="P357" i="1"/>
  <c r="R359" i="1"/>
  <c r="P372" i="1"/>
  <c r="R374" i="1"/>
  <c r="R376" i="1"/>
  <c r="P387" i="1"/>
  <c r="P389" i="1"/>
  <c r="R391" i="1"/>
  <c r="P404" i="1"/>
  <c r="R406" i="1"/>
  <c r="R408" i="1"/>
  <c r="P419" i="1"/>
  <c r="P421" i="1"/>
  <c r="R423" i="1"/>
  <c r="P436" i="1"/>
  <c r="R438" i="1"/>
  <c r="R440" i="1"/>
  <c r="P451" i="1"/>
  <c r="P453" i="1"/>
  <c r="R455" i="1"/>
  <c r="P468" i="1"/>
  <c r="R470" i="1"/>
  <c r="R472" i="1"/>
  <c r="P483" i="1"/>
  <c r="P485" i="1"/>
  <c r="R487" i="1"/>
  <c r="P500" i="1"/>
  <c r="R502" i="1"/>
  <c r="R504" i="1"/>
  <c r="P515" i="1"/>
  <c r="P517" i="1"/>
  <c r="R519" i="1"/>
  <c r="P532" i="1"/>
  <c r="R534" i="1"/>
  <c r="R536" i="1"/>
  <c r="P547" i="1"/>
  <c r="P549" i="1"/>
  <c r="R551" i="1"/>
  <c r="P564" i="1"/>
  <c r="R566" i="1"/>
  <c r="R568" i="1"/>
  <c r="P579" i="1"/>
  <c r="P581" i="1"/>
  <c r="R583" i="1"/>
  <c r="P596" i="1"/>
  <c r="R598" i="1"/>
  <c r="R600" i="1"/>
  <c r="P603" i="1"/>
  <c r="P606" i="1"/>
  <c r="R617" i="1"/>
  <c r="R620" i="1"/>
  <c r="P623" i="1"/>
  <c r="R634" i="1"/>
  <c r="R637" i="1"/>
  <c r="R640" i="1"/>
  <c r="R654" i="1"/>
  <c r="R657" i="1"/>
  <c r="R674" i="1"/>
  <c r="P677" i="1"/>
  <c r="P694" i="1"/>
  <c r="P697" i="1"/>
  <c r="P711" i="1"/>
  <c r="P714" i="1"/>
  <c r="P717" i="1"/>
  <c r="R728" i="1"/>
  <c r="P731" i="1"/>
  <c r="P734" i="1"/>
  <c r="R745" i="1"/>
  <c r="R748" i="1"/>
  <c r="P751" i="1"/>
  <c r="R762" i="1"/>
  <c r="R765" i="1"/>
  <c r="R768" i="1"/>
  <c r="R782" i="1"/>
  <c r="R785" i="1"/>
  <c r="P798" i="1"/>
  <c r="R802" i="1"/>
  <c r="P815" i="1"/>
  <c r="R833" i="1"/>
  <c r="P846" i="1"/>
  <c r="R850" i="1"/>
  <c r="P868" i="1"/>
  <c r="R872" i="1"/>
  <c r="P885" i="1"/>
  <c r="R889" i="1"/>
  <c r="P902" i="1"/>
  <c r="R919" i="1"/>
  <c r="P932" i="1"/>
  <c r="R936" i="1"/>
  <c r="P951" i="1"/>
  <c r="R968" i="1"/>
  <c r="R985" i="1"/>
  <c r="R1002" i="1"/>
  <c r="P1025" i="1"/>
  <c r="P1042" i="1"/>
  <c r="P1059" i="1"/>
  <c r="P1065" i="1"/>
  <c r="R1076" i="1"/>
  <c r="P1082" i="1"/>
  <c r="R1093" i="1"/>
  <c r="P1099" i="1"/>
  <c r="R1110" i="1"/>
  <c r="P1117" i="1"/>
  <c r="P1132" i="1"/>
  <c r="R1147" i="1"/>
  <c r="R1192" i="1"/>
  <c r="R1202" i="1"/>
  <c r="P1212" i="1"/>
  <c r="P1248" i="1"/>
  <c r="R1263" i="1"/>
  <c r="R1290" i="1"/>
  <c r="R1337" i="1"/>
  <c r="P859" i="1"/>
  <c r="R858" i="1"/>
  <c r="J14" i="5" l="1"/>
  <c r="K13" i="5"/>
  <c r="M13" i="5" s="1"/>
  <c r="K1075" i="5"/>
  <c r="M1075" i="5" s="1"/>
  <c r="P926" i="4"/>
  <c r="G10" i="9" s="1"/>
  <c r="R1369" i="1"/>
  <c r="D10" i="9" s="1"/>
  <c r="R1372" i="3"/>
  <c r="F9" i="9" s="1"/>
  <c r="P924" i="2"/>
  <c r="E10" i="9" s="1"/>
  <c r="T1369" i="1"/>
  <c r="D9" i="9" s="1"/>
  <c r="P1369" i="1"/>
  <c r="R924" i="2"/>
  <c r="E9" i="9" s="1"/>
  <c r="R926" i="4"/>
  <c r="G9" i="9" s="1"/>
  <c r="L501" i="4"/>
  <c r="N501" i="4" s="1"/>
  <c r="L607" i="4"/>
  <c r="N607" i="4" s="1"/>
  <c r="L309" i="4"/>
  <c r="N309" i="4" s="1"/>
  <c r="K310" i="4"/>
  <c r="L412" i="4"/>
  <c r="N412" i="4" s="1"/>
  <c r="K8" i="4"/>
  <c r="L7" i="4"/>
  <c r="N7" i="4" s="1"/>
  <c r="P1372" i="3"/>
  <c r="F10" i="9" s="1"/>
  <c r="L8" i="3"/>
  <c r="N8" i="3" s="1"/>
  <c r="K9" i="3"/>
  <c r="K8" i="2"/>
  <c r="L7" i="2"/>
  <c r="N7" i="2" s="1"/>
  <c r="K633" i="2"/>
  <c r="L632" i="2"/>
  <c r="N632" i="2" s="1"/>
  <c r="K305" i="2"/>
  <c r="L304" i="2"/>
  <c r="N304" i="2" s="1"/>
  <c r="L8" i="1"/>
  <c r="N8" i="1" s="1"/>
  <c r="K9" i="1"/>
  <c r="G11" i="9" l="1"/>
  <c r="Q1373" i="1"/>
  <c r="D11" i="9"/>
  <c r="L742" i="4"/>
  <c r="N742" i="4" s="1"/>
  <c r="F11" i="9"/>
  <c r="E11" i="9"/>
  <c r="K1076" i="5"/>
  <c r="M1076" i="5" s="1"/>
  <c r="J15" i="5"/>
  <c r="K14" i="5"/>
  <c r="M14" i="5" s="1"/>
  <c r="L743" i="4"/>
  <c r="N743" i="4" s="1"/>
  <c r="L502" i="4"/>
  <c r="N502" i="4" s="1"/>
  <c r="L310" i="4"/>
  <c r="N310" i="4" s="1"/>
  <c r="K311" i="4"/>
  <c r="L608" i="4"/>
  <c r="N608" i="4" s="1"/>
  <c r="L413" i="4"/>
  <c r="N413" i="4" s="1"/>
  <c r="K9" i="4"/>
  <c r="L8" i="4"/>
  <c r="N8" i="4" s="1"/>
  <c r="K10" i="3"/>
  <c r="L9" i="3"/>
  <c r="N9" i="3" s="1"/>
  <c r="K634" i="2"/>
  <c r="L633" i="2"/>
  <c r="N633" i="2" s="1"/>
  <c r="L8" i="2"/>
  <c r="N8" i="2" s="1"/>
  <c r="K9" i="2"/>
  <c r="K306" i="2"/>
  <c r="L305" i="2"/>
  <c r="N305" i="2" s="1"/>
  <c r="L9" i="1"/>
  <c r="N9" i="1" s="1"/>
  <c r="K10" i="1"/>
  <c r="J16" i="5" l="1"/>
  <c r="K15" i="5"/>
  <c r="M15" i="5" s="1"/>
  <c r="K1077" i="5"/>
  <c r="M1077" i="5" s="1"/>
  <c r="L744" i="4"/>
  <c r="N744" i="4" s="1"/>
  <c r="L503" i="4"/>
  <c r="N503" i="4" s="1"/>
  <c r="L311" i="4"/>
  <c r="N311" i="4" s="1"/>
  <c r="K312" i="4"/>
  <c r="K10" i="4"/>
  <c r="L9" i="4"/>
  <c r="N9" i="4" s="1"/>
  <c r="L414" i="4"/>
  <c r="N414" i="4" s="1"/>
  <c r="L609" i="4"/>
  <c r="N609" i="4" s="1"/>
  <c r="K11" i="3"/>
  <c r="L10" i="3"/>
  <c r="N10" i="3" s="1"/>
  <c r="K307" i="2"/>
  <c r="L306" i="2"/>
  <c r="N306" i="2" s="1"/>
  <c r="L9" i="2"/>
  <c r="N9" i="2" s="1"/>
  <c r="K10" i="2"/>
  <c r="K635" i="2"/>
  <c r="L634" i="2"/>
  <c r="N634" i="2" s="1"/>
  <c r="L10" i="1"/>
  <c r="N10" i="1" s="1"/>
  <c r="K11" i="1"/>
  <c r="K1078" i="5" l="1"/>
  <c r="M1078" i="5" s="1"/>
  <c r="J17" i="5"/>
  <c r="K16" i="5"/>
  <c r="M16" i="5" s="1"/>
  <c r="L745" i="4"/>
  <c r="N745" i="4" s="1"/>
  <c r="L504" i="4"/>
  <c r="N504" i="4" s="1"/>
  <c r="K11" i="4"/>
  <c r="L10" i="4"/>
  <c r="N10" i="4" s="1"/>
  <c r="L610" i="4"/>
  <c r="N610" i="4" s="1"/>
  <c r="L312" i="4"/>
  <c r="N312" i="4" s="1"/>
  <c r="K313" i="4"/>
  <c r="L415" i="4"/>
  <c r="N415" i="4" s="1"/>
  <c r="K12" i="3"/>
  <c r="L11" i="3"/>
  <c r="N11" i="3" s="1"/>
  <c r="K11" i="2"/>
  <c r="L10" i="2"/>
  <c r="N10" i="2" s="1"/>
  <c r="K636" i="2"/>
  <c r="L635" i="2"/>
  <c r="N635" i="2" s="1"/>
  <c r="L307" i="2"/>
  <c r="N307" i="2" s="1"/>
  <c r="K308" i="2"/>
  <c r="K12" i="1"/>
  <c r="L11" i="1"/>
  <c r="N11" i="1" s="1"/>
  <c r="J18" i="5" l="1"/>
  <c r="K17" i="5"/>
  <c r="M17" i="5" s="1"/>
  <c r="K1079" i="5"/>
  <c r="M1079" i="5" s="1"/>
  <c r="L746" i="4"/>
  <c r="N746" i="4" s="1"/>
  <c r="L505" i="4"/>
  <c r="N505" i="4" s="1"/>
  <c r="L611" i="4"/>
  <c r="N611" i="4" s="1"/>
  <c r="L416" i="4"/>
  <c r="N416" i="4" s="1"/>
  <c r="L313" i="4"/>
  <c r="N313" i="4" s="1"/>
  <c r="K314" i="4"/>
  <c r="K12" i="4"/>
  <c r="L11" i="4"/>
  <c r="N11" i="4" s="1"/>
  <c r="K13" i="3"/>
  <c r="L12" i="3"/>
  <c r="N12" i="3" s="1"/>
  <c r="K637" i="2"/>
  <c r="L636" i="2"/>
  <c r="N636" i="2" s="1"/>
  <c r="K309" i="2"/>
  <c r="L308" i="2"/>
  <c r="N308" i="2" s="1"/>
  <c r="K12" i="2"/>
  <c r="L11" i="2"/>
  <c r="N11" i="2" s="1"/>
  <c r="K13" i="1"/>
  <c r="L12" i="1"/>
  <c r="N12" i="1" s="1"/>
  <c r="J19" i="5" l="1"/>
  <c r="K18" i="5"/>
  <c r="M18" i="5" s="1"/>
  <c r="K1080" i="5"/>
  <c r="M1080" i="5" s="1"/>
  <c r="L747" i="4"/>
  <c r="N747" i="4" s="1"/>
  <c r="L506" i="4"/>
  <c r="N506" i="4" s="1"/>
  <c r="K13" i="4"/>
  <c r="L12" i="4"/>
  <c r="N12" i="4" s="1"/>
  <c r="L417" i="4"/>
  <c r="N417" i="4" s="1"/>
  <c r="L314" i="4"/>
  <c r="N314" i="4" s="1"/>
  <c r="K315" i="4"/>
  <c r="L612" i="4"/>
  <c r="N612" i="4" s="1"/>
  <c r="K14" i="3"/>
  <c r="L13" i="3"/>
  <c r="N13" i="3" s="1"/>
  <c r="K13" i="2"/>
  <c r="L12" i="2"/>
  <c r="N12" i="2" s="1"/>
  <c r="K638" i="2"/>
  <c r="L637" i="2"/>
  <c r="N637" i="2" s="1"/>
  <c r="K310" i="2"/>
  <c r="L309" i="2"/>
  <c r="N309" i="2" s="1"/>
  <c r="K14" i="1"/>
  <c r="L13" i="1"/>
  <c r="N13" i="1" s="1"/>
  <c r="K1081" i="5" l="1"/>
  <c r="M1081" i="5" s="1"/>
  <c r="J20" i="5"/>
  <c r="K19" i="5"/>
  <c r="M19" i="5" s="1"/>
  <c r="L748" i="4"/>
  <c r="N748" i="4" s="1"/>
  <c r="L507" i="4"/>
  <c r="N507" i="4" s="1"/>
  <c r="L613" i="4"/>
  <c r="N613" i="4" s="1"/>
  <c r="L418" i="4"/>
  <c r="N418" i="4" s="1"/>
  <c r="L315" i="4"/>
  <c r="N315" i="4" s="1"/>
  <c r="K316" i="4"/>
  <c r="K14" i="4"/>
  <c r="L13" i="4"/>
  <c r="N13" i="4" s="1"/>
  <c r="K15" i="3"/>
  <c r="L14" i="3"/>
  <c r="N14" i="3" s="1"/>
  <c r="K639" i="2"/>
  <c r="L638" i="2"/>
  <c r="N638" i="2" s="1"/>
  <c r="L310" i="2"/>
  <c r="N310" i="2" s="1"/>
  <c r="K311" i="2"/>
  <c r="K14" i="2"/>
  <c r="L13" i="2"/>
  <c r="N13" i="2" s="1"/>
  <c r="K15" i="1"/>
  <c r="L14" i="1"/>
  <c r="N14" i="1" s="1"/>
  <c r="J21" i="5" l="1"/>
  <c r="K20" i="5"/>
  <c r="M20" i="5" s="1"/>
  <c r="K1082" i="5"/>
  <c r="M1082" i="5" s="1"/>
  <c r="L749" i="4"/>
  <c r="N749" i="4" s="1"/>
  <c r="L508" i="4"/>
  <c r="N508" i="4" s="1"/>
  <c r="L614" i="4"/>
  <c r="N614" i="4" s="1"/>
  <c r="L316" i="4"/>
  <c r="N316" i="4" s="1"/>
  <c r="K317" i="4"/>
  <c r="L14" i="4"/>
  <c r="N14" i="4" s="1"/>
  <c r="K15" i="4"/>
  <c r="L419" i="4"/>
  <c r="N419" i="4" s="1"/>
  <c r="K16" i="3"/>
  <c r="L15" i="3"/>
  <c r="N15" i="3" s="1"/>
  <c r="K15" i="2"/>
  <c r="L14" i="2"/>
  <c r="N14" i="2" s="1"/>
  <c r="K640" i="2"/>
  <c r="L639" i="2"/>
  <c r="N639" i="2" s="1"/>
  <c r="K312" i="2"/>
  <c r="L311" i="2"/>
  <c r="N311" i="2" s="1"/>
  <c r="L15" i="1"/>
  <c r="N15" i="1" s="1"/>
  <c r="K16" i="1"/>
  <c r="K1083" i="5" l="1"/>
  <c r="M1083" i="5" s="1"/>
  <c r="J22" i="5"/>
  <c r="K21" i="5"/>
  <c r="M21" i="5" s="1"/>
  <c r="L750" i="4"/>
  <c r="N750" i="4" s="1"/>
  <c r="L509" i="4"/>
  <c r="N509" i="4" s="1"/>
  <c r="L420" i="4"/>
  <c r="N420" i="4" s="1"/>
  <c r="K16" i="4"/>
  <c r="L15" i="4"/>
  <c r="N15" i="4" s="1"/>
  <c r="L615" i="4"/>
  <c r="N615" i="4" s="1"/>
  <c r="L317" i="4"/>
  <c r="N317" i="4" s="1"/>
  <c r="K318" i="4"/>
  <c r="K17" i="3"/>
  <c r="L16" i="3"/>
  <c r="N16" i="3" s="1"/>
  <c r="K641" i="2"/>
  <c r="L640" i="2"/>
  <c r="N640" i="2" s="1"/>
  <c r="K313" i="2"/>
  <c r="L312" i="2"/>
  <c r="N312" i="2" s="1"/>
  <c r="K16" i="2"/>
  <c r="L15" i="2"/>
  <c r="N15" i="2" s="1"/>
  <c r="K17" i="1"/>
  <c r="L16" i="1"/>
  <c r="N16" i="1" s="1"/>
  <c r="J23" i="5" l="1"/>
  <c r="K22" i="5"/>
  <c r="M22" i="5" s="1"/>
  <c r="K1084" i="5"/>
  <c r="M1084" i="5" s="1"/>
  <c r="L751" i="4"/>
  <c r="N751" i="4" s="1"/>
  <c r="L510" i="4"/>
  <c r="N510" i="4" s="1"/>
  <c r="L616" i="4"/>
  <c r="N616" i="4" s="1"/>
  <c r="L318" i="4"/>
  <c r="N318" i="4" s="1"/>
  <c r="K319" i="4"/>
  <c r="K17" i="4"/>
  <c r="L16" i="4"/>
  <c r="N16" i="4" s="1"/>
  <c r="L421" i="4"/>
  <c r="N421" i="4" s="1"/>
  <c r="L17" i="3"/>
  <c r="N17" i="3" s="1"/>
  <c r="K18" i="3"/>
  <c r="K314" i="2"/>
  <c r="L313" i="2"/>
  <c r="N313" i="2" s="1"/>
  <c r="K17" i="2"/>
  <c r="L16" i="2"/>
  <c r="N16" i="2" s="1"/>
  <c r="K642" i="2"/>
  <c r="L641" i="2"/>
  <c r="N641" i="2" s="1"/>
  <c r="K18" i="1"/>
  <c r="L17" i="1"/>
  <c r="N17" i="1" s="1"/>
  <c r="K1085" i="5" l="1"/>
  <c r="M1085" i="5" s="1"/>
  <c r="J24" i="5"/>
  <c r="K23" i="5"/>
  <c r="M23" i="5" s="1"/>
  <c r="L752" i="4"/>
  <c r="N752" i="4" s="1"/>
  <c r="L511" i="4"/>
  <c r="N511" i="4" s="1"/>
  <c r="L617" i="4"/>
  <c r="N617" i="4" s="1"/>
  <c r="L319" i="4"/>
  <c r="N319" i="4" s="1"/>
  <c r="K320" i="4"/>
  <c r="L422" i="4"/>
  <c r="N422" i="4" s="1"/>
  <c r="K18" i="4"/>
  <c r="L17" i="4"/>
  <c r="N17" i="4" s="1"/>
  <c r="K19" i="3"/>
  <c r="L18" i="3"/>
  <c r="N18" i="3" s="1"/>
  <c r="L17" i="2"/>
  <c r="N17" i="2" s="1"/>
  <c r="K18" i="2"/>
  <c r="K643" i="2"/>
  <c r="L642" i="2"/>
  <c r="N642" i="2" s="1"/>
  <c r="K315" i="2"/>
  <c r="L314" i="2"/>
  <c r="N314" i="2" s="1"/>
  <c r="K19" i="1"/>
  <c r="L18" i="1"/>
  <c r="N18" i="1" s="1"/>
  <c r="J25" i="5" l="1"/>
  <c r="K24" i="5"/>
  <c r="M24" i="5" s="1"/>
  <c r="K1086" i="5"/>
  <c r="M1086" i="5" s="1"/>
  <c r="L753" i="4"/>
  <c r="N753" i="4" s="1"/>
  <c r="L512" i="4"/>
  <c r="N512" i="4" s="1"/>
  <c r="L320" i="4"/>
  <c r="N320" i="4" s="1"/>
  <c r="K321" i="4"/>
  <c r="K19" i="4"/>
  <c r="L18" i="4"/>
  <c r="N18" i="4" s="1"/>
  <c r="L618" i="4"/>
  <c r="N618" i="4" s="1"/>
  <c r="L423" i="4"/>
  <c r="N423" i="4" s="1"/>
  <c r="K20" i="3"/>
  <c r="L19" i="3"/>
  <c r="N19" i="3" s="1"/>
  <c r="K644" i="2"/>
  <c r="L643" i="2"/>
  <c r="N643" i="2" s="1"/>
  <c r="K19" i="2"/>
  <c r="L18" i="2"/>
  <c r="N18" i="2" s="1"/>
  <c r="K316" i="2"/>
  <c r="L315" i="2"/>
  <c r="N315" i="2" s="1"/>
  <c r="K20" i="1"/>
  <c r="L19" i="1"/>
  <c r="N19" i="1" s="1"/>
  <c r="K1087" i="5" l="1"/>
  <c r="M1087" i="5" s="1"/>
  <c r="J26" i="5"/>
  <c r="K25" i="5"/>
  <c r="M25" i="5" s="1"/>
  <c r="L754" i="4"/>
  <c r="N754" i="4" s="1"/>
  <c r="L513" i="4"/>
  <c r="N513" i="4" s="1"/>
  <c r="L424" i="4"/>
  <c r="N424" i="4" s="1"/>
  <c r="L321" i="4"/>
  <c r="N321" i="4" s="1"/>
  <c r="K322" i="4"/>
  <c r="L619" i="4"/>
  <c r="N619" i="4" s="1"/>
  <c r="K20" i="4"/>
  <c r="L19" i="4"/>
  <c r="N19" i="4" s="1"/>
  <c r="K21" i="3"/>
  <c r="L20" i="3"/>
  <c r="N20" i="3" s="1"/>
  <c r="K20" i="2"/>
  <c r="L19" i="2"/>
  <c r="N19" i="2" s="1"/>
  <c r="K317" i="2"/>
  <c r="L316" i="2"/>
  <c r="N316" i="2" s="1"/>
  <c r="K645" i="2"/>
  <c r="L644" i="2"/>
  <c r="N644" i="2" s="1"/>
  <c r="L20" i="1"/>
  <c r="N20" i="1" s="1"/>
  <c r="K21" i="1"/>
  <c r="J27" i="5" l="1"/>
  <c r="K26" i="5"/>
  <c r="M26" i="5" s="1"/>
  <c r="K1088" i="5"/>
  <c r="M1088" i="5" s="1"/>
  <c r="L755" i="4"/>
  <c r="N755" i="4" s="1"/>
  <c r="L514" i="4"/>
  <c r="N514" i="4" s="1"/>
  <c r="L322" i="4"/>
  <c r="N322" i="4" s="1"/>
  <c r="K323" i="4"/>
  <c r="K21" i="4"/>
  <c r="L20" i="4"/>
  <c r="N20" i="4" s="1"/>
  <c r="L620" i="4"/>
  <c r="N620" i="4" s="1"/>
  <c r="L425" i="4"/>
  <c r="N425" i="4" s="1"/>
  <c r="K22" i="3"/>
  <c r="L21" i="3"/>
  <c r="N21" i="3" s="1"/>
  <c r="K318" i="2"/>
  <c r="L317" i="2"/>
  <c r="N317" i="2" s="1"/>
  <c r="K646" i="2"/>
  <c r="L645" i="2"/>
  <c r="N645" i="2" s="1"/>
  <c r="K21" i="2"/>
  <c r="L20" i="2"/>
  <c r="N20" i="2" s="1"/>
  <c r="K22" i="1"/>
  <c r="L21" i="1"/>
  <c r="N21" i="1" s="1"/>
  <c r="K1089" i="5" l="1"/>
  <c r="M1089" i="5" s="1"/>
  <c r="J28" i="5"/>
  <c r="K27" i="5"/>
  <c r="M27" i="5" s="1"/>
  <c r="L756" i="4"/>
  <c r="N756" i="4" s="1"/>
  <c r="L515" i="4"/>
  <c r="N515" i="4" s="1"/>
  <c r="L621" i="4"/>
  <c r="N621" i="4" s="1"/>
  <c r="L426" i="4"/>
  <c r="N426" i="4" s="1"/>
  <c r="K22" i="4"/>
  <c r="L21" i="4"/>
  <c r="N21" i="4" s="1"/>
  <c r="L323" i="4"/>
  <c r="N323" i="4" s="1"/>
  <c r="K324" i="4"/>
  <c r="K23" i="3"/>
  <c r="L22" i="3"/>
  <c r="N22" i="3" s="1"/>
  <c r="K647" i="2"/>
  <c r="L646" i="2"/>
  <c r="N646" i="2" s="1"/>
  <c r="K22" i="2"/>
  <c r="L21" i="2"/>
  <c r="N21" i="2" s="1"/>
  <c r="L318" i="2"/>
  <c r="N318" i="2" s="1"/>
  <c r="K319" i="2"/>
  <c r="K23" i="1"/>
  <c r="L22" i="1"/>
  <c r="N22" i="1" s="1"/>
  <c r="K1090" i="5" l="1"/>
  <c r="M1090" i="5" s="1"/>
  <c r="J29" i="5"/>
  <c r="K28" i="5"/>
  <c r="M28" i="5" s="1"/>
  <c r="L757" i="4"/>
  <c r="N757" i="4" s="1"/>
  <c r="L516" i="4"/>
  <c r="N516" i="4" s="1"/>
  <c r="L22" i="4"/>
  <c r="N22" i="4" s="1"/>
  <c r="K23" i="4"/>
  <c r="L324" i="4"/>
  <c r="N324" i="4" s="1"/>
  <c r="K325" i="4"/>
  <c r="L427" i="4"/>
  <c r="N427" i="4" s="1"/>
  <c r="L622" i="4"/>
  <c r="N622" i="4" s="1"/>
  <c r="K24" i="3"/>
  <c r="L23" i="3"/>
  <c r="N23" i="3" s="1"/>
  <c r="K23" i="2"/>
  <c r="L22" i="2"/>
  <c r="N22" i="2" s="1"/>
  <c r="L319" i="2"/>
  <c r="N319" i="2" s="1"/>
  <c r="K320" i="2"/>
  <c r="K648" i="2"/>
  <c r="L647" i="2"/>
  <c r="N647" i="2" s="1"/>
  <c r="K24" i="1"/>
  <c r="L23" i="1"/>
  <c r="N23" i="1" s="1"/>
  <c r="J30" i="5" l="1"/>
  <c r="K29" i="5"/>
  <c r="M29" i="5" s="1"/>
  <c r="K1091" i="5"/>
  <c r="M1091" i="5" s="1"/>
  <c r="L758" i="4"/>
  <c r="N758" i="4" s="1"/>
  <c r="L517" i="4"/>
  <c r="N517" i="4" s="1"/>
  <c r="K24" i="4"/>
  <c r="L23" i="4"/>
  <c r="N23" i="4" s="1"/>
  <c r="L623" i="4"/>
  <c r="N623" i="4" s="1"/>
  <c r="L325" i="4"/>
  <c r="N325" i="4" s="1"/>
  <c r="K326" i="4"/>
  <c r="L428" i="4"/>
  <c r="N428" i="4" s="1"/>
  <c r="K25" i="3"/>
  <c r="L24" i="3"/>
  <c r="N24" i="3" s="1"/>
  <c r="K321" i="2"/>
  <c r="L320" i="2"/>
  <c r="N320" i="2" s="1"/>
  <c r="K649" i="2"/>
  <c r="L648" i="2"/>
  <c r="N648" i="2" s="1"/>
  <c r="K24" i="2"/>
  <c r="L23" i="2"/>
  <c r="N23" i="2" s="1"/>
  <c r="K25" i="1"/>
  <c r="L24" i="1"/>
  <c r="N24" i="1" s="1"/>
  <c r="K1092" i="5" l="1"/>
  <c r="M1092" i="5" s="1"/>
  <c r="J31" i="5"/>
  <c r="K30" i="5"/>
  <c r="M30" i="5" s="1"/>
  <c r="L759" i="4"/>
  <c r="N759" i="4" s="1"/>
  <c r="L518" i="4"/>
  <c r="N518" i="4" s="1"/>
  <c r="L326" i="4"/>
  <c r="N326" i="4" s="1"/>
  <c r="K327" i="4"/>
  <c r="K25" i="4"/>
  <c r="L24" i="4"/>
  <c r="N24" i="4" s="1"/>
  <c r="L624" i="4"/>
  <c r="N624" i="4" s="1"/>
  <c r="L429" i="4"/>
  <c r="N429" i="4" s="1"/>
  <c r="L25" i="3"/>
  <c r="N25" i="3" s="1"/>
  <c r="K26" i="3"/>
  <c r="K650" i="2"/>
  <c r="L649" i="2"/>
  <c r="N649" i="2" s="1"/>
  <c r="K25" i="2"/>
  <c r="L24" i="2"/>
  <c r="N24" i="2" s="1"/>
  <c r="K322" i="2"/>
  <c r="L321" i="2"/>
  <c r="N321" i="2" s="1"/>
  <c r="L25" i="1"/>
  <c r="N25" i="1" s="1"/>
  <c r="K26" i="1"/>
  <c r="J32" i="5" l="1"/>
  <c r="K31" i="5"/>
  <c r="M31" i="5" s="1"/>
  <c r="K1093" i="5"/>
  <c r="M1093" i="5" s="1"/>
  <c r="L760" i="4"/>
  <c r="N760" i="4" s="1"/>
  <c r="L519" i="4"/>
  <c r="N519" i="4" s="1"/>
  <c r="L327" i="4"/>
  <c r="N327" i="4" s="1"/>
  <c r="K328" i="4"/>
  <c r="L625" i="4"/>
  <c r="N625" i="4" s="1"/>
  <c r="L430" i="4"/>
  <c r="N430" i="4" s="1"/>
  <c r="K26" i="4"/>
  <c r="L25" i="4"/>
  <c r="N25" i="4" s="1"/>
  <c r="K27" i="3"/>
  <c r="L26" i="3"/>
  <c r="N26" i="3" s="1"/>
  <c r="K26" i="2"/>
  <c r="L25" i="2"/>
  <c r="N25" i="2" s="1"/>
  <c r="K323" i="2"/>
  <c r="L322" i="2"/>
  <c r="N322" i="2" s="1"/>
  <c r="K651" i="2"/>
  <c r="L650" i="2"/>
  <c r="N650" i="2" s="1"/>
  <c r="K27" i="1"/>
  <c r="L26" i="1"/>
  <c r="N26" i="1" s="1"/>
  <c r="K1094" i="5" l="1"/>
  <c r="M1094" i="5" s="1"/>
  <c r="J33" i="5"/>
  <c r="K32" i="5"/>
  <c r="M32" i="5" s="1"/>
  <c r="L761" i="4"/>
  <c r="N761" i="4" s="1"/>
  <c r="L520" i="4"/>
  <c r="N520" i="4" s="1"/>
  <c r="L626" i="4"/>
  <c r="N626" i="4" s="1"/>
  <c r="L328" i="4"/>
  <c r="N328" i="4" s="1"/>
  <c r="K329" i="4"/>
  <c r="K27" i="4"/>
  <c r="L26" i="4"/>
  <c r="N26" i="4" s="1"/>
  <c r="L431" i="4"/>
  <c r="N431" i="4" s="1"/>
  <c r="K28" i="3"/>
  <c r="L27" i="3"/>
  <c r="N27" i="3" s="1"/>
  <c r="L323" i="2"/>
  <c r="N323" i="2" s="1"/>
  <c r="K324" i="2"/>
  <c r="K652" i="2"/>
  <c r="L651" i="2"/>
  <c r="N651" i="2" s="1"/>
  <c r="K27" i="2"/>
  <c r="L26" i="2"/>
  <c r="N26" i="2" s="1"/>
  <c r="K28" i="1"/>
  <c r="L27" i="1"/>
  <c r="N27" i="1" s="1"/>
  <c r="J34" i="5" l="1"/>
  <c r="K33" i="5"/>
  <c r="M33" i="5" s="1"/>
  <c r="K1095" i="5"/>
  <c r="M1095" i="5" s="1"/>
  <c r="L762" i="4"/>
  <c r="N762" i="4" s="1"/>
  <c r="L521" i="4"/>
  <c r="N521" i="4" s="1"/>
  <c r="L432" i="4"/>
  <c r="N432" i="4" s="1"/>
  <c r="L627" i="4"/>
  <c r="N627" i="4" s="1"/>
  <c r="L329" i="4"/>
  <c r="N329" i="4" s="1"/>
  <c r="K330" i="4"/>
  <c r="K28" i="4"/>
  <c r="L27" i="4"/>
  <c r="N27" i="4" s="1"/>
  <c r="K29" i="3"/>
  <c r="L28" i="3"/>
  <c r="N28" i="3" s="1"/>
  <c r="K653" i="2"/>
  <c r="L652" i="2"/>
  <c r="N652" i="2" s="1"/>
  <c r="K325" i="2"/>
  <c r="L324" i="2"/>
  <c r="N324" i="2" s="1"/>
  <c r="K28" i="2"/>
  <c r="L27" i="2"/>
  <c r="N27" i="2" s="1"/>
  <c r="L28" i="1"/>
  <c r="N28" i="1" s="1"/>
  <c r="K29" i="1"/>
  <c r="K1096" i="5" l="1"/>
  <c r="M1096" i="5" s="1"/>
  <c r="J35" i="5"/>
  <c r="K34" i="5"/>
  <c r="M34" i="5" s="1"/>
  <c r="L763" i="4"/>
  <c r="N763" i="4" s="1"/>
  <c r="L522" i="4"/>
  <c r="N522" i="4" s="1"/>
  <c r="L433" i="4"/>
  <c r="N433" i="4" s="1"/>
  <c r="L628" i="4"/>
  <c r="N628" i="4" s="1"/>
  <c r="L330" i="4"/>
  <c r="N330" i="4" s="1"/>
  <c r="K331" i="4"/>
  <c r="K29" i="4"/>
  <c r="L28" i="4"/>
  <c r="N28" i="4" s="1"/>
  <c r="K30" i="3"/>
  <c r="L29" i="3"/>
  <c r="N29" i="3" s="1"/>
  <c r="K326" i="2"/>
  <c r="L325" i="2"/>
  <c r="N325" i="2" s="1"/>
  <c r="K29" i="2"/>
  <c r="L28" i="2"/>
  <c r="N28" i="2" s="1"/>
  <c r="K654" i="2"/>
  <c r="L653" i="2"/>
  <c r="N653" i="2" s="1"/>
  <c r="K30" i="1"/>
  <c r="L29" i="1"/>
  <c r="N29" i="1" s="1"/>
  <c r="J36" i="5" l="1"/>
  <c r="K35" i="5"/>
  <c r="M35" i="5" s="1"/>
  <c r="K1097" i="5"/>
  <c r="M1097" i="5" s="1"/>
  <c r="L764" i="4"/>
  <c r="N764" i="4" s="1"/>
  <c r="L523" i="4"/>
  <c r="N523" i="4" s="1"/>
  <c r="K30" i="4"/>
  <c r="L29" i="4"/>
  <c r="N29" i="4" s="1"/>
  <c r="L434" i="4"/>
  <c r="N434" i="4" s="1"/>
  <c r="L331" i="4"/>
  <c r="N331" i="4" s="1"/>
  <c r="K332" i="4"/>
  <c r="L629" i="4"/>
  <c r="N629" i="4" s="1"/>
  <c r="K31" i="3"/>
  <c r="L30" i="3"/>
  <c r="N30" i="3" s="1"/>
  <c r="K30" i="2"/>
  <c r="L29" i="2"/>
  <c r="N29" i="2" s="1"/>
  <c r="K655" i="2"/>
  <c r="L654" i="2"/>
  <c r="N654" i="2" s="1"/>
  <c r="L326" i="2"/>
  <c r="N326" i="2" s="1"/>
  <c r="K327" i="2"/>
  <c r="K31" i="1"/>
  <c r="L30" i="1"/>
  <c r="N30" i="1" s="1"/>
  <c r="K1098" i="5" l="1"/>
  <c r="M1098" i="5" s="1"/>
  <c r="J37" i="5"/>
  <c r="K36" i="5"/>
  <c r="M36" i="5" s="1"/>
  <c r="L765" i="4"/>
  <c r="N765" i="4" s="1"/>
  <c r="L524" i="4"/>
  <c r="N524" i="4" s="1"/>
  <c r="L332" i="4"/>
  <c r="N332" i="4" s="1"/>
  <c r="K333" i="4"/>
  <c r="L630" i="4"/>
  <c r="N630" i="4" s="1"/>
  <c r="L30" i="4"/>
  <c r="N30" i="4" s="1"/>
  <c r="K31" i="4"/>
  <c r="L435" i="4"/>
  <c r="N435" i="4" s="1"/>
  <c r="K32" i="3"/>
  <c r="L31" i="3"/>
  <c r="N31" i="3" s="1"/>
  <c r="K656" i="2"/>
  <c r="L655" i="2"/>
  <c r="N655" i="2" s="1"/>
  <c r="L327" i="2"/>
  <c r="N327" i="2" s="1"/>
  <c r="K328" i="2"/>
  <c r="K31" i="2"/>
  <c r="L30" i="2"/>
  <c r="N30" i="2" s="1"/>
  <c r="K32" i="1"/>
  <c r="L31" i="1"/>
  <c r="N31" i="1" s="1"/>
  <c r="K1099" i="5" l="1"/>
  <c r="M1099" i="5" s="1"/>
  <c r="J38" i="5"/>
  <c r="K37" i="5"/>
  <c r="M37" i="5" s="1"/>
  <c r="L766" i="4"/>
  <c r="N766" i="4" s="1"/>
  <c r="L525" i="4"/>
  <c r="N525" i="4" s="1"/>
  <c r="L631" i="4"/>
  <c r="N631" i="4" s="1"/>
  <c r="L436" i="4"/>
  <c r="N436" i="4" s="1"/>
  <c r="K32" i="4"/>
  <c r="L31" i="4"/>
  <c r="N31" i="4" s="1"/>
  <c r="L333" i="4"/>
  <c r="N333" i="4" s="1"/>
  <c r="K334" i="4"/>
  <c r="K33" i="3"/>
  <c r="L32" i="3"/>
  <c r="N32" i="3" s="1"/>
  <c r="K329" i="2"/>
  <c r="L328" i="2"/>
  <c r="N328" i="2" s="1"/>
  <c r="K32" i="2"/>
  <c r="L31" i="2"/>
  <c r="N31" i="2" s="1"/>
  <c r="K657" i="2"/>
  <c r="L656" i="2"/>
  <c r="N656" i="2" s="1"/>
  <c r="K33" i="1"/>
  <c r="L32" i="1"/>
  <c r="N32" i="1" s="1"/>
  <c r="K1100" i="5" l="1"/>
  <c r="M1100" i="5" s="1"/>
  <c r="J39" i="5"/>
  <c r="K38" i="5"/>
  <c r="M38" i="5" s="1"/>
  <c r="L767" i="4"/>
  <c r="N767" i="4" s="1"/>
  <c r="L526" i="4"/>
  <c r="N526" i="4" s="1"/>
  <c r="L437" i="4"/>
  <c r="N437" i="4" s="1"/>
  <c r="L334" i="4"/>
  <c r="N334" i="4" s="1"/>
  <c r="K335" i="4"/>
  <c r="L632" i="4"/>
  <c r="N632" i="4" s="1"/>
  <c r="K33" i="4"/>
  <c r="L32" i="4"/>
  <c r="N32" i="4" s="1"/>
  <c r="L33" i="3"/>
  <c r="N33" i="3" s="1"/>
  <c r="K34" i="3"/>
  <c r="K33" i="2"/>
  <c r="L32" i="2"/>
  <c r="N32" i="2" s="1"/>
  <c r="K658" i="2"/>
  <c r="L657" i="2"/>
  <c r="N657" i="2" s="1"/>
  <c r="K330" i="2"/>
  <c r="L329" i="2"/>
  <c r="N329" i="2" s="1"/>
  <c r="L33" i="1"/>
  <c r="N33" i="1" s="1"/>
  <c r="K34" i="1"/>
  <c r="J40" i="5" l="1"/>
  <c r="K39" i="5"/>
  <c r="M39" i="5" s="1"/>
  <c r="K1101" i="5"/>
  <c r="M1101" i="5" s="1"/>
  <c r="L768" i="4"/>
  <c r="N768" i="4" s="1"/>
  <c r="L527" i="4"/>
  <c r="N527" i="4" s="1"/>
  <c r="L438" i="4"/>
  <c r="N438" i="4" s="1"/>
  <c r="L335" i="4"/>
  <c r="N335" i="4" s="1"/>
  <c r="K336" i="4"/>
  <c r="K34" i="4"/>
  <c r="L33" i="4"/>
  <c r="N33" i="4" s="1"/>
  <c r="L633" i="4"/>
  <c r="N633" i="4" s="1"/>
  <c r="K35" i="3"/>
  <c r="L34" i="3"/>
  <c r="N34" i="3" s="1"/>
  <c r="K659" i="2"/>
  <c r="L658" i="2"/>
  <c r="N658" i="2" s="1"/>
  <c r="K331" i="2"/>
  <c r="L330" i="2"/>
  <c r="N330" i="2" s="1"/>
  <c r="K34" i="2"/>
  <c r="L33" i="2"/>
  <c r="N33" i="2" s="1"/>
  <c r="L34" i="1"/>
  <c r="N34" i="1" s="1"/>
  <c r="K35" i="1"/>
  <c r="K1102" i="5" l="1"/>
  <c r="M1102" i="5" s="1"/>
  <c r="J41" i="5"/>
  <c r="K40" i="5"/>
  <c r="M40" i="5" s="1"/>
  <c r="L769" i="4"/>
  <c r="N769" i="4" s="1"/>
  <c r="L528" i="4"/>
  <c r="N528" i="4" s="1"/>
  <c r="L439" i="4"/>
  <c r="N439" i="4" s="1"/>
  <c r="L336" i="4"/>
  <c r="N336" i="4" s="1"/>
  <c r="K337" i="4"/>
  <c r="K35" i="4"/>
  <c r="L34" i="4"/>
  <c r="N34" i="4" s="1"/>
  <c r="L634" i="4"/>
  <c r="N634" i="4" s="1"/>
  <c r="K36" i="3"/>
  <c r="L35" i="3"/>
  <c r="N35" i="3" s="1"/>
  <c r="K332" i="2"/>
  <c r="L331" i="2"/>
  <c r="N331" i="2" s="1"/>
  <c r="K35" i="2"/>
  <c r="L34" i="2"/>
  <c r="N34" i="2" s="1"/>
  <c r="K660" i="2"/>
  <c r="L659" i="2"/>
  <c r="N659" i="2" s="1"/>
  <c r="K36" i="1"/>
  <c r="L35" i="1"/>
  <c r="N35" i="1" s="1"/>
  <c r="J42" i="5" l="1"/>
  <c r="K41" i="5"/>
  <c r="M41" i="5" s="1"/>
  <c r="K1103" i="5"/>
  <c r="M1103" i="5" s="1"/>
  <c r="L770" i="4"/>
  <c r="N770" i="4" s="1"/>
  <c r="L529" i="4"/>
  <c r="N529" i="4" s="1"/>
  <c r="L440" i="4"/>
  <c r="N440" i="4" s="1"/>
  <c r="K36" i="4"/>
  <c r="L35" i="4"/>
  <c r="N35" i="4" s="1"/>
  <c r="L635" i="4"/>
  <c r="N635" i="4" s="1"/>
  <c r="L337" i="4"/>
  <c r="N337" i="4" s="1"/>
  <c r="K338" i="4"/>
  <c r="K37" i="3"/>
  <c r="L36" i="3"/>
  <c r="N36" i="3" s="1"/>
  <c r="K36" i="2"/>
  <c r="L35" i="2"/>
  <c r="N35" i="2" s="1"/>
  <c r="K661" i="2"/>
  <c r="L660" i="2"/>
  <c r="N660" i="2" s="1"/>
  <c r="K333" i="2"/>
  <c r="L332" i="2"/>
  <c r="N332" i="2" s="1"/>
  <c r="L36" i="1"/>
  <c r="N36" i="1" s="1"/>
  <c r="K37" i="1"/>
  <c r="K1104" i="5" l="1"/>
  <c r="M1104" i="5" s="1"/>
  <c r="J43" i="5"/>
  <c r="K42" i="5"/>
  <c r="M42" i="5" s="1"/>
  <c r="L771" i="4"/>
  <c r="N771" i="4" s="1"/>
  <c r="L530" i="4"/>
  <c r="N530" i="4" s="1"/>
  <c r="L636" i="4"/>
  <c r="N636" i="4" s="1"/>
  <c r="L338" i="4"/>
  <c r="N338" i="4" s="1"/>
  <c r="K339" i="4"/>
  <c r="K37" i="4"/>
  <c r="L36" i="4"/>
  <c r="N36" i="4" s="1"/>
  <c r="L441" i="4"/>
  <c r="N441" i="4" s="1"/>
  <c r="K38" i="3"/>
  <c r="L37" i="3"/>
  <c r="N37" i="3" s="1"/>
  <c r="K662" i="2"/>
  <c r="L661" i="2"/>
  <c r="N661" i="2" s="1"/>
  <c r="K334" i="2"/>
  <c r="L333" i="2"/>
  <c r="N333" i="2" s="1"/>
  <c r="K37" i="2"/>
  <c r="L36" i="2"/>
  <c r="N36" i="2" s="1"/>
  <c r="L37" i="1"/>
  <c r="N37" i="1" s="1"/>
  <c r="K38" i="1"/>
  <c r="J44" i="5" l="1"/>
  <c r="K43" i="5"/>
  <c r="M43" i="5" s="1"/>
  <c r="K1105" i="5"/>
  <c r="M1105" i="5" s="1"/>
  <c r="L772" i="4"/>
  <c r="N772" i="4" s="1"/>
  <c r="L531" i="4"/>
  <c r="N531" i="4" s="1"/>
  <c r="L637" i="4"/>
  <c r="N637" i="4" s="1"/>
  <c r="L442" i="4"/>
  <c r="N442" i="4" s="1"/>
  <c r="K38" i="4"/>
  <c r="L37" i="4"/>
  <c r="N37" i="4" s="1"/>
  <c r="L339" i="4"/>
  <c r="N339" i="4" s="1"/>
  <c r="K340" i="4"/>
  <c r="K39" i="3"/>
  <c r="L38" i="3"/>
  <c r="N38" i="3" s="1"/>
  <c r="L334" i="2"/>
  <c r="N334" i="2" s="1"/>
  <c r="K335" i="2"/>
  <c r="L37" i="2"/>
  <c r="N37" i="2" s="1"/>
  <c r="K38" i="2"/>
  <c r="K663" i="2"/>
  <c r="L662" i="2"/>
  <c r="N662" i="2" s="1"/>
  <c r="L38" i="1"/>
  <c r="N38" i="1" s="1"/>
  <c r="K39" i="1"/>
  <c r="K1106" i="5" l="1"/>
  <c r="M1106" i="5" s="1"/>
  <c r="J45" i="5"/>
  <c r="K44" i="5"/>
  <c r="M44" i="5" s="1"/>
  <c r="L773" i="4"/>
  <c r="N773" i="4" s="1"/>
  <c r="L532" i="4"/>
  <c r="N532" i="4" s="1"/>
  <c r="L443" i="4"/>
  <c r="N443" i="4" s="1"/>
  <c r="L340" i="4"/>
  <c r="N340" i="4" s="1"/>
  <c r="K341" i="4"/>
  <c r="L638" i="4"/>
  <c r="N638" i="4" s="1"/>
  <c r="K39" i="4"/>
  <c r="L38" i="4"/>
  <c r="N38" i="4" s="1"/>
  <c r="K40" i="3"/>
  <c r="L39" i="3"/>
  <c r="N39" i="3" s="1"/>
  <c r="L335" i="2"/>
  <c r="N335" i="2" s="1"/>
  <c r="K336" i="2"/>
  <c r="K39" i="2"/>
  <c r="L38" i="2"/>
  <c r="N38" i="2" s="1"/>
  <c r="K664" i="2"/>
  <c r="L663" i="2"/>
  <c r="N663" i="2" s="1"/>
  <c r="L39" i="1"/>
  <c r="N39" i="1" s="1"/>
  <c r="K40" i="1"/>
  <c r="K1107" i="5" l="1"/>
  <c r="M1107" i="5" s="1"/>
  <c r="J46" i="5"/>
  <c r="K45" i="5"/>
  <c r="M45" i="5" s="1"/>
  <c r="L774" i="4"/>
  <c r="N774" i="4" s="1"/>
  <c r="L533" i="4"/>
  <c r="N533" i="4" s="1"/>
  <c r="K40" i="4"/>
  <c r="L39" i="4"/>
  <c r="N39" i="4" s="1"/>
  <c r="L639" i="4"/>
  <c r="N639" i="4" s="1"/>
  <c r="L341" i="4"/>
  <c r="N341" i="4" s="1"/>
  <c r="K342" i="4"/>
  <c r="L444" i="4"/>
  <c r="N444" i="4" s="1"/>
  <c r="K41" i="3"/>
  <c r="L40" i="3"/>
  <c r="N40" i="3" s="1"/>
  <c r="K40" i="2"/>
  <c r="L39" i="2"/>
  <c r="N39" i="2" s="1"/>
  <c r="K337" i="2"/>
  <c r="L336" i="2"/>
  <c r="N336" i="2" s="1"/>
  <c r="K665" i="2"/>
  <c r="L664" i="2"/>
  <c r="N664" i="2" s="1"/>
  <c r="K41" i="1"/>
  <c r="L40" i="1"/>
  <c r="N40" i="1" s="1"/>
  <c r="J47" i="5" l="1"/>
  <c r="K46" i="5"/>
  <c r="M46" i="5" s="1"/>
  <c r="K1108" i="5"/>
  <c r="M1108" i="5" s="1"/>
  <c r="L775" i="4"/>
  <c r="N775" i="4" s="1"/>
  <c r="L534" i="4"/>
  <c r="N534" i="4" s="1"/>
  <c r="L445" i="4"/>
  <c r="N445" i="4" s="1"/>
  <c r="L342" i="4"/>
  <c r="N342" i="4" s="1"/>
  <c r="K343" i="4"/>
  <c r="L640" i="4"/>
  <c r="N640" i="4" s="1"/>
  <c r="K41" i="4"/>
  <c r="L40" i="4"/>
  <c r="N40" i="4" s="1"/>
  <c r="L41" i="3"/>
  <c r="N41" i="3" s="1"/>
  <c r="K42" i="3"/>
  <c r="K338" i="2"/>
  <c r="L337" i="2"/>
  <c r="N337" i="2" s="1"/>
  <c r="K666" i="2"/>
  <c r="L665" i="2"/>
  <c r="N665" i="2" s="1"/>
  <c r="K41" i="2"/>
  <c r="L40" i="2"/>
  <c r="N40" i="2" s="1"/>
  <c r="K42" i="1"/>
  <c r="L41" i="1"/>
  <c r="N41" i="1" s="1"/>
  <c r="K1109" i="5" l="1"/>
  <c r="M1109" i="5" s="1"/>
  <c r="J48" i="5"/>
  <c r="K47" i="5"/>
  <c r="M47" i="5" s="1"/>
  <c r="L776" i="4"/>
  <c r="N776" i="4" s="1"/>
  <c r="L535" i="4"/>
  <c r="N535" i="4" s="1"/>
  <c r="L343" i="4"/>
  <c r="N343" i="4" s="1"/>
  <c r="K344" i="4"/>
  <c r="K42" i="4"/>
  <c r="L41" i="4"/>
  <c r="N41" i="4" s="1"/>
  <c r="L446" i="4"/>
  <c r="N446" i="4" s="1"/>
  <c r="L641" i="4"/>
  <c r="N641" i="4" s="1"/>
  <c r="K43" i="3"/>
  <c r="L42" i="3"/>
  <c r="N42" i="3" s="1"/>
  <c r="K667" i="2"/>
  <c r="L666" i="2"/>
  <c r="N666" i="2" s="1"/>
  <c r="K42" i="2"/>
  <c r="L41" i="2"/>
  <c r="N41" i="2" s="1"/>
  <c r="K339" i="2"/>
  <c r="L338" i="2"/>
  <c r="N338" i="2" s="1"/>
  <c r="L42" i="1"/>
  <c r="N42" i="1" s="1"/>
  <c r="K43" i="1"/>
  <c r="J49" i="5" l="1"/>
  <c r="K48" i="5"/>
  <c r="M48" i="5" s="1"/>
  <c r="K1110" i="5"/>
  <c r="M1110" i="5" s="1"/>
  <c r="L777" i="4"/>
  <c r="N777" i="4" s="1"/>
  <c r="L536" i="4"/>
  <c r="N536" i="4" s="1"/>
  <c r="L642" i="4"/>
  <c r="N642" i="4" s="1"/>
  <c r="L42" i="4"/>
  <c r="N42" i="4" s="1"/>
  <c r="K43" i="4"/>
  <c r="L344" i="4"/>
  <c r="N344" i="4" s="1"/>
  <c r="K345" i="4"/>
  <c r="L447" i="4"/>
  <c r="N447" i="4" s="1"/>
  <c r="K44" i="3"/>
  <c r="L43" i="3"/>
  <c r="N43" i="3" s="1"/>
  <c r="K43" i="2"/>
  <c r="L42" i="2"/>
  <c r="N42" i="2" s="1"/>
  <c r="L339" i="2"/>
  <c r="N339" i="2" s="1"/>
  <c r="K340" i="2"/>
  <c r="K668" i="2"/>
  <c r="L667" i="2"/>
  <c r="N667" i="2" s="1"/>
  <c r="K44" i="1"/>
  <c r="L43" i="1"/>
  <c r="N43" i="1" s="1"/>
  <c r="K1111" i="5" l="1"/>
  <c r="M1111" i="5" s="1"/>
  <c r="J50" i="5"/>
  <c r="K49" i="5"/>
  <c r="M49" i="5" s="1"/>
  <c r="L778" i="4"/>
  <c r="N778" i="4" s="1"/>
  <c r="L537" i="4"/>
  <c r="N537" i="4" s="1"/>
  <c r="L643" i="4"/>
  <c r="N643" i="4" s="1"/>
  <c r="L448" i="4"/>
  <c r="N448" i="4" s="1"/>
  <c r="L345" i="4"/>
  <c r="N345" i="4" s="1"/>
  <c r="K346" i="4"/>
  <c r="K44" i="4"/>
  <c r="L43" i="4"/>
  <c r="N43" i="4" s="1"/>
  <c r="K45" i="3"/>
  <c r="L44" i="3"/>
  <c r="N44" i="3" s="1"/>
  <c r="K341" i="2"/>
  <c r="L340" i="2"/>
  <c r="N340" i="2" s="1"/>
  <c r="K669" i="2"/>
  <c r="L668" i="2"/>
  <c r="N668" i="2" s="1"/>
  <c r="K44" i="2"/>
  <c r="L43" i="2"/>
  <c r="N43" i="2" s="1"/>
  <c r="K45" i="1"/>
  <c r="L44" i="1"/>
  <c r="N44" i="1" s="1"/>
  <c r="J51" i="5" l="1"/>
  <c r="K50" i="5"/>
  <c r="M50" i="5" s="1"/>
  <c r="K1112" i="5"/>
  <c r="M1112" i="5" s="1"/>
  <c r="L779" i="4"/>
  <c r="N779" i="4" s="1"/>
  <c r="L538" i="4"/>
  <c r="N538" i="4" s="1"/>
  <c r="L346" i="4"/>
  <c r="N346" i="4" s="1"/>
  <c r="K347" i="4"/>
  <c r="L644" i="4"/>
  <c r="N644" i="4" s="1"/>
  <c r="L449" i="4"/>
  <c r="N449" i="4" s="1"/>
  <c r="K45" i="4"/>
  <c r="L44" i="4"/>
  <c r="N44" i="4" s="1"/>
  <c r="K46" i="3"/>
  <c r="L45" i="3"/>
  <c r="N45" i="3" s="1"/>
  <c r="K670" i="2"/>
  <c r="L669" i="2"/>
  <c r="N669" i="2" s="1"/>
  <c r="K45" i="2"/>
  <c r="L44" i="2"/>
  <c r="N44" i="2" s="1"/>
  <c r="K342" i="2"/>
  <c r="L341" i="2"/>
  <c r="N341" i="2" s="1"/>
  <c r="K46" i="1"/>
  <c r="L45" i="1"/>
  <c r="N45" i="1" s="1"/>
  <c r="K1113" i="5" l="1"/>
  <c r="M1113" i="5" s="1"/>
  <c r="J52" i="5"/>
  <c r="K51" i="5"/>
  <c r="M51" i="5" s="1"/>
  <c r="L780" i="4"/>
  <c r="N780" i="4" s="1"/>
  <c r="L539" i="4"/>
  <c r="N539" i="4" s="1"/>
  <c r="L450" i="4"/>
  <c r="N450" i="4" s="1"/>
  <c r="L645" i="4"/>
  <c r="N645" i="4" s="1"/>
  <c r="L347" i="4"/>
  <c r="N347" i="4" s="1"/>
  <c r="K348" i="4"/>
  <c r="K46" i="4"/>
  <c r="L45" i="4"/>
  <c r="N45" i="4" s="1"/>
  <c r="K47" i="3"/>
  <c r="L46" i="3"/>
  <c r="N46" i="3" s="1"/>
  <c r="L45" i="2"/>
  <c r="N45" i="2" s="1"/>
  <c r="K46" i="2"/>
  <c r="L342" i="2"/>
  <c r="N342" i="2" s="1"/>
  <c r="K343" i="2"/>
  <c r="K671" i="2"/>
  <c r="L670" i="2"/>
  <c r="N670" i="2" s="1"/>
  <c r="K47" i="1"/>
  <c r="L46" i="1"/>
  <c r="N46" i="1" s="1"/>
  <c r="J53" i="5" l="1"/>
  <c r="K52" i="5"/>
  <c r="M52" i="5" s="1"/>
  <c r="K1114" i="5"/>
  <c r="M1114" i="5" s="1"/>
  <c r="L781" i="4"/>
  <c r="N781" i="4" s="1"/>
  <c r="L540" i="4"/>
  <c r="N540" i="4" s="1"/>
  <c r="K47" i="4"/>
  <c r="L46" i="4"/>
  <c r="N46" i="4" s="1"/>
  <c r="L451" i="4"/>
  <c r="N451" i="4" s="1"/>
  <c r="L348" i="4"/>
  <c r="N348" i="4" s="1"/>
  <c r="K349" i="4"/>
  <c r="L646" i="4"/>
  <c r="N646" i="4" s="1"/>
  <c r="K48" i="3"/>
  <c r="L47" i="3"/>
  <c r="N47" i="3" s="1"/>
  <c r="K47" i="2"/>
  <c r="L46" i="2"/>
  <c r="N46" i="2" s="1"/>
  <c r="K344" i="2"/>
  <c r="L343" i="2"/>
  <c r="N343" i="2" s="1"/>
  <c r="K672" i="2"/>
  <c r="L671" i="2"/>
  <c r="N671" i="2" s="1"/>
  <c r="L47" i="1"/>
  <c r="N47" i="1" s="1"/>
  <c r="K48" i="1"/>
  <c r="K1115" i="5" l="1"/>
  <c r="M1115" i="5" s="1"/>
  <c r="J54" i="5"/>
  <c r="K53" i="5"/>
  <c r="M53" i="5" s="1"/>
  <c r="L782" i="4"/>
  <c r="N782" i="4" s="1"/>
  <c r="L541" i="4"/>
  <c r="N541" i="4" s="1"/>
  <c r="L647" i="4"/>
  <c r="N647" i="4" s="1"/>
  <c r="L349" i="4"/>
  <c r="N349" i="4" s="1"/>
  <c r="K350" i="4"/>
  <c r="L452" i="4"/>
  <c r="N452" i="4" s="1"/>
  <c r="K48" i="4"/>
  <c r="L47" i="4"/>
  <c r="N47" i="4" s="1"/>
  <c r="K49" i="3"/>
  <c r="L48" i="3"/>
  <c r="N48" i="3" s="1"/>
  <c r="K345" i="2"/>
  <c r="L344" i="2"/>
  <c r="N344" i="2" s="1"/>
  <c r="K673" i="2"/>
  <c r="L672" i="2"/>
  <c r="N672" i="2" s="1"/>
  <c r="K48" i="2"/>
  <c r="L47" i="2"/>
  <c r="N47" i="2" s="1"/>
  <c r="K49" i="1"/>
  <c r="L48" i="1"/>
  <c r="N48" i="1" s="1"/>
  <c r="K1116" i="5" l="1"/>
  <c r="M1116" i="5" s="1"/>
  <c r="J55" i="5"/>
  <c r="K54" i="5"/>
  <c r="M54" i="5" s="1"/>
  <c r="L783" i="4"/>
  <c r="N783" i="4" s="1"/>
  <c r="L542" i="4"/>
  <c r="N542" i="4" s="1"/>
  <c r="L350" i="4"/>
  <c r="N350" i="4" s="1"/>
  <c r="K351" i="4"/>
  <c r="L648" i="4"/>
  <c r="N648" i="4" s="1"/>
  <c r="K49" i="4"/>
  <c r="L48" i="4"/>
  <c r="N48" i="4" s="1"/>
  <c r="L453" i="4"/>
  <c r="N453" i="4" s="1"/>
  <c r="L49" i="3"/>
  <c r="N49" i="3" s="1"/>
  <c r="K50" i="3"/>
  <c r="K674" i="2"/>
  <c r="L673" i="2"/>
  <c r="N673" i="2" s="1"/>
  <c r="K49" i="2"/>
  <c r="L48" i="2"/>
  <c r="N48" i="2" s="1"/>
  <c r="K346" i="2"/>
  <c r="L345" i="2"/>
  <c r="N345" i="2" s="1"/>
  <c r="K50" i="1"/>
  <c r="L49" i="1"/>
  <c r="N49" i="1" s="1"/>
  <c r="J56" i="5" l="1"/>
  <c r="K55" i="5"/>
  <c r="M55" i="5" s="1"/>
  <c r="K1117" i="5"/>
  <c r="M1117" i="5" s="1"/>
  <c r="L784" i="4"/>
  <c r="N784" i="4" s="1"/>
  <c r="L543" i="4"/>
  <c r="N543" i="4" s="1"/>
  <c r="L649" i="4"/>
  <c r="N649" i="4" s="1"/>
  <c r="L351" i="4"/>
  <c r="N351" i="4" s="1"/>
  <c r="K352" i="4"/>
  <c r="K50" i="4"/>
  <c r="L49" i="4"/>
  <c r="N49" i="4" s="1"/>
  <c r="L454" i="4"/>
  <c r="N454" i="4" s="1"/>
  <c r="K51" i="3"/>
  <c r="L50" i="3"/>
  <c r="N50" i="3" s="1"/>
  <c r="K50" i="2"/>
  <c r="L49" i="2"/>
  <c r="N49" i="2" s="1"/>
  <c r="K347" i="2"/>
  <c r="L346" i="2"/>
  <c r="N346" i="2" s="1"/>
  <c r="K675" i="2"/>
  <c r="L674" i="2"/>
  <c r="N674" i="2" s="1"/>
  <c r="K51" i="1"/>
  <c r="L50" i="1"/>
  <c r="N50" i="1" s="1"/>
  <c r="K1118" i="5" l="1"/>
  <c r="M1118" i="5" s="1"/>
  <c r="J57" i="5"/>
  <c r="K56" i="5"/>
  <c r="M56" i="5" s="1"/>
  <c r="L785" i="4"/>
  <c r="N785" i="4" s="1"/>
  <c r="L544" i="4"/>
  <c r="N544" i="4" s="1"/>
  <c r="L352" i="4"/>
  <c r="N352" i="4" s="1"/>
  <c r="K353" i="4"/>
  <c r="L650" i="4"/>
  <c r="N650" i="4" s="1"/>
  <c r="L455" i="4"/>
  <c r="N455" i="4" s="1"/>
  <c r="L50" i="4"/>
  <c r="N50" i="4" s="1"/>
  <c r="K51" i="4"/>
  <c r="K52" i="3"/>
  <c r="L51" i="3"/>
  <c r="N51" i="3" s="1"/>
  <c r="K348" i="2"/>
  <c r="L347" i="2"/>
  <c r="N347" i="2" s="1"/>
  <c r="K676" i="2"/>
  <c r="L675" i="2"/>
  <c r="N675" i="2" s="1"/>
  <c r="K51" i="2"/>
  <c r="L50" i="2"/>
  <c r="N50" i="2" s="1"/>
  <c r="K52" i="1"/>
  <c r="L51" i="1"/>
  <c r="N51" i="1" s="1"/>
  <c r="J58" i="5" l="1"/>
  <c r="K57" i="5"/>
  <c r="M57" i="5" s="1"/>
  <c r="K1119" i="5"/>
  <c r="M1119" i="5" s="1"/>
  <c r="L786" i="4"/>
  <c r="N786" i="4" s="1"/>
  <c r="L545" i="4"/>
  <c r="N545" i="4" s="1"/>
  <c r="K52" i="4"/>
  <c r="L51" i="4"/>
  <c r="N51" i="4" s="1"/>
  <c r="L651" i="4"/>
  <c r="N651" i="4" s="1"/>
  <c r="L353" i="4"/>
  <c r="N353" i="4" s="1"/>
  <c r="K354" i="4"/>
  <c r="L456" i="4"/>
  <c r="N456" i="4" s="1"/>
  <c r="K53" i="3"/>
  <c r="L52" i="3"/>
  <c r="N52" i="3" s="1"/>
  <c r="K677" i="2"/>
  <c r="L676" i="2"/>
  <c r="N676" i="2" s="1"/>
  <c r="K52" i="2"/>
  <c r="L51" i="2"/>
  <c r="N51" i="2" s="1"/>
  <c r="K349" i="2"/>
  <c r="L348" i="2"/>
  <c r="N348" i="2" s="1"/>
  <c r="K53" i="1"/>
  <c r="L52" i="1"/>
  <c r="N52" i="1" s="1"/>
  <c r="K1120" i="5" l="1"/>
  <c r="M1120" i="5" s="1"/>
  <c r="J59" i="5"/>
  <c r="K58" i="5"/>
  <c r="M58" i="5" s="1"/>
  <c r="L787" i="4"/>
  <c r="N787" i="4" s="1"/>
  <c r="L546" i="4"/>
  <c r="N546" i="4" s="1"/>
  <c r="L652" i="4"/>
  <c r="N652" i="4" s="1"/>
  <c r="L457" i="4"/>
  <c r="N457" i="4" s="1"/>
  <c r="L354" i="4"/>
  <c r="N354" i="4" s="1"/>
  <c r="K355" i="4"/>
  <c r="K53" i="4"/>
  <c r="L52" i="4"/>
  <c r="N52" i="4" s="1"/>
  <c r="K54" i="3"/>
  <c r="L53" i="3"/>
  <c r="N53" i="3" s="1"/>
  <c r="K53" i="2"/>
  <c r="L52" i="2"/>
  <c r="N52" i="2" s="1"/>
  <c r="K350" i="2"/>
  <c r="L349" i="2"/>
  <c r="N349" i="2" s="1"/>
  <c r="K678" i="2"/>
  <c r="L677" i="2"/>
  <c r="N677" i="2" s="1"/>
  <c r="K54" i="1"/>
  <c r="L53" i="1"/>
  <c r="N53" i="1" s="1"/>
  <c r="J60" i="5" l="1"/>
  <c r="K59" i="5"/>
  <c r="M59" i="5" s="1"/>
  <c r="K1121" i="5"/>
  <c r="M1121" i="5" s="1"/>
  <c r="L788" i="4"/>
  <c r="N788" i="4" s="1"/>
  <c r="L547" i="4"/>
  <c r="N547" i="4" s="1"/>
  <c r="L355" i="4"/>
  <c r="N355" i="4" s="1"/>
  <c r="K356" i="4"/>
  <c r="L653" i="4"/>
  <c r="N653" i="4" s="1"/>
  <c r="K54" i="4"/>
  <c r="L53" i="4"/>
  <c r="N53" i="4" s="1"/>
  <c r="L458" i="4"/>
  <c r="N458" i="4" s="1"/>
  <c r="K55" i="3"/>
  <c r="L54" i="3"/>
  <c r="N54" i="3" s="1"/>
  <c r="L350" i="2"/>
  <c r="N350" i="2" s="1"/>
  <c r="K351" i="2"/>
  <c r="K679" i="2"/>
  <c r="L678" i="2"/>
  <c r="N678" i="2" s="1"/>
  <c r="K54" i="2"/>
  <c r="L53" i="2"/>
  <c r="N53" i="2" s="1"/>
  <c r="K55" i="1"/>
  <c r="L54" i="1"/>
  <c r="N54" i="1" s="1"/>
  <c r="K1122" i="5" l="1"/>
  <c r="M1122" i="5" s="1"/>
  <c r="J61" i="5"/>
  <c r="K60" i="5"/>
  <c r="M60" i="5" s="1"/>
  <c r="L789" i="4"/>
  <c r="N789" i="4" s="1"/>
  <c r="L548" i="4"/>
  <c r="N548" i="4" s="1"/>
  <c r="L654" i="4"/>
  <c r="N654" i="4" s="1"/>
  <c r="L459" i="4"/>
  <c r="N459" i="4" s="1"/>
  <c r="L356" i="4"/>
  <c r="N356" i="4" s="1"/>
  <c r="K357" i="4"/>
  <c r="K55" i="4"/>
  <c r="L54" i="4"/>
  <c r="N54" i="4" s="1"/>
  <c r="K56" i="3"/>
  <c r="L55" i="3"/>
  <c r="N55" i="3" s="1"/>
  <c r="K680" i="2"/>
  <c r="L679" i="2"/>
  <c r="N679" i="2" s="1"/>
  <c r="K352" i="2"/>
  <c r="L351" i="2"/>
  <c r="N351" i="2" s="1"/>
  <c r="K55" i="2"/>
  <c r="L54" i="2"/>
  <c r="N54" i="2" s="1"/>
  <c r="K56" i="1"/>
  <c r="L55" i="1"/>
  <c r="N55" i="1" s="1"/>
  <c r="J62" i="5" l="1"/>
  <c r="K61" i="5"/>
  <c r="M61" i="5" s="1"/>
  <c r="K1123" i="5"/>
  <c r="M1123" i="5" s="1"/>
  <c r="L790" i="4"/>
  <c r="N790" i="4" s="1"/>
  <c r="L549" i="4"/>
  <c r="N549" i="4" s="1"/>
  <c r="L655" i="4"/>
  <c r="N655" i="4" s="1"/>
  <c r="L357" i="4"/>
  <c r="N357" i="4" s="1"/>
  <c r="K358" i="4"/>
  <c r="K56" i="4"/>
  <c r="L55" i="4"/>
  <c r="N55" i="4" s="1"/>
  <c r="L460" i="4"/>
  <c r="N460" i="4" s="1"/>
  <c r="K57" i="3"/>
  <c r="L56" i="3"/>
  <c r="N56" i="3" s="1"/>
  <c r="K353" i="2"/>
  <c r="L352" i="2"/>
  <c r="N352" i="2" s="1"/>
  <c r="K56" i="2"/>
  <c r="L55" i="2"/>
  <c r="N55" i="2" s="1"/>
  <c r="K681" i="2"/>
  <c r="L680" i="2"/>
  <c r="N680" i="2" s="1"/>
  <c r="K57" i="1"/>
  <c r="L56" i="1"/>
  <c r="N56" i="1" s="1"/>
  <c r="K1124" i="5" l="1"/>
  <c r="M1124" i="5" s="1"/>
  <c r="J63" i="5"/>
  <c r="K62" i="5"/>
  <c r="M62" i="5" s="1"/>
  <c r="L791" i="4"/>
  <c r="N791" i="4" s="1"/>
  <c r="L550" i="4"/>
  <c r="N550" i="4" s="1"/>
  <c r="L358" i="4"/>
  <c r="N358" i="4" s="1"/>
  <c r="K359" i="4"/>
  <c r="L461" i="4"/>
  <c r="N461" i="4" s="1"/>
  <c r="K57" i="4"/>
  <c r="L56" i="4"/>
  <c r="N56" i="4" s="1"/>
  <c r="L656" i="4"/>
  <c r="N656" i="4" s="1"/>
  <c r="K58" i="3"/>
  <c r="L57" i="3"/>
  <c r="N57" i="3" s="1"/>
  <c r="K57" i="2"/>
  <c r="L56" i="2"/>
  <c r="N56" i="2" s="1"/>
  <c r="K682" i="2"/>
  <c r="L681" i="2"/>
  <c r="N681" i="2" s="1"/>
  <c r="K354" i="2"/>
  <c r="L353" i="2"/>
  <c r="N353" i="2" s="1"/>
  <c r="K58" i="1"/>
  <c r="L57" i="1"/>
  <c r="N57" i="1" s="1"/>
  <c r="K1125" i="5" l="1"/>
  <c r="M1125" i="5" s="1"/>
  <c r="J64" i="5"/>
  <c r="K63" i="5"/>
  <c r="M63" i="5" s="1"/>
  <c r="L792" i="4"/>
  <c r="N792" i="4" s="1"/>
  <c r="L551" i="4"/>
  <c r="N551" i="4" s="1"/>
  <c r="L462" i="4"/>
  <c r="N462" i="4" s="1"/>
  <c r="L657" i="4"/>
  <c r="N657" i="4" s="1"/>
  <c r="L359" i="4"/>
  <c r="N359" i="4" s="1"/>
  <c r="K360" i="4"/>
  <c r="K58" i="4"/>
  <c r="L57" i="4"/>
  <c r="N57" i="4" s="1"/>
  <c r="K59" i="3"/>
  <c r="L58" i="3"/>
  <c r="N58" i="3" s="1"/>
  <c r="K683" i="2"/>
  <c r="L682" i="2"/>
  <c r="N682" i="2" s="1"/>
  <c r="K355" i="2"/>
  <c r="L354" i="2"/>
  <c r="N354" i="2" s="1"/>
  <c r="K58" i="2"/>
  <c r="L57" i="2"/>
  <c r="N57" i="2" s="1"/>
  <c r="K59" i="1"/>
  <c r="L58" i="1"/>
  <c r="N58" i="1" s="1"/>
  <c r="J65" i="5" l="1"/>
  <c r="K64" i="5"/>
  <c r="M64" i="5" s="1"/>
  <c r="K1126" i="5"/>
  <c r="M1126" i="5" s="1"/>
  <c r="L793" i="4"/>
  <c r="N793" i="4" s="1"/>
  <c r="L552" i="4"/>
  <c r="N552" i="4" s="1"/>
  <c r="L360" i="4"/>
  <c r="N360" i="4" s="1"/>
  <c r="K361" i="4"/>
  <c r="L658" i="4"/>
  <c r="N658" i="4" s="1"/>
  <c r="L58" i="4"/>
  <c r="N58" i="4" s="1"/>
  <c r="K59" i="4"/>
  <c r="L463" i="4"/>
  <c r="N463" i="4" s="1"/>
  <c r="K60" i="3"/>
  <c r="L59" i="3"/>
  <c r="N59" i="3" s="1"/>
  <c r="K356" i="2"/>
  <c r="L355" i="2"/>
  <c r="N355" i="2" s="1"/>
  <c r="K59" i="2"/>
  <c r="L58" i="2"/>
  <c r="N58" i="2" s="1"/>
  <c r="K684" i="2"/>
  <c r="L683" i="2"/>
  <c r="N683" i="2" s="1"/>
  <c r="K60" i="1"/>
  <c r="L59" i="1"/>
  <c r="N59" i="1" s="1"/>
  <c r="K1127" i="5" l="1"/>
  <c r="M1127" i="5" s="1"/>
  <c r="J66" i="5"/>
  <c r="K65" i="5"/>
  <c r="M65" i="5" s="1"/>
  <c r="L794" i="4"/>
  <c r="N794" i="4" s="1"/>
  <c r="L553" i="4"/>
  <c r="N553" i="4" s="1"/>
  <c r="L464" i="4"/>
  <c r="N464" i="4" s="1"/>
  <c r="K60" i="4"/>
  <c r="L59" i="4"/>
  <c r="N59" i="4" s="1"/>
  <c r="L659" i="4"/>
  <c r="N659" i="4" s="1"/>
  <c r="L361" i="4"/>
  <c r="N361" i="4" s="1"/>
  <c r="K362" i="4"/>
  <c r="K61" i="3"/>
  <c r="L60" i="3"/>
  <c r="N60" i="3" s="1"/>
  <c r="K60" i="2"/>
  <c r="L59" i="2"/>
  <c r="N59" i="2" s="1"/>
  <c r="K685" i="2"/>
  <c r="L684" i="2"/>
  <c r="N684" i="2" s="1"/>
  <c r="K357" i="2"/>
  <c r="L356" i="2"/>
  <c r="N356" i="2" s="1"/>
  <c r="K61" i="1"/>
  <c r="L60" i="1"/>
  <c r="N60" i="1" s="1"/>
  <c r="J67" i="5" l="1"/>
  <c r="K66" i="5"/>
  <c r="M66" i="5" s="1"/>
  <c r="K1128" i="5"/>
  <c r="M1128" i="5" s="1"/>
  <c r="L795" i="4"/>
  <c r="N795" i="4" s="1"/>
  <c r="L554" i="4"/>
  <c r="N554" i="4" s="1"/>
  <c r="L362" i="4"/>
  <c r="N362" i="4" s="1"/>
  <c r="K363" i="4"/>
  <c r="K61" i="4"/>
  <c r="L60" i="4"/>
  <c r="N60" i="4" s="1"/>
  <c r="L465" i="4"/>
  <c r="N465" i="4" s="1"/>
  <c r="L660" i="4"/>
  <c r="N660" i="4" s="1"/>
  <c r="K62" i="3"/>
  <c r="L61" i="3"/>
  <c r="N61" i="3" s="1"/>
  <c r="K686" i="2"/>
  <c r="L685" i="2"/>
  <c r="N685" i="2" s="1"/>
  <c r="K358" i="2"/>
  <c r="L357" i="2"/>
  <c r="N357" i="2" s="1"/>
  <c r="K61" i="2"/>
  <c r="L60" i="2"/>
  <c r="N60" i="2" s="1"/>
  <c r="K62" i="1"/>
  <c r="L61" i="1"/>
  <c r="N61" i="1" s="1"/>
  <c r="K1129" i="5" l="1"/>
  <c r="M1129" i="5" s="1"/>
  <c r="J68" i="5"/>
  <c r="K67" i="5"/>
  <c r="M67" i="5" s="1"/>
  <c r="L796" i="4"/>
  <c r="N796" i="4" s="1"/>
  <c r="L555" i="4"/>
  <c r="N555" i="4" s="1"/>
  <c r="L661" i="4"/>
  <c r="N661" i="4" s="1"/>
  <c r="K62" i="4"/>
  <c r="L61" i="4"/>
  <c r="N61" i="4" s="1"/>
  <c r="L363" i="4"/>
  <c r="N363" i="4" s="1"/>
  <c r="K364" i="4"/>
  <c r="L466" i="4"/>
  <c r="N466" i="4" s="1"/>
  <c r="K63" i="3"/>
  <c r="L62" i="3"/>
  <c r="N62" i="3" s="1"/>
  <c r="L358" i="2"/>
  <c r="N358" i="2" s="1"/>
  <c r="K359" i="2"/>
  <c r="L61" i="2"/>
  <c r="N61" i="2" s="1"/>
  <c r="K62" i="2"/>
  <c r="K687" i="2"/>
  <c r="L686" i="2"/>
  <c r="N686" i="2" s="1"/>
  <c r="K63" i="1"/>
  <c r="L62" i="1"/>
  <c r="N62" i="1" s="1"/>
  <c r="J69" i="5" l="1"/>
  <c r="K68" i="5"/>
  <c r="M68" i="5" s="1"/>
  <c r="K1130" i="5"/>
  <c r="M1130" i="5" s="1"/>
  <c r="L797" i="4"/>
  <c r="N797" i="4" s="1"/>
  <c r="L556" i="4"/>
  <c r="N556" i="4" s="1"/>
  <c r="L662" i="4"/>
  <c r="N662" i="4" s="1"/>
  <c r="L467" i="4"/>
  <c r="N467" i="4" s="1"/>
  <c r="L364" i="4"/>
  <c r="N364" i="4" s="1"/>
  <c r="K365" i="4"/>
  <c r="K63" i="4"/>
  <c r="L62" i="4"/>
  <c r="N62" i="4" s="1"/>
  <c r="K64" i="3"/>
  <c r="L63" i="3"/>
  <c r="N63" i="3" s="1"/>
  <c r="L359" i="2"/>
  <c r="N359" i="2" s="1"/>
  <c r="K360" i="2"/>
  <c r="K63" i="2"/>
  <c r="L62" i="2"/>
  <c r="N62" i="2" s="1"/>
  <c r="K688" i="2"/>
  <c r="L687" i="2"/>
  <c r="N687" i="2" s="1"/>
  <c r="K64" i="1"/>
  <c r="L63" i="1"/>
  <c r="N63" i="1" s="1"/>
  <c r="K1131" i="5" l="1"/>
  <c r="M1131" i="5" s="1"/>
  <c r="J70" i="5"/>
  <c r="K69" i="5"/>
  <c r="M69" i="5" s="1"/>
  <c r="L798" i="4"/>
  <c r="N798" i="4" s="1"/>
  <c r="L557" i="4"/>
  <c r="N557" i="4" s="1"/>
  <c r="L365" i="4"/>
  <c r="N365" i="4" s="1"/>
  <c r="K366" i="4"/>
  <c r="L663" i="4"/>
  <c r="N663" i="4" s="1"/>
  <c r="K64" i="4"/>
  <c r="L63" i="4"/>
  <c r="N63" i="4" s="1"/>
  <c r="L468" i="4"/>
  <c r="N468" i="4" s="1"/>
  <c r="K65" i="3"/>
  <c r="L64" i="3"/>
  <c r="N64" i="3" s="1"/>
  <c r="K64" i="2"/>
  <c r="L63" i="2"/>
  <c r="N63" i="2" s="1"/>
  <c r="K361" i="2"/>
  <c r="L360" i="2"/>
  <c r="N360" i="2" s="1"/>
  <c r="K689" i="2"/>
  <c r="L688" i="2"/>
  <c r="N688" i="2" s="1"/>
  <c r="L64" i="1"/>
  <c r="N64" i="1" s="1"/>
  <c r="K65" i="1"/>
  <c r="J71" i="5" l="1"/>
  <c r="K70" i="5"/>
  <c r="M70" i="5" s="1"/>
  <c r="K1132" i="5"/>
  <c r="M1132" i="5" s="1"/>
  <c r="L799" i="4"/>
  <c r="N799" i="4" s="1"/>
  <c r="L558" i="4"/>
  <c r="N558" i="4" s="1"/>
  <c r="L664" i="4"/>
  <c r="N664" i="4" s="1"/>
  <c r="L469" i="4"/>
  <c r="N469" i="4" s="1"/>
  <c r="L366" i="4"/>
  <c r="N366" i="4" s="1"/>
  <c r="K367" i="4"/>
  <c r="K65" i="4"/>
  <c r="L64" i="4"/>
  <c r="N64" i="4" s="1"/>
  <c r="L65" i="3"/>
  <c r="N65" i="3" s="1"/>
  <c r="K66" i="3"/>
  <c r="K362" i="2"/>
  <c r="L361" i="2"/>
  <c r="N361" i="2" s="1"/>
  <c r="K690" i="2"/>
  <c r="L689" i="2"/>
  <c r="N689" i="2" s="1"/>
  <c r="K65" i="2"/>
  <c r="L64" i="2"/>
  <c r="N64" i="2" s="1"/>
  <c r="L65" i="1"/>
  <c r="N65" i="1" s="1"/>
  <c r="K66" i="1"/>
  <c r="K1133" i="5" l="1"/>
  <c r="M1133" i="5" s="1"/>
  <c r="J72" i="5"/>
  <c r="K71" i="5"/>
  <c r="M71" i="5" s="1"/>
  <c r="L800" i="4"/>
  <c r="N800" i="4" s="1"/>
  <c r="L559" i="4"/>
  <c r="N559" i="4" s="1"/>
  <c r="L367" i="4"/>
  <c r="N367" i="4" s="1"/>
  <c r="K368" i="4"/>
  <c r="K66" i="4"/>
  <c r="L65" i="4"/>
  <c r="N65" i="4" s="1"/>
  <c r="L665" i="4"/>
  <c r="N665" i="4" s="1"/>
  <c r="L470" i="4"/>
  <c r="N470" i="4" s="1"/>
  <c r="K67" i="3"/>
  <c r="L66" i="3"/>
  <c r="N66" i="3" s="1"/>
  <c r="K691" i="2"/>
  <c r="L690" i="2"/>
  <c r="N690" i="2" s="1"/>
  <c r="K66" i="2"/>
  <c r="L65" i="2"/>
  <c r="N65" i="2" s="1"/>
  <c r="K363" i="2"/>
  <c r="L362" i="2"/>
  <c r="N362" i="2" s="1"/>
  <c r="K67" i="1"/>
  <c r="L66" i="1"/>
  <c r="N66" i="1" s="1"/>
  <c r="J73" i="5" l="1"/>
  <c r="K72" i="5"/>
  <c r="M72" i="5" s="1"/>
  <c r="K1134" i="5"/>
  <c r="M1134" i="5" s="1"/>
  <c r="L801" i="4"/>
  <c r="N801" i="4" s="1"/>
  <c r="L560" i="4"/>
  <c r="N560" i="4" s="1"/>
  <c r="L471" i="4"/>
  <c r="N471" i="4" s="1"/>
  <c r="L66" i="4"/>
  <c r="N66" i="4" s="1"/>
  <c r="K67" i="4"/>
  <c r="L368" i="4"/>
  <c r="N368" i="4" s="1"/>
  <c r="K369" i="4"/>
  <c r="L666" i="4"/>
  <c r="N666" i="4" s="1"/>
  <c r="K68" i="3"/>
  <c r="L67" i="3"/>
  <c r="N67" i="3" s="1"/>
  <c r="K67" i="2"/>
  <c r="L66" i="2"/>
  <c r="N66" i="2" s="1"/>
  <c r="L363" i="2"/>
  <c r="N363" i="2" s="1"/>
  <c r="K364" i="2"/>
  <c r="K692" i="2"/>
  <c r="L691" i="2"/>
  <c r="N691" i="2" s="1"/>
  <c r="K68" i="1"/>
  <c r="L67" i="1"/>
  <c r="N67" i="1" s="1"/>
  <c r="J74" i="5" l="1"/>
  <c r="K73" i="5"/>
  <c r="M73" i="5" s="1"/>
  <c r="K1135" i="5"/>
  <c r="M1135" i="5" s="1"/>
  <c r="L802" i="4"/>
  <c r="N802" i="4" s="1"/>
  <c r="L561" i="4"/>
  <c r="N561" i="4" s="1"/>
  <c r="L667" i="4"/>
  <c r="N667" i="4" s="1"/>
  <c r="L369" i="4"/>
  <c r="N369" i="4" s="1"/>
  <c r="K370" i="4"/>
  <c r="K68" i="4"/>
  <c r="L67" i="4"/>
  <c r="N67" i="4" s="1"/>
  <c r="L472" i="4"/>
  <c r="N472" i="4" s="1"/>
  <c r="K69" i="3"/>
  <c r="L68" i="3"/>
  <c r="N68" i="3" s="1"/>
  <c r="K365" i="2"/>
  <c r="L364" i="2"/>
  <c r="N364" i="2" s="1"/>
  <c r="K693" i="2"/>
  <c r="L692" i="2"/>
  <c r="N692" i="2" s="1"/>
  <c r="K68" i="2"/>
  <c r="L67" i="2"/>
  <c r="N67" i="2" s="1"/>
  <c r="K69" i="1"/>
  <c r="L68" i="1"/>
  <c r="N68" i="1" s="1"/>
  <c r="K1136" i="5" l="1"/>
  <c r="M1136" i="5" s="1"/>
  <c r="J75" i="5"/>
  <c r="K74" i="5"/>
  <c r="M74" i="5" s="1"/>
  <c r="L803" i="4"/>
  <c r="N803" i="4" s="1"/>
  <c r="L562" i="4"/>
  <c r="N562" i="4" s="1"/>
  <c r="L473" i="4"/>
  <c r="N473" i="4" s="1"/>
  <c r="K69" i="4"/>
  <c r="L68" i="4"/>
  <c r="N68" i="4" s="1"/>
  <c r="L370" i="4"/>
  <c r="N370" i="4" s="1"/>
  <c r="K371" i="4"/>
  <c r="L668" i="4"/>
  <c r="N668" i="4" s="1"/>
  <c r="K70" i="3"/>
  <c r="L69" i="3"/>
  <c r="N69" i="3" s="1"/>
  <c r="K694" i="2"/>
  <c r="L693" i="2"/>
  <c r="N693" i="2" s="1"/>
  <c r="K69" i="2"/>
  <c r="L68" i="2"/>
  <c r="N68" i="2" s="1"/>
  <c r="K366" i="2"/>
  <c r="L365" i="2"/>
  <c r="N365" i="2" s="1"/>
  <c r="K70" i="1"/>
  <c r="L69" i="1"/>
  <c r="N69" i="1" s="1"/>
  <c r="K1137" i="5" l="1"/>
  <c r="M1137" i="5" s="1"/>
  <c r="J76" i="5"/>
  <c r="K75" i="5"/>
  <c r="M75" i="5" s="1"/>
  <c r="L804" i="4"/>
  <c r="N804" i="4" s="1"/>
  <c r="L563" i="4"/>
  <c r="N563" i="4" s="1"/>
  <c r="L474" i="4"/>
  <c r="N474" i="4" s="1"/>
  <c r="L669" i="4"/>
  <c r="N669" i="4" s="1"/>
  <c r="L371" i="4"/>
  <c r="N371" i="4" s="1"/>
  <c r="K372" i="4"/>
  <c r="K70" i="4"/>
  <c r="L69" i="4"/>
  <c r="N69" i="4" s="1"/>
  <c r="K71" i="3"/>
  <c r="L70" i="3"/>
  <c r="N70" i="3" s="1"/>
  <c r="L69" i="2"/>
  <c r="N69" i="2" s="1"/>
  <c r="K70" i="2"/>
  <c r="L366" i="2"/>
  <c r="N366" i="2" s="1"/>
  <c r="K367" i="2"/>
  <c r="K695" i="2"/>
  <c r="L694" i="2"/>
  <c r="N694" i="2" s="1"/>
  <c r="L70" i="1"/>
  <c r="N70" i="1" s="1"/>
  <c r="K71" i="1"/>
  <c r="J77" i="5" l="1"/>
  <c r="K76" i="5"/>
  <c r="M76" i="5" s="1"/>
  <c r="K1138" i="5"/>
  <c r="M1138" i="5" s="1"/>
  <c r="L805" i="4"/>
  <c r="N805" i="4" s="1"/>
  <c r="L564" i="4"/>
  <c r="N564" i="4" s="1"/>
  <c r="K71" i="4"/>
  <c r="L70" i="4"/>
  <c r="N70" i="4" s="1"/>
  <c r="L475" i="4"/>
  <c r="N475" i="4" s="1"/>
  <c r="L372" i="4"/>
  <c r="N372" i="4" s="1"/>
  <c r="K373" i="4"/>
  <c r="L670" i="4"/>
  <c r="N670" i="4" s="1"/>
  <c r="K72" i="3"/>
  <c r="L71" i="3"/>
  <c r="N71" i="3" s="1"/>
  <c r="K71" i="2"/>
  <c r="L70" i="2"/>
  <c r="N70" i="2" s="1"/>
  <c r="L367" i="2"/>
  <c r="N367" i="2" s="1"/>
  <c r="K368" i="2"/>
  <c r="K696" i="2"/>
  <c r="L695" i="2"/>
  <c r="N695" i="2" s="1"/>
  <c r="K72" i="1"/>
  <c r="L71" i="1"/>
  <c r="N71" i="1" s="1"/>
  <c r="K1139" i="5" l="1"/>
  <c r="M1139" i="5" s="1"/>
  <c r="J78" i="5"/>
  <c r="K77" i="5"/>
  <c r="M77" i="5" s="1"/>
  <c r="L806" i="4"/>
  <c r="N806" i="4" s="1"/>
  <c r="L565" i="4"/>
  <c r="N565" i="4" s="1"/>
  <c r="L476" i="4"/>
  <c r="N476" i="4" s="1"/>
  <c r="K374" i="4"/>
  <c r="L373" i="4"/>
  <c r="N373" i="4" s="1"/>
  <c r="L671" i="4"/>
  <c r="N671" i="4" s="1"/>
  <c r="K72" i="4"/>
  <c r="L71" i="4"/>
  <c r="N71" i="4" s="1"/>
  <c r="K73" i="3"/>
  <c r="L72" i="3"/>
  <c r="N72" i="3" s="1"/>
  <c r="K369" i="2"/>
  <c r="L368" i="2"/>
  <c r="N368" i="2" s="1"/>
  <c r="K697" i="2"/>
  <c r="L696" i="2"/>
  <c r="N696" i="2" s="1"/>
  <c r="K72" i="2"/>
  <c r="L71" i="2"/>
  <c r="N71" i="2" s="1"/>
  <c r="K73" i="1"/>
  <c r="L72" i="1"/>
  <c r="N72" i="1" s="1"/>
  <c r="J79" i="5" l="1"/>
  <c r="K78" i="5"/>
  <c r="M78" i="5" s="1"/>
  <c r="K1140" i="5"/>
  <c r="M1140" i="5" s="1"/>
  <c r="L807" i="4"/>
  <c r="N807" i="4" s="1"/>
  <c r="L566" i="4"/>
  <c r="N566" i="4" s="1"/>
  <c r="K73" i="4"/>
  <c r="L72" i="4"/>
  <c r="N72" i="4" s="1"/>
  <c r="K375" i="4"/>
  <c r="L374" i="4"/>
  <c r="N374" i="4" s="1"/>
  <c r="L477" i="4"/>
  <c r="N477" i="4" s="1"/>
  <c r="L672" i="4"/>
  <c r="N672" i="4" s="1"/>
  <c r="K74" i="3"/>
  <c r="L73" i="3"/>
  <c r="N73" i="3" s="1"/>
  <c r="K698" i="2"/>
  <c r="L697" i="2"/>
  <c r="N697" i="2" s="1"/>
  <c r="K73" i="2"/>
  <c r="L72" i="2"/>
  <c r="N72" i="2" s="1"/>
  <c r="K370" i="2"/>
  <c r="L369" i="2"/>
  <c r="N369" i="2" s="1"/>
  <c r="K74" i="1"/>
  <c r="L73" i="1"/>
  <c r="N73" i="1" s="1"/>
  <c r="K1141" i="5" l="1"/>
  <c r="M1141" i="5" s="1"/>
  <c r="J80" i="5"/>
  <c r="K79" i="5"/>
  <c r="M79" i="5" s="1"/>
  <c r="L808" i="4"/>
  <c r="N808" i="4" s="1"/>
  <c r="L567" i="4"/>
  <c r="N567" i="4" s="1"/>
  <c r="L673" i="4"/>
  <c r="N673" i="4" s="1"/>
  <c r="L375" i="4"/>
  <c r="N375" i="4" s="1"/>
  <c r="K376" i="4"/>
  <c r="L478" i="4"/>
  <c r="N478" i="4" s="1"/>
  <c r="K74" i="4"/>
  <c r="L73" i="4"/>
  <c r="N73" i="4" s="1"/>
  <c r="K75" i="3"/>
  <c r="L74" i="3"/>
  <c r="N74" i="3" s="1"/>
  <c r="K74" i="2"/>
  <c r="L73" i="2"/>
  <c r="N73" i="2" s="1"/>
  <c r="K371" i="2"/>
  <c r="L370" i="2"/>
  <c r="N370" i="2" s="1"/>
  <c r="K699" i="2"/>
  <c r="L698" i="2"/>
  <c r="N698" i="2" s="1"/>
  <c r="K75" i="1"/>
  <c r="L74" i="1"/>
  <c r="N74" i="1" s="1"/>
  <c r="J81" i="5" l="1"/>
  <c r="K80" i="5"/>
  <c r="M80" i="5" s="1"/>
  <c r="K1142" i="5"/>
  <c r="M1142" i="5" s="1"/>
  <c r="L809" i="4"/>
  <c r="N809" i="4" s="1"/>
  <c r="L568" i="4"/>
  <c r="N568" i="4" s="1"/>
  <c r="L74" i="4"/>
  <c r="N74" i="4" s="1"/>
  <c r="K75" i="4"/>
  <c r="L376" i="4"/>
  <c r="N376" i="4" s="1"/>
  <c r="K377" i="4"/>
  <c r="L674" i="4"/>
  <c r="N674" i="4" s="1"/>
  <c r="L479" i="4"/>
  <c r="N479" i="4" s="1"/>
  <c r="K76" i="3"/>
  <c r="L75" i="3"/>
  <c r="N75" i="3" s="1"/>
  <c r="L371" i="2"/>
  <c r="N371" i="2" s="1"/>
  <c r="K372" i="2"/>
  <c r="K700" i="2"/>
  <c r="L699" i="2"/>
  <c r="N699" i="2" s="1"/>
  <c r="K75" i="2"/>
  <c r="L74" i="2"/>
  <c r="N74" i="2" s="1"/>
  <c r="L75" i="1"/>
  <c r="N75" i="1" s="1"/>
  <c r="K76" i="1"/>
  <c r="K1143" i="5" l="1"/>
  <c r="M1143" i="5" s="1"/>
  <c r="J82" i="5"/>
  <c r="K81" i="5"/>
  <c r="M81" i="5" s="1"/>
  <c r="L810" i="4"/>
  <c r="N810" i="4" s="1"/>
  <c r="L569" i="4"/>
  <c r="N569" i="4" s="1"/>
  <c r="L675" i="4"/>
  <c r="N675" i="4" s="1"/>
  <c r="L480" i="4"/>
  <c r="N480" i="4" s="1"/>
  <c r="K378" i="4"/>
  <c r="L377" i="4"/>
  <c r="N377" i="4" s="1"/>
  <c r="K76" i="4"/>
  <c r="L75" i="4"/>
  <c r="N75" i="4" s="1"/>
  <c r="K77" i="3"/>
  <c r="L76" i="3"/>
  <c r="N76" i="3" s="1"/>
  <c r="K701" i="2"/>
  <c r="L700" i="2"/>
  <c r="N700" i="2" s="1"/>
  <c r="K373" i="2"/>
  <c r="L372" i="2"/>
  <c r="N372" i="2" s="1"/>
  <c r="K76" i="2"/>
  <c r="L75" i="2"/>
  <c r="N75" i="2" s="1"/>
  <c r="L76" i="1"/>
  <c r="N76" i="1" s="1"/>
  <c r="K77" i="1"/>
  <c r="J83" i="5" l="1"/>
  <c r="K82" i="5"/>
  <c r="M82" i="5" s="1"/>
  <c r="K1144" i="5"/>
  <c r="M1144" i="5" s="1"/>
  <c r="L811" i="4"/>
  <c r="N811" i="4" s="1"/>
  <c r="L570" i="4"/>
  <c r="N570" i="4" s="1"/>
  <c r="K77" i="4"/>
  <c r="L76" i="4"/>
  <c r="N76" i="4" s="1"/>
  <c r="L676" i="4"/>
  <c r="N676" i="4" s="1"/>
  <c r="L481" i="4"/>
  <c r="N481" i="4" s="1"/>
  <c r="K379" i="4"/>
  <c r="L378" i="4"/>
  <c r="N378" i="4" s="1"/>
  <c r="K78" i="3"/>
  <c r="L77" i="3"/>
  <c r="N77" i="3" s="1"/>
  <c r="K374" i="2"/>
  <c r="L373" i="2"/>
  <c r="N373" i="2" s="1"/>
  <c r="K77" i="2"/>
  <c r="L76" i="2"/>
  <c r="N76" i="2" s="1"/>
  <c r="K702" i="2"/>
  <c r="L701" i="2"/>
  <c r="N701" i="2" s="1"/>
  <c r="K78" i="1"/>
  <c r="L77" i="1"/>
  <c r="N77" i="1" s="1"/>
  <c r="K1145" i="5" l="1"/>
  <c r="M1145" i="5" s="1"/>
  <c r="J84" i="5"/>
  <c r="K83" i="5"/>
  <c r="M83" i="5" s="1"/>
  <c r="L812" i="4"/>
  <c r="N812" i="4" s="1"/>
  <c r="L571" i="4"/>
  <c r="N571" i="4" s="1"/>
  <c r="L677" i="4"/>
  <c r="N677" i="4" s="1"/>
  <c r="L482" i="4"/>
  <c r="N482" i="4" s="1"/>
  <c r="L379" i="4"/>
  <c r="N379" i="4" s="1"/>
  <c r="K380" i="4"/>
  <c r="K78" i="4"/>
  <c r="L77" i="4"/>
  <c r="N77" i="4" s="1"/>
  <c r="K79" i="3"/>
  <c r="L78" i="3"/>
  <c r="N78" i="3" s="1"/>
  <c r="K78" i="2"/>
  <c r="L77" i="2"/>
  <c r="N77" i="2" s="1"/>
  <c r="K703" i="2"/>
  <c r="L702" i="2"/>
  <c r="N702" i="2" s="1"/>
  <c r="L374" i="2"/>
  <c r="N374" i="2" s="1"/>
  <c r="K375" i="2"/>
  <c r="L78" i="1"/>
  <c r="N78" i="1" s="1"/>
  <c r="K79" i="1"/>
  <c r="J85" i="5" l="1"/>
  <c r="K84" i="5"/>
  <c r="M84" i="5" s="1"/>
  <c r="K1146" i="5"/>
  <c r="M1146" i="5" s="1"/>
  <c r="L813" i="4"/>
  <c r="N813" i="4" s="1"/>
  <c r="L572" i="4"/>
  <c r="N572" i="4" s="1"/>
  <c r="K79" i="4"/>
  <c r="L78" i="4"/>
  <c r="N78" i="4" s="1"/>
  <c r="L380" i="4"/>
  <c r="N380" i="4" s="1"/>
  <c r="K381" i="4"/>
  <c r="L678" i="4"/>
  <c r="N678" i="4" s="1"/>
  <c r="L483" i="4"/>
  <c r="N483" i="4" s="1"/>
  <c r="K80" i="3"/>
  <c r="L79" i="3"/>
  <c r="N79" i="3" s="1"/>
  <c r="K704" i="2"/>
  <c r="L703" i="2"/>
  <c r="N703" i="2" s="1"/>
  <c r="L375" i="2"/>
  <c r="N375" i="2" s="1"/>
  <c r="K376" i="2"/>
  <c r="K79" i="2"/>
  <c r="L78" i="2"/>
  <c r="N78" i="2" s="1"/>
  <c r="L79" i="1"/>
  <c r="N79" i="1" s="1"/>
  <c r="K80" i="1"/>
  <c r="K1147" i="5" l="1"/>
  <c r="M1147" i="5" s="1"/>
  <c r="J86" i="5"/>
  <c r="K85" i="5"/>
  <c r="M85" i="5" s="1"/>
  <c r="L814" i="4"/>
  <c r="N814" i="4" s="1"/>
  <c r="L573" i="4"/>
  <c r="N573" i="4" s="1"/>
  <c r="L484" i="4"/>
  <c r="N484" i="4" s="1"/>
  <c r="K80" i="4"/>
  <c r="L79" i="4"/>
  <c r="N79" i="4" s="1"/>
  <c r="L679" i="4"/>
  <c r="N679" i="4" s="1"/>
  <c r="K382" i="4"/>
  <c r="L381" i="4"/>
  <c r="N381" i="4" s="1"/>
  <c r="K81" i="3"/>
  <c r="L80" i="3"/>
  <c r="N80" i="3" s="1"/>
  <c r="K377" i="2"/>
  <c r="L376" i="2"/>
  <c r="N376" i="2" s="1"/>
  <c r="K80" i="2"/>
  <c r="L79" i="2"/>
  <c r="N79" i="2" s="1"/>
  <c r="K705" i="2"/>
  <c r="L704" i="2"/>
  <c r="N704" i="2" s="1"/>
  <c r="K81" i="1"/>
  <c r="L80" i="1"/>
  <c r="N80" i="1" s="1"/>
  <c r="J87" i="5" l="1"/>
  <c r="K86" i="5"/>
  <c r="M86" i="5" s="1"/>
  <c r="K1148" i="5"/>
  <c r="M1148" i="5" s="1"/>
  <c r="L815" i="4"/>
  <c r="N815" i="4" s="1"/>
  <c r="L574" i="4"/>
  <c r="N574" i="4" s="1"/>
  <c r="L680" i="4"/>
  <c r="N680" i="4" s="1"/>
  <c r="K81" i="4"/>
  <c r="L80" i="4"/>
  <c r="N80" i="4" s="1"/>
  <c r="K383" i="4"/>
  <c r="L382" i="4"/>
  <c r="N382" i="4" s="1"/>
  <c r="L485" i="4"/>
  <c r="N485" i="4" s="1"/>
  <c r="L81" i="3"/>
  <c r="N81" i="3" s="1"/>
  <c r="K82" i="3"/>
  <c r="K81" i="2"/>
  <c r="L80" i="2"/>
  <c r="N80" i="2" s="1"/>
  <c r="K706" i="2"/>
  <c r="L705" i="2"/>
  <c r="N705" i="2" s="1"/>
  <c r="K378" i="2"/>
  <c r="L377" i="2"/>
  <c r="N377" i="2" s="1"/>
  <c r="K82" i="1"/>
  <c r="L81" i="1"/>
  <c r="N81" i="1" s="1"/>
  <c r="K1149" i="5" l="1"/>
  <c r="M1149" i="5" s="1"/>
  <c r="J88" i="5"/>
  <c r="K87" i="5"/>
  <c r="M87" i="5" s="1"/>
  <c r="L816" i="4"/>
  <c r="N816" i="4" s="1"/>
  <c r="L575" i="4"/>
  <c r="N575" i="4" s="1"/>
  <c r="L681" i="4"/>
  <c r="N681" i="4" s="1"/>
  <c r="L486" i="4"/>
  <c r="N486" i="4" s="1"/>
  <c r="K82" i="4"/>
  <c r="L81" i="4"/>
  <c r="N81" i="4" s="1"/>
  <c r="L383" i="4"/>
  <c r="N383" i="4" s="1"/>
  <c r="K384" i="4"/>
  <c r="K83" i="3"/>
  <c r="L82" i="3"/>
  <c r="N82" i="3" s="1"/>
  <c r="K707" i="2"/>
  <c r="L706" i="2"/>
  <c r="N706" i="2" s="1"/>
  <c r="K379" i="2"/>
  <c r="L378" i="2"/>
  <c r="N378" i="2" s="1"/>
  <c r="K82" i="2"/>
  <c r="L81" i="2"/>
  <c r="N81" i="2" s="1"/>
  <c r="L82" i="1"/>
  <c r="N82" i="1" s="1"/>
  <c r="K83" i="1"/>
  <c r="J89" i="5" l="1"/>
  <c r="K88" i="5"/>
  <c r="M88" i="5" s="1"/>
  <c r="K1150" i="5"/>
  <c r="M1150" i="5" s="1"/>
  <c r="L817" i="4"/>
  <c r="N817" i="4" s="1"/>
  <c r="L576" i="4"/>
  <c r="N576" i="4" s="1"/>
  <c r="L487" i="4"/>
  <c r="N487" i="4" s="1"/>
  <c r="L384" i="4"/>
  <c r="N384" i="4" s="1"/>
  <c r="K385" i="4"/>
  <c r="L682" i="4"/>
  <c r="N682" i="4" s="1"/>
  <c r="L82" i="4"/>
  <c r="N82" i="4" s="1"/>
  <c r="K83" i="4"/>
  <c r="K84" i="3"/>
  <c r="L83" i="3"/>
  <c r="N83" i="3" s="1"/>
  <c r="K380" i="2"/>
  <c r="L379" i="2"/>
  <c r="N379" i="2" s="1"/>
  <c r="K83" i="2"/>
  <c r="L82" i="2"/>
  <c r="N82" i="2" s="1"/>
  <c r="K708" i="2"/>
  <c r="L707" i="2"/>
  <c r="N707" i="2" s="1"/>
  <c r="K84" i="1"/>
  <c r="L83" i="1"/>
  <c r="N83" i="1" s="1"/>
  <c r="K1151" i="5" l="1"/>
  <c r="M1151" i="5" s="1"/>
  <c r="J90" i="5"/>
  <c r="K89" i="5"/>
  <c r="M89" i="5" s="1"/>
  <c r="L818" i="4"/>
  <c r="N818" i="4" s="1"/>
  <c r="L577" i="4"/>
  <c r="N577" i="4" s="1"/>
  <c r="K84" i="4"/>
  <c r="L83" i="4"/>
  <c r="N83" i="4" s="1"/>
  <c r="L683" i="4"/>
  <c r="N683" i="4" s="1"/>
  <c r="L488" i="4"/>
  <c r="N488" i="4" s="1"/>
  <c r="K386" i="4"/>
  <c r="L385" i="4"/>
  <c r="N385" i="4" s="1"/>
  <c r="K85" i="3"/>
  <c r="L84" i="3"/>
  <c r="N84" i="3" s="1"/>
  <c r="K84" i="2"/>
  <c r="L83" i="2"/>
  <c r="N83" i="2" s="1"/>
  <c r="K709" i="2"/>
  <c r="L708" i="2"/>
  <c r="N708" i="2" s="1"/>
  <c r="K381" i="2"/>
  <c r="L380" i="2"/>
  <c r="N380" i="2" s="1"/>
  <c r="L84" i="1"/>
  <c r="N84" i="1" s="1"/>
  <c r="K85" i="1"/>
  <c r="K1152" i="5" l="1"/>
  <c r="M1152" i="5" s="1"/>
  <c r="J91" i="5"/>
  <c r="K90" i="5"/>
  <c r="M90" i="5" s="1"/>
  <c r="L819" i="4"/>
  <c r="N819" i="4" s="1"/>
  <c r="L578" i="4"/>
  <c r="N578" i="4" s="1"/>
  <c r="L684" i="4"/>
  <c r="N684" i="4" s="1"/>
  <c r="K387" i="4"/>
  <c r="L386" i="4"/>
  <c r="N386" i="4" s="1"/>
  <c r="L489" i="4"/>
  <c r="N489" i="4" s="1"/>
  <c r="K85" i="4"/>
  <c r="L84" i="4"/>
  <c r="N84" i="4" s="1"/>
  <c r="K86" i="3"/>
  <c r="L85" i="3"/>
  <c r="N85" i="3" s="1"/>
  <c r="K710" i="2"/>
  <c r="L709" i="2"/>
  <c r="N709" i="2" s="1"/>
  <c r="K382" i="2"/>
  <c r="L381" i="2"/>
  <c r="N381" i="2" s="1"/>
  <c r="K85" i="2"/>
  <c r="L84" i="2"/>
  <c r="N84" i="2" s="1"/>
  <c r="K86" i="1"/>
  <c r="L85" i="1"/>
  <c r="N85" i="1" s="1"/>
  <c r="J92" i="5" l="1"/>
  <c r="K91" i="5"/>
  <c r="M91" i="5" s="1"/>
  <c r="K1153" i="5"/>
  <c r="M1153" i="5" s="1"/>
  <c r="L820" i="4"/>
  <c r="N820" i="4" s="1"/>
  <c r="L579" i="4"/>
  <c r="N579" i="4" s="1"/>
  <c r="L685" i="4"/>
  <c r="N685" i="4" s="1"/>
  <c r="K86" i="4"/>
  <c r="L85" i="4"/>
  <c r="N85" i="4" s="1"/>
  <c r="L387" i="4"/>
  <c r="N387" i="4" s="1"/>
  <c r="K388" i="4"/>
  <c r="L490" i="4"/>
  <c r="N490" i="4" s="1"/>
  <c r="K87" i="3"/>
  <c r="L86" i="3"/>
  <c r="N86" i="3" s="1"/>
  <c r="L382" i="2"/>
  <c r="N382" i="2" s="1"/>
  <c r="K383" i="2"/>
  <c r="K86" i="2"/>
  <c r="L85" i="2"/>
  <c r="N85" i="2" s="1"/>
  <c r="K711" i="2"/>
  <c r="L710" i="2"/>
  <c r="N710" i="2" s="1"/>
  <c r="K87" i="1"/>
  <c r="L86" i="1"/>
  <c r="N86" i="1" s="1"/>
  <c r="K1154" i="5" l="1"/>
  <c r="M1154" i="5" s="1"/>
  <c r="J93" i="5"/>
  <c r="K92" i="5"/>
  <c r="M92" i="5" s="1"/>
  <c r="L821" i="4"/>
  <c r="N821" i="4" s="1"/>
  <c r="L580" i="4"/>
  <c r="N580" i="4" s="1"/>
  <c r="K87" i="4"/>
  <c r="L86" i="4"/>
  <c r="N86" i="4" s="1"/>
  <c r="L388" i="4"/>
  <c r="N388" i="4" s="1"/>
  <c r="K389" i="4"/>
  <c r="L686" i="4"/>
  <c r="N686" i="4" s="1"/>
  <c r="L491" i="4"/>
  <c r="N491" i="4" s="1"/>
  <c r="K88" i="3"/>
  <c r="L87" i="3"/>
  <c r="N87" i="3" s="1"/>
  <c r="K87" i="2"/>
  <c r="L86" i="2"/>
  <c r="N86" i="2" s="1"/>
  <c r="K384" i="2"/>
  <c r="L383" i="2"/>
  <c r="N383" i="2" s="1"/>
  <c r="K712" i="2"/>
  <c r="L711" i="2"/>
  <c r="N711" i="2" s="1"/>
  <c r="K88" i="1"/>
  <c r="L87" i="1"/>
  <c r="N87" i="1" s="1"/>
  <c r="J94" i="5" l="1"/>
  <c r="K93" i="5"/>
  <c r="M93" i="5" s="1"/>
  <c r="K1155" i="5"/>
  <c r="M1155" i="5" s="1"/>
  <c r="L822" i="4"/>
  <c r="N822" i="4" s="1"/>
  <c r="L581" i="4"/>
  <c r="N581" i="4" s="1"/>
  <c r="L492" i="4"/>
  <c r="N492" i="4" s="1"/>
  <c r="K88" i="4"/>
  <c r="L87" i="4"/>
  <c r="N87" i="4" s="1"/>
  <c r="K390" i="4"/>
  <c r="L389" i="4"/>
  <c r="N389" i="4" s="1"/>
  <c r="L687" i="4"/>
  <c r="N687" i="4" s="1"/>
  <c r="K89" i="3"/>
  <c r="L88" i="3"/>
  <c r="N88" i="3" s="1"/>
  <c r="K385" i="2"/>
  <c r="L384" i="2"/>
  <c r="N384" i="2" s="1"/>
  <c r="K713" i="2"/>
  <c r="L712" i="2"/>
  <c r="N712" i="2" s="1"/>
  <c r="K88" i="2"/>
  <c r="L87" i="2"/>
  <c r="N87" i="2" s="1"/>
  <c r="K89" i="1"/>
  <c r="L88" i="1"/>
  <c r="N88" i="1" s="1"/>
  <c r="K1156" i="5" l="1"/>
  <c r="M1156" i="5" s="1"/>
  <c r="J95" i="5"/>
  <c r="K94" i="5"/>
  <c r="M94" i="5" s="1"/>
  <c r="L823" i="4"/>
  <c r="N823" i="4" s="1"/>
  <c r="L582" i="4"/>
  <c r="N582" i="4" s="1"/>
  <c r="K391" i="4"/>
  <c r="L390" i="4"/>
  <c r="N390" i="4" s="1"/>
  <c r="K89" i="4"/>
  <c r="L88" i="4"/>
  <c r="N88" i="4" s="1"/>
  <c r="L688" i="4"/>
  <c r="N688" i="4" s="1"/>
  <c r="L493" i="4"/>
  <c r="N493" i="4" s="1"/>
  <c r="K90" i="3"/>
  <c r="L89" i="3"/>
  <c r="N89" i="3" s="1"/>
  <c r="K714" i="2"/>
  <c r="L713" i="2"/>
  <c r="N713" i="2" s="1"/>
  <c r="K89" i="2"/>
  <c r="L88" i="2"/>
  <c r="N88" i="2" s="1"/>
  <c r="K386" i="2"/>
  <c r="L385" i="2"/>
  <c r="N385" i="2" s="1"/>
  <c r="K90" i="1"/>
  <c r="L89" i="1"/>
  <c r="N89" i="1" s="1"/>
  <c r="J96" i="5" l="1"/>
  <c r="K95" i="5"/>
  <c r="M95" i="5" s="1"/>
  <c r="K1157" i="5"/>
  <c r="M1157" i="5" s="1"/>
  <c r="L824" i="4"/>
  <c r="N824" i="4" s="1"/>
  <c r="L583" i="4"/>
  <c r="N583" i="4" s="1"/>
  <c r="L689" i="4"/>
  <c r="N689" i="4" s="1"/>
  <c r="L494" i="4"/>
  <c r="N494" i="4" s="1"/>
  <c r="L391" i="4"/>
  <c r="N391" i="4" s="1"/>
  <c r="K392" i="4"/>
  <c r="K90" i="4"/>
  <c r="L89" i="4"/>
  <c r="N89" i="4" s="1"/>
  <c r="K91" i="3"/>
  <c r="L90" i="3"/>
  <c r="N90" i="3" s="1"/>
  <c r="L89" i="2"/>
  <c r="N89" i="2" s="1"/>
  <c r="K90" i="2"/>
  <c r="K387" i="2"/>
  <c r="L386" i="2"/>
  <c r="N386" i="2" s="1"/>
  <c r="K715" i="2"/>
  <c r="L714" i="2"/>
  <c r="N714" i="2" s="1"/>
  <c r="K91" i="1"/>
  <c r="L90" i="1"/>
  <c r="N90" i="1" s="1"/>
  <c r="K1158" i="5" l="1"/>
  <c r="M1158" i="5" s="1"/>
  <c r="J97" i="5"/>
  <c r="K96" i="5"/>
  <c r="M96" i="5" s="1"/>
  <c r="L825" i="4"/>
  <c r="N825" i="4" s="1"/>
  <c r="L584" i="4"/>
  <c r="N584" i="4" s="1"/>
  <c r="L690" i="4"/>
  <c r="N690" i="4" s="1"/>
  <c r="L392" i="4"/>
  <c r="N392" i="4" s="1"/>
  <c r="K393" i="4"/>
  <c r="K91" i="4"/>
  <c r="L90" i="4"/>
  <c r="N90" i="4" s="1"/>
  <c r="L495" i="4"/>
  <c r="N495" i="4" s="1"/>
  <c r="K92" i="3"/>
  <c r="L91" i="3"/>
  <c r="N91" i="3" s="1"/>
  <c r="K388" i="2"/>
  <c r="L387" i="2"/>
  <c r="N387" i="2" s="1"/>
  <c r="K91" i="2"/>
  <c r="L90" i="2"/>
  <c r="N90" i="2" s="1"/>
  <c r="K716" i="2"/>
  <c r="L715" i="2"/>
  <c r="N715" i="2" s="1"/>
  <c r="L91" i="1"/>
  <c r="N91" i="1" s="1"/>
  <c r="K92" i="1"/>
  <c r="J98" i="5" l="1"/>
  <c r="K97" i="5"/>
  <c r="M97" i="5" s="1"/>
  <c r="K1159" i="5"/>
  <c r="M1159" i="5" s="1"/>
  <c r="L826" i="4"/>
  <c r="N826" i="4" s="1"/>
  <c r="L585" i="4"/>
  <c r="N585" i="4" s="1"/>
  <c r="K394" i="4"/>
  <c r="L393" i="4"/>
  <c r="N393" i="4" s="1"/>
  <c r="L496" i="4"/>
  <c r="N496" i="4" s="1"/>
  <c r="L691" i="4"/>
  <c r="N691" i="4" s="1"/>
  <c r="K92" i="4"/>
  <c r="L91" i="4"/>
  <c r="N91" i="4" s="1"/>
  <c r="K93" i="3"/>
  <c r="L92" i="3"/>
  <c r="N92" i="3" s="1"/>
  <c r="K92" i="2"/>
  <c r="L91" i="2"/>
  <c r="N91" i="2" s="1"/>
  <c r="K717" i="2"/>
  <c r="L716" i="2"/>
  <c r="N716" i="2" s="1"/>
  <c r="K389" i="2"/>
  <c r="L388" i="2"/>
  <c r="N388" i="2" s="1"/>
  <c r="K93" i="1"/>
  <c r="L92" i="1"/>
  <c r="N92" i="1" s="1"/>
  <c r="K1160" i="5" l="1"/>
  <c r="M1160" i="5" s="1"/>
  <c r="J99" i="5"/>
  <c r="K98" i="5"/>
  <c r="M98" i="5" s="1"/>
  <c r="L827" i="4"/>
  <c r="N827" i="4" s="1"/>
  <c r="L586" i="4"/>
  <c r="N586" i="4" s="1"/>
  <c r="K93" i="4"/>
  <c r="L92" i="4"/>
  <c r="N92" i="4" s="1"/>
  <c r="L498" i="4"/>
  <c r="N498" i="4" s="1"/>
  <c r="L497" i="4"/>
  <c r="N497" i="4" s="1"/>
  <c r="L692" i="4"/>
  <c r="N692" i="4" s="1"/>
  <c r="K395" i="4"/>
  <c r="L394" i="4"/>
  <c r="N394" i="4" s="1"/>
  <c r="K94" i="3"/>
  <c r="L93" i="3"/>
  <c r="N93" i="3" s="1"/>
  <c r="K718" i="2"/>
  <c r="L717" i="2"/>
  <c r="N717" i="2" s="1"/>
  <c r="K390" i="2"/>
  <c r="L389" i="2"/>
  <c r="N389" i="2" s="1"/>
  <c r="K93" i="2"/>
  <c r="L92" i="2"/>
  <c r="N92" i="2" s="1"/>
  <c r="L93" i="1"/>
  <c r="N93" i="1" s="1"/>
  <c r="K94" i="1"/>
  <c r="J100" i="5" l="1"/>
  <c r="K99" i="5"/>
  <c r="M99" i="5" s="1"/>
  <c r="K1161" i="5"/>
  <c r="M1161" i="5" s="1"/>
  <c r="L828" i="4"/>
  <c r="N828" i="4" s="1"/>
  <c r="L587" i="4"/>
  <c r="N587" i="4" s="1"/>
  <c r="L693" i="4"/>
  <c r="N693" i="4" s="1"/>
  <c r="K94" i="4"/>
  <c r="L93" i="4"/>
  <c r="N93" i="4" s="1"/>
  <c r="L395" i="4"/>
  <c r="N395" i="4" s="1"/>
  <c r="K396" i="4"/>
  <c r="K95" i="3"/>
  <c r="L94" i="3"/>
  <c r="N94" i="3" s="1"/>
  <c r="L390" i="2"/>
  <c r="N390" i="2" s="1"/>
  <c r="K391" i="2"/>
  <c r="L93" i="2"/>
  <c r="N93" i="2" s="1"/>
  <c r="K94" i="2"/>
  <c r="K719" i="2"/>
  <c r="L718" i="2"/>
  <c r="N718" i="2" s="1"/>
  <c r="L94" i="1"/>
  <c r="N94" i="1" s="1"/>
  <c r="K95" i="1"/>
  <c r="K1162" i="5" l="1"/>
  <c r="M1162" i="5" s="1"/>
  <c r="J101" i="5"/>
  <c r="K100" i="5"/>
  <c r="M100" i="5" s="1"/>
  <c r="L829" i="4"/>
  <c r="N829" i="4" s="1"/>
  <c r="L588" i="4"/>
  <c r="N588" i="4" s="1"/>
  <c r="L94" i="4"/>
  <c r="N94" i="4" s="1"/>
  <c r="K95" i="4"/>
  <c r="L694" i="4"/>
  <c r="N694" i="4" s="1"/>
  <c r="L396" i="4"/>
  <c r="N396" i="4" s="1"/>
  <c r="K397" i="4"/>
  <c r="K96" i="3"/>
  <c r="L95" i="3"/>
  <c r="N95" i="3" s="1"/>
  <c r="K392" i="2"/>
  <c r="L391" i="2"/>
  <c r="N391" i="2" s="1"/>
  <c r="K95" i="2"/>
  <c r="L94" i="2"/>
  <c r="N94" i="2" s="1"/>
  <c r="K720" i="2"/>
  <c r="L719" i="2"/>
  <c r="N719" i="2" s="1"/>
  <c r="K96" i="1"/>
  <c r="L95" i="1"/>
  <c r="N95" i="1" s="1"/>
  <c r="K1163" i="5" l="1"/>
  <c r="M1163" i="5" s="1"/>
  <c r="J102" i="5"/>
  <c r="K101" i="5"/>
  <c r="M101" i="5" s="1"/>
  <c r="L830" i="4"/>
  <c r="N830" i="4" s="1"/>
  <c r="L589" i="4"/>
  <c r="N589" i="4" s="1"/>
  <c r="L695" i="4"/>
  <c r="N695" i="4" s="1"/>
  <c r="K96" i="4"/>
  <c r="L95" i="4"/>
  <c r="N95" i="4" s="1"/>
  <c r="K398" i="4"/>
  <c r="L397" i="4"/>
  <c r="N397" i="4" s="1"/>
  <c r="K97" i="3"/>
  <c r="L96" i="3"/>
  <c r="N96" i="3" s="1"/>
  <c r="K96" i="2"/>
  <c r="L95" i="2"/>
  <c r="N95" i="2" s="1"/>
  <c r="K721" i="2"/>
  <c r="L720" i="2"/>
  <c r="N720" i="2" s="1"/>
  <c r="K393" i="2"/>
  <c r="L392" i="2"/>
  <c r="N392" i="2" s="1"/>
  <c r="K97" i="1"/>
  <c r="L96" i="1"/>
  <c r="N96" i="1" s="1"/>
  <c r="J103" i="5" l="1"/>
  <c r="K102" i="5"/>
  <c r="M102" i="5" s="1"/>
  <c r="K1164" i="5"/>
  <c r="M1164" i="5" s="1"/>
  <c r="L831" i="4"/>
  <c r="N831" i="4" s="1"/>
  <c r="L590" i="4"/>
  <c r="N590" i="4" s="1"/>
  <c r="L696" i="4"/>
  <c r="N696" i="4" s="1"/>
  <c r="K97" i="4"/>
  <c r="L96" i="4"/>
  <c r="N96" i="4" s="1"/>
  <c r="K399" i="4"/>
  <c r="L398" i="4"/>
  <c r="N398" i="4" s="1"/>
  <c r="L97" i="3"/>
  <c r="N97" i="3" s="1"/>
  <c r="K98" i="3"/>
  <c r="K722" i="2"/>
  <c r="L721" i="2"/>
  <c r="N721" i="2" s="1"/>
  <c r="K394" i="2"/>
  <c r="L393" i="2"/>
  <c r="N393" i="2" s="1"/>
  <c r="K97" i="2"/>
  <c r="L96" i="2"/>
  <c r="N96" i="2" s="1"/>
  <c r="L97" i="1"/>
  <c r="N97" i="1" s="1"/>
  <c r="K98" i="1"/>
  <c r="K1165" i="5" l="1"/>
  <c r="M1165" i="5" s="1"/>
  <c r="J104" i="5"/>
  <c r="K103" i="5"/>
  <c r="M103" i="5" s="1"/>
  <c r="L832" i="4"/>
  <c r="N832" i="4" s="1"/>
  <c r="L591" i="4"/>
  <c r="N591" i="4" s="1"/>
  <c r="L697" i="4"/>
  <c r="N697" i="4" s="1"/>
  <c r="L399" i="4"/>
  <c r="N399" i="4" s="1"/>
  <c r="K400" i="4"/>
  <c r="K98" i="4"/>
  <c r="L97" i="4"/>
  <c r="N97" i="4" s="1"/>
  <c r="K99" i="3"/>
  <c r="L98" i="3"/>
  <c r="N98" i="3" s="1"/>
  <c r="K395" i="2"/>
  <c r="L394" i="2"/>
  <c r="N394" i="2" s="1"/>
  <c r="K98" i="2"/>
  <c r="L97" i="2"/>
  <c r="N97" i="2" s="1"/>
  <c r="K723" i="2"/>
  <c r="L722" i="2"/>
  <c r="N722" i="2" s="1"/>
  <c r="K99" i="1"/>
  <c r="L98" i="1"/>
  <c r="N98" i="1" s="1"/>
  <c r="J105" i="5" l="1"/>
  <c r="K104" i="5"/>
  <c r="M104" i="5" s="1"/>
  <c r="K1166" i="5"/>
  <c r="M1166" i="5" s="1"/>
  <c r="L833" i="4"/>
  <c r="N833" i="4" s="1"/>
  <c r="L592" i="4"/>
  <c r="N592" i="4" s="1"/>
  <c r="L698" i="4"/>
  <c r="N698" i="4" s="1"/>
  <c r="L400" i="4"/>
  <c r="N400" i="4" s="1"/>
  <c r="K401" i="4"/>
  <c r="K99" i="4"/>
  <c r="L98" i="4"/>
  <c r="N98" i="4" s="1"/>
  <c r="K100" i="3"/>
  <c r="L99" i="3"/>
  <c r="N99" i="3" s="1"/>
  <c r="K99" i="2"/>
  <c r="L98" i="2"/>
  <c r="N98" i="2" s="1"/>
  <c r="K724" i="2"/>
  <c r="L723" i="2"/>
  <c r="N723" i="2" s="1"/>
  <c r="K396" i="2"/>
  <c r="L395" i="2"/>
  <c r="N395" i="2" s="1"/>
  <c r="K100" i="1"/>
  <c r="L99" i="1"/>
  <c r="N99" i="1" s="1"/>
  <c r="J106" i="5" l="1"/>
  <c r="K105" i="5"/>
  <c r="M105" i="5" s="1"/>
  <c r="K1167" i="5"/>
  <c r="M1167" i="5" s="1"/>
  <c r="L834" i="4"/>
  <c r="N834" i="4" s="1"/>
  <c r="L593" i="4"/>
  <c r="N593" i="4" s="1"/>
  <c r="K402" i="4"/>
  <c r="L401" i="4"/>
  <c r="N401" i="4" s="1"/>
  <c r="L699" i="4"/>
  <c r="N699" i="4" s="1"/>
  <c r="K100" i="4"/>
  <c r="L99" i="4"/>
  <c r="N99" i="4" s="1"/>
  <c r="K101" i="3"/>
  <c r="L100" i="3"/>
  <c r="N100" i="3" s="1"/>
  <c r="K725" i="2"/>
  <c r="L724" i="2"/>
  <c r="N724" i="2" s="1"/>
  <c r="K397" i="2"/>
  <c r="L396" i="2"/>
  <c r="N396" i="2" s="1"/>
  <c r="K100" i="2"/>
  <c r="L99" i="2"/>
  <c r="N99" i="2" s="1"/>
  <c r="L100" i="1"/>
  <c r="N100" i="1" s="1"/>
  <c r="K101" i="1"/>
  <c r="K1168" i="5" l="1"/>
  <c r="M1168" i="5" s="1"/>
  <c r="J107" i="5"/>
  <c r="K106" i="5"/>
  <c r="M106" i="5" s="1"/>
  <c r="L835" i="4"/>
  <c r="N835" i="4" s="1"/>
  <c r="L594" i="4"/>
  <c r="N594" i="4" s="1"/>
  <c r="L700" i="4"/>
  <c r="N700" i="4" s="1"/>
  <c r="K101" i="4"/>
  <c r="L100" i="4"/>
  <c r="N100" i="4" s="1"/>
  <c r="K403" i="4"/>
  <c r="L402" i="4"/>
  <c r="N402" i="4" s="1"/>
  <c r="K102" i="3"/>
  <c r="L101" i="3"/>
  <c r="N101" i="3" s="1"/>
  <c r="K398" i="2"/>
  <c r="L397" i="2"/>
  <c r="N397" i="2" s="1"/>
  <c r="K101" i="2"/>
  <c r="L100" i="2"/>
  <c r="N100" i="2" s="1"/>
  <c r="K726" i="2"/>
  <c r="L725" i="2"/>
  <c r="N725" i="2" s="1"/>
  <c r="L101" i="1"/>
  <c r="N101" i="1" s="1"/>
  <c r="K102" i="1"/>
  <c r="J108" i="5" l="1"/>
  <c r="K107" i="5"/>
  <c r="M107" i="5" s="1"/>
  <c r="K1169" i="5"/>
  <c r="M1169" i="5" s="1"/>
  <c r="L836" i="4"/>
  <c r="N836" i="4" s="1"/>
  <c r="L595" i="4"/>
  <c r="N595" i="4" s="1"/>
  <c r="K102" i="4"/>
  <c r="L101" i="4"/>
  <c r="N101" i="4" s="1"/>
  <c r="L701" i="4"/>
  <c r="N701" i="4" s="1"/>
  <c r="L403" i="4"/>
  <c r="N403" i="4" s="1"/>
  <c r="K404" i="4"/>
  <c r="K103" i="3"/>
  <c r="L102" i="3"/>
  <c r="N102" i="3" s="1"/>
  <c r="L101" i="2"/>
  <c r="N101" i="2" s="1"/>
  <c r="K102" i="2"/>
  <c r="K727" i="2"/>
  <c r="L726" i="2"/>
  <c r="N726" i="2" s="1"/>
  <c r="K399" i="2"/>
  <c r="L398" i="2"/>
  <c r="N398" i="2" s="1"/>
  <c r="K103" i="1"/>
  <c r="L102" i="1"/>
  <c r="N102" i="1" s="1"/>
  <c r="K1170" i="5" l="1"/>
  <c r="M1170" i="5" s="1"/>
  <c r="J109" i="5"/>
  <c r="K108" i="5"/>
  <c r="M108" i="5" s="1"/>
  <c r="L837" i="4"/>
  <c r="N837" i="4" s="1"/>
  <c r="L596" i="4"/>
  <c r="N596" i="4" s="1"/>
  <c r="L102" i="4"/>
  <c r="N102" i="4" s="1"/>
  <c r="K103" i="4"/>
  <c r="L404" i="4"/>
  <c r="N404" i="4" s="1"/>
  <c r="K405" i="4"/>
  <c r="L702" i="4"/>
  <c r="N702" i="4" s="1"/>
  <c r="K104" i="3"/>
  <c r="L103" i="3"/>
  <c r="N103" i="3" s="1"/>
  <c r="K728" i="2"/>
  <c r="L727" i="2"/>
  <c r="N727" i="2" s="1"/>
  <c r="K103" i="2"/>
  <c r="L102" i="2"/>
  <c r="N102" i="2" s="1"/>
  <c r="L399" i="2"/>
  <c r="N399" i="2" s="1"/>
  <c r="K400" i="2"/>
  <c r="K104" i="1"/>
  <c r="L103" i="1"/>
  <c r="N103" i="1" s="1"/>
  <c r="J110" i="5" l="1"/>
  <c r="K109" i="5"/>
  <c r="M109" i="5" s="1"/>
  <c r="K1171" i="5"/>
  <c r="M1171" i="5" s="1"/>
  <c r="L838" i="4"/>
  <c r="N838" i="4" s="1"/>
  <c r="L597" i="4"/>
  <c r="N597" i="4" s="1"/>
  <c r="K104" i="4"/>
  <c r="L103" i="4"/>
  <c r="N103" i="4" s="1"/>
  <c r="L703" i="4"/>
  <c r="N703" i="4" s="1"/>
  <c r="K406" i="4"/>
  <c r="L405" i="4"/>
  <c r="N405" i="4" s="1"/>
  <c r="K105" i="3"/>
  <c r="L104" i="3"/>
  <c r="N104" i="3" s="1"/>
  <c r="K104" i="2"/>
  <c r="L103" i="2"/>
  <c r="N103" i="2" s="1"/>
  <c r="L400" i="2"/>
  <c r="N400" i="2" s="1"/>
  <c r="K401" i="2"/>
  <c r="K729" i="2"/>
  <c r="L728" i="2"/>
  <c r="N728" i="2" s="1"/>
  <c r="K105" i="1"/>
  <c r="L104" i="1"/>
  <c r="N104" i="1" s="1"/>
  <c r="K1172" i="5" l="1"/>
  <c r="M1172" i="5" s="1"/>
  <c r="J111" i="5"/>
  <c r="K110" i="5"/>
  <c r="M110" i="5" s="1"/>
  <c r="L839" i="4"/>
  <c r="N839" i="4" s="1"/>
  <c r="L598" i="4"/>
  <c r="N598" i="4" s="1"/>
  <c r="K407" i="4"/>
  <c r="L407" i="4" s="1"/>
  <c r="N407" i="4" s="1"/>
  <c r="L406" i="4"/>
  <c r="N406" i="4" s="1"/>
  <c r="K105" i="4"/>
  <c r="L104" i="4"/>
  <c r="N104" i="4" s="1"/>
  <c r="L704" i="4"/>
  <c r="N704" i="4" s="1"/>
  <c r="K106" i="3"/>
  <c r="L105" i="3"/>
  <c r="N105" i="3" s="1"/>
  <c r="L401" i="2"/>
  <c r="N401" i="2" s="1"/>
  <c r="K402" i="2"/>
  <c r="K730" i="2"/>
  <c r="L729" i="2"/>
  <c r="N729" i="2" s="1"/>
  <c r="K105" i="2"/>
  <c r="L104" i="2"/>
  <c r="N104" i="2" s="1"/>
  <c r="K106" i="1"/>
  <c r="L105" i="1"/>
  <c r="N105" i="1" s="1"/>
  <c r="J112" i="5" l="1"/>
  <c r="K111" i="5"/>
  <c r="M111" i="5" s="1"/>
  <c r="K1173" i="5"/>
  <c r="M1173" i="5" s="1"/>
  <c r="L840" i="4"/>
  <c r="N840" i="4" s="1"/>
  <c r="L599" i="4"/>
  <c r="N599" i="4" s="1"/>
  <c r="L705" i="4"/>
  <c r="N705" i="4" s="1"/>
  <c r="K106" i="4"/>
  <c r="L105" i="4"/>
  <c r="N105" i="4" s="1"/>
  <c r="K107" i="3"/>
  <c r="L106" i="3"/>
  <c r="N106" i="3" s="1"/>
  <c r="K731" i="2"/>
  <c r="L730" i="2"/>
  <c r="N730" i="2" s="1"/>
  <c r="K403" i="2"/>
  <c r="L402" i="2"/>
  <c r="N402" i="2" s="1"/>
  <c r="K106" i="2"/>
  <c r="L105" i="2"/>
  <c r="N105" i="2" s="1"/>
  <c r="K107" i="1"/>
  <c r="L106" i="1"/>
  <c r="N106" i="1" s="1"/>
  <c r="K1174" i="5" l="1"/>
  <c r="M1174" i="5" s="1"/>
  <c r="J113" i="5"/>
  <c r="K112" i="5"/>
  <c r="M112" i="5" s="1"/>
  <c r="L841" i="4"/>
  <c r="N841" i="4" s="1"/>
  <c r="L600" i="4"/>
  <c r="N600" i="4" s="1"/>
  <c r="L706" i="4"/>
  <c r="N706" i="4" s="1"/>
  <c r="K107" i="4"/>
  <c r="L106" i="4"/>
  <c r="N106" i="4" s="1"/>
  <c r="K108" i="3"/>
  <c r="L107" i="3"/>
  <c r="N107" i="3" s="1"/>
  <c r="K404" i="2"/>
  <c r="L403" i="2"/>
  <c r="N403" i="2" s="1"/>
  <c r="K107" i="2"/>
  <c r="L106" i="2"/>
  <c r="N106" i="2" s="1"/>
  <c r="K732" i="2"/>
  <c r="L731" i="2"/>
  <c r="N731" i="2" s="1"/>
  <c r="K108" i="1"/>
  <c r="L107" i="1"/>
  <c r="N107" i="1" s="1"/>
  <c r="K1175" i="5" l="1"/>
  <c r="M1175" i="5" s="1"/>
  <c r="J114" i="5"/>
  <c r="K113" i="5"/>
  <c r="M113" i="5" s="1"/>
  <c r="L842" i="4"/>
  <c r="N842" i="4" s="1"/>
  <c r="L601" i="4"/>
  <c r="N601" i="4" s="1"/>
  <c r="K108" i="4"/>
  <c r="L107" i="4"/>
  <c r="N107" i="4" s="1"/>
  <c r="L707" i="4"/>
  <c r="N707" i="4" s="1"/>
  <c r="K109" i="3"/>
  <c r="L108" i="3"/>
  <c r="N108" i="3" s="1"/>
  <c r="K108" i="2"/>
  <c r="L107" i="2"/>
  <c r="N107" i="2" s="1"/>
  <c r="K733" i="2"/>
  <c r="L732" i="2"/>
  <c r="N732" i="2" s="1"/>
  <c r="L404" i="2"/>
  <c r="N404" i="2" s="1"/>
  <c r="K405" i="2"/>
  <c r="L108" i="1"/>
  <c r="N108" i="1" s="1"/>
  <c r="K109" i="1"/>
  <c r="K1176" i="5" l="1"/>
  <c r="M1176" i="5" s="1"/>
  <c r="J115" i="5"/>
  <c r="K114" i="5"/>
  <c r="M114" i="5" s="1"/>
  <c r="L843" i="4"/>
  <c r="N843" i="4" s="1"/>
  <c r="L602" i="4"/>
  <c r="N602" i="4" s="1"/>
  <c r="L708" i="4"/>
  <c r="N708" i="4" s="1"/>
  <c r="K109" i="4"/>
  <c r="L108" i="4"/>
  <c r="N108" i="4" s="1"/>
  <c r="K110" i="3"/>
  <c r="L109" i="3"/>
  <c r="N109" i="3" s="1"/>
  <c r="K734" i="2"/>
  <c r="L733" i="2"/>
  <c r="N733" i="2" s="1"/>
  <c r="K406" i="2"/>
  <c r="L405" i="2"/>
  <c r="N405" i="2" s="1"/>
  <c r="K109" i="2"/>
  <c r="L108" i="2"/>
  <c r="N108" i="2" s="1"/>
  <c r="L109" i="1"/>
  <c r="N109" i="1" s="1"/>
  <c r="K110" i="1"/>
  <c r="K1177" i="5" l="1"/>
  <c r="M1177" i="5" s="1"/>
  <c r="J116" i="5"/>
  <c r="K115" i="5"/>
  <c r="M115" i="5" s="1"/>
  <c r="L844" i="4"/>
  <c r="N844" i="4" s="1"/>
  <c r="L603" i="4"/>
  <c r="N603" i="4" s="1"/>
  <c r="L604" i="4"/>
  <c r="N604" i="4" s="1"/>
  <c r="L709" i="4"/>
  <c r="N709" i="4" s="1"/>
  <c r="K110" i="4"/>
  <c r="L109" i="4"/>
  <c r="N109" i="4" s="1"/>
  <c r="K111" i="3"/>
  <c r="L110" i="3"/>
  <c r="N110" i="3" s="1"/>
  <c r="K407" i="2"/>
  <c r="L406" i="2"/>
  <c r="N406" i="2" s="1"/>
  <c r="L109" i="2"/>
  <c r="N109" i="2" s="1"/>
  <c r="K110" i="2"/>
  <c r="K735" i="2"/>
  <c r="L734" i="2"/>
  <c r="N734" i="2" s="1"/>
  <c r="K111" i="1"/>
  <c r="L110" i="1"/>
  <c r="N110" i="1" s="1"/>
  <c r="K1178" i="5" l="1"/>
  <c r="M1178" i="5" s="1"/>
  <c r="J117" i="5"/>
  <c r="K116" i="5"/>
  <c r="M116" i="5" s="1"/>
  <c r="L845" i="4"/>
  <c r="N845" i="4" s="1"/>
  <c r="L710" i="4"/>
  <c r="N710" i="4" s="1"/>
  <c r="L110" i="4"/>
  <c r="N110" i="4" s="1"/>
  <c r="K111" i="4"/>
  <c r="K112" i="3"/>
  <c r="L111" i="3"/>
  <c r="N111" i="3" s="1"/>
  <c r="K111" i="2"/>
  <c r="L110" i="2"/>
  <c r="N110" i="2" s="1"/>
  <c r="K736" i="2"/>
  <c r="L735" i="2"/>
  <c r="N735" i="2" s="1"/>
  <c r="K408" i="2"/>
  <c r="L407" i="2"/>
  <c r="N407" i="2" s="1"/>
  <c r="K112" i="1"/>
  <c r="L111" i="1"/>
  <c r="N111" i="1" s="1"/>
  <c r="K1179" i="5" l="1"/>
  <c r="M1179" i="5" s="1"/>
  <c r="J118" i="5"/>
  <c r="K117" i="5"/>
  <c r="M117" i="5" s="1"/>
  <c r="L846" i="4"/>
  <c r="N846" i="4" s="1"/>
  <c r="K112" i="4"/>
  <c r="L111" i="4"/>
  <c r="N111" i="4" s="1"/>
  <c r="L711" i="4"/>
  <c r="N711" i="4" s="1"/>
  <c r="K113" i="3"/>
  <c r="L112" i="3"/>
  <c r="N112" i="3" s="1"/>
  <c r="K737" i="2"/>
  <c r="L736" i="2"/>
  <c r="N736" i="2" s="1"/>
  <c r="K409" i="2"/>
  <c r="L408" i="2"/>
  <c r="N408" i="2" s="1"/>
  <c r="K112" i="2"/>
  <c r="L111" i="2"/>
  <c r="N111" i="2" s="1"/>
  <c r="K113" i="1"/>
  <c r="L112" i="1"/>
  <c r="N112" i="1" s="1"/>
  <c r="K1180" i="5" l="1"/>
  <c r="M1180" i="5" s="1"/>
  <c r="J119" i="5"/>
  <c r="K118" i="5"/>
  <c r="M118" i="5" s="1"/>
  <c r="L847" i="4"/>
  <c r="N847" i="4" s="1"/>
  <c r="L712" i="4"/>
  <c r="N712" i="4" s="1"/>
  <c r="K113" i="4"/>
  <c r="L112" i="4"/>
  <c r="N112" i="4" s="1"/>
  <c r="L113" i="3"/>
  <c r="N113" i="3" s="1"/>
  <c r="K114" i="3"/>
  <c r="K410" i="2"/>
  <c r="L409" i="2"/>
  <c r="N409" i="2" s="1"/>
  <c r="K113" i="2"/>
  <c r="L112" i="2"/>
  <c r="N112" i="2" s="1"/>
  <c r="K738" i="2"/>
  <c r="L737" i="2"/>
  <c r="N737" i="2" s="1"/>
  <c r="K114" i="1"/>
  <c r="L113" i="1"/>
  <c r="N113" i="1" s="1"/>
  <c r="J120" i="5" l="1"/>
  <c r="K119" i="5"/>
  <c r="M119" i="5" s="1"/>
  <c r="K1181" i="5"/>
  <c r="M1181" i="5" s="1"/>
  <c r="L848" i="4"/>
  <c r="N848" i="4" s="1"/>
  <c r="L713" i="4"/>
  <c r="N713" i="4" s="1"/>
  <c r="K114" i="4"/>
  <c r="L113" i="4"/>
  <c r="N113" i="4" s="1"/>
  <c r="K115" i="3"/>
  <c r="L114" i="3"/>
  <c r="N114" i="3" s="1"/>
  <c r="K114" i="2"/>
  <c r="L113" i="2"/>
  <c r="N113" i="2" s="1"/>
  <c r="K739" i="2"/>
  <c r="L738" i="2"/>
  <c r="N738" i="2" s="1"/>
  <c r="K411" i="2"/>
  <c r="L410" i="2"/>
  <c r="N410" i="2" s="1"/>
  <c r="K115" i="1"/>
  <c r="L114" i="1"/>
  <c r="N114" i="1" s="1"/>
  <c r="K1182" i="5" l="1"/>
  <c r="M1182" i="5" s="1"/>
  <c r="J121" i="5"/>
  <c r="K120" i="5"/>
  <c r="M120" i="5" s="1"/>
  <c r="L849" i="4"/>
  <c r="N849" i="4" s="1"/>
  <c r="L714" i="4"/>
  <c r="N714" i="4" s="1"/>
  <c r="K115" i="4"/>
  <c r="L114" i="4"/>
  <c r="N114" i="4" s="1"/>
  <c r="K116" i="3"/>
  <c r="L115" i="3"/>
  <c r="N115" i="3" s="1"/>
  <c r="K740" i="2"/>
  <c r="L739" i="2"/>
  <c r="N739" i="2" s="1"/>
  <c r="K412" i="2"/>
  <c r="L411" i="2"/>
  <c r="N411" i="2" s="1"/>
  <c r="K115" i="2"/>
  <c r="L114" i="2"/>
  <c r="N114" i="2" s="1"/>
  <c r="K116" i="1"/>
  <c r="L115" i="1"/>
  <c r="N115" i="1" s="1"/>
  <c r="J122" i="5" l="1"/>
  <c r="K121" i="5"/>
  <c r="M121" i="5" s="1"/>
  <c r="K1183" i="5"/>
  <c r="M1183" i="5" s="1"/>
  <c r="L850" i="4"/>
  <c r="N850" i="4" s="1"/>
  <c r="L715" i="4"/>
  <c r="N715" i="4" s="1"/>
  <c r="K116" i="4"/>
  <c r="L115" i="4"/>
  <c r="N115" i="4" s="1"/>
  <c r="K117" i="3"/>
  <c r="L116" i="3"/>
  <c r="N116" i="3" s="1"/>
  <c r="K413" i="2"/>
  <c r="L412" i="2"/>
  <c r="N412" i="2" s="1"/>
  <c r="K116" i="2"/>
  <c r="L115" i="2"/>
  <c r="N115" i="2" s="1"/>
  <c r="K741" i="2"/>
  <c r="L740" i="2"/>
  <c r="N740" i="2" s="1"/>
  <c r="K117" i="1"/>
  <c r="L116" i="1"/>
  <c r="N116" i="1" s="1"/>
  <c r="K1184" i="5" l="1"/>
  <c r="M1184" i="5" s="1"/>
  <c r="J123" i="5"/>
  <c r="K122" i="5"/>
  <c r="M122" i="5" s="1"/>
  <c r="L851" i="4"/>
  <c r="N851" i="4" s="1"/>
  <c r="L716" i="4"/>
  <c r="N716" i="4" s="1"/>
  <c r="K117" i="4"/>
  <c r="L116" i="4"/>
  <c r="N116" i="4" s="1"/>
  <c r="K118" i="3"/>
  <c r="L117" i="3"/>
  <c r="N117" i="3" s="1"/>
  <c r="K117" i="2"/>
  <c r="L116" i="2"/>
  <c r="N116" i="2" s="1"/>
  <c r="K742" i="2"/>
  <c r="L741" i="2"/>
  <c r="N741" i="2" s="1"/>
  <c r="K414" i="2"/>
  <c r="L413" i="2"/>
  <c r="N413" i="2" s="1"/>
  <c r="L117" i="1"/>
  <c r="N117" i="1" s="1"/>
  <c r="K118" i="1"/>
  <c r="J124" i="5" l="1"/>
  <c r="K123" i="5"/>
  <c r="M123" i="5" s="1"/>
  <c r="K1185" i="5"/>
  <c r="M1185" i="5" s="1"/>
  <c r="L852" i="4"/>
  <c r="N852" i="4" s="1"/>
  <c r="L717" i="4"/>
  <c r="N717" i="4" s="1"/>
  <c r="K118" i="4"/>
  <c r="L117" i="4"/>
  <c r="N117" i="4" s="1"/>
  <c r="K119" i="3"/>
  <c r="L118" i="3"/>
  <c r="N118" i="3" s="1"/>
  <c r="K743" i="2"/>
  <c r="L742" i="2"/>
  <c r="N742" i="2" s="1"/>
  <c r="K415" i="2"/>
  <c r="L414" i="2"/>
  <c r="N414" i="2" s="1"/>
  <c r="L117" i="2"/>
  <c r="N117" i="2" s="1"/>
  <c r="K118" i="2"/>
  <c r="K119" i="1"/>
  <c r="L118" i="1"/>
  <c r="N118" i="1" s="1"/>
  <c r="K1186" i="5" l="1"/>
  <c r="M1186" i="5" s="1"/>
  <c r="J125" i="5"/>
  <c r="K124" i="5"/>
  <c r="M124" i="5" s="1"/>
  <c r="L853" i="4"/>
  <c r="N853" i="4" s="1"/>
  <c r="L718" i="4"/>
  <c r="N718" i="4" s="1"/>
  <c r="L118" i="4"/>
  <c r="N118" i="4" s="1"/>
  <c r="K119" i="4"/>
  <c r="K120" i="3"/>
  <c r="L119" i="3"/>
  <c r="N119" i="3" s="1"/>
  <c r="L415" i="2"/>
  <c r="N415" i="2" s="1"/>
  <c r="K416" i="2"/>
  <c r="K119" i="2"/>
  <c r="L118" i="2"/>
  <c r="N118" i="2" s="1"/>
  <c r="K744" i="2"/>
  <c r="L743" i="2"/>
  <c r="N743" i="2" s="1"/>
  <c r="K120" i="1"/>
  <c r="L119" i="1"/>
  <c r="N119" i="1" s="1"/>
  <c r="J126" i="5" l="1"/>
  <c r="K125" i="5"/>
  <c r="M125" i="5" s="1"/>
  <c r="K1187" i="5"/>
  <c r="M1187" i="5" s="1"/>
  <c r="L854" i="4"/>
  <c r="N854" i="4" s="1"/>
  <c r="L719" i="4"/>
  <c r="N719" i="4" s="1"/>
  <c r="K120" i="4"/>
  <c r="L119" i="4"/>
  <c r="N119" i="4" s="1"/>
  <c r="K121" i="3"/>
  <c r="L120" i="3"/>
  <c r="N120" i="3" s="1"/>
  <c r="K120" i="2"/>
  <c r="L119" i="2"/>
  <c r="N119" i="2" s="1"/>
  <c r="L416" i="2"/>
  <c r="N416" i="2" s="1"/>
  <c r="K417" i="2"/>
  <c r="K745" i="2"/>
  <c r="L744" i="2"/>
  <c r="N744" i="2" s="1"/>
  <c r="L120" i="1"/>
  <c r="N120" i="1" s="1"/>
  <c r="K121" i="1"/>
  <c r="K1188" i="5" l="1"/>
  <c r="M1188" i="5" s="1"/>
  <c r="J127" i="5"/>
  <c r="K126" i="5"/>
  <c r="M126" i="5" s="1"/>
  <c r="L855" i="4"/>
  <c r="N855" i="4" s="1"/>
  <c r="K121" i="4"/>
  <c r="L120" i="4"/>
  <c r="N120" i="4" s="1"/>
  <c r="L720" i="4"/>
  <c r="N720" i="4" s="1"/>
  <c r="K122" i="3"/>
  <c r="L121" i="3"/>
  <c r="N121" i="3" s="1"/>
  <c r="L417" i="2"/>
  <c r="N417" i="2" s="1"/>
  <c r="K418" i="2"/>
  <c r="K746" i="2"/>
  <c r="L745" i="2"/>
  <c r="N745" i="2" s="1"/>
  <c r="K121" i="2"/>
  <c r="L120" i="2"/>
  <c r="N120" i="2" s="1"/>
  <c r="K122" i="1"/>
  <c r="L121" i="1"/>
  <c r="N121" i="1" s="1"/>
  <c r="J128" i="5" l="1"/>
  <c r="K127" i="5"/>
  <c r="M127" i="5" s="1"/>
  <c r="K1189" i="5"/>
  <c r="M1189" i="5" s="1"/>
  <c r="L856" i="4"/>
  <c r="N856" i="4" s="1"/>
  <c r="L721" i="4"/>
  <c r="N721" i="4" s="1"/>
  <c r="K122" i="4"/>
  <c r="L121" i="4"/>
  <c r="N121" i="4" s="1"/>
  <c r="K123" i="3"/>
  <c r="L122" i="3"/>
  <c r="N122" i="3" s="1"/>
  <c r="K747" i="2"/>
  <c r="L746" i="2"/>
  <c r="N746" i="2" s="1"/>
  <c r="K419" i="2"/>
  <c r="L418" i="2"/>
  <c r="N418" i="2" s="1"/>
  <c r="K122" i="2"/>
  <c r="L121" i="2"/>
  <c r="N121" i="2" s="1"/>
  <c r="K123" i="1"/>
  <c r="L122" i="1"/>
  <c r="N122" i="1" s="1"/>
  <c r="K1190" i="5" l="1"/>
  <c r="M1190" i="5" s="1"/>
  <c r="J129" i="5"/>
  <c r="K128" i="5"/>
  <c r="M128" i="5" s="1"/>
  <c r="L857" i="4"/>
  <c r="N857" i="4" s="1"/>
  <c r="L722" i="4"/>
  <c r="N722" i="4" s="1"/>
  <c r="K123" i="4"/>
  <c r="L122" i="4"/>
  <c r="N122" i="4" s="1"/>
  <c r="K124" i="3"/>
  <c r="L123" i="3"/>
  <c r="N123" i="3" s="1"/>
  <c r="L419" i="2"/>
  <c r="N419" i="2" s="1"/>
  <c r="K420" i="2"/>
  <c r="K123" i="2"/>
  <c r="L122" i="2"/>
  <c r="N122" i="2" s="1"/>
  <c r="K748" i="2"/>
  <c r="L747" i="2"/>
  <c r="N747" i="2" s="1"/>
  <c r="K124" i="1"/>
  <c r="L123" i="1"/>
  <c r="N123" i="1" s="1"/>
  <c r="J130" i="5" l="1"/>
  <c r="K129" i="5"/>
  <c r="M129" i="5" s="1"/>
  <c r="K1191" i="5"/>
  <c r="M1191" i="5" s="1"/>
  <c r="L858" i="4"/>
  <c r="N858" i="4" s="1"/>
  <c r="K124" i="4"/>
  <c r="L123" i="4"/>
  <c r="N123" i="4" s="1"/>
  <c r="L723" i="4"/>
  <c r="N723" i="4" s="1"/>
  <c r="K125" i="3"/>
  <c r="L124" i="3"/>
  <c r="N124" i="3" s="1"/>
  <c r="K124" i="2"/>
  <c r="L123" i="2"/>
  <c r="N123" i="2" s="1"/>
  <c r="K421" i="2"/>
  <c r="L420" i="2"/>
  <c r="N420" i="2" s="1"/>
  <c r="K749" i="2"/>
  <c r="L748" i="2"/>
  <c r="N748" i="2" s="1"/>
  <c r="K125" i="1"/>
  <c r="L124" i="1"/>
  <c r="N124" i="1" s="1"/>
  <c r="K1192" i="5" l="1"/>
  <c r="M1192" i="5" s="1"/>
  <c r="J131" i="5"/>
  <c r="K130" i="5"/>
  <c r="M130" i="5" s="1"/>
  <c r="L859" i="4"/>
  <c r="N859" i="4" s="1"/>
  <c r="L724" i="4"/>
  <c r="N724" i="4" s="1"/>
  <c r="K125" i="4"/>
  <c r="L124" i="4"/>
  <c r="N124" i="4" s="1"/>
  <c r="L125" i="3"/>
  <c r="N125" i="3" s="1"/>
  <c r="K126" i="3"/>
  <c r="L421" i="2"/>
  <c r="N421" i="2" s="1"/>
  <c r="K422" i="2"/>
  <c r="K750" i="2"/>
  <c r="L749" i="2"/>
  <c r="N749" i="2" s="1"/>
  <c r="K125" i="2"/>
  <c r="L124" i="2"/>
  <c r="N124" i="2" s="1"/>
  <c r="L125" i="1"/>
  <c r="N125" i="1" s="1"/>
  <c r="K126" i="1"/>
  <c r="J132" i="5" l="1"/>
  <c r="K131" i="5"/>
  <c r="M131" i="5" s="1"/>
  <c r="K1193" i="5"/>
  <c r="M1193" i="5" s="1"/>
  <c r="L860" i="4"/>
  <c r="N860" i="4" s="1"/>
  <c r="L725" i="4"/>
  <c r="N725" i="4" s="1"/>
  <c r="K126" i="4"/>
  <c r="L125" i="4"/>
  <c r="N125" i="4" s="1"/>
  <c r="K127" i="3"/>
  <c r="L126" i="3"/>
  <c r="N126" i="3" s="1"/>
  <c r="K751" i="2"/>
  <c r="L750" i="2"/>
  <c r="N750" i="2" s="1"/>
  <c r="K423" i="2"/>
  <c r="L422" i="2"/>
  <c r="N422" i="2" s="1"/>
  <c r="L125" i="2"/>
  <c r="N125" i="2" s="1"/>
  <c r="K126" i="2"/>
  <c r="K127" i="1"/>
  <c r="L126" i="1"/>
  <c r="N126" i="1" s="1"/>
  <c r="K1194" i="5" l="1"/>
  <c r="M1194" i="5" s="1"/>
  <c r="J133" i="5"/>
  <c r="K132" i="5"/>
  <c r="M132" i="5" s="1"/>
  <c r="L861" i="4"/>
  <c r="N861" i="4" s="1"/>
  <c r="L726" i="4"/>
  <c r="N726" i="4" s="1"/>
  <c r="K127" i="4"/>
  <c r="L126" i="4"/>
  <c r="N126" i="4" s="1"/>
  <c r="K128" i="3"/>
  <c r="L127" i="3"/>
  <c r="N127" i="3" s="1"/>
  <c r="K424" i="2"/>
  <c r="L423" i="2"/>
  <c r="N423" i="2" s="1"/>
  <c r="K127" i="2"/>
  <c r="L126" i="2"/>
  <c r="N126" i="2" s="1"/>
  <c r="K752" i="2"/>
  <c r="L751" i="2"/>
  <c r="N751" i="2" s="1"/>
  <c r="K128" i="1"/>
  <c r="L127" i="1"/>
  <c r="N127" i="1" s="1"/>
  <c r="J134" i="5" l="1"/>
  <c r="K133" i="5"/>
  <c r="M133" i="5" s="1"/>
  <c r="K1195" i="5"/>
  <c r="M1195" i="5" s="1"/>
  <c r="L862" i="4"/>
  <c r="N862" i="4" s="1"/>
  <c r="L727" i="4"/>
  <c r="N727" i="4" s="1"/>
  <c r="K128" i="4"/>
  <c r="L127" i="4"/>
  <c r="N127" i="4" s="1"/>
  <c r="K129" i="3"/>
  <c r="L128" i="3"/>
  <c r="N128" i="3" s="1"/>
  <c r="K128" i="2"/>
  <c r="L127" i="2"/>
  <c r="N127" i="2" s="1"/>
  <c r="K753" i="2"/>
  <c r="L752" i="2"/>
  <c r="N752" i="2" s="1"/>
  <c r="K425" i="2"/>
  <c r="L424" i="2"/>
  <c r="N424" i="2" s="1"/>
  <c r="L128" i="1"/>
  <c r="N128" i="1" s="1"/>
  <c r="K129" i="1"/>
  <c r="K1196" i="5" l="1"/>
  <c r="M1196" i="5" s="1"/>
  <c r="J135" i="5"/>
  <c r="K134" i="5"/>
  <c r="M134" i="5" s="1"/>
  <c r="L863" i="4"/>
  <c r="N863" i="4" s="1"/>
  <c r="L728" i="4"/>
  <c r="N728" i="4" s="1"/>
  <c r="K129" i="4"/>
  <c r="L128" i="4"/>
  <c r="N128" i="4" s="1"/>
  <c r="K130" i="3"/>
  <c r="L129" i="3"/>
  <c r="N129" i="3" s="1"/>
  <c r="K754" i="2"/>
  <c r="L753" i="2"/>
  <c r="N753" i="2" s="1"/>
  <c r="K426" i="2"/>
  <c r="L425" i="2"/>
  <c r="N425" i="2" s="1"/>
  <c r="K129" i="2"/>
  <c r="L128" i="2"/>
  <c r="N128" i="2" s="1"/>
  <c r="L129" i="1"/>
  <c r="N129" i="1" s="1"/>
  <c r="K130" i="1"/>
  <c r="J136" i="5" l="1"/>
  <c r="K135" i="5"/>
  <c r="M135" i="5" s="1"/>
  <c r="K1197" i="5"/>
  <c r="M1197" i="5" s="1"/>
  <c r="L864" i="4"/>
  <c r="N864" i="4" s="1"/>
  <c r="L729" i="4"/>
  <c r="N729" i="4" s="1"/>
  <c r="K130" i="4"/>
  <c r="L129" i="4"/>
  <c r="N129" i="4" s="1"/>
  <c r="K131" i="3"/>
  <c r="L130" i="3"/>
  <c r="N130" i="3" s="1"/>
  <c r="K427" i="2"/>
  <c r="L426" i="2"/>
  <c r="N426" i="2" s="1"/>
  <c r="K130" i="2"/>
  <c r="L129" i="2"/>
  <c r="N129" i="2" s="1"/>
  <c r="K755" i="2"/>
  <c r="L754" i="2"/>
  <c r="N754" i="2" s="1"/>
  <c r="K131" i="1"/>
  <c r="L130" i="1"/>
  <c r="N130" i="1" s="1"/>
  <c r="K1198" i="5" l="1"/>
  <c r="M1198" i="5" s="1"/>
  <c r="J137" i="5"/>
  <c r="K136" i="5"/>
  <c r="M136" i="5" s="1"/>
  <c r="L865" i="4"/>
  <c r="N865" i="4" s="1"/>
  <c r="L730" i="4"/>
  <c r="N730" i="4" s="1"/>
  <c r="L130" i="4"/>
  <c r="N130" i="4" s="1"/>
  <c r="K131" i="4"/>
  <c r="K132" i="3"/>
  <c r="L131" i="3"/>
  <c r="N131" i="3" s="1"/>
  <c r="K131" i="2"/>
  <c r="L130" i="2"/>
  <c r="N130" i="2" s="1"/>
  <c r="K756" i="2"/>
  <c r="L755" i="2"/>
  <c r="N755" i="2" s="1"/>
  <c r="K428" i="2"/>
  <c r="L427" i="2"/>
  <c r="N427" i="2" s="1"/>
  <c r="K132" i="1"/>
  <c r="L131" i="1"/>
  <c r="N131" i="1" s="1"/>
  <c r="J138" i="5" l="1"/>
  <c r="K137" i="5"/>
  <c r="M137" i="5" s="1"/>
  <c r="K1199" i="5"/>
  <c r="M1199" i="5" s="1"/>
  <c r="L866" i="4"/>
  <c r="N866" i="4" s="1"/>
  <c r="K132" i="4"/>
  <c r="L131" i="4"/>
  <c r="N131" i="4" s="1"/>
  <c r="L731" i="4"/>
  <c r="N731" i="4" s="1"/>
  <c r="K133" i="3"/>
  <c r="L132" i="3"/>
  <c r="N132" i="3" s="1"/>
  <c r="K757" i="2"/>
  <c r="L756" i="2"/>
  <c r="N756" i="2" s="1"/>
  <c r="K429" i="2"/>
  <c r="L428" i="2"/>
  <c r="N428" i="2" s="1"/>
  <c r="K132" i="2"/>
  <c r="L131" i="2"/>
  <c r="N131" i="2" s="1"/>
  <c r="K133" i="1"/>
  <c r="L132" i="1"/>
  <c r="N132" i="1" s="1"/>
  <c r="K1200" i="5" l="1"/>
  <c r="M1200" i="5" s="1"/>
  <c r="J139" i="5"/>
  <c r="K138" i="5"/>
  <c r="M138" i="5" s="1"/>
  <c r="L867" i="4"/>
  <c r="N867" i="4" s="1"/>
  <c r="L732" i="4"/>
  <c r="N732" i="4" s="1"/>
  <c r="K133" i="4"/>
  <c r="L132" i="4"/>
  <c r="N132" i="4" s="1"/>
  <c r="K134" i="3"/>
  <c r="L133" i="3"/>
  <c r="N133" i="3" s="1"/>
  <c r="K430" i="2"/>
  <c r="L429" i="2"/>
  <c r="N429" i="2" s="1"/>
  <c r="K133" i="2"/>
  <c r="L132" i="2"/>
  <c r="N132" i="2" s="1"/>
  <c r="K758" i="2"/>
  <c r="L757" i="2"/>
  <c r="N757" i="2" s="1"/>
  <c r="K134" i="1"/>
  <c r="L133" i="1"/>
  <c r="N133" i="1" s="1"/>
  <c r="J140" i="5" l="1"/>
  <c r="K139" i="5"/>
  <c r="M139" i="5" s="1"/>
  <c r="K1201" i="5"/>
  <c r="M1201" i="5" s="1"/>
  <c r="L868" i="4"/>
  <c r="N868" i="4" s="1"/>
  <c r="L733" i="4"/>
  <c r="N733" i="4" s="1"/>
  <c r="K134" i="4"/>
  <c r="L133" i="4"/>
  <c r="N133" i="4" s="1"/>
  <c r="K135" i="3"/>
  <c r="L134" i="3"/>
  <c r="N134" i="3" s="1"/>
  <c r="L133" i="2"/>
  <c r="N133" i="2" s="1"/>
  <c r="K134" i="2"/>
  <c r="K759" i="2"/>
  <c r="L758" i="2"/>
  <c r="N758" i="2" s="1"/>
  <c r="K431" i="2"/>
  <c r="L430" i="2"/>
  <c r="N430" i="2" s="1"/>
  <c r="K135" i="1"/>
  <c r="L134" i="1"/>
  <c r="N134" i="1" s="1"/>
  <c r="K1202" i="5" l="1"/>
  <c r="M1202" i="5" s="1"/>
  <c r="J141" i="5"/>
  <c r="K140" i="5"/>
  <c r="M140" i="5" s="1"/>
  <c r="L869" i="4"/>
  <c r="N869" i="4" s="1"/>
  <c r="L734" i="4"/>
  <c r="N734" i="4" s="1"/>
  <c r="K135" i="4"/>
  <c r="L134" i="4"/>
  <c r="N134" i="4" s="1"/>
  <c r="K136" i="3"/>
  <c r="L135" i="3"/>
  <c r="N135" i="3" s="1"/>
  <c r="K760" i="2"/>
  <c r="L759" i="2"/>
  <c r="N759" i="2" s="1"/>
  <c r="K135" i="2"/>
  <c r="L134" i="2"/>
  <c r="N134" i="2" s="1"/>
  <c r="L431" i="2"/>
  <c r="N431" i="2" s="1"/>
  <c r="K432" i="2"/>
  <c r="K136" i="1"/>
  <c r="L135" i="1"/>
  <c r="N135" i="1" s="1"/>
  <c r="J142" i="5" l="1"/>
  <c r="K141" i="5"/>
  <c r="M141" i="5" s="1"/>
  <c r="K1203" i="5"/>
  <c r="M1203" i="5" s="1"/>
  <c r="L870" i="4"/>
  <c r="N870" i="4" s="1"/>
  <c r="L735" i="4"/>
  <c r="N735" i="4" s="1"/>
  <c r="K136" i="4"/>
  <c r="L135" i="4"/>
  <c r="N135" i="4" s="1"/>
  <c r="K137" i="3"/>
  <c r="L136" i="3"/>
  <c r="N136" i="3" s="1"/>
  <c r="K136" i="2"/>
  <c r="L135" i="2"/>
  <c r="N135" i="2" s="1"/>
  <c r="L432" i="2"/>
  <c r="N432" i="2" s="1"/>
  <c r="K433" i="2"/>
  <c r="K761" i="2"/>
  <c r="L760" i="2"/>
  <c r="N760" i="2" s="1"/>
  <c r="K137" i="1"/>
  <c r="L136" i="1"/>
  <c r="N136" i="1" s="1"/>
  <c r="K1204" i="5" l="1"/>
  <c r="M1204" i="5" s="1"/>
  <c r="J143" i="5"/>
  <c r="K142" i="5"/>
  <c r="M142" i="5" s="1"/>
  <c r="L871" i="4"/>
  <c r="N871" i="4" s="1"/>
  <c r="L736" i="4"/>
  <c r="N736" i="4" s="1"/>
  <c r="L136" i="4"/>
  <c r="N136" i="4" s="1"/>
  <c r="K137" i="4"/>
  <c r="K138" i="3"/>
  <c r="L137" i="3"/>
  <c r="N137" i="3" s="1"/>
  <c r="L433" i="2"/>
  <c r="N433" i="2" s="1"/>
  <c r="K434" i="2"/>
  <c r="K762" i="2"/>
  <c r="L761" i="2"/>
  <c r="N761" i="2" s="1"/>
  <c r="K137" i="2"/>
  <c r="L136" i="2"/>
  <c r="N136" i="2" s="1"/>
  <c r="K138" i="1"/>
  <c r="L137" i="1"/>
  <c r="N137" i="1" s="1"/>
  <c r="J144" i="5" l="1"/>
  <c r="K143" i="5"/>
  <c r="M143" i="5" s="1"/>
  <c r="K1205" i="5"/>
  <c r="M1205" i="5" s="1"/>
  <c r="L872" i="4"/>
  <c r="N872" i="4" s="1"/>
  <c r="K138" i="4"/>
  <c r="L137" i="4"/>
  <c r="N137" i="4" s="1"/>
  <c r="L737" i="4"/>
  <c r="N737" i="4" s="1"/>
  <c r="L738" i="4"/>
  <c r="N738" i="4" s="1"/>
  <c r="K139" i="3"/>
  <c r="L138" i="3"/>
  <c r="N138" i="3" s="1"/>
  <c r="K763" i="2"/>
  <c r="L762" i="2"/>
  <c r="N762" i="2" s="1"/>
  <c r="K435" i="2"/>
  <c r="L434" i="2"/>
  <c r="N434" i="2" s="1"/>
  <c r="K138" i="2"/>
  <c r="L137" i="2"/>
  <c r="N137" i="2" s="1"/>
  <c r="K139" i="1"/>
  <c r="L138" i="1"/>
  <c r="N138" i="1" s="1"/>
  <c r="K1206" i="5" l="1"/>
  <c r="M1206" i="5" s="1"/>
  <c r="J145" i="5"/>
  <c r="K144" i="5"/>
  <c r="M144" i="5" s="1"/>
  <c r="L873" i="4"/>
  <c r="N873" i="4" s="1"/>
  <c r="K139" i="4"/>
  <c r="L138" i="4"/>
  <c r="N138" i="4" s="1"/>
  <c r="K140" i="3"/>
  <c r="L139" i="3"/>
  <c r="N139" i="3" s="1"/>
  <c r="K436" i="2"/>
  <c r="L435" i="2"/>
  <c r="N435" i="2" s="1"/>
  <c r="K139" i="2"/>
  <c r="L138" i="2"/>
  <c r="N138" i="2" s="1"/>
  <c r="K764" i="2"/>
  <c r="L763" i="2"/>
  <c r="N763" i="2" s="1"/>
  <c r="K140" i="1"/>
  <c r="L139" i="1"/>
  <c r="N139" i="1" s="1"/>
  <c r="J146" i="5" l="1"/>
  <c r="K145" i="5"/>
  <c r="M145" i="5" s="1"/>
  <c r="K1207" i="5"/>
  <c r="M1207" i="5" s="1"/>
  <c r="L874" i="4"/>
  <c r="N874" i="4" s="1"/>
  <c r="K140" i="4"/>
  <c r="L139" i="4"/>
  <c r="N139" i="4" s="1"/>
  <c r="K141" i="3"/>
  <c r="L140" i="3"/>
  <c r="N140" i="3" s="1"/>
  <c r="K140" i="2"/>
  <c r="L139" i="2"/>
  <c r="N139" i="2" s="1"/>
  <c r="K765" i="2"/>
  <c r="L764" i="2"/>
  <c r="N764" i="2" s="1"/>
  <c r="L436" i="2"/>
  <c r="N436" i="2" s="1"/>
  <c r="K437" i="2"/>
  <c r="K141" i="1"/>
  <c r="L140" i="1"/>
  <c r="N140" i="1" s="1"/>
  <c r="K1208" i="5" l="1"/>
  <c r="M1208" i="5" s="1"/>
  <c r="J147" i="5"/>
  <c r="K146" i="5"/>
  <c r="M146" i="5" s="1"/>
  <c r="L875" i="4"/>
  <c r="N875" i="4" s="1"/>
  <c r="L140" i="4"/>
  <c r="N140" i="4" s="1"/>
  <c r="K141" i="4"/>
  <c r="L141" i="3"/>
  <c r="N141" i="3" s="1"/>
  <c r="K142" i="3"/>
  <c r="K766" i="2"/>
  <c r="L765" i="2"/>
  <c r="N765" i="2" s="1"/>
  <c r="K438" i="2"/>
  <c r="L437" i="2"/>
  <c r="N437" i="2" s="1"/>
  <c r="K141" i="2"/>
  <c r="L140" i="2"/>
  <c r="N140" i="2" s="1"/>
  <c r="L141" i="1"/>
  <c r="N141" i="1" s="1"/>
  <c r="K142" i="1"/>
  <c r="J148" i="5" l="1"/>
  <c r="K147" i="5"/>
  <c r="M147" i="5" s="1"/>
  <c r="K1209" i="5"/>
  <c r="M1209" i="5" s="1"/>
  <c r="L876" i="4"/>
  <c r="N876" i="4" s="1"/>
  <c r="K142" i="4"/>
  <c r="L141" i="4"/>
  <c r="N141" i="4" s="1"/>
  <c r="K143" i="3"/>
  <c r="L142" i="3"/>
  <c r="N142" i="3" s="1"/>
  <c r="K439" i="2"/>
  <c r="L438" i="2"/>
  <c r="N438" i="2" s="1"/>
  <c r="K142" i="2"/>
  <c r="L141" i="2"/>
  <c r="N141" i="2" s="1"/>
  <c r="K767" i="2"/>
  <c r="L766" i="2"/>
  <c r="N766" i="2" s="1"/>
  <c r="K143" i="1"/>
  <c r="L142" i="1"/>
  <c r="N142" i="1" s="1"/>
  <c r="K1210" i="5" l="1"/>
  <c r="M1210" i="5" s="1"/>
  <c r="J149" i="5"/>
  <c r="K148" i="5"/>
  <c r="M148" i="5" s="1"/>
  <c r="L877" i="4"/>
  <c r="N877" i="4" s="1"/>
  <c r="K143" i="4"/>
  <c r="L142" i="4"/>
  <c r="N142" i="4" s="1"/>
  <c r="K144" i="3"/>
  <c r="L143" i="3"/>
  <c r="N143" i="3" s="1"/>
  <c r="K143" i="2"/>
  <c r="L142" i="2"/>
  <c r="N142" i="2" s="1"/>
  <c r="K768" i="2"/>
  <c r="L767" i="2"/>
  <c r="N767" i="2" s="1"/>
  <c r="K440" i="2"/>
  <c r="L439" i="2"/>
  <c r="N439" i="2" s="1"/>
  <c r="K144" i="1"/>
  <c r="L143" i="1"/>
  <c r="N143" i="1" s="1"/>
  <c r="J150" i="5" l="1"/>
  <c r="K149" i="5"/>
  <c r="M149" i="5" s="1"/>
  <c r="K1211" i="5"/>
  <c r="M1211" i="5" s="1"/>
  <c r="L878" i="4"/>
  <c r="N878" i="4" s="1"/>
  <c r="K144" i="4"/>
  <c r="L143" i="4"/>
  <c r="N143" i="4" s="1"/>
  <c r="K145" i="3"/>
  <c r="L144" i="3"/>
  <c r="N144" i="3" s="1"/>
  <c r="K769" i="2"/>
  <c r="L768" i="2"/>
  <c r="N768" i="2" s="1"/>
  <c r="K441" i="2"/>
  <c r="L440" i="2"/>
  <c r="N440" i="2" s="1"/>
  <c r="K144" i="2"/>
  <c r="L143" i="2"/>
  <c r="N143" i="2" s="1"/>
  <c r="K145" i="1"/>
  <c r="L144" i="1"/>
  <c r="N144" i="1" s="1"/>
  <c r="K1212" i="5" l="1"/>
  <c r="M1212" i="5" s="1"/>
  <c r="J151" i="5"/>
  <c r="K150" i="5"/>
  <c r="M150" i="5" s="1"/>
  <c r="L879" i="4"/>
  <c r="N879" i="4" s="1"/>
  <c r="L144" i="4"/>
  <c r="N144" i="4" s="1"/>
  <c r="K145" i="4"/>
  <c r="K146" i="3"/>
  <c r="L145" i="3"/>
  <c r="N145" i="3" s="1"/>
  <c r="K442" i="2"/>
  <c r="L441" i="2"/>
  <c r="N441" i="2" s="1"/>
  <c r="K145" i="2"/>
  <c r="L144" i="2"/>
  <c r="N144" i="2" s="1"/>
  <c r="K770" i="2"/>
  <c r="L769" i="2"/>
  <c r="N769" i="2" s="1"/>
  <c r="K146" i="1"/>
  <c r="L145" i="1"/>
  <c r="N145" i="1" s="1"/>
  <c r="J152" i="5" l="1"/>
  <c r="K151" i="5"/>
  <c r="M151" i="5" s="1"/>
  <c r="K1213" i="5"/>
  <c r="M1213" i="5" s="1"/>
  <c r="L880" i="4"/>
  <c r="N880" i="4" s="1"/>
  <c r="K146" i="4"/>
  <c r="L145" i="4"/>
  <c r="N145" i="4" s="1"/>
  <c r="K147" i="3"/>
  <c r="L146" i="3"/>
  <c r="N146" i="3" s="1"/>
  <c r="L145" i="2"/>
  <c r="N145" i="2" s="1"/>
  <c r="K146" i="2"/>
  <c r="K771" i="2"/>
  <c r="L770" i="2"/>
  <c r="N770" i="2" s="1"/>
  <c r="K443" i="2"/>
  <c r="L442" i="2"/>
  <c r="N442" i="2" s="1"/>
  <c r="K147" i="1"/>
  <c r="L146" i="1"/>
  <c r="N146" i="1" s="1"/>
  <c r="K1214" i="5" l="1"/>
  <c r="M1214" i="5" s="1"/>
  <c r="J153" i="5"/>
  <c r="K152" i="5"/>
  <c r="M152" i="5" s="1"/>
  <c r="L881" i="4"/>
  <c r="N881" i="4" s="1"/>
  <c r="K147" i="4"/>
  <c r="L146" i="4"/>
  <c r="N146" i="4" s="1"/>
  <c r="K148" i="3"/>
  <c r="L147" i="3"/>
  <c r="N147" i="3" s="1"/>
  <c r="K772" i="2"/>
  <c r="L771" i="2"/>
  <c r="N771" i="2" s="1"/>
  <c r="K147" i="2"/>
  <c r="L146" i="2"/>
  <c r="N146" i="2" s="1"/>
  <c r="K444" i="2"/>
  <c r="L443" i="2"/>
  <c r="N443" i="2" s="1"/>
  <c r="K148" i="1"/>
  <c r="L147" i="1"/>
  <c r="N147" i="1" s="1"/>
  <c r="J154" i="5" l="1"/>
  <c r="K153" i="5"/>
  <c r="M153" i="5" s="1"/>
  <c r="K1215" i="5"/>
  <c r="M1215" i="5" s="1"/>
  <c r="L882" i="4"/>
  <c r="N882" i="4" s="1"/>
  <c r="K148" i="4"/>
  <c r="L147" i="4"/>
  <c r="N147" i="4" s="1"/>
  <c r="K149" i="3"/>
  <c r="L148" i="3"/>
  <c r="N148" i="3" s="1"/>
  <c r="K148" i="2"/>
  <c r="L147" i="2"/>
  <c r="N147" i="2" s="1"/>
  <c r="K445" i="2"/>
  <c r="L444" i="2"/>
  <c r="N444" i="2" s="1"/>
  <c r="K773" i="2"/>
  <c r="L772" i="2"/>
  <c r="N772" i="2" s="1"/>
  <c r="K149" i="1"/>
  <c r="L148" i="1"/>
  <c r="N148" i="1" s="1"/>
  <c r="K1216" i="5" l="1"/>
  <c r="M1216" i="5" s="1"/>
  <c r="J155" i="5"/>
  <c r="K154" i="5"/>
  <c r="M154" i="5" s="1"/>
  <c r="L883" i="4"/>
  <c r="N883" i="4" s="1"/>
  <c r="L148" i="4"/>
  <c r="N148" i="4" s="1"/>
  <c r="K149" i="4"/>
  <c r="L149" i="3"/>
  <c r="N149" i="3" s="1"/>
  <c r="K150" i="3"/>
  <c r="K446" i="2"/>
  <c r="L445" i="2"/>
  <c r="N445" i="2" s="1"/>
  <c r="K774" i="2"/>
  <c r="L773" i="2"/>
  <c r="N773" i="2" s="1"/>
  <c r="K149" i="2"/>
  <c r="L148" i="2"/>
  <c r="N148" i="2" s="1"/>
  <c r="L149" i="1"/>
  <c r="N149" i="1" s="1"/>
  <c r="K150" i="1"/>
  <c r="J156" i="5" l="1"/>
  <c r="K155" i="5"/>
  <c r="M155" i="5" s="1"/>
  <c r="K1217" i="5"/>
  <c r="M1217" i="5" s="1"/>
  <c r="L884" i="4"/>
  <c r="N884" i="4" s="1"/>
  <c r="K150" i="4"/>
  <c r="L149" i="4"/>
  <c r="N149" i="4" s="1"/>
  <c r="K151" i="3"/>
  <c r="L150" i="3"/>
  <c r="N150" i="3" s="1"/>
  <c r="K775" i="2"/>
  <c r="L774" i="2"/>
  <c r="N774" i="2" s="1"/>
  <c r="K150" i="2"/>
  <c r="L149" i="2"/>
  <c r="N149" i="2" s="1"/>
  <c r="K447" i="2"/>
  <c r="L446" i="2"/>
  <c r="N446" i="2" s="1"/>
  <c r="K151" i="1"/>
  <c r="L150" i="1"/>
  <c r="N150" i="1" s="1"/>
  <c r="K1218" i="5" l="1"/>
  <c r="M1218" i="5" s="1"/>
  <c r="J157" i="5"/>
  <c r="K156" i="5"/>
  <c r="M156" i="5" s="1"/>
  <c r="L885" i="4"/>
  <c r="N885" i="4" s="1"/>
  <c r="K151" i="4"/>
  <c r="L150" i="4"/>
  <c r="N150" i="4" s="1"/>
  <c r="K152" i="3"/>
  <c r="L151" i="3"/>
  <c r="N151" i="3" s="1"/>
  <c r="K151" i="2"/>
  <c r="L150" i="2"/>
  <c r="N150" i="2" s="1"/>
  <c r="L447" i="2"/>
  <c r="N447" i="2" s="1"/>
  <c r="K448" i="2"/>
  <c r="K776" i="2"/>
  <c r="L775" i="2"/>
  <c r="N775" i="2" s="1"/>
  <c r="K152" i="1"/>
  <c r="L151" i="1"/>
  <c r="N151" i="1" s="1"/>
  <c r="J158" i="5" l="1"/>
  <c r="K157" i="5"/>
  <c r="M157" i="5" s="1"/>
  <c r="K1219" i="5"/>
  <c r="M1219" i="5" s="1"/>
  <c r="L886" i="4"/>
  <c r="N886" i="4" s="1"/>
  <c r="K152" i="4"/>
  <c r="L151" i="4"/>
  <c r="N151" i="4" s="1"/>
  <c r="K153" i="3"/>
  <c r="L152" i="3"/>
  <c r="N152" i="3" s="1"/>
  <c r="L448" i="2"/>
  <c r="N448" i="2" s="1"/>
  <c r="K449" i="2"/>
  <c r="K777" i="2"/>
  <c r="L776" i="2"/>
  <c r="N776" i="2" s="1"/>
  <c r="K152" i="2"/>
  <c r="L151" i="2"/>
  <c r="N151" i="2" s="1"/>
  <c r="L152" i="1"/>
  <c r="N152" i="1" s="1"/>
  <c r="K153" i="1"/>
  <c r="K1220" i="5" l="1"/>
  <c r="M1220" i="5" s="1"/>
  <c r="J159" i="5"/>
  <c r="K158" i="5"/>
  <c r="M158" i="5" s="1"/>
  <c r="L887" i="4"/>
  <c r="N887" i="4" s="1"/>
  <c r="L152" i="4"/>
  <c r="N152" i="4" s="1"/>
  <c r="K153" i="4"/>
  <c r="K154" i="3"/>
  <c r="L153" i="3"/>
  <c r="N153" i="3" s="1"/>
  <c r="K778" i="2"/>
  <c r="L777" i="2"/>
  <c r="N777" i="2" s="1"/>
  <c r="L449" i="2"/>
  <c r="N449" i="2" s="1"/>
  <c r="K450" i="2"/>
  <c r="K153" i="2"/>
  <c r="L152" i="2"/>
  <c r="N152" i="2" s="1"/>
  <c r="K154" i="1"/>
  <c r="L153" i="1"/>
  <c r="N153" i="1" s="1"/>
  <c r="J160" i="5" l="1"/>
  <c r="K159" i="5"/>
  <c r="M159" i="5" s="1"/>
  <c r="K1221" i="5"/>
  <c r="M1221" i="5" s="1"/>
  <c r="L888" i="4"/>
  <c r="N888" i="4" s="1"/>
  <c r="K154" i="4"/>
  <c r="L153" i="4"/>
  <c r="N153" i="4" s="1"/>
  <c r="K155" i="3"/>
  <c r="L154" i="3"/>
  <c r="N154" i="3" s="1"/>
  <c r="K451" i="2"/>
  <c r="L450" i="2"/>
  <c r="N450" i="2" s="1"/>
  <c r="K154" i="2"/>
  <c r="L153" i="2"/>
  <c r="N153" i="2" s="1"/>
  <c r="K779" i="2"/>
  <c r="L778" i="2"/>
  <c r="N778" i="2" s="1"/>
  <c r="K155" i="1"/>
  <c r="L154" i="1"/>
  <c r="N154" i="1" s="1"/>
  <c r="K1222" i="5" l="1"/>
  <c r="M1222" i="5" s="1"/>
  <c r="J161" i="5"/>
  <c r="K160" i="5"/>
  <c r="M160" i="5" s="1"/>
  <c r="L889" i="4"/>
  <c r="N889" i="4" s="1"/>
  <c r="K155" i="4"/>
  <c r="L154" i="4"/>
  <c r="N154" i="4" s="1"/>
  <c r="K156" i="3"/>
  <c r="L155" i="3"/>
  <c r="N155" i="3" s="1"/>
  <c r="K155" i="2"/>
  <c r="L154" i="2"/>
  <c r="N154" i="2" s="1"/>
  <c r="K780" i="2"/>
  <c r="L779" i="2"/>
  <c r="N779" i="2" s="1"/>
  <c r="L451" i="2"/>
  <c r="N451" i="2" s="1"/>
  <c r="K452" i="2"/>
  <c r="K156" i="1"/>
  <c r="L155" i="1"/>
  <c r="N155" i="1" s="1"/>
  <c r="J162" i="5" l="1"/>
  <c r="K161" i="5"/>
  <c r="M161" i="5" s="1"/>
  <c r="K1223" i="5"/>
  <c r="M1223" i="5" s="1"/>
  <c r="L890" i="4"/>
  <c r="N890" i="4" s="1"/>
  <c r="K156" i="4"/>
  <c r="L155" i="4"/>
  <c r="N155" i="4" s="1"/>
  <c r="K157" i="3"/>
  <c r="L156" i="3"/>
  <c r="N156" i="3" s="1"/>
  <c r="K781" i="2"/>
  <c r="L780" i="2"/>
  <c r="N780" i="2" s="1"/>
  <c r="K453" i="2"/>
  <c r="L452" i="2"/>
  <c r="N452" i="2" s="1"/>
  <c r="K156" i="2"/>
  <c r="L155" i="2"/>
  <c r="N155" i="2" s="1"/>
  <c r="K157" i="1"/>
  <c r="L156" i="1"/>
  <c r="N156" i="1" s="1"/>
  <c r="K1224" i="5" l="1"/>
  <c r="M1224" i="5" s="1"/>
  <c r="J163" i="5"/>
  <c r="K162" i="5"/>
  <c r="M162" i="5" s="1"/>
  <c r="L891" i="4"/>
  <c r="N891" i="4" s="1"/>
  <c r="L156" i="4"/>
  <c r="N156" i="4" s="1"/>
  <c r="K157" i="4"/>
  <c r="K158" i="3"/>
  <c r="L157" i="3"/>
  <c r="N157" i="3" s="1"/>
  <c r="L453" i="2"/>
  <c r="N453" i="2" s="1"/>
  <c r="K454" i="2"/>
  <c r="K157" i="2"/>
  <c r="L156" i="2"/>
  <c r="N156" i="2" s="1"/>
  <c r="K782" i="2"/>
  <c r="L781" i="2"/>
  <c r="N781" i="2" s="1"/>
  <c r="K158" i="1"/>
  <c r="L157" i="1"/>
  <c r="N157" i="1" s="1"/>
  <c r="J164" i="5" l="1"/>
  <c r="K163" i="5"/>
  <c r="M163" i="5" s="1"/>
  <c r="K1225" i="5"/>
  <c r="M1225" i="5" s="1"/>
  <c r="L892" i="4"/>
  <c r="N892" i="4" s="1"/>
  <c r="K158" i="4"/>
  <c r="L157" i="4"/>
  <c r="N157" i="4" s="1"/>
  <c r="K159" i="3"/>
  <c r="L158" i="3"/>
  <c r="N158" i="3" s="1"/>
  <c r="L157" i="2"/>
  <c r="N157" i="2" s="1"/>
  <c r="K158" i="2"/>
  <c r="K455" i="2"/>
  <c r="L454" i="2"/>
  <c r="N454" i="2" s="1"/>
  <c r="K783" i="2"/>
  <c r="L782" i="2"/>
  <c r="N782" i="2" s="1"/>
  <c r="K159" i="1"/>
  <c r="L158" i="1"/>
  <c r="N158" i="1" s="1"/>
  <c r="K1226" i="5" l="1"/>
  <c r="M1226" i="5" s="1"/>
  <c r="J165" i="5"/>
  <c r="K164" i="5"/>
  <c r="M164" i="5" s="1"/>
  <c r="L893" i="4"/>
  <c r="N893" i="4" s="1"/>
  <c r="K159" i="4"/>
  <c r="L158" i="4"/>
  <c r="N158" i="4" s="1"/>
  <c r="K160" i="3"/>
  <c r="L159" i="3"/>
  <c r="N159" i="3" s="1"/>
  <c r="K456" i="2"/>
  <c r="L455" i="2"/>
  <c r="N455" i="2" s="1"/>
  <c r="K159" i="2"/>
  <c r="L158" i="2"/>
  <c r="N158" i="2" s="1"/>
  <c r="K784" i="2"/>
  <c r="L783" i="2"/>
  <c r="N783" i="2" s="1"/>
  <c r="K160" i="1"/>
  <c r="L159" i="1"/>
  <c r="N159" i="1" s="1"/>
  <c r="J166" i="5" l="1"/>
  <c r="K165" i="5"/>
  <c r="M165" i="5" s="1"/>
  <c r="K1227" i="5"/>
  <c r="M1227" i="5" s="1"/>
  <c r="L894" i="4"/>
  <c r="N894" i="4" s="1"/>
  <c r="K160" i="4"/>
  <c r="L159" i="4"/>
  <c r="N159" i="4" s="1"/>
  <c r="K161" i="3"/>
  <c r="L160" i="3"/>
  <c r="N160" i="3" s="1"/>
  <c r="K160" i="2"/>
  <c r="L159" i="2"/>
  <c r="N159" i="2" s="1"/>
  <c r="K785" i="2"/>
  <c r="L784" i="2"/>
  <c r="N784" i="2" s="1"/>
  <c r="K457" i="2"/>
  <c r="L456" i="2"/>
  <c r="N456" i="2" s="1"/>
  <c r="L160" i="1"/>
  <c r="N160" i="1" s="1"/>
  <c r="K161" i="1"/>
  <c r="K1228" i="5" l="1"/>
  <c r="M1228" i="5" s="1"/>
  <c r="J167" i="5"/>
  <c r="K166" i="5"/>
  <c r="M166" i="5" s="1"/>
  <c r="L895" i="4"/>
  <c r="N895" i="4" s="1"/>
  <c r="L160" i="4"/>
  <c r="N160" i="4" s="1"/>
  <c r="K161" i="4"/>
  <c r="K162" i="3"/>
  <c r="L161" i="3"/>
  <c r="N161" i="3" s="1"/>
  <c r="K786" i="2"/>
  <c r="L785" i="2"/>
  <c r="N785" i="2" s="1"/>
  <c r="K458" i="2"/>
  <c r="L457" i="2"/>
  <c r="N457" i="2" s="1"/>
  <c r="K161" i="2"/>
  <c r="L160" i="2"/>
  <c r="N160" i="2" s="1"/>
  <c r="K162" i="1"/>
  <c r="L161" i="1"/>
  <c r="N161" i="1" s="1"/>
  <c r="J168" i="5" l="1"/>
  <c r="K167" i="5"/>
  <c r="M167" i="5" s="1"/>
  <c r="K1229" i="5"/>
  <c r="M1229" i="5" s="1"/>
  <c r="L896" i="4"/>
  <c r="N896" i="4" s="1"/>
  <c r="K162" i="4"/>
  <c r="L161" i="4"/>
  <c r="N161" i="4" s="1"/>
  <c r="K163" i="3"/>
  <c r="L162" i="3"/>
  <c r="N162" i="3" s="1"/>
  <c r="K459" i="2"/>
  <c r="L458" i="2"/>
  <c r="N458" i="2" s="1"/>
  <c r="K162" i="2"/>
  <c r="L161" i="2"/>
  <c r="N161" i="2" s="1"/>
  <c r="K787" i="2"/>
  <c r="L786" i="2"/>
  <c r="N786" i="2" s="1"/>
  <c r="K163" i="1"/>
  <c r="L162" i="1"/>
  <c r="N162" i="1" s="1"/>
  <c r="K1230" i="5" l="1"/>
  <c r="M1230" i="5" s="1"/>
  <c r="J169" i="5"/>
  <c r="K168" i="5"/>
  <c r="M168" i="5" s="1"/>
  <c r="L897" i="4"/>
  <c r="N897" i="4" s="1"/>
  <c r="K163" i="4"/>
  <c r="L162" i="4"/>
  <c r="N162" i="4" s="1"/>
  <c r="K164" i="3"/>
  <c r="L163" i="3"/>
  <c r="N163" i="3" s="1"/>
  <c r="K163" i="2"/>
  <c r="L162" i="2"/>
  <c r="N162" i="2" s="1"/>
  <c r="K788" i="2"/>
  <c r="L787" i="2"/>
  <c r="N787" i="2" s="1"/>
  <c r="K460" i="2"/>
  <c r="L459" i="2"/>
  <c r="N459" i="2" s="1"/>
  <c r="K164" i="1"/>
  <c r="L163" i="1"/>
  <c r="N163" i="1" s="1"/>
  <c r="J170" i="5" l="1"/>
  <c r="K169" i="5"/>
  <c r="M169" i="5" s="1"/>
  <c r="K1231" i="5"/>
  <c r="M1231" i="5" s="1"/>
  <c r="L898" i="4"/>
  <c r="N898" i="4" s="1"/>
  <c r="K164" i="4"/>
  <c r="L163" i="4"/>
  <c r="N163" i="4" s="1"/>
  <c r="K165" i="3"/>
  <c r="L164" i="3"/>
  <c r="N164" i="3" s="1"/>
  <c r="K789" i="2"/>
  <c r="L788" i="2"/>
  <c r="N788" i="2" s="1"/>
  <c r="K461" i="2"/>
  <c r="L460" i="2"/>
  <c r="N460" i="2" s="1"/>
  <c r="K164" i="2"/>
  <c r="L163" i="2"/>
  <c r="N163" i="2" s="1"/>
  <c r="K165" i="1"/>
  <c r="L164" i="1"/>
  <c r="N164" i="1" s="1"/>
  <c r="K1232" i="5" l="1"/>
  <c r="M1232" i="5" s="1"/>
  <c r="J171" i="5"/>
  <c r="K170" i="5"/>
  <c r="M170" i="5" s="1"/>
  <c r="L899" i="4"/>
  <c r="N899" i="4" s="1"/>
  <c r="L164" i="4"/>
  <c r="N164" i="4" s="1"/>
  <c r="K165" i="4"/>
  <c r="L165" i="3"/>
  <c r="N165" i="3" s="1"/>
  <c r="K166" i="3"/>
  <c r="K462" i="2"/>
  <c r="L461" i="2"/>
  <c r="N461" i="2" s="1"/>
  <c r="K165" i="2"/>
  <c r="L164" i="2"/>
  <c r="N164" i="2" s="1"/>
  <c r="K790" i="2"/>
  <c r="L789" i="2"/>
  <c r="N789" i="2" s="1"/>
  <c r="L165" i="1"/>
  <c r="N165" i="1" s="1"/>
  <c r="K166" i="1"/>
  <c r="J172" i="5" l="1"/>
  <c r="K171" i="5"/>
  <c r="M171" i="5" s="1"/>
  <c r="K1233" i="5"/>
  <c r="M1233" i="5" s="1"/>
  <c r="L900" i="4"/>
  <c r="N900" i="4" s="1"/>
  <c r="K166" i="4"/>
  <c r="L165" i="4"/>
  <c r="N165" i="4" s="1"/>
  <c r="K167" i="3"/>
  <c r="L166" i="3"/>
  <c r="N166" i="3" s="1"/>
  <c r="K166" i="2"/>
  <c r="L165" i="2"/>
  <c r="N165" i="2" s="1"/>
  <c r="K791" i="2"/>
  <c r="L790" i="2"/>
  <c r="N790" i="2" s="1"/>
  <c r="K463" i="2"/>
  <c r="L462" i="2"/>
  <c r="N462" i="2" s="1"/>
  <c r="K167" i="1"/>
  <c r="L166" i="1"/>
  <c r="N166" i="1" s="1"/>
  <c r="K1234" i="5" l="1"/>
  <c r="M1234" i="5" s="1"/>
  <c r="J173" i="5"/>
  <c r="K172" i="5"/>
  <c r="M172" i="5" s="1"/>
  <c r="L901" i="4"/>
  <c r="N901" i="4" s="1"/>
  <c r="K167" i="4"/>
  <c r="L166" i="4"/>
  <c r="N166" i="4" s="1"/>
  <c r="K168" i="3"/>
  <c r="L167" i="3"/>
  <c r="N167" i="3" s="1"/>
  <c r="K792" i="2"/>
  <c r="L791" i="2"/>
  <c r="N791" i="2" s="1"/>
  <c r="L463" i="2"/>
  <c r="N463" i="2" s="1"/>
  <c r="K464" i="2"/>
  <c r="K167" i="2"/>
  <c r="L166" i="2"/>
  <c r="N166" i="2" s="1"/>
  <c r="K168" i="1"/>
  <c r="L167" i="1"/>
  <c r="N167" i="1" s="1"/>
  <c r="J174" i="5" l="1"/>
  <c r="K173" i="5"/>
  <c r="M173" i="5" s="1"/>
  <c r="K1235" i="5"/>
  <c r="M1235" i="5" s="1"/>
  <c r="L902" i="4"/>
  <c r="N902" i="4" s="1"/>
  <c r="K168" i="4"/>
  <c r="L167" i="4"/>
  <c r="N167" i="4" s="1"/>
  <c r="K169" i="3"/>
  <c r="L168" i="3"/>
  <c r="N168" i="3" s="1"/>
  <c r="L464" i="2"/>
  <c r="N464" i="2" s="1"/>
  <c r="K465" i="2"/>
  <c r="K168" i="2"/>
  <c r="L167" i="2"/>
  <c r="N167" i="2" s="1"/>
  <c r="K793" i="2"/>
  <c r="L792" i="2"/>
  <c r="N792" i="2" s="1"/>
  <c r="L168" i="1"/>
  <c r="N168" i="1" s="1"/>
  <c r="K169" i="1"/>
  <c r="K1236" i="5" l="1"/>
  <c r="M1236" i="5" s="1"/>
  <c r="J175" i="5"/>
  <c r="K174" i="5"/>
  <c r="M174" i="5" s="1"/>
  <c r="L903" i="4"/>
  <c r="N903" i="4" s="1"/>
  <c r="L168" i="4"/>
  <c r="N168" i="4" s="1"/>
  <c r="K169" i="4"/>
  <c r="K170" i="3"/>
  <c r="L169" i="3"/>
  <c r="N169" i="3" s="1"/>
  <c r="K169" i="2"/>
  <c r="L168" i="2"/>
  <c r="N168" i="2" s="1"/>
  <c r="L465" i="2"/>
  <c r="N465" i="2" s="1"/>
  <c r="K466" i="2"/>
  <c r="K794" i="2"/>
  <c r="L793" i="2"/>
  <c r="N793" i="2" s="1"/>
  <c r="K170" i="1"/>
  <c r="L169" i="1"/>
  <c r="N169" i="1" s="1"/>
  <c r="J176" i="5" l="1"/>
  <c r="K175" i="5"/>
  <c r="M175" i="5" s="1"/>
  <c r="K1237" i="5"/>
  <c r="M1237" i="5" s="1"/>
  <c r="L904" i="4"/>
  <c r="N904" i="4" s="1"/>
  <c r="K170" i="4"/>
  <c r="L169" i="4"/>
  <c r="N169" i="4" s="1"/>
  <c r="K171" i="3"/>
  <c r="L170" i="3"/>
  <c r="N170" i="3" s="1"/>
  <c r="K467" i="2"/>
  <c r="L466" i="2"/>
  <c r="N466" i="2" s="1"/>
  <c r="K795" i="2"/>
  <c r="L794" i="2"/>
  <c r="N794" i="2" s="1"/>
  <c r="K170" i="2"/>
  <c r="L169" i="2"/>
  <c r="N169" i="2" s="1"/>
  <c r="K171" i="1"/>
  <c r="L170" i="1"/>
  <c r="N170" i="1" s="1"/>
  <c r="K1238" i="5" l="1"/>
  <c r="M1238" i="5" s="1"/>
  <c r="J177" i="5"/>
  <c r="K176" i="5"/>
  <c r="M176" i="5" s="1"/>
  <c r="L905" i="4"/>
  <c r="N905" i="4" s="1"/>
  <c r="K171" i="4"/>
  <c r="L170" i="4"/>
  <c r="N170" i="4" s="1"/>
  <c r="K172" i="3"/>
  <c r="L171" i="3"/>
  <c r="N171" i="3" s="1"/>
  <c r="K796" i="2"/>
  <c r="L795" i="2"/>
  <c r="N795" i="2" s="1"/>
  <c r="K171" i="2"/>
  <c r="L170" i="2"/>
  <c r="N170" i="2" s="1"/>
  <c r="K468" i="2"/>
  <c r="L467" i="2"/>
  <c r="N467" i="2" s="1"/>
  <c r="K172" i="1"/>
  <c r="L171" i="1"/>
  <c r="N171" i="1" s="1"/>
  <c r="J178" i="5" l="1"/>
  <c r="K177" i="5"/>
  <c r="M177" i="5" s="1"/>
  <c r="K1239" i="5"/>
  <c r="M1239" i="5" s="1"/>
  <c r="L906" i="4"/>
  <c r="N906" i="4" s="1"/>
  <c r="K172" i="4"/>
  <c r="L171" i="4"/>
  <c r="N171" i="4" s="1"/>
  <c r="K173" i="3"/>
  <c r="L172" i="3"/>
  <c r="N172" i="3" s="1"/>
  <c r="K172" i="2"/>
  <c r="L171" i="2"/>
  <c r="N171" i="2" s="1"/>
  <c r="L468" i="2"/>
  <c r="N468" i="2" s="1"/>
  <c r="K469" i="2"/>
  <c r="K797" i="2"/>
  <c r="L796" i="2"/>
  <c r="N796" i="2" s="1"/>
  <c r="K173" i="1"/>
  <c r="L172" i="1"/>
  <c r="N172" i="1" s="1"/>
  <c r="K1240" i="5" l="1"/>
  <c r="M1240" i="5" s="1"/>
  <c r="J179" i="5"/>
  <c r="K178" i="5"/>
  <c r="M178" i="5" s="1"/>
  <c r="L907" i="4"/>
  <c r="N907" i="4" s="1"/>
  <c r="L172" i="4"/>
  <c r="N172" i="4" s="1"/>
  <c r="K173" i="4"/>
  <c r="L173" i="3"/>
  <c r="N173" i="3" s="1"/>
  <c r="K174" i="3"/>
  <c r="K470" i="2"/>
  <c r="L469" i="2"/>
  <c r="N469" i="2" s="1"/>
  <c r="K798" i="2"/>
  <c r="L797" i="2"/>
  <c r="N797" i="2" s="1"/>
  <c r="K173" i="2"/>
  <c r="L172" i="2"/>
  <c r="N172" i="2" s="1"/>
  <c r="L173" i="1"/>
  <c r="N173" i="1" s="1"/>
  <c r="K174" i="1"/>
  <c r="J180" i="5" l="1"/>
  <c r="K179" i="5"/>
  <c r="M179" i="5" s="1"/>
  <c r="K1241" i="5"/>
  <c r="M1241" i="5" s="1"/>
  <c r="L908" i="4"/>
  <c r="N908" i="4" s="1"/>
  <c r="K174" i="4"/>
  <c r="L173" i="4"/>
  <c r="N173" i="4" s="1"/>
  <c r="K175" i="3"/>
  <c r="L174" i="3"/>
  <c r="N174" i="3" s="1"/>
  <c r="K799" i="2"/>
  <c r="L798" i="2"/>
  <c r="N798" i="2" s="1"/>
  <c r="K174" i="2"/>
  <c r="L173" i="2"/>
  <c r="N173" i="2" s="1"/>
  <c r="K471" i="2"/>
  <c r="L470" i="2"/>
  <c r="N470" i="2" s="1"/>
  <c r="K175" i="1"/>
  <c r="L174" i="1"/>
  <c r="N174" i="1" s="1"/>
  <c r="K1242" i="5" l="1"/>
  <c r="M1242" i="5" s="1"/>
  <c r="K180" i="5"/>
  <c r="M180" i="5" s="1"/>
  <c r="L909" i="4"/>
  <c r="N909" i="4" s="1"/>
  <c r="K175" i="4"/>
  <c r="L174" i="4"/>
  <c r="N174" i="4" s="1"/>
  <c r="K176" i="3"/>
  <c r="L175" i="3"/>
  <c r="N175" i="3" s="1"/>
  <c r="K175" i="2"/>
  <c r="L174" i="2"/>
  <c r="N174" i="2" s="1"/>
  <c r="K472" i="2"/>
  <c r="L471" i="2"/>
  <c r="N471" i="2" s="1"/>
  <c r="K800" i="2"/>
  <c r="L799" i="2"/>
  <c r="N799" i="2" s="1"/>
  <c r="K176" i="1"/>
  <c r="L175" i="1"/>
  <c r="N175" i="1" s="1"/>
  <c r="K182" i="5" l="1"/>
  <c r="M182" i="5" s="1"/>
  <c r="K1243" i="5"/>
  <c r="M1243" i="5" s="1"/>
  <c r="L910" i="4"/>
  <c r="N910" i="4" s="1"/>
  <c r="K176" i="4"/>
  <c r="L175" i="4"/>
  <c r="N175" i="4" s="1"/>
  <c r="K177" i="3"/>
  <c r="L176" i="3"/>
  <c r="N176" i="3" s="1"/>
  <c r="K473" i="2"/>
  <c r="L472" i="2"/>
  <c r="N472" i="2" s="1"/>
  <c r="K801" i="2"/>
  <c r="L800" i="2"/>
  <c r="N800" i="2" s="1"/>
  <c r="K176" i="2"/>
  <c r="L175" i="2"/>
  <c r="N175" i="2" s="1"/>
  <c r="L176" i="1"/>
  <c r="N176" i="1" s="1"/>
  <c r="K177" i="1"/>
  <c r="K1244" i="5" l="1"/>
  <c r="M1244" i="5" s="1"/>
  <c r="K183" i="5"/>
  <c r="M183" i="5" s="1"/>
  <c r="L911" i="4"/>
  <c r="N911" i="4" s="1"/>
  <c r="L176" i="4"/>
  <c r="N176" i="4" s="1"/>
  <c r="K177" i="4"/>
  <c r="L177" i="3"/>
  <c r="N177" i="3" s="1"/>
  <c r="K178" i="3"/>
  <c r="K802" i="2"/>
  <c r="L801" i="2"/>
  <c r="N801" i="2" s="1"/>
  <c r="K177" i="2"/>
  <c r="L176" i="2"/>
  <c r="N176" i="2" s="1"/>
  <c r="K474" i="2"/>
  <c r="L473" i="2"/>
  <c r="N473" i="2" s="1"/>
  <c r="K178" i="1"/>
  <c r="L177" i="1"/>
  <c r="N177" i="1" s="1"/>
  <c r="K184" i="5" l="1"/>
  <c r="M184" i="5" s="1"/>
  <c r="K1245" i="5"/>
  <c r="M1245" i="5" s="1"/>
  <c r="L912" i="4"/>
  <c r="N912" i="4" s="1"/>
  <c r="K178" i="4"/>
  <c r="L177" i="4"/>
  <c r="N177" i="4" s="1"/>
  <c r="K179" i="3"/>
  <c r="L178" i="3"/>
  <c r="N178" i="3" s="1"/>
  <c r="K178" i="2"/>
  <c r="L177" i="2"/>
  <c r="N177" i="2" s="1"/>
  <c r="K475" i="2"/>
  <c r="L474" i="2"/>
  <c r="N474" i="2" s="1"/>
  <c r="K803" i="2"/>
  <c r="L802" i="2"/>
  <c r="N802" i="2" s="1"/>
  <c r="K179" i="1"/>
  <c r="L178" i="1"/>
  <c r="N178" i="1" s="1"/>
  <c r="K1246" i="5" l="1"/>
  <c r="M1246" i="5" s="1"/>
  <c r="K185" i="5"/>
  <c r="M185" i="5" s="1"/>
  <c r="L913" i="4"/>
  <c r="N913" i="4" s="1"/>
  <c r="K179" i="4"/>
  <c r="L178" i="4"/>
  <c r="N178" i="4" s="1"/>
  <c r="K180" i="3"/>
  <c r="L179" i="3"/>
  <c r="N179" i="3" s="1"/>
  <c r="L475" i="2"/>
  <c r="N475" i="2" s="1"/>
  <c r="K476" i="2"/>
  <c r="K804" i="2"/>
  <c r="L803" i="2"/>
  <c r="N803" i="2" s="1"/>
  <c r="K179" i="2"/>
  <c r="L178" i="2"/>
  <c r="N178" i="2" s="1"/>
  <c r="K180" i="1"/>
  <c r="L179" i="1"/>
  <c r="N179" i="1" s="1"/>
  <c r="K186" i="5" l="1"/>
  <c r="M186" i="5" s="1"/>
  <c r="K1247" i="5"/>
  <c r="M1247" i="5" s="1"/>
  <c r="L914" i="4"/>
  <c r="N914" i="4" s="1"/>
  <c r="K180" i="4"/>
  <c r="L179" i="4"/>
  <c r="N179" i="4" s="1"/>
  <c r="K181" i="3"/>
  <c r="L180" i="3"/>
  <c r="N180" i="3" s="1"/>
  <c r="K805" i="2"/>
  <c r="L804" i="2"/>
  <c r="N804" i="2" s="1"/>
  <c r="K477" i="2"/>
  <c r="L476" i="2"/>
  <c r="N476" i="2" s="1"/>
  <c r="K180" i="2"/>
  <c r="L179" i="2"/>
  <c r="N179" i="2" s="1"/>
  <c r="K181" i="1"/>
  <c r="L180" i="1"/>
  <c r="N180" i="1" s="1"/>
  <c r="K1248" i="5" l="1"/>
  <c r="M1248" i="5" s="1"/>
  <c r="K187" i="5"/>
  <c r="M187" i="5" s="1"/>
  <c r="L915" i="4"/>
  <c r="N915" i="4" s="1"/>
  <c r="L180" i="4"/>
  <c r="N180" i="4" s="1"/>
  <c r="K181" i="4"/>
  <c r="L181" i="3"/>
  <c r="N181" i="3" s="1"/>
  <c r="K182" i="3"/>
  <c r="K478" i="2"/>
  <c r="L477" i="2"/>
  <c r="N477" i="2" s="1"/>
  <c r="K181" i="2"/>
  <c r="L180" i="2"/>
  <c r="N180" i="2" s="1"/>
  <c r="K806" i="2"/>
  <c r="L805" i="2"/>
  <c r="N805" i="2" s="1"/>
  <c r="L181" i="1"/>
  <c r="N181" i="1" s="1"/>
  <c r="K182" i="1"/>
  <c r="K188" i="5" l="1"/>
  <c r="M188" i="5" s="1"/>
  <c r="K1249" i="5"/>
  <c r="M1249" i="5" s="1"/>
  <c r="L916" i="4"/>
  <c r="N916" i="4" s="1"/>
  <c r="K182" i="4"/>
  <c r="L181" i="4"/>
  <c r="N181" i="4" s="1"/>
  <c r="K183" i="3"/>
  <c r="L182" i="3"/>
  <c r="N182" i="3" s="1"/>
  <c r="L181" i="2"/>
  <c r="N181" i="2" s="1"/>
  <c r="K182" i="2"/>
  <c r="K807" i="2"/>
  <c r="L806" i="2"/>
  <c r="N806" i="2" s="1"/>
  <c r="K479" i="2"/>
  <c r="L478" i="2"/>
  <c r="N478" i="2" s="1"/>
  <c r="K183" i="1"/>
  <c r="L182" i="1"/>
  <c r="N182" i="1" s="1"/>
  <c r="K1250" i="5" l="1"/>
  <c r="M1250" i="5" s="1"/>
  <c r="K189" i="5"/>
  <c r="M189" i="5" s="1"/>
  <c r="L917" i="4"/>
  <c r="N917" i="4" s="1"/>
  <c r="K183" i="4"/>
  <c r="L182" i="4"/>
  <c r="N182" i="4" s="1"/>
  <c r="K184" i="3"/>
  <c r="L183" i="3"/>
  <c r="N183" i="3" s="1"/>
  <c r="K808" i="2"/>
  <c r="L807" i="2"/>
  <c r="N807" i="2" s="1"/>
  <c r="L182" i="2"/>
  <c r="N182" i="2" s="1"/>
  <c r="K183" i="2"/>
  <c r="K480" i="2"/>
  <c r="L479" i="2"/>
  <c r="N479" i="2" s="1"/>
  <c r="K184" i="1"/>
  <c r="L183" i="1"/>
  <c r="N183" i="1" s="1"/>
  <c r="K190" i="5" l="1"/>
  <c r="M190" i="5" s="1"/>
  <c r="K1251" i="5"/>
  <c r="M1251" i="5" s="1"/>
  <c r="L918" i="4"/>
  <c r="N918" i="4" s="1"/>
  <c r="K184" i="4"/>
  <c r="L183" i="4"/>
  <c r="N183" i="4" s="1"/>
  <c r="K185" i="3"/>
  <c r="L184" i="3"/>
  <c r="N184" i="3" s="1"/>
  <c r="L183" i="2"/>
  <c r="N183" i="2" s="1"/>
  <c r="K184" i="2"/>
  <c r="L480" i="2"/>
  <c r="N480" i="2" s="1"/>
  <c r="K481" i="2"/>
  <c r="K809" i="2"/>
  <c r="L808" i="2"/>
  <c r="N808" i="2" s="1"/>
  <c r="L184" i="1"/>
  <c r="N184" i="1" s="1"/>
  <c r="K185" i="1"/>
  <c r="K1252" i="5" l="1"/>
  <c r="M1252" i="5" s="1"/>
  <c r="K191" i="5"/>
  <c r="M191" i="5" s="1"/>
  <c r="L919" i="4"/>
  <c r="N919" i="4" s="1"/>
  <c r="L184" i="4"/>
  <c r="N184" i="4" s="1"/>
  <c r="K185" i="4"/>
  <c r="L185" i="3"/>
  <c r="N185" i="3" s="1"/>
  <c r="K186" i="3"/>
  <c r="K185" i="2"/>
  <c r="L184" i="2"/>
  <c r="N184" i="2" s="1"/>
  <c r="K482" i="2"/>
  <c r="L481" i="2"/>
  <c r="N481" i="2" s="1"/>
  <c r="K810" i="2"/>
  <c r="L809" i="2"/>
  <c r="N809" i="2" s="1"/>
  <c r="K186" i="1"/>
  <c r="L185" i="1"/>
  <c r="N185" i="1" s="1"/>
  <c r="K192" i="5" l="1"/>
  <c r="M192" i="5" s="1"/>
  <c r="K1253" i="5"/>
  <c r="M1253" i="5" s="1"/>
  <c r="L920" i="4"/>
  <c r="N920" i="4" s="1"/>
  <c r="K186" i="4"/>
  <c r="L185" i="4"/>
  <c r="N185" i="4" s="1"/>
  <c r="K187" i="3"/>
  <c r="L186" i="3"/>
  <c r="N186" i="3" s="1"/>
  <c r="K483" i="2"/>
  <c r="L482" i="2"/>
  <c r="N482" i="2" s="1"/>
  <c r="K811" i="2"/>
  <c r="L810" i="2"/>
  <c r="N810" i="2" s="1"/>
  <c r="L185" i="2"/>
  <c r="N185" i="2" s="1"/>
  <c r="K186" i="2"/>
  <c r="K187" i="1"/>
  <c r="L186" i="1"/>
  <c r="N186" i="1" s="1"/>
  <c r="K1254" i="5" l="1"/>
  <c r="M1254" i="5" s="1"/>
  <c r="K193" i="5"/>
  <c r="M193" i="5" s="1"/>
  <c r="L921" i="4"/>
  <c r="N921" i="4" s="1"/>
  <c r="K187" i="4"/>
  <c r="L186" i="4"/>
  <c r="N186" i="4" s="1"/>
  <c r="K188" i="3"/>
  <c r="L187" i="3"/>
  <c r="N187" i="3" s="1"/>
  <c r="K812" i="2"/>
  <c r="L811" i="2"/>
  <c r="N811" i="2" s="1"/>
  <c r="L186" i="2"/>
  <c r="N186" i="2" s="1"/>
  <c r="K187" i="2"/>
  <c r="L483" i="2"/>
  <c r="N483" i="2" s="1"/>
  <c r="K484" i="2"/>
  <c r="K188" i="1"/>
  <c r="L187" i="1"/>
  <c r="N187" i="1" s="1"/>
  <c r="K194" i="5" l="1"/>
  <c r="M194" i="5" s="1"/>
  <c r="K1255" i="5"/>
  <c r="M1255" i="5" s="1"/>
  <c r="L922" i="4"/>
  <c r="N922" i="4" s="1"/>
  <c r="K188" i="4"/>
  <c r="L187" i="4"/>
  <c r="N187" i="4" s="1"/>
  <c r="K189" i="3"/>
  <c r="L188" i="3"/>
  <c r="N188" i="3" s="1"/>
  <c r="K485" i="2"/>
  <c r="L484" i="2"/>
  <c r="N484" i="2" s="1"/>
  <c r="L187" i="2"/>
  <c r="N187" i="2" s="1"/>
  <c r="K188" i="2"/>
  <c r="K813" i="2"/>
  <c r="L812" i="2"/>
  <c r="N812" i="2" s="1"/>
  <c r="K189" i="1"/>
  <c r="L188" i="1"/>
  <c r="N188" i="1" s="1"/>
  <c r="K1256" i="5" l="1"/>
  <c r="M1256" i="5" s="1"/>
  <c r="K195" i="5"/>
  <c r="M195" i="5" s="1"/>
  <c r="L924" i="4"/>
  <c r="N924" i="4" s="1"/>
  <c r="L923" i="4"/>
  <c r="N923" i="4" s="1"/>
  <c r="L188" i="4"/>
  <c r="N188" i="4" s="1"/>
  <c r="K189" i="4"/>
  <c r="L189" i="3"/>
  <c r="N189" i="3" s="1"/>
  <c r="K190" i="3"/>
  <c r="K189" i="2"/>
  <c r="L188" i="2"/>
  <c r="N188" i="2" s="1"/>
  <c r="K814" i="2"/>
  <c r="L813" i="2"/>
  <c r="N813" i="2" s="1"/>
  <c r="K486" i="2"/>
  <c r="L485" i="2"/>
  <c r="N485" i="2" s="1"/>
  <c r="L189" i="1"/>
  <c r="N189" i="1" s="1"/>
  <c r="K190" i="1"/>
  <c r="K196" i="5" l="1"/>
  <c r="M196" i="5" s="1"/>
  <c r="K1257" i="5"/>
  <c r="M1257" i="5" s="1"/>
  <c r="K190" i="4"/>
  <c r="L189" i="4"/>
  <c r="N189" i="4" s="1"/>
  <c r="K191" i="3"/>
  <c r="L190" i="3"/>
  <c r="N190" i="3" s="1"/>
  <c r="K815" i="2"/>
  <c r="L814" i="2"/>
  <c r="N814" i="2" s="1"/>
  <c r="K487" i="2"/>
  <c r="L486" i="2"/>
  <c r="N486" i="2" s="1"/>
  <c r="K190" i="2"/>
  <c r="L189" i="2"/>
  <c r="N189" i="2" s="1"/>
  <c r="K191" i="1"/>
  <c r="L190" i="1"/>
  <c r="N190" i="1" s="1"/>
  <c r="K1258" i="5" l="1"/>
  <c r="M1258" i="5" s="1"/>
  <c r="K197" i="5"/>
  <c r="M197" i="5" s="1"/>
  <c r="K191" i="4"/>
  <c r="L190" i="4"/>
  <c r="N190" i="4" s="1"/>
  <c r="K192" i="3"/>
  <c r="L191" i="3"/>
  <c r="N191" i="3" s="1"/>
  <c r="K488" i="2"/>
  <c r="L487" i="2"/>
  <c r="N487" i="2" s="1"/>
  <c r="K191" i="2"/>
  <c r="L190" i="2"/>
  <c r="N190" i="2" s="1"/>
  <c r="K816" i="2"/>
  <c r="L815" i="2"/>
  <c r="N815" i="2" s="1"/>
  <c r="K192" i="1"/>
  <c r="L191" i="1"/>
  <c r="N191" i="1" s="1"/>
  <c r="K198" i="5" l="1"/>
  <c r="M198" i="5" s="1"/>
  <c r="K1259" i="5"/>
  <c r="M1259" i="5" s="1"/>
  <c r="K192" i="4"/>
  <c r="L191" i="4"/>
  <c r="N191" i="4" s="1"/>
  <c r="K193" i="3"/>
  <c r="L192" i="3"/>
  <c r="N192" i="3" s="1"/>
  <c r="K192" i="2"/>
  <c r="L191" i="2"/>
  <c r="N191" i="2" s="1"/>
  <c r="K817" i="2"/>
  <c r="L816" i="2"/>
  <c r="N816" i="2" s="1"/>
  <c r="L488" i="2"/>
  <c r="N488" i="2" s="1"/>
  <c r="K489" i="2"/>
  <c r="L192" i="1"/>
  <c r="N192" i="1" s="1"/>
  <c r="K193" i="1"/>
  <c r="K1260" i="5" l="1"/>
  <c r="M1260" i="5" s="1"/>
  <c r="K199" i="5"/>
  <c r="M199" i="5" s="1"/>
  <c r="L192" i="4"/>
  <c r="N192" i="4" s="1"/>
  <c r="K193" i="4"/>
  <c r="L193" i="3"/>
  <c r="N193" i="3" s="1"/>
  <c r="K194" i="3"/>
  <c r="K818" i="2"/>
  <c r="L817" i="2"/>
  <c r="N817" i="2" s="1"/>
  <c r="K490" i="2"/>
  <c r="L489" i="2"/>
  <c r="N489" i="2" s="1"/>
  <c r="K193" i="2"/>
  <c r="L192" i="2"/>
  <c r="N192" i="2" s="1"/>
  <c r="K194" i="1"/>
  <c r="L193" i="1"/>
  <c r="N193" i="1" s="1"/>
  <c r="K200" i="5" l="1"/>
  <c r="M200" i="5" s="1"/>
  <c r="K1261" i="5"/>
  <c r="M1261" i="5" s="1"/>
  <c r="K194" i="4"/>
  <c r="L193" i="4"/>
  <c r="N193" i="4" s="1"/>
  <c r="K195" i="3"/>
  <c r="L194" i="3"/>
  <c r="N194" i="3" s="1"/>
  <c r="K491" i="2"/>
  <c r="L490" i="2"/>
  <c r="N490" i="2" s="1"/>
  <c r="K194" i="2"/>
  <c r="L193" i="2"/>
  <c r="N193" i="2" s="1"/>
  <c r="K819" i="2"/>
  <c r="L818" i="2"/>
  <c r="N818" i="2" s="1"/>
  <c r="K195" i="1"/>
  <c r="L194" i="1"/>
  <c r="N194" i="1" s="1"/>
  <c r="K1262" i="5" l="1"/>
  <c r="M1262" i="5" s="1"/>
  <c r="K201" i="5"/>
  <c r="M201" i="5" s="1"/>
  <c r="K195" i="4"/>
  <c r="L194" i="4"/>
  <c r="N194" i="4" s="1"/>
  <c r="K196" i="3"/>
  <c r="L195" i="3"/>
  <c r="N195" i="3" s="1"/>
  <c r="K195" i="2"/>
  <c r="L194" i="2"/>
  <c r="N194" i="2" s="1"/>
  <c r="K820" i="2"/>
  <c r="L819" i="2"/>
  <c r="N819" i="2" s="1"/>
  <c r="L491" i="2"/>
  <c r="N491" i="2" s="1"/>
  <c r="K492" i="2"/>
  <c r="K196" i="1"/>
  <c r="L195" i="1"/>
  <c r="N195" i="1" s="1"/>
  <c r="K202" i="5" l="1"/>
  <c r="M202" i="5" s="1"/>
  <c r="K1263" i="5"/>
  <c r="M1263" i="5" s="1"/>
  <c r="K196" i="4"/>
  <c r="L195" i="4"/>
  <c r="N195" i="4" s="1"/>
  <c r="K197" i="3"/>
  <c r="L196" i="3"/>
  <c r="N196" i="3" s="1"/>
  <c r="K821" i="2"/>
  <c r="L820" i="2"/>
  <c r="N820" i="2" s="1"/>
  <c r="K493" i="2"/>
  <c r="L492" i="2"/>
  <c r="N492" i="2" s="1"/>
  <c r="K196" i="2"/>
  <c r="L195" i="2"/>
  <c r="N195" i="2" s="1"/>
  <c r="K197" i="1"/>
  <c r="L196" i="1"/>
  <c r="N196" i="1" s="1"/>
  <c r="K1264" i="5" l="1"/>
  <c r="M1264" i="5" s="1"/>
  <c r="K203" i="5"/>
  <c r="M203" i="5" s="1"/>
  <c r="L196" i="4"/>
  <c r="N196" i="4" s="1"/>
  <c r="K197" i="4"/>
  <c r="L197" i="3"/>
  <c r="N197" i="3" s="1"/>
  <c r="K198" i="3"/>
  <c r="K494" i="2"/>
  <c r="L493" i="2"/>
  <c r="N493" i="2" s="1"/>
  <c r="K197" i="2"/>
  <c r="L196" i="2"/>
  <c r="N196" i="2" s="1"/>
  <c r="K822" i="2"/>
  <c r="L821" i="2"/>
  <c r="N821" i="2" s="1"/>
  <c r="L197" i="1"/>
  <c r="N197" i="1" s="1"/>
  <c r="K198" i="1"/>
  <c r="K204" i="5" l="1"/>
  <c r="M204" i="5" s="1"/>
  <c r="K1265" i="5"/>
  <c r="M1265" i="5" s="1"/>
  <c r="K198" i="4"/>
  <c r="L197" i="4"/>
  <c r="N197" i="4" s="1"/>
  <c r="K199" i="3"/>
  <c r="L198" i="3"/>
  <c r="N198" i="3" s="1"/>
  <c r="L197" i="2"/>
  <c r="N197" i="2" s="1"/>
  <c r="K198" i="2"/>
  <c r="K823" i="2"/>
  <c r="L822" i="2"/>
  <c r="N822" i="2" s="1"/>
  <c r="K495" i="2"/>
  <c r="L494" i="2"/>
  <c r="N494" i="2" s="1"/>
  <c r="K199" i="1"/>
  <c r="L198" i="1"/>
  <c r="N198" i="1" s="1"/>
  <c r="K1266" i="5" l="1"/>
  <c r="M1266" i="5" s="1"/>
  <c r="K205" i="5"/>
  <c r="M205" i="5" s="1"/>
  <c r="K199" i="4"/>
  <c r="L198" i="4"/>
  <c r="N198" i="4" s="1"/>
  <c r="K200" i="3"/>
  <c r="L199" i="3"/>
  <c r="N199" i="3" s="1"/>
  <c r="K824" i="2"/>
  <c r="L823" i="2"/>
  <c r="N823" i="2" s="1"/>
  <c r="L198" i="2"/>
  <c r="N198" i="2" s="1"/>
  <c r="K199" i="2"/>
  <c r="K496" i="2"/>
  <c r="L495" i="2"/>
  <c r="N495" i="2" s="1"/>
  <c r="K200" i="1"/>
  <c r="L199" i="1"/>
  <c r="N199" i="1" s="1"/>
  <c r="K206" i="5" l="1"/>
  <c r="M206" i="5" s="1"/>
  <c r="K1267" i="5"/>
  <c r="M1267" i="5" s="1"/>
  <c r="K200" i="4"/>
  <c r="L199" i="4"/>
  <c r="N199" i="4" s="1"/>
  <c r="K201" i="3"/>
  <c r="L200" i="3"/>
  <c r="N200" i="3" s="1"/>
  <c r="L199" i="2"/>
  <c r="N199" i="2" s="1"/>
  <c r="K200" i="2"/>
  <c r="L496" i="2"/>
  <c r="N496" i="2" s="1"/>
  <c r="K497" i="2"/>
  <c r="K825" i="2"/>
  <c r="L824" i="2"/>
  <c r="N824" i="2" s="1"/>
  <c r="K201" i="1"/>
  <c r="L200" i="1"/>
  <c r="N200" i="1" s="1"/>
  <c r="K1268" i="5" l="1"/>
  <c r="M1268" i="5" s="1"/>
  <c r="K207" i="5"/>
  <c r="M207" i="5" s="1"/>
  <c r="L200" i="4"/>
  <c r="N200" i="4" s="1"/>
  <c r="K201" i="4"/>
  <c r="L201" i="3"/>
  <c r="N201" i="3" s="1"/>
  <c r="K202" i="3"/>
  <c r="K201" i="2"/>
  <c r="L200" i="2"/>
  <c r="N200" i="2" s="1"/>
  <c r="K826" i="2"/>
  <c r="L825" i="2"/>
  <c r="N825" i="2" s="1"/>
  <c r="K498" i="2"/>
  <c r="L497" i="2"/>
  <c r="N497" i="2" s="1"/>
  <c r="L201" i="1"/>
  <c r="N201" i="1" s="1"/>
  <c r="K202" i="1"/>
  <c r="K208" i="5" l="1"/>
  <c r="M208" i="5" s="1"/>
  <c r="K1269" i="5"/>
  <c r="M1269" i="5" s="1"/>
  <c r="K202" i="4"/>
  <c r="L201" i="4"/>
  <c r="N201" i="4" s="1"/>
  <c r="K203" i="3"/>
  <c r="L202" i="3"/>
  <c r="N202" i="3" s="1"/>
  <c r="L826" i="2"/>
  <c r="N826" i="2" s="1"/>
  <c r="K827" i="2"/>
  <c r="K499" i="2"/>
  <c r="L498" i="2"/>
  <c r="N498" i="2" s="1"/>
  <c r="L201" i="2"/>
  <c r="N201" i="2" s="1"/>
  <c r="K202" i="2"/>
  <c r="K203" i="1"/>
  <c r="L202" i="1"/>
  <c r="N202" i="1" s="1"/>
  <c r="K1270" i="5" l="1"/>
  <c r="M1270" i="5" s="1"/>
  <c r="K209" i="5"/>
  <c r="M209" i="5" s="1"/>
  <c r="K203" i="4"/>
  <c r="L202" i="4"/>
  <c r="N202" i="4" s="1"/>
  <c r="K204" i="3"/>
  <c r="L203" i="3"/>
  <c r="N203" i="3" s="1"/>
  <c r="L499" i="2"/>
  <c r="N499" i="2" s="1"/>
  <c r="K500" i="2"/>
  <c r="L202" i="2"/>
  <c r="N202" i="2" s="1"/>
  <c r="K203" i="2"/>
  <c r="L827" i="2"/>
  <c r="N827" i="2" s="1"/>
  <c r="K828" i="2"/>
  <c r="K204" i="1"/>
  <c r="L203" i="1"/>
  <c r="N203" i="1" s="1"/>
  <c r="K210" i="5" l="1"/>
  <c r="M210" i="5" s="1"/>
  <c r="K1271" i="5"/>
  <c r="M1271" i="5" s="1"/>
  <c r="K204" i="4"/>
  <c r="L203" i="4"/>
  <c r="N203" i="4" s="1"/>
  <c r="K205" i="3"/>
  <c r="L204" i="3"/>
  <c r="N204" i="3" s="1"/>
  <c r="L203" i="2"/>
  <c r="N203" i="2" s="1"/>
  <c r="K204" i="2"/>
  <c r="L828" i="2"/>
  <c r="N828" i="2" s="1"/>
  <c r="K829" i="2"/>
  <c r="K501" i="2"/>
  <c r="L500" i="2"/>
  <c r="N500" i="2" s="1"/>
  <c r="L204" i="1"/>
  <c r="N204" i="1" s="1"/>
  <c r="K205" i="1"/>
  <c r="K211" i="5" l="1"/>
  <c r="M211" i="5" s="1"/>
  <c r="K1272" i="5"/>
  <c r="M1272" i="5" s="1"/>
  <c r="L204" i="4"/>
  <c r="N204" i="4" s="1"/>
  <c r="K205" i="4"/>
  <c r="L205" i="3"/>
  <c r="N205" i="3" s="1"/>
  <c r="K206" i="3"/>
  <c r="K205" i="2"/>
  <c r="L204" i="2"/>
  <c r="N204" i="2" s="1"/>
  <c r="K830" i="2"/>
  <c r="L829" i="2"/>
  <c r="N829" i="2" s="1"/>
  <c r="K502" i="2"/>
  <c r="L501" i="2"/>
  <c r="N501" i="2" s="1"/>
  <c r="K206" i="1"/>
  <c r="L205" i="1"/>
  <c r="N205" i="1" s="1"/>
  <c r="K1273" i="5" l="1"/>
  <c r="M1273" i="5" s="1"/>
  <c r="K212" i="5"/>
  <c r="M212" i="5" s="1"/>
  <c r="K206" i="4"/>
  <c r="L205" i="4"/>
  <c r="N205" i="4" s="1"/>
  <c r="K207" i="3"/>
  <c r="L206" i="3"/>
  <c r="N206" i="3" s="1"/>
  <c r="L830" i="2"/>
  <c r="N830" i="2" s="1"/>
  <c r="K831" i="2"/>
  <c r="K503" i="2"/>
  <c r="L502" i="2"/>
  <c r="N502" i="2" s="1"/>
  <c r="K206" i="2"/>
  <c r="L205" i="2"/>
  <c r="N205" i="2" s="1"/>
  <c r="K207" i="1"/>
  <c r="L206" i="1"/>
  <c r="N206" i="1" s="1"/>
  <c r="K213" i="5" l="1"/>
  <c r="M213" i="5" s="1"/>
  <c r="K1274" i="5"/>
  <c r="M1274" i="5" s="1"/>
  <c r="K207" i="4"/>
  <c r="L206" i="4"/>
  <c r="N206" i="4" s="1"/>
  <c r="K208" i="3"/>
  <c r="L207" i="3"/>
  <c r="N207" i="3" s="1"/>
  <c r="K504" i="2"/>
  <c r="L503" i="2"/>
  <c r="N503" i="2" s="1"/>
  <c r="L831" i="2"/>
  <c r="N831" i="2" s="1"/>
  <c r="K832" i="2"/>
  <c r="K207" i="2"/>
  <c r="L206" i="2"/>
  <c r="N206" i="2" s="1"/>
  <c r="K208" i="1"/>
  <c r="L207" i="1"/>
  <c r="N207" i="1" s="1"/>
  <c r="K1275" i="5" l="1"/>
  <c r="M1275" i="5" s="1"/>
  <c r="K214" i="5"/>
  <c r="M214" i="5" s="1"/>
  <c r="K208" i="4"/>
  <c r="L207" i="4"/>
  <c r="N207" i="4" s="1"/>
  <c r="K209" i="3"/>
  <c r="L208" i="3"/>
  <c r="N208" i="3" s="1"/>
  <c r="L832" i="2"/>
  <c r="N832" i="2" s="1"/>
  <c r="K833" i="2"/>
  <c r="K208" i="2"/>
  <c r="L207" i="2"/>
  <c r="N207" i="2" s="1"/>
  <c r="L504" i="2"/>
  <c r="N504" i="2" s="1"/>
  <c r="K505" i="2"/>
  <c r="L208" i="1"/>
  <c r="N208" i="1" s="1"/>
  <c r="K209" i="1"/>
  <c r="K215" i="5" l="1"/>
  <c r="M215" i="5" s="1"/>
  <c r="K1276" i="5"/>
  <c r="M1276" i="5" s="1"/>
  <c r="L208" i="4"/>
  <c r="N208" i="4" s="1"/>
  <c r="K209" i="4"/>
  <c r="L209" i="3"/>
  <c r="N209" i="3" s="1"/>
  <c r="K210" i="3"/>
  <c r="K209" i="2"/>
  <c r="L208" i="2"/>
  <c r="N208" i="2" s="1"/>
  <c r="K506" i="2"/>
  <c r="L505" i="2"/>
  <c r="N505" i="2" s="1"/>
  <c r="K834" i="2"/>
  <c r="L833" i="2"/>
  <c r="N833" i="2" s="1"/>
  <c r="L209" i="1"/>
  <c r="N209" i="1" s="1"/>
  <c r="K210" i="1"/>
  <c r="K1277" i="5" l="1"/>
  <c r="M1277" i="5" s="1"/>
  <c r="K216" i="5"/>
  <c r="M216" i="5" s="1"/>
  <c r="K210" i="4"/>
  <c r="L209" i="4"/>
  <c r="N209" i="4" s="1"/>
  <c r="K211" i="3"/>
  <c r="L210" i="3"/>
  <c r="N210" i="3" s="1"/>
  <c r="K507" i="2"/>
  <c r="L506" i="2"/>
  <c r="N506" i="2" s="1"/>
  <c r="L834" i="2"/>
  <c r="N834" i="2" s="1"/>
  <c r="K835" i="2"/>
  <c r="K210" i="2"/>
  <c r="L209" i="2"/>
  <c r="N209" i="2" s="1"/>
  <c r="K211" i="1"/>
  <c r="L210" i="1"/>
  <c r="N210" i="1" s="1"/>
  <c r="K217" i="5" l="1"/>
  <c r="M217" i="5" s="1"/>
  <c r="K1278" i="5"/>
  <c r="M1278" i="5" s="1"/>
  <c r="K211" i="4"/>
  <c r="L210" i="4"/>
  <c r="N210" i="4" s="1"/>
  <c r="K212" i="3"/>
  <c r="L211" i="3"/>
  <c r="N211" i="3" s="1"/>
  <c r="L835" i="2"/>
  <c r="N835" i="2" s="1"/>
  <c r="K836" i="2"/>
  <c r="K211" i="2"/>
  <c r="L210" i="2"/>
  <c r="N210" i="2" s="1"/>
  <c r="L507" i="2"/>
  <c r="N507" i="2" s="1"/>
  <c r="K508" i="2"/>
  <c r="K212" i="1"/>
  <c r="L211" i="1"/>
  <c r="N211" i="1" s="1"/>
  <c r="K1279" i="5" l="1"/>
  <c r="M1279" i="5" s="1"/>
  <c r="K218" i="5"/>
  <c r="M218" i="5" s="1"/>
  <c r="K212" i="4"/>
  <c r="L211" i="4"/>
  <c r="N211" i="4" s="1"/>
  <c r="K213" i="3"/>
  <c r="L212" i="3"/>
  <c r="N212" i="3" s="1"/>
  <c r="K212" i="2"/>
  <c r="L211" i="2"/>
  <c r="N211" i="2" s="1"/>
  <c r="K509" i="2"/>
  <c r="L508" i="2"/>
  <c r="N508" i="2" s="1"/>
  <c r="L836" i="2"/>
  <c r="N836" i="2" s="1"/>
  <c r="K837" i="2"/>
  <c r="K213" i="1"/>
  <c r="L212" i="1"/>
  <c r="N212" i="1" s="1"/>
  <c r="K219" i="5" l="1"/>
  <c r="M219" i="5" s="1"/>
  <c r="K1280" i="5"/>
  <c r="M1280" i="5" s="1"/>
  <c r="L212" i="4"/>
  <c r="N212" i="4" s="1"/>
  <c r="K213" i="4"/>
  <c r="L213" i="3"/>
  <c r="N213" i="3" s="1"/>
  <c r="K214" i="3"/>
  <c r="K510" i="2"/>
  <c r="L509" i="2"/>
  <c r="N509" i="2" s="1"/>
  <c r="K838" i="2"/>
  <c r="L837" i="2"/>
  <c r="N837" i="2" s="1"/>
  <c r="K213" i="2"/>
  <c r="L212" i="2"/>
  <c r="N212" i="2" s="1"/>
  <c r="K214" i="1"/>
  <c r="L213" i="1"/>
  <c r="N213" i="1" s="1"/>
  <c r="K1281" i="5" l="1"/>
  <c r="M1281" i="5" s="1"/>
  <c r="K220" i="5"/>
  <c r="M220" i="5" s="1"/>
  <c r="K214" i="4"/>
  <c r="L213" i="4"/>
  <c r="N213" i="4" s="1"/>
  <c r="K215" i="3"/>
  <c r="L214" i="3"/>
  <c r="N214" i="3" s="1"/>
  <c r="L838" i="2"/>
  <c r="N838" i="2" s="1"/>
  <c r="K839" i="2"/>
  <c r="L213" i="2"/>
  <c r="N213" i="2" s="1"/>
  <c r="K214" i="2"/>
  <c r="K511" i="2"/>
  <c r="L510" i="2"/>
  <c r="N510" i="2" s="1"/>
  <c r="K215" i="1"/>
  <c r="L214" i="1"/>
  <c r="N214" i="1" s="1"/>
  <c r="K221" i="5" l="1"/>
  <c r="M221" i="5" s="1"/>
  <c r="K1282" i="5"/>
  <c r="M1282" i="5" s="1"/>
  <c r="K215" i="4"/>
  <c r="L214" i="4"/>
  <c r="N214" i="4" s="1"/>
  <c r="K216" i="3"/>
  <c r="L215" i="3"/>
  <c r="N215" i="3" s="1"/>
  <c r="K840" i="2"/>
  <c r="L839" i="2"/>
  <c r="N839" i="2" s="1"/>
  <c r="L214" i="2"/>
  <c r="N214" i="2" s="1"/>
  <c r="K215" i="2"/>
  <c r="K512" i="2"/>
  <c r="L511" i="2"/>
  <c r="N511" i="2" s="1"/>
  <c r="K216" i="1"/>
  <c r="L215" i="1"/>
  <c r="N215" i="1" s="1"/>
  <c r="K1283" i="5" l="1"/>
  <c r="M1283" i="5" s="1"/>
  <c r="K222" i="5"/>
  <c r="M222" i="5" s="1"/>
  <c r="K216" i="4"/>
  <c r="L215" i="4"/>
  <c r="N215" i="4" s="1"/>
  <c r="K217" i="3"/>
  <c r="L216" i="3"/>
  <c r="N216" i="3" s="1"/>
  <c r="L215" i="2"/>
  <c r="N215" i="2" s="1"/>
  <c r="K216" i="2"/>
  <c r="L512" i="2"/>
  <c r="N512" i="2" s="1"/>
  <c r="K513" i="2"/>
  <c r="K841" i="2"/>
  <c r="L840" i="2"/>
  <c r="N840" i="2" s="1"/>
  <c r="L216" i="1"/>
  <c r="N216" i="1" s="1"/>
  <c r="K217" i="1"/>
  <c r="K223" i="5" l="1"/>
  <c r="M223" i="5" s="1"/>
  <c r="K1284" i="5"/>
  <c r="M1284" i="5" s="1"/>
  <c r="L216" i="4"/>
  <c r="N216" i="4" s="1"/>
  <c r="K217" i="4"/>
  <c r="L217" i="3"/>
  <c r="N217" i="3" s="1"/>
  <c r="K218" i="3"/>
  <c r="K217" i="2"/>
  <c r="L216" i="2"/>
  <c r="N216" i="2" s="1"/>
  <c r="L841" i="2"/>
  <c r="N841" i="2" s="1"/>
  <c r="K842" i="2"/>
  <c r="K514" i="2"/>
  <c r="L513" i="2"/>
  <c r="N513" i="2" s="1"/>
  <c r="K218" i="1"/>
  <c r="L217" i="1"/>
  <c r="N217" i="1" s="1"/>
  <c r="K1285" i="5" l="1"/>
  <c r="M1285" i="5" s="1"/>
  <c r="K224" i="5"/>
  <c r="M224" i="5" s="1"/>
  <c r="K218" i="4"/>
  <c r="L217" i="4"/>
  <c r="N217" i="4" s="1"/>
  <c r="K219" i="3"/>
  <c r="L218" i="3"/>
  <c r="N218" i="3" s="1"/>
  <c r="L842" i="2"/>
  <c r="N842" i="2" s="1"/>
  <c r="K843" i="2"/>
  <c r="K515" i="2"/>
  <c r="L514" i="2"/>
  <c r="N514" i="2" s="1"/>
  <c r="L217" i="2"/>
  <c r="N217" i="2" s="1"/>
  <c r="K218" i="2"/>
  <c r="K219" i="1"/>
  <c r="L218" i="1"/>
  <c r="N218" i="1" s="1"/>
  <c r="K225" i="5" l="1"/>
  <c r="M225" i="5" s="1"/>
  <c r="K1286" i="5"/>
  <c r="M1286" i="5" s="1"/>
  <c r="K219" i="4"/>
  <c r="L218" i="4"/>
  <c r="N218" i="4" s="1"/>
  <c r="K220" i="3"/>
  <c r="L219" i="3"/>
  <c r="N219" i="3" s="1"/>
  <c r="L515" i="2"/>
  <c r="N515" i="2" s="1"/>
  <c r="K516" i="2"/>
  <c r="L218" i="2"/>
  <c r="N218" i="2" s="1"/>
  <c r="K219" i="2"/>
  <c r="K844" i="2"/>
  <c r="L843" i="2"/>
  <c r="N843" i="2" s="1"/>
  <c r="K220" i="1"/>
  <c r="L219" i="1"/>
  <c r="N219" i="1" s="1"/>
  <c r="K1287" i="5" l="1"/>
  <c r="M1287" i="5" s="1"/>
  <c r="K226" i="5"/>
  <c r="M226" i="5" s="1"/>
  <c r="K220" i="4"/>
  <c r="L219" i="4"/>
  <c r="N219" i="4" s="1"/>
  <c r="K221" i="3"/>
  <c r="L220" i="3"/>
  <c r="N220" i="3" s="1"/>
  <c r="K517" i="2"/>
  <c r="L516" i="2"/>
  <c r="N516" i="2" s="1"/>
  <c r="K845" i="2"/>
  <c r="L844" i="2"/>
  <c r="N844" i="2" s="1"/>
  <c r="L219" i="2"/>
  <c r="N219" i="2" s="1"/>
  <c r="K220" i="2"/>
  <c r="K221" i="1"/>
  <c r="L220" i="1"/>
  <c r="N220" i="1" s="1"/>
  <c r="K227" i="5" l="1"/>
  <c r="M227" i="5" s="1"/>
  <c r="K1288" i="5"/>
  <c r="M1288" i="5" s="1"/>
  <c r="L220" i="4"/>
  <c r="N220" i="4" s="1"/>
  <c r="K221" i="4"/>
  <c r="L221" i="3"/>
  <c r="N221" i="3" s="1"/>
  <c r="K222" i="3"/>
  <c r="L845" i="2"/>
  <c r="N845" i="2" s="1"/>
  <c r="K846" i="2"/>
  <c r="K221" i="2"/>
  <c r="L220" i="2"/>
  <c r="N220" i="2" s="1"/>
  <c r="K518" i="2"/>
  <c r="L517" i="2"/>
  <c r="N517" i="2" s="1"/>
  <c r="L221" i="1"/>
  <c r="N221" i="1" s="1"/>
  <c r="K222" i="1"/>
  <c r="K1289" i="5" l="1"/>
  <c r="M1289" i="5" s="1"/>
  <c r="K228" i="5"/>
  <c r="M228" i="5" s="1"/>
  <c r="K222" i="4"/>
  <c r="L221" i="4"/>
  <c r="N221" i="4" s="1"/>
  <c r="K223" i="3"/>
  <c r="L222" i="3"/>
  <c r="N222" i="3" s="1"/>
  <c r="K222" i="2"/>
  <c r="L221" i="2"/>
  <c r="N221" i="2" s="1"/>
  <c r="L846" i="2"/>
  <c r="N846" i="2" s="1"/>
  <c r="K847" i="2"/>
  <c r="K519" i="2"/>
  <c r="L518" i="2"/>
  <c r="N518" i="2" s="1"/>
  <c r="K223" i="1"/>
  <c r="L222" i="1"/>
  <c r="N222" i="1" s="1"/>
  <c r="K229" i="5" l="1"/>
  <c r="M229" i="5" s="1"/>
  <c r="K1290" i="5"/>
  <c r="M1290" i="5" s="1"/>
  <c r="K223" i="4"/>
  <c r="L222" i="4"/>
  <c r="N222" i="4" s="1"/>
  <c r="K224" i="3"/>
  <c r="L223" i="3"/>
  <c r="N223" i="3" s="1"/>
  <c r="K848" i="2"/>
  <c r="L847" i="2"/>
  <c r="N847" i="2" s="1"/>
  <c r="K520" i="2"/>
  <c r="L519" i="2"/>
  <c r="N519" i="2" s="1"/>
  <c r="K223" i="2"/>
  <c r="L222" i="2"/>
  <c r="N222" i="2" s="1"/>
  <c r="K224" i="1"/>
  <c r="L223" i="1"/>
  <c r="N223" i="1" s="1"/>
  <c r="K1291" i="5" l="1"/>
  <c r="M1291" i="5" s="1"/>
  <c r="K230" i="5"/>
  <c r="M230" i="5" s="1"/>
  <c r="K224" i="4"/>
  <c r="L223" i="4"/>
  <c r="N223" i="4" s="1"/>
  <c r="K225" i="3"/>
  <c r="L224" i="3"/>
  <c r="N224" i="3" s="1"/>
  <c r="L520" i="2"/>
  <c r="N520" i="2" s="1"/>
  <c r="K521" i="2"/>
  <c r="K224" i="2"/>
  <c r="L223" i="2"/>
  <c r="N223" i="2" s="1"/>
  <c r="K849" i="2"/>
  <c r="L848" i="2"/>
  <c r="N848" i="2" s="1"/>
  <c r="K225" i="1"/>
  <c r="L224" i="1"/>
  <c r="N224" i="1" s="1"/>
  <c r="K231" i="5" l="1"/>
  <c r="M231" i="5" s="1"/>
  <c r="K1292" i="5"/>
  <c r="M1292" i="5" s="1"/>
  <c r="L224" i="4"/>
  <c r="N224" i="4" s="1"/>
  <c r="K225" i="4"/>
  <c r="L225" i="3"/>
  <c r="N225" i="3" s="1"/>
  <c r="K226" i="3"/>
  <c r="K225" i="2"/>
  <c r="L224" i="2"/>
  <c r="N224" i="2" s="1"/>
  <c r="K522" i="2"/>
  <c r="L521" i="2"/>
  <c r="N521" i="2" s="1"/>
  <c r="L849" i="2"/>
  <c r="N849" i="2" s="1"/>
  <c r="K850" i="2"/>
  <c r="K226" i="1"/>
  <c r="L225" i="1"/>
  <c r="N225" i="1" s="1"/>
  <c r="K1293" i="5" l="1"/>
  <c r="M1293" i="5" s="1"/>
  <c r="K232" i="5"/>
  <c r="M232" i="5" s="1"/>
  <c r="K226" i="4"/>
  <c r="L225" i="4"/>
  <c r="N225" i="4" s="1"/>
  <c r="K227" i="3"/>
  <c r="L226" i="3"/>
  <c r="N226" i="3" s="1"/>
  <c r="K523" i="2"/>
  <c r="L522" i="2"/>
  <c r="N522" i="2" s="1"/>
  <c r="L850" i="2"/>
  <c r="N850" i="2" s="1"/>
  <c r="K851" i="2"/>
  <c r="K226" i="2"/>
  <c r="L225" i="2"/>
  <c r="N225" i="2" s="1"/>
  <c r="K227" i="1"/>
  <c r="L226" i="1"/>
  <c r="N226" i="1" s="1"/>
  <c r="K233" i="5" l="1"/>
  <c r="M233" i="5" s="1"/>
  <c r="K1294" i="5"/>
  <c r="M1294" i="5" s="1"/>
  <c r="K227" i="4"/>
  <c r="L226" i="4"/>
  <c r="N226" i="4" s="1"/>
  <c r="K228" i="3"/>
  <c r="L227" i="3"/>
  <c r="N227" i="3" s="1"/>
  <c r="K852" i="2"/>
  <c r="L851" i="2"/>
  <c r="N851" i="2" s="1"/>
  <c r="K227" i="2"/>
  <c r="L226" i="2"/>
  <c r="N226" i="2" s="1"/>
  <c r="L523" i="2"/>
  <c r="N523" i="2" s="1"/>
  <c r="K524" i="2"/>
  <c r="K228" i="1"/>
  <c r="L227" i="1"/>
  <c r="N227" i="1" s="1"/>
  <c r="K1295" i="5" l="1"/>
  <c r="M1295" i="5" s="1"/>
  <c r="K234" i="5"/>
  <c r="M234" i="5" s="1"/>
  <c r="K228" i="4"/>
  <c r="L227" i="4"/>
  <c r="N227" i="4" s="1"/>
  <c r="K229" i="3"/>
  <c r="L228" i="3"/>
  <c r="N228" i="3" s="1"/>
  <c r="K228" i="2"/>
  <c r="L227" i="2"/>
  <c r="N227" i="2" s="1"/>
  <c r="K525" i="2"/>
  <c r="L524" i="2"/>
  <c r="N524" i="2" s="1"/>
  <c r="K853" i="2"/>
  <c r="L852" i="2"/>
  <c r="N852" i="2" s="1"/>
  <c r="K229" i="1"/>
  <c r="L228" i="1"/>
  <c r="N228" i="1" s="1"/>
  <c r="K235" i="5" l="1"/>
  <c r="M235" i="5" s="1"/>
  <c r="K1296" i="5"/>
  <c r="M1296" i="5" s="1"/>
  <c r="L228" i="4"/>
  <c r="N228" i="4" s="1"/>
  <c r="K229" i="4"/>
  <c r="L229" i="3"/>
  <c r="N229" i="3" s="1"/>
  <c r="K230" i="3"/>
  <c r="K526" i="2"/>
  <c r="L525" i="2"/>
  <c r="N525" i="2" s="1"/>
  <c r="L853" i="2"/>
  <c r="N853" i="2" s="1"/>
  <c r="K854" i="2"/>
  <c r="K229" i="2"/>
  <c r="L228" i="2"/>
  <c r="N228" i="2" s="1"/>
  <c r="K230" i="1"/>
  <c r="L229" i="1"/>
  <c r="N229" i="1" s="1"/>
  <c r="K1297" i="5" l="1"/>
  <c r="M1297" i="5" s="1"/>
  <c r="K236" i="5"/>
  <c r="M236" i="5" s="1"/>
  <c r="L229" i="4"/>
  <c r="N229" i="4" s="1"/>
  <c r="K230" i="4"/>
  <c r="K231" i="3"/>
  <c r="L230" i="3"/>
  <c r="N230" i="3" s="1"/>
  <c r="L854" i="2"/>
  <c r="N854" i="2" s="1"/>
  <c r="K855" i="2"/>
  <c r="L229" i="2"/>
  <c r="N229" i="2" s="1"/>
  <c r="K230" i="2"/>
  <c r="K527" i="2"/>
  <c r="L526" i="2"/>
  <c r="N526" i="2" s="1"/>
  <c r="L230" i="1"/>
  <c r="N230" i="1" s="1"/>
  <c r="K231" i="1"/>
  <c r="K237" i="5" l="1"/>
  <c r="M237" i="5" s="1"/>
  <c r="K1298" i="5"/>
  <c r="M1298" i="5" s="1"/>
  <c r="L230" i="4"/>
  <c r="N230" i="4" s="1"/>
  <c r="K231" i="4"/>
  <c r="K232" i="3"/>
  <c r="L231" i="3"/>
  <c r="N231" i="3" s="1"/>
  <c r="K856" i="2"/>
  <c r="L855" i="2"/>
  <c r="N855" i="2" s="1"/>
  <c r="K528" i="2"/>
  <c r="L527" i="2"/>
  <c r="N527" i="2" s="1"/>
  <c r="L230" i="2"/>
  <c r="N230" i="2" s="1"/>
  <c r="K231" i="2"/>
  <c r="L231" i="1"/>
  <c r="N231" i="1" s="1"/>
  <c r="K232" i="1"/>
  <c r="K1299" i="5" l="1"/>
  <c r="M1299" i="5" s="1"/>
  <c r="K238" i="5"/>
  <c r="M238" i="5" s="1"/>
  <c r="K232" i="4"/>
  <c r="L231" i="4"/>
  <c r="N231" i="4" s="1"/>
  <c r="K233" i="3"/>
  <c r="L232" i="3"/>
  <c r="N232" i="3" s="1"/>
  <c r="L528" i="2"/>
  <c r="N528" i="2" s="1"/>
  <c r="K529" i="2"/>
  <c r="L231" i="2"/>
  <c r="N231" i="2" s="1"/>
  <c r="K232" i="2"/>
  <c r="K857" i="2"/>
  <c r="L856" i="2"/>
  <c r="N856" i="2" s="1"/>
  <c r="L232" i="1"/>
  <c r="N232" i="1" s="1"/>
  <c r="K233" i="1"/>
  <c r="K239" i="5" l="1"/>
  <c r="M239" i="5" s="1"/>
  <c r="K1300" i="5"/>
  <c r="M1300" i="5" s="1"/>
  <c r="K233" i="4"/>
  <c r="L232" i="4"/>
  <c r="N232" i="4" s="1"/>
  <c r="L233" i="3"/>
  <c r="N233" i="3" s="1"/>
  <c r="K234" i="3"/>
  <c r="K530" i="2"/>
  <c r="L529" i="2"/>
  <c r="N529" i="2" s="1"/>
  <c r="K233" i="2"/>
  <c r="L232" i="2"/>
  <c r="N232" i="2" s="1"/>
  <c r="L857" i="2"/>
  <c r="N857" i="2" s="1"/>
  <c r="K858" i="2"/>
  <c r="K234" i="1"/>
  <c r="L233" i="1"/>
  <c r="N233" i="1" s="1"/>
  <c r="K1301" i="5" l="1"/>
  <c r="M1301" i="5" s="1"/>
  <c r="K240" i="5"/>
  <c r="M240" i="5" s="1"/>
  <c r="L233" i="4"/>
  <c r="N233" i="4" s="1"/>
  <c r="K234" i="4"/>
  <c r="K235" i="3"/>
  <c r="L234" i="3"/>
  <c r="N234" i="3" s="1"/>
  <c r="L233" i="2"/>
  <c r="N233" i="2" s="1"/>
  <c r="K234" i="2"/>
  <c r="L858" i="2"/>
  <c r="N858" i="2" s="1"/>
  <c r="K859" i="2"/>
  <c r="K531" i="2"/>
  <c r="L530" i="2"/>
  <c r="N530" i="2" s="1"/>
  <c r="L234" i="1"/>
  <c r="N234" i="1" s="1"/>
  <c r="K235" i="1"/>
  <c r="K241" i="5" l="1"/>
  <c r="M241" i="5" s="1"/>
  <c r="K1302" i="5"/>
  <c r="M1302" i="5" s="1"/>
  <c r="L234" i="4"/>
  <c r="N234" i="4" s="1"/>
  <c r="K235" i="4"/>
  <c r="K236" i="3"/>
  <c r="L235" i="3"/>
  <c r="N235" i="3" s="1"/>
  <c r="L234" i="2"/>
  <c r="N234" i="2" s="1"/>
  <c r="K235" i="2"/>
  <c r="K860" i="2"/>
  <c r="L859" i="2"/>
  <c r="N859" i="2" s="1"/>
  <c r="L531" i="2"/>
  <c r="N531" i="2" s="1"/>
  <c r="K532" i="2"/>
  <c r="K236" i="1"/>
  <c r="L235" i="1"/>
  <c r="N235" i="1" s="1"/>
  <c r="K1303" i="5" l="1"/>
  <c r="M1303" i="5" s="1"/>
  <c r="K242" i="5"/>
  <c r="M242" i="5" s="1"/>
  <c r="K236" i="4"/>
  <c r="L235" i="4"/>
  <c r="N235" i="4" s="1"/>
  <c r="K237" i="3"/>
  <c r="L236" i="3"/>
  <c r="N236" i="3" s="1"/>
  <c r="K861" i="2"/>
  <c r="L860" i="2"/>
  <c r="N860" i="2" s="1"/>
  <c r="K533" i="2"/>
  <c r="L532" i="2"/>
  <c r="N532" i="2" s="1"/>
  <c r="L235" i="2"/>
  <c r="N235" i="2" s="1"/>
  <c r="K236" i="2"/>
  <c r="L236" i="1"/>
  <c r="N236" i="1" s="1"/>
  <c r="K237" i="1"/>
  <c r="K243" i="5" l="1"/>
  <c r="M243" i="5" s="1"/>
  <c r="K1304" i="5"/>
  <c r="M1304" i="5" s="1"/>
  <c r="K237" i="4"/>
  <c r="L236" i="4"/>
  <c r="N236" i="4" s="1"/>
  <c r="L237" i="3"/>
  <c r="N237" i="3" s="1"/>
  <c r="K238" i="3"/>
  <c r="K534" i="2"/>
  <c r="L533" i="2"/>
  <c r="N533" i="2" s="1"/>
  <c r="K237" i="2"/>
  <c r="L236" i="2"/>
  <c r="N236" i="2" s="1"/>
  <c r="K862" i="2"/>
  <c r="L861" i="2"/>
  <c r="N861" i="2" s="1"/>
  <c r="K238" i="1"/>
  <c r="L237" i="1"/>
  <c r="N237" i="1" s="1"/>
  <c r="K1305" i="5" l="1"/>
  <c r="M1305" i="5" s="1"/>
  <c r="K244" i="5"/>
  <c r="M244" i="5" s="1"/>
  <c r="L237" i="4"/>
  <c r="N237" i="4" s="1"/>
  <c r="K238" i="4"/>
  <c r="K239" i="3"/>
  <c r="L238" i="3"/>
  <c r="N238" i="3" s="1"/>
  <c r="K238" i="2"/>
  <c r="L237" i="2"/>
  <c r="N237" i="2" s="1"/>
  <c r="L862" i="2"/>
  <c r="N862" i="2" s="1"/>
  <c r="K863" i="2"/>
  <c r="K535" i="2"/>
  <c r="L534" i="2"/>
  <c r="N534" i="2" s="1"/>
  <c r="L238" i="1"/>
  <c r="N238" i="1" s="1"/>
  <c r="K239" i="1"/>
  <c r="K245" i="5" l="1"/>
  <c r="M245" i="5" s="1"/>
  <c r="K1306" i="5"/>
  <c r="M1306" i="5" s="1"/>
  <c r="L238" i="4"/>
  <c r="N238" i="4" s="1"/>
  <c r="K239" i="4"/>
  <c r="K240" i="3"/>
  <c r="L239" i="3"/>
  <c r="N239" i="3" s="1"/>
  <c r="K864" i="2"/>
  <c r="L863" i="2"/>
  <c r="N863" i="2" s="1"/>
  <c r="K536" i="2"/>
  <c r="L535" i="2"/>
  <c r="N535" i="2" s="1"/>
  <c r="K239" i="2"/>
  <c r="L238" i="2"/>
  <c r="N238" i="2" s="1"/>
  <c r="K240" i="1"/>
  <c r="L239" i="1"/>
  <c r="N239" i="1" s="1"/>
  <c r="K1307" i="5" l="1"/>
  <c r="M1307" i="5" s="1"/>
  <c r="K246" i="5"/>
  <c r="M246" i="5" s="1"/>
  <c r="K240" i="4"/>
  <c r="L239" i="4"/>
  <c r="N239" i="4" s="1"/>
  <c r="K241" i="3"/>
  <c r="L240" i="3"/>
  <c r="N240" i="3" s="1"/>
  <c r="L536" i="2"/>
  <c r="N536" i="2" s="1"/>
  <c r="K537" i="2"/>
  <c r="K240" i="2"/>
  <c r="L239" i="2"/>
  <c r="N239" i="2" s="1"/>
  <c r="K865" i="2"/>
  <c r="L864" i="2"/>
  <c r="N864" i="2" s="1"/>
  <c r="L240" i="1"/>
  <c r="N240" i="1" s="1"/>
  <c r="K241" i="1"/>
  <c r="K247" i="5" l="1"/>
  <c r="M247" i="5" s="1"/>
  <c r="K1308" i="5"/>
  <c r="M1308" i="5" s="1"/>
  <c r="K241" i="4"/>
  <c r="L240" i="4"/>
  <c r="N240" i="4" s="1"/>
  <c r="L241" i="3"/>
  <c r="N241" i="3" s="1"/>
  <c r="K242" i="3"/>
  <c r="K241" i="2"/>
  <c r="L240" i="2"/>
  <c r="N240" i="2" s="1"/>
  <c r="K538" i="2"/>
  <c r="L537" i="2"/>
  <c r="N537" i="2" s="1"/>
  <c r="K866" i="2"/>
  <c r="L865" i="2"/>
  <c r="N865" i="2" s="1"/>
  <c r="K242" i="1"/>
  <c r="L241" i="1"/>
  <c r="N241" i="1" s="1"/>
  <c r="K1309" i="5" l="1"/>
  <c r="M1309" i="5" s="1"/>
  <c r="K248" i="5"/>
  <c r="M248" i="5" s="1"/>
  <c r="L241" i="4"/>
  <c r="N241" i="4" s="1"/>
  <c r="K242" i="4"/>
  <c r="K243" i="3"/>
  <c r="L242" i="3"/>
  <c r="N242" i="3" s="1"/>
  <c r="K539" i="2"/>
  <c r="L538" i="2"/>
  <c r="N538" i="2" s="1"/>
  <c r="K867" i="2"/>
  <c r="L866" i="2"/>
  <c r="N866" i="2" s="1"/>
  <c r="K242" i="2"/>
  <c r="L241" i="2"/>
  <c r="N241" i="2" s="1"/>
  <c r="K243" i="1"/>
  <c r="L242" i="1"/>
  <c r="N242" i="1" s="1"/>
  <c r="K249" i="5" l="1"/>
  <c r="M249" i="5" s="1"/>
  <c r="K1310" i="5"/>
  <c r="M1310" i="5" s="1"/>
  <c r="L242" i="4"/>
  <c r="N242" i="4" s="1"/>
  <c r="K243" i="4"/>
  <c r="K244" i="3"/>
  <c r="L243" i="3"/>
  <c r="N243" i="3" s="1"/>
  <c r="K868" i="2"/>
  <c r="L867" i="2"/>
  <c r="N867" i="2" s="1"/>
  <c r="K243" i="2"/>
  <c r="L242" i="2"/>
  <c r="N242" i="2" s="1"/>
  <c r="K540" i="2"/>
  <c r="L539" i="2"/>
  <c r="N539" i="2" s="1"/>
  <c r="K244" i="1"/>
  <c r="L243" i="1"/>
  <c r="N243" i="1" s="1"/>
  <c r="K1311" i="5" l="1"/>
  <c r="M1311" i="5" s="1"/>
  <c r="K250" i="5"/>
  <c r="M250" i="5" s="1"/>
  <c r="K244" i="4"/>
  <c r="L243" i="4"/>
  <c r="N243" i="4" s="1"/>
  <c r="K245" i="3"/>
  <c r="L244" i="3"/>
  <c r="N244" i="3" s="1"/>
  <c r="K244" i="2"/>
  <c r="L243" i="2"/>
  <c r="N243" i="2" s="1"/>
  <c r="K541" i="2"/>
  <c r="L540" i="2"/>
  <c r="N540" i="2" s="1"/>
  <c r="K869" i="2"/>
  <c r="L868" i="2"/>
  <c r="N868" i="2" s="1"/>
  <c r="K245" i="1"/>
  <c r="L244" i="1"/>
  <c r="N244" i="1" s="1"/>
  <c r="K251" i="5" l="1"/>
  <c r="M251" i="5" s="1"/>
  <c r="K1312" i="5"/>
  <c r="M1312" i="5" s="1"/>
  <c r="K245" i="4"/>
  <c r="L244" i="4"/>
  <c r="N244" i="4" s="1"/>
  <c r="L245" i="3"/>
  <c r="N245" i="3" s="1"/>
  <c r="K246" i="3"/>
  <c r="K542" i="2"/>
  <c r="L541" i="2"/>
  <c r="N541" i="2" s="1"/>
  <c r="K870" i="2"/>
  <c r="L869" i="2"/>
  <c r="N869" i="2" s="1"/>
  <c r="K245" i="2"/>
  <c r="L244" i="2"/>
  <c r="N244" i="2" s="1"/>
  <c r="K246" i="1"/>
  <c r="L245" i="1"/>
  <c r="N245" i="1" s="1"/>
  <c r="K1313" i="5" l="1"/>
  <c r="M1313" i="5" s="1"/>
  <c r="K252" i="5"/>
  <c r="M252" i="5" s="1"/>
  <c r="L245" i="4"/>
  <c r="N245" i="4" s="1"/>
  <c r="K246" i="4"/>
  <c r="K247" i="3"/>
  <c r="L246" i="3"/>
  <c r="N246" i="3" s="1"/>
  <c r="K871" i="2"/>
  <c r="L870" i="2"/>
  <c r="N870" i="2" s="1"/>
  <c r="L245" i="2"/>
  <c r="N245" i="2" s="1"/>
  <c r="K246" i="2"/>
  <c r="K543" i="2"/>
  <c r="L542" i="2"/>
  <c r="N542" i="2" s="1"/>
  <c r="L246" i="1"/>
  <c r="N246" i="1" s="1"/>
  <c r="K247" i="1"/>
  <c r="K253" i="5" l="1"/>
  <c r="M253" i="5" s="1"/>
  <c r="K1314" i="5"/>
  <c r="M1314" i="5" s="1"/>
  <c r="L246" i="4"/>
  <c r="N246" i="4" s="1"/>
  <c r="K247" i="4"/>
  <c r="K248" i="3"/>
  <c r="L247" i="3"/>
  <c r="N247" i="3" s="1"/>
  <c r="L246" i="2"/>
  <c r="N246" i="2" s="1"/>
  <c r="K247" i="2"/>
  <c r="K544" i="2"/>
  <c r="L543" i="2"/>
  <c r="N543" i="2" s="1"/>
  <c r="K872" i="2"/>
  <c r="L871" i="2"/>
  <c r="N871" i="2" s="1"/>
  <c r="L247" i="1"/>
  <c r="N247" i="1" s="1"/>
  <c r="K248" i="1"/>
  <c r="K1315" i="5" l="1"/>
  <c r="M1315" i="5" s="1"/>
  <c r="K254" i="5"/>
  <c r="M254" i="5" s="1"/>
  <c r="K248" i="4"/>
  <c r="L247" i="4"/>
  <c r="N247" i="4" s="1"/>
  <c r="K249" i="3"/>
  <c r="L248" i="3"/>
  <c r="N248" i="3" s="1"/>
  <c r="K545" i="2"/>
  <c r="L544" i="2"/>
  <c r="N544" i="2" s="1"/>
  <c r="L247" i="2"/>
  <c r="N247" i="2" s="1"/>
  <c r="K248" i="2"/>
  <c r="K873" i="2"/>
  <c r="L872" i="2"/>
  <c r="N872" i="2" s="1"/>
  <c r="L248" i="1"/>
  <c r="N248" i="1" s="1"/>
  <c r="K249" i="1"/>
  <c r="K255" i="5" l="1"/>
  <c r="M255" i="5" s="1"/>
  <c r="K1316" i="5"/>
  <c r="M1316" i="5" s="1"/>
  <c r="K249" i="4"/>
  <c r="L248" i="4"/>
  <c r="N248" i="4" s="1"/>
  <c r="L249" i="3"/>
  <c r="N249" i="3" s="1"/>
  <c r="K250" i="3"/>
  <c r="K249" i="2"/>
  <c r="L248" i="2"/>
  <c r="N248" i="2" s="1"/>
  <c r="K874" i="2"/>
  <c r="L873" i="2"/>
  <c r="N873" i="2" s="1"/>
  <c r="K546" i="2"/>
  <c r="L545" i="2"/>
  <c r="N545" i="2" s="1"/>
  <c r="K250" i="1"/>
  <c r="L249" i="1"/>
  <c r="N249" i="1" s="1"/>
  <c r="K1317" i="5" l="1"/>
  <c r="M1317" i="5" s="1"/>
  <c r="K256" i="5"/>
  <c r="M256" i="5" s="1"/>
  <c r="L249" i="4"/>
  <c r="N249" i="4" s="1"/>
  <c r="K250" i="4"/>
  <c r="K251" i="3"/>
  <c r="L250" i="3"/>
  <c r="N250" i="3" s="1"/>
  <c r="K875" i="2"/>
  <c r="L874" i="2"/>
  <c r="N874" i="2" s="1"/>
  <c r="K547" i="2"/>
  <c r="L546" i="2"/>
  <c r="N546" i="2" s="1"/>
  <c r="L249" i="2"/>
  <c r="N249" i="2" s="1"/>
  <c r="K250" i="2"/>
  <c r="K251" i="1"/>
  <c r="L250" i="1"/>
  <c r="N250" i="1" s="1"/>
  <c r="K1318" i="5" l="1"/>
  <c r="M1318" i="5" s="1"/>
  <c r="K257" i="5"/>
  <c r="M257" i="5" s="1"/>
  <c r="L250" i="4"/>
  <c r="N250" i="4" s="1"/>
  <c r="K251" i="4"/>
  <c r="K252" i="3"/>
  <c r="L251" i="3"/>
  <c r="N251" i="3" s="1"/>
  <c r="L547" i="2"/>
  <c r="N547" i="2" s="1"/>
  <c r="K548" i="2"/>
  <c r="L250" i="2"/>
  <c r="N250" i="2" s="1"/>
  <c r="K251" i="2"/>
  <c r="K876" i="2"/>
  <c r="L875" i="2"/>
  <c r="N875" i="2" s="1"/>
  <c r="L251" i="1"/>
  <c r="N251" i="1" s="1"/>
  <c r="K252" i="1"/>
  <c r="K1319" i="5" l="1"/>
  <c r="M1319" i="5" s="1"/>
  <c r="K258" i="5"/>
  <c r="M258" i="5" s="1"/>
  <c r="K252" i="4"/>
  <c r="L251" i="4"/>
  <c r="N251" i="4" s="1"/>
  <c r="K253" i="3"/>
  <c r="L252" i="3"/>
  <c r="N252" i="3" s="1"/>
  <c r="L548" i="2"/>
  <c r="N548" i="2" s="1"/>
  <c r="K549" i="2"/>
  <c r="L251" i="2"/>
  <c r="N251" i="2" s="1"/>
  <c r="K252" i="2"/>
  <c r="K877" i="2"/>
  <c r="L876" i="2"/>
  <c r="N876" i="2" s="1"/>
  <c r="K253" i="1"/>
  <c r="L252" i="1"/>
  <c r="N252" i="1" s="1"/>
  <c r="K1320" i="5" l="1"/>
  <c r="M1320" i="5" s="1"/>
  <c r="K259" i="5"/>
  <c r="M259" i="5" s="1"/>
  <c r="K253" i="4"/>
  <c r="L252" i="4"/>
  <c r="N252" i="4" s="1"/>
  <c r="L253" i="3"/>
  <c r="N253" i="3" s="1"/>
  <c r="K254" i="3"/>
  <c r="L549" i="2"/>
  <c r="N549" i="2" s="1"/>
  <c r="K550" i="2"/>
  <c r="K253" i="2"/>
  <c r="L252" i="2"/>
  <c r="N252" i="2" s="1"/>
  <c r="K878" i="2"/>
  <c r="L877" i="2"/>
  <c r="N877" i="2" s="1"/>
  <c r="K254" i="1"/>
  <c r="L253" i="1"/>
  <c r="N253" i="1" s="1"/>
  <c r="K1321" i="5" l="1"/>
  <c r="M1321" i="5" s="1"/>
  <c r="K260" i="5"/>
  <c r="M260" i="5" s="1"/>
  <c r="L253" i="4"/>
  <c r="N253" i="4" s="1"/>
  <c r="K254" i="4"/>
  <c r="K255" i="3"/>
  <c r="L254" i="3"/>
  <c r="N254" i="3" s="1"/>
  <c r="K254" i="2"/>
  <c r="L253" i="2"/>
  <c r="N253" i="2" s="1"/>
  <c r="K551" i="2"/>
  <c r="L550" i="2"/>
  <c r="N550" i="2" s="1"/>
  <c r="K879" i="2"/>
  <c r="L878" i="2"/>
  <c r="N878" i="2" s="1"/>
  <c r="K255" i="1"/>
  <c r="L254" i="1"/>
  <c r="N254" i="1" s="1"/>
  <c r="K1322" i="5" l="1"/>
  <c r="M1322" i="5" s="1"/>
  <c r="K261" i="5"/>
  <c r="M261" i="5" s="1"/>
  <c r="L254" i="4"/>
  <c r="N254" i="4" s="1"/>
  <c r="K255" i="4"/>
  <c r="K256" i="3"/>
  <c r="L255" i="3"/>
  <c r="N255" i="3" s="1"/>
  <c r="L551" i="2"/>
  <c r="N551" i="2" s="1"/>
  <c r="K552" i="2"/>
  <c r="K880" i="2"/>
  <c r="L879" i="2"/>
  <c r="N879" i="2" s="1"/>
  <c r="K255" i="2"/>
  <c r="L254" i="2"/>
  <c r="N254" i="2" s="1"/>
  <c r="L255" i="1"/>
  <c r="N255" i="1" s="1"/>
  <c r="K256" i="1"/>
  <c r="K1323" i="5" l="1"/>
  <c r="M1323" i="5" s="1"/>
  <c r="K262" i="5"/>
  <c r="M262" i="5" s="1"/>
  <c r="K256" i="4"/>
  <c r="L255" i="4"/>
  <c r="N255" i="4" s="1"/>
  <c r="K257" i="3"/>
  <c r="L256" i="3"/>
  <c r="N256" i="3" s="1"/>
  <c r="K881" i="2"/>
  <c r="L880" i="2"/>
  <c r="N880" i="2" s="1"/>
  <c r="K553" i="2"/>
  <c r="L552" i="2"/>
  <c r="N552" i="2" s="1"/>
  <c r="K256" i="2"/>
  <c r="L255" i="2"/>
  <c r="N255" i="2" s="1"/>
  <c r="K257" i="1"/>
  <c r="L256" i="1"/>
  <c r="N256" i="1" s="1"/>
  <c r="K263" i="5" l="1"/>
  <c r="M263" i="5" s="1"/>
  <c r="K1324" i="5"/>
  <c r="M1324" i="5" s="1"/>
  <c r="K257" i="4"/>
  <c r="L256" i="4"/>
  <c r="N256" i="4" s="1"/>
  <c r="L257" i="3"/>
  <c r="N257" i="3" s="1"/>
  <c r="K258" i="3"/>
  <c r="L553" i="2"/>
  <c r="N553" i="2" s="1"/>
  <c r="K554" i="2"/>
  <c r="K257" i="2"/>
  <c r="L256" i="2"/>
  <c r="N256" i="2" s="1"/>
  <c r="K882" i="2"/>
  <c r="L881" i="2"/>
  <c r="N881" i="2" s="1"/>
  <c r="K258" i="1"/>
  <c r="L257" i="1"/>
  <c r="N257" i="1" s="1"/>
  <c r="K1326" i="5" l="1"/>
  <c r="M1326" i="5" s="1"/>
  <c r="K1325" i="5"/>
  <c r="M1325" i="5" s="1"/>
  <c r="K264" i="5"/>
  <c r="M264" i="5" s="1"/>
  <c r="L257" i="4"/>
  <c r="N257" i="4" s="1"/>
  <c r="K258" i="4"/>
  <c r="K259" i="3"/>
  <c r="L258" i="3"/>
  <c r="N258" i="3" s="1"/>
  <c r="K258" i="2"/>
  <c r="L257" i="2"/>
  <c r="N257" i="2" s="1"/>
  <c r="K555" i="2"/>
  <c r="L554" i="2"/>
  <c r="N554" i="2" s="1"/>
  <c r="K883" i="2"/>
  <c r="L882" i="2"/>
  <c r="N882" i="2" s="1"/>
  <c r="K259" i="1"/>
  <c r="L258" i="1"/>
  <c r="N258" i="1" s="1"/>
  <c r="K265" i="5" l="1"/>
  <c r="M265" i="5" s="1"/>
  <c r="L258" i="4"/>
  <c r="N258" i="4" s="1"/>
  <c r="K259" i="4"/>
  <c r="K260" i="3"/>
  <c r="L259" i="3"/>
  <c r="N259" i="3" s="1"/>
  <c r="K556" i="2"/>
  <c r="L555" i="2"/>
  <c r="N555" i="2" s="1"/>
  <c r="K884" i="2"/>
  <c r="L883" i="2"/>
  <c r="N883" i="2" s="1"/>
  <c r="K259" i="2"/>
  <c r="L258" i="2"/>
  <c r="N258" i="2" s="1"/>
  <c r="K260" i="1"/>
  <c r="L259" i="1"/>
  <c r="N259" i="1" s="1"/>
  <c r="K266" i="5" l="1"/>
  <c r="M266" i="5" s="1"/>
  <c r="K260" i="4"/>
  <c r="L259" i="4"/>
  <c r="N259" i="4" s="1"/>
  <c r="K261" i="3"/>
  <c r="L260" i="3"/>
  <c r="N260" i="3" s="1"/>
  <c r="K885" i="2"/>
  <c r="L884" i="2"/>
  <c r="N884" i="2" s="1"/>
  <c r="K260" i="2"/>
  <c r="L259" i="2"/>
  <c r="N259" i="2" s="1"/>
  <c r="K557" i="2"/>
  <c r="L556" i="2"/>
  <c r="N556" i="2" s="1"/>
  <c r="K261" i="1"/>
  <c r="L260" i="1"/>
  <c r="N260" i="1" s="1"/>
  <c r="K267" i="5" l="1"/>
  <c r="M267" i="5" s="1"/>
  <c r="K261" i="4"/>
  <c r="L260" i="4"/>
  <c r="N260" i="4" s="1"/>
  <c r="L261" i="3"/>
  <c r="N261" i="3" s="1"/>
  <c r="K262" i="3"/>
  <c r="K261" i="2"/>
  <c r="L260" i="2"/>
  <c r="N260" i="2" s="1"/>
  <c r="K558" i="2"/>
  <c r="L557" i="2"/>
  <c r="N557" i="2" s="1"/>
  <c r="K886" i="2"/>
  <c r="L885" i="2"/>
  <c r="N885" i="2" s="1"/>
  <c r="K262" i="1"/>
  <c r="L261" i="1"/>
  <c r="N261" i="1" s="1"/>
  <c r="K268" i="5" l="1"/>
  <c r="M268" i="5" s="1"/>
  <c r="L261" i="4"/>
  <c r="N261" i="4" s="1"/>
  <c r="K262" i="4"/>
  <c r="K263" i="3"/>
  <c r="L262" i="3"/>
  <c r="N262" i="3" s="1"/>
  <c r="K559" i="2"/>
  <c r="L558" i="2"/>
  <c r="N558" i="2" s="1"/>
  <c r="K887" i="2"/>
  <c r="L886" i="2"/>
  <c r="N886" i="2" s="1"/>
  <c r="L261" i="2"/>
  <c r="N261" i="2" s="1"/>
  <c r="K262" i="2"/>
  <c r="L262" i="1"/>
  <c r="N262" i="1" s="1"/>
  <c r="K263" i="1"/>
  <c r="K269" i="5" l="1"/>
  <c r="M269" i="5" s="1"/>
  <c r="L262" i="4"/>
  <c r="N262" i="4" s="1"/>
  <c r="K263" i="4"/>
  <c r="K264" i="3"/>
  <c r="L263" i="3"/>
  <c r="N263" i="3" s="1"/>
  <c r="K888" i="2"/>
  <c r="L887" i="2"/>
  <c r="N887" i="2" s="1"/>
  <c r="L262" i="2"/>
  <c r="N262" i="2" s="1"/>
  <c r="K263" i="2"/>
  <c r="K560" i="2"/>
  <c r="L559" i="2"/>
  <c r="N559" i="2" s="1"/>
  <c r="L263" i="1"/>
  <c r="N263" i="1" s="1"/>
  <c r="K264" i="1"/>
  <c r="K270" i="5" l="1"/>
  <c r="M270" i="5" s="1"/>
  <c r="K264" i="4"/>
  <c r="L263" i="4"/>
  <c r="N263" i="4" s="1"/>
  <c r="K265" i="3"/>
  <c r="L264" i="3"/>
  <c r="N264" i="3" s="1"/>
  <c r="L263" i="2"/>
  <c r="N263" i="2" s="1"/>
  <c r="K264" i="2"/>
  <c r="K561" i="2"/>
  <c r="L560" i="2"/>
  <c r="N560" i="2" s="1"/>
  <c r="K889" i="2"/>
  <c r="L888" i="2"/>
  <c r="N888" i="2" s="1"/>
  <c r="L264" i="1"/>
  <c r="N264" i="1" s="1"/>
  <c r="K265" i="1"/>
  <c r="K271" i="5" l="1"/>
  <c r="M271" i="5" s="1"/>
  <c r="K265" i="4"/>
  <c r="L264" i="4"/>
  <c r="N264" i="4" s="1"/>
  <c r="L265" i="3"/>
  <c r="N265" i="3" s="1"/>
  <c r="K266" i="3"/>
  <c r="K562" i="2"/>
  <c r="L561" i="2"/>
  <c r="N561" i="2" s="1"/>
  <c r="K265" i="2"/>
  <c r="L264" i="2"/>
  <c r="N264" i="2" s="1"/>
  <c r="K890" i="2"/>
  <c r="L889" i="2"/>
  <c r="N889" i="2" s="1"/>
  <c r="K266" i="1"/>
  <c r="L265" i="1"/>
  <c r="N265" i="1" s="1"/>
  <c r="K272" i="5" l="1"/>
  <c r="M272" i="5" s="1"/>
  <c r="L265" i="4"/>
  <c r="N265" i="4" s="1"/>
  <c r="K266" i="4"/>
  <c r="K267" i="3"/>
  <c r="L266" i="3"/>
  <c r="N266" i="3" s="1"/>
  <c r="L265" i="2"/>
  <c r="N265" i="2" s="1"/>
  <c r="K266" i="2"/>
  <c r="K891" i="2"/>
  <c r="L890" i="2"/>
  <c r="N890" i="2" s="1"/>
  <c r="K563" i="2"/>
  <c r="L562" i="2"/>
  <c r="N562" i="2" s="1"/>
  <c r="L266" i="1"/>
  <c r="N266" i="1" s="1"/>
  <c r="K267" i="1"/>
  <c r="K273" i="5" l="1"/>
  <c r="M273" i="5" s="1"/>
  <c r="L266" i="4"/>
  <c r="N266" i="4" s="1"/>
  <c r="K267" i="4"/>
  <c r="K268" i="3"/>
  <c r="L267" i="3"/>
  <c r="N267" i="3" s="1"/>
  <c r="K892" i="2"/>
  <c r="L891" i="2"/>
  <c r="N891" i="2" s="1"/>
  <c r="L266" i="2"/>
  <c r="N266" i="2" s="1"/>
  <c r="K267" i="2"/>
  <c r="L563" i="2"/>
  <c r="N563" i="2" s="1"/>
  <c r="K564" i="2"/>
  <c r="K268" i="1"/>
  <c r="L267" i="1"/>
  <c r="N267" i="1" s="1"/>
  <c r="K274" i="5" l="1"/>
  <c r="M274" i="5" s="1"/>
  <c r="K268" i="4"/>
  <c r="L267" i="4"/>
  <c r="N267" i="4" s="1"/>
  <c r="K269" i="3"/>
  <c r="L268" i="3"/>
  <c r="N268" i="3" s="1"/>
  <c r="L267" i="2"/>
  <c r="N267" i="2" s="1"/>
  <c r="K268" i="2"/>
  <c r="L564" i="2"/>
  <c r="N564" i="2" s="1"/>
  <c r="K565" i="2"/>
  <c r="K893" i="2"/>
  <c r="L892" i="2"/>
  <c r="N892" i="2" s="1"/>
  <c r="L268" i="1"/>
  <c r="N268" i="1" s="1"/>
  <c r="K269" i="1"/>
  <c r="K275" i="5" l="1"/>
  <c r="M275" i="5" s="1"/>
  <c r="K269" i="4"/>
  <c r="L268" i="4"/>
  <c r="N268" i="4" s="1"/>
  <c r="L269" i="3"/>
  <c r="N269" i="3" s="1"/>
  <c r="K270" i="3"/>
  <c r="L565" i="2"/>
  <c r="N565" i="2" s="1"/>
  <c r="K566" i="2"/>
  <c r="K269" i="2"/>
  <c r="L268" i="2"/>
  <c r="N268" i="2" s="1"/>
  <c r="K894" i="2"/>
  <c r="L893" i="2"/>
  <c r="N893" i="2" s="1"/>
  <c r="K270" i="1"/>
  <c r="L269" i="1"/>
  <c r="N269" i="1" s="1"/>
  <c r="K276" i="5" l="1"/>
  <c r="M276" i="5" s="1"/>
  <c r="L269" i="4"/>
  <c r="N269" i="4" s="1"/>
  <c r="K270" i="4"/>
  <c r="K271" i="3"/>
  <c r="L270" i="3"/>
  <c r="N270" i="3" s="1"/>
  <c r="K270" i="2"/>
  <c r="L269" i="2"/>
  <c r="N269" i="2" s="1"/>
  <c r="K567" i="2"/>
  <c r="L566" i="2"/>
  <c r="N566" i="2" s="1"/>
  <c r="K895" i="2"/>
  <c r="L894" i="2"/>
  <c r="N894" i="2" s="1"/>
  <c r="L270" i="1"/>
  <c r="N270" i="1" s="1"/>
  <c r="K271" i="1"/>
  <c r="K277" i="5" l="1"/>
  <c r="M277" i="5" s="1"/>
  <c r="L270" i="4"/>
  <c r="N270" i="4" s="1"/>
  <c r="K271" i="4"/>
  <c r="K272" i="3"/>
  <c r="L271" i="3"/>
  <c r="N271" i="3" s="1"/>
  <c r="K568" i="2"/>
  <c r="L567" i="2"/>
  <c r="N567" i="2" s="1"/>
  <c r="K896" i="2"/>
  <c r="L895" i="2"/>
  <c r="N895" i="2" s="1"/>
  <c r="K271" i="2"/>
  <c r="L270" i="2"/>
  <c r="N270" i="2" s="1"/>
  <c r="L271" i="1"/>
  <c r="N271" i="1" s="1"/>
  <c r="K272" i="1"/>
  <c r="K278" i="5" l="1"/>
  <c r="M278" i="5" s="1"/>
  <c r="K272" i="4"/>
  <c r="L271" i="4"/>
  <c r="N271" i="4" s="1"/>
  <c r="K273" i="3"/>
  <c r="L272" i="3"/>
  <c r="N272" i="3" s="1"/>
  <c r="K897" i="2"/>
  <c r="L896" i="2"/>
  <c r="N896" i="2" s="1"/>
  <c r="K272" i="2"/>
  <c r="L271" i="2"/>
  <c r="N271" i="2" s="1"/>
  <c r="L568" i="2"/>
  <c r="N568" i="2" s="1"/>
  <c r="K569" i="2"/>
  <c r="L272" i="1"/>
  <c r="N272" i="1" s="1"/>
  <c r="K273" i="1"/>
  <c r="K279" i="5" l="1"/>
  <c r="M279" i="5" s="1"/>
  <c r="K273" i="4"/>
  <c r="L272" i="4"/>
  <c r="N272" i="4" s="1"/>
  <c r="L273" i="3"/>
  <c r="N273" i="3" s="1"/>
  <c r="K274" i="3"/>
  <c r="K273" i="2"/>
  <c r="L272" i="2"/>
  <c r="N272" i="2" s="1"/>
  <c r="K570" i="2"/>
  <c r="L569" i="2"/>
  <c r="N569" i="2" s="1"/>
  <c r="K898" i="2"/>
  <c r="L897" i="2"/>
  <c r="N897" i="2" s="1"/>
  <c r="K274" i="1"/>
  <c r="L273" i="1"/>
  <c r="N273" i="1" s="1"/>
  <c r="K280" i="5" l="1"/>
  <c r="M280" i="5" s="1"/>
  <c r="L273" i="4"/>
  <c r="N273" i="4" s="1"/>
  <c r="K274" i="4"/>
  <c r="K275" i="3"/>
  <c r="L274" i="3"/>
  <c r="N274" i="3" s="1"/>
  <c r="K571" i="2"/>
  <c r="L570" i="2"/>
  <c r="N570" i="2" s="1"/>
  <c r="K899" i="2"/>
  <c r="L898" i="2"/>
  <c r="N898" i="2" s="1"/>
  <c r="K274" i="2"/>
  <c r="L273" i="2"/>
  <c r="N273" i="2" s="1"/>
  <c r="K275" i="1"/>
  <c r="L274" i="1"/>
  <c r="N274" i="1" s="1"/>
  <c r="K281" i="5" l="1"/>
  <c r="M281" i="5" s="1"/>
  <c r="L274" i="4"/>
  <c r="N274" i="4" s="1"/>
  <c r="K275" i="4"/>
  <c r="K276" i="3"/>
  <c r="L275" i="3"/>
  <c r="N275" i="3" s="1"/>
  <c r="K900" i="2"/>
  <c r="L899" i="2"/>
  <c r="N899" i="2" s="1"/>
  <c r="K275" i="2"/>
  <c r="L274" i="2"/>
  <c r="N274" i="2" s="1"/>
  <c r="K572" i="2"/>
  <c r="L571" i="2"/>
  <c r="N571" i="2" s="1"/>
  <c r="K276" i="1"/>
  <c r="L275" i="1"/>
  <c r="N275" i="1" s="1"/>
  <c r="K282" i="5" l="1"/>
  <c r="M282" i="5" s="1"/>
  <c r="K276" i="4"/>
  <c r="L275" i="4"/>
  <c r="N275" i="4" s="1"/>
  <c r="K277" i="3"/>
  <c r="L276" i="3"/>
  <c r="N276" i="3" s="1"/>
  <c r="K276" i="2"/>
  <c r="L275" i="2"/>
  <c r="N275" i="2" s="1"/>
  <c r="K573" i="2"/>
  <c r="L572" i="2"/>
  <c r="N572" i="2" s="1"/>
  <c r="K901" i="2"/>
  <c r="L900" i="2"/>
  <c r="N900" i="2" s="1"/>
  <c r="K277" i="1"/>
  <c r="L276" i="1"/>
  <c r="N276" i="1" s="1"/>
  <c r="K283" i="5" l="1"/>
  <c r="M283" i="5" s="1"/>
  <c r="K277" i="4"/>
  <c r="L276" i="4"/>
  <c r="N276" i="4" s="1"/>
  <c r="L277" i="3"/>
  <c r="N277" i="3" s="1"/>
  <c r="K278" i="3"/>
  <c r="K574" i="2"/>
  <c r="L573" i="2"/>
  <c r="N573" i="2" s="1"/>
  <c r="K902" i="2"/>
  <c r="L901" i="2"/>
  <c r="N901" i="2" s="1"/>
  <c r="K277" i="2"/>
  <c r="L276" i="2"/>
  <c r="N276" i="2" s="1"/>
  <c r="K278" i="1"/>
  <c r="L277" i="1"/>
  <c r="N277" i="1" s="1"/>
  <c r="K284" i="5" l="1"/>
  <c r="M284" i="5" s="1"/>
  <c r="L277" i="4"/>
  <c r="N277" i="4" s="1"/>
  <c r="K278" i="4"/>
  <c r="K279" i="3"/>
  <c r="L278" i="3"/>
  <c r="N278" i="3" s="1"/>
  <c r="K903" i="2"/>
  <c r="L902" i="2"/>
  <c r="N902" i="2" s="1"/>
  <c r="K278" i="2"/>
  <c r="L277" i="2"/>
  <c r="N277" i="2" s="1"/>
  <c r="K575" i="2"/>
  <c r="L574" i="2"/>
  <c r="N574" i="2" s="1"/>
  <c r="L278" i="1"/>
  <c r="N278" i="1" s="1"/>
  <c r="K279" i="1"/>
  <c r="K285" i="5" l="1"/>
  <c r="M285" i="5" s="1"/>
  <c r="L278" i="4"/>
  <c r="N278" i="4" s="1"/>
  <c r="K279" i="4"/>
  <c r="K280" i="3"/>
  <c r="L279" i="3"/>
  <c r="N279" i="3" s="1"/>
  <c r="L278" i="2"/>
  <c r="N278" i="2" s="1"/>
  <c r="K279" i="2"/>
  <c r="K576" i="2"/>
  <c r="L575" i="2"/>
  <c r="N575" i="2" s="1"/>
  <c r="K904" i="2"/>
  <c r="L903" i="2"/>
  <c r="N903" i="2" s="1"/>
  <c r="L279" i="1"/>
  <c r="N279" i="1" s="1"/>
  <c r="K280" i="1"/>
  <c r="K286" i="5" l="1"/>
  <c r="M286" i="5" s="1"/>
  <c r="K280" i="4"/>
  <c r="L279" i="4"/>
  <c r="N279" i="4" s="1"/>
  <c r="K281" i="3"/>
  <c r="L280" i="3"/>
  <c r="N280" i="3" s="1"/>
  <c r="K577" i="2"/>
  <c r="L576" i="2"/>
  <c r="N576" i="2" s="1"/>
  <c r="K280" i="2"/>
  <c r="L279" i="2"/>
  <c r="N279" i="2" s="1"/>
  <c r="K905" i="2"/>
  <c r="L904" i="2"/>
  <c r="N904" i="2" s="1"/>
  <c r="L280" i="1"/>
  <c r="N280" i="1" s="1"/>
  <c r="K281" i="1"/>
  <c r="K287" i="5" l="1"/>
  <c r="M287" i="5" s="1"/>
  <c r="K281" i="4"/>
  <c r="L280" i="4"/>
  <c r="N280" i="4" s="1"/>
  <c r="L281" i="3"/>
  <c r="N281" i="3" s="1"/>
  <c r="K282" i="3"/>
  <c r="K281" i="2"/>
  <c r="L280" i="2"/>
  <c r="N280" i="2" s="1"/>
  <c r="K906" i="2"/>
  <c r="L905" i="2"/>
  <c r="N905" i="2" s="1"/>
  <c r="K578" i="2"/>
  <c r="L577" i="2"/>
  <c r="N577" i="2" s="1"/>
  <c r="K282" i="1"/>
  <c r="L281" i="1"/>
  <c r="N281" i="1" s="1"/>
  <c r="K288" i="5" l="1"/>
  <c r="M288" i="5" s="1"/>
  <c r="L281" i="4"/>
  <c r="N281" i="4" s="1"/>
  <c r="K282" i="4"/>
  <c r="K283" i="3"/>
  <c r="L282" i="3"/>
  <c r="N282" i="3" s="1"/>
  <c r="K907" i="2"/>
  <c r="L906" i="2"/>
  <c r="N906" i="2" s="1"/>
  <c r="K579" i="2"/>
  <c r="L578" i="2"/>
  <c r="N578" i="2" s="1"/>
  <c r="L281" i="2"/>
  <c r="N281" i="2" s="1"/>
  <c r="K282" i="2"/>
  <c r="K283" i="1"/>
  <c r="L282" i="1"/>
  <c r="N282" i="1" s="1"/>
  <c r="K289" i="5" l="1"/>
  <c r="M289" i="5" s="1"/>
  <c r="L282" i="4"/>
  <c r="N282" i="4" s="1"/>
  <c r="K283" i="4"/>
  <c r="K284" i="3"/>
  <c r="L283" i="3"/>
  <c r="N283" i="3" s="1"/>
  <c r="L579" i="2"/>
  <c r="N579" i="2" s="1"/>
  <c r="K580" i="2"/>
  <c r="K283" i="2"/>
  <c r="L282" i="2"/>
  <c r="N282" i="2" s="1"/>
  <c r="K908" i="2"/>
  <c r="L907" i="2"/>
  <c r="N907" i="2" s="1"/>
  <c r="L283" i="1"/>
  <c r="N283" i="1" s="1"/>
  <c r="K284" i="1"/>
  <c r="K290" i="5" l="1"/>
  <c r="M290" i="5" s="1"/>
  <c r="K284" i="4"/>
  <c r="L283" i="4"/>
  <c r="N283" i="4" s="1"/>
  <c r="K285" i="3"/>
  <c r="L284" i="3"/>
  <c r="N284" i="3" s="1"/>
  <c r="K284" i="2"/>
  <c r="L283" i="2"/>
  <c r="N283" i="2" s="1"/>
  <c r="L580" i="2"/>
  <c r="N580" i="2" s="1"/>
  <c r="K581" i="2"/>
  <c r="K909" i="2"/>
  <c r="L908" i="2"/>
  <c r="N908" i="2" s="1"/>
  <c r="K285" i="1"/>
  <c r="L284" i="1"/>
  <c r="N284" i="1" s="1"/>
  <c r="K291" i="5" l="1"/>
  <c r="M291" i="5" s="1"/>
  <c r="K285" i="4"/>
  <c r="L284" i="4"/>
  <c r="N284" i="4" s="1"/>
  <c r="L285" i="3"/>
  <c r="N285" i="3" s="1"/>
  <c r="K286" i="3"/>
  <c r="L581" i="2"/>
  <c r="N581" i="2" s="1"/>
  <c r="K582" i="2"/>
  <c r="K910" i="2"/>
  <c r="L909" i="2"/>
  <c r="N909" i="2" s="1"/>
  <c r="K285" i="2"/>
  <c r="L284" i="2"/>
  <c r="N284" i="2" s="1"/>
  <c r="K286" i="1"/>
  <c r="L285" i="1"/>
  <c r="N285" i="1" s="1"/>
  <c r="K292" i="5" l="1"/>
  <c r="M292" i="5" s="1"/>
  <c r="L285" i="4"/>
  <c r="N285" i="4" s="1"/>
  <c r="K286" i="4"/>
  <c r="K287" i="3"/>
  <c r="L286" i="3"/>
  <c r="N286" i="3" s="1"/>
  <c r="K911" i="2"/>
  <c r="L910" i="2"/>
  <c r="N910" i="2" s="1"/>
  <c r="K583" i="2"/>
  <c r="L582" i="2"/>
  <c r="N582" i="2" s="1"/>
  <c r="L285" i="2"/>
  <c r="N285" i="2" s="1"/>
  <c r="K286" i="2"/>
  <c r="L286" i="1"/>
  <c r="N286" i="1" s="1"/>
  <c r="K287" i="1"/>
  <c r="K293" i="5" l="1"/>
  <c r="M293" i="5" s="1"/>
  <c r="L286" i="4"/>
  <c r="N286" i="4" s="1"/>
  <c r="K287" i="4"/>
  <c r="K288" i="3"/>
  <c r="L287" i="3"/>
  <c r="N287" i="3" s="1"/>
  <c r="L583" i="2"/>
  <c r="N583" i="2" s="1"/>
  <c r="K584" i="2"/>
  <c r="L286" i="2"/>
  <c r="N286" i="2" s="1"/>
  <c r="K287" i="2"/>
  <c r="K912" i="2"/>
  <c r="L911" i="2"/>
  <c r="N911" i="2" s="1"/>
  <c r="L287" i="1"/>
  <c r="N287" i="1" s="1"/>
  <c r="K288" i="1"/>
  <c r="K294" i="5" l="1"/>
  <c r="M294" i="5" s="1"/>
  <c r="K288" i="4"/>
  <c r="L287" i="4"/>
  <c r="N287" i="4" s="1"/>
  <c r="K289" i="3"/>
  <c r="L288" i="3"/>
  <c r="N288" i="3" s="1"/>
  <c r="K288" i="2"/>
  <c r="L287" i="2"/>
  <c r="N287" i="2" s="1"/>
  <c r="K585" i="2"/>
  <c r="L584" i="2"/>
  <c r="N584" i="2" s="1"/>
  <c r="K913" i="2"/>
  <c r="L912" i="2"/>
  <c r="N912" i="2" s="1"/>
  <c r="L288" i="1"/>
  <c r="N288" i="1" s="1"/>
  <c r="K289" i="1"/>
  <c r="K295" i="5" l="1"/>
  <c r="M295" i="5" s="1"/>
  <c r="K289" i="4"/>
  <c r="L288" i="4"/>
  <c r="N288" i="4" s="1"/>
  <c r="L289" i="3"/>
  <c r="N289" i="3" s="1"/>
  <c r="K290" i="3"/>
  <c r="L585" i="2"/>
  <c r="N585" i="2" s="1"/>
  <c r="K586" i="2"/>
  <c r="K914" i="2"/>
  <c r="L913" i="2"/>
  <c r="N913" i="2" s="1"/>
  <c r="K289" i="2"/>
  <c r="L288" i="2"/>
  <c r="N288" i="2" s="1"/>
  <c r="K290" i="1"/>
  <c r="L289" i="1"/>
  <c r="N289" i="1" s="1"/>
  <c r="K296" i="5" l="1"/>
  <c r="M296" i="5" s="1"/>
  <c r="L289" i="4"/>
  <c r="N289" i="4" s="1"/>
  <c r="K290" i="4"/>
  <c r="K291" i="3"/>
  <c r="L290" i="3"/>
  <c r="N290" i="3" s="1"/>
  <c r="K915" i="2"/>
  <c r="L914" i="2"/>
  <c r="N914" i="2" s="1"/>
  <c r="K587" i="2"/>
  <c r="L586" i="2"/>
  <c r="N586" i="2" s="1"/>
  <c r="L289" i="2"/>
  <c r="N289" i="2" s="1"/>
  <c r="K290" i="2"/>
  <c r="K291" i="1"/>
  <c r="L290" i="1"/>
  <c r="N290" i="1" s="1"/>
  <c r="K297" i="5" l="1"/>
  <c r="M297" i="5" s="1"/>
  <c r="L290" i="4"/>
  <c r="N290" i="4" s="1"/>
  <c r="K291" i="4"/>
  <c r="K292" i="3"/>
  <c r="L291" i="3"/>
  <c r="N291" i="3" s="1"/>
  <c r="K588" i="2"/>
  <c r="L587" i="2"/>
  <c r="N587" i="2" s="1"/>
  <c r="K291" i="2"/>
  <c r="L290" i="2"/>
  <c r="N290" i="2" s="1"/>
  <c r="K916" i="2"/>
  <c r="L915" i="2"/>
  <c r="N915" i="2" s="1"/>
  <c r="K292" i="1"/>
  <c r="L291" i="1"/>
  <c r="N291" i="1" s="1"/>
  <c r="K298" i="5" l="1"/>
  <c r="M298" i="5" s="1"/>
  <c r="K292" i="4"/>
  <c r="L291" i="4"/>
  <c r="N291" i="4" s="1"/>
  <c r="K293" i="3"/>
  <c r="L292" i="3"/>
  <c r="N292" i="3" s="1"/>
  <c r="K292" i="2"/>
  <c r="L291" i="2"/>
  <c r="N291" i="2" s="1"/>
  <c r="K917" i="2"/>
  <c r="L916" i="2"/>
  <c r="N916" i="2" s="1"/>
  <c r="K589" i="2"/>
  <c r="L588" i="2"/>
  <c r="N588" i="2" s="1"/>
  <c r="K293" i="1"/>
  <c r="L292" i="1"/>
  <c r="N292" i="1" s="1"/>
  <c r="K299" i="5" l="1"/>
  <c r="M299" i="5" s="1"/>
  <c r="K293" i="4"/>
  <c r="L292" i="4"/>
  <c r="N292" i="4" s="1"/>
  <c r="L293" i="3"/>
  <c r="N293" i="3" s="1"/>
  <c r="K294" i="3"/>
  <c r="K918" i="2"/>
  <c r="L917" i="2"/>
  <c r="N917" i="2" s="1"/>
  <c r="K590" i="2"/>
  <c r="L589" i="2"/>
  <c r="N589" i="2" s="1"/>
  <c r="K293" i="2"/>
  <c r="L292" i="2"/>
  <c r="N292" i="2" s="1"/>
  <c r="K294" i="1"/>
  <c r="L293" i="1"/>
  <c r="N293" i="1" s="1"/>
  <c r="K300" i="5" l="1"/>
  <c r="M300" i="5" s="1"/>
  <c r="L293" i="4"/>
  <c r="N293" i="4" s="1"/>
  <c r="K294" i="4"/>
  <c r="K295" i="3"/>
  <c r="L294" i="3"/>
  <c r="N294" i="3" s="1"/>
  <c r="K591" i="2"/>
  <c r="L590" i="2"/>
  <c r="N590" i="2" s="1"/>
  <c r="K294" i="2"/>
  <c r="L293" i="2"/>
  <c r="N293" i="2" s="1"/>
  <c r="K919" i="2"/>
  <c r="L918" i="2"/>
  <c r="N918" i="2" s="1"/>
  <c r="L294" i="1"/>
  <c r="N294" i="1" s="1"/>
  <c r="K295" i="1"/>
  <c r="K301" i="5" l="1"/>
  <c r="M301" i="5" s="1"/>
  <c r="L294" i="4"/>
  <c r="N294" i="4" s="1"/>
  <c r="K295" i="4"/>
  <c r="K296" i="3"/>
  <c r="L295" i="3"/>
  <c r="N295" i="3" s="1"/>
  <c r="L294" i="2"/>
  <c r="N294" i="2" s="1"/>
  <c r="K295" i="2"/>
  <c r="K920" i="2"/>
  <c r="L919" i="2"/>
  <c r="N919" i="2" s="1"/>
  <c r="K592" i="2"/>
  <c r="L591" i="2"/>
  <c r="N591" i="2" s="1"/>
  <c r="L295" i="1"/>
  <c r="N295" i="1" s="1"/>
  <c r="K296" i="1"/>
  <c r="K302" i="5" l="1"/>
  <c r="M302" i="5" s="1"/>
  <c r="K296" i="4"/>
  <c r="L295" i="4"/>
  <c r="N295" i="4" s="1"/>
  <c r="K297" i="3"/>
  <c r="L296" i="3"/>
  <c r="N296" i="3" s="1"/>
  <c r="K921" i="2"/>
  <c r="L920" i="2"/>
  <c r="N920" i="2" s="1"/>
  <c r="K296" i="2"/>
  <c r="L295" i="2"/>
  <c r="N295" i="2" s="1"/>
  <c r="K593" i="2"/>
  <c r="L592" i="2"/>
  <c r="N592" i="2" s="1"/>
  <c r="L296" i="1"/>
  <c r="N296" i="1" s="1"/>
  <c r="K297" i="1"/>
  <c r="K303" i="5" l="1"/>
  <c r="M303" i="5" s="1"/>
  <c r="K297" i="4"/>
  <c r="L296" i="4"/>
  <c r="N296" i="4" s="1"/>
  <c r="L297" i="3"/>
  <c r="N297" i="3" s="1"/>
  <c r="K298" i="3"/>
  <c r="K297" i="2"/>
  <c r="L296" i="2"/>
  <c r="N296" i="2" s="1"/>
  <c r="K594" i="2"/>
  <c r="L593" i="2"/>
  <c r="N593" i="2" s="1"/>
  <c r="K922" i="2"/>
  <c r="L922" i="2" s="1"/>
  <c r="N922" i="2" s="1"/>
  <c r="L921" i="2"/>
  <c r="N921" i="2" s="1"/>
  <c r="K298" i="1"/>
  <c r="L297" i="1"/>
  <c r="N297" i="1" s="1"/>
  <c r="K304" i="5" l="1"/>
  <c r="M304" i="5" s="1"/>
  <c r="L297" i="4"/>
  <c r="N297" i="4" s="1"/>
  <c r="K298" i="4"/>
  <c r="K299" i="3"/>
  <c r="L298" i="3"/>
  <c r="N298" i="3" s="1"/>
  <c r="K595" i="2"/>
  <c r="L594" i="2"/>
  <c r="N594" i="2" s="1"/>
  <c r="L297" i="2"/>
  <c r="N297" i="2" s="1"/>
  <c r="K298" i="2"/>
  <c r="K299" i="1"/>
  <c r="L298" i="1"/>
  <c r="N298" i="1" s="1"/>
  <c r="K305" i="5" l="1"/>
  <c r="M305" i="5" s="1"/>
  <c r="L298" i="4"/>
  <c r="N298" i="4" s="1"/>
  <c r="K299" i="4"/>
  <c r="K300" i="3"/>
  <c r="L299" i="3"/>
  <c r="N299" i="3" s="1"/>
  <c r="K299" i="2"/>
  <c r="L299" i="2" s="1"/>
  <c r="N299" i="2" s="1"/>
  <c r="L298" i="2"/>
  <c r="N298" i="2" s="1"/>
  <c r="L595" i="2"/>
  <c r="N595" i="2" s="1"/>
  <c r="K596" i="2"/>
  <c r="L299" i="1"/>
  <c r="N299" i="1" s="1"/>
  <c r="K300" i="1"/>
  <c r="K306" i="5" l="1"/>
  <c r="M306" i="5" s="1"/>
  <c r="K300" i="4"/>
  <c r="L299" i="4"/>
  <c r="N299" i="4" s="1"/>
  <c r="K301" i="3"/>
  <c r="L300" i="3"/>
  <c r="N300" i="3" s="1"/>
  <c r="L596" i="2"/>
  <c r="N596" i="2" s="1"/>
  <c r="K597" i="2"/>
  <c r="K301" i="1"/>
  <c r="L300" i="1"/>
  <c r="N300" i="1" s="1"/>
  <c r="K307" i="5" l="1"/>
  <c r="M307" i="5" s="1"/>
  <c r="K301" i="4"/>
  <c r="L300" i="4"/>
  <c r="N300" i="4" s="1"/>
  <c r="L301" i="3"/>
  <c r="N301" i="3" s="1"/>
  <c r="K302" i="3"/>
  <c r="L597" i="2"/>
  <c r="N597" i="2" s="1"/>
  <c r="K598" i="2"/>
  <c r="K302" i="1"/>
  <c r="L301" i="1"/>
  <c r="N301" i="1" s="1"/>
  <c r="K308" i="5" l="1"/>
  <c r="M308" i="5" s="1"/>
  <c r="L301" i="4"/>
  <c r="N301" i="4" s="1"/>
  <c r="K302" i="4"/>
  <c r="K303" i="3"/>
  <c r="L302" i="3"/>
  <c r="N302" i="3" s="1"/>
  <c r="K599" i="2"/>
  <c r="L598" i="2"/>
  <c r="N598" i="2" s="1"/>
  <c r="K303" i="1"/>
  <c r="L302" i="1"/>
  <c r="N302" i="1" s="1"/>
  <c r="K309" i="5" l="1"/>
  <c r="M309" i="5" s="1"/>
  <c r="L302" i="4"/>
  <c r="N302" i="4" s="1"/>
  <c r="K303" i="4"/>
  <c r="K304" i="3"/>
  <c r="L303" i="3"/>
  <c r="N303" i="3" s="1"/>
  <c r="K600" i="2"/>
  <c r="L599" i="2"/>
  <c r="N599" i="2" s="1"/>
  <c r="L303" i="1"/>
  <c r="N303" i="1" s="1"/>
  <c r="K304" i="1"/>
  <c r="K310" i="5" l="1"/>
  <c r="M310" i="5" s="1"/>
  <c r="K304" i="4"/>
  <c r="L304" i="4" s="1"/>
  <c r="N304" i="4" s="1"/>
  <c r="L303" i="4"/>
  <c r="N303" i="4" s="1"/>
  <c r="K305" i="3"/>
  <c r="L304" i="3"/>
  <c r="N304" i="3" s="1"/>
  <c r="L600" i="2"/>
  <c r="N600" i="2" s="1"/>
  <c r="K601" i="2"/>
  <c r="K305" i="1"/>
  <c r="L304" i="1"/>
  <c r="N304" i="1" s="1"/>
  <c r="K311" i="5" l="1"/>
  <c r="M311" i="5" s="1"/>
  <c r="N926" i="4"/>
  <c r="G12" i="9" s="1"/>
  <c r="G14" i="9" s="1"/>
  <c r="G16" i="9" s="1"/>
  <c r="L305" i="3"/>
  <c r="N305" i="3" s="1"/>
  <c r="K306" i="3"/>
  <c r="K602" i="2"/>
  <c r="L601" i="2"/>
  <c r="N601" i="2" s="1"/>
  <c r="K306" i="1"/>
  <c r="L305" i="1"/>
  <c r="N305" i="1" s="1"/>
  <c r="K312" i="5" l="1"/>
  <c r="M312" i="5" s="1"/>
  <c r="K307" i="3"/>
  <c r="L306" i="3"/>
  <c r="N306" i="3" s="1"/>
  <c r="K603" i="2"/>
  <c r="L602" i="2"/>
  <c r="N602" i="2" s="1"/>
  <c r="K307" i="1"/>
  <c r="L306" i="1"/>
  <c r="N306" i="1" s="1"/>
  <c r="K313" i="5" l="1"/>
  <c r="M313" i="5" s="1"/>
  <c r="K308" i="3"/>
  <c r="L307" i="3"/>
  <c r="N307" i="3" s="1"/>
  <c r="K604" i="2"/>
  <c r="L603" i="2"/>
  <c r="N603" i="2" s="1"/>
  <c r="K308" i="1"/>
  <c r="L307" i="1"/>
  <c r="N307" i="1" s="1"/>
  <c r="K314" i="5" l="1"/>
  <c r="M314" i="5" s="1"/>
  <c r="K309" i="3"/>
  <c r="L308" i="3"/>
  <c r="N308" i="3" s="1"/>
  <c r="K605" i="2"/>
  <c r="L604" i="2"/>
  <c r="N604" i="2" s="1"/>
  <c r="K309" i="1"/>
  <c r="L308" i="1"/>
  <c r="N308" i="1" s="1"/>
  <c r="K315" i="5" l="1"/>
  <c r="M315" i="5" s="1"/>
  <c r="L309" i="3"/>
  <c r="N309" i="3" s="1"/>
  <c r="K310" i="3"/>
  <c r="K606" i="2"/>
  <c r="L605" i="2"/>
  <c r="N605" i="2" s="1"/>
  <c r="K310" i="1"/>
  <c r="L309" i="1"/>
  <c r="N309" i="1" s="1"/>
  <c r="K316" i="5" l="1"/>
  <c r="M316" i="5" s="1"/>
  <c r="K311" i="3"/>
  <c r="L310" i="3"/>
  <c r="N310" i="3" s="1"/>
  <c r="L606" i="2"/>
  <c r="N606" i="2" s="1"/>
  <c r="L310" i="1"/>
  <c r="N310" i="1" s="1"/>
  <c r="K311" i="1"/>
  <c r="K317" i="5" l="1"/>
  <c r="M317" i="5" s="1"/>
  <c r="K312" i="3"/>
  <c r="L311" i="3"/>
  <c r="N311" i="3" s="1"/>
  <c r="K608" i="2"/>
  <c r="L607" i="2"/>
  <c r="N607" i="2" s="1"/>
  <c r="L311" i="1"/>
  <c r="N311" i="1" s="1"/>
  <c r="K312" i="1"/>
  <c r="K318" i="5" l="1"/>
  <c r="M318" i="5" s="1"/>
  <c r="K313" i="3"/>
  <c r="L312" i="3"/>
  <c r="N312" i="3" s="1"/>
  <c r="K609" i="2"/>
  <c r="L608" i="2"/>
  <c r="N608" i="2" s="1"/>
  <c r="L312" i="1"/>
  <c r="N312" i="1" s="1"/>
  <c r="K313" i="1"/>
  <c r="K319" i="5" l="1"/>
  <c r="M319" i="5" s="1"/>
  <c r="K314" i="3"/>
  <c r="L313" i="3"/>
  <c r="N313" i="3" s="1"/>
  <c r="K610" i="2"/>
  <c r="L609" i="2"/>
  <c r="N609" i="2" s="1"/>
  <c r="K314" i="1"/>
  <c r="L313" i="1"/>
  <c r="N313" i="1" s="1"/>
  <c r="K320" i="5" l="1"/>
  <c r="M320" i="5" s="1"/>
  <c r="L314" i="3"/>
  <c r="N314" i="3" s="1"/>
  <c r="K315" i="3"/>
  <c r="K611" i="2"/>
  <c r="L610" i="2"/>
  <c r="N610" i="2" s="1"/>
  <c r="K315" i="1"/>
  <c r="L314" i="1"/>
  <c r="N314" i="1" s="1"/>
  <c r="K321" i="5" l="1"/>
  <c r="M321" i="5" s="1"/>
  <c r="L315" i="3"/>
  <c r="N315" i="3" s="1"/>
  <c r="K316" i="3"/>
  <c r="L611" i="2"/>
  <c r="N611" i="2" s="1"/>
  <c r="K612" i="2"/>
  <c r="K316" i="1"/>
  <c r="L315" i="1"/>
  <c r="N315" i="1" s="1"/>
  <c r="K322" i="5" l="1"/>
  <c r="M322" i="5" s="1"/>
  <c r="K317" i="3"/>
  <c r="L316" i="3"/>
  <c r="N316" i="3" s="1"/>
  <c r="L612" i="2"/>
  <c r="N612" i="2" s="1"/>
  <c r="K613" i="2"/>
  <c r="K317" i="1"/>
  <c r="L316" i="1"/>
  <c r="N316" i="1" s="1"/>
  <c r="K323" i="5" l="1"/>
  <c r="M323" i="5" s="1"/>
  <c r="K318" i="3"/>
  <c r="L317" i="3"/>
  <c r="N317" i="3" s="1"/>
  <c r="L613" i="2"/>
  <c r="N613" i="2" s="1"/>
  <c r="K614" i="2"/>
  <c r="K318" i="1"/>
  <c r="L317" i="1"/>
  <c r="N317" i="1" s="1"/>
  <c r="K324" i="5" l="1"/>
  <c r="M324" i="5" s="1"/>
  <c r="L318" i="3"/>
  <c r="N318" i="3" s="1"/>
  <c r="K319" i="3"/>
  <c r="K615" i="2"/>
  <c r="L614" i="2"/>
  <c r="N614" i="2" s="1"/>
  <c r="K319" i="1"/>
  <c r="L318" i="1"/>
  <c r="N318" i="1" s="1"/>
  <c r="K325" i="5" l="1"/>
  <c r="M325" i="5" s="1"/>
  <c r="L319" i="3"/>
  <c r="N319" i="3" s="1"/>
  <c r="K320" i="3"/>
  <c r="L615" i="2"/>
  <c r="N615" i="2" s="1"/>
  <c r="K616" i="2"/>
  <c r="K320" i="1"/>
  <c r="L319" i="1"/>
  <c r="N319" i="1" s="1"/>
  <c r="K326" i="5" l="1"/>
  <c r="M326" i="5" s="1"/>
  <c r="K321" i="3"/>
  <c r="L320" i="3"/>
  <c r="N320" i="3" s="1"/>
  <c r="K617" i="2"/>
  <c r="L616" i="2"/>
  <c r="N616" i="2" s="1"/>
  <c r="K321" i="1"/>
  <c r="L320" i="1"/>
  <c r="N320" i="1" s="1"/>
  <c r="K327" i="5" l="1"/>
  <c r="M327" i="5" s="1"/>
  <c r="K322" i="3"/>
  <c r="L321" i="3"/>
  <c r="N321" i="3" s="1"/>
  <c r="L617" i="2"/>
  <c r="N617" i="2" s="1"/>
  <c r="K618" i="2"/>
  <c r="L321" i="1"/>
  <c r="N321" i="1" s="1"/>
  <c r="K322" i="1"/>
  <c r="K328" i="5" l="1"/>
  <c r="M328" i="5" s="1"/>
  <c r="L322" i="3"/>
  <c r="N322" i="3" s="1"/>
  <c r="K323" i="3"/>
  <c r="K619" i="2"/>
  <c r="L618" i="2"/>
  <c r="N618" i="2" s="1"/>
  <c r="L322" i="1"/>
  <c r="N322" i="1" s="1"/>
  <c r="K323" i="1"/>
  <c r="K329" i="5" l="1"/>
  <c r="M329" i="5" s="1"/>
  <c r="L323" i="3"/>
  <c r="N323" i="3" s="1"/>
  <c r="K324" i="3"/>
  <c r="K620" i="2"/>
  <c r="L619" i="2"/>
  <c r="N619" i="2" s="1"/>
  <c r="L323" i="1"/>
  <c r="N323" i="1" s="1"/>
  <c r="K324" i="1"/>
  <c r="K330" i="5" l="1"/>
  <c r="M330" i="5" s="1"/>
  <c r="K325" i="3"/>
  <c r="L324" i="3"/>
  <c r="N324" i="3" s="1"/>
  <c r="K621" i="2"/>
  <c r="L620" i="2"/>
  <c r="N620" i="2" s="1"/>
  <c r="K325" i="1"/>
  <c r="L324" i="1"/>
  <c r="N324" i="1" s="1"/>
  <c r="K331" i="5" l="1"/>
  <c r="M331" i="5" s="1"/>
  <c r="K326" i="3"/>
  <c r="L325" i="3"/>
  <c r="N325" i="3" s="1"/>
  <c r="K622" i="2"/>
  <c r="L621" i="2"/>
  <c r="N621" i="2" s="1"/>
  <c r="L325" i="1"/>
  <c r="N325" i="1" s="1"/>
  <c r="K326" i="1"/>
  <c r="K332" i="5" l="1"/>
  <c r="M332" i="5" s="1"/>
  <c r="L326" i="3"/>
  <c r="N326" i="3" s="1"/>
  <c r="K327" i="3"/>
  <c r="K623" i="2"/>
  <c r="L622" i="2"/>
  <c r="N622" i="2" s="1"/>
  <c r="L326" i="1"/>
  <c r="N326" i="1" s="1"/>
  <c r="K327" i="1"/>
  <c r="K333" i="5" l="1"/>
  <c r="M333" i="5" s="1"/>
  <c r="L327" i="3"/>
  <c r="N327" i="3" s="1"/>
  <c r="K328" i="3"/>
  <c r="K624" i="2"/>
  <c r="L623" i="2"/>
  <c r="N623" i="2" s="1"/>
  <c r="L327" i="1"/>
  <c r="N327" i="1" s="1"/>
  <c r="K328" i="1"/>
  <c r="K334" i="5" l="1"/>
  <c r="M334" i="5" s="1"/>
  <c r="K329" i="3"/>
  <c r="L328" i="3"/>
  <c r="N328" i="3" s="1"/>
  <c r="K625" i="2"/>
  <c r="L624" i="2"/>
  <c r="N624" i="2" s="1"/>
  <c r="K329" i="1"/>
  <c r="L328" i="1"/>
  <c r="N328" i="1" s="1"/>
  <c r="K335" i="5" l="1"/>
  <c r="M335" i="5" s="1"/>
  <c r="K330" i="3"/>
  <c r="L329" i="3"/>
  <c r="N329" i="3" s="1"/>
  <c r="K626" i="2"/>
  <c r="L626" i="2" s="1"/>
  <c r="N626" i="2" s="1"/>
  <c r="L625" i="2"/>
  <c r="N625" i="2" s="1"/>
  <c r="K330" i="1"/>
  <c r="L329" i="1"/>
  <c r="N329" i="1" s="1"/>
  <c r="K336" i="5" l="1"/>
  <c r="M336" i="5" s="1"/>
  <c r="L330" i="3"/>
  <c r="N330" i="3" s="1"/>
  <c r="K331" i="3"/>
  <c r="N924" i="2"/>
  <c r="E12" i="9" s="1"/>
  <c r="E14" i="9" s="1"/>
  <c r="E16" i="9" s="1"/>
  <c r="L330" i="1"/>
  <c r="N330" i="1" s="1"/>
  <c r="K331" i="1"/>
  <c r="K337" i="5" l="1"/>
  <c r="M337" i="5" s="1"/>
  <c r="L331" i="3"/>
  <c r="N331" i="3" s="1"/>
  <c r="K332" i="3"/>
  <c r="K332" i="1"/>
  <c r="L331" i="1"/>
  <c r="N331" i="1" s="1"/>
  <c r="K338" i="5" l="1"/>
  <c r="M338" i="5" s="1"/>
  <c r="K333" i="3"/>
  <c r="L332" i="3"/>
  <c r="N332" i="3" s="1"/>
  <c r="K333" i="1"/>
  <c r="L332" i="1"/>
  <c r="N332" i="1" s="1"/>
  <c r="K339" i="5" l="1"/>
  <c r="M339" i="5" s="1"/>
  <c r="K334" i="3"/>
  <c r="L333" i="3"/>
  <c r="N333" i="3" s="1"/>
  <c r="K334" i="1"/>
  <c r="L333" i="1"/>
  <c r="N333" i="1" s="1"/>
  <c r="K340" i="5" l="1"/>
  <c r="M340" i="5" s="1"/>
  <c r="L334" i="3"/>
  <c r="N334" i="3" s="1"/>
  <c r="K335" i="3"/>
  <c r="K335" i="1"/>
  <c r="L334" i="1"/>
  <c r="N334" i="1" s="1"/>
  <c r="K341" i="5" l="1"/>
  <c r="M341" i="5" s="1"/>
  <c r="L335" i="3"/>
  <c r="N335" i="3" s="1"/>
  <c r="K336" i="3"/>
  <c r="K336" i="1"/>
  <c r="L335" i="1"/>
  <c r="N335" i="1" s="1"/>
  <c r="K342" i="5" l="1"/>
  <c r="M342" i="5" s="1"/>
  <c r="K337" i="3"/>
  <c r="L336" i="3"/>
  <c r="N336" i="3" s="1"/>
  <c r="K337" i="1"/>
  <c r="L336" i="1"/>
  <c r="N336" i="1" s="1"/>
  <c r="K343" i="5" l="1"/>
  <c r="M343" i="5" s="1"/>
  <c r="K338" i="3"/>
  <c r="L337" i="3"/>
  <c r="N337" i="3" s="1"/>
  <c r="L337" i="1"/>
  <c r="N337" i="1" s="1"/>
  <c r="K338" i="1"/>
  <c r="K344" i="5" l="1"/>
  <c r="M344" i="5" s="1"/>
  <c r="L338" i="3"/>
  <c r="N338" i="3" s="1"/>
  <c r="K339" i="3"/>
  <c r="L338" i="1"/>
  <c r="N338" i="1" s="1"/>
  <c r="K339" i="1"/>
  <c r="K345" i="5" l="1"/>
  <c r="M345" i="5" s="1"/>
  <c r="L339" i="3"/>
  <c r="N339" i="3" s="1"/>
  <c r="K340" i="3"/>
  <c r="L339" i="1"/>
  <c r="N339" i="1" s="1"/>
  <c r="K340" i="1"/>
  <c r="K346" i="5" l="1"/>
  <c r="M346" i="5" s="1"/>
  <c r="K341" i="3"/>
  <c r="L340" i="3"/>
  <c r="N340" i="3" s="1"/>
  <c r="K341" i="1"/>
  <c r="L340" i="1"/>
  <c r="N340" i="1" s="1"/>
  <c r="K347" i="5" l="1"/>
  <c r="M347" i="5" s="1"/>
  <c r="K342" i="3"/>
  <c r="L341" i="3"/>
  <c r="N341" i="3" s="1"/>
  <c r="L341" i="1"/>
  <c r="N341" i="1" s="1"/>
  <c r="K342" i="1"/>
  <c r="K348" i="5" l="1"/>
  <c r="M348" i="5" s="1"/>
  <c r="L342" i="3"/>
  <c r="N342" i="3" s="1"/>
  <c r="K343" i="3"/>
  <c r="L342" i="1"/>
  <c r="N342" i="1" s="1"/>
  <c r="K343" i="1"/>
  <c r="K349" i="5" l="1"/>
  <c r="M349" i="5" s="1"/>
  <c r="L343" i="3"/>
  <c r="N343" i="3" s="1"/>
  <c r="K344" i="3"/>
  <c r="L343" i="1"/>
  <c r="N343" i="1" s="1"/>
  <c r="K344" i="1"/>
  <c r="K350" i="5" l="1"/>
  <c r="M350" i="5" s="1"/>
  <c r="K345" i="3"/>
  <c r="L344" i="3"/>
  <c r="N344" i="3" s="1"/>
  <c r="K345" i="1"/>
  <c r="L344" i="1"/>
  <c r="N344" i="1" s="1"/>
  <c r="K351" i="5" l="1"/>
  <c r="M351" i="5" s="1"/>
  <c r="K346" i="3"/>
  <c r="L345" i="3"/>
  <c r="N345" i="3" s="1"/>
  <c r="K346" i="1"/>
  <c r="L345" i="1"/>
  <c r="N345" i="1" s="1"/>
  <c r="K352" i="5" l="1"/>
  <c r="M352" i="5" s="1"/>
  <c r="L346" i="3"/>
  <c r="N346" i="3" s="1"/>
  <c r="K347" i="3"/>
  <c r="K347" i="1"/>
  <c r="L346" i="1"/>
  <c r="N346" i="1" s="1"/>
  <c r="K353" i="5" l="1"/>
  <c r="M353" i="5" s="1"/>
  <c r="L347" i="3"/>
  <c r="N347" i="3" s="1"/>
  <c r="K348" i="3"/>
  <c r="L347" i="1"/>
  <c r="N347" i="1" s="1"/>
  <c r="K348" i="1"/>
  <c r="K354" i="5" l="1"/>
  <c r="M354" i="5" s="1"/>
  <c r="K349" i="3"/>
  <c r="L348" i="3"/>
  <c r="N348" i="3" s="1"/>
  <c r="K349" i="1"/>
  <c r="L348" i="1"/>
  <c r="N348" i="1" s="1"/>
  <c r="K355" i="5" l="1"/>
  <c r="M355" i="5" s="1"/>
  <c r="K350" i="3"/>
  <c r="L349" i="3"/>
  <c r="N349" i="3" s="1"/>
  <c r="K350" i="1"/>
  <c r="L349" i="1"/>
  <c r="N349" i="1" s="1"/>
  <c r="K356" i="5" l="1"/>
  <c r="M356" i="5" s="1"/>
  <c r="L350" i="3"/>
  <c r="N350" i="3" s="1"/>
  <c r="K351" i="3"/>
  <c r="K351" i="1"/>
  <c r="L350" i="1"/>
  <c r="N350" i="1" s="1"/>
  <c r="K357" i="5" l="1"/>
  <c r="M357" i="5" s="1"/>
  <c r="L351" i="3"/>
  <c r="N351" i="3" s="1"/>
  <c r="K352" i="3"/>
  <c r="K352" i="1"/>
  <c r="L351" i="1"/>
  <c r="N351" i="1" s="1"/>
  <c r="K358" i="5" l="1"/>
  <c r="M358" i="5" s="1"/>
  <c r="K353" i="3"/>
  <c r="L352" i="3"/>
  <c r="N352" i="3" s="1"/>
  <c r="K353" i="1"/>
  <c r="L352" i="1"/>
  <c r="N352" i="1" s="1"/>
  <c r="K359" i="5" l="1"/>
  <c r="M359" i="5" s="1"/>
  <c r="K354" i="3"/>
  <c r="L353" i="3"/>
  <c r="N353" i="3" s="1"/>
  <c r="L353" i="1"/>
  <c r="N353" i="1" s="1"/>
  <c r="K354" i="1"/>
  <c r="K360" i="5" l="1"/>
  <c r="M360" i="5" s="1"/>
  <c r="L354" i="3"/>
  <c r="N354" i="3" s="1"/>
  <c r="K355" i="3"/>
  <c r="L354" i="1"/>
  <c r="N354" i="1" s="1"/>
  <c r="K355" i="1"/>
  <c r="K361" i="5" l="1"/>
  <c r="M361" i="5" s="1"/>
  <c r="L355" i="3"/>
  <c r="N355" i="3" s="1"/>
  <c r="K356" i="3"/>
  <c r="L355" i="1"/>
  <c r="N355" i="1" s="1"/>
  <c r="K356" i="1"/>
  <c r="K362" i="5" l="1"/>
  <c r="M362" i="5" s="1"/>
  <c r="K357" i="3"/>
  <c r="L356" i="3"/>
  <c r="N356" i="3" s="1"/>
  <c r="K357" i="1"/>
  <c r="L356" i="1"/>
  <c r="N356" i="1" s="1"/>
  <c r="K363" i="5" l="1"/>
  <c r="M363" i="5" s="1"/>
  <c r="K358" i="3"/>
  <c r="L357" i="3"/>
  <c r="N357" i="3" s="1"/>
  <c r="L357" i="1"/>
  <c r="N357" i="1" s="1"/>
  <c r="K358" i="1"/>
  <c r="K364" i="5" l="1"/>
  <c r="M364" i="5" s="1"/>
  <c r="L358" i="3"/>
  <c r="N358" i="3" s="1"/>
  <c r="K359" i="3"/>
  <c r="L358" i="1"/>
  <c r="N358" i="1" s="1"/>
  <c r="K359" i="1"/>
  <c r="K365" i="5" l="1"/>
  <c r="M365" i="5" s="1"/>
  <c r="L359" i="3"/>
  <c r="N359" i="3" s="1"/>
  <c r="K360" i="3"/>
  <c r="L359" i="1"/>
  <c r="N359" i="1" s="1"/>
  <c r="K360" i="1"/>
  <c r="K366" i="5" l="1"/>
  <c r="M366" i="5" s="1"/>
  <c r="K361" i="3"/>
  <c r="L360" i="3"/>
  <c r="N360" i="3" s="1"/>
  <c r="K361" i="1"/>
  <c r="L360" i="1"/>
  <c r="N360" i="1" s="1"/>
  <c r="K367" i="5" l="1"/>
  <c r="M367" i="5" s="1"/>
  <c r="K362" i="3"/>
  <c r="L361" i="3"/>
  <c r="N361" i="3" s="1"/>
  <c r="K362" i="1"/>
  <c r="L361" i="1"/>
  <c r="N361" i="1" s="1"/>
  <c r="K368" i="5" l="1"/>
  <c r="M368" i="5" s="1"/>
  <c r="L362" i="3"/>
  <c r="N362" i="3" s="1"/>
  <c r="K363" i="3"/>
  <c r="K363" i="1"/>
  <c r="L362" i="1"/>
  <c r="N362" i="1" s="1"/>
  <c r="K369" i="5" l="1"/>
  <c r="M369" i="5" s="1"/>
  <c r="L363" i="3"/>
  <c r="N363" i="3" s="1"/>
  <c r="K364" i="3"/>
  <c r="K364" i="1"/>
  <c r="L363" i="1"/>
  <c r="N363" i="1" s="1"/>
  <c r="K370" i="5" l="1"/>
  <c r="M370" i="5" s="1"/>
  <c r="K365" i="3"/>
  <c r="L364" i="3"/>
  <c r="N364" i="3" s="1"/>
  <c r="K365" i="1"/>
  <c r="L364" i="1"/>
  <c r="N364" i="1" s="1"/>
  <c r="K371" i="5" l="1"/>
  <c r="M371" i="5" s="1"/>
  <c r="K366" i="3"/>
  <c r="L365" i="3"/>
  <c r="N365" i="3" s="1"/>
  <c r="K366" i="1"/>
  <c r="L365" i="1"/>
  <c r="N365" i="1" s="1"/>
  <c r="K372" i="5" l="1"/>
  <c r="M372" i="5" s="1"/>
  <c r="L366" i="3"/>
  <c r="N366" i="3" s="1"/>
  <c r="K367" i="3"/>
  <c r="K367" i="1"/>
  <c r="L366" i="1"/>
  <c r="N366" i="1" s="1"/>
  <c r="K373" i="5" l="1"/>
  <c r="M373" i="5" s="1"/>
  <c r="L367" i="3"/>
  <c r="N367" i="3" s="1"/>
  <c r="K368" i="3"/>
  <c r="K368" i="1"/>
  <c r="L367" i="1"/>
  <c r="N367" i="1" s="1"/>
  <c r="K374" i="5" l="1"/>
  <c r="M374" i="5" s="1"/>
  <c r="K369" i="3"/>
  <c r="L368" i="3"/>
  <c r="N368" i="3" s="1"/>
  <c r="K369" i="1"/>
  <c r="L368" i="1"/>
  <c r="N368" i="1" s="1"/>
  <c r="K375" i="5" l="1"/>
  <c r="M375" i="5" s="1"/>
  <c r="K370" i="3"/>
  <c r="L369" i="3"/>
  <c r="N369" i="3" s="1"/>
  <c r="L369" i="1"/>
  <c r="N369" i="1" s="1"/>
  <c r="K370" i="1"/>
  <c r="K376" i="5" l="1"/>
  <c r="M376" i="5" s="1"/>
  <c r="L370" i="3"/>
  <c r="N370" i="3" s="1"/>
  <c r="K371" i="3"/>
  <c r="L370" i="1"/>
  <c r="N370" i="1" s="1"/>
  <c r="K371" i="1"/>
  <c r="K377" i="5" l="1"/>
  <c r="M377" i="5" s="1"/>
  <c r="L371" i="3"/>
  <c r="N371" i="3" s="1"/>
  <c r="K372" i="3"/>
  <c r="L371" i="1"/>
  <c r="N371" i="1" s="1"/>
  <c r="K372" i="1"/>
  <c r="K378" i="5" l="1"/>
  <c r="M378" i="5" s="1"/>
  <c r="K373" i="3"/>
  <c r="L372" i="3"/>
  <c r="N372" i="3" s="1"/>
  <c r="K373" i="1"/>
  <c r="L372" i="1"/>
  <c r="N372" i="1" s="1"/>
  <c r="K379" i="5" l="1"/>
  <c r="M379" i="5" s="1"/>
  <c r="K374" i="3"/>
  <c r="L373" i="3"/>
  <c r="N373" i="3" s="1"/>
  <c r="L373" i="1"/>
  <c r="N373" i="1" s="1"/>
  <c r="K374" i="1"/>
  <c r="K380" i="5" l="1"/>
  <c r="M380" i="5" s="1"/>
  <c r="L374" i="3"/>
  <c r="N374" i="3" s="1"/>
  <c r="K375" i="3"/>
  <c r="L374" i="1"/>
  <c r="N374" i="1" s="1"/>
  <c r="K375" i="1"/>
  <c r="K381" i="5" l="1"/>
  <c r="M381" i="5" s="1"/>
  <c r="L375" i="3"/>
  <c r="N375" i="3" s="1"/>
  <c r="K376" i="3"/>
  <c r="L375" i="1"/>
  <c r="N375" i="1" s="1"/>
  <c r="K376" i="1"/>
  <c r="K382" i="5" l="1"/>
  <c r="M382" i="5" s="1"/>
  <c r="K377" i="3"/>
  <c r="L376" i="3"/>
  <c r="N376" i="3" s="1"/>
  <c r="K377" i="1"/>
  <c r="L376" i="1"/>
  <c r="N376" i="1" s="1"/>
  <c r="K383" i="5" l="1"/>
  <c r="M383" i="5" s="1"/>
  <c r="K378" i="3"/>
  <c r="L377" i="3"/>
  <c r="N377" i="3" s="1"/>
  <c r="K378" i="1"/>
  <c r="L377" i="1"/>
  <c r="N377" i="1" s="1"/>
  <c r="K384" i="5" l="1"/>
  <c r="M384" i="5" s="1"/>
  <c r="L378" i="3"/>
  <c r="N378" i="3" s="1"/>
  <c r="K379" i="3"/>
  <c r="K379" i="1"/>
  <c r="L378" i="1"/>
  <c r="N378" i="1" s="1"/>
  <c r="K386" i="5" l="1"/>
  <c r="M386" i="5" s="1"/>
  <c r="L379" i="3"/>
  <c r="N379" i="3" s="1"/>
  <c r="K380" i="3"/>
  <c r="L379" i="1"/>
  <c r="N379" i="1" s="1"/>
  <c r="K380" i="1"/>
  <c r="K387" i="5" l="1"/>
  <c r="M387" i="5" s="1"/>
  <c r="K381" i="3"/>
  <c r="L380" i="3"/>
  <c r="N380" i="3" s="1"/>
  <c r="K381" i="1"/>
  <c r="L380" i="1"/>
  <c r="N380" i="1" s="1"/>
  <c r="K388" i="5" l="1"/>
  <c r="M388" i="5" s="1"/>
  <c r="K382" i="3"/>
  <c r="L381" i="3"/>
  <c r="N381" i="3" s="1"/>
  <c r="K382" i="1"/>
  <c r="L381" i="1"/>
  <c r="N381" i="1" s="1"/>
  <c r="K389" i="5" l="1"/>
  <c r="M389" i="5" s="1"/>
  <c r="L382" i="3"/>
  <c r="N382" i="3" s="1"/>
  <c r="K383" i="3"/>
  <c r="K383" i="1"/>
  <c r="L382" i="1"/>
  <c r="N382" i="1" s="1"/>
  <c r="K390" i="5" l="1"/>
  <c r="M390" i="5" s="1"/>
  <c r="L383" i="3"/>
  <c r="N383" i="3" s="1"/>
  <c r="K384" i="3"/>
  <c r="K384" i="1"/>
  <c r="L383" i="1"/>
  <c r="N383" i="1" s="1"/>
  <c r="K391" i="5" l="1"/>
  <c r="M391" i="5" s="1"/>
  <c r="K385" i="3"/>
  <c r="L384" i="3"/>
  <c r="N384" i="3" s="1"/>
  <c r="K385" i="1"/>
  <c r="L384" i="1"/>
  <c r="N384" i="1" s="1"/>
  <c r="K392" i="5" l="1"/>
  <c r="M392" i="5" s="1"/>
  <c r="K386" i="3"/>
  <c r="L385" i="3"/>
  <c r="N385" i="3" s="1"/>
  <c r="L385" i="1"/>
  <c r="N385" i="1" s="1"/>
  <c r="K386" i="1"/>
  <c r="K393" i="5" l="1"/>
  <c r="M393" i="5" s="1"/>
  <c r="L386" i="3"/>
  <c r="N386" i="3" s="1"/>
  <c r="K387" i="3"/>
  <c r="L386" i="1"/>
  <c r="N386" i="1" s="1"/>
  <c r="K387" i="1"/>
  <c r="K394" i="5" l="1"/>
  <c r="M394" i="5" s="1"/>
  <c r="L387" i="3"/>
  <c r="N387" i="3" s="1"/>
  <c r="K388" i="3"/>
  <c r="L387" i="1"/>
  <c r="N387" i="1" s="1"/>
  <c r="K388" i="1"/>
  <c r="K395" i="5" l="1"/>
  <c r="M395" i="5" s="1"/>
  <c r="K389" i="3"/>
  <c r="L388" i="3"/>
  <c r="N388" i="3" s="1"/>
  <c r="K389" i="1"/>
  <c r="L388" i="1"/>
  <c r="N388" i="1" s="1"/>
  <c r="K396" i="5" l="1"/>
  <c r="M396" i="5" s="1"/>
  <c r="K390" i="3"/>
  <c r="L389" i="3"/>
  <c r="N389" i="3" s="1"/>
  <c r="L389" i="1"/>
  <c r="N389" i="1" s="1"/>
  <c r="K390" i="1"/>
  <c r="K397" i="5" l="1"/>
  <c r="M397" i="5" s="1"/>
  <c r="L390" i="3"/>
  <c r="N390" i="3" s="1"/>
  <c r="K391" i="3"/>
  <c r="L390" i="1"/>
  <c r="N390" i="1" s="1"/>
  <c r="K391" i="1"/>
  <c r="K398" i="5" l="1"/>
  <c r="M398" i="5" s="1"/>
  <c r="L391" i="3"/>
  <c r="N391" i="3" s="1"/>
  <c r="K392" i="3"/>
  <c r="L391" i="1"/>
  <c r="N391" i="1" s="1"/>
  <c r="K392" i="1"/>
  <c r="K399" i="5" l="1"/>
  <c r="M399" i="5" s="1"/>
  <c r="K393" i="3"/>
  <c r="L392" i="3"/>
  <c r="N392" i="3" s="1"/>
  <c r="K393" i="1"/>
  <c r="L392" i="1"/>
  <c r="N392" i="1" s="1"/>
  <c r="K400" i="5" l="1"/>
  <c r="M400" i="5" s="1"/>
  <c r="K394" i="3"/>
  <c r="L393" i="3"/>
  <c r="N393" i="3" s="1"/>
  <c r="K394" i="1"/>
  <c r="L393" i="1"/>
  <c r="N393" i="1" s="1"/>
  <c r="K401" i="5" l="1"/>
  <c r="M401" i="5" s="1"/>
  <c r="L394" i="3"/>
  <c r="N394" i="3" s="1"/>
  <c r="K395" i="3"/>
  <c r="K395" i="1"/>
  <c r="L394" i="1"/>
  <c r="N394" i="1" s="1"/>
  <c r="K402" i="5" l="1"/>
  <c r="M402" i="5" s="1"/>
  <c r="L395" i="3"/>
  <c r="N395" i="3" s="1"/>
  <c r="K396" i="3"/>
  <c r="K396" i="1"/>
  <c r="L395" i="1"/>
  <c r="N395" i="1" s="1"/>
  <c r="K403" i="5" l="1"/>
  <c r="M403" i="5" s="1"/>
  <c r="K397" i="3"/>
  <c r="L396" i="3"/>
  <c r="N396" i="3" s="1"/>
  <c r="K397" i="1"/>
  <c r="L396" i="1"/>
  <c r="N396" i="1" s="1"/>
  <c r="K404" i="5" l="1"/>
  <c r="M404" i="5" s="1"/>
  <c r="K398" i="3"/>
  <c r="L397" i="3"/>
  <c r="N397" i="3" s="1"/>
  <c r="K398" i="1"/>
  <c r="L397" i="1"/>
  <c r="N397" i="1" s="1"/>
  <c r="K405" i="5" l="1"/>
  <c r="M405" i="5" s="1"/>
  <c r="L398" i="3"/>
  <c r="N398" i="3" s="1"/>
  <c r="K399" i="3"/>
  <c r="K399" i="1"/>
  <c r="L398" i="1"/>
  <c r="N398" i="1" s="1"/>
  <c r="K406" i="5" l="1"/>
  <c r="M406" i="5" s="1"/>
  <c r="L399" i="3"/>
  <c r="N399" i="3" s="1"/>
  <c r="K400" i="3"/>
  <c r="K400" i="1"/>
  <c r="L399" i="1"/>
  <c r="N399" i="1" s="1"/>
  <c r="K407" i="5" l="1"/>
  <c r="M407" i="5" s="1"/>
  <c r="K401" i="3"/>
  <c r="L400" i="3"/>
  <c r="N400" i="3" s="1"/>
  <c r="K401" i="1"/>
  <c r="L400" i="1"/>
  <c r="N400" i="1" s="1"/>
  <c r="K408" i="5" l="1"/>
  <c r="M408" i="5" s="1"/>
  <c r="K402" i="3"/>
  <c r="L401" i="3"/>
  <c r="N401" i="3" s="1"/>
  <c r="L401" i="1"/>
  <c r="N401" i="1" s="1"/>
  <c r="K402" i="1"/>
  <c r="K409" i="5" l="1"/>
  <c r="M409" i="5" s="1"/>
  <c r="L402" i="3"/>
  <c r="N402" i="3" s="1"/>
  <c r="K403" i="3"/>
  <c r="L402" i="1"/>
  <c r="N402" i="1" s="1"/>
  <c r="K403" i="1"/>
  <c r="K410" i="5" l="1"/>
  <c r="M410" i="5" s="1"/>
  <c r="L403" i="3"/>
  <c r="N403" i="3" s="1"/>
  <c r="K404" i="3"/>
  <c r="L403" i="1"/>
  <c r="N403" i="1" s="1"/>
  <c r="K404" i="1"/>
  <c r="K411" i="5" l="1"/>
  <c r="M411" i="5" s="1"/>
  <c r="K405" i="3"/>
  <c r="L404" i="3"/>
  <c r="N404" i="3" s="1"/>
  <c r="K405" i="1"/>
  <c r="L404" i="1"/>
  <c r="N404" i="1" s="1"/>
  <c r="K412" i="5" l="1"/>
  <c r="M412" i="5" s="1"/>
  <c r="K406" i="3"/>
  <c r="L405" i="3"/>
  <c r="N405" i="3" s="1"/>
  <c r="L405" i="1"/>
  <c r="N405" i="1" s="1"/>
  <c r="K406" i="1"/>
  <c r="K413" i="5" l="1"/>
  <c r="M413" i="5" s="1"/>
  <c r="L406" i="3"/>
  <c r="N406" i="3" s="1"/>
  <c r="K407" i="3"/>
  <c r="L406" i="1"/>
  <c r="N406" i="1" s="1"/>
  <c r="K407" i="1"/>
  <c r="K414" i="5" l="1"/>
  <c r="M414" i="5" s="1"/>
  <c r="L407" i="3"/>
  <c r="N407" i="3" s="1"/>
  <c r="K408" i="3"/>
  <c r="L407" i="1"/>
  <c r="N407" i="1" s="1"/>
  <c r="K408" i="1"/>
  <c r="K415" i="5" l="1"/>
  <c r="M415" i="5" s="1"/>
  <c r="K409" i="3"/>
  <c r="L408" i="3"/>
  <c r="N408" i="3" s="1"/>
  <c r="K409" i="1"/>
  <c r="L408" i="1"/>
  <c r="N408" i="1" s="1"/>
  <c r="K416" i="5" l="1"/>
  <c r="M416" i="5" s="1"/>
  <c r="K410" i="3"/>
  <c r="L409" i="3"/>
  <c r="N409" i="3" s="1"/>
  <c r="K410" i="1"/>
  <c r="L409" i="1"/>
  <c r="N409" i="1" s="1"/>
  <c r="K417" i="5" l="1"/>
  <c r="M417" i="5" s="1"/>
  <c r="L410" i="3"/>
  <c r="N410" i="3" s="1"/>
  <c r="K411" i="3"/>
  <c r="K411" i="1"/>
  <c r="L410" i="1"/>
  <c r="N410" i="1" s="1"/>
  <c r="K418" i="5" l="1"/>
  <c r="M418" i="5" s="1"/>
  <c r="L411" i="3"/>
  <c r="N411" i="3" s="1"/>
  <c r="K412" i="3"/>
  <c r="K412" i="1"/>
  <c r="L411" i="1"/>
  <c r="N411" i="1" s="1"/>
  <c r="K419" i="5" l="1"/>
  <c r="M419" i="5" s="1"/>
  <c r="K413" i="3"/>
  <c r="L412" i="3"/>
  <c r="N412" i="3" s="1"/>
  <c r="K413" i="1"/>
  <c r="L412" i="1"/>
  <c r="N412" i="1" s="1"/>
  <c r="K420" i="5" l="1"/>
  <c r="M420" i="5" s="1"/>
  <c r="K414" i="3"/>
  <c r="L413" i="3"/>
  <c r="N413" i="3" s="1"/>
  <c r="K414" i="1"/>
  <c r="L413" i="1"/>
  <c r="N413" i="1" s="1"/>
  <c r="K421" i="5" l="1"/>
  <c r="M421" i="5" s="1"/>
  <c r="L414" i="3"/>
  <c r="N414" i="3" s="1"/>
  <c r="K415" i="3"/>
  <c r="K415" i="1"/>
  <c r="L414" i="1"/>
  <c r="N414" i="1" s="1"/>
  <c r="K422" i="5" l="1"/>
  <c r="M422" i="5" s="1"/>
  <c r="L415" i="3"/>
  <c r="N415" i="3" s="1"/>
  <c r="K416" i="3"/>
  <c r="K416" i="1"/>
  <c r="L415" i="1"/>
  <c r="N415" i="1" s="1"/>
  <c r="K423" i="5" l="1"/>
  <c r="M423" i="5" s="1"/>
  <c r="K417" i="3"/>
  <c r="L416" i="3"/>
  <c r="N416" i="3" s="1"/>
  <c r="K417" i="1"/>
  <c r="L416" i="1"/>
  <c r="N416" i="1" s="1"/>
  <c r="K424" i="5" l="1"/>
  <c r="M424" i="5" s="1"/>
  <c r="K418" i="3"/>
  <c r="L417" i="3"/>
  <c r="N417" i="3" s="1"/>
  <c r="L417" i="1"/>
  <c r="N417" i="1" s="1"/>
  <c r="K418" i="1"/>
  <c r="K425" i="5" l="1"/>
  <c r="M425" i="5" s="1"/>
  <c r="L418" i="3"/>
  <c r="N418" i="3" s="1"/>
  <c r="K419" i="3"/>
  <c r="L418" i="1"/>
  <c r="N418" i="1" s="1"/>
  <c r="K419" i="1"/>
  <c r="K426" i="5" l="1"/>
  <c r="M426" i="5" s="1"/>
  <c r="L419" i="3"/>
  <c r="N419" i="3" s="1"/>
  <c r="K420" i="3"/>
  <c r="L419" i="1"/>
  <c r="N419" i="1" s="1"/>
  <c r="K420" i="1"/>
  <c r="K427" i="5" l="1"/>
  <c r="M427" i="5" s="1"/>
  <c r="K421" i="3"/>
  <c r="L420" i="3"/>
  <c r="N420" i="3" s="1"/>
  <c r="K421" i="1"/>
  <c r="L420" i="1"/>
  <c r="N420" i="1" s="1"/>
  <c r="K428" i="5" l="1"/>
  <c r="M428" i="5" s="1"/>
  <c r="K422" i="3"/>
  <c r="L421" i="3"/>
  <c r="N421" i="3" s="1"/>
  <c r="L421" i="1"/>
  <c r="N421" i="1" s="1"/>
  <c r="K422" i="1"/>
  <c r="K429" i="5" l="1"/>
  <c r="M429" i="5" s="1"/>
  <c r="L422" i="3"/>
  <c r="N422" i="3" s="1"/>
  <c r="K423" i="3"/>
  <c r="L422" i="1"/>
  <c r="N422" i="1" s="1"/>
  <c r="K423" i="1"/>
  <c r="K430" i="5" l="1"/>
  <c r="M430" i="5" s="1"/>
  <c r="L423" i="3"/>
  <c r="N423" i="3" s="1"/>
  <c r="K424" i="3"/>
  <c r="L423" i="1"/>
  <c r="N423" i="1" s="1"/>
  <c r="K424" i="1"/>
  <c r="K431" i="5" l="1"/>
  <c r="M431" i="5" s="1"/>
  <c r="K425" i="3"/>
  <c r="L424" i="3"/>
  <c r="N424" i="3" s="1"/>
  <c r="K425" i="1"/>
  <c r="L424" i="1"/>
  <c r="N424" i="1" s="1"/>
  <c r="K432" i="5" l="1"/>
  <c r="M432" i="5" s="1"/>
  <c r="K426" i="3"/>
  <c r="L425" i="3"/>
  <c r="N425" i="3" s="1"/>
  <c r="K426" i="1"/>
  <c r="L425" i="1"/>
  <c r="N425" i="1" s="1"/>
  <c r="K433" i="5" l="1"/>
  <c r="M433" i="5" s="1"/>
  <c r="L426" i="3"/>
  <c r="N426" i="3" s="1"/>
  <c r="K427" i="3"/>
  <c r="L426" i="1"/>
  <c r="N426" i="1" s="1"/>
  <c r="K427" i="1"/>
  <c r="K434" i="5" l="1"/>
  <c r="M434" i="5" s="1"/>
  <c r="L427" i="3"/>
  <c r="N427" i="3" s="1"/>
  <c r="K428" i="3"/>
  <c r="K428" i="1"/>
  <c r="L427" i="1"/>
  <c r="N427" i="1" s="1"/>
  <c r="K435" i="5" l="1"/>
  <c r="M435" i="5" s="1"/>
  <c r="K429" i="3"/>
  <c r="L428" i="3"/>
  <c r="N428" i="3" s="1"/>
  <c r="K429" i="1"/>
  <c r="L428" i="1"/>
  <c r="N428" i="1" s="1"/>
  <c r="K436" i="5" l="1"/>
  <c r="M436" i="5" s="1"/>
  <c r="K430" i="3"/>
  <c r="L429" i="3"/>
  <c r="N429" i="3" s="1"/>
  <c r="K430" i="1"/>
  <c r="L429" i="1"/>
  <c r="N429" i="1" s="1"/>
  <c r="K437" i="5" l="1"/>
  <c r="M437" i="5" s="1"/>
  <c r="L430" i="3"/>
  <c r="N430" i="3" s="1"/>
  <c r="K431" i="3"/>
  <c r="K431" i="1"/>
  <c r="L430" i="1"/>
  <c r="N430" i="1" s="1"/>
  <c r="K438" i="5" l="1"/>
  <c r="M438" i="5" s="1"/>
  <c r="L431" i="3"/>
  <c r="N431" i="3" s="1"/>
  <c r="K432" i="3"/>
  <c r="K432" i="1"/>
  <c r="L431" i="1"/>
  <c r="N431" i="1" s="1"/>
  <c r="K439" i="5" l="1"/>
  <c r="M439" i="5" s="1"/>
  <c r="K433" i="3"/>
  <c r="L432" i="3"/>
  <c r="N432" i="3" s="1"/>
  <c r="K433" i="1"/>
  <c r="L432" i="1"/>
  <c r="N432" i="1" s="1"/>
  <c r="K440" i="5" l="1"/>
  <c r="M440" i="5" s="1"/>
  <c r="K434" i="3"/>
  <c r="L433" i="3"/>
  <c r="N433" i="3" s="1"/>
  <c r="L433" i="1"/>
  <c r="N433" i="1" s="1"/>
  <c r="K434" i="1"/>
  <c r="K441" i="5" l="1"/>
  <c r="M441" i="5" s="1"/>
  <c r="L434" i="3"/>
  <c r="N434" i="3" s="1"/>
  <c r="K435" i="3"/>
  <c r="L434" i="1"/>
  <c r="N434" i="1" s="1"/>
  <c r="K435" i="1"/>
  <c r="K442" i="5" l="1"/>
  <c r="M442" i="5" s="1"/>
  <c r="L435" i="3"/>
  <c r="N435" i="3" s="1"/>
  <c r="K436" i="3"/>
  <c r="L435" i="1"/>
  <c r="N435" i="1" s="1"/>
  <c r="K436" i="1"/>
  <c r="K443" i="5" l="1"/>
  <c r="M443" i="5" s="1"/>
  <c r="K437" i="3"/>
  <c r="L436" i="3"/>
  <c r="N436" i="3" s="1"/>
  <c r="K437" i="1"/>
  <c r="L436" i="1"/>
  <c r="N436" i="1" s="1"/>
  <c r="K444" i="5" l="1"/>
  <c r="M444" i="5" s="1"/>
  <c r="K438" i="3"/>
  <c r="L437" i="3"/>
  <c r="N437" i="3" s="1"/>
  <c r="L437" i="1"/>
  <c r="N437" i="1" s="1"/>
  <c r="K438" i="1"/>
  <c r="K445" i="5" l="1"/>
  <c r="M445" i="5" s="1"/>
  <c r="L438" i="3"/>
  <c r="N438" i="3" s="1"/>
  <c r="K439" i="3"/>
  <c r="L438" i="1"/>
  <c r="N438" i="1" s="1"/>
  <c r="K439" i="1"/>
  <c r="K446" i="5" l="1"/>
  <c r="M446" i="5" s="1"/>
  <c r="L439" i="3"/>
  <c r="N439" i="3" s="1"/>
  <c r="K440" i="3"/>
  <c r="L439" i="1"/>
  <c r="N439" i="1" s="1"/>
  <c r="K440" i="1"/>
  <c r="K447" i="5" l="1"/>
  <c r="M447" i="5" s="1"/>
  <c r="K441" i="3"/>
  <c r="L440" i="3"/>
  <c r="N440" i="3" s="1"/>
  <c r="K441" i="1"/>
  <c r="L440" i="1"/>
  <c r="N440" i="1" s="1"/>
  <c r="K448" i="5" l="1"/>
  <c r="M448" i="5" s="1"/>
  <c r="K442" i="3"/>
  <c r="L441" i="3"/>
  <c r="N441" i="3" s="1"/>
  <c r="L441" i="1"/>
  <c r="N441" i="1" s="1"/>
  <c r="K442" i="1"/>
  <c r="K449" i="5" l="1"/>
  <c r="M449" i="5" s="1"/>
  <c r="L442" i="3"/>
  <c r="N442" i="3" s="1"/>
  <c r="K443" i="3"/>
  <c r="K443" i="1"/>
  <c r="L442" i="1"/>
  <c r="N442" i="1" s="1"/>
  <c r="K450" i="5" l="1"/>
  <c r="M450" i="5" s="1"/>
  <c r="L443" i="3"/>
  <c r="N443" i="3" s="1"/>
  <c r="K444" i="3"/>
  <c r="K444" i="1"/>
  <c r="L443" i="1"/>
  <c r="N443" i="1" s="1"/>
  <c r="K451" i="5" l="1"/>
  <c r="M451" i="5" s="1"/>
  <c r="K445" i="3"/>
  <c r="L444" i="3"/>
  <c r="N444" i="3" s="1"/>
  <c r="K445" i="1"/>
  <c r="L444" i="1"/>
  <c r="N444" i="1" s="1"/>
  <c r="K452" i="5" l="1"/>
  <c r="M452" i="5" s="1"/>
  <c r="K446" i="3"/>
  <c r="L445" i="3"/>
  <c r="N445" i="3" s="1"/>
  <c r="K446" i="1"/>
  <c r="L445" i="1"/>
  <c r="N445" i="1" s="1"/>
  <c r="K453" i="5" l="1"/>
  <c r="M453" i="5" s="1"/>
  <c r="L446" i="3"/>
  <c r="N446" i="3" s="1"/>
  <c r="K447" i="3"/>
  <c r="K447" i="1"/>
  <c r="L446" i="1"/>
  <c r="N446" i="1" s="1"/>
  <c r="K454" i="5" l="1"/>
  <c r="M454" i="5" s="1"/>
  <c r="L447" i="3"/>
  <c r="N447" i="3" s="1"/>
  <c r="K448" i="3"/>
  <c r="K448" i="1"/>
  <c r="L447" i="1"/>
  <c r="N447" i="1" s="1"/>
  <c r="K455" i="5" l="1"/>
  <c r="M455" i="5" s="1"/>
  <c r="K449" i="3"/>
  <c r="L448" i="3"/>
  <c r="N448" i="3" s="1"/>
  <c r="K449" i="1"/>
  <c r="L448" i="1"/>
  <c r="N448" i="1" s="1"/>
  <c r="K456" i="5" l="1"/>
  <c r="M456" i="5" s="1"/>
  <c r="K450" i="3"/>
  <c r="L449" i="3"/>
  <c r="N449" i="3" s="1"/>
  <c r="L449" i="1"/>
  <c r="N449" i="1" s="1"/>
  <c r="K450" i="1"/>
  <c r="K457" i="5" l="1"/>
  <c r="M457" i="5" s="1"/>
  <c r="L450" i="3"/>
  <c r="N450" i="3" s="1"/>
  <c r="K451" i="3"/>
  <c r="L450" i="1"/>
  <c r="N450" i="1" s="1"/>
  <c r="K451" i="1"/>
  <c r="K458" i="5" l="1"/>
  <c r="M458" i="5" s="1"/>
  <c r="L451" i="3"/>
  <c r="N451" i="3" s="1"/>
  <c r="K452" i="3"/>
  <c r="L451" i="1"/>
  <c r="N451" i="1" s="1"/>
  <c r="K452" i="1"/>
  <c r="K459" i="5" l="1"/>
  <c r="M459" i="5" s="1"/>
  <c r="K453" i="3"/>
  <c r="L452" i="3"/>
  <c r="N452" i="3" s="1"/>
  <c r="K453" i="1"/>
  <c r="L452" i="1"/>
  <c r="N452" i="1" s="1"/>
  <c r="K460" i="5" l="1"/>
  <c r="M460" i="5" s="1"/>
  <c r="K454" i="3"/>
  <c r="L453" i="3"/>
  <c r="N453" i="3" s="1"/>
  <c r="L453" i="1"/>
  <c r="N453" i="1" s="1"/>
  <c r="K454" i="1"/>
  <c r="K461" i="5" l="1"/>
  <c r="M461" i="5" s="1"/>
  <c r="L454" i="3"/>
  <c r="N454" i="3" s="1"/>
  <c r="K455" i="3"/>
  <c r="L454" i="1"/>
  <c r="N454" i="1" s="1"/>
  <c r="K455" i="1"/>
  <c r="K462" i="5" l="1"/>
  <c r="M462" i="5" s="1"/>
  <c r="L455" i="3"/>
  <c r="N455" i="3" s="1"/>
  <c r="K456" i="3"/>
  <c r="L455" i="1"/>
  <c r="N455" i="1" s="1"/>
  <c r="K456" i="1"/>
  <c r="K463" i="5" l="1"/>
  <c r="M463" i="5" s="1"/>
  <c r="K457" i="3"/>
  <c r="L456" i="3"/>
  <c r="N456" i="3" s="1"/>
  <c r="K457" i="1"/>
  <c r="L456" i="1"/>
  <c r="N456" i="1" s="1"/>
  <c r="K464" i="5" l="1"/>
  <c r="M464" i="5" s="1"/>
  <c r="K458" i="3"/>
  <c r="L457" i="3"/>
  <c r="N457" i="3" s="1"/>
  <c r="K458" i="1"/>
  <c r="L457" i="1"/>
  <c r="N457" i="1" s="1"/>
  <c r="K465" i="5" l="1"/>
  <c r="M465" i="5" s="1"/>
  <c r="L458" i="3"/>
  <c r="N458" i="3" s="1"/>
  <c r="K459" i="3"/>
  <c r="K459" i="1"/>
  <c r="L458" i="1"/>
  <c r="N458" i="1" s="1"/>
  <c r="K466" i="5" l="1"/>
  <c r="M466" i="5" s="1"/>
  <c r="L459" i="3"/>
  <c r="N459" i="3" s="1"/>
  <c r="K460" i="3"/>
  <c r="K460" i="1"/>
  <c r="L459" i="1"/>
  <c r="N459" i="1" s="1"/>
  <c r="K467" i="5" l="1"/>
  <c r="M467" i="5" s="1"/>
  <c r="K461" i="3"/>
  <c r="L460" i="3"/>
  <c r="N460" i="3" s="1"/>
  <c r="K461" i="1"/>
  <c r="L460" i="1"/>
  <c r="N460" i="1" s="1"/>
  <c r="K468" i="5" l="1"/>
  <c r="M468" i="5" s="1"/>
  <c r="K462" i="3"/>
  <c r="L461" i="3"/>
  <c r="N461" i="3" s="1"/>
  <c r="K462" i="1"/>
  <c r="L461" i="1"/>
  <c r="N461" i="1" s="1"/>
  <c r="K469" i="5" l="1"/>
  <c r="M469" i="5" s="1"/>
  <c r="L462" i="3"/>
  <c r="N462" i="3" s="1"/>
  <c r="K463" i="3"/>
  <c r="K463" i="1"/>
  <c r="L462" i="1"/>
  <c r="N462" i="1" s="1"/>
  <c r="K470" i="5" l="1"/>
  <c r="M470" i="5" s="1"/>
  <c r="L463" i="3"/>
  <c r="N463" i="3" s="1"/>
  <c r="K464" i="3"/>
  <c r="K464" i="1"/>
  <c r="L463" i="1"/>
  <c r="N463" i="1" s="1"/>
  <c r="K471" i="5" l="1"/>
  <c r="M471" i="5" s="1"/>
  <c r="K465" i="3"/>
  <c r="L464" i="3"/>
  <c r="N464" i="3" s="1"/>
  <c r="K465" i="1"/>
  <c r="L464" i="1"/>
  <c r="N464" i="1" s="1"/>
  <c r="K472" i="5" l="1"/>
  <c r="M472" i="5" s="1"/>
  <c r="K466" i="3"/>
  <c r="L465" i="3"/>
  <c r="N465" i="3" s="1"/>
  <c r="L465" i="1"/>
  <c r="N465" i="1" s="1"/>
  <c r="K466" i="1"/>
  <c r="K473" i="5" l="1"/>
  <c r="M473" i="5" s="1"/>
  <c r="L466" i="3"/>
  <c r="N466" i="3" s="1"/>
  <c r="K467" i="3"/>
  <c r="L466" i="1"/>
  <c r="N466" i="1" s="1"/>
  <c r="K467" i="1"/>
  <c r="K474" i="5" l="1"/>
  <c r="M474" i="5" s="1"/>
  <c r="L467" i="3"/>
  <c r="N467" i="3" s="1"/>
  <c r="K468" i="3"/>
  <c r="L467" i="1"/>
  <c r="N467" i="1" s="1"/>
  <c r="K468" i="1"/>
  <c r="K475" i="5" l="1"/>
  <c r="M475" i="5" s="1"/>
  <c r="K469" i="3"/>
  <c r="L468" i="3"/>
  <c r="N468" i="3" s="1"/>
  <c r="K469" i="1"/>
  <c r="L468" i="1"/>
  <c r="N468" i="1" s="1"/>
  <c r="K476" i="5" l="1"/>
  <c r="M476" i="5" s="1"/>
  <c r="K470" i="3"/>
  <c r="L469" i="3"/>
  <c r="N469" i="3" s="1"/>
  <c r="L469" i="1"/>
  <c r="N469" i="1" s="1"/>
  <c r="K470" i="1"/>
  <c r="K477" i="5" l="1"/>
  <c r="M477" i="5" s="1"/>
  <c r="L470" i="3"/>
  <c r="N470" i="3" s="1"/>
  <c r="K471" i="3"/>
  <c r="L470" i="1"/>
  <c r="N470" i="1" s="1"/>
  <c r="K471" i="1"/>
  <c r="K478" i="5" l="1"/>
  <c r="M478" i="5" s="1"/>
  <c r="L471" i="3"/>
  <c r="N471" i="3" s="1"/>
  <c r="K472" i="3"/>
  <c r="L471" i="1"/>
  <c r="N471" i="1" s="1"/>
  <c r="K472" i="1"/>
  <c r="K479" i="5" l="1"/>
  <c r="M479" i="5" s="1"/>
  <c r="K473" i="3"/>
  <c r="L472" i="3"/>
  <c r="N472" i="3" s="1"/>
  <c r="K473" i="1"/>
  <c r="L472" i="1"/>
  <c r="N472" i="1" s="1"/>
  <c r="K480" i="5" l="1"/>
  <c r="M480" i="5" s="1"/>
  <c r="K474" i="3"/>
  <c r="L473" i="3"/>
  <c r="N473" i="3" s="1"/>
  <c r="L473" i="1"/>
  <c r="N473" i="1" s="1"/>
  <c r="K474" i="1"/>
  <c r="K481" i="5" l="1"/>
  <c r="M481" i="5" s="1"/>
  <c r="L474" i="3"/>
  <c r="N474" i="3" s="1"/>
  <c r="K475" i="3"/>
  <c r="K475" i="1"/>
  <c r="L474" i="1"/>
  <c r="N474" i="1" s="1"/>
  <c r="K482" i="5" l="1"/>
  <c r="M482" i="5" s="1"/>
  <c r="L475" i="3"/>
  <c r="N475" i="3" s="1"/>
  <c r="K476" i="3"/>
  <c r="K476" i="1"/>
  <c r="L475" i="1"/>
  <c r="N475" i="1" s="1"/>
  <c r="K483" i="5" l="1"/>
  <c r="M483" i="5" s="1"/>
  <c r="K477" i="3"/>
  <c r="L476" i="3"/>
  <c r="N476" i="3" s="1"/>
  <c r="K477" i="1"/>
  <c r="L476" i="1"/>
  <c r="N476" i="1" s="1"/>
  <c r="K484" i="5" l="1"/>
  <c r="M484" i="5" s="1"/>
  <c r="K478" i="3"/>
  <c r="L477" i="3"/>
  <c r="N477" i="3" s="1"/>
  <c r="K478" i="1"/>
  <c r="L477" i="1"/>
  <c r="N477" i="1" s="1"/>
  <c r="K485" i="5" l="1"/>
  <c r="M485" i="5" s="1"/>
  <c r="L478" i="3"/>
  <c r="N478" i="3" s="1"/>
  <c r="K479" i="3"/>
  <c r="K479" i="1"/>
  <c r="L478" i="1"/>
  <c r="N478" i="1" s="1"/>
  <c r="K486" i="5" l="1"/>
  <c r="M486" i="5" s="1"/>
  <c r="L479" i="3"/>
  <c r="N479" i="3" s="1"/>
  <c r="K480" i="3"/>
  <c r="K480" i="1"/>
  <c r="L479" i="1"/>
  <c r="N479" i="1" s="1"/>
  <c r="K487" i="5" l="1"/>
  <c r="M487" i="5" s="1"/>
  <c r="K481" i="3"/>
  <c r="L480" i="3"/>
  <c r="N480" i="3" s="1"/>
  <c r="K481" i="1"/>
  <c r="L480" i="1"/>
  <c r="N480" i="1" s="1"/>
  <c r="K488" i="5" l="1"/>
  <c r="M488" i="5" s="1"/>
  <c r="K482" i="3"/>
  <c r="L481" i="3"/>
  <c r="N481" i="3" s="1"/>
  <c r="L481" i="1"/>
  <c r="N481" i="1" s="1"/>
  <c r="K482" i="1"/>
  <c r="K489" i="5" l="1"/>
  <c r="M489" i="5" s="1"/>
  <c r="L482" i="3"/>
  <c r="N482" i="3" s="1"/>
  <c r="K483" i="3"/>
  <c r="L482" i="1"/>
  <c r="N482" i="1" s="1"/>
  <c r="K483" i="1"/>
  <c r="K490" i="5" l="1"/>
  <c r="M490" i="5" s="1"/>
  <c r="L483" i="3"/>
  <c r="N483" i="3" s="1"/>
  <c r="K484" i="3"/>
  <c r="L483" i="1"/>
  <c r="N483" i="1" s="1"/>
  <c r="K484" i="1"/>
  <c r="K491" i="5" l="1"/>
  <c r="M491" i="5" s="1"/>
  <c r="K485" i="3"/>
  <c r="L484" i="3"/>
  <c r="N484" i="3" s="1"/>
  <c r="K485" i="1"/>
  <c r="L484" i="1"/>
  <c r="N484" i="1" s="1"/>
  <c r="K492" i="5" l="1"/>
  <c r="M492" i="5" s="1"/>
  <c r="K486" i="3"/>
  <c r="L485" i="3"/>
  <c r="N485" i="3" s="1"/>
  <c r="L485" i="1"/>
  <c r="N485" i="1" s="1"/>
  <c r="K486" i="1"/>
  <c r="K493" i="5" l="1"/>
  <c r="M493" i="5" s="1"/>
  <c r="L486" i="3"/>
  <c r="N486" i="3" s="1"/>
  <c r="K487" i="3"/>
  <c r="L486" i="1"/>
  <c r="N486" i="1" s="1"/>
  <c r="K487" i="1"/>
  <c r="K494" i="5" l="1"/>
  <c r="M494" i="5" s="1"/>
  <c r="L487" i="3"/>
  <c r="N487" i="3" s="1"/>
  <c r="K488" i="3"/>
  <c r="L487" i="1"/>
  <c r="N487" i="1" s="1"/>
  <c r="K488" i="1"/>
  <c r="K495" i="5" l="1"/>
  <c r="M495" i="5" s="1"/>
  <c r="K489" i="3"/>
  <c r="L488" i="3"/>
  <c r="N488" i="3" s="1"/>
  <c r="K489" i="1"/>
  <c r="L488" i="1"/>
  <c r="N488" i="1" s="1"/>
  <c r="K496" i="5" l="1"/>
  <c r="M496" i="5" s="1"/>
  <c r="K490" i="3"/>
  <c r="L489" i="3"/>
  <c r="N489" i="3" s="1"/>
  <c r="K490" i="1"/>
  <c r="L489" i="1"/>
  <c r="N489" i="1" s="1"/>
  <c r="K497" i="5" l="1"/>
  <c r="M497" i="5" s="1"/>
  <c r="L490" i="3"/>
  <c r="N490" i="3" s="1"/>
  <c r="K491" i="3"/>
  <c r="K491" i="1"/>
  <c r="L490" i="1"/>
  <c r="N490" i="1" s="1"/>
  <c r="K498" i="5" l="1"/>
  <c r="M498" i="5" s="1"/>
  <c r="L491" i="3"/>
  <c r="N491" i="3" s="1"/>
  <c r="K492" i="3"/>
  <c r="K492" i="1"/>
  <c r="L491" i="1"/>
  <c r="N491" i="1" s="1"/>
  <c r="K499" i="5" l="1"/>
  <c r="M499" i="5" s="1"/>
  <c r="K493" i="3"/>
  <c r="L492" i="3"/>
  <c r="N492" i="3" s="1"/>
  <c r="K493" i="1"/>
  <c r="L492" i="1"/>
  <c r="N492" i="1" s="1"/>
  <c r="K500" i="5" l="1"/>
  <c r="M500" i="5" s="1"/>
  <c r="K494" i="3"/>
  <c r="L493" i="3"/>
  <c r="N493" i="3" s="1"/>
  <c r="K494" i="1"/>
  <c r="L493" i="1"/>
  <c r="N493" i="1" s="1"/>
  <c r="K501" i="5" l="1"/>
  <c r="M501" i="5" s="1"/>
  <c r="L494" i="3"/>
  <c r="N494" i="3" s="1"/>
  <c r="K495" i="3"/>
  <c r="K495" i="1"/>
  <c r="L494" i="1"/>
  <c r="N494" i="1" s="1"/>
  <c r="K502" i="5" l="1"/>
  <c r="M502" i="5" s="1"/>
  <c r="L495" i="3"/>
  <c r="N495" i="3" s="1"/>
  <c r="K496" i="3"/>
  <c r="K496" i="1"/>
  <c r="L495" i="1"/>
  <c r="N495" i="1" s="1"/>
  <c r="K503" i="5" l="1"/>
  <c r="M503" i="5" s="1"/>
  <c r="K497" i="3"/>
  <c r="L496" i="3"/>
  <c r="N496" i="3" s="1"/>
  <c r="K497" i="1"/>
  <c r="L496" i="1"/>
  <c r="N496" i="1" s="1"/>
  <c r="K504" i="5" l="1"/>
  <c r="M504" i="5" s="1"/>
  <c r="K498" i="3"/>
  <c r="L497" i="3"/>
  <c r="N497" i="3" s="1"/>
  <c r="L497" i="1"/>
  <c r="N497" i="1" s="1"/>
  <c r="K498" i="1"/>
  <c r="K505" i="5" l="1"/>
  <c r="M505" i="5" s="1"/>
  <c r="L498" i="3"/>
  <c r="N498" i="3" s="1"/>
  <c r="K499" i="3"/>
  <c r="L498" i="1"/>
  <c r="N498" i="1" s="1"/>
  <c r="K499" i="1"/>
  <c r="K506" i="5" l="1"/>
  <c r="M506" i="5" s="1"/>
  <c r="L499" i="3"/>
  <c r="N499" i="3" s="1"/>
  <c r="K500" i="3"/>
  <c r="L499" i="1"/>
  <c r="N499" i="1" s="1"/>
  <c r="K500" i="1"/>
  <c r="K507" i="5" l="1"/>
  <c r="M507" i="5" s="1"/>
  <c r="K501" i="3"/>
  <c r="L500" i="3"/>
  <c r="N500" i="3" s="1"/>
  <c r="K501" i="1"/>
  <c r="L500" i="1"/>
  <c r="N500" i="1" s="1"/>
  <c r="K508" i="5" l="1"/>
  <c r="M508" i="5" s="1"/>
  <c r="K502" i="3"/>
  <c r="L501" i="3"/>
  <c r="N501" i="3" s="1"/>
  <c r="L501" i="1"/>
  <c r="N501" i="1" s="1"/>
  <c r="K502" i="1"/>
  <c r="K509" i="5" l="1"/>
  <c r="M509" i="5" s="1"/>
  <c r="L502" i="3"/>
  <c r="N502" i="3" s="1"/>
  <c r="K503" i="3"/>
  <c r="L502" i="1"/>
  <c r="N502" i="1" s="1"/>
  <c r="K503" i="1"/>
  <c r="K510" i="5" l="1"/>
  <c r="M510" i="5" s="1"/>
  <c r="L503" i="3"/>
  <c r="N503" i="3" s="1"/>
  <c r="K504" i="3"/>
  <c r="L503" i="1"/>
  <c r="N503" i="1" s="1"/>
  <c r="K504" i="1"/>
  <c r="K511" i="5" l="1"/>
  <c r="M511" i="5" s="1"/>
  <c r="K505" i="3"/>
  <c r="L504" i="3"/>
  <c r="N504" i="3" s="1"/>
  <c r="K505" i="1"/>
  <c r="L504" i="1"/>
  <c r="N504" i="1" s="1"/>
  <c r="K512" i="5" l="1"/>
  <c r="M512" i="5" s="1"/>
  <c r="K506" i="3"/>
  <c r="L505" i="3"/>
  <c r="N505" i="3" s="1"/>
  <c r="K506" i="1"/>
  <c r="L505" i="1"/>
  <c r="N505" i="1" s="1"/>
  <c r="K513" i="5" l="1"/>
  <c r="M513" i="5" s="1"/>
  <c r="L506" i="3"/>
  <c r="N506" i="3" s="1"/>
  <c r="K507" i="3"/>
  <c r="K507" i="1"/>
  <c r="L506" i="1"/>
  <c r="N506" i="1" s="1"/>
  <c r="K514" i="5" l="1"/>
  <c r="M514" i="5" s="1"/>
  <c r="L507" i="3"/>
  <c r="N507" i="3" s="1"/>
  <c r="K508" i="3"/>
  <c r="L507" i="1"/>
  <c r="N507" i="1" s="1"/>
  <c r="K508" i="1"/>
  <c r="K515" i="5" l="1"/>
  <c r="M515" i="5" s="1"/>
  <c r="K509" i="3"/>
  <c r="L508" i="3"/>
  <c r="N508" i="3" s="1"/>
  <c r="K509" i="1"/>
  <c r="L508" i="1"/>
  <c r="N508" i="1" s="1"/>
  <c r="K516" i="5" l="1"/>
  <c r="M516" i="5" s="1"/>
  <c r="K510" i="3"/>
  <c r="L509" i="3"/>
  <c r="N509" i="3" s="1"/>
  <c r="K510" i="1"/>
  <c r="L509" i="1"/>
  <c r="N509" i="1" s="1"/>
  <c r="K517" i="5" l="1"/>
  <c r="M517" i="5" s="1"/>
  <c r="L510" i="3"/>
  <c r="N510" i="3" s="1"/>
  <c r="K511" i="3"/>
  <c r="K511" i="1"/>
  <c r="L510" i="1"/>
  <c r="N510" i="1" s="1"/>
  <c r="K518" i="5" l="1"/>
  <c r="M518" i="5" s="1"/>
  <c r="L511" i="3"/>
  <c r="N511" i="3" s="1"/>
  <c r="K512" i="3"/>
  <c r="K512" i="1"/>
  <c r="L511" i="1"/>
  <c r="N511" i="1" s="1"/>
  <c r="K519" i="5" l="1"/>
  <c r="M519" i="5" s="1"/>
  <c r="K513" i="3"/>
  <c r="L512" i="3"/>
  <c r="N512" i="3" s="1"/>
  <c r="K513" i="1"/>
  <c r="L512" i="1"/>
  <c r="N512" i="1" s="1"/>
  <c r="K520" i="5" l="1"/>
  <c r="M520" i="5" s="1"/>
  <c r="K514" i="3"/>
  <c r="L513" i="3"/>
  <c r="N513" i="3" s="1"/>
  <c r="L513" i="1"/>
  <c r="N513" i="1" s="1"/>
  <c r="K514" i="1"/>
  <c r="K521" i="5" l="1"/>
  <c r="M521" i="5" s="1"/>
  <c r="L514" i="3"/>
  <c r="N514" i="3" s="1"/>
  <c r="K515" i="3"/>
  <c r="L514" i="1"/>
  <c r="N514" i="1" s="1"/>
  <c r="K515" i="1"/>
  <c r="K522" i="5" l="1"/>
  <c r="M522" i="5" s="1"/>
  <c r="L515" i="3"/>
  <c r="N515" i="3" s="1"/>
  <c r="K516" i="3"/>
  <c r="L515" i="1"/>
  <c r="N515" i="1" s="1"/>
  <c r="K516" i="1"/>
  <c r="K523" i="5" l="1"/>
  <c r="M523" i="5" s="1"/>
  <c r="K517" i="3"/>
  <c r="L516" i="3"/>
  <c r="N516" i="3" s="1"/>
  <c r="K517" i="1"/>
  <c r="L516" i="1"/>
  <c r="N516" i="1" s="1"/>
  <c r="K524" i="5" l="1"/>
  <c r="M524" i="5" s="1"/>
  <c r="K518" i="3"/>
  <c r="L517" i="3"/>
  <c r="N517" i="3" s="1"/>
  <c r="L517" i="1"/>
  <c r="N517" i="1" s="1"/>
  <c r="K518" i="1"/>
  <c r="K525" i="5" l="1"/>
  <c r="M525" i="5" s="1"/>
  <c r="L518" i="3"/>
  <c r="N518" i="3" s="1"/>
  <c r="K519" i="3"/>
  <c r="L518" i="1"/>
  <c r="N518" i="1" s="1"/>
  <c r="K519" i="1"/>
  <c r="K526" i="5" l="1"/>
  <c r="M526" i="5" s="1"/>
  <c r="L519" i="3"/>
  <c r="N519" i="3" s="1"/>
  <c r="K520" i="3"/>
  <c r="L519" i="1"/>
  <c r="N519" i="1" s="1"/>
  <c r="K520" i="1"/>
  <c r="K527" i="5" l="1"/>
  <c r="M527" i="5" s="1"/>
  <c r="K521" i="3"/>
  <c r="L520" i="3"/>
  <c r="N520" i="3" s="1"/>
  <c r="K521" i="1"/>
  <c r="L520" i="1"/>
  <c r="N520" i="1" s="1"/>
  <c r="K528" i="5" l="1"/>
  <c r="M528" i="5" s="1"/>
  <c r="K522" i="3"/>
  <c r="L521" i="3"/>
  <c r="N521" i="3" s="1"/>
  <c r="K522" i="1"/>
  <c r="L521" i="1"/>
  <c r="N521" i="1" s="1"/>
  <c r="K529" i="5" l="1"/>
  <c r="M529" i="5" s="1"/>
  <c r="L522" i="3"/>
  <c r="N522" i="3" s="1"/>
  <c r="K523" i="3"/>
  <c r="K523" i="1"/>
  <c r="L522" i="1"/>
  <c r="N522" i="1" s="1"/>
  <c r="K530" i="5" l="1"/>
  <c r="M530" i="5" s="1"/>
  <c r="L523" i="3"/>
  <c r="N523" i="3" s="1"/>
  <c r="K524" i="3"/>
  <c r="K524" i="1"/>
  <c r="L523" i="1"/>
  <c r="N523" i="1" s="1"/>
  <c r="K531" i="5" l="1"/>
  <c r="M531" i="5" s="1"/>
  <c r="K525" i="3"/>
  <c r="L524" i="3"/>
  <c r="N524" i="3" s="1"/>
  <c r="K525" i="1"/>
  <c r="L524" i="1"/>
  <c r="N524" i="1" s="1"/>
  <c r="K532" i="5" l="1"/>
  <c r="M532" i="5" s="1"/>
  <c r="K526" i="3"/>
  <c r="L525" i="3"/>
  <c r="N525" i="3" s="1"/>
  <c r="K526" i="1"/>
  <c r="L525" i="1"/>
  <c r="N525" i="1" s="1"/>
  <c r="K533" i="5" l="1"/>
  <c r="M533" i="5" s="1"/>
  <c r="L526" i="3"/>
  <c r="N526" i="3" s="1"/>
  <c r="K527" i="3"/>
  <c r="K527" i="1"/>
  <c r="L526" i="1"/>
  <c r="N526" i="1" s="1"/>
  <c r="K534" i="5" l="1"/>
  <c r="M534" i="5" s="1"/>
  <c r="L527" i="3"/>
  <c r="N527" i="3" s="1"/>
  <c r="K528" i="3"/>
  <c r="K528" i="1"/>
  <c r="L527" i="1"/>
  <c r="N527" i="1" s="1"/>
  <c r="K535" i="5" l="1"/>
  <c r="M535" i="5" s="1"/>
  <c r="K529" i="3"/>
  <c r="L528" i="3"/>
  <c r="N528" i="3" s="1"/>
  <c r="K529" i="1"/>
  <c r="L528" i="1"/>
  <c r="N528" i="1" s="1"/>
  <c r="K536" i="5" l="1"/>
  <c r="M536" i="5" s="1"/>
  <c r="K530" i="3"/>
  <c r="L529" i="3"/>
  <c r="N529" i="3" s="1"/>
  <c r="L529" i="1"/>
  <c r="N529" i="1" s="1"/>
  <c r="K530" i="1"/>
  <c r="K537" i="5" l="1"/>
  <c r="M537" i="5" s="1"/>
  <c r="L530" i="3"/>
  <c r="N530" i="3" s="1"/>
  <c r="K531" i="3"/>
  <c r="L530" i="1"/>
  <c r="N530" i="1" s="1"/>
  <c r="K531" i="1"/>
  <c r="K538" i="5" l="1"/>
  <c r="M538" i="5" s="1"/>
  <c r="L531" i="3"/>
  <c r="N531" i="3" s="1"/>
  <c r="K532" i="3"/>
  <c r="L531" i="1"/>
  <c r="N531" i="1" s="1"/>
  <c r="K532" i="1"/>
  <c r="K539" i="5" l="1"/>
  <c r="M539" i="5" s="1"/>
  <c r="K533" i="3"/>
  <c r="L532" i="3"/>
  <c r="N532" i="3" s="1"/>
  <c r="K533" i="1"/>
  <c r="L532" i="1"/>
  <c r="N532" i="1" s="1"/>
  <c r="K540" i="5" l="1"/>
  <c r="M540" i="5" s="1"/>
  <c r="K534" i="3"/>
  <c r="L533" i="3"/>
  <c r="N533" i="3" s="1"/>
  <c r="L533" i="1"/>
  <c r="N533" i="1" s="1"/>
  <c r="K534" i="1"/>
  <c r="K541" i="5" l="1"/>
  <c r="M541" i="5" s="1"/>
  <c r="L534" i="3"/>
  <c r="N534" i="3" s="1"/>
  <c r="K535" i="3"/>
  <c r="L534" i="1"/>
  <c r="N534" i="1" s="1"/>
  <c r="K535" i="1"/>
  <c r="K542" i="5" l="1"/>
  <c r="M542" i="5" s="1"/>
  <c r="L535" i="3"/>
  <c r="N535" i="3" s="1"/>
  <c r="K536" i="3"/>
  <c r="L535" i="1"/>
  <c r="N535" i="1" s="1"/>
  <c r="K536" i="1"/>
  <c r="K543" i="5" l="1"/>
  <c r="M543" i="5" s="1"/>
  <c r="K537" i="3"/>
  <c r="L536" i="3"/>
  <c r="N536" i="3" s="1"/>
  <c r="K537" i="1"/>
  <c r="L536" i="1"/>
  <c r="N536" i="1" s="1"/>
  <c r="K544" i="5" l="1"/>
  <c r="M544" i="5" s="1"/>
  <c r="K538" i="3"/>
  <c r="L537" i="3"/>
  <c r="N537" i="3" s="1"/>
  <c r="L537" i="1"/>
  <c r="N537" i="1" s="1"/>
  <c r="K538" i="1"/>
  <c r="K545" i="5" l="1"/>
  <c r="M545" i="5" s="1"/>
  <c r="L538" i="3"/>
  <c r="N538" i="3" s="1"/>
  <c r="K539" i="3"/>
  <c r="K539" i="1"/>
  <c r="L538" i="1"/>
  <c r="N538" i="1" s="1"/>
  <c r="K546" i="5" l="1"/>
  <c r="M546" i="5" s="1"/>
  <c r="L539" i="3"/>
  <c r="N539" i="3" s="1"/>
  <c r="K540" i="3"/>
  <c r="K540" i="1"/>
  <c r="L539" i="1"/>
  <c r="N539" i="1" s="1"/>
  <c r="K547" i="5" l="1"/>
  <c r="M547" i="5" s="1"/>
  <c r="K541" i="3"/>
  <c r="L540" i="3"/>
  <c r="N540" i="3" s="1"/>
  <c r="K541" i="1"/>
  <c r="L540" i="1"/>
  <c r="N540" i="1" s="1"/>
  <c r="K548" i="5" l="1"/>
  <c r="M548" i="5" s="1"/>
  <c r="K542" i="3"/>
  <c r="L541" i="3"/>
  <c r="N541" i="3" s="1"/>
  <c r="K542" i="1"/>
  <c r="L541" i="1"/>
  <c r="N541" i="1" s="1"/>
  <c r="K549" i="5" l="1"/>
  <c r="M549" i="5" s="1"/>
  <c r="L542" i="3"/>
  <c r="N542" i="3" s="1"/>
  <c r="K543" i="3"/>
  <c r="K543" i="1"/>
  <c r="L542" i="1"/>
  <c r="N542" i="1" s="1"/>
  <c r="K550" i="5" l="1"/>
  <c r="M550" i="5" s="1"/>
  <c r="L543" i="3"/>
  <c r="N543" i="3" s="1"/>
  <c r="K544" i="3"/>
  <c r="K544" i="1"/>
  <c r="L543" i="1"/>
  <c r="N543" i="1" s="1"/>
  <c r="K551" i="5" l="1"/>
  <c r="M551" i="5" s="1"/>
  <c r="K545" i="3"/>
  <c r="L544" i="3"/>
  <c r="N544" i="3" s="1"/>
  <c r="K545" i="1"/>
  <c r="L544" i="1"/>
  <c r="N544" i="1" s="1"/>
  <c r="K552" i="5" l="1"/>
  <c r="M552" i="5" s="1"/>
  <c r="K546" i="3"/>
  <c r="L545" i="3"/>
  <c r="N545" i="3" s="1"/>
  <c r="L545" i="1"/>
  <c r="N545" i="1" s="1"/>
  <c r="K546" i="1"/>
  <c r="K553" i="5" l="1"/>
  <c r="M553" i="5" s="1"/>
  <c r="L546" i="3"/>
  <c r="N546" i="3" s="1"/>
  <c r="K547" i="3"/>
  <c r="L546" i="1"/>
  <c r="N546" i="1" s="1"/>
  <c r="K547" i="1"/>
  <c r="K554" i="5" l="1"/>
  <c r="M554" i="5" s="1"/>
  <c r="L547" i="3"/>
  <c r="N547" i="3" s="1"/>
  <c r="K548" i="3"/>
  <c r="L547" i="1"/>
  <c r="N547" i="1" s="1"/>
  <c r="K548" i="1"/>
  <c r="K555" i="5" l="1"/>
  <c r="M555" i="5" s="1"/>
  <c r="K549" i="3"/>
  <c r="L548" i="3"/>
  <c r="N548" i="3" s="1"/>
  <c r="K549" i="1"/>
  <c r="L548" i="1"/>
  <c r="N548" i="1" s="1"/>
  <c r="K556" i="5" l="1"/>
  <c r="M556" i="5" s="1"/>
  <c r="K550" i="3"/>
  <c r="L549" i="3"/>
  <c r="N549" i="3" s="1"/>
  <c r="L549" i="1"/>
  <c r="N549" i="1" s="1"/>
  <c r="K550" i="1"/>
  <c r="K557" i="5" l="1"/>
  <c r="M557" i="5" s="1"/>
  <c r="L550" i="3"/>
  <c r="N550" i="3" s="1"/>
  <c r="K551" i="3"/>
  <c r="L550" i="1"/>
  <c r="N550" i="1" s="1"/>
  <c r="K551" i="1"/>
  <c r="K558" i="5" l="1"/>
  <c r="M558" i="5" s="1"/>
  <c r="L551" i="3"/>
  <c r="N551" i="3" s="1"/>
  <c r="K552" i="3"/>
  <c r="L551" i="1"/>
  <c r="N551" i="1" s="1"/>
  <c r="K552" i="1"/>
  <c r="K559" i="5" l="1"/>
  <c r="M559" i="5" s="1"/>
  <c r="K553" i="3"/>
  <c r="L552" i="3"/>
  <c r="N552" i="3" s="1"/>
  <c r="K553" i="1"/>
  <c r="L552" i="1"/>
  <c r="N552" i="1" s="1"/>
  <c r="K560" i="5" l="1"/>
  <c r="M560" i="5" s="1"/>
  <c r="K554" i="3"/>
  <c r="L553" i="3"/>
  <c r="N553" i="3" s="1"/>
  <c r="K554" i="1"/>
  <c r="L553" i="1"/>
  <c r="N553" i="1" s="1"/>
  <c r="K561" i="5" l="1"/>
  <c r="M561" i="5" s="1"/>
  <c r="L554" i="3"/>
  <c r="N554" i="3" s="1"/>
  <c r="K555" i="3"/>
  <c r="K555" i="1"/>
  <c r="L554" i="1"/>
  <c r="N554" i="1" s="1"/>
  <c r="K562" i="5" l="1"/>
  <c r="M562" i="5" s="1"/>
  <c r="L555" i="3"/>
  <c r="N555" i="3" s="1"/>
  <c r="K556" i="3"/>
  <c r="K556" i="1"/>
  <c r="L555" i="1"/>
  <c r="N555" i="1" s="1"/>
  <c r="K563" i="5" l="1"/>
  <c r="M563" i="5" s="1"/>
  <c r="K557" i="3"/>
  <c r="L556" i="3"/>
  <c r="N556" i="3" s="1"/>
  <c r="K557" i="1"/>
  <c r="L556" i="1"/>
  <c r="N556" i="1" s="1"/>
  <c r="K564" i="5" l="1"/>
  <c r="M564" i="5" s="1"/>
  <c r="K558" i="3"/>
  <c r="L557" i="3"/>
  <c r="N557" i="3" s="1"/>
  <c r="K558" i="1"/>
  <c r="L557" i="1"/>
  <c r="N557" i="1" s="1"/>
  <c r="K565" i="5" l="1"/>
  <c r="M565" i="5" s="1"/>
  <c r="L558" i="3"/>
  <c r="N558" i="3" s="1"/>
  <c r="K559" i="3"/>
  <c r="K559" i="1"/>
  <c r="L558" i="1"/>
  <c r="N558" i="1" s="1"/>
  <c r="K566" i="5" l="1"/>
  <c r="M566" i="5" s="1"/>
  <c r="L559" i="3"/>
  <c r="N559" i="3" s="1"/>
  <c r="K560" i="3"/>
  <c r="K560" i="1"/>
  <c r="L559" i="1"/>
  <c r="N559" i="1" s="1"/>
  <c r="K567" i="5" l="1"/>
  <c r="M567" i="5" s="1"/>
  <c r="K561" i="3"/>
  <c r="L560" i="3"/>
  <c r="N560" i="3" s="1"/>
  <c r="K561" i="1"/>
  <c r="L560" i="1"/>
  <c r="N560" i="1" s="1"/>
  <c r="K568" i="5" l="1"/>
  <c r="M568" i="5" s="1"/>
  <c r="K562" i="3"/>
  <c r="L561" i="3"/>
  <c r="N561" i="3" s="1"/>
  <c r="L561" i="1"/>
  <c r="N561" i="1" s="1"/>
  <c r="K562" i="1"/>
  <c r="K569" i="5" l="1"/>
  <c r="M569" i="5" s="1"/>
  <c r="L562" i="3"/>
  <c r="N562" i="3" s="1"/>
  <c r="K563" i="3"/>
  <c r="L562" i="1"/>
  <c r="N562" i="1" s="1"/>
  <c r="K563" i="1"/>
  <c r="K570" i="5" l="1"/>
  <c r="M570" i="5" s="1"/>
  <c r="L563" i="3"/>
  <c r="N563" i="3" s="1"/>
  <c r="K564" i="3"/>
  <c r="L563" i="1"/>
  <c r="N563" i="1" s="1"/>
  <c r="K564" i="1"/>
  <c r="K571" i="5" l="1"/>
  <c r="M571" i="5" s="1"/>
  <c r="K565" i="3"/>
  <c r="L564" i="3"/>
  <c r="N564" i="3" s="1"/>
  <c r="K565" i="1"/>
  <c r="L564" i="1"/>
  <c r="N564" i="1" s="1"/>
  <c r="K572" i="5" l="1"/>
  <c r="M572" i="5" s="1"/>
  <c r="K566" i="3"/>
  <c r="L565" i="3"/>
  <c r="N565" i="3" s="1"/>
  <c r="L565" i="1"/>
  <c r="N565" i="1" s="1"/>
  <c r="K566" i="1"/>
  <c r="K573" i="5" l="1"/>
  <c r="M573" i="5" s="1"/>
  <c r="L566" i="3"/>
  <c r="N566" i="3" s="1"/>
  <c r="K567" i="3"/>
  <c r="L566" i="1"/>
  <c r="N566" i="1" s="1"/>
  <c r="K567" i="1"/>
  <c r="K574" i="5" l="1"/>
  <c r="M574" i="5" s="1"/>
  <c r="L567" i="3"/>
  <c r="N567" i="3" s="1"/>
  <c r="K568" i="3"/>
  <c r="L567" i="1"/>
  <c r="N567" i="1" s="1"/>
  <c r="K568" i="1"/>
  <c r="K575" i="5" l="1"/>
  <c r="M575" i="5" s="1"/>
  <c r="K569" i="3"/>
  <c r="L568" i="3"/>
  <c r="N568" i="3" s="1"/>
  <c r="K569" i="1"/>
  <c r="L568" i="1"/>
  <c r="N568" i="1" s="1"/>
  <c r="K576" i="5" l="1"/>
  <c r="M576" i="5" s="1"/>
  <c r="K570" i="3"/>
  <c r="L569" i="3"/>
  <c r="N569" i="3" s="1"/>
  <c r="L569" i="1"/>
  <c r="N569" i="1" s="1"/>
  <c r="K570" i="1"/>
  <c r="K577" i="5" l="1"/>
  <c r="M577" i="5" s="1"/>
  <c r="L570" i="3"/>
  <c r="N570" i="3" s="1"/>
  <c r="K571" i="3"/>
  <c r="K571" i="1"/>
  <c r="L570" i="1"/>
  <c r="N570" i="1" s="1"/>
  <c r="K578" i="5" l="1"/>
  <c r="M578" i="5" s="1"/>
  <c r="L571" i="3"/>
  <c r="N571" i="3" s="1"/>
  <c r="K572" i="3"/>
  <c r="K572" i="1"/>
  <c r="L571" i="1"/>
  <c r="N571" i="1" s="1"/>
  <c r="K579" i="5" l="1"/>
  <c r="M579" i="5" s="1"/>
  <c r="K573" i="3"/>
  <c r="L572" i="3"/>
  <c r="N572" i="3" s="1"/>
  <c r="K573" i="1"/>
  <c r="L572" i="1"/>
  <c r="N572" i="1" s="1"/>
  <c r="K580" i="5" l="1"/>
  <c r="M580" i="5" s="1"/>
  <c r="K574" i="3"/>
  <c r="L573" i="3"/>
  <c r="N573" i="3" s="1"/>
  <c r="K574" i="1"/>
  <c r="L573" i="1"/>
  <c r="N573" i="1" s="1"/>
  <c r="K581" i="5" l="1"/>
  <c r="M581" i="5" s="1"/>
  <c r="L574" i="3"/>
  <c r="N574" i="3" s="1"/>
  <c r="K575" i="3"/>
  <c r="K575" i="1"/>
  <c r="L574" i="1"/>
  <c r="N574" i="1" s="1"/>
  <c r="K582" i="5" l="1"/>
  <c r="M582" i="5" s="1"/>
  <c r="L575" i="3"/>
  <c r="N575" i="3" s="1"/>
  <c r="K576" i="3"/>
  <c r="K576" i="1"/>
  <c r="L575" i="1"/>
  <c r="N575" i="1" s="1"/>
  <c r="K583" i="5" l="1"/>
  <c r="M583" i="5" s="1"/>
  <c r="K577" i="3"/>
  <c r="L576" i="3"/>
  <c r="N576" i="3" s="1"/>
  <c r="K577" i="1"/>
  <c r="L576" i="1"/>
  <c r="N576" i="1" s="1"/>
  <c r="K584" i="5" l="1"/>
  <c r="M584" i="5" s="1"/>
  <c r="K578" i="3"/>
  <c r="L577" i="3"/>
  <c r="N577" i="3" s="1"/>
  <c r="L577" i="1"/>
  <c r="N577" i="1" s="1"/>
  <c r="K578" i="1"/>
  <c r="K585" i="5" l="1"/>
  <c r="M585" i="5" s="1"/>
  <c r="L578" i="3"/>
  <c r="N578" i="3" s="1"/>
  <c r="K579" i="3"/>
  <c r="L578" i="1"/>
  <c r="N578" i="1" s="1"/>
  <c r="K579" i="1"/>
  <c r="K586" i="5" l="1"/>
  <c r="M586" i="5" s="1"/>
  <c r="L579" i="3"/>
  <c r="N579" i="3" s="1"/>
  <c r="K580" i="3"/>
  <c r="L579" i="1"/>
  <c r="N579" i="1" s="1"/>
  <c r="K580" i="1"/>
  <c r="K587" i="5" l="1"/>
  <c r="M587" i="5" s="1"/>
  <c r="K581" i="3"/>
  <c r="L580" i="3"/>
  <c r="N580" i="3" s="1"/>
  <c r="K581" i="1"/>
  <c r="L580" i="1"/>
  <c r="N580" i="1" s="1"/>
  <c r="K588" i="5" l="1"/>
  <c r="M588" i="5" s="1"/>
  <c r="K582" i="3"/>
  <c r="L581" i="3"/>
  <c r="N581" i="3" s="1"/>
  <c r="L581" i="1"/>
  <c r="N581" i="1" s="1"/>
  <c r="K582" i="1"/>
  <c r="K589" i="5" l="1"/>
  <c r="M589" i="5" s="1"/>
  <c r="L582" i="3"/>
  <c r="N582" i="3" s="1"/>
  <c r="K583" i="3"/>
  <c r="L582" i="1"/>
  <c r="N582" i="1" s="1"/>
  <c r="K583" i="1"/>
  <c r="K590" i="5" l="1"/>
  <c r="M590" i="5" s="1"/>
  <c r="L583" i="3"/>
  <c r="N583" i="3" s="1"/>
  <c r="K584" i="3"/>
  <c r="L583" i="1"/>
  <c r="N583" i="1" s="1"/>
  <c r="K584" i="1"/>
  <c r="K591" i="5" l="1"/>
  <c r="M591" i="5" s="1"/>
  <c r="K585" i="3"/>
  <c r="L584" i="3"/>
  <c r="N584" i="3" s="1"/>
  <c r="K585" i="1"/>
  <c r="L584" i="1"/>
  <c r="N584" i="1" s="1"/>
  <c r="K592" i="5" l="1"/>
  <c r="M592" i="5" s="1"/>
  <c r="K586" i="3"/>
  <c r="L585" i="3"/>
  <c r="N585" i="3" s="1"/>
  <c r="K586" i="1"/>
  <c r="L585" i="1"/>
  <c r="N585" i="1" s="1"/>
  <c r="K593" i="5" l="1"/>
  <c r="M593" i="5" s="1"/>
  <c r="L586" i="3"/>
  <c r="N586" i="3" s="1"/>
  <c r="K587" i="3"/>
  <c r="L586" i="1"/>
  <c r="N586" i="1" s="1"/>
  <c r="K587" i="1"/>
  <c r="K595" i="5" l="1"/>
  <c r="M595" i="5" s="1"/>
  <c r="L587" i="3"/>
  <c r="N587" i="3" s="1"/>
  <c r="K588" i="3"/>
  <c r="K588" i="1"/>
  <c r="L587" i="1"/>
  <c r="N587" i="1" s="1"/>
  <c r="K596" i="5" l="1"/>
  <c r="M596" i="5" s="1"/>
  <c r="K589" i="3"/>
  <c r="L588" i="3"/>
  <c r="N588" i="3" s="1"/>
  <c r="K589" i="1"/>
  <c r="L588" i="1"/>
  <c r="N588" i="1" s="1"/>
  <c r="K597" i="5" l="1"/>
  <c r="M597" i="5" s="1"/>
  <c r="K590" i="3"/>
  <c r="L589" i="3"/>
  <c r="N589" i="3" s="1"/>
  <c r="K590" i="1"/>
  <c r="L589" i="1"/>
  <c r="N589" i="1" s="1"/>
  <c r="K598" i="5" l="1"/>
  <c r="M598" i="5" s="1"/>
  <c r="L590" i="3"/>
  <c r="N590" i="3" s="1"/>
  <c r="K591" i="3"/>
  <c r="K591" i="1"/>
  <c r="L590" i="1"/>
  <c r="N590" i="1" s="1"/>
  <c r="K599" i="5" l="1"/>
  <c r="M599" i="5" s="1"/>
  <c r="L591" i="3"/>
  <c r="N591" i="3" s="1"/>
  <c r="K592" i="3"/>
  <c r="K592" i="1"/>
  <c r="L591" i="1"/>
  <c r="N591" i="1" s="1"/>
  <c r="K600" i="5" l="1"/>
  <c r="M600" i="5" s="1"/>
  <c r="K593" i="3"/>
  <c r="L592" i="3"/>
  <c r="N592" i="3" s="1"/>
  <c r="K593" i="1"/>
  <c r="L592" i="1"/>
  <c r="N592" i="1" s="1"/>
  <c r="K601" i="5" l="1"/>
  <c r="M601" i="5" s="1"/>
  <c r="K594" i="3"/>
  <c r="L593" i="3"/>
  <c r="N593" i="3" s="1"/>
  <c r="L593" i="1"/>
  <c r="N593" i="1" s="1"/>
  <c r="K594" i="1"/>
  <c r="K602" i="5" l="1"/>
  <c r="M602" i="5" s="1"/>
  <c r="L594" i="3"/>
  <c r="N594" i="3" s="1"/>
  <c r="K595" i="3"/>
  <c r="L594" i="1"/>
  <c r="N594" i="1" s="1"/>
  <c r="K595" i="1"/>
  <c r="K603" i="5" l="1"/>
  <c r="M603" i="5" s="1"/>
  <c r="L595" i="3"/>
  <c r="N595" i="3" s="1"/>
  <c r="K596" i="3"/>
  <c r="L595" i="1"/>
  <c r="N595" i="1" s="1"/>
  <c r="K596" i="1"/>
  <c r="K604" i="5" l="1"/>
  <c r="M604" i="5" s="1"/>
  <c r="K597" i="3"/>
  <c r="L596" i="3"/>
  <c r="N596" i="3" s="1"/>
  <c r="K597" i="1"/>
  <c r="L596" i="1"/>
  <c r="N596" i="1" s="1"/>
  <c r="K605" i="5" l="1"/>
  <c r="M605" i="5" s="1"/>
  <c r="K598" i="3"/>
  <c r="L597" i="3"/>
  <c r="N597" i="3" s="1"/>
  <c r="L597" i="1"/>
  <c r="N597" i="1" s="1"/>
  <c r="K598" i="1"/>
  <c r="K606" i="5" l="1"/>
  <c r="M606" i="5" s="1"/>
  <c r="L598" i="3"/>
  <c r="N598" i="3" s="1"/>
  <c r="K599" i="3"/>
  <c r="L598" i="1"/>
  <c r="N598" i="1" s="1"/>
  <c r="K599" i="1"/>
  <c r="K607" i="5" l="1"/>
  <c r="M607" i="5" s="1"/>
  <c r="L599" i="3"/>
  <c r="N599" i="3" s="1"/>
  <c r="K600" i="3"/>
  <c r="L599" i="1"/>
  <c r="N599" i="1" s="1"/>
  <c r="K600" i="1"/>
  <c r="K608" i="5" l="1"/>
  <c r="M608" i="5" s="1"/>
  <c r="K601" i="3"/>
  <c r="L600" i="3"/>
  <c r="N600" i="3" s="1"/>
  <c r="K601" i="1"/>
  <c r="L600" i="1"/>
  <c r="N600" i="1" s="1"/>
  <c r="K609" i="5" l="1"/>
  <c r="M609" i="5" s="1"/>
  <c r="K602" i="3"/>
  <c r="L601" i="3"/>
  <c r="N601" i="3" s="1"/>
  <c r="K602" i="1"/>
  <c r="L601" i="1"/>
  <c r="N601" i="1" s="1"/>
  <c r="K610" i="5" l="1"/>
  <c r="M610" i="5" s="1"/>
  <c r="L602" i="3"/>
  <c r="N602" i="3" s="1"/>
  <c r="K603" i="3"/>
  <c r="K603" i="1"/>
  <c r="L602" i="1"/>
  <c r="N602" i="1" s="1"/>
  <c r="K611" i="5" l="1"/>
  <c r="M611" i="5" s="1"/>
  <c r="L603" i="3"/>
  <c r="N603" i="3" s="1"/>
  <c r="K604" i="3"/>
  <c r="L603" i="1"/>
  <c r="N603" i="1" s="1"/>
  <c r="K604" i="1"/>
  <c r="K612" i="5" l="1"/>
  <c r="M612" i="5" s="1"/>
  <c r="K605" i="3"/>
  <c r="L604" i="3"/>
  <c r="N604" i="3" s="1"/>
  <c r="L604" i="1"/>
  <c r="N604" i="1" s="1"/>
  <c r="K605" i="1"/>
  <c r="K613" i="5" l="1"/>
  <c r="M613" i="5" s="1"/>
  <c r="K606" i="3"/>
  <c r="L605" i="3"/>
  <c r="N605" i="3" s="1"/>
  <c r="L605" i="1"/>
  <c r="N605" i="1" s="1"/>
  <c r="K606" i="1"/>
  <c r="K614" i="5" l="1"/>
  <c r="M614" i="5" s="1"/>
  <c r="L606" i="3"/>
  <c r="N606" i="3" s="1"/>
  <c r="K607" i="3"/>
  <c r="K607" i="1"/>
  <c r="L606" i="1"/>
  <c r="N606" i="1" s="1"/>
  <c r="K615" i="5" l="1"/>
  <c r="M615" i="5" s="1"/>
  <c r="L607" i="3"/>
  <c r="N607" i="3" s="1"/>
  <c r="K608" i="3"/>
  <c r="L607" i="1"/>
  <c r="N607" i="1" s="1"/>
  <c r="K608" i="1"/>
  <c r="K616" i="5" l="1"/>
  <c r="M616" i="5" s="1"/>
  <c r="K609" i="3"/>
  <c r="L608" i="3"/>
  <c r="N608" i="3" s="1"/>
  <c r="K609" i="1"/>
  <c r="L608" i="1"/>
  <c r="N608" i="1" s="1"/>
  <c r="K617" i="5" l="1"/>
  <c r="M617" i="5" s="1"/>
  <c r="K610" i="3"/>
  <c r="L609" i="3"/>
  <c r="N609" i="3" s="1"/>
  <c r="K610" i="1"/>
  <c r="L609" i="1"/>
  <c r="N609" i="1" s="1"/>
  <c r="K618" i="5" l="1"/>
  <c r="M618" i="5" s="1"/>
  <c r="L610" i="3"/>
  <c r="N610" i="3" s="1"/>
  <c r="K611" i="3"/>
  <c r="K611" i="1"/>
  <c r="L610" i="1"/>
  <c r="N610" i="1" s="1"/>
  <c r="K619" i="5" l="1"/>
  <c r="M619" i="5" s="1"/>
  <c r="L611" i="3"/>
  <c r="N611" i="3" s="1"/>
  <c r="K612" i="3"/>
  <c r="K612" i="1"/>
  <c r="L611" i="1"/>
  <c r="N611" i="1" s="1"/>
  <c r="K620" i="5" l="1"/>
  <c r="M620" i="5" s="1"/>
  <c r="K613" i="3"/>
  <c r="L612" i="3"/>
  <c r="N612" i="3" s="1"/>
  <c r="K613" i="1"/>
  <c r="L612" i="1"/>
  <c r="N612" i="1" s="1"/>
  <c r="K621" i="5" l="1"/>
  <c r="M621" i="5" s="1"/>
  <c r="K614" i="3"/>
  <c r="L613" i="3"/>
  <c r="N613" i="3" s="1"/>
  <c r="L613" i="1"/>
  <c r="N613" i="1" s="1"/>
  <c r="K614" i="1"/>
  <c r="K622" i="5" l="1"/>
  <c r="M622" i="5" s="1"/>
  <c r="L614" i="3"/>
  <c r="N614" i="3" s="1"/>
  <c r="K615" i="3"/>
  <c r="K615" i="1"/>
  <c r="L614" i="1"/>
  <c r="N614" i="1" s="1"/>
  <c r="K623" i="5" l="1"/>
  <c r="M623" i="5" s="1"/>
  <c r="L615" i="3"/>
  <c r="N615" i="3" s="1"/>
  <c r="K616" i="3"/>
  <c r="K616" i="1"/>
  <c r="L615" i="1"/>
  <c r="N615" i="1" s="1"/>
  <c r="K624" i="5" l="1"/>
  <c r="M624" i="5" s="1"/>
  <c r="K617" i="3"/>
  <c r="L616" i="3"/>
  <c r="N616" i="3" s="1"/>
  <c r="K617" i="1"/>
  <c r="L616" i="1"/>
  <c r="N616" i="1" s="1"/>
  <c r="K625" i="5" l="1"/>
  <c r="M625" i="5" s="1"/>
  <c r="K618" i="3"/>
  <c r="L617" i="3"/>
  <c r="N617" i="3" s="1"/>
  <c r="K618" i="1"/>
  <c r="L617" i="1"/>
  <c r="N617" i="1" s="1"/>
  <c r="K626" i="5" l="1"/>
  <c r="M626" i="5" s="1"/>
  <c r="L618" i="3"/>
  <c r="N618" i="3" s="1"/>
  <c r="K619" i="3"/>
  <c r="K619" i="1"/>
  <c r="L618" i="1"/>
  <c r="N618" i="1" s="1"/>
  <c r="K627" i="5" l="1"/>
  <c r="M627" i="5" s="1"/>
  <c r="L619" i="3"/>
  <c r="N619" i="3" s="1"/>
  <c r="K620" i="3"/>
  <c r="L619" i="1"/>
  <c r="N619" i="1" s="1"/>
  <c r="K620" i="1"/>
  <c r="K628" i="5" l="1"/>
  <c r="M628" i="5" s="1"/>
  <c r="K621" i="3"/>
  <c r="L620" i="3"/>
  <c r="N620" i="3" s="1"/>
  <c r="L620" i="1"/>
  <c r="N620" i="1" s="1"/>
  <c r="K621" i="1"/>
  <c r="K629" i="5" l="1"/>
  <c r="M629" i="5" s="1"/>
  <c r="K622" i="3"/>
  <c r="L621" i="3"/>
  <c r="N621" i="3" s="1"/>
  <c r="L621" i="1"/>
  <c r="N621" i="1" s="1"/>
  <c r="K622" i="1"/>
  <c r="K630" i="5" l="1"/>
  <c r="M630" i="5" s="1"/>
  <c r="L622" i="3"/>
  <c r="N622" i="3" s="1"/>
  <c r="K623" i="3"/>
  <c r="K623" i="1"/>
  <c r="L622" i="1"/>
  <c r="N622" i="1" s="1"/>
  <c r="K631" i="5" l="1"/>
  <c r="M631" i="5" s="1"/>
  <c r="L623" i="3"/>
  <c r="N623" i="3" s="1"/>
  <c r="K624" i="3"/>
  <c r="L623" i="1"/>
  <c r="N623" i="1" s="1"/>
  <c r="K624" i="1"/>
  <c r="K632" i="5" l="1"/>
  <c r="M632" i="5" s="1"/>
  <c r="K625" i="3"/>
  <c r="L624" i="3"/>
  <c r="N624" i="3" s="1"/>
  <c r="L624" i="1"/>
  <c r="N624" i="1" s="1"/>
  <c r="K625" i="1"/>
  <c r="K633" i="5" l="1"/>
  <c r="M633" i="5" s="1"/>
  <c r="K626" i="3"/>
  <c r="L625" i="3"/>
  <c r="N625" i="3" s="1"/>
  <c r="K626" i="1"/>
  <c r="L625" i="1"/>
  <c r="N625" i="1" s="1"/>
  <c r="K634" i="5" l="1"/>
  <c r="M634" i="5" s="1"/>
  <c r="L626" i="3"/>
  <c r="N626" i="3" s="1"/>
  <c r="K627" i="3"/>
  <c r="K627" i="1"/>
  <c r="L626" i="1"/>
  <c r="N626" i="1" s="1"/>
  <c r="K635" i="5" l="1"/>
  <c r="M635" i="5" s="1"/>
  <c r="L627" i="3"/>
  <c r="N627" i="3" s="1"/>
  <c r="K628" i="3"/>
  <c r="L627" i="1"/>
  <c r="N627" i="1" s="1"/>
  <c r="K628" i="1"/>
  <c r="K636" i="5" l="1"/>
  <c r="M636" i="5" s="1"/>
  <c r="K629" i="3"/>
  <c r="L628" i="3"/>
  <c r="N628" i="3" s="1"/>
  <c r="K629" i="1"/>
  <c r="L628" i="1"/>
  <c r="N628" i="1" s="1"/>
  <c r="K637" i="5" l="1"/>
  <c r="M637" i="5" s="1"/>
  <c r="K630" i="3"/>
  <c r="L629" i="3"/>
  <c r="N629" i="3" s="1"/>
  <c r="K630" i="1"/>
  <c r="L629" i="1"/>
  <c r="N629" i="1" s="1"/>
  <c r="K638" i="5" l="1"/>
  <c r="M638" i="5" s="1"/>
  <c r="L630" i="3"/>
  <c r="N630" i="3" s="1"/>
  <c r="K631" i="3"/>
  <c r="K631" i="1"/>
  <c r="L630" i="1"/>
  <c r="N630" i="1" s="1"/>
  <c r="K639" i="5" l="1"/>
  <c r="M639" i="5" s="1"/>
  <c r="L631" i="3"/>
  <c r="N631" i="3" s="1"/>
  <c r="K632" i="3"/>
  <c r="K632" i="1"/>
  <c r="L631" i="1"/>
  <c r="N631" i="1" s="1"/>
  <c r="K640" i="5" l="1"/>
  <c r="M640" i="5" s="1"/>
  <c r="K633" i="3"/>
  <c r="L632" i="3"/>
  <c r="N632" i="3" s="1"/>
  <c r="K633" i="1"/>
  <c r="L632" i="1"/>
  <c r="N632" i="1" s="1"/>
  <c r="K641" i="5" l="1"/>
  <c r="M641" i="5" s="1"/>
  <c r="K634" i="3"/>
  <c r="L633" i="3"/>
  <c r="N633" i="3" s="1"/>
  <c r="K634" i="1"/>
  <c r="L633" i="1"/>
  <c r="N633" i="1" s="1"/>
  <c r="K642" i="5" l="1"/>
  <c r="M642" i="5" s="1"/>
  <c r="L634" i="3"/>
  <c r="N634" i="3" s="1"/>
  <c r="K635" i="3"/>
  <c r="K635" i="1"/>
  <c r="L634" i="1"/>
  <c r="N634" i="1" s="1"/>
  <c r="K643" i="5" l="1"/>
  <c r="M643" i="5" s="1"/>
  <c r="L635" i="3"/>
  <c r="N635" i="3" s="1"/>
  <c r="K636" i="3"/>
  <c r="L635" i="1"/>
  <c r="N635" i="1" s="1"/>
  <c r="K636" i="1"/>
  <c r="K644" i="5" l="1"/>
  <c r="M644" i="5" s="1"/>
  <c r="K637" i="3"/>
  <c r="L636" i="3"/>
  <c r="N636" i="3" s="1"/>
  <c r="L636" i="1"/>
  <c r="N636" i="1" s="1"/>
  <c r="K637" i="1"/>
  <c r="K645" i="5" l="1"/>
  <c r="M645" i="5" s="1"/>
  <c r="K638" i="3"/>
  <c r="L637" i="3"/>
  <c r="N637" i="3" s="1"/>
  <c r="L637" i="1"/>
  <c r="N637" i="1" s="1"/>
  <c r="K638" i="1"/>
  <c r="K646" i="5" l="1"/>
  <c r="M646" i="5" s="1"/>
  <c r="L638" i="3"/>
  <c r="N638" i="3" s="1"/>
  <c r="K639" i="3"/>
  <c r="K639" i="1"/>
  <c r="L638" i="1"/>
  <c r="N638" i="1" s="1"/>
  <c r="K647" i="5" l="1"/>
  <c r="M647" i="5" s="1"/>
  <c r="L639" i="3"/>
  <c r="N639" i="3" s="1"/>
  <c r="K640" i="3"/>
  <c r="K640" i="1"/>
  <c r="L639" i="1"/>
  <c r="N639" i="1" s="1"/>
  <c r="K648" i="5" l="1"/>
  <c r="M648" i="5" s="1"/>
  <c r="K641" i="3"/>
  <c r="L640" i="3"/>
  <c r="N640" i="3" s="1"/>
  <c r="L640" i="1"/>
  <c r="N640" i="1" s="1"/>
  <c r="K641" i="1"/>
  <c r="K649" i="5" l="1"/>
  <c r="M649" i="5" s="1"/>
  <c r="K642" i="3"/>
  <c r="L641" i="3"/>
  <c r="N641" i="3" s="1"/>
  <c r="L641" i="1"/>
  <c r="N641" i="1" s="1"/>
  <c r="K642" i="1"/>
  <c r="K650" i="5" l="1"/>
  <c r="M650" i="5" s="1"/>
  <c r="L642" i="3"/>
  <c r="N642" i="3" s="1"/>
  <c r="K643" i="3"/>
  <c r="K643" i="1"/>
  <c r="L642" i="1"/>
  <c r="N642" i="1" s="1"/>
  <c r="K651" i="5" l="1"/>
  <c r="M651" i="5" s="1"/>
  <c r="L643" i="3"/>
  <c r="N643" i="3" s="1"/>
  <c r="K644" i="3"/>
  <c r="L643" i="1"/>
  <c r="N643" i="1" s="1"/>
  <c r="K644" i="1"/>
  <c r="K652" i="5" l="1"/>
  <c r="M652" i="5" s="1"/>
  <c r="K645" i="3"/>
  <c r="L644" i="3"/>
  <c r="N644" i="3" s="1"/>
  <c r="L644" i="1"/>
  <c r="N644" i="1" s="1"/>
  <c r="K645" i="1"/>
  <c r="K653" i="5" l="1"/>
  <c r="M653" i="5" s="1"/>
  <c r="L645" i="3"/>
  <c r="N645" i="3" s="1"/>
  <c r="K646" i="3"/>
  <c r="K646" i="1"/>
  <c r="L645" i="1"/>
  <c r="N645" i="1" s="1"/>
  <c r="K654" i="5" l="1"/>
  <c r="M654" i="5" s="1"/>
  <c r="K647" i="3"/>
  <c r="L646" i="3"/>
  <c r="N646" i="3" s="1"/>
  <c r="K647" i="1"/>
  <c r="L646" i="1"/>
  <c r="N646" i="1" s="1"/>
  <c r="K655" i="5" l="1"/>
  <c r="M655" i="5" s="1"/>
  <c r="L647" i="3"/>
  <c r="N647" i="3" s="1"/>
  <c r="K648" i="3"/>
  <c r="K648" i="1"/>
  <c r="L647" i="1"/>
  <c r="N647" i="1" s="1"/>
  <c r="K656" i="5" l="1"/>
  <c r="M656" i="5" s="1"/>
  <c r="K649" i="3"/>
  <c r="L648" i="3"/>
  <c r="N648" i="3" s="1"/>
  <c r="K649" i="1"/>
  <c r="L648" i="1"/>
  <c r="N648" i="1" s="1"/>
  <c r="K657" i="5" l="1"/>
  <c r="M657" i="5" s="1"/>
  <c r="L649" i="3"/>
  <c r="N649" i="3" s="1"/>
  <c r="K650" i="3"/>
  <c r="K650" i="1"/>
  <c r="L649" i="1"/>
  <c r="N649" i="1" s="1"/>
  <c r="K658" i="5" l="1"/>
  <c r="M658" i="5" s="1"/>
  <c r="K651" i="3"/>
  <c r="L650" i="3"/>
  <c r="N650" i="3" s="1"/>
  <c r="K651" i="1"/>
  <c r="L650" i="1"/>
  <c r="N650" i="1" s="1"/>
  <c r="K659" i="5" l="1"/>
  <c r="M659" i="5" s="1"/>
  <c r="L651" i="3"/>
  <c r="N651" i="3" s="1"/>
  <c r="K652" i="3"/>
  <c r="L651" i="1"/>
  <c r="N651" i="1" s="1"/>
  <c r="K652" i="1"/>
  <c r="K660" i="5" l="1"/>
  <c r="M660" i="5" s="1"/>
  <c r="K653" i="3"/>
  <c r="L652" i="3"/>
  <c r="N652" i="3" s="1"/>
  <c r="L652" i="1"/>
  <c r="N652" i="1" s="1"/>
  <c r="K653" i="1"/>
  <c r="K661" i="5" l="1"/>
  <c r="M661" i="5" s="1"/>
  <c r="L653" i="3"/>
  <c r="N653" i="3" s="1"/>
  <c r="K654" i="3"/>
  <c r="L653" i="1"/>
  <c r="N653" i="1" s="1"/>
  <c r="K654" i="1"/>
  <c r="K662" i="5" l="1"/>
  <c r="M662" i="5" s="1"/>
  <c r="K655" i="3"/>
  <c r="L654" i="3"/>
  <c r="N654" i="3" s="1"/>
  <c r="K655" i="1"/>
  <c r="L654" i="1"/>
  <c r="N654" i="1" s="1"/>
  <c r="K663" i="5" l="1"/>
  <c r="M663" i="5" s="1"/>
  <c r="L655" i="3"/>
  <c r="N655" i="3" s="1"/>
  <c r="K656" i="3"/>
  <c r="K656" i="1"/>
  <c r="L655" i="1"/>
  <c r="N655" i="1" s="1"/>
  <c r="K664" i="5" l="1"/>
  <c r="M664" i="5" s="1"/>
  <c r="K657" i="3"/>
  <c r="L656" i="3"/>
  <c r="N656" i="3" s="1"/>
  <c r="K657" i="1"/>
  <c r="L656" i="1"/>
  <c r="N656" i="1" s="1"/>
  <c r="K665" i="5" l="1"/>
  <c r="M665" i="5" s="1"/>
  <c r="L657" i="3"/>
  <c r="N657" i="3" s="1"/>
  <c r="K658" i="3"/>
  <c r="L657" i="1"/>
  <c r="N657" i="1" s="1"/>
  <c r="K658" i="1"/>
  <c r="K666" i="5" l="1"/>
  <c r="M666" i="5" s="1"/>
  <c r="K659" i="3"/>
  <c r="L658" i="3"/>
  <c r="N658" i="3" s="1"/>
  <c r="K659" i="1"/>
  <c r="L658" i="1"/>
  <c r="N658" i="1" s="1"/>
  <c r="K667" i="5" l="1"/>
  <c r="M667" i="5" s="1"/>
  <c r="L659" i="3"/>
  <c r="N659" i="3" s="1"/>
  <c r="K660" i="3"/>
  <c r="K660" i="1"/>
  <c r="L659" i="1"/>
  <c r="N659" i="1" s="1"/>
  <c r="K668" i="5" l="1"/>
  <c r="M668" i="5" s="1"/>
  <c r="K661" i="3"/>
  <c r="L660" i="3"/>
  <c r="N660" i="3" s="1"/>
  <c r="L660" i="1"/>
  <c r="N660" i="1" s="1"/>
  <c r="K661" i="1"/>
  <c r="K669" i="5" l="1"/>
  <c r="M669" i="5" s="1"/>
  <c r="L661" i="3"/>
  <c r="N661" i="3" s="1"/>
  <c r="K662" i="3"/>
  <c r="L661" i="1"/>
  <c r="N661" i="1" s="1"/>
  <c r="K662" i="1"/>
  <c r="K670" i="5" l="1"/>
  <c r="M670" i="5" s="1"/>
  <c r="K663" i="3"/>
  <c r="L662" i="3"/>
  <c r="N662" i="3" s="1"/>
  <c r="K663" i="1"/>
  <c r="L662" i="1"/>
  <c r="N662" i="1" s="1"/>
  <c r="K671" i="5" l="1"/>
  <c r="M671" i="5" s="1"/>
  <c r="L663" i="3"/>
  <c r="N663" i="3" s="1"/>
  <c r="K664" i="3"/>
  <c r="K664" i="1"/>
  <c r="L663" i="1"/>
  <c r="N663" i="1" s="1"/>
  <c r="K672" i="5" l="1"/>
  <c r="M672" i="5" s="1"/>
  <c r="K665" i="3"/>
  <c r="L664" i="3"/>
  <c r="N664" i="3" s="1"/>
  <c r="K665" i="1"/>
  <c r="L664" i="1"/>
  <c r="N664" i="1" s="1"/>
  <c r="K673" i="5" l="1"/>
  <c r="M673" i="5" s="1"/>
  <c r="L665" i="3"/>
  <c r="N665" i="3" s="1"/>
  <c r="K666" i="3"/>
  <c r="K666" i="1"/>
  <c r="L665" i="1"/>
  <c r="N665" i="1" s="1"/>
  <c r="K674" i="5" l="1"/>
  <c r="M674" i="5" s="1"/>
  <c r="K667" i="3"/>
  <c r="L666" i="3"/>
  <c r="N666" i="3" s="1"/>
  <c r="K667" i="1"/>
  <c r="L666" i="1"/>
  <c r="N666" i="1" s="1"/>
  <c r="K675" i="5" l="1"/>
  <c r="M675" i="5" s="1"/>
  <c r="L667" i="3"/>
  <c r="N667" i="3" s="1"/>
  <c r="K668" i="3"/>
  <c r="L667" i="1"/>
  <c r="N667" i="1" s="1"/>
  <c r="K668" i="1"/>
  <c r="K676" i="5" l="1"/>
  <c r="M676" i="5" s="1"/>
  <c r="K669" i="3"/>
  <c r="L668" i="3"/>
  <c r="N668" i="3" s="1"/>
  <c r="L668" i="1"/>
  <c r="N668" i="1" s="1"/>
  <c r="K669" i="1"/>
  <c r="K677" i="5" l="1"/>
  <c r="M677" i="5" s="1"/>
  <c r="L669" i="3"/>
  <c r="N669" i="3" s="1"/>
  <c r="K670" i="3"/>
  <c r="L669" i="1"/>
  <c r="N669" i="1" s="1"/>
  <c r="K670" i="1"/>
  <c r="K678" i="5" l="1"/>
  <c r="M678" i="5" s="1"/>
  <c r="K671" i="3"/>
  <c r="L670" i="3"/>
  <c r="N670" i="3" s="1"/>
  <c r="K671" i="1"/>
  <c r="L670" i="1"/>
  <c r="N670" i="1" s="1"/>
  <c r="K679" i="5" l="1"/>
  <c r="M679" i="5" s="1"/>
  <c r="L671" i="3"/>
  <c r="N671" i="3" s="1"/>
  <c r="K672" i="3"/>
  <c r="L671" i="1"/>
  <c r="N671" i="1" s="1"/>
  <c r="K672" i="1"/>
  <c r="K680" i="5" l="1"/>
  <c r="M680" i="5" s="1"/>
  <c r="K673" i="3"/>
  <c r="L672" i="3"/>
  <c r="N672" i="3" s="1"/>
  <c r="K673" i="1"/>
  <c r="L672" i="1"/>
  <c r="N672" i="1" s="1"/>
  <c r="K681" i="5" l="1"/>
  <c r="M681" i="5" s="1"/>
  <c r="L673" i="3"/>
  <c r="N673" i="3" s="1"/>
  <c r="K674" i="3"/>
  <c r="K674" i="1"/>
  <c r="L673" i="1"/>
  <c r="N673" i="1" s="1"/>
  <c r="K682" i="5" l="1"/>
  <c r="M682" i="5" s="1"/>
  <c r="K675" i="3"/>
  <c r="L674" i="3"/>
  <c r="N674" i="3" s="1"/>
  <c r="K675" i="1"/>
  <c r="L674" i="1"/>
  <c r="N674" i="1" s="1"/>
  <c r="K683" i="5" l="1"/>
  <c r="M683" i="5" s="1"/>
  <c r="L675" i="3"/>
  <c r="N675" i="3" s="1"/>
  <c r="K676" i="3"/>
  <c r="K676" i="1"/>
  <c r="L675" i="1"/>
  <c r="N675" i="1" s="1"/>
  <c r="K684" i="5" l="1"/>
  <c r="M684" i="5" s="1"/>
  <c r="K677" i="3"/>
  <c r="L676" i="3"/>
  <c r="N676" i="3" s="1"/>
  <c r="K677" i="1"/>
  <c r="L676" i="1"/>
  <c r="N676" i="1" s="1"/>
  <c r="K685" i="5" l="1"/>
  <c r="M685" i="5" s="1"/>
  <c r="L677" i="3"/>
  <c r="N677" i="3" s="1"/>
  <c r="K678" i="3"/>
  <c r="L677" i="1"/>
  <c r="N677" i="1" s="1"/>
  <c r="K678" i="1"/>
  <c r="K686" i="5" l="1"/>
  <c r="M686" i="5" s="1"/>
  <c r="K679" i="3"/>
  <c r="L678" i="3"/>
  <c r="N678" i="3" s="1"/>
  <c r="K679" i="1"/>
  <c r="L678" i="1"/>
  <c r="N678" i="1" s="1"/>
  <c r="K687" i="5" l="1"/>
  <c r="M687" i="5" s="1"/>
  <c r="L679" i="3"/>
  <c r="N679" i="3" s="1"/>
  <c r="K680" i="3"/>
  <c r="K680" i="1"/>
  <c r="L679" i="1"/>
  <c r="N679" i="1" s="1"/>
  <c r="K688" i="5" l="1"/>
  <c r="M688" i="5" s="1"/>
  <c r="K681" i="3"/>
  <c r="L680" i="3"/>
  <c r="N680" i="3" s="1"/>
  <c r="K681" i="1"/>
  <c r="L680" i="1"/>
  <c r="N680" i="1" s="1"/>
  <c r="K689" i="5" l="1"/>
  <c r="M689" i="5" s="1"/>
  <c r="L681" i="3"/>
  <c r="N681" i="3" s="1"/>
  <c r="K682" i="3"/>
  <c r="K682" i="1"/>
  <c r="L681" i="1"/>
  <c r="N681" i="1" s="1"/>
  <c r="K690" i="5" l="1"/>
  <c r="M690" i="5" s="1"/>
  <c r="K683" i="3"/>
  <c r="L682" i="3"/>
  <c r="N682" i="3" s="1"/>
  <c r="K683" i="1"/>
  <c r="L682" i="1"/>
  <c r="N682" i="1" s="1"/>
  <c r="K691" i="5" l="1"/>
  <c r="M691" i="5" s="1"/>
  <c r="L683" i="3"/>
  <c r="N683" i="3" s="1"/>
  <c r="K684" i="3"/>
  <c r="L683" i="1"/>
  <c r="N683" i="1" s="1"/>
  <c r="K684" i="1"/>
  <c r="K692" i="5" l="1"/>
  <c r="M692" i="5" s="1"/>
  <c r="K685" i="3"/>
  <c r="L684" i="3"/>
  <c r="N684" i="3" s="1"/>
  <c r="L684" i="1"/>
  <c r="N684" i="1" s="1"/>
  <c r="K685" i="1"/>
  <c r="K693" i="5" l="1"/>
  <c r="M693" i="5" s="1"/>
  <c r="L685" i="3"/>
  <c r="N685" i="3" s="1"/>
  <c r="K686" i="3"/>
  <c r="L685" i="1"/>
  <c r="N685" i="1" s="1"/>
  <c r="K686" i="1"/>
  <c r="K694" i="5" l="1"/>
  <c r="M694" i="5" s="1"/>
  <c r="K687" i="3"/>
  <c r="L686" i="3"/>
  <c r="N686" i="3" s="1"/>
  <c r="K687" i="1"/>
  <c r="L686" i="1"/>
  <c r="N686" i="1" s="1"/>
  <c r="K695" i="5" l="1"/>
  <c r="M695" i="5" s="1"/>
  <c r="L687" i="3"/>
  <c r="N687" i="3" s="1"/>
  <c r="K688" i="3"/>
  <c r="L687" i="1"/>
  <c r="N687" i="1" s="1"/>
  <c r="K688" i="1"/>
  <c r="K696" i="5" l="1"/>
  <c r="M696" i="5" s="1"/>
  <c r="K689" i="3"/>
  <c r="L688" i="3"/>
  <c r="N688" i="3" s="1"/>
  <c r="L688" i="1"/>
  <c r="N688" i="1" s="1"/>
  <c r="K689" i="1"/>
  <c r="K697" i="5" l="1"/>
  <c r="M697" i="5" s="1"/>
  <c r="L689" i="3"/>
  <c r="N689" i="3" s="1"/>
  <c r="K690" i="3"/>
  <c r="K690" i="1"/>
  <c r="L689" i="1"/>
  <c r="N689" i="1" s="1"/>
  <c r="K698" i="5" l="1"/>
  <c r="M698" i="5" s="1"/>
  <c r="K691" i="3"/>
  <c r="L690" i="3"/>
  <c r="N690" i="3" s="1"/>
  <c r="K691" i="1"/>
  <c r="L690" i="1"/>
  <c r="N690" i="1" s="1"/>
  <c r="K699" i="5" l="1"/>
  <c r="M699" i="5" s="1"/>
  <c r="L691" i="3"/>
  <c r="N691" i="3" s="1"/>
  <c r="K692" i="3"/>
  <c r="L691" i="1"/>
  <c r="N691" i="1" s="1"/>
  <c r="K692" i="1"/>
  <c r="K700" i="5" l="1"/>
  <c r="M700" i="5" s="1"/>
  <c r="K693" i="3"/>
  <c r="L692" i="3"/>
  <c r="N692" i="3" s="1"/>
  <c r="K693" i="1"/>
  <c r="L692" i="1"/>
  <c r="N692" i="1" s="1"/>
  <c r="K701" i="5" l="1"/>
  <c r="M701" i="5" s="1"/>
  <c r="L693" i="3"/>
  <c r="N693" i="3" s="1"/>
  <c r="K694" i="3"/>
  <c r="K694" i="1"/>
  <c r="L693" i="1"/>
  <c r="N693" i="1" s="1"/>
  <c r="K702" i="5" l="1"/>
  <c r="M702" i="5" s="1"/>
  <c r="K695" i="3"/>
  <c r="L694" i="3"/>
  <c r="N694" i="3" s="1"/>
  <c r="K695" i="1"/>
  <c r="L694" i="1"/>
  <c r="N694" i="1" s="1"/>
  <c r="K703" i="5" l="1"/>
  <c r="M703" i="5" s="1"/>
  <c r="L695" i="3"/>
  <c r="N695" i="3" s="1"/>
  <c r="K696" i="3"/>
  <c r="K696" i="1"/>
  <c r="L695" i="1"/>
  <c r="N695" i="1" s="1"/>
  <c r="K704" i="5" l="1"/>
  <c r="M704" i="5" s="1"/>
  <c r="K697" i="3"/>
  <c r="L696" i="3"/>
  <c r="N696" i="3" s="1"/>
  <c r="K697" i="1"/>
  <c r="L696" i="1"/>
  <c r="N696" i="1" s="1"/>
  <c r="K705" i="5" l="1"/>
  <c r="M705" i="5" s="1"/>
  <c r="L697" i="3"/>
  <c r="N697" i="3" s="1"/>
  <c r="K698" i="3"/>
  <c r="K698" i="1"/>
  <c r="L697" i="1"/>
  <c r="N697" i="1" s="1"/>
  <c r="K706" i="5" l="1"/>
  <c r="M706" i="5" s="1"/>
  <c r="K699" i="3"/>
  <c r="L698" i="3"/>
  <c r="N698" i="3" s="1"/>
  <c r="K699" i="1"/>
  <c r="L698" i="1"/>
  <c r="N698" i="1" s="1"/>
  <c r="K707" i="5" l="1"/>
  <c r="M707" i="5" s="1"/>
  <c r="L699" i="3"/>
  <c r="N699" i="3" s="1"/>
  <c r="K700" i="3"/>
  <c r="L699" i="1"/>
  <c r="N699" i="1" s="1"/>
  <c r="K700" i="1"/>
  <c r="K708" i="5" l="1"/>
  <c r="M708" i="5" s="1"/>
  <c r="K701" i="3"/>
  <c r="L700" i="3"/>
  <c r="N700" i="3" s="1"/>
  <c r="L700" i="1"/>
  <c r="N700" i="1" s="1"/>
  <c r="K701" i="1"/>
  <c r="K709" i="5" l="1"/>
  <c r="M709" i="5" s="1"/>
  <c r="L701" i="3"/>
  <c r="N701" i="3" s="1"/>
  <c r="K702" i="3"/>
  <c r="L701" i="1"/>
  <c r="N701" i="1" s="1"/>
  <c r="K702" i="1"/>
  <c r="K710" i="5" l="1"/>
  <c r="M710" i="5" s="1"/>
  <c r="K703" i="3"/>
  <c r="L702" i="3"/>
  <c r="N702" i="3" s="1"/>
  <c r="K703" i="1"/>
  <c r="L702" i="1"/>
  <c r="N702" i="1" s="1"/>
  <c r="K711" i="5" l="1"/>
  <c r="M711" i="5" s="1"/>
  <c r="L703" i="3"/>
  <c r="N703" i="3" s="1"/>
  <c r="K704" i="3"/>
  <c r="K704" i="1"/>
  <c r="L703" i="1"/>
  <c r="N703" i="1" s="1"/>
  <c r="K712" i="5" l="1"/>
  <c r="M712" i="5" s="1"/>
  <c r="K705" i="3"/>
  <c r="L704" i="3"/>
  <c r="N704" i="3" s="1"/>
  <c r="L704" i="1"/>
  <c r="N704" i="1" s="1"/>
  <c r="K705" i="1"/>
  <c r="K713" i="5" l="1"/>
  <c r="M713" i="5" s="1"/>
  <c r="L705" i="3"/>
  <c r="N705" i="3" s="1"/>
  <c r="K706" i="3"/>
  <c r="L705" i="1"/>
  <c r="N705" i="1" s="1"/>
  <c r="K706" i="1"/>
  <c r="K714" i="5" l="1"/>
  <c r="M714" i="5" s="1"/>
  <c r="K707" i="3"/>
  <c r="L706" i="3"/>
  <c r="N706" i="3" s="1"/>
  <c r="K707" i="1"/>
  <c r="L706" i="1"/>
  <c r="N706" i="1" s="1"/>
  <c r="K715" i="5" l="1"/>
  <c r="M715" i="5" s="1"/>
  <c r="L707" i="3"/>
  <c r="N707" i="3" s="1"/>
  <c r="K708" i="3"/>
  <c r="L707" i="1"/>
  <c r="N707" i="1" s="1"/>
  <c r="K708" i="1"/>
  <c r="K716" i="5" l="1"/>
  <c r="M716" i="5" s="1"/>
  <c r="K709" i="3"/>
  <c r="L708" i="3"/>
  <c r="N708" i="3" s="1"/>
  <c r="L708" i="1"/>
  <c r="N708" i="1" s="1"/>
  <c r="K709" i="1"/>
  <c r="K717" i="5" l="1"/>
  <c r="M717" i="5" s="1"/>
  <c r="L709" i="3"/>
  <c r="N709" i="3" s="1"/>
  <c r="K710" i="3"/>
  <c r="K710" i="1"/>
  <c r="L709" i="1"/>
  <c r="N709" i="1" s="1"/>
  <c r="K718" i="5" l="1"/>
  <c r="M718" i="5" s="1"/>
  <c r="K711" i="3"/>
  <c r="L710" i="3"/>
  <c r="N710" i="3" s="1"/>
  <c r="K711" i="1"/>
  <c r="L710" i="1"/>
  <c r="N710" i="1" s="1"/>
  <c r="K719" i="5" l="1"/>
  <c r="M719" i="5" s="1"/>
  <c r="L711" i="3"/>
  <c r="N711" i="3" s="1"/>
  <c r="K712" i="3"/>
  <c r="K712" i="1"/>
  <c r="L711" i="1"/>
  <c r="N711" i="1" s="1"/>
  <c r="K720" i="5" l="1"/>
  <c r="M720" i="5" s="1"/>
  <c r="K713" i="3"/>
  <c r="L712" i="3"/>
  <c r="N712" i="3" s="1"/>
  <c r="K713" i="1"/>
  <c r="L712" i="1"/>
  <c r="N712" i="1" s="1"/>
  <c r="K721" i="5" l="1"/>
  <c r="M721" i="5" s="1"/>
  <c r="L713" i="3"/>
  <c r="N713" i="3" s="1"/>
  <c r="K714" i="3"/>
  <c r="K714" i="1"/>
  <c r="L713" i="1"/>
  <c r="N713" i="1" s="1"/>
  <c r="K722" i="5" l="1"/>
  <c r="M722" i="5" s="1"/>
  <c r="K715" i="3"/>
  <c r="L714" i="3"/>
  <c r="N714" i="3" s="1"/>
  <c r="K715" i="1"/>
  <c r="L714" i="1"/>
  <c r="N714" i="1" s="1"/>
  <c r="K723" i="5" l="1"/>
  <c r="M723" i="5" s="1"/>
  <c r="L715" i="3"/>
  <c r="N715" i="3" s="1"/>
  <c r="K716" i="3"/>
  <c r="L715" i="1"/>
  <c r="N715" i="1" s="1"/>
  <c r="K716" i="1"/>
  <c r="K724" i="5" l="1"/>
  <c r="M724" i="5" s="1"/>
  <c r="K717" i="3"/>
  <c r="L716" i="3"/>
  <c r="N716" i="3" s="1"/>
  <c r="L716" i="1"/>
  <c r="N716" i="1" s="1"/>
  <c r="K717" i="1"/>
  <c r="K725" i="5" l="1"/>
  <c r="M725" i="5" s="1"/>
  <c r="L717" i="3"/>
  <c r="N717" i="3" s="1"/>
  <c r="K718" i="3"/>
  <c r="L717" i="1"/>
  <c r="N717" i="1" s="1"/>
  <c r="K718" i="1"/>
  <c r="K726" i="5" l="1"/>
  <c r="M726" i="5" s="1"/>
  <c r="K719" i="3"/>
  <c r="L718" i="3"/>
  <c r="N718" i="3" s="1"/>
  <c r="K719" i="1"/>
  <c r="L718" i="1"/>
  <c r="N718" i="1" s="1"/>
  <c r="K727" i="5" l="1"/>
  <c r="M727" i="5" s="1"/>
  <c r="L719" i="3"/>
  <c r="N719" i="3" s="1"/>
  <c r="K720" i="3"/>
  <c r="K720" i="1"/>
  <c r="L719" i="1"/>
  <c r="N719" i="1" s="1"/>
  <c r="K728" i="5" l="1"/>
  <c r="M728" i="5" s="1"/>
  <c r="K721" i="3"/>
  <c r="L720" i="3"/>
  <c r="N720" i="3" s="1"/>
  <c r="K721" i="1"/>
  <c r="L720" i="1"/>
  <c r="N720" i="1" s="1"/>
  <c r="K729" i="5" l="1"/>
  <c r="M729" i="5" s="1"/>
  <c r="L721" i="3"/>
  <c r="N721" i="3" s="1"/>
  <c r="K722" i="3"/>
  <c r="L721" i="1"/>
  <c r="N721" i="1" s="1"/>
  <c r="K722" i="1"/>
  <c r="K730" i="5" l="1"/>
  <c r="M730" i="5" s="1"/>
  <c r="K723" i="3"/>
  <c r="L722" i="3"/>
  <c r="N722" i="3" s="1"/>
  <c r="K723" i="1"/>
  <c r="L722" i="1"/>
  <c r="N722" i="1" s="1"/>
  <c r="K731" i="5" l="1"/>
  <c r="M731" i="5" s="1"/>
  <c r="L723" i="3"/>
  <c r="N723" i="3" s="1"/>
  <c r="K724" i="3"/>
  <c r="K724" i="1"/>
  <c r="L723" i="1"/>
  <c r="N723" i="1" s="1"/>
  <c r="K732" i="5" l="1"/>
  <c r="M732" i="5" s="1"/>
  <c r="K725" i="3"/>
  <c r="L724" i="3"/>
  <c r="N724" i="3" s="1"/>
  <c r="L724" i="1"/>
  <c r="N724" i="1" s="1"/>
  <c r="K725" i="1"/>
  <c r="K733" i="5" l="1"/>
  <c r="M733" i="5" s="1"/>
  <c r="L725" i="3"/>
  <c r="N725" i="3" s="1"/>
  <c r="K726" i="3"/>
  <c r="L725" i="1"/>
  <c r="N725" i="1" s="1"/>
  <c r="K726" i="1"/>
  <c r="K734" i="5" l="1"/>
  <c r="M734" i="5" s="1"/>
  <c r="K727" i="3"/>
  <c r="L726" i="3"/>
  <c r="N726" i="3" s="1"/>
  <c r="K727" i="1"/>
  <c r="L726" i="1"/>
  <c r="N726" i="1" s="1"/>
  <c r="K735" i="5" l="1"/>
  <c r="M735" i="5" s="1"/>
  <c r="L727" i="3"/>
  <c r="N727" i="3" s="1"/>
  <c r="K728" i="3"/>
  <c r="K728" i="1"/>
  <c r="L727" i="1"/>
  <c r="N727" i="1" s="1"/>
  <c r="K736" i="5" l="1"/>
  <c r="M736" i="5" s="1"/>
  <c r="K729" i="3"/>
  <c r="L728" i="3"/>
  <c r="N728" i="3" s="1"/>
  <c r="K729" i="1"/>
  <c r="L728" i="1"/>
  <c r="N728" i="1" s="1"/>
  <c r="K737" i="5" l="1"/>
  <c r="M737" i="5" s="1"/>
  <c r="L729" i="3"/>
  <c r="N729" i="3" s="1"/>
  <c r="K730" i="3"/>
  <c r="K730" i="1"/>
  <c r="L729" i="1"/>
  <c r="N729" i="1" s="1"/>
  <c r="K738" i="5" l="1"/>
  <c r="M738" i="5" s="1"/>
  <c r="K731" i="3"/>
  <c r="L730" i="3"/>
  <c r="N730" i="3" s="1"/>
  <c r="K731" i="1"/>
  <c r="L730" i="1"/>
  <c r="N730" i="1" s="1"/>
  <c r="K739" i="5" l="1"/>
  <c r="M739" i="5" s="1"/>
  <c r="L731" i="3"/>
  <c r="N731" i="3" s="1"/>
  <c r="K732" i="3"/>
  <c r="L731" i="1"/>
  <c r="N731" i="1" s="1"/>
  <c r="K732" i="1"/>
  <c r="K740" i="5" l="1"/>
  <c r="M740" i="5" s="1"/>
  <c r="K733" i="3"/>
  <c r="L732" i="3"/>
  <c r="N732" i="3" s="1"/>
  <c r="L732" i="1"/>
  <c r="N732" i="1" s="1"/>
  <c r="K733" i="1"/>
  <c r="K741" i="5" l="1"/>
  <c r="M741" i="5" s="1"/>
  <c r="L733" i="3"/>
  <c r="N733" i="3" s="1"/>
  <c r="K734" i="3"/>
  <c r="L733" i="1"/>
  <c r="N733" i="1" s="1"/>
  <c r="K734" i="1"/>
  <c r="K742" i="5" l="1"/>
  <c r="M742" i="5" s="1"/>
  <c r="K735" i="3"/>
  <c r="L734" i="3"/>
  <c r="N734" i="3" s="1"/>
  <c r="K735" i="1"/>
  <c r="L734" i="1"/>
  <c r="N734" i="1" s="1"/>
  <c r="K743" i="5" l="1"/>
  <c r="M743" i="5" s="1"/>
  <c r="L735" i="3"/>
  <c r="N735" i="3" s="1"/>
  <c r="K736" i="3"/>
  <c r="L735" i="1"/>
  <c r="N735" i="1" s="1"/>
  <c r="K736" i="1"/>
  <c r="K744" i="5" l="1"/>
  <c r="M744" i="5" s="1"/>
  <c r="K737" i="3"/>
  <c r="L736" i="3"/>
  <c r="N736" i="3" s="1"/>
  <c r="K737" i="1"/>
  <c r="L736" i="1"/>
  <c r="N736" i="1" s="1"/>
  <c r="K745" i="5" l="1"/>
  <c r="M745" i="5" s="1"/>
  <c r="L737" i="3"/>
  <c r="N737" i="3" s="1"/>
  <c r="K738" i="3"/>
  <c r="K738" i="1"/>
  <c r="L737" i="1"/>
  <c r="N737" i="1" s="1"/>
  <c r="K746" i="5" l="1"/>
  <c r="M746" i="5" s="1"/>
  <c r="K739" i="3"/>
  <c r="L738" i="3"/>
  <c r="N738" i="3" s="1"/>
  <c r="K739" i="1"/>
  <c r="L738" i="1"/>
  <c r="N738" i="1" s="1"/>
  <c r="K747" i="5" l="1"/>
  <c r="M747" i="5" s="1"/>
  <c r="L739" i="3"/>
  <c r="N739" i="3" s="1"/>
  <c r="K740" i="3"/>
  <c r="K740" i="1"/>
  <c r="L739" i="1"/>
  <c r="N739" i="1" s="1"/>
  <c r="K748" i="5" l="1"/>
  <c r="M748" i="5" s="1"/>
  <c r="K741" i="3"/>
  <c r="L740" i="3"/>
  <c r="N740" i="3" s="1"/>
  <c r="K741" i="1"/>
  <c r="L740" i="1"/>
  <c r="N740" i="1" s="1"/>
  <c r="K749" i="5" l="1"/>
  <c r="M749" i="5" s="1"/>
  <c r="L741" i="3"/>
  <c r="N741" i="3" s="1"/>
  <c r="K742" i="3"/>
  <c r="L741" i="1"/>
  <c r="N741" i="1" s="1"/>
  <c r="K742" i="1"/>
  <c r="K750" i="5" l="1"/>
  <c r="M750" i="5" s="1"/>
  <c r="K743" i="3"/>
  <c r="L742" i="3"/>
  <c r="N742" i="3" s="1"/>
  <c r="K743" i="1"/>
  <c r="L742" i="1"/>
  <c r="N742" i="1" s="1"/>
  <c r="K751" i="5" l="1"/>
  <c r="M751" i="5" s="1"/>
  <c r="L743" i="3"/>
  <c r="N743" i="3" s="1"/>
  <c r="K744" i="3"/>
  <c r="K744" i="1"/>
  <c r="L743" i="1"/>
  <c r="N743" i="1" s="1"/>
  <c r="K752" i="5" l="1"/>
  <c r="M752" i="5" s="1"/>
  <c r="K745" i="3"/>
  <c r="L744" i="3"/>
  <c r="N744" i="3" s="1"/>
  <c r="K745" i="1"/>
  <c r="L744" i="1"/>
  <c r="N744" i="1" s="1"/>
  <c r="K753" i="5" l="1"/>
  <c r="M753" i="5" s="1"/>
  <c r="L745" i="3"/>
  <c r="N745" i="3" s="1"/>
  <c r="K746" i="3"/>
  <c r="K746" i="1"/>
  <c r="L745" i="1"/>
  <c r="N745" i="1" s="1"/>
  <c r="K754" i="5" l="1"/>
  <c r="M754" i="5" s="1"/>
  <c r="K747" i="3"/>
  <c r="L746" i="3"/>
  <c r="N746" i="3" s="1"/>
  <c r="K747" i="1"/>
  <c r="L746" i="1"/>
  <c r="N746" i="1" s="1"/>
  <c r="K755" i="5" l="1"/>
  <c r="M755" i="5" s="1"/>
  <c r="L747" i="3"/>
  <c r="N747" i="3" s="1"/>
  <c r="K748" i="3"/>
  <c r="L747" i="1"/>
  <c r="N747" i="1" s="1"/>
  <c r="K748" i="1"/>
  <c r="K756" i="5" l="1"/>
  <c r="M756" i="5" s="1"/>
  <c r="K749" i="3"/>
  <c r="L748" i="3"/>
  <c r="N748" i="3" s="1"/>
  <c r="L748" i="1"/>
  <c r="N748" i="1" s="1"/>
  <c r="K749" i="1"/>
  <c r="K757" i="5" l="1"/>
  <c r="M757" i="5" s="1"/>
  <c r="L749" i="3"/>
  <c r="N749" i="3" s="1"/>
  <c r="K750" i="3"/>
  <c r="L749" i="1"/>
  <c r="N749" i="1" s="1"/>
  <c r="K750" i="1"/>
  <c r="K758" i="5" l="1"/>
  <c r="M758" i="5" s="1"/>
  <c r="K751" i="3"/>
  <c r="L750" i="3"/>
  <c r="N750" i="3" s="1"/>
  <c r="K751" i="1"/>
  <c r="L750" i="1"/>
  <c r="N750" i="1" s="1"/>
  <c r="K759" i="5" l="1"/>
  <c r="M759" i="5" s="1"/>
  <c r="L751" i="3"/>
  <c r="N751" i="3" s="1"/>
  <c r="K752" i="3"/>
  <c r="L751" i="1"/>
  <c r="N751" i="1" s="1"/>
  <c r="K752" i="1"/>
  <c r="K760" i="5" l="1"/>
  <c r="M760" i="5" s="1"/>
  <c r="L752" i="3"/>
  <c r="N752" i="3" s="1"/>
  <c r="K753" i="3"/>
  <c r="L752" i="1"/>
  <c r="N752" i="1" s="1"/>
  <c r="K753" i="1"/>
  <c r="K761" i="5" l="1"/>
  <c r="M761" i="5" s="1"/>
  <c r="L753" i="3"/>
  <c r="N753" i="3" s="1"/>
  <c r="K754" i="3"/>
  <c r="K754" i="1"/>
  <c r="L753" i="1"/>
  <c r="N753" i="1" s="1"/>
  <c r="K762" i="5" l="1"/>
  <c r="M762" i="5" s="1"/>
  <c r="K755" i="3"/>
  <c r="L754" i="3"/>
  <c r="N754" i="3" s="1"/>
  <c r="K755" i="1"/>
  <c r="L754" i="1"/>
  <c r="N754" i="1" s="1"/>
  <c r="K763" i="5" l="1"/>
  <c r="M763" i="5" s="1"/>
  <c r="K756" i="3"/>
  <c r="L755" i="3"/>
  <c r="N755" i="3" s="1"/>
  <c r="L755" i="1"/>
  <c r="N755" i="1" s="1"/>
  <c r="K756" i="1"/>
  <c r="K764" i="5" l="1"/>
  <c r="M764" i="5" s="1"/>
  <c r="L756" i="3"/>
  <c r="N756" i="3" s="1"/>
  <c r="K757" i="3"/>
  <c r="K757" i="1"/>
  <c r="L756" i="1"/>
  <c r="N756" i="1" s="1"/>
  <c r="K765" i="5" l="1"/>
  <c r="M765" i="5" s="1"/>
  <c r="L757" i="3"/>
  <c r="N757" i="3" s="1"/>
  <c r="K758" i="3"/>
  <c r="K758" i="1"/>
  <c r="L757" i="1"/>
  <c r="N757" i="1" s="1"/>
  <c r="K766" i="5" l="1"/>
  <c r="M766" i="5" s="1"/>
  <c r="K759" i="3"/>
  <c r="L758" i="3"/>
  <c r="N758" i="3" s="1"/>
  <c r="K759" i="1"/>
  <c r="L758" i="1"/>
  <c r="N758" i="1" s="1"/>
  <c r="K767" i="5" l="1"/>
  <c r="M767" i="5" s="1"/>
  <c r="K760" i="3"/>
  <c r="L759" i="3"/>
  <c r="N759" i="3" s="1"/>
  <c r="K760" i="1"/>
  <c r="L759" i="1"/>
  <c r="N759" i="1" s="1"/>
  <c r="K768" i="5" l="1"/>
  <c r="M768" i="5" s="1"/>
  <c r="L760" i="3"/>
  <c r="N760" i="3" s="1"/>
  <c r="K761" i="3"/>
  <c r="K761" i="1"/>
  <c r="L760" i="1"/>
  <c r="N760" i="1" s="1"/>
  <c r="K769" i="5" l="1"/>
  <c r="M769" i="5" s="1"/>
  <c r="L761" i="3"/>
  <c r="N761" i="3" s="1"/>
  <c r="K762" i="3"/>
  <c r="K762" i="1"/>
  <c r="L761" i="1"/>
  <c r="N761" i="1" s="1"/>
  <c r="K770" i="5" l="1"/>
  <c r="M770" i="5" s="1"/>
  <c r="K763" i="3"/>
  <c r="L762" i="3"/>
  <c r="N762" i="3" s="1"/>
  <c r="K763" i="1"/>
  <c r="L762" i="1"/>
  <c r="N762" i="1" s="1"/>
  <c r="K771" i="5" l="1"/>
  <c r="M771" i="5" s="1"/>
  <c r="K764" i="3"/>
  <c r="L763" i="3"/>
  <c r="N763" i="3" s="1"/>
  <c r="L763" i="1"/>
  <c r="N763" i="1" s="1"/>
  <c r="K764" i="1"/>
  <c r="K772" i="5" l="1"/>
  <c r="M772" i="5" s="1"/>
  <c r="L764" i="3"/>
  <c r="N764" i="3" s="1"/>
  <c r="K765" i="3"/>
  <c r="L764" i="1"/>
  <c r="N764" i="1" s="1"/>
  <c r="K765" i="1"/>
  <c r="K773" i="5" l="1"/>
  <c r="M773" i="5" s="1"/>
  <c r="L765" i="3"/>
  <c r="N765" i="3" s="1"/>
  <c r="K766" i="3"/>
  <c r="L765" i="1"/>
  <c r="N765" i="1" s="1"/>
  <c r="K766" i="1"/>
  <c r="K774" i="5" l="1"/>
  <c r="M774" i="5" s="1"/>
  <c r="K767" i="3"/>
  <c r="L766" i="3"/>
  <c r="N766" i="3" s="1"/>
  <c r="K767" i="1"/>
  <c r="L766" i="1"/>
  <c r="N766" i="1" s="1"/>
  <c r="K775" i="5" l="1"/>
  <c r="M775" i="5" s="1"/>
  <c r="K768" i="3"/>
  <c r="L767" i="3"/>
  <c r="N767" i="3" s="1"/>
  <c r="K768" i="1"/>
  <c r="L767" i="1"/>
  <c r="N767" i="1" s="1"/>
  <c r="K776" i="5" l="1"/>
  <c r="M776" i="5" s="1"/>
  <c r="L768" i="3"/>
  <c r="N768" i="3" s="1"/>
  <c r="K769" i="3"/>
  <c r="L768" i="1"/>
  <c r="N768" i="1" s="1"/>
  <c r="K769" i="1"/>
  <c r="K777" i="5" l="1"/>
  <c r="M777" i="5" s="1"/>
  <c r="L769" i="3"/>
  <c r="N769" i="3" s="1"/>
  <c r="K770" i="3"/>
  <c r="L769" i="1"/>
  <c r="N769" i="1" s="1"/>
  <c r="K770" i="1"/>
  <c r="K778" i="5" l="1"/>
  <c r="M778" i="5" s="1"/>
  <c r="K771" i="3"/>
  <c r="L770" i="3"/>
  <c r="N770" i="3" s="1"/>
  <c r="K771" i="1"/>
  <c r="L770" i="1"/>
  <c r="N770" i="1" s="1"/>
  <c r="K779" i="5" l="1"/>
  <c r="M779" i="5" s="1"/>
  <c r="K772" i="3"/>
  <c r="L771" i="3"/>
  <c r="N771" i="3" s="1"/>
  <c r="L771" i="1"/>
  <c r="N771" i="1" s="1"/>
  <c r="K772" i="1"/>
  <c r="K780" i="5" l="1"/>
  <c r="M780" i="5" s="1"/>
  <c r="L772" i="3"/>
  <c r="N772" i="3" s="1"/>
  <c r="K773" i="3"/>
  <c r="L772" i="1"/>
  <c r="N772" i="1" s="1"/>
  <c r="K773" i="1"/>
  <c r="K781" i="5" l="1"/>
  <c r="M781" i="5" s="1"/>
  <c r="K774" i="3"/>
  <c r="L773" i="3"/>
  <c r="N773" i="3" s="1"/>
  <c r="K774" i="1"/>
  <c r="L773" i="1"/>
  <c r="N773" i="1" s="1"/>
  <c r="K782" i="5" l="1"/>
  <c r="M782" i="5" s="1"/>
  <c r="K775" i="3"/>
  <c r="L774" i="3"/>
  <c r="N774" i="3" s="1"/>
  <c r="K775" i="1"/>
  <c r="L774" i="1"/>
  <c r="N774" i="1" s="1"/>
  <c r="K783" i="5" l="1"/>
  <c r="M783" i="5" s="1"/>
  <c r="K776" i="3"/>
  <c r="L775" i="3"/>
  <c r="N775" i="3" s="1"/>
  <c r="K776" i="1"/>
  <c r="L775" i="1"/>
  <c r="N775" i="1" s="1"/>
  <c r="K784" i="5" l="1"/>
  <c r="M784" i="5" s="1"/>
  <c r="L776" i="3"/>
  <c r="N776" i="3" s="1"/>
  <c r="K777" i="3"/>
  <c r="K777" i="1"/>
  <c r="L776" i="1"/>
  <c r="N776" i="1" s="1"/>
  <c r="K785" i="5" l="1"/>
  <c r="M785" i="5" s="1"/>
  <c r="K778" i="3"/>
  <c r="L777" i="3"/>
  <c r="N777" i="3" s="1"/>
  <c r="K778" i="1"/>
  <c r="L777" i="1"/>
  <c r="N777" i="1" s="1"/>
  <c r="K786" i="5" l="1"/>
  <c r="M786" i="5" s="1"/>
  <c r="K779" i="3"/>
  <c r="L778" i="3"/>
  <c r="N778" i="3" s="1"/>
  <c r="K779" i="1"/>
  <c r="L778" i="1"/>
  <c r="N778" i="1" s="1"/>
  <c r="K787" i="5" l="1"/>
  <c r="M787" i="5" s="1"/>
  <c r="K780" i="3"/>
  <c r="L779" i="3"/>
  <c r="N779" i="3" s="1"/>
  <c r="L779" i="1"/>
  <c r="N779" i="1" s="1"/>
  <c r="K780" i="1"/>
  <c r="K788" i="5" l="1"/>
  <c r="M788" i="5" s="1"/>
  <c r="L780" i="3"/>
  <c r="N780" i="3" s="1"/>
  <c r="K781" i="3"/>
  <c r="L780" i="1"/>
  <c r="N780" i="1" s="1"/>
  <c r="K781" i="1"/>
  <c r="K789" i="5" l="1"/>
  <c r="M789" i="5" s="1"/>
  <c r="K782" i="3"/>
  <c r="L781" i="3"/>
  <c r="N781" i="3" s="1"/>
  <c r="L781" i="1"/>
  <c r="N781" i="1" s="1"/>
  <c r="K782" i="1"/>
  <c r="K790" i="5" l="1"/>
  <c r="M790" i="5" s="1"/>
  <c r="K783" i="3"/>
  <c r="L782" i="3"/>
  <c r="N782" i="3" s="1"/>
  <c r="K783" i="1"/>
  <c r="L782" i="1"/>
  <c r="N782" i="1" s="1"/>
  <c r="K791" i="5" l="1"/>
  <c r="M791" i="5" s="1"/>
  <c r="K784" i="3"/>
  <c r="L783" i="3"/>
  <c r="N783" i="3" s="1"/>
  <c r="K784" i="1"/>
  <c r="L783" i="1"/>
  <c r="N783" i="1" s="1"/>
  <c r="K792" i="5" l="1"/>
  <c r="M792" i="5" s="1"/>
  <c r="L784" i="3"/>
  <c r="N784" i="3" s="1"/>
  <c r="K785" i="3"/>
  <c r="K785" i="1"/>
  <c r="L784" i="1"/>
  <c r="N784" i="1" s="1"/>
  <c r="K793" i="5" l="1"/>
  <c r="M793" i="5" s="1"/>
  <c r="K786" i="3"/>
  <c r="L785" i="3"/>
  <c r="N785" i="3" s="1"/>
  <c r="L785" i="1"/>
  <c r="N785" i="1" s="1"/>
  <c r="K786" i="1"/>
  <c r="K794" i="5" l="1"/>
  <c r="M794" i="5" s="1"/>
  <c r="K787" i="3"/>
  <c r="L786" i="3"/>
  <c r="N786" i="3" s="1"/>
  <c r="K787" i="1"/>
  <c r="L786" i="1"/>
  <c r="N786" i="1" s="1"/>
  <c r="K795" i="5" l="1"/>
  <c r="M795" i="5" s="1"/>
  <c r="K788" i="3"/>
  <c r="L787" i="3"/>
  <c r="N787" i="3" s="1"/>
  <c r="L787" i="1"/>
  <c r="N787" i="1" s="1"/>
  <c r="K788" i="1"/>
  <c r="K796" i="5" l="1"/>
  <c r="M796" i="5" s="1"/>
  <c r="L788" i="3"/>
  <c r="N788" i="3" s="1"/>
  <c r="K789" i="3"/>
  <c r="K789" i="1"/>
  <c r="L788" i="1"/>
  <c r="N788" i="1" s="1"/>
  <c r="K797" i="5" l="1"/>
  <c r="M797" i="5" s="1"/>
  <c r="K790" i="3"/>
  <c r="L789" i="3"/>
  <c r="N789" i="3" s="1"/>
  <c r="L789" i="1"/>
  <c r="N789" i="1" s="1"/>
  <c r="K790" i="1"/>
  <c r="K798" i="5" l="1"/>
  <c r="M798" i="5" s="1"/>
  <c r="K791" i="3"/>
  <c r="L790" i="3"/>
  <c r="N790" i="3" s="1"/>
  <c r="K791" i="1"/>
  <c r="L790" i="1"/>
  <c r="N790" i="1" s="1"/>
  <c r="K799" i="5" l="1"/>
  <c r="M799" i="5" s="1"/>
  <c r="K792" i="3"/>
  <c r="L791" i="3"/>
  <c r="N791" i="3" s="1"/>
  <c r="K792" i="1"/>
  <c r="L791" i="1"/>
  <c r="N791" i="1" s="1"/>
  <c r="K800" i="5" l="1"/>
  <c r="M800" i="5" s="1"/>
  <c r="L792" i="3"/>
  <c r="N792" i="3" s="1"/>
  <c r="K793" i="3"/>
  <c r="K793" i="1"/>
  <c r="L792" i="1"/>
  <c r="N792" i="1" s="1"/>
  <c r="K801" i="5" l="1"/>
  <c r="M801" i="5" s="1"/>
  <c r="K794" i="3"/>
  <c r="L793" i="3"/>
  <c r="N793" i="3" s="1"/>
  <c r="K794" i="1"/>
  <c r="L793" i="1"/>
  <c r="N793" i="1" s="1"/>
  <c r="K802" i="5" l="1"/>
  <c r="M802" i="5" s="1"/>
  <c r="K795" i="3"/>
  <c r="L794" i="3"/>
  <c r="N794" i="3" s="1"/>
  <c r="K795" i="1"/>
  <c r="L794" i="1"/>
  <c r="N794" i="1" s="1"/>
  <c r="K803" i="5" l="1"/>
  <c r="M803" i="5" s="1"/>
  <c r="K796" i="3"/>
  <c r="L795" i="3"/>
  <c r="N795" i="3" s="1"/>
  <c r="L795" i="1"/>
  <c r="N795" i="1" s="1"/>
  <c r="K796" i="1"/>
  <c r="K804" i="5" l="1"/>
  <c r="M804" i="5" s="1"/>
  <c r="L796" i="3"/>
  <c r="N796" i="3" s="1"/>
  <c r="K797" i="3"/>
  <c r="L796" i="1"/>
  <c r="N796" i="1" s="1"/>
  <c r="K797" i="1"/>
  <c r="K805" i="5" l="1"/>
  <c r="M805" i="5" s="1"/>
  <c r="K798" i="3"/>
  <c r="L797" i="3"/>
  <c r="N797" i="3" s="1"/>
  <c r="L797" i="1"/>
  <c r="N797" i="1" s="1"/>
  <c r="K798" i="1"/>
  <c r="K806" i="5" l="1"/>
  <c r="M806" i="5" s="1"/>
  <c r="K799" i="3"/>
  <c r="L798" i="3"/>
  <c r="N798" i="3" s="1"/>
  <c r="K799" i="1"/>
  <c r="L798" i="1"/>
  <c r="N798" i="1" s="1"/>
  <c r="K807" i="5" l="1"/>
  <c r="M807" i="5" s="1"/>
  <c r="K800" i="3"/>
  <c r="L799" i="3"/>
  <c r="N799" i="3" s="1"/>
  <c r="L799" i="1"/>
  <c r="N799" i="1" s="1"/>
  <c r="K800" i="1"/>
  <c r="K808" i="5" l="1"/>
  <c r="M808" i="5" s="1"/>
  <c r="L800" i="3"/>
  <c r="N800" i="3" s="1"/>
  <c r="K801" i="3"/>
  <c r="L800" i="1"/>
  <c r="N800" i="1" s="1"/>
  <c r="K801" i="1"/>
  <c r="K809" i="5" l="1"/>
  <c r="M809" i="5" s="1"/>
  <c r="K802" i="3"/>
  <c r="L801" i="3"/>
  <c r="N801" i="3" s="1"/>
  <c r="L801" i="1"/>
  <c r="N801" i="1" s="1"/>
  <c r="K802" i="1"/>
  <c r="K810" i="5" l="1"/>
  <c r="M810" i="5" s="1"/>
  <c r="K803" i="3"/>
  <c r="L802" i="3"/>
  <c r="N802" i="3" s="1"/>
  <c r="K803" i="1"/>
  <c r="L802" i="1"/>
  <c r="N802" i="1" s="1"/>
  <c r="K811" i="5" l="1"/>
  <c r="M811" i="5" s="1"/>
  <c r="K804" i="3"/>
  <c r="L803" i="3"/>
  <c r="N803" i="3" s="1"/>
  <c r="K804" i="1"/>
  <c r="L803" i="1"/>
  <c r="N803" i="1" s="1"/>
  <c r="K812" i="5" l="1"/>
  <c r="M812" i="5" s="1"/>
  <c r="L804" i="3"/>
  <c r="N804" i="3" s="1"/>
  <c r="K805" i="3"/>
  <c r="L804" i="1"/>
  <c r="N804" i="1" s="1"/>
  <c r="K805" i="1"/>
  <c r="K813" i="5" l="1"/>
  <c r="M813" i="5" s="1"/>
  <c r="K806" i="3"/>
  <c r="L805" i="3"/>
  <c r="N805" i="3" s="1"/>
  <c r="K806" i="1"/>
  <c r="L805" i="1"/>
  <c r="N805" i="1" s="1"/>
  <c r="K814" i="5" l="1"/>
  <c r="M814" i="5" s="1"/>
  <c r="K807" i="3"/>
  <c r="L806" i="3"/>
  <c r="N806" i="3" s="1"/>
  <c r="K807" i="1"/>
  <c r="L806" i="1"/>
  <c r="N806" i="1" s="1"/>
  <c r="K815" i="5" l="1"/>
  <c r="M815" i="5" s="1"/>
  <c r="K808" i="3"/>
  <c r="L807" i="3"/>
  <c r="N807" i="3" s="1"/>
  <c r="K808" i="1"/>
  <c r="L807" i="1"/>
  <c r="N807" i="1" s="1"/>
  <c r="K816" i="5" l="1"/>
  <c r="M816" i="5" s="1"/>
  <c r="L808" i="3"/>
  <c r="N808" i="3" s="1"/>
  <c r="K809" i="3"/>
  <c r="K809" i="1"/>
  <c r="L808" i="1"/>
  <c r="N808" i="1" s="1"/>
  <c r="K817" i="5" l="1"/>
  <c r="M817" i="5" s="1"/>
  <c r="K810" i="3"/>
  <c r="L809" i="3"/>
  <c r="N809" i="3" s="1"/>
  <c r="K810" i="1"/>
  <c r="L809" i="1"/>
  <c r="N809" i="1" s="1"/>
  <c r="K818" i="5" l="1"/>
  <c r="M818" i="5" s="1"/>
  <c r="K811" i="3"/>
  <c r="L810" i="3"/>
  <c r="N810" i="3" s="1"/>
  <c r="K811" i="1"/>
  <c r="L810" i="1"/>
  <c r="N810" i="1" s="1"/>
  <c r="K819" i="5" l="1"/>
  <c r="M819" i="5" s="1"/>
  <c r="K812" i="3"/>
  <c r="L811" i="3"/>
  <c r="N811" i="3" s="1"/>
  <c r="L811" i="1"/>
  <c r="N811" i="1" s="1"/>
  <c r="K812" i="1"/>
  <c r="K820" i="5" l="1"/>
  <c r="M820" i="5" s="1"/>
  <c r="L812" i="3"/>
  <c r="N812" i="3" s="1"/>
  <c r="K813" i="3"/>
  <c r="L812" i="1"/>
  <c r="N812" i="1" s="1"/>
  <c r="K813" i="1"/>
  <c r="K821" i="5" l="1"/>
  <c r="M821" i="5" s="1"/>
  <c r="K814" i="3"/>
  <c r="L813" i="3"/>
  <c r="N813" i="3" s="1"/>
  <c r="L813" i="1"/>
  <c r="N813" i="1" s="1"/>
  <c r="K814" i="1"/>
  <c r="K822" i="5" l="1"/>
  <c r="M822" i="5" s="1"/>
  <c r="K815" i="3"/>
  <c r="L814" i="3"/>
  <c r="N814" i="3" s="1"/>
  <c r="K815" i="1"/>
  <c r="L814" i="1"/>
  <c r="N814" i="1" s="1"/>
  <c r="K823" i="5" l="1"/>
  <c r="M823" i="5" s="1"/>
  <c r="K816" i="3"/>
  <c r="L815" i="3"/>
  <c r="N815" i="3" s="1"/>
  <c r="L815" i="1"/>
  <c r="N815" i="1" s="1"/>
  <c r="K816" i="1"/>
  <c r="K825" i="5" l="1"/>
  <c r="M825" i="5" s="1"/>
  <c r="K817" i="3"/>
  <c r="L816" i="3"/>
  <c r="N816" i="3" s="1"/>
  <c r="L816" i="1"/>
  <c r="N816" i="1" s="1"/>
  <c r="K817" i="1"/>
  <c r="K826" i="5" l="1"/>
  <c r="M826" i="5" s="1"/>
  <c r="K818" i="3"/>
  <c r="L817" i="3"/>
  <c r="N817" i="3" s="1"/>
  <c r="L817" i="1"/>
  <c r="N817" i="1" s="1"/>
  <c r="K818" i="1"/>
  <c r="K827" i="5" l="1"/>
  <c r="M827" i="5" s="1"/>
  <c r="K819" i="3"/>
  <c r="L818" i="3"/>
  <c r="N818" i="3" s="1"/>
  <c r="K819" i="1"/>
  <c r="L818" i="1"/>
  <c r="N818" i="1" s="1"/>
  <c r="K828" i="5" l="1"/>
  <c r="M828" i="5" s="1"/>
  <c r="K820" i="3"/>
  <c r="L819" i="3"/>
  <c r="N819" i="3" s="1"/>
  <c r="L819" i="1"/>
  <c r="N819" i="1" s="1"/>
  <c r="K820" i="1"/>
  <c r="K829" i="5" l="1"/>
  <c r="M829" i="5" s="1"/>
  <c r="K821" i="3"/>
  <c r="L820" i="3"/>
  <c r="N820" i="3" s="1"/>
  <c r="K821" i="1"/>
  <c r="L820" i="1"/>
  <c r="N820" i="1" s="1"/>
  <c r="K830" i="5" l="1"/>
  <c r="M830" i="5" s="1"/>
  <c r="K822" i="3"/>
  <c r="L821" i="3"/>
  <c r="N821" i="3" s="1"/>
  <c r="L821" i="1"/>
  <c r="N821" i="1" s="1"/>
  <c r="K822" i="1"/>
  <c r="K831" i="5" l="1"/>
  <c r="M831" i="5" s="1"/>
  <c r="K823" i="3"/>
  <c r="L822" i="3"/>
  <c r="N822" i="3" s="1"/>
  <c r="K823" i="1"/>
  <c r="L822" i="1"/>
  <c r="N822" i="1" s="1"/>
  <c r="K832" i="5" l="1"/>
  <c r="M832" i="5" s="1"/>
  <c r="K824" i="3"/>
  <c r="L823" i="3"/>
  <c r="N823" i="3" s="1"/>
  <c r="K824" i="1"/>
  <c r="L823" i="1"/>
  <c r="N823" i="1" s="1"/>
  <c r="K833" i="5" l="1"/>
  <c r="M833" i="5" s="1"/>
  <c r="K825" i="3"/>
  <c r="L824" i="3"/>
  <c r="N824" i="3" s="1"/>
  <c r="K825" i="1"/>
  <c r="L824" i="1"/>
  <c r="N824" i="1" s="1"/>
  <c r="K834" i="5" l="1"/>
  <c r="M834" i="5" s="1"/>
  <c r="K826" i="3"/>
  <c r="L825" i="3"/>
  <c r="N825" i="3" s="1"/>
  <c r="L825" i="1"/>
  <c r="N825" i="1" s="1"/>
  <c r="K826" i="1"/>
  <c r="K835" i="5" l="1"/>
  <c r="M835" i="5" s="1"/>
  <c r="K827" i="3"/>
  <c r="L826" i="3"/>
  <c r="N826" i="3" s="1"/>
  <c r="K827" i="1"/>
  <c r="L826" i="1"/>
  <c r="N826" i="1" s="1"/>
  <c r="K836" i="5" l="1"/>
  <c r="M836" i="5" s="1"/>
  <c r="K828" i="3"/>
  <c r="L827" i="3"/>
  <c r="N827" i="3" s="1"/>
  <c r="L827" i="1"/>
  <c r="N827" i="1" s="1"/>
  <c r="K828" i="1"/>
  <c r="K837" i="5" l="1"/>
  <c r="M837" i="5" s="1"/>
  <c r="K829" i="3"/>
  <c r="L828" i="3"/>
  <c r="N828" i="3" s="1"/>
  <c r="K829" i="1"/>
  <c r="L828" i="1"/>
  <c r="N828" i="1" s="1"/>
  <c r="K838" i="5" l="1"/>
  <c r="M838" i="5" s="1"/>
  <c r="K830" i="3"/>
  <c r="L829" i="3"/>
  <c r="N829" i="3" s="1"/>
  <c r="L829" i="1"/>
  <c r="N829" i="1" s="1"/>
  <c r="K830" i="1"/>
  <c r="K839" i="5" l="1"/>
  <c r="M839" i="5" s="1"/>
  <c r="K831" i="3"/>
  <c r="L830" i="3"/>
  <c r="N830" i="3" s="1"/>
  <c r="K831" i="1"/>
  <c r="L830" i="1"/>
  <c r="N830" i="1" s="1"/>
  <c r="K840" i="5" l="1"/>
  <c r="M840" i="5" s="1"/>
  <c r="K832" i="3"/>
  <c r="L831" i="3"/>
  <c r="N831" i="3" s="1"/>
  <c r="K832" i="1"/>
  <c r="L831" i="1"/>
  <c r="N831" i="1" s="1"/>
  <c r="K841" i="5" l="1"/>
  <c r="M841" i="5" s="1"/>
  <c r="K833" i="3"/>
  <c r="L832" i="3"/>
  <c r="N832" i="3" s="1"/>
  <c r="L832" i="1"/>
  <c r="N832" i="1" s="1"/>
  <c r="K833" i="1"/>
  <c r="K842" i="5" l="1"/>
  <c r="M842" i="5" s="1"/>
  <c r="K834" i="3"/>
  <c r="L833" i="3"/>
  <c r="N833" i="3" s="1"/>
  <c r="L833" i="1"/>
  <c r="N833" i="1" s="1"/>
  <c r="K834" i="1"/>
  <c r="K843" i="5" l="1"/>
  <c r="M843" i="5" s="1"/>
  <c r="K835" i="3"/>
  <c r="L834" i="3"/>
  <c r="N834" i="3" s="1"/>
  <c r="L834" i="1"/>
  <c r="N834" i="1" s="1"/>
  <c r="K835" i="1"/>
  <c r="K844" i="5" l="1"/>
  <c r="M844" i="5" s="1"/>
  <c r="K836" i="3"/>
  <c r="L835" i="3"/>
  <c r="N835" i="3" s="1"/>
  <c r="K836" i="1"/>
  <c r="L835" i="1"/>
  <c r="N835" i="1" s="1"/>
  <c r="K845" i="5" l="1"/>
  <c r="M845" i="5" s="1"/>
  <c r="K837" i="3"/>
  <c r="L836" i="3"/>
  <c r="N836" i="3" s="1"/>
  <c r="K837" i="1"/>
  <c r="L836" i="1"/>
  <c r="N836" i="1" s="1"/>
  <c r="K846" i="5" l="1"/>
  <c r="M846" i="5" s="1"/>
  <c r="K838" i="3"/>
  <c r="L837" i="3"/>
  <c r="N837" i="3" s="1"/>
  <c r="K838" i="1"/>
  <c r="L837" i="1"/>
  <c r="N837" i="1" s="1"/>
  <c r="K847" i="5" l="1"/>
  <c r="M847" i="5" s="1"/>
  <c r="K839" i="3"/>
  <c r="L838" i="3"/>
  <c r="N838" i="3" s="1"/>
  <c r="K839" i="1"/>
  <c r="L838" i="1"/>
  <c r="N838" i="1" s="1"/>
  <c r="K848" i="5" l="1"/>
  <c r="M848" i="5" s="1"/>
  <c r="K840" i="3"/>
  <c r="L839" i="3"/>
  <c r="N839" i="3" s="1"/>
  <c r="K840" i="1"/>
  <c r="L839" i="1"/>
  <c r="N839" i="1" s="1"/>
  <c r="K849" i="5" l="1"/>
  <c r="M849" i="5" s="1"/>
  <c r="K841" i="3"/>
  <c r="L840" i="3"/>
  <c r="N840" i="3" s="1"/>
  <c r="K841" i="1"/>
  <c r="L840" i="1"/>
  <c r="N840" i="1" s="1"/>
  <c r="K850" i="5" l="1"/>
  <c r="M850" i="5" s="1"/>
  <c r="K842" i="3"/>
  <c r="L841" i="3"/>
  <c r="N841" i="3" s="1"/>
  <c r="K842" i="1"/>
  <c r="L841" i="1"/>
  <c r="N841" i="1" s="1"/>
  <c r="K851" i="5" l="1"/>
  <c r="M851" i="5" s="1"/>
  <c r="K843" i="3"/>
  <c r="L842" i="3"/>
  <c r="N842" i="3" s="1"/>
  <c r="K843" i="1"/>
  <c r="L842" i="1"/>
  <c r="N842" i="1" s="1"/>
  <c r="K852" i="5" l="1"/>
  <c r="M852" i="5" s="1"/>
  <c r="K844" i="3"/>
  <c r="L843" i="3"/>
  <c r="N843" i="3" s="1"/>
  <c r="K844" i="1"/>
  <c r="L843" i="1"/>
  <c r="N843" i="1" s="1"/>
  <c r="K853" i="5" l="1"/>
  <c r="M853" i="5" s="1"/>
  <c r="K845" i="3"/>
  <c r="L844" i="3"/>
  <c r="N844" i="3" s="1"/>
  <c r="L844" i="1"/>
  <c r="N844" i="1" s="1"/>
  <c r="K845" i="1"/>
  <c r="K854" i="5" l="1"/>
  <c r="M854" i="5" s="1"/>
  <c r="K846" i="3"/>
  <c r="L845" i="3"/>
  <c r="N845" i="3" s="1"/>
  <c r="L845" i="1"/>
  <c r="N845" i="1" s="1"/>
  <c r="K846" i="1"/>
  <c r="K855" i="5" l="1"/>
  <c r="M855" i="5" s="1"/>
  <c r="K847" i="3"/>
  <c r="L846" i="3"/>
  <c r="N846" i="3" s="1"/>
  <c r="L846" i="1"/>
  <c r="N846" i="1" s="1"/>
  <c r="K847" i="1"/>
  <c r="K856" i="5" l="1"/>
  <c r="M856" i="5" s="1"/>
  <c r="K848" i="3"/>
  <c r="L847" i="3"/>
  <c r="N847" i="3" s="1"/>
  <c r="K848" i="1"/>
  <c r="L847" i="1"/>
  <c r="N847" i="1" s="1"/>
  <c r="K857" i="5" l="1"/>
  <c r="M857" i="5" s="1"/>
  <c r="K849" i="3"/>
  <c r="L848" i="3"/>
  <c r="N848" i="3" s="1"/>
  <c r="L848" i="1"/>
  <c r="N848" i="1" s="1"/>
  <c r="K849" i="1"/>
  <c r="K858" i="5" l="1"/>
  <c r="M858" i="5" s="1"/>
  <c r="K850" i="3"/>
  <c r="L849" i="3"/>
  <c r="N849" i="3" s="1"/>
  <c r="L849" i="1"/>
  <c r="N849" i="1" s="1"/>
  <c r="K850" i="1"/>
  <c r="K859" i="5" l="1"/>
  <c r="M859" i="5" s="1"/>
  <c r="K851" i="3"/>
  <c r="L850" i="3"/>
  <c r="N850" i="3" s="1"/>
  <c r="L850" i="1"/>
  <c r="N850" i="1" s="1"/>
  <c r="K851" i="1"/>
  <c r="K860" i="5" l="1"/>
  <c r="M860" i="5" s="1"/>
  <c r="K852" i="3"/>
  <c r="L851" i="3"/>
  <c r="N851" i="3" s="1"/>
  <c r="K852" i="1"/>
  <c r="L851" i="1"/>
  <c r="N851" i="1" s="1"/>
  <c r="K861" i="5" l="1"/>
  <c r="M861" i="5" s="1"/>
  <c r="K853" i="3"/>
  <c r="L852" i="3"/>
  <c r="N852" i="3" s="1"/>
  <c r="L852" i="1"/>
  <c r="N852" i="1" s="1"/>
  <c r="K853" i="1"/>
  <c r="K862" i="5" l="1"/>
  <c r="M862" i="5" s="1"/>
  <c r="K854" i="3"/>
  <c r="L853" i="3"/>
  <c r="N853" i="3" s="1"/>
  <c r="K854" i="1"/>
  <c r="L853" i="1"/>
  <c r="N853" i="1" s="1"/>
  <c r="K863" i="5" l="1"/>
  <c r="M863" i="5" s="1"/>
  <c r="K855" i="3"/>
  <c r="L854" i="3"/>
  <c r="N854" i="3" s="1"/>
  <c r="K855" i="1"/>
  <c r="L854" i="1"/>
  <c r="N854" i="1" s="1"/>
  <c r="K864" i="5" l="1"/>
  <c r="M864" i="5" s="1"/>
  <c r="K856" i="3"/>
  <c r="L855" i="3"/>
  <c r="N855" i="3" s="1"/>
  <c r="K856" i="1"/>
  <c r="L855" i="1"/>
  <c r="N855" i="1" s="1"/>
  <c r="K865" i="5" l="1"/>
  <c r="M865" i="5" s="1"/>
  <c r="K857" i="3"/>
  <c r="L856" i="3"/>
  <c r="N856" i="3" s="1"/>
  <c r="K857" i="1"/>
  <c r="L856" i="1"/>
  <c r="N856" i="1" s="1"/>
  <c r="K866" i="5" l="1"/>
  <c r="M866" i="5" s="1"/>
  <c r="K858" i="3"/>
  <c r="L857" i="3"/>
  <c r="N857" i="3" s="1"/>
  <c r="K858" i="1"/>
  <c r="L857" i="1"/>
  <c r="N857" i="1" s="1"/>
  <c r="K867" i="5" l="1"/>
  <c r="M867" i="5" s="1"/>
  <c r="K859" i="3"/>
  <c r="L858" i="3"/>
  <c r="N858" i="3" s="1"/>
  <c r="L858" i="1"/>
  <c r="N858" i="1" s="1"/>
  <c r="K859" i="1"/>
  <c r="K868" i="5" l="1"/>
  <c r="M868" i="5" s="1"/>
  <c r="K860" i="3"/>
  <c r="L859" i="3"/>
  <c r="N859" i="3" s="1"/>
  <c r="L859" i="1"/>
  <c r="N859" i="1" s="1"/>
  <c r="K860" i="1"/>
  <c r="K869" i="5" l="1"/>
  <c r="M869" i="5" s="1"/>
  <c r="K861" i="3"/>
  <c r="L860" i="3"/>
  <c r="N860" i="3" s="1"/>
  <c r="L860" i="1"/>
  <c r="N860" i="1" s="1"/>
  <c r="K861" i="1"/>
  <c r="K870" i="5" l="1"/>
  <c r="M870" i="5" s="1"/>
  <c r="K862" i="3"/>
  <c r="L861" i="3"/>
  <c r="N861" i="3" s="1"/>
  <c r="K862" i="1"/>
  <c r="L861" i="1"/>
  <c r="N861" i="1" s="1"/>
  <c r="K871" i="5" l="1"/>
  <c r="M871" i="5" s="1"/>
  <c r="K863" i="3"/>
  <c r="L862" i="3"/>
  <c r="N862" i="3" s="1"/>
  <c r="K863" i="1"/>
  <c r="L862" i="1"/>
  <c r="N862" i="1" s="1"/>
  <c r="K872" i="5" l="1"/>
  <c r="M872" i="5" s="1"/>
  <c r="K864" i="3"/>
  <c r="L863" i="3"/>
  <c r="N863" i="3" s="1"/>
  <c r="L863" i="1"/>
  <c r="N863" i="1" s="1"/>
  <c r="K864" i="1"/>
  <c r="K873" i="5" l="1"/>
  <c r="M873" i="5" s="1"/>
  <c r="K865" i="3"/>
  <c r="L864" i="3"/>
  <c r="N864" i="3" s="1"/>
  <c r="K865" i="1"/>
  <c r="L864" i="1"/>
  <c r="N864" i="1" s="1"/>
  <c r="K874" i="5" l="1"/>
  <c r="M874" i="5" s="1"/>
  <c r="K866" i="3"/>
  <c r="L865" i="3"/>
  <c r="N865" i="3" s="1"/>
  <c r="K866" i="1"/>
  <c r="L865" i="1"/>
  <c r="N865" i="1" s="1"/>
  <c r="K875" i="5" l="1"/>
  <c r="M875" i="5" s="1"/>
  <c r="K867" i="3"/>
  <c r="L866" i="3"/>
  <c r="N866" i="3" s="1"/>
  <c r="K867" i="1"/>
  <c r="L866" i="1"/>
  <c r="N866" i="1" s="1"/>
  <c r="K876" i="5" l="1"/>
  <c r="M876" i="5" s="1"/>
  <c r="K868" i="3"/>
  <c r="L867" i="3"/>
  <c r="N867" i="3" s="1"/>
  <c r="K868" i="1"/>
  <c r="L867" i="1"/>
  <c r="N867" i="1" s="1"/>
  <c r="K877" i="5" l="1"/>
  <c r="M877" i="5" s="1"/>
  <c r="K869" i="3"/>
  <c r="L868" i="3"/>
  <c r="N868" i="3" s="1"/>
  <c r="K869" i="1"/>
  <c r="L868" i="1"/>
  <c r="N868" i="1" s="1"/>
  <c r="K878" i="5" l="1"/>
  <c r="M878" i="5" s="1"/>
  <c r="K870" i="3"/>
  <c r="L869" i="3"/>
  <c r="N869" i="3" s="1"/>
  <c r="K870" i="1"/>
  <c r="L869" i="1"/>
  <c r="N869" i="1" s="1"/>
  <c r="K879" i="5" l="1"/>
  <c r="M879" i="5" s="1"/>
  <c r="K871" i="3"/>
  <c r="L870" i="3"/>
  <c r="N870" i="3" s="1"/>
  <c r="L870" i="1"/>
  <c r="N870" i="1" s="1"/>
  <c r="K871" i="1"/>
  <c r="K880" i="5" l="1"/>
  <c r="M880" i="5" s="1"/>
  <c r="K872" i="3"/>
  <c r="L871" i="3"/>
  <c r="N871" i="3" s="1"/>
  <c r="L871" i="1"/>
  <c r="N871" i="1" s="1"/>
  <c r="K872" i="1"/>
  <c r="K881" i="5" l="1"/>
  <c r="M881" i="5" s="1"/>
  <c r="K873" i="3"/>
  <c r="L872" i="3"/>
  <c r="N872" i="3" s="1"/>
  <c r="L872" i="1"/>
  <c r="N872" i="1" s="1"/>
  <c r="K873" i="1"/>
  <c r="K882" i="5" l="1"/>
  <c r="M882" i="5" s="1"/>
  <c r="K874" i="3"/>
  <c r="L873" i="3"/>
  <c r="N873" i="3" s="1"/>
  <c r="K874" i="1"/>
  <c r="L873" i="1"/>
  <c r="N873" i="1" s="1"/>
  <c r="K883" i="5" l="1"/>
  <c r="M883" i="5" s="1"/>
  <c r="K875" i="3"/>
  <c r="L874" i="3"/>
  <c r="N874" i="3" s="1"/>
  <c r="L874" i="1"/>
  <c r="N874" i="1" s="1"/>
  <c r="K875" i="1"/>
  <c r="K884" i="5" l="1"/>
  <c r="M884" i="5" s="1"/>
  <c r="K876" i="3"/>
  <c r="L875" i="3"/>
  <c r="N875" i="3" s="1"/>
  <c r="L875" i="1"/>
  <c r="N875" i="1" s="1"/>
  <c r="K876" i="1"/>
  <c r="K885" i="5" l="1"/>
  <c r="M885" i="5" s="1"/>
  <c r="K877" i="3"/>
  <c r="L876" i="3"/>
  <c r="N876" i="3" s="1"/>
  <c r="L876" i="1"/>
  <c r="N876" i="1" s="1"/>
  <c r="K877" i="1"/>
  <c r="K886" i="5" l="1"/>
  <c r="M886" i="5" s="1"/>
  <c r="K878" i="3"/>
  <c r="L877" i="3"/>
  <c r="N877" i="3" s="1"/>
  <c r="K878" i="1"/>
  <c r="L877" i="1"/>
  <c r="N877" i="1" s="1"/>
  <c r="K887" i="5" l="1"/>
  <c r="M887" i="5" s="1"/>
  <c r="K879" i="3"/>
  <c r="L878" i="3"/>
  <c r="N878" i="3" s="1"/>
  <c r="L878" i="1"/>
  <c r="N878" i="1" s="1"/>
  <c r="K879" i="1"/>
  <c r="K888" i="5" l="1"/>
  <c r="M888" i="5" s="1"/>
  <c r="K880" i="3"/>
  <c r="L879" i="3"/>
  <c r="N879" i="3" s="1"/>
  <c r="K880" i="1"/>
  <c r="L879" i="1"/>
  <c r="N879" i="1" s="1"/>
  <c r="K889" i="5" l="1"/>
  <c r="M889" i="5" s="1"/>
  <c r="K881" i="3"/>
  <c r="L880" i="3"/>
  <c r="N880" i="3" s="1"/>
  <c r="L880" i="1"/>
  <c r="N880" i="1" s="1"/>
  <c r="K881" i="1"/>
  <c r="K890" i="5" l="1"/>
  <c r="M890" i="5" s="1"/>
  <c r="K882" i="3"/>
  <c r="L881" i="3"/>
  <c r="N881" i="3" s="1"/>
  <c r="K882" i="1"/>
  <c r="L881" i="1"/>
  <c r="N881" i="1" s="1"/>
  <c r="K891" i="5" l="1"/>
  <c r="M891" i="5" s="1"/>
  <c r="K883" i="3"/>
  <c r="L882" i="3"/>
  <c r="N882" i="3" s="1"/>
  <c r="K883" i="1"/>
  <c r="L882" i="1"/>
  <c r="N882" i="1" s="1"/>
  <c r="K892" i="5" l="1"/>
  <c r="M892" i="5" s="1"/>
  <c r="K884" i="3"/>
  <c r="L883" i="3"/>
  <c r="N883" i="3" s="1"/>
  <c r="K884" i="1"/>
  <c r="L883" i="1"/>
  <c r="N883" i="1" s="1"/>
  <c r="K893" i="5" l="1"/>
  <c r="M893" i="5" s="1"/>
  <c r="K885" i="3"/>
  <c r="L884" i="3"/>
  <c r="N884" i="3" s="1"/>
  <c r="K885" i="1"/>
  <c r="L884" i="1"/>
  <c r="N884" i="1" s="1"/>
  <c r="K894" i="5" l="1"/>
  <c r="M894" i="5" s="1"/>
  <c r="K886" i="3"/>
  <c r="L885" i="3"/>
  <c r="N885" i="3" s="1"/>
  <c r="K886" i="1"/>
  <c r="L885" i="1"/>
  <c r="N885" i="1" s="1"/>
  <c r="K895" i="5" l="1"/>
  <c r="M895" i="5" s="1"/>
  <c r="K887" i="3"/>
  <c r="L886" i="3"/>
  <c r="N886" i="3" s="1"/>
  <c r="L886" i="1"/>
  <c r="N886" i="1" s="1"/>
  <c r="K887" i="1"/>
  <c r="K896" i="5" l="1"/>
  <c r="M896" i="5" s="1"/>
  <c r="K888" i="3"/>
  <c r="L887" i="3"/>
  <c r="N887" i="3" s="1"/>
  <c r="L887" i="1"/>
  <c r="N887" i="1" s="1"/>
  <c r="K888" i="1"/>
  <c r="K897" i="5" l="1"/>
  <c r="M897" i="5" s="1"/>
  <c r="K889" i="3"/>
  <c r="L888" i="3"/>
  <c r="N888" i="3" s="1"/>
  <c r="L888" i="1"/>
  <c r="N888" i="1" s="1"/>
  <c r="K889" i="1"/>
  <c r="K898" i="5" l="1"/>
  <c r="M898" i="5" s="1"/>
  <c r="K890" i="3"/>
  <c r="L889" i="3"/>
  <c r="N889" i="3" s="1"/>
  <c r="K890" i="1"/>
  <c r="L889" i="1"/>
  <c r="N889" i="1" s="1"/>
  <c r="K899" i="5" l="1"/>
  <c r="M899" i="5" s="1"/>
  <c r="K891" i="3"/>
  <c r="L890" i="3"/>
  <c r="N890" i="3" s="1"/>
  <c r="L890" i="1"/>
  <c r="N890" i="1" s="1"/>
  <c r="K891" i="1"/>
  <c r="K900" i="5" l="1"/>
  <c r="M900" i="5" s="1"/>
  <c r="K892" i="3"/>
  <c r="L891" i="3"/>
  <c r="N891" i="3" s="1"/>
  <c r="L891" i="1"/>
  <c r="N891" i="1" s="1"/>
  <c r="K892" i="1"/>
  <c r="K901" i="5" l="1"/>
  <c r="M901" i="5" s="1"/>
  <c r="K893" i="3"/>
  <c r="L892" i="3"/>
  <c r="N892" i="3" s="1"/>
  <c r="L892" i="1"/>
  <c r="N892" i="1" s="1"/>
  <c r="K893" i="1"/>
  <c r="K902" i="5" l="1"/>
  <c r="M902" i="5" s="1"/>
  <c r="K894" i="3"/>
  <c r="L893" i="3"/>
  <c r="N893" i="3" s="1"/>
  <c r="K894" i="1"/>
  <c r="L893" i="1"/>
  <c r="N893" i="1" s="1"/>
  <c r="K903" i="5" l="1"/>
  <c r="M903" i="5" s="1"/>
  <c r="K895" i="3"/>
  <c r="L894" i="3"/>
  <c r="N894" i="3" s="1"/>
  <c r="K895" i="1"/>
  <c r="L894" i="1"/>
  <c r="N894" i="1" s="1"/>
  <c r="K904" i="5" l="1"/>
  <c r="M904" i="5" s="1"/>
  <c r="K896" i="3"/>
  <c r="L895" i="3"/>
  <c r="N895" i="3" s="1"/>
  <c r="L895" i="1"/>
  <c r="N895" i="1" s="1"/>
  <c r="K896" i="1"/>
  <c r="K905" i="5" l="1"/>
  <c r="M905" i="5" s="1"/>
  <c r="K897" i="3"/>
  <c r="L896" i="3"/>
  <c r="N896" i="3" s="1"/>
  <c r="K897" i="1"/>
  <c r="L896" i="1"/>
  <c r="N896" i="1" s="1"/>
  <c r="K906" i="5" l="1"/>
  <c r="M906" i="5" s="1"/>
  <c r="K898" i="3"/>
  <c r="L897" i="3"/>
  <c r="N897" i="3" s="1"/>
  <c r="K898" i="1"/>
  <c r="L897" i="1"/>
  <c r="N897" i="1" s="1"/>
  <c r="K907" i="5" l="1"/>
  <c r="M907" i="5" s="1"/>
  <c r="K899" i="3"/>
  <c r="L898" i="3"/>
  <c r="N898" i="3" s="1"/>
  <c r="K899" i="1"/>
  <c r="L898" i="1"/>
  <c r="N898" i="1" s="1"/>
  <c r="K908" i="5" l="1"/>
  <c r="M908" i="5" s="1"/>
  <c r="K900" i="3"/>
  <c r="L899" i="3"/>
  <c r="N899" i="3" s="1"/>
  <c r="K900" i="1"/>
  <c r="L899" i="1"/>
  <c r="N899" i="1" s="1"/>
  <c r="K909" i="5" l="1"/>
  <c r="M909" i="5" s="1"/>
  <c r="K901" i="3"/>
  <c r="L900" i="3"/>
  <c r="N900" i="3" s="1"/>
  <c r="K901" i="1"/>
  <c r="L900" i="1"/>
  <c r="N900" i="1" s="1"/>
  <c r="K910" i="5" l="1"/>
  <c r="M910" i="5" s="1"/>
  <c r="K902" i="3"/>
  <c r="L901" i="3"/>
  <c r="N901" i="3" s="1"/>
  <c r="K902" i="1"/>
  <c r="L901" i="1"/>
  <c r="N901" i="1" s="1"/>
  <c r="K911" i="5" l="1"/>
  <c r="M911" i="5" s="1"/>
  <c r="K903" i="3"/>
  <c r="L902" i="3"/>
  <c r="N902" i="3" s="1"/>
  <c r="L902" i="1"/>
  <c r="N902" i="1" s="1"/>
  <c r="K903" i="1"/>
  <c r="K912" i="5" l="1"/>
  <c r="M912" i="5" s="1"/>
  <c r="K904" i="3"/>
  <c r="L903" i="3"/>
  <c r="N903" i="3" s="1"/>
  <c r="L903" i="1"/>
  <c r="N903" i="1" s="1"/>
  <c r="K904" i="1"/>
  <c r="K913" i="5" l="1"/>
  <c r="M913" i="5" s="1"/>
  <c r="K905" i="3"/>
  <c r="L904" i="3"/>
  <c r="N904" i="3" s="1"/>
  <c r="L904" i="1"/>
  <c r="N904" i="1" s="1"/>
  <c r="K905" i="1"/>
  <c r="K914" i="5" l="1"/>
  <c r="M914" i="5" s="1"/>
  <c r="K906" i="3"/>
  <c r="L905" i="3"/>
  <c r="N905" i="3" s="1"/>
  <c r="K906" i="1"/>
  <c r="L905" i="1"/>
  <c r="N905" i="1" s="1"/>
  <c r="K915" i="5" l="1"/>
  <c r="M915" i="5" s="1"/>
  <c r="K907" i="3"/>
  <c r="L906" i="3"/>
  <c r="N906" i="3" s="1"/>
  <c r="L906" i="1"/>
  <c r="N906" i="1" s="1"/>
  <c r="K907" i="1"/>
  <c r="K916" i="5" l="1"/>
  <c r="M916" i="5" s="1"/>
  <c r="K908" i="3"/>
  <c r="L907" i="3"/>
  <c r="N907" i="3" s="1"/>
  <c r="L907" i="1"/>
  <c r="N907" i="1" s="1"/>
  <c r="K908" i="1"/>
  <c r="K917" i="5" l="1"/>
  <c r="M917" i="5" s="1"/>
  <c r="K909" i="3"/>
  <c r="L908" i="3"/>
  <c r="N908" i="3" s="1"/>
  <c r="L908" i="1"/>
  <c r="N908" i="1" s="1"/>
  <c r="K909" i="1"/>
  <c r="K918" i="5" l="1"/>
  <c r="M918" i="5" s="1"/>
  <c r="K910" i="3"/>
  <c r="L909" i="3"/>
  <c r="N909" i="3" s="1"/>
  <c r="K910" i="1"/>
  <c r="L909" i="1"/>
  <c r="N909" i="1" s="1"/>
  <c r="K919" i="5" l="1"/>
  <c r="M919" i="5" s="1"/>
  <c r="K911" i="3"/>
  <c r="L910" i="3"/>
  <c r="N910" i="3" s="1"/>
  <c r="L910" i="1"/>
  <c r="N910" i="1" s="1"/>
  <c r="K911" i="1"/>
  <c r="K920" i="5" l="1"/>
  <c r="M920" i="5" s="1"/>
  <c r="K912" i="3"/>
  <c r="L911" i="3"/>
  <c r="N911" i="3" s="1"/>
  <c r="K912" i="1"/>
  <c r="L911" i="1"/>
  <c r="N911" i="1" s="1"/>
  <c r="K921" i="5" l="1"/>
  <c r="M921" i="5" s="1"/>
  <c r="K913" i="3"/>
  <c r="L912" i="3"/>
  <c r="N912" i="3" s="1"/>
  <c r="L912" i="1"/>
  <c r="N912" i="1" s="1"/>
  <c r="K913" i="1"/>
  <c r="K922" i="5" l="1"/>
  <c r="M922" i="5" s="1"/>
  <c r="K914" i="3"/>
  <c r="L913" i="3"/>
  <c r="N913" i="3" s="1"/>
  <c r="K914" i="1"/>
  <c r="L913" i="1"/>
  <c r="N913" i="1" s="1"/>
  <c r="K923" i="5" l="1"/>
  <c r="M923" i="5" s="1"/>
  <c r="K915" i="3"/>
  <c r="L914" i="3"/>
  <c r="N914" i="3" s="1"/>
  <c r="K915" i="1"/>
  <c r="L914" i="1"/>
  <c r="N914" i="1" s="1"/>
  <c r="K924" i="5" l="1"/>
  <c r="M924" i="5" s="1"/>
  <c r="K916" i="3"/>
  <c r="L915" i="3"/>
  <c r="N915" i="3" s="1"/>
  <c r="K916" i="1"/>
  <c r="L915" i="1"/>
  <c r="N915" i="1" s="1"/>
  <c r="K925" i="5" l="1"/>
  <c r="M925" i="5" s="1"/>
  <c r="K917" i="3"/>
  <c r="L916" i="3"/>
  <c r="N916" i="3" s="1"/>
  <c r="K917" i="1"/>
  <c r="L916" i="1"/>
  <c r="N916" i="1" s="1"/>
  <c r="K926" i="5" l="1"/>
  <c r="M926" i="5" s="1"/>
  <c r="K918" i="3"/>
  <c r="L917" i="3"/>
  <c r="N917" i="3" s="1"/>
  <c r="K918" i="1"/>
  <c r="L917" i="1"/>
  <c r="N917" i="1" s="1"/>
  <c r="K927" i="5" l="1"/>
  <c r="M927" i="5" s="1"/>
  <c r="K919" i="3"/>
  <c r="L918" i="3"/>
  <c r="N918" i="3" s="1"/>
  <c r="L918" i="1"/>
  <c r="N918" i="1" s="1"/>
  <c r="K919" i="1"/>
  <c r="K928" i="5" l="1"/>
  <c r="M928" i="5" s="1"/>
  <c r="K920" i="3"/>
  <c r="L919" i="3"/>
  <c r="N919" i="3" s="1"/>
  <c r="L919" i="1"/>
  <c r="N919" i="1" s="1"/>
  <c r="K920" i="1"/>
  <c r="K929" i="5" l="1"/>
  <c r="M929" i="5" s="1"/>
  <c r="K921" i="3"/>
  <c r="L920" i="3"/>
  <c r="N920" i="3" s="1"/>
  <c r="L920" i="1"/>
  <c r="N920" i="1" s="1"/>
  <c r="K921" i="1"/>
  <c r="K930" i="5" l="1"/>
  <c r="M930" i="5" s="1"/>
  <c r="K922" i="3"/>
  <c r="L921" i="3"/>
  <c r="N921" i="3" s="1"/>
  <c r="K922" i="1"/>
  <c r="L921" i="1"/>
  <c r="N921" i="1" s="1"/>
  <c r="K931" i="5" l="1"/>
  <c r="M931" i="5" s="1"/>
  <c r="K923" i="3"/>
  <c r="L922" i="3"/>
  <c r="N922" i="3" s="1"/>
  <c r="L922" i="1"/>
  <c r="N922" i="1" s="1"/>
  <c r="K923" i="1"/>
  <c r="K932" i="5" l="1"/>
  <c r="M932" i="5" s="1"/>
  <c r="K924" i="3"/>
  <c r="L923" i="3"/>
  <c r="N923" i="3" s="1"/>
  <c r="L923" i="1"/>
  <c r="N923" i="1" s="1"/>
  <c r="K924" i="1"/>
  <c r="K933" i="5" l="1"/>
  <c r="M933" i="5" s="1"/>
  <c r="K925" i="3"/>
  <c r="L924" i="3"/>
  <c r="N924" i="3" s="1"/>
  <c r="L924" i="1"/>
  <c r="N924" i="1" s="1"/>
  <c r="K925" i="1"/>
  <c r="K934" i="5" l="1"/>
  <c r="M934" i="5" s="1"/>
  <c r="K926" i="3"/>
  <c r="L925" i="3"/>
  <c r="N925" i="3" s="1"/>
  <c r="K926" i="1"/>
  <c r="L925" i="1"/>
  <c r="N925" i="1" s="1"/>
  <c r="K935" i="5" l="1"/>
  <c r="M935" i="5" s="1"/>
  <c r="K927" i="3"/>
  <c r="L926" i="3"/>
  <c r="N926" i="3" s="1"/>
  <c r="K927" i="1"/>
  <c r="L926" i="1"/>
  <c r="N926" i="1" s="1"/>
  <c r="K936" i="5" l="1"/>
  <c r="M936" i="5" s="1"/>
  <c r="K928" i="3"/>
  <c r="L927" i="3"/>
  <c r="N927" i="3" s="1"/>
  <c r="L927" i="1"/>
  <c r="N927" i="1" s="1"/>
  <c r="K928" i="1"/>
  <c r="K937" i="5" l="1"/>
  <c r="M937" i="5" s="1"/>
  <c r="K929" i="3"/>
  <c r="L928" i="3"/>
  <c r="N928" i="3" s="1"/>
  <c r="K929" i="1"/>
  <c r="L928" i="1"/>
  <c r="N928" i="1" s="1"/>
  <c r="K938" i="5" l="1"/>
  <c r="M938" i="5" s="1"/>
  <c r="K930" i="3"/>
  <c r="L929" i="3"/>
  <c r="N929" i="3" s="1"/>
  <c r="K930" i="1"/>
  <c r="L929" i="1"/>
  <c r="N929" i="1" s="1"/>
  <c r="K939" i="5" l="1"/>
  <c r="M939" i="5" s="1"/>
  <c r="K931" i="3"/>
  <c r="L930" i="3"/>
  <c r="N930" i="3" s="1"/>
  <c r="K931" i="1"/>
  <c r="L930" i="1"/>
  <c r="N930" i="1" s="1"/>
  <c r="K940" i="5" l="1"/>
  <c r="M940" i="5" s="1"/>
  <c r="K932" i="3"/>
  <c r="L931" i="3"/>
  <c r="N931" i="3" s="1"/>
  <c r="K932" i="1"/>
  <c r="L931" i="1"/>
  <c r="N931" i="1" s="1"/>
  <c r="K941" i="5" l="1"/>
  <c r="M941" i="5" s="1"/>
  <c r="K933" i="3"/>
  <c r="L932" i="3"/>
  <c r="N932" i="3" s="1"/>
  <c r="K933" i="1"/>
  <c r="L932" i="1"/>
  <c r="N932" i="1" s="1"/>
  <c r="K942" i="5" l="1"/>
  <c r="M942" i="5" s="1"/>
  <c r="K934" i="3"/>
  <c r="L933" i="3"/>
  <c r="N933" i="3" s="1"/>
  <c r="K934" i="1"/>
  <c r="L933" i="1"/>
  <c r="N933" i="1" s="1"/>
  <c r="K943" i="5" l="1"/>
  <c r="M943" i="5" s="1"/>
  <c r="K935" i="3"/>
  <c r="L934" i="3"/>
  <c r="N934" i="3" s="1"/>
  <c r="L934" i="1"/>
  <c r="N934" i="1" s="1"/>
  <c r="K935" i="1"/>
  <c r="K944" i="5" l="1"/>
  <c r="M944" i="5" s="1"/>
  <c r="K936" i="3"/>
  <c r="L935" i="3"/>
  <c r="N935" i="3" s="1"/>
  <c r="L935" i="1"/>
  <c r="N935" i="1" s="1"/>
  <c r="K936" i="1"/>
  <c r="K945" i="5" l="1"/>
  <c r="M945" i="5" s="1"/>
  <c r="K937" i="3"/>
  <c r="L936" i="3"/>
  <c r="N936" i="3" s="1"/>
  <c r="L936" i="1"/>
  <c r="N936" i="1" s="1"/>
  <c r="K937" i="1"/>
  <c r="K946" i="5" l="1"/>
  <c r="M946" i="5" s="1"/>
  <c r="K938" i="3"/>
  <c r="L937" i="3"/>
  <c r="N937" i="3" s="1"/>
  <c r="K938" i="1"/>
  <c r="L937" i="1"/>
  <c r="N937" i="1" s="1"/>
  <c r="K947" i="5" l="1"/>
  <c r="M947" i="5" s="1"/>
  <c r="K939" i="3"/>
  <c r="L938" i="3"/>
  <c r="N938" i="3" s="1"/>
  <c r="L938" i="1"/>
  <c r="N938" i="1" s="1"/>
  <c r="K939" i="1"/>
  <c r="K948" i="5" l="1"/>
  <c r="M948" i="5" s="1"/>
  <c r="K940" i="3"/>
  <c r="L939" i="3"/>
  <c r="N939" i="3" s="1"/>
  <c r="L939" i="1"/>
  <c r="N939" i="1" s="1"/>
  <c r="K940" i="1"/>
  <c r="K949" i="5" l="1"/>
  <c r="M949" i="5" s="1"/>
  <c r="K941" i="3"/>
  <c r="L940" i="3"/>
  <c r="N940" i="3" s="1"/>
  <c r="L940" i="1"/>
  <c r="N940" i="1" s="1"/>
  <c r="K941" i="1"/>
  <c r="K950" i="5" l="1"/>
  <c r="M950" i="5" s="1"/>
  <c r="K942" i="3"/>
  <c r="L941" i="3"/>
  <c r="N941" i="3" s="1"/>
  <c r="K942" i="1"/>
  <c r="L941" i="1"/>
  <c r="N941" i="1" s="1"/>
  <c r="K951" i="5" l="1"/>
  <c r="M951" i="5" s="1"/>
  <c r="K943" i="3"/>
  <c r="L942" i="3"/>
  <c r="N942" i="3" s="1"/>
  <c r="L942" i="1"/>
  <c r="N942" i="1" s="1"/>
  <c r="K943" i="1"/>
  <c r="K952" i="5" l="1"/>
  <c r="M952" i="5" s="1"/>
  <c r="K944" i="3"/>
  <c r="L943" i="3"/>
  <c r="N943" i="3" s="1"/>
  <c r="K944" i="1"/>
  <c r="L943" i="1"/>
  <c r="N943" i="1" s="1"/>
  <c r="K953" i="5" l="1"/>
  <c r="M953" i="5" s="1"/>
  <c r="K945" i="3"/>
  <c r="L944" i="3"/>
  <c r="N944" i="3" s="1"/>
  <c r="K945" i="1"/>
  <c r="L944" i="1"/>
  <c r="N944" i="1" s="1"/>
  <c r="K954" i="5" l="1"/>
  <c r="M954" i="5" s="1"/>
  <c r="K946" i="3"/>
  <c r="L945" i="3"/>
  <c r="N945" i="3" s="1"/>
  <c r="L945" i="1"/>
  <c r="N945" i="1" s="1"/>
  <c r="K946" i="1"/>
  <c r="K955" i="5" l="1"/>
  <c r="M955" i="5" s="1"/>
  <c r="K947" i="3"/>
  <c r="L946" i="3"/>
  <c r="N946" i="3" s="1"/>
  <c r="K947" i="1"/>
  <c r="L946" i="1"/>
  <c r="N946" i="1" s="1"/>
  <c r="K956" i="5" l="1"/>
  <c r="M956" i="5" s="1"/>
  <c r="K948" i="3"/>
  <c r="L947" i="3"/>
  <c r="N947" i="3" s="1"/>
  <c r="K948" i="1"/>
  <c r="L947" i="1"/>
  <c r="N947" i="1" s="1"/>
  <c r="K957" i="5" l="1"/>
  <c r="M957" i="5" s="1"/>
  <c r="K949" i="3"/>
  <c r="L948" i="3"/>
  <c r="N948" i="3" s="1"/>
  <c r="K949" i="1"/>
  <c r="L948" i="1"/>
  <c r="N948" i="1" s="1"/>
  <c r="K958" i="5" l="1"/>
  <c r="M958" i="5" s="1"/>
  <c r="K950" i="3"/>
  <c r="L949" i="3"/>
  <c r="N949" i="3" s="1"/>
  <c r="K950" i="1"/>
  <c r="L949" i="1"/>
  <c r="N949" i="1" s="1"/>
  <c r="K959" i="5" l="1"/>
  <c r="M959" i="5" s="1"/>
  <c r="K951" i="3"/>
  <c r="L950" i="3"/>
  <c r="N950" i="3" s="1"/>
  <c r="K951" i="1"/>
  <c r="L950" i="1"/>
  <c r="N950" i="1" s="1"/>
  <c r="K960" i="5" l="1"/>
  <c r="M960" i="5" s="1"/>
  <c r="K952" i="3"/>
  <c r="L951" i="3"/>
  <c r="N951" i="3" s="1"/>
  <c r="L951" i="1"/>
  <c r="N951" i="1" s="1"/>
  <c r="K952" i="1"/>
  <c r="K961" i="5" l="1"/>
  <c r="M961" i="5" s="1"/>
  <c r="K953" i="3"/>
  <c r="L952" i="3"/>
  <c r="N952" i="3" s="1"/>
  <c r="L952" i="1"/>
  <c r="N952" i="1" s="1"/>
  <c r="K953" i="1"/>
  <c r="K962" i="5" l="1"/>
  <c r="M962" i="5" s="1"/>
  <c r="K954" i="3"/>
  <c r="L953" i="3"/>
  <c r="N953" i="3" s="1"/>
  <c r="L953" i="1"/>
  <c r="N953" i="1" s="1"/>
  <c r="K954" i="1"/>
  <c r="K963" i="5" l="1"/>
  <c r="M963" i="5" s="1"/>
  <c r="K955" i="3"/>
  <c r="L954" i="3"/>
  <c r="N954" i="3" s="1"/>
  <c r="K955" i="1"/>
  <c r="L954" i="1"/>
  <c r="N954" i="1" s="1"/>
  <c r="K964" i="5" l="1"/>
  <c r="M964" i="5" s="1"/>
  <c r="K956" i="3"/>
  <c r="L955" i="3"/>
  <c r="N955" i="3" s="1"/>
  <c r="L955" i="1"/>
  <c r="N955" i="1" s="1"/>
  <c r="K956" i="1"/>
  <c r="K965" i="5" l="1"/>
  <c r="M965" i="5" s="1"/>
  <c r="K957" i="3"/>
  <c r="L956" i="3"/>
  <c r="N956" i="3" s="1"/>
  <c r="L956" i="1"/>
  <c r="N956" i="1" s="1"/>
  <c r="K957" i="1"/>
  <c r="K966" i="5" l="1"/>
  <c r="M966" i="5" s="1"/>
  <c r="K958" i="3"/>
  <c r="L957" i="3"/>
  <c r="N957" i="3" s="1"/>
  <c r="K958" i="1"/>
  <c r="L957" i="1"/>
  <c r="N957" i="1" s="1"/>
  <c r="K967" i="5" l="1"/>
  <c r="M967" i="5" s="1"/>
  <c r="K959" i="3"/>
  <c r="L958" i="3"/>
  <c r="N958" i="3" s="1"/>
  <c r="K959" i="1"/>
  <c r="L958" i="1"/>
  <c r="N958" i="1" s="1"/>
  <c r="K968" i="5" l="1"/>
  <c r="M968" i="5" s="1"/>
  <c r="K960" i="3"/>
  <c r="L959" i="3"/>
  <c r="N959" i="3" s="1"/>
  <c r="L959" i="1"/>
  <c r="N959" i="1" s="1"/>
  <c r="K960" i="1"/>
  <c r="K969" i="5" l="1"/>
  <c r="M969" i="5" s="1"/>
  <c r="K961" i="3"/>
  <c r="L960" i="3"/>
  <c r="N960" i="3" s="1"/>
  <c r="K961" i="1"/>
  <c r="L960" i="1"/>
  <c r="N960" i="1" s="1"/>
  <c r="K970" i="5" l="1"/>
  <c r="M970" i="5" s="1"/>
  <c r="K962" i="3"/>
  <c r="L961" i="3"/>
  <c r="N961" i="3" s="1"/>
  <c r="K962" i="1"/>
  <c r="L961" i="1"/>
  <c r="N961" i="1" s="1"/>
  <c r="K971" i="5" l="1"/>
  <c r="M971" i="5" s="1"/>
  <c r="K963" i="3"/>
  <c r="L962" i="3"/>
  <c r="N962" i="3" s="1"/>
  <c r="K963" i="1"/>
  <c r="L962" i="1"/>
  <c r="N962" i="1" s="1"/>
  <c r="K972" i="5" l="1"/>
  <c r="M972" i="5" s="1"/>
  <c r="K964" i="3"/>
  <c r="L963" i="3"/>
  <c r="N963" i="3" s="1"/>
  <c r="K964" i="1"/>
  <c r="L963" i="1"/>
  <c r="N963" i="1" s="1"/>
  <c r="K973" i="5" l="1"/>
  <c r="M973" i="5" s="1"/>
  <c r="K965" i="3"/>
  <c r="L964" i="3"/>
  <c r="N964" i="3" s="1"/>
  <c r="K965" i="1"/>
  <c r="L964" i="1"/>
  <c r="N964" i="1" s="1"/>
  <c r="K974" i="5" l="1"/>
  <c r="M974" i="5" s="1"/>
  <c r="K966" i="3"/>
  <c r="L965" i="3"/>
  <c r="N965" i="3" s="1"/>
  <c r="K966" i="1"/>
  <c r="L965" i="1"/>
  <c r="N965" i="1" s="1"/>
  <c r="K975" i="5" l="1"/>
  <c r="M975" i="5" s="1"/>
  <c r="K967" i="3"/>
  <c r="L966" i="3"/>
  <c r="N966" i="3" s="1"/>
  <c r="K967" i="1"/>
  <c r="L966" i="1"/>
  <c r="N966" i="1" s="1"/>
  <c r="K976" i="5" l="1"/>
  <c r="M976" i="5" s="1"/>
  <c r="K968" i="3"/>
  <c r="L967" i="3"/>
  <c r="N967" i="3" s="1"/>
  <c r="L967" i="1"/>
  <c r="N967" i="1" s="1"/>
  <c r="K968" i="1"/>
  <c r="K977" i="5" l="1"/>
  <c r="M977" i="5" s="1"/>
  <c r="K969" i="3"/>
  <c r="L968" i="3"/>
  <c r="N968" i="3" s="1"/>
  <c r="L968" i="1"/>
  <c r="N968" i="1" s="1"/>
  <c r="K969" i="1"/>
  <c r="K978" i="5" l="1"/>
  <c r="M978" i="5" s="1"/>
  <c r="K970" i="3"/>
  <c r="L969" i="3"/>
  <c r="N969" i="3" s="1"/>
  <c r="L969" i="1"/>
  <c r="N969" i="1" s="1"/>
  <c r="K970" i="1"/>
  <c r="K979" i="5" l="1"/>
  <c r="M979" i="5" s="1"/>
  <c r="K971" i="3"/>
  <c r="L970" i="3"/>
  <c r="N970" i="3" s="1"/>
  <c r="K971" i="1"/>
  <c r="L970" i="1"/>
  <c r="N970" i="1" s="1"/>
  <c r="K980" i="5" l="1"/>
  <c r="M980" i="5" s="1"/>
  <c r="K972" i="3"/>
  <c r="L971" i="3"/>
  <c r="N971" i="3" s="1"/>
  <c r="K972" i="1"/>
  <c r="L971" i="1"/>
  <c r="N971" i="1" s="1"/>
  <c r="K981" i="5" l="1"/>
  <c r="M981" i="5" s="1"/>
  <c r="K973" i="3"/>
  <c r="L972" i="3"/>
  <c r="N972" i="3" s="1"/>
  <c r="L972" i="1"/>
  <c r="N972" i="1" s="1"/>
  <c r="K973" i="1"/>
  <c r="K982" i="5" l="1"/>
  <c r="M982" i="5" s="1"/>
  <c r="K974" i="3"/>
  <c r="L973" i="3"/>
  <c r="N973" i="3" s="1"/>
  <c r="L973" i="1"/>
  <c r="N973" i="1" s="1"/>
  <c r="K974" i="1"/>
  <c r="K983" i="5" l="1"/>
  <c r="M983" i="5" s="1"/>
  <c r="K975" i="3"/>
  <c r="L974" i="3"/>
  <c r="N974" i="3" s="1"/>
  <c r="K975" i="1"/>
  <c r="L974" i="1"/>
  <c r="N974" i="1" s="1"/>
  <c r="K984" i="5" l="1"/>
  <c r="M984" i="5" s="1"/>
  <c r="K976" i="3"/>
  <c r="L975" i="3"/>
  <c r="N975" i="3" s="1"/>
  <c r="L975" i="1"/>
  <c r="N975" i="1" s="1"/>
  <c r="K976" i="1"/>
  <c r="K985" i="5" l="1"/>
  <c r="M985" i="5" s="1"/>
  <c r="K977" i="3"/>
  <c r="L976" i="3"/>
  <c r="N976" i="3" s="1"/>
  <c r="L976" i="1"/>
  <c r="N976" i="1" s="1"/>
  <c r="K977" i="1"/>
  <c r="K986" i="5" l="1"/>
  <c r="M986" i="5" s="1"/>
  <c r="K978" i="3"/>
  <c r="L977" i="3"/>
  <c r="N977" i="3" s="1"/>
  <c r="K978" i="1"/>
  <c r="L977" i="1"/>
  <c r="N977" i="1" s="1"/>
  <c r="K987" i="5" l="1"/>
  <c r="M987" i="5" s="1"/>
  <c r="K979" i="3"/>
  <c r="L978" i="3"/>
  <c r="N978" i="3" s="1"/>
  <c r="K979" i="1"/>
  <c r="L978" i="1"/>
  <c r="N978" i="1" s="1"/>
  <c r="K988" i="5" l="1"/>
  <c r="M988" i="5" s="1"/>
  <c r="K980" i="3"/>
  <c r="L979" i="3"/>
  <c r="N979" i="3" s="1"/>
  <c r="K980" i="1"/>
  <c r="L979" i="1"/>
  <c r="N979" i="1" s="1"/>
  <c r="K989" i="5" l="1"/>
  <c r="M989" i="5" s="1"/>
  <c r="K981" i="3"/>
  <c r="L980" i="3"/>
  <c r="N980" i="3" s="1"/>
  <c r="K981" i="1"/>
  <c r="L980" i="1"/>
  <c r="N980" i="1" s="1"/>
  <c r="K990" i="5" l="1"/>
  <c r="M990" i="5" s="1"/>
  <c r="K982" i="3"/>
  <c r="L981" i="3"/>
  <c r="N981" i="3" s="1"/>
  <c r="K982" i="1"/>
  <c r="L981" i="1"/>
  <c r="N981" i="1" s="1"/>
  <c r="K991" i="5" l="1"/>
  <c r="M991" i="5" s="1"/>
  <c r="K983" i="3"/>
  <c r="L982" i="3"/>
  <c r="N982" i="3" s="1"/>
  <c r="K983" i="1"/>
  <c r="L982" i="1"/>
  <c r="N982" i="1" s="1"/>
  <c r="K992" i="5" l="1"/>
  <c r="M992" i="5" s="1"/>
  <c r="K984" i="3"/>
  <c r="L983" i="3"/>
  <c r="N983" i="3" s="1"/>
  <c r="L983" i="1"/>
  <c r="N983" i="1" s="1"/>
  <c r="K984" i="1"/>
  <c r="K993" i="5" l="1"/>
  <c r="M993" i="5" s="1"/>
  <c r="K985" i="3"/>
  <c r="L984" i="3"/>
  <c r="N984" i="3" s="1"/>
  <c r="L984" i="1"/>
  <c r="N984" i="1" s="1"/>
  <c r="K985" i="1"/>
  <c r="K994" i="5" l="1"/>
  <c r="M994" i="5" s="1"/>
  <c r="K986" i="3"/>
  <c r="L985" i="3"/>
  <c r="N985" i="3" s="1"/>
  <c r="L985" i="1"/>
  <c r="N985" i="1" s="1"/>
  <c r="K986" i="1"/>
  <c r="K995" i="5" l="1"/>
  <c r="M995" i="5" s="1"/>
  <c r="K987" i="3"/>
  <c r="L986" i="3"/>
  <c r="N986" i="3" s="1"/>
  <c r="K987" i="1"/>
  <c r="L986" i="1"/>
  <c r="N986" i="1" s="1"/>
  <c r="K996" i="5" l="1"/>
  <c r="M996" i="5" s="1"/>
  <c r="K988" i="3"/>
  <c r="L987" i="3"/>
  <c r="N987" i="3" s="1"/>
  <c r="K988" i="1"/>
  <c r="L987" i="1"/>
  <c r="N987" i="1" s="1"/>
  <c r="K997" i="5" l="1"/>
  <c r="M997" i="5" s="1"/>
  <c r="K989" i="3"/>
  <c r="L988" i="3"/>
  <c r="N988" i="3" s="1"/>
  <c r="K989" i="1"/>
  <c r="L988" i="1"/>
  <c r="N988" i="1" s="1"/>
  <c r="K998" i="5" l="1"/>
  <c r="M998" i="5" s="1"/>
  <c r="K990" i="3"/>
  <c r="L989" i="3"/>
  <c r="N989" i="3" s="1"/>
  <c r="L989" i="1"/>
  <c r="N989" i="1" s="1"/>
  <c r="K990" i="1"/>
  <c r="K999" i="5" l="1"/>
  <c r="M999" i="5" s="1"/>
  <c r="K991" i="3"/>
  <c r="L990" i="3"/>
  <c r="N990" i="3" s="1"/>
  <c r="K991" i="1"/>
  <c r="L990" i="1"/>
  <c r="N990" i="1" s="1"/>
  <c r="K1000" i="5" l="1"/>
  <c r="M1000" i="5" s="1"/>
  <c r="K992" i="3"/>
  <c r="L991" i="3"/>
  <c r="N991" i="3" s="1"/>
  <c r="K992" i="1"/>
  <c r="L991" i="1"/>
  <c r="N991" i="1" s="1"/>
  <c r="K1001" i="5" l="1"/>
  <c r="M1001" i="5" s="1"/>
  <c r="K993" i="3"/>
  <c r="L992" i="3"/>
  <c r="N992" i="3" s="1"/>
  <c r="L992" i="1"/>
  <c r="N992" i="1" s="1"/>
  <c r="K993" i="1"/>
  <c r="K1002" i="5" l="1"/>
  <c r="M1002" i="5" s="1"/>
  <c r="K994" i="3"/>
  <c r="L993" i="3"/>
  <c r="N993" i="3" s="1"/>
  <c r="L993" i="1"/>
  <c r="N993" i="1" s="1"/>
  <c r="K994" i="1"/>
  <c r="K1003" i="5" l="1"/>
  <c r="M1003" i="5" s="1"/>
  <c r="K995" i="3"/>
  <c r="L994" i="3"/>
  <c r="N994" i="3" s="1"/>
  <c r="K995" i="1"/>
  <c r="L994" i="1"/>
  <c r="N994" i="1" s="1"/>
  <c r="K1004" i="5" l="1"/>
  <c r="M1004" i="5" s="1"/>
  <c r="K996" i="3"/>
  <c r="L995" i="3"/>
  <c r="N995" i="3" s="1"/>
  <c r="K996" i="1"/>
  <c r="L995" i="1"/>
  <c r="N995" i="1" s="1"/>
  <c r="K1005" i="5" l="1"/>
  <c r="M1005" i="5" s="1"/>
  <c r="K997" i="3"/>
  <c r="L996" i="3"/>
  <c r="N996" i="3" s="1"/>
  <c r="K997" i="1"/>
  <c r="L996" i="1"/>
  <c r="N996" i="1" s="1"/>
  <c r="K1006" i="5" l="1"/>
  <c r="M1006" i="5" s="1"/>
  <c r="K998" i="3"/>
  <c r="L997" i="3"/>
  <c r="N997" i="3" s="1"/>
  <c r="K998" i="1"/>
  <c r="L997" i="1"/>
  <c r="N997" i="1" s="1"/>
  <c r="K1007" i="5" l="1"/>
  <c r="M1007" i="5" s="1"/>
  <c r="K999" i="3"/>
  <c r="L998" i="3"/>
  <c r="N998" i="3" s="1"/>
  <c r="K999" i="1"/>
  <c r="L998" i="1"/>
  <c r="N998" i="1" s="1"/>
  <c r="K1008" i="5" l="1"/>
  <c r="M1008" i="5" s="1"/>
  <c r="K1000" i="3"/>
  <c r="L999" i="3"/>
  <c r="N999" i="3" s="1"/>
  <c r="L999" i="1"/>
  <c r="N999" i="1" s="1"/>
  <c r="K1000" i="1"/>
  <c r="K1009" i="5" l="1"/>
  <c r="M1009" i="5" s="1"/>
  <c r="K1001" i="3"/>
  <c r="L1000" i="3"/>
  <c r="N1000" i="3" s="1"/>
  <c r="L1000" i="1"/>
  <c r="N1000" i="1" s="1"/>
  <c r="K1001" i="1"/>
  <c r="K1010" i="5" l="1"/>
  <c r="M1010" i="5" s="1"/>
  <c r="K1002" i="3"/>
  <c r="L1001" i="3"/>
  <c r="N1001" i="3" s="1"/>
  <c r="L1001" i="1"/>
  <c r="N1001" i="1" s="1"/>
  <c r="K1002" i="1"/>
  <c r="K1011" i="5" l="1"/>
  <c r="M1011" i="5" s="1"/>
  <c r="K1003" i="3"/>
  <c r="L1002" i="3"/>
  <c r="N1002" i="3" s="1"/>
  <c r="K1003" i="1"/>
  <c r="L1002" i="1"/>
  <c r="N1002" i="1" s="1"/>
  <c r="K1012" i="5" l="1"/>
  <c r="M1012" i="5" s="1"/>
  <c r="K1004" i="3"/>
  <c r="L1003" i="3"/>
  <c r="N1003" i="3" s="1"/>
  <c r="L1003" i="1"/>
  <c r="N1003" i="1" s="1"/>
  <c r="K1004" i="1"/>
  <c r="K1013" i="5" l="1"/>
  <c r="M1013" i="5" s="1"/>
  <c r="K1005" i="3"/>
  <c r="L1004" i="3"/>
  <c r="N1004" i="3" s="1"/>
  <c r="K1005" i="1"/>
  <c r="L1004" i="1"/>
  <c r="N1004" i="1" s="1"/>
  <c r="K1014" i="5" l="1"/>
  <c r="M1014" i="5" s="1"/>
  <c r="K1006" i="3"/>
  <c r="L1005" i="3"/>
  <c r="N1005" i="3" s="1"/>
  <c r="K1006" i="1"/>
  <c r="L1005" i="1"/>
  <c r="N1005" i="1" s="1"/>
  <c r="K1015" i="5" l="1"/>
  <c r="M1015" i="5" s="1"/>
  <c r="K1007" i="3"/>
  <c r="L1006" i="3"/>
  <c r="N1006" i="3" s="1"/>
  <c r="K1007" i="1"/>
  <c r="L1006" i="1"/>
  <c r="N1006" i="1" s="1"/>
  <c r="K1016" i="5" l="1"/>
  <c r="M1016" i="5" s="1"/>
  <c r="K1008" i="3"/>
  <c r="L1007" i="3"/>
  <c r="N1007" i="3" s="1"/>
  <c r="K1008" i="1"/>
  <c r="L1007" i="1"/>
  <c r="N1007" i="1" s="1"/>
  <c r="K1017" i="5" l="1"/>
  <c r="M1017" i="5" s="1"/>
  <c r="K1009" i="3"/>
  <c r="L1008" i="3"/>
  <c r="N1008" i="3" s="1"/>
  <c r="K1009" i="1"/>
  <c r="L1008" i="1"/>
  <c r="N1008" i="1" s="1"/>
  <c r="K1018" i="5" l="1"/>
  <c r="M1018" i="5" s="1"/>
  <c r="K1010" i="3"/>
  <c r="L1009" i="3"/>
  <c r="N1009" i="3" s="1"/>
  <c r="L1009" i="1"/>
  <c r="N1009" i="1" s="1"/>
  <c r="K1010" i="1"/>
  <c r="K1019" i="5" l="1"/>
  <c r="M1019" i="5" s="1"/>
  <c r="K1011" i="3"/>
  <c r="L1010" i="3"/>
  <c r="N1010" i="3" s="1"/>
  <c r="K1011" i="1"/>
  <c r="L1010" i="1"/>
  <c r="N1010" i="1" s="1"/>
  <c r="K1020" i="5" l="1"/>
  <c r="M1020" i="5" s="1"/>
  <c r="K1012" i="3"/>
  <c r="L1011" i="3"/>
  <c r="N1011" i="3" s="1"/>
  <c r="K1012" i="1"/>
  <c r="L1011" i="1"/>
  <c r="N1011" i="1" s="1"/>
  <c r="K1021" i="5" l="1"/>
  <c r="M1021" i="5" s="1"/>
  <c r="K1013" i="3"/>
  <c r="L1012" i="3"/>
  <c r="N1012" i="3" s="1"/>
  <c r="K1013" i="1"/>
  <c r="L1012" i="1"/>
  <c r="N1012" i="1" s="1"/>
  <c r="K1022" i="5" l="1"/>
  <c r="M1022" i="5" s="1"/>
  <c r="K1014" i="3"/>
  <c r="L1013" i="3"/>
  <c r="N1013" i="3" s="1"/>
  <c r="K1014" i="1"/>
  <c r="L1013" i="1"/>
  <c r="N1013" i="1" s="1"/>
  <c r="K1023" i="5" l="1"/>
  <c r="M1023" i="5" s="1"/>
  <c r="K1015" i="3"/>
  <c r="L1014" i="3"/>
  <c r="N1014" i="3" s="1"/>
  <c r="K1015" i="1"/>
  <c r="L1014" i="1"/>
  <c r="N1014" i="1" s="1"/>
  <c r="K1024" i="5" l="1"/>
  <c r="M1024" i="5" s="1"/>
  <c r="K1016" i="3"/>
  <c r="L1015" i="3"/>
  <c r="N1015" i="3" s="1"/>
  <c r="L1015" i="1"/>
  <c r="N1015" i="1" s="1"/>
  <c r="K1016" i="1"/>
  <c r="K1025" i="5" l="1"/>
  <c r="M1025" i="5" s="1"/>
  <c r="K1017" i="3"/>
  <c r="L1016" i="3"/>
  <c r="N1016" i="3" s="1"/>
  <c r="L1016" i="1"/>
  <c r="N1016" i="1" s="1"/>
  <c r="K1017" i="1"/>
  <c r="K1026" i="5" l="1"/>
  <c r="M1026" i="5" s="1"/>
  <c r="K1018" i="3"/>
  <c r="L1017" i="3"/>
  <c r="N1017" i="3" s="1"/>
  <c r="L1017" i="1"/>
  <c r="N1017" i="1" s="1"/>
  <c r="K1018" i="1"/>
  <c r="K1027" i="5" l="1"/>
  <c r="M1027" i="5" s="1"/>
  <c r="K1019" i="3"/>
  <c r="L1018" i="3"/>
  <c r="N1018" i="3" s="1"/>
  <c r="K1019" i="1"/>
  <c r="L1018" i="1"/>
  <c r="N1018" i="1" s="1"/>
  <c r="K1028" i="5" l="1"/>
  <c r="M1028" i="5" s="1"/>
  <c r="K1020" i="3"/>
  <c r="L1019" i="3"/>
  <c r="N1019" i="3" s="1"/>
  <c r="L1019" i="1"/>
  <c r="N1019" i="1" s="1"/>
  <c r="K1020" i="1"/>
  <c r="K1029" i="5" l="1"/>
  <c r="M1029" i="5" s="1"/>
  <c r="K1021" i="3"/>
  <c r="L1020" i="3"/>
  <c r="N1020" i="3" s="1"/>
  <c r="L1020" i="1"/>
  <c r="N1020" i="1" s="1"/>
  <c r="K1021" i="1"/>
  <c r="K1030" i="5" l="1"/>
  <c r="M1030" i="5" s="1"/>
  <c r="K1022" i="3"/>
  <c r="L1021" i="3"/>
  <c r="N1021" i="3" s="1"/>
  <c r="K1022" i="1"/>
  <c r="L1021" i="1"/>
  <c r="N1021" i="1" s="1"/>
  <c r="K1031" i="5" l="1"/>
  <c r="M1031" i="5" s="1"/>
  <c r="K1023" i="3"/>
  <c r="L1022" i="3"/>
  <c r="N1022" i="3" s="1"/>
  <c r="K1023" i="1"/>
  <c r="L1022" i="1"/>
  <c r="N1022" i="1" s="1"/>
  <c r="K1032" i="5" l="1"/>
  <c r="M1032" i="5" s="1"/>
  <c r="K1024" i="3"/>
  <c r="L1023" i="3"/>
  <c r="N1023" i="3" s="1"/>
  <c r="L1023" i="1"/>
  <c r="N1023" i="1" s="1"/>
  <c r="K1024" i="1"/>
  <c r="K1033" i="5" l="1"/>
  <c r="M1033" i="5" s="1"/>
  <c r="K1025" i="3"/>
  <c r="L1024" i="3"/>
  <c r="N1024" i="3" s="1"/>
  <c r="K1025" i="1"/>
  <c r="L1024" i="1"/>
  <c r="N1024" i="1" s="1"/>
  <c r="K1034" i="5" l="1"/>
  <c r="M1034" i="5" s="1"/>
  <c r="K1026" i="3"/>
  <c r="L1025" i="3"/>
  <c r="N1025" i="3" s="1"/>
  <c r="K1026" i="1"/>
  <c r="L1025" i="1"/>
  <c r="N1025" i="1" s="1"/>
  <c r="K1035" i="5" l="1"/>
  <c r="M1035" i="5" s="1"/>
  <c r="K1027" i="3"/>
  <c r="L1026" i="3"/>
  <c r="N1026" i="3" s="1"/>
  <c r="K1027" i="1"/>
  <c r="L1026" i="1"/>
  <c r="N1026" i="1" s="1"/>
  <c r="K1036" i="5" l="1"/>
  <c r="M1036" i="5" s="1"/>
  <c r="K1028" i="3"/>
  <c r="L1027" i="3"/>
  <c r="N1027" i="3" s="1"/>
  <c r="K1028" i="1"/>
  <c r="L1027" i="1"/>
  <c r="N1027" i="1" s="1"/>
  <c r="K1037" i="5" l="1"/>
  <c r="M1037" i="5" s="1"/>
  <c r="K1029" i="3"/>
  <c r="L1028" i="3"/>
  <c r="N1028" i="3" s="1"/>
  <c r="K1029" i="1"/>
  <c r="L1028" i="1"/>
  <c r="N1028" i="1" s="1"/>
  <c r="K1038" i="5" l="1"/>
  <c r="M1038" i="5" s="1"/>
  <c r="K1030" i="3"/>
  <c r="L1029" i="3"/>
  <c r="N1029" i="3" s="1"/>
  <c r="K1030" i="1"/>
  <c r="L1029" i="1"/>
  <c r="N1029" i="1" s="1"/>
  <c r="K1039" i="5" l="1"/>
  <c r="M1039" i="5" s="1"/>
  <c r="K1031" i="3"/>
  <c r="L1030" i="3"/>
  <c r="N1030" i="3" s="1"/>
  <c r="K1031" i="1"/>
  <c r="L1030" i="1"/>
  <c r="N1030" i="1" s="1"/>
  <c r="K1040" i="5" l="1"/>
  <c r="M1040" i="5" s="1"/>
  <c r="K1032" i="3"/>
  <c r="L1031" i="3"/>
  <c r="N1031" i="3" s="1"/>
  <c r="L1031" i="1"/>
  <c r="N1031" i="1" s="1"/>
  <c r="K1032" i="1"/>
  <c r="K1041" i="5" l="1"/>
  <c r="M1041" i="5" s="1"/>
  <c r="K1033" i="3"/>
  <c r="L1032" i="3"/>
  <c r="N1032" i="3" s="1"/>
  <c r="L1032" i="1"/>
  <c r="N1032" i="1" s="1"/>
  <c r="K1033" i="1"/>
  <c r="K1042" i="5" l="1"/>
  <c r="M1042" i="5" s="1"/>
  <c r="K1034" i="3"/>
  <c r="L1033" i="3"/>
  <c r="N1033" i="3" s="1"/>
  <c r="L1033" i="1"/>
  <c r="N1033" i="1" s="1"/>
  <c r="K1034" i="1"/>
  <c r="K1043" i="5" l="1"/>
  <c r="M1043" i="5" s="1"/>
  <c r="K1035" i="3"/>
  <c r="L1034" i="3"/>
  <c r="N1034" i="3" s="1"/>
  <c r="K1035" i="1"/>
  <c r="L1034" i="1"/>
  <c r="N1034" i="1" s="1"/>
  <c r="K1044" i="5" l="1"/>
  <c r="M1044" i="5" s="1"/>
  <c r="K1036" i="3"/>
  <c r="L1035" i="3"/>
  <c r="N1035" i="3" s="1"/>
  <c r="K1036" i="1"/>
  <c r="L1035" i="1"/>
  <c r="N1035" i="1" s="1"/>
  <c r="K1045" i="5" l="1"/>
  <c r="M1045" i="5" s="1"/>
  <c r="K1037" i="3"/>
  <c r="L1036" i="3"/>
  <c r="N1036" i="3" s="1"/>
  <c r="L1036" i="1"/>
  <c r="N1036" i="1" s="1"/>
  <c r="K1037" i="1"/>
  <c r="K1046" i="5" l="1"/>
  <c r="M1046" i="5" s="1"/>
  <c r="K1038" i="3"/>
  <c r="L1037" i="3"/>
  <c r="N1037" i="3" s="1"/>
  <c r="L1037" i="1"/>
  <c r="N1037" i="1" s="1"/>
  <c r="K1038" i="1"/>
  <c r="K1047" i="5" l="1"/>
  <c r="M1047" i="5" s="1"/>
  <c r="K1039" i="3"/>
  <c r="L1038" i="3"/>
  <c r="N1038" i="3" s="1"/>
  <c r="K1039" i="1"/>
  <c r="L1038" i="1"/>
  <c r="N1038" i="1" s="1"/>
  <c r="K1048" i="5" l="1"/>
  <c r="M1048" i="5" s="1"/>
  <c r="K1040" i="3"/>
  <c r="L1039" i="3"/>
  <c r="N1039" i="3" s="1"/>
  <c r="L1039" i="1"/>
  <c r="N1039" i="1" s="1"/>
  <c r="K1040" i="1"/>
  <c r="K1049" i="5" l="1"/>
  <c r="M1049" i="5" s="1"/>
  <c r="K1041" i="3"/>
  <c r="L1040" i="3"/>
  <c r="N1040" i="3" s="1"/>
  <c r="L1040" i="1"/>
  <c r="N1040" i="1" s="1"/>
  <c r="K1041" i="1"/>
  <c r="K1050" i="5" l="1"/>
  <c r="M1050" i="5" s="1"/>
  <c r="K1042" i="3"/>
  <c r="L1041" i="3"/>
  <c r="N1041" i="3" s="1"/>
  <c r="K1042" i="1"/>
  <c r="L1041" i="1"/>
  <c r="N1041" i="1" s="1"/>
  <c r="K1051" i="5" l="1"/>
  <c r="M1051" i="5" s="1"/>
  <c r="K1043" i="3"/>
  <c r="L1042" i="3"/>
  <c r="N1042" i="3" s="1"/>
  <c r="K1043" i="1"/>
  <c r="L1042" i="1"/>
  <c r="N1042" i="1" s="1"/>
  <c r="K1052" i="5" l="1"/>
  <c r="M1052" i="5" s="1"/>
  <c r="K1044" i="3"/>
  <c r="L1043" i="3"/>
  <c r="N1043" i="3" s="1"/>
  <c r="K1044" i="1"/>
  <c r="L1043" i="1"/>
  <c r="N1043" i="1" s="1"/>
  <c r="K1053" i="5" l="1"/>
  <c r="M1053" i="5" s="1"/>
  <c r="K1045" i="3"/>
  <c r="L1044" i="3"/>
  <c r="N1044" i="3" s="1"/>
  <c r="K1045" i="1"/>
  <c r="L1044" i="1"/>
  <c r="N1044" i="1" s="1"/>
  <c r="K1054" i="5" l="1"/>
  <c r="M1054" i="5" s="1"/>
  <c r="K1046" i="3"/>
  <c r="L1045" i="3"/>
  <c r="N1045" i="3" s="1"/>
  <c r="K1046" i="1"/>
  <c r="L1045" i="1"/>
  <c r="N1045" i="1" s="1"/>
  <c r="K1055" i="5" l="1"/>
  <c r="M1055" i="5" s="1"/>
  <c r="K1047" i="3"/>
  <c r="L1046" i="3"/>
  <c r="N1046" i="3" s="1"/>
  <c r="K1047" i="1"/>
  <c r="L1046" i="1"/>
  <c r="N1046" i="1" s="1"/>
  <c r="K1056" i="5" l="1"/>
  <c r="M1056" i="5" s="1"/>
  <c r="K1048" i="3"/>
  <c r="L1047" i="3"/>
  <c r="N1047" i="3" s="1"/>
  <c r="L1047" i="1"/>
  <c r="N1047" i="1" s="1"/>
  <c r="K1048" i="1"/>
  <c r="K1057" i="5" l="1"/>
  <c r="M1057" i="5" s="1"/>
  <c r="K1049" i="3"/>
  <c r="L1048" i="3"/>
  <c r="N1048" i="3" s="1"/>
  <c r="L1048" i="1"/>
  <c r="N1048" i="1" s="1"/>
  <c r="K1049" i="1"/>
  <c r="K1058" i="5" l="1"/>
  <c r="M1058" i="5" s="1"/>
  <c r="K1050" i="3"/>
  <c r="L1049" i="3"/>
  <c r="N1049" i="3" s="1"/>
  <c r="L1049" i="1"/>
  <c r="N1049" i="1" s="1"/>
  <c r="K1050" i="1"/>
  <c r="K1059" i="5" l="1"/>
  <c r="M1059" i="5" s="1"/>
  <c r="K1051" i="3"/>
  <c r="L1050" i="3"/>
  <c r="N1050" i="3" s="1"/>
  <c r="K1051" i="1"/>
  <c r="L1050" i="1"/>
  <c r="N1050" i="1" s="1"/>
  <c r="K1061" i="5" l="1"/>
  <c r="M1061" i="5" s="1"/>
  <c r="M1750" i="5" s="1"/>
  <c r="H12" i="9" s="1"/>
  <c r="K1060" i="5"/>
  <c r="M1060" i="5" s="1"/>
  <c r="K1052" i="3"/>
  <c r="L1051" i="3"/>
  <c r="N1051" i="3" s="1"/>
  <c r="K1052" i="1"/>
  <c r="L1051" i="1"/>
  <c r="N1051" i="1" s="1"/>
  <c r="H14" i="9" l="1"/>
  <c r="H16" i="9" s="1"/>
  <c r="E10" i="12" s="1"/>
  <c r="E11" i="12"/>
  <c r="C14" i="9"/>
  <c r="C16" i="9" s="1"/>
  <c r="E12" i="12" s="1"/>
  <c r="K1053" i="3"/>
  <c r="L1052" i="3"/>
  <c r="N1052" i="3" s="1"/>
  <c r="K1053" i="1"/>
  <c r="L1052" i="1"/>
  <c r="N1052" i="1" s="1"/>
  <c r="K1054" i="3" l="1"/>
  <c r="L1053" i="3"/>
  <c r="N1053" i="3" s="1"/>
  <c r="L1053" i="1"/>
  <c r="N1053" i="1" s="1"/>
  <c r="K1054" i="1"/>
  <c r="K1055" i="3" l="1"/>
  <c r="L1054" i="3"/>
  <c r="N1054" i="3" s="1"/>
  <c r="K1055" i="1"/>
  <c r="L1054" i="1"/>
  <c r="N1054" i="1" s="1"/>
  <c r="K1056" i="3" l="1"/>
  <c r="L1055" i="3"/>
  <c r="N1055" i="3" s="1"/>
  <c r="K1056" i="1"/>
  <c r="L1055" i="1"/>
  <c r="N1055" i="1" s="1"/>
  <c r="K1057" i="3" l="1"/>
  <c r="L1056" i="3"/>
  <c r="N1056" i="3" s="1"/>
  <c r="L1056" i="1"/>
  <c r="N1056" i="1" s="1"/>
  <c r="K1057" i="1"/>
  <c r="K1058" i="3" l="1"/>
  <c r="L1057" i="3"/>
  <c r="N1057" i="3" s="1"/>
  <c r="L1057" i="1"/>
  <c r="N1057" i="1" s="1"/>
  <c r="K1058" i="1"/>
  <c r="K1059" i="3" l="1"/>
  <c r="L1058" i="3"/>
  <c r="N1058" i="3" s="1"/>
  <c r="K1059" i="1"/>
  <c r="L1058" i="1"/>
  <c r="N1058" i="1" s="1"/>
  <c r="K1060" i="3" l="1"/>
  <c r="L1059" i="3"/>
  <c r="N1059" i="3" s="1"/>
  <c r="K1060" i="1"/>
  <c r="L1059" i="1"/>
  <c r="N1059" i="1" s="1"/>
  <c r="K1061" i="3" l="1"/>
  <c r="L1060" i="3"/>
  <c r="N1060" i="3" s="1"/>
  <c r="K1061" i="1"/>
  <c r="L1060" i="1"/>
  <c r="N1060" i="1" s="1"/>
  <c r="K1062" i="3" l="1"/>
  <c r="L1061" i="3"/>
  <c r="N1061" i="3" s="1"/>
  <c r="K1062" i="1"/>
  <c r="L1061" i="1"/>
  <c r="N1061" i="1" s="1"/>
  <c r="K1063" i="3" l="1"/>
  <c r="L1062" i="3"/>
  <c r="N1062" i="3" s="1"/>
  <c r="K1063" i="1"/>
  <c r="L1062" i="1"/>
  <c r="N1062" i="1" s="1"/>
  <c r="K1064" i="3" l="1"/>
  <c r="L1063" i="3"/>
  <c r="N1063" i="3" s="1"/>
  <c r="L1063" i="1"/>
  <c r="N1063" i="1" s="1"/>
  <c r="K1064" i="1"/>
  <c r="K1065" i="3" l="1"/>
  <c r="L1064" i="3"/>
  <c r="N1064" i="3" s="1"/>
  <c r="L1064" i="1"/>
  <c r="N1064" i="1" s="1"/>
  <c r="K1065" i="1"/>
  <c r="K1066" i="3" l="1"/>
  <c r="L1065" i="3"/>
  <c r="N1065" i="3" s="1"/>
  <c r="L1065" i="1"/>
  <c r="N1065" i="1" s="1"/>
  <c r="K1066" i="1"/>
  <c r="K1067" i="3" l="1"/>
  <c r="L1066" i="3"/>
  <c r="N1066" i="3" s="1"/>
  <c r="K1067" i="1"/>
  <c r="L1066" i="1"/>
  <c r="N1066" i="1" s="1"/>
  <c r="K1068" i="3" l="1"/>
  <c r="L1067" i="3"/>
  <c r="N1067" i="3" s="1"/>
  <c r="L1067" i="1"/>
  <c r="N1067" i="1" s="1"/>
  <c r="K1068" i="1"/>
  <c r="K1069" i="3" l="1"/>
  <c r="L1068" i="3"/>
  <c r="N1068" i="3" s="1"/>
  <c r="K1069" i="1"/>
  <c r="L1068" i="1"/>
  <c r="N1068" i="1" s="1"/>
  <c r="K1070" i="3" l="1"/>
  <c r="L1069" i="3"/>
  <c r="N1069" i="3" s="1"/>
  <c r="K1070" i="1"/>
  <c r="L1069" i="1"/>
  <c r="N1069" i="1" s="1"/>
  <c r="K1071" i="3" l="1"/>
  <c r="L1070" i="3"/>
  <c r="N1070" i="3" s="1"/>
  <c r="K1071" i="1"/>
  <c r="L1070" i="1"/>
  <c r="N1070" i="1" s="1"/>
  <c r="K1072" i="3" l="1"/>
  <c r="L1071" i="3"/>
  <c r="N1071" i="3" s="1"/>
  <c r="K1072" i="1"/>
  <c r="L1071" i="1"/>
  <c r="N1071" i="1" s="1"/>
  <c r="K1073" i="3" l="1"/>
  <c r="L1072" i="3"/>
  <c r="N1072" i="3" s="1"/>
  <c r="K1073" i="1"/>
  <c r="L1072" i="1"/>
  <c r="N1072" i="1" s="1"/>
  <c r="L1073" i="3" l="1"/>
  <c r="N1073" i="3" s="1"/>
  <c r="K1074" i="3"/>
  <c r="L1073" i="1"/>
  <c r="N1073" i="1" s="1"/>
  <c r="K1074" i="1"/>
  <c r="L1074" i="3" l="1"/>
  <c r="N1074" i="3" s="1"/>
  <c r="K1075" i="3"/>
  <c r="K1075" i="1"/>
  <c r="L1074" i="1"/>
  <c r="N1074" i="1" s="1"/>
  <c r="K1076" i="3" l="1"/>
  <c r="L1075" i="3"/>
  <c r="N1075" i="3" s="1"/>
  <c r="K1076" i="1"/>
  <c r="L1075" i="1"/>
  <c r="N1075" i="1" s="1"/>
  <c r="K1077" i="3" l="1"/>
  <c r="L1076" i="3"/>
  <c r="N1076" i="3" s="1"/>
  <c r="K1077" i="1"/>
  <c r="L1076" i="1"/>
  <c r="N1076" i="1" s="1"/>
  <c r="L1077" i="3" l="1"/>
  <c r="N1077" i="3" s="1"/>
  <c r="K1078" i="3"/>
  <c r="K1078" i="1"/>
  <c r="L1077" i="1"/>
  <c r="N1077" i="1" s="1"/>
  <c r="L1078" i="3" l="1"/>
  <c r="N1078" i="3" s="1"/>
  <c r="K1079" i="3"/>
  <c r="K1079" i="1"/>
  <c r="L1078" i="1"/>
  <c r="N1078" i="1" s="1"/>
  <c r="K1080" i="3" l="1"/>
  <c r="L1079" i="3"/>
  <c r="N1079" i="3" s="1"/>
  <c r="L1079" i="1"/>
  <c r="N1079" i="1" s="1"/>
  <c r="K1080" i="1"/>
  <c r="K1081" i="3" l="1"/>
  <c r="L1080" i="3"/>
  <c r="N1080" i="3" s="1"/>
  <c r="L1080" i="1"/>
  <c r="N1080" i="1" s="1"/>
  <c r="K1081" i="1"/>
  <c r="L1081" i="3" l="1"/>
  <c r="N1081" i="3" s="1"/>
  <c r="K1082" i="3"/>
  <c r="L1081" i="1"/>
  <c r="N1081" i="1" s="1"/>
  <c r="K1082" i="1"/>
  <c r="L1082" i="3" l="1"/>
  <c r="N1082" i="3" s="1"/>
  <c r="K1083" i="3"/>
  <c r="K1083" i="1"/>
  <c r="L1082" i="1"/>
  <c r="N1082" i="1" s="1"/>
  <c r="K1084" i="3" l="1"/>
  <c r="L1083" i="3"/>
  <c r="N1083" i="3" s="1"/>
  <c r="L1083" i="1"/>
  <c r="N1083" i="1" s="1"/>
  <c r="K1084" i="1"/>
  <c r="K1085" i="3" l="1"/>
  <c r="L1084" i="3"/>
  <c r="N1084" i="3" s="1"/>
  <c r="L1084" i="1"/>
  <c r="N1084" i="1" s="1"/>
  <c r="K1085" i="1"/>
  <c r="L1085" i="3" l="1"/>
  <c r="N1085" i="3" s="1"/>
  <c r="K1086" i="3"/>
  <c r="K1086" i="1"/>
  <c r="L1085" i="1"/>
  <c r="N1085" i="1" s="1"/>
  <c r="L1086" i="3" l="1"/>
  <c r="N1086" i="3" s="1"/>
  <c r="K1087" i="3"/>
  <c r="K1087" i="1"/>
  <c r="L1086" i="1"/>
  <c r="N1086" i="1" s="1"/>
  <c r="K1088" i="3" l="1"/>
  <c r="L1087" i="3"/>
  <c r="N1087" i="3" s="1"/>
  <c r="L1087" i="1"/>
  <c r="N1087" i="1" s="1"/>
  <c r="K1088" i="1"/>
  <c r="K1089" i="3" l="1"/>
  <c r="L1088" i="3"/>
  <c r="N1088" i="3" s="1"/>
  <c r="K1089" i="1"/>
  <c r="L1088" i="1"/>
  <c r="N1088" i="1" s="1"/>
  <c r="L1089" i="3" l="1"/>
  <c r="N1089" i="3" s="1"/>
  <c r="K1090" i="3"/>
  <c r="K1090" i="1"/>
  <c r="L1089" i="1"/>
  <c r="N1089" i="1" s="1"/>
  <c r="L1090" i="3" l="1"/>
  <c r="N1090" i="3" s="1"/>
  <c r="K1091" i="3"/>
  <c r="K1091" i="1"/>
  <c r="L1090" i="1"/>
  <c r="N1090" i="1" s="1"/>
  <c r="K1092" i="3" l="1"/>
  <c r="L1091" i="3"/>
  <c r="N1091" i="3" s="1"/>
  <c r="K1092" i="1"/>
  <c r="L1091" i="1"/>
  <c r="N1091" i="1" s="1"/>
  <c r="K1093" i="3" l="1"/>
  <c r="L1092" i="3"/>
  <c r="N1092" i="3" s="1"/>
  <c r="K1093" i="1"/>
  <c r="L1092" i="1"/>
  <c r="N1092" i="1" s="1"/>
  <c r="L1093" i="3" l="1"/>
  <c r="N1093" i="3" s="1"/>
  <c r="K1094" i="3"/>
  <c r="K1094" i="1"/>
  <c r="L1093" i="1"/>
  <c r="N1093" i="1" s="1"/>
  <c r="L1094" i="3" l="1"/>
  <c r="N1094" i="3" s="1"/>
  <c r="K1095" i="3"/>
  <c r="K1095" i="1"/>
  <c r="L1094" i="1"/>
  <c r="N1094" i="1" s="1"/>
  <c r="K1096" i="3" l="1"/>
  <c r="L1095" i="3"/>
  <c r="N1095" i="3" s="1"/>
  <c r="L1095" i="1"/>
  <c r="N1095" i="1" s="1"/>
  <c r="K1096" i="1"/>
  <c r="K1097" i="3" l="1"/>
  <c r="L1096" i="3"/>
  <c r="N1096" i="3" s="1"/>
  <c r="L1096" i="1"/>
  <c r="N1096" i="1" s="1"/>
  <c r="K1097" i="1"/>
  <c r="L1097" i="3" l="1"/>
  <c r="N1097" i="3" s="1"/>
  <c r="K1098" i="3"/>
  <c r="L1097" i="1"/>
  <c r="N1097" i="1" s="1"/>
  <c r="K1098" i="1"/>
  <c r="L1098" i="3" l="1"/>
  <c r="N1098" i="3" s="1"/>
  <c r="K1099" i="3"/>
  <c r="K1099" i="1"/>
  <c r="L1098" i="1"/>
  <c r="N1098" i="1" s="1"/>
  <c r="K1100" i="3" l="1"/>
  <c r="L1099" i="3"/>
  <c r="N1099" i="3" s="1"/>
  <c r="K1100" i="1"/>
  <c r="L1099" i="1"/>
  <c r="N1099" i="1" s="1"/>
  <c r="K1101" i="3" l="1"/>
  <c r="L1100" i="3"/>
  <c r="N1100" i="3" s="1"/>
  <c r="L1100" i="1"/>
  <c r="N1100" i="1" s="1"/>
  <c r="K1101" i="1"/>
  <c r="L1101" i="3" l="1"/>
  <c r="N1101" i="3" s="1"/>
  <c r="K1102" i="3"/>
  <c r="L1101" i="1"/>
  <c r="N1101" i="1" s="1"/>
  <c r="K1102" i="1"/>
  <c r="L1102" i="3" l="1"/>
  <c r="N1102" i="3" s="1"/>
  <c r="K1103" i="3"/>
  <c r="K1103" i="1"/>
  <c r="L1102" i="1"/>
  <c r="N1102" i="1" s="1"/>
  <c r="K1104" i="3" l="1"/>
  <c r="L1103" i="3"/>
  <c r="N1103" i="3" s="1"/>
  <c r="L1103" i="1"/>
  <c r="N1103" i="1" s="1"/>
  <c r="K1104" i="1"/>
  <c r="K1105" i="3" l="1"/>
  <c r="L1104" i="3"/>
  <c r="N1104" i="3" s="1"/>
  <c r="L1104" i="1"/>
  <c r="N1104" i="1" s="1"/>
  <c r="K1105" i="1"/>
  <c r="L1105" i="3" l="1"/>
  <c r="N1105" i="3" s="1"/>
  <c r="K1106" i="3"/>
  <c r="K1106" i="1"/>
  <c r="L1105" i="1"/>
  <c r="N1105" i="1" s="1"/>
  <c r="L1106" i="3" l="1"/>
  <c r="N1106" i="3" s="1"/>
  <c r="K1107" i="3"/>
  <c r="K1107" i="1"/>
  <c r="L1106" i="1"/>
  <c r="N1106" i="1" s="1"/>
  <c r="K1108" i="3" l="1"/>
  <c r="L1107" i="3"/>
  <c r="N1107" i="3" s="1"/>
  <c r="K1108" i="1"/>
  <c r="L1107" i="1"/>
  <c r="N1107" i="1" s="1"/>
  <c r="K1109" i="3" l="1"/>
  <c r="L1108" i="3"/>
  <c r="N1108" i="3" s="1"/>
  <c r="K1109" i="1"/>
  <c r="L1108" i="1"/>
  <c r="N1108" i="1" s="1"/>
  <c r="L1109" i="3" l="1"/>
  <c r="N1109" i="3" s="1"/>
  <c r="K1110" i="3"/>
  <c r="K1110" i="1"/>
  <c r="L1109" i="1"/>
  <c r="N1109" i="1" s="1"/>
  <c r="L1110" i="3" l="1"/>
  <c r="N1110" i="3" s="1"/>
  <c r="K1111" i="3"/>
  <c r="K1111" i="1"/>
  <c r="L1110" i="1"/>
  <c r="N1110" i="1" s="1"/>
  <c r="K1112" i="3" l="1"/>
  <c r="L1111" i="3"/>
  <c r="N1111" i="3" s="1"/>
  <c r="L1111" i="1"/>
  <c r="N1111" i="1" s="1"/>
  <c r="K1112" i="1"/>
  <c r="K1113" i="3" l="1"/>
  <c r="L1112" i="3"/>
  <c r="N1112" i="3" s="1"/>
  <c r="L1112" i="1"/>
  <c r="N1112" i="1" s="1"/>
  <c r="K1113" i="1"/>
  <c r="L1113" i="3" l="1"/>
  <c r="N1113" i="3" s="1"/>
  <c r="K1114" i="3"/>
  <c r="L1113" i="1"/>
  <c r="N1113" i="1" s="1"/>
  <c r="K1114" i="1"/>
  <c r="L1114" i="3" l="1"/>
  <c r="N1114" i="3" s="1"/>
  <c r="K1115" i="3"/>
  <c r="L1114" i="1"/>
  <c r="N1114" i="1" s="1"/>
  <c r="K1115" i="1"/>
  <c r="K1116" i="3" l="1"/>
  <c r="L1115" i="3"/>
  <c r="N1115" i="3" s="1"/>
  <c r="L1115" i="1"/>
  <c r="N1115" i="1" s="1"/>
  <c r="K1116" i="1"/>
  <c r="K1117" i="3" l="1"/>
  <c r="L1116" i="3"/>
  <c r="N1116" i="3" s="1"/>
  <c r="K1117" i="1"/>
  <c r="L1116" i="1"/>
  <c r="N1116" i="1" s="1"/>
  <c r="K1118" i="3" l="1"/>
  <c r="L1117" i="3"/>
  <c r="N1117" i="3" s="1"/>
  <c r="L1117" i="1"/>
  <c r="N1117" i="1" s="1"/>
  <c r="K1118" i="1"/>
  <c r="K1119" i="3" l="1"/>
  <c r="L1118" i="3"/>
  <c r="N1118" i="3" s="1"/>
  <c r="L1118" i="1"/>
  <c r="N1118" i="1" s="1"/>
  <c r="K1119" i="1"/>
  <c r="L1119" i="3" l="1"/>
  <c r="N1119" i="3" s="1"/>
  <c r="K1120" i="3"/>
  <c r="K1120" i="1"/>
  <c r="L1119" i="1"/>
  <c r="N1119" i="1" s="1"/>
  <c r="K1121" i="3" l="1"/>
  <c r="L1120" i="3"/>
  <c r="N1120" i="3" s="1"/>
  <c r="K1121" i="1"/>
  <c r="L1120" i="1"/>
  <c r="N1120" i="1" s="1"/>
  <c r="K1122" i="3" l="1"/>
  <c r="L1121" i="3"/>
  <c r="N1121" i="3" s="1"/>
  <c r="K1122" i="1"/>
  <c r="L1121" i="1"/>
  <c r="N1121" i="1" s="1"/>
  <c r="K1123" i="3" l="1"/>
  <c r="L1122" i="3"/>
  <c r="N1122" i="3" s="1"/>
  <c r="K1123" i="1"/>
  <c r="L1122" i="1"/>
  <c r="N1122" i="1" s="1"/>
  <c r="L1123" i="3" l="1"/>
  <c r="N1123" i="3" s="1"/>
  <c r="K1124" i="3"/>
  <c r="K1124" i="1"/>
  <c r="L1123" i="1"/>
  <c r="N1123" i="1" s="1"/>
  <c r="K1125" i="3" l="1"/>
  <c r="L1124" i="3"/>
  <c r="N1124" i="3" s="1"/>
  <c r="K1125" i="1"/>
  <c r="L1124" i="1"/>
  <c r="N1124" i="1" s="1"/>
  <c r="K1126" i="3" l="1"/>
  <c r="L1125" i="3"/>
  <c r="N1125" i="3" s="1"/>
  <c r="K1126" i="1"/>
  <c r="L1125" i="1"/>
  <c r="N1125" i="1" s="1"/>
  <c r="K1127" i="3" l="1"/>
  <c r="L1126" i="3"/>
  <c r="N1126" i="3" s="1"/>
  <c r="K1127" i="1"/>
  <c r="L1126" i="1"/>
  <c r="N1126" i="1" s="1"/>
  <c r="L1127" i="3" l="1"/>
  <c r="N1127" i="3" s="1"/>
  <c r="K1128" i="3"/>
  <c r="K1128" i="1"/>
  <c r="L1127" i="1"/>
  <c r="N1127" i="1" s="1"/>
  <c r="K1129" i="3" l="1"/>
  <c r="L1128" i="3"/>
  <c r="N1128" i="3" s="1"/>
  <c r="K1129" i="1"/>
  <c r="L1128" i="1"/>
  <c r="N1128" i="1" s="1"/>
  <c r="K1130" i="3" l="1"/>
  <c r="L1129" i="3"/>
  <c r="N1129" i="3" s="1"/>
  <c r="L1129" i="1"/>
  <c r="N1129" i="1" s="1"/>
  <c r="K1130" i="1"/>
  <c r="K1131" i="3" l="1"/>
  <c r="L1130" i="3"/>
  <c r="N1130" i="3" s="1"/>
  <c r="L1130" i="1"/>
  <c r="N1130" i="1" s="1"/>
  <c r="K1131" i="1"/>
  <c r="L1131" i="3" l="1"/>
  <c r="N1131" i="3" s="1"/>
  <c r="K1132" i="3"/>
  <c r="L1131" i="1"/>
  <c r="N1131" i="1" s="1"/>
  <c r="K1132" i="1"/>
  <c r="K1133" i="3" l="1"/>
  <c r="L1132" i="3"/>
  <c r="N1132" i="3" s="1"/>
  <c r="K1133" i="1"/>
  <c r="L1132" i="1"/>
  <c r="N1132" i="1" s="1"/>
  <c r="K1134" i="3" l="1"/>
  <c r="L1133" i="3"/>
  <c r="N1133" i="3" s="1"/>
  <c r="L1133" i="1"/>
  <c r="N1133" i="1" s="1"/>
  <c r="K1134" i="1"/>
  <c r="K1135" i="3" l="1"/>
  <c r="L1134" i="3"/>
  <c r="N1134" i="3" s="1"/>
  <c r="L1134" i="1"/>
  <c r="N1134" i="1" s="1"/>
  <c r="K1135" i="1"/>
  <c r="L1135" i="3" l="1"/>
  <c r="N1135" i="3" s="1"/>
  <c r="K1136" i="3"/>
  <c r="L1135" i="1"/>
  <c r="N1135" i="1" s="1"/>
  <c r="K1136" i="1"/>
  <c r="K1137" i="3" l="1"/>
  <c r="L1136" i="3"/>
  <c r="N1136" i="3" s="1"/>
  <c r="K1137" i="1"/>
  <c r="L1136" i="1"/>
  <c r="N1136" i="1" s="1"/>
  <c r="K1138" i="3" l="1"/>
  <c r="L1137" i="3"/>
  <c r="N1137" i="3" s="1"/>
  <c r="L1137" i="1"/>
  <c r="N1137" i="1" s="1"/>
  <c r="K1138" i="1"/>
  <c r="K1139" i="3" l="1"/>
  <c r="L1138" i="3"/>
  <c r="N1138" i="3" s="1"/>
  <c r="K1139" i="1"/>
  <c r="L1138" i="1"/>
  <c r="N1138" i="1" s="1"/>
  <c r="L1139" i="3" l="1"/>
  <c r="N1139" i="3" s="1"/>
  <c r="K1140" i="3"/>
  <c r="K1140" i="1"/>
  <c r="L1139" i="1"/>
  <c r="N1139" i="1" s="1"/>
  <c r="K1141" i="3" l="1"/>
  <c r="L1140" i="3"/>
  <c r="N1140" i="3" s="1"/>
  <c r="K1141" i="1"/>
  <c r="L1140" i="1"/>
  <c r="N1140" i="1" s="1"/>
  <c r="K1142" i="3" l="1"/>
  <c r="L1141" i="3"/>
  <c r="N1141" i="3" s="1"/>
  <c r="K1142" i="1"/>
  <c r="L1141" i="1"/>
  <c r="N1141" i="1" s="1"/>
  <c r="K1143" i="3" l="1"/>
  <c r="L1142" i="3"/>
  <c r="N1142" i="3" s="1"/>
  <c r="K1143" i="1"/>
  <c r="L1142" i="1"/>
  <c r="N1142" i="1" s="1"/>
  <c r="L1143" i="3" l="1"/>
  <c r="N1143" i="3" s="1"/>
  <c r="K1144" i="3"/>
  <c r="K1144" i="1"/>
  <c r="L1143" i="1"/>
  <c r="N1143" i="1" s="1"/>
  <c r="K1145" i="3" l="1"/>
  <c r="L1144" i="3"/>
  <c r="N1144" i="3" s="1"/>
  <c r="K1145" i="1"/>
  <c r="L1144" i="1"/>
  <c r="N1144" i="1" s="1"/>
  <c r="K1146" i="3" l="1"/>
  <c r="L1145" i="3"/>
  <c r="N1145" i="3" s="1"/>
  <c r="L1145" i="1"/>
  <c r="N1145" i="1" s="1"/>
  <c r="K1146" i="1"/>
  <c r="K1147" i="3" l="1"/>
  <c r="L1146" i="3"/>
  <c r="N1146" i="3" s="1"/>
  <c r="L1146" i="1"/>
  <c r="N1146" i="1" s="1"/>
  <c r="K1147" i="1"/>
  <c r="L1147" i="3" l="1"/>
  <c r="N1147" i="3" s="1"/>
  <c r="K1148" i="3"/>
  <c r="L1147" i="1"/>
  <c r="N1147" i="1" s="1"/>
  <c r="K1148" i="1"/>
  <c r="K1149" i="3" l="1"/>
  <c r="L1148" i="3"/>
  <c r="N1148" i="3" s="1"/>
  <c r="K1149" i="1"/>
  <c r="L1148" i="1"/>
  <c r="N1148" i="1" s="1"/>
  <c r="K1150" i="3" l="1"/>
  <c r="L1149" i="3"/>
  <c r="N1149" i="3" s="1"/>
  <c r="K1150" i="1"/>
  <c r="L1149" i="1"/>
  <c r="N1149" i="1" s="1"/>
  <c r="K1151" i="3" l="1"/>
  <c r="L1150" i="3"/>
  <c r="N1150" i="3" s="1"/>
  <c r="L1150" i="1"/>
  <c r="N1150" i="1" s="1"/>
  <c r="K1151" i="1"/>
  <c r="L1151" i="3" l="1"/>
  <c r="N1151" i="3" s="1"/>
  <c r="K1152" i="3"/>
  <c r="L1151" i="1"/>
  <c r="N1151" i="1" s="1"/>
  <c r="K1152" i="1"/>
  <c r="K1153" i="3" l="1"/>
  <c r="L1152" i="3"/>
  <c r="N1152" i="3" s="1"/>
  <c r="K1153" i="1"/>
  <c r="L1152" i="1"/>
  <c r="N1152" i="1" s="1"/>
  <c r="K1154" i="3" l="1"/>
  <c r="L1153" i="3"/>
  <c r="N1153" i="3" s="1"/>
  <c r="K1154" i="1"/>
  <c r="L1153" i="1"/>
  <c r="N1153" i="1" s="1"/>
  <c r="K1155" i="3" l="1"/>
  <c r="L1154" i="3"/>
  <c r="N1154" i="3" s="1"/>
  <c r="L1154" i="1"/>
  <c r="N1154" i="1" s="1"/>
  <c r="K1155" i="1"/>
  <c r="L1155" i="3" l="1"/>
  <c r="N1155" i="3" s="1"/>
  <c r="K1156" i="3"/>
  <c r="K1156" i="1"/>
  <c r="L1155" i="1"/>
  <c r="N1155" i="1" s="1"/>
  <c r="K1157" i="3" l="1"/>
  <c r="L1156" i="3"/>
  <c r="N1156" i="3" s="1"/>
  <c r="K1157" i="1"/>
  <c r="L1156" i="1"/>
  <c r="N1156" i="1" s="1"/>
  <c r="K1158" i="3" l="1"/>
  <c r="L1157" i="3"/>
  <c r="N1157" i="3" s="1"/>
  <c r="K1158" i="1"/>
  <c r="L1157" i="1"/>
  <c r="N1157" i="1" s="1"/>
  <c r="K1159" i="3" l="1"/>
  <c r="L1158" i="3"/>
  <c r="N1158" i="3" s="1"/>
  <c r="K1159" i="1"/>
  <c r="L1158" i="1"/>
  <c r="N1158" i="1" s="1"/>
  <c r="L1159" i="3" l="1"/>
  <c r="N1159" i="3" s="1"/>
  <c r="K1160" i="3"/>
  <c r="K1160" i="1"/>
  <c r="L1159" i="1"/>
  <c r="N1159" i="1" s="1"/>
  <c r="K1161" i="3" l="1"/>
  <c r="L1160" i="3"/>
  <c r="N1160" i="3" s="1"/>
  <c r="K1161" i="1"/>
  <c r="L1160" i="1"/>
  <c r="N1160" i="1" s="1"/>
  <c r="K1162" i="3" l="1"/>
  <c r="L1161" i="3"/>
  <c r="N1161" i="3" s="1"/>
  <c r="L1161" i="1"/>
  <c r="N1161" i="1" s="1"/>
  <c r="K1162" i="1"/>
  <c r="K1163" i="3" l="1"/>
  <c r="L1162" i="3"/>
  <c r="N1162" i="3" s="1"/>
  <c r="L1162" i="1"/>
  <c r="N1162" i="1" s="1"/>
  <c r="K1163" i="1"/>
  <c r="L1163" i="3" l="1"/>
  <c r="N1163" i="3" s="1"/>
  <c r="K1164" i="3"/>
  <c r="L1163" i="1"/>
  <c r="N1163" i="1" s="1"/>
  <c r="K1164" i="1"/>
  <c r="K1165" i="3" l="1"/>
  <c r="L1164" i="3"/>
  <c r="N1164" i="3" s="1"/>
  <c r="K1165" i="1"/>
  <c r="L1164" i="1"/>
  <c r="N1164" i="1" s="1"/>
  <c r="K1166" i="3" l="1"/>
  <c r="L1165" i="3"/>
  <c r="N1165" i="3" s="1"/>
  <c r="K1166" i="1"/>
  <c r="L1165" i="1"/>
  <c r="N1165" i="1" s="1"/>
  <c r="K1167" i="3" l="1"/>
  <c r="L1166" i="3"/>
  <c r="N1166" i="3" s="1"/>
  <c r="K1167" i="1"/>
  <c r="L1166" i="1"/>
  <c r="N1166" i="1" s="1"/>
  <c r="L1167" i="3" l="1"/>
  <c r="N1167" i="3" s="1"/>
  <c r="K1168" i="3"/>
  <c r="K1168" i="1"/>
  <c r="L1167" i="1"/>
  <c r="N1167" i="1" s="1"/>
  <c r="K1169" i="3" l="1"/>
  <c r="L1168" i="3"/>
  <c r="N1168" i="3" s="1"/>
  <c r="K1169" i="1"/>
  <c r="L1168" i="1"/>
  <c r="N1168" i="1" s="1"/>
  <c r="K1170" i="3" l="1"/>
  <c r="L1169" i="3"/>
  <c r="N1169" i="3" s="1"/>
  <c r="L1169" i="1"/>
  <c r="N1169" i="1" s="1"/>
  <c r="K1170" i="1"/>
  <c r="K1171" i="3" l="1"/>
  <c r="L1170" i="3"/>
  <c r="N1170" i="3" s="1"/>
  <c r="L1170" i="1"/>
  <c r="N1170" i="1" s="1"/>
  <c r="K1171" i="1"/>
  <c r="L1171" i="3" l="1"/>
  <c r="N1171" i="3" s="1"/>
  <c r="K1172" i="3"/>
  <c r="L1171" i="1"/>
  <c r="N1171" i="1" s="1"/>
  <c r="K1172" i="1"/>
  <c r="K1173" i="3" l="1"/>
  <c r="L1172" i="3"/>
  <c r="N1172" i="3" s="1"/>
  <c r="K1173" i="1"/>
  <c r="L1172" i="1"/>
  <c r="N1172" i="1" s="1"/>
  <c r="K1174" i="3" l="1"/>
  <c r="L1173" i="3"/>
  <c r="N1173" i="3" s="1"/>
  <c r="K1174" i="1"/>
  <c r="L1173" i="1"/>
  <c r="N1173" i="1" s="1"/>
  <c r="K1175" i="3" l="1"/>
  <c r="L1174" i="3"/>
  <c r="N1174" i="3" s="1"/>
  <c r="K1175" i="1"/>
  <c r="L1174" i="1"/>
  <c r="N1174" i="1" s="1"/>
  <c r="L1175" i="3" l="1"/>
  <c r="N1175" i="3" s="1"/>
  <c r="K1176" i="3"/>
  <c r="L1175" i="1"/>
  <c r="N1175" i="1" s="1"/>
  <c r="K1176" i="1"/>
  <c r="K1177" i="3" l="1"/>
  <c r="L1176" i="3"/>
  <c r="N1176" i="3" s="1"/>
  <c r="K1177" i="1"/>
  <c r="L1176" i="1"/>
  <c r="N1176" i="1" s="1"/>
  <c r="K1178" i="3" l="1"/>
  <c r="L1177" i="3"/>
  <c r="N1177" i="3" s="1"/>
  <c r="L1177" i="1"/>
  <c r="N1177" i="1" s="1"/>
  <c r="K1178" i="1"/>
  <c r="K1179" i="3" l="1"/>
  <c r="L1178" i="3"/>
  <c r="N1178" i="3" s="1"/>
  <c r="L1178" i="1"/>
  <c r="N1178" i="1" s="1"/>
  <c r="K1179" i="1"/>
  <c r="L1179" i="3" l="1"/>
  <c r="N1179" i="3" s="1"/>
  <c r="K1180" i="3"/>
  <c r="K1180" i="1"/>
  <c r="L1179" i="1"/>
  <c r="N1179" i="1" s="1"/>
  <c r="K1181" i="3" l="1"/>
  <c r="L1180" i="3"/>
  <c r="N1180" i="3" s="1"/>
  <c r="K1181" i="1"/>
  <c r="L1180" i="1"/>
  <c r="N1180" i="1" s="1"/>
  <c r="K1182" i="3" l="1"/>
  <c r="L1181" i="3"/>
  <c r="N1181" i="3" s="1"/>
  <c r="K1182" i="1"/>
  <c r="L1181" i="1"/>
  <c r="N1181" i="1" s="1"/>
  <c r="K1183" i="3" l="1"/>
  <c r="L1182" i="3"/>
  <c r="N1182" i="3" s="1"/>
  <c r="K1183" i="1"/>
  <c r="L1182" i="1"/>
  <c r="N1182" i="1" s="1"/>
  <c r="L1183" i="3" l="1"/>
  <c r="N1183" i="3" s="1"/>
  <c r="K1184" i="3"/>
  <c r="K1184" i="1"/>
  <c r="L1183" i="1"/>
  <c r="N1183" i="1" s="1"/>
  <c r="K1185" i="3" l="1"/>
  <c r="L1184" i="3"/>
  <c r="N1184" i="3" s="1"/>
  <c r="K1185" i="1"/>
  <c r="L1184" i="1"/>
  <c r="N1184" i="1" s="1"/>
  <c r="K1186" i="3" l="1"/>
  <c r="L1185" i="3"/>
  <c r="N1185" i="3" s="1"/>
  <c r="L1185" i="1"/>
  <c r="N1185" i="1" s="1"/>
  <c r="K1186" i="1"/>
  <c r="K1187" i="3" l="1"/>
  <c r="L1186" i="3"/>
  <c r="N1186" i="3" s="1"/>
  <c r="L1186" i="1"/>
  <c r="N1186" i="1" s="1"/>
  <c r="K1187" i="1"/>
  <c r="L1187" i="3" l="1"/>
  <c r="N1187" i="3" s="1"/>
  <c r="K1188" i="3"/>
  <c r="L1187" i="1"/>
  <c r="N1187" i="1" s="1"/>
  <c r="K1188" i="1"/>
  <c r="K1189" i="3" l="1"/>
  <c r="L1188" i="3"/>
  <c r="N1188" i="3" s="1"/>
  <c r="K1189" i="1"/>
  <c r="L1188" i="1"/>
  <c r="N1188" i="1" s="1"/>
  <c r="K1190" i="3" l="1"/>
  <c r="L1189" i="3"/>
  <c r="N1189" i="3" s="1"/>
  <c r="K1190" i="1"/>
  <c r="L1189" i="1"/>
  <c r="N1189" i="1" s="1"/>
  <c r="K1191" i="3" l="1"/>
  <c r="L1190" i="3"/>
  <c r="N1190" i="3" s="1"/>
  <c r="K1191" i="1"/>
  <c r="L1190" i="1"/>
  <c r="N1190" i="1" s="1"/>
  <c r="L1191" i="3" l="1"/>
  <c r="N1191" i="3" s="1"/>
  <c r="K1192" i="3"/>
  <c r="K1192" i="1"/>
  <c r="L1191" i="1"/>
  <c r="N1191" i="1" s="1"/>
  <c r="K1193" i="3" l="1"/>
  <c r="L1192" i="3"/>
  <c r="N1192" i="3" s="1"/>
  <c r="K1193" i="1"/>
  <c r="L1192" i="1"/>
  <c r="N1192" i="1" s="1"/>
  <c r="K1194" i="3" l="1"/>
  <c r="L1193" i="3"/>
  <c r="N1193" i="3" s="1"/>
  <c r="K1194" i="1"/>
  <c r="L1193" i="1"/>
  <c r="N1193" i="1" s="1"/>
  <c r="K1195" i="3" l="1"/>
  <c r="L1194" i="3"/>
  <c r="N1194" i="3" s="1"/>
  <c r="L1194" i="1"/>
  <c r="N1194" i="1" s="1"/>
  <c r="K1195" i="1"/>
  <c r="L1195" i="3" l="1"/>
  <c r="N1195" i="3" s="1"/>
  <c r="K1196" i="3"/>
  <c r="L1195" i="1"/>
  <c r="N1195" i="1" s="1"/>
  <c r="K1196" i="1"/>
  <c r="K1197" i="3" l="1"/>
  <c r="L1196" i="3"/>
  <c r="N1196" i="3" s="1"/>
  <c r="K1197" i="1"/>
  <c r="L1196" i="1"/>
  <c r="N1196" i="1" s="1"/>
  <c r="K1198" i="3" l="1"/>
  <c r="L1197" i="3"/>
  <c r="N1197" i="3" s="1"/>
  <c r="K1198" i="1"/>
  <c r="L1197" i="1"/>
  <c r="N1197" i="1" s="1"/>
  <c r="K1199" i="3" l="1"/>
  <c r="L1198" i="3"/>
  <c r="N1198" i="3" s="1"/>
  <c r="K1199" i="1"/>
  <c r="L1198" i="1"/>
  <c r="N1198" i="1" s="1"/>
  <c r="L1199" i="3" l="1"/>
  <c r="N1199" i="3" s="1"/>
  <c r="K1200" i="3"/>
  <c r="K1200" i="1"/>
  <c r="L1199" i="1"/>
  <c r="N1199" i="1" s="1"/>
  <c r="K1201" i="3" l="1"/>
  <c r="L1200" i="3"/>
  <c r="N1200" i="3" s="1"/>
  <c r="K1201" i="1"/>
  <c r="L1200" i="1"/>
  <c r="N1200" i="1" s="1"/>
  <c r="K1202" i="3" l="1"/>
  <c r="L1201" i="3"/>
  <c r="N1201" i="3" s="1"/>
  <c r="L1201" i="1"/>
  <c r="N1201" i="1" s="1"/>
  <c r="K1202" i="1"/>
  <c r="K1203" i="3" l="1"/>
  <c r="L1202" i="3"/>
  <c r="N1202" i="3" s="1"/>
  <c r="L1202" i="1"/>
  <c r="N1202" i="1" s="1"/>
  <c r="K1203" i="1"/>
  <c r="L1203" i="3" l="1"/>
  <c r="N1203" i="3" s="1"/>
  <c r="K1204" i="3"/>
  <c r="L1203" i="1"/>
  <c r="N1203" i="1" s="1"/>
  <c r="K1204" i="1"/>
  <c r="K1205" i="3" l="1"/>
  <c r="L1204" i="3"/>
  <c r="N1204" i="3" s="1"/>
  <c r="K1205" i="1"/>
  <c r="L1204" i="1"/>
  <c r="N1204" i="1" s="1"/>
  <c r="K1206" i="3" l="1"/>
  <c r="L1205" i="3"/>
  <c r="N1205" i="3" s="1"/>
  <c r="L1205" i="1"/>
  <c r="N1205" i="1" s="1"/>
  <c r="K1206" i="1"/>
  <c r="K1207" i="3" l="1"/>
  <c r="L1206" i="3"/>
  <c r="N1206" i="3" s="1"/>
  <c r="L1206" i="1"/>
  <c r="N1206" i="1" s="1"/>
  <c r="K1207" i="1"/>
  <c r="L1207" i="3" l="1"/>
  <c r="N1207" i="3" s="1"/>
  <c r="K1208" i="3"/>
  <c r="K1208" i="1"/>
  <c r="L1207" i="1"/>
  <c r="N1207" i="1" s="1"/>
  <c r="K1209" i="3" l="1"/>
  <c r="L1208" i="3"/>
  <c r="N1208" i="3" s="1"/>
  <c r="K1209" i="1"/>
  <c r="L1208" i="1"/>
  <c r="N1208" i="1" s="1"/>
  <c r="K1210" i="3" l="1"/>
  <c r="L1209" i="3"/>
  <c r="N1209" i="3" s="1"/>
  <c r="L1209" i="1"/>
  <c r="N1209" i="1" s="1"/>
  <c r="K1210" i="1"/>
  <c r="K1211" i="3" l="1"/>
  <c r="L1210" i="3"/>
  <c r="N1210" i="3" s="1"/>
  <c r="K1211" i="1"/>
  <c r="L1210" i="1"/>
  <c r="N1210" i="1" s="1"/>
  <c r="L1211" i="3" l="1"/>
  <c r="N1211" i="3" s="1"/>
  <c r="K1212" i="3"/>
  <c r="L1211" i="1"/>
  <c r="N1211" i="1" s="1"/>
  <c r="K1212" i="1"/>
  <c r="K1213" i="3" l="1"/>
  <c r="L1212" i="3"/>
  <c r="N1212" i="3" s="1"/>
  <c r="K1213" i="1"/>
  <c r="L1212" i="1"/>
  <c r="N1212" i="1" s="1"/>
  <c r="K1214" i="3" l="1"/>
  <c r="L1213" i="3"/>
  <c r="N1213" i="3" s="1"/>
  <c r="K1214" i="1"/>
  <c r="L1213" i="1"/>
  <c r="N1213" i="1" s="1"/>
  <c r="K1215" i="3" l="1"/>
  <c r="L1214" i="3"/>
  <c r="N1214" i="3" s="1"/>
  <c r="K1215" i="1"/>
  <c r="L1214" i="1"/>
  <c r="N1214" i="1" s="1"/>
  <c r="L1215" i="3" l="1"/>
  <c r="N1215" i="3" s="1"/>
  <c r="K1216" i="3"/>
  <c r="K1216" i="1"/>
  <c r="L1215" i="1"/>
  <c r="N1215" i="1" s="1"/>
  <c r="K1217" i="3" l="1"/>
  <c r="L1216" i="3"/>
  <c r="N1216" i="3" s="1"/>
  <c r="K1217" i="1"/>
  <c r="L1216" i="1"/>
  <c r="N1216" i="1" s="1"/>
  <c r="K1218" i="3" l="1"/>
  <c r="L1217" i="3"/>
  <c r="N1217" i="3" s="1"/>
  <c r="L1217" i="1"/>
  <c r="N1217" i="1" s="1"/>
  <c r="K1218" i="1"/>
  <c r="K1219" i="3" l="1"/>
  <c r="L1218" i="3"/>
  <c r="N1218" i="3" s="1"/>
  <c r="L1218" i="1"/>
  <c r="N1218" i="1" s="1"/>
  <c r="K1219" i="1"/>
  <c r="L1219" i="3" l="1"/>
  <c r="N1219" i="3" s="1"/>
  <c r="K1220" i="3"/>
  <c r="L1219" i="1"/>
  <c r="N1219" i="1" s="1"/>
  <c r="K1220" i="1"/>
  <c r="K1221" i="3" l="1"/>
  <c r="L1220" i="3"/>
  <c r="N1220" i="3" s="1"/>
  <c r="K1221" i="1"/>
  <c r="L1220" i="1"/>
  <c r="N1220" i="1" s="1"/>
  <c r="K1222" i="3" l="1"/>
  <c r="L1221" i="3"/>
  <c r="N1221" i="3" s="1"/>
  <c r="L1221" i="1"/>
  <c r="N1221" i="1" s="1"/>
  <c r="K1222" i="1"/>
  <c r="K1223" i="3" l="1"/>
  <c r="L1222" i="3"/>
  <c r="N1222" i="3" s="1"/>
  <c r="L1222" i="1"/>
  <c r="N1222" i="1" s="1"/>
  <c r="K1223" i="1"/>
  <c r="L1223" i="3" l="1"/>
  <c r="N1223" i="3" s="1"/>
  <c r="K1224" i="3"/>
  <c r="K1224" i="1"/>
  <c r="L1223" i="1"/>
  <c r="N1223" i="1" s="1"/>
  <c r="K1225" i="3" l="1"/>
  <c r="L1224" i="3"/>
  <c r="N1224" i="3" s="1"/>
  <c r="K1225" i="1"/>
  <c r="L1224" i="1"/>
  <c r="N1224" i="1" s="1"/>
  <c r="K1226" i="3" l="1"/>
  <c r="L1225" i="3"/>
  <c r="N1225" i="3" s="1"/>
  <c r="L1225" i="1"/>
  <c r="N1225" i="1" s="1"/>
  <c r="K1226" i="1"/>
  <c r="K1227" i="3" l="1"/>
  <c r="L1226" i="3"/>
  <c r="N1226" i="3" s="1"/>
  <c r="L1226" i="1"/>
  <c r="N1226" i="1" s="1"/>
  <c r="K1227" i="1"/>
  <c r="L1227" i="3" l="1"/>
  <c r="N1227" i="3" s="1"/>
  <c r="K1228" i="3"/>
  <c r="K1228" i="1"/>
  <c r="L1227" i="1"/>
  <c r="N1227" i="1" s="1"/>
  <c r="K1229" i="3" l="1"/>
  <c r="L1228" i="3"/>
  <c r="N1228" i="3" s="1"/>
  <c r="K1229" i="1"/>
  <c r="L1228" i="1"/>
  <c r="N1228" i="1" s="1"/>
  <c r="K1230" i="3" l="1"/>
  <c r="L1229" i="3"/>
  <c r="N1229" i="3" s="1"/>
  <c r="K1230" i="1"/>
  <c r="L1229" i="1"/>
  <c r="N1229" i="1" s="1"/>
  <c r="K1231" i="3" l="1"/>
  <c r="L1230" i="3"/>
  <c r="N1230" i="3" s="1"/>
  <c r="K1231" i="1"/>
  <c r="L1230" i="1"/>
  <c r="N1230" i="1" s="1"/>
  <c r="L1231" i="3" l="1"/>
  <c r="N1231" i="3" s="1"/>
  <c r="K1232" i="3"/>
  <c r="K1232" i="1"/>
  <c r="L1231" i="1"/>
  <c r="N1231" i="1" s="1"/>
  <c r="K1233" i="3" l="1"/>
  <c r="L1232" i="3"/>
  <c r="N1232" i="3" s="1"/>
  <c r="K1233" i="1"/>
  <c r="L1232" i="1"/>
  <c r="N1232" i="1" s="1"/>
  <c r="K1234" i="3" l="1"/>
  <c r="L1233" i="3"/>
  <c r="N1233" i="3" s="1"/>
  <c r="K1234" i="1"/>
  <c r="L1233" i="1"/>
  <c r="N1233" i="1" s="1"/>
  <c r="K1235" i="3" l="1"/>
  <c r="L1234" i="3"/>
  <c r="N1234" i="3" s="1"/>
  <c r="K1235" i="1"/>
  <c r="L1234" i="1"/>
  <c r="N1234" i="1" s="1"/>
  <c r="L1235" i="3" l="1"/>
  <c r="N1235" i="3" s="1"/>
  <c r="K1236" i="3"/>
  <c r="L1235" i="1"/>
  <c r="N1235" i="1" s="1"/>
  <c r="K1236" i="1"/>
  <c r="K1237" i="3" l="1"/>
  <c r="L1236" i="3"/>
  <c r="N1236" i="3" s="1"/>
  <c r="K1237" i="1"/>
  <c r="L1236" i="1"/>
  <c r="N1236" i="1" s="1"/>
  <c r="K1238" i="3" l="1"/>
  <c r="L1237" i="3"/>
  <c r="N1237" i="3" s="1"/>
  <c r="K1238" i="1"/>
  <c r="L1237" i="1"/>
  <c r="N1237" i="1" s="1"/>
  <c r="K1239" i="3" l="1"/>
  <c r="L1238" i="3"/>
  <c r="N1238" i="3" s="1"/>
  <c r="K1239" i="1"/>
  <c r="L1238" i="1"/>
  <c r="N1238" i="1" s="1"/>
  <c r="L1239" i="3" l="1"/>
  <c r="N1239" i="3" s="1"/>
  <c r="K1240" i="3"/>
  <c r="K1240" i="1"/>
  <c r="L1239" i="1"/>
  <c r="N1239" i="1" s="1"/>
  <c r="K1241" i="3" l="1"/>
  <c r="L1240" i="3"/>
  <c r="N1240" i="3" s="1"/>
  <c r="K1241" i="1"/>
  <c r="L1240" i="1"/>
  <c r="N1240" i="1" s="1"/>
  <c r="K1242" i="3" l="1"/>
  <c r="L1241" i="3"/>
  <c r="N1241" i="3" s="1"/>
  <c r="K1242" i="1"/>
  <c r="L1241" i="1"/>
  <c r="N1241" i="1" s="1"/>
  <c r="K1243" i="3" l="1"/>
  <c r="L1242" i="3"/>
  <c r="N1242" i="3" s="1"/>
  <c r="K1243" i="1"/>
  <c r="L1242" i="1"/>
  <c r="N1242" i="1" s="1"/>
  <c r="L1243" i="3" l="1"/>
  <c r="N1243" i="3" s="1"/>
  <c r="K1244" i="3"/>
  <c r="L1243" i="1"/>
  <c r="N1243" i="1" s="1"/>
  <c r="K1244" i="1"/>
  <c r="K1245" i="3" l="1"/>
  <c r="L1244" i="3"/>
  <c r="N1244" i="3" s="1"/>
  <c r="K1245" i="1"/>
  <c r="L1244" i="1"/>
  <c r="N1244" i="1" s="1"/>
  <c r="K1246" i="3" l="1"/>
  <c r="L1245" i="3"/>
  <c r="N1245" i="3" s="1"/>
  <c r="K1246" i="1"/>
  <c r="L1245" i="1"/>
  <c r="N1245" i="1" s="1"/>
  <c r="K1247" i="3" l="1"/>
  <c r="L1246" i="3"/>
  <c r="N1246" i="3" s="1"/>
  <c r="L1246" i="1"/>
  <c r="N1246" i="1" s="1"/>
  <c r="K1247" i="1"/>
  <c r="L1247" i="3" l="1"/>
  <c r="N1247" i="3" s="1"/>
  <c r="K1248" i="3"/>
  <c r="K1248" i="1"/>
  <c r="L1247" i="1"/>
  <c r="N1247" i="1" s="1"/>
  <c r="K1249" i="3" l="1"/>
  <c r="L1248" i="3"/>
  <c r="N1248" i="3" s="1"/>
  <c r="K1249" i="1"/>
  <c r="L1248" i="1"/>
  <c r="N1248" i="1" s="1"/>
  <c r="K1250" i="3" l="1"/>
  <c r="L1249" i="3"/>
  <c r="N1249" i="3" s="1"/>
  <c r="K1250" i="1"/>
  <c r="L1249" i="1"/>
  <c r="N1249" i="1" s="1"/>
  <c r="K1251" i="3" l="1"/>
  <c r="L1250" i="3"/>
  <c r="N1250" i="3" s="1"/>
  <c r="L1250" i="1"/>
  <c r="N1250" i="1" s="1"/>
  <c r="K1251" i="1"/>
  <c r="L1251" i="3" l="1"/>
  <c r="N1251" i="3" s="1"/>
  <c r="K1252" i="3"/>
  <c r="L1251" i="1"/>
  <c r="N1251" i="1" s="1"/>
  <c r="K1252" i="1"/>
  <c r="K1253" i="3" l="1"/>
  <c r="L1252" i="3"/>
  <c r="N1252" i="3" s="1"/>
  <c r="K1253" i="1"/>
  <c r="L1252" i="1"/>
  <c r="N1252" i="1" s="1"/>
  <c r="K1254" i="3" l="1"/>
  <c r="L1253" i="3"/>
  <c r="N1253" i="3" s="1"/>
  <c r="K1254" i="1"/>
  <c r="L1253" i="1"/>
  <c r="N1253" i="1" s="1"/>
  <c r="K1255" i="3" l="1"/>
  <c r="L1254" i="3"/>
  <c r="N1254" i="3" s="1"/>
  <c r="K1255" i="1"/>
  <c r="L1254" i="1"/>
  <c r="N1254" i="1" s="1"/>
  <c r="L1255" i="3" l="1"/>
  <c r="N1255" i="3" s="1"/>
  <c r="K1256" i="3"/>
  <c r="K1256" i="1"/>
  <c r="L1255" i="1"/>
  <c r="N1255" i="1" s="1"/>
  <c r="K1257" i="3" l="1"/>
  <c r="L1256" i="3"/>
  <c r="N1256" i="3" s="1"/>
  <c r="K1257" i="1"/>
  <c r="L1256" i="1"/>
  <c r="N1256" i="1" s="1"/>
  <c r="K1258" i="3" l="1"/>
  <c r="L1257" i="3"/>
  <c r="N1257" i="3" s="1"/>
  <c r="K1258" i="1"/>
  <c r="L1257" i="1"/>
  <c r="N1257" i="1" s="1"/>
  <c r="K1259" i="3" l="1"/>
  <c r="L1258" i="3"/>
  <c r="N1258" i="3" s="1"/>
  <c r="L1258" i="1"/>
  <c r="N1258" i="1" s="1"/>
  <c r="K1259" i="1"/>
  <c r="L1259" i="3" l="1"/>
  <c r="N1259" i="3" s="1"/>
  <c r="K1260" i="3"/>
  <c r="L1259" i="1"/>
  <c r="N1259" i="1" s="1"/>
  <c r="K1260" i="1"/>
  <c r="K1261" i="3" l="1"/>
  <c r="L1260" i="3"/>
  <c r="N1260" i="3" s="1"/>
  <c r="K1261" i="1"/>
  <c r="L1260" i="1"/>
  <c r="N1260" i="1" s="1"/>
  <c r="K1262" i="3" l="1"/>
  <c r="L1261" i="3"/>
  <c r="N1261" i="3" s="1"/>
  <c r="K1262" i="1"/>
  <c r="L1261" i="1"/>
  <c r="N1261" i="1" s="1"/>
  <c r="K1263" i="3" l="1"/>
  <c r="L1262" i="3"/>
  <c r="N1262" i="3" s="1"/>
  <c r="L1262" i="1"/>
  <c r="N1262" i="1" s="1"/>
  <c r="K1263" i="1"/>
  <c r="L1263" i="3" l="1"/>
  <c r="N1263" i="3" s="1"/>
  <c r="K1264" i="3"/>
  <c r="K1264" i="1"/>
  <c r="L1263" i="1"/>
  <c r="N1263" i="1" s="1"/>
  <c r="K1265" i="3" l="1"/>
  <c r="L1264" i="3"/>
  <c r="N1264" i="3" s="1"/>
  <c r="K1265" i="1"/>
  <c r="L1264" i="1"/>
  <c r="N1264" i="1" s="1"/>
  <c r="K1266" i="3" l="1"/>
  <c r="L1265" i="3"/>
  <c r="N1265" i="3" s="1"/>
  <c r="K1266" i="1"/>
  <c r="L1265" i="1"/>
  <c r="N1265" i="1" s="1"/>
  <c r="K1267" i="3" l="1"/>
  <c r="L1266" i="3"/>
  <c r="N1266" i="3" s="1"/>
  <c r="L1266" i="1"/>
  <c r="N1266" i="1" s="1"/>
  <c r="K1267" i="1"/>
  <c r="L1267" i="3" l="1"/>
  <c r="N1267" i="3" s="1"/>
  <c r="K1268" i="3"/>
  <c r="K1268" i="1"/>
  <c r="L1267" i="1"/>
  <c r="N1267" i="1" s="1"/>
  <c r="K1269" i="3" l="1"/>
  <c r="L1268" i="3"/>
  <c r="N1268" i="3" s="1"/>
  <c r="K1269" i="1"/>
  <c r="L1268" i="1"/>
  <c r="N1268" i="1" s="1"/>
  <c r="K1270" i="3" l="1"/>
  <c r="L1269" i="3"/>
  <c r="N1269" i="3" s="1"/>
  <c r="L1269" i="1"/>
  <c r="N1269" i="1" s="1"/>
  <c r="K1270" i="1"/>
  <c r="K1271" i="3" l="1"/>
  <c r="L1270" i="3"/>
  <c r="N1270" i="3" s="1"/>
  <c r="K1271" i="1"/>
  <c r="L1270" i="1"/>
  <c r="N1270" i="1" s="1"/>
  <c r="K1272" i="3" l="1"/>
  <c r="L1271" i="3"/>
  <c r="N1271" i="3" s="1"/>
  <c r="K1272" i="1"/>
  <c r="L1271" i="1"/>
  <c r="N1271" i="1" s="1"/>
  <c r="L1272" i="3" l="1"/>
  <c r="N1272" i="3" s="1"/>
  <c r="K1273" i="3"/>
  <c r="K1273" i="1"/>
  <c r="L1272" i="1"/>
  <c r="N1272" i="1" s="1"/>
  <c r="K1274" i="3" l="1"/>
  <c r="L1273" i="3"/>
  <c r="N1273" i="3" s="1"/>
  <c r="K1274" i="1"/>
  <c r="L1273" i="1"/>
  <c r="N1273" i="1" s="1"/>
  <c r="K1275" i="3" l="1"/>
  <c r="L1274" i="3"/>
  <c r="N1274" i="3" s="1"/>
  <c r="L1274" i="1"/>
  <c r="N1274" i="1" s="1"/>
  <c r="K1275" i="1"/>
  <c r="K1276" i="3" l="1"/>
  <c r="L1275" i="3"/>
  <c r="N1275" i="3" s="1"/>
  <c r="K1276" i="1"/>
  <c r="L1275" i="1"/>
  <c r="N1275" i="1" s="1"/>
  <c r="L1276" i="3" l="1"/>
  <c r="N1276" i="3" s="1"/>
  <c r="K1277" i="3"/>
  <c r="K1277" i="1"/>
  <c r="L1276" i="1"/>
  <c r="N1276" i="1" s="1"/>
  <c r="K1278" i="3" l="1"/>
  <c r="L1277" i="3"/>
  <c r="N1277" i="3" s="1"/>
  <c r="L1277" i="1"/>
  <c r="N1277" i="1" s="1"/>
  <c r="K1278" i="1"/>
  <c r="K1279" i="3" l="1"/>
  <c r="L1278" i="3"/>
  <c r="N1278" i="3" s="1"/>
  <c r="K1279" i="1"/>
  <c r="L1278" i="1"/>
  <c r="N1278" i="1" s="1"/>
  <c r="K1280" i="3" l="1"/>
  <c r="L1279" i="3"/>
  <c r="N1279" i="3" s="1"/>
  <c r="K1280" i="1"/>
  <c r="L1279" i="1"/>
  <c r="N1279" i="1" s="1"/>
  <c r="L1280" i="3" l="1"/>
  <c r="N1280" i="3" s="1"/>
  <c r="K1281" i="3"/>
  <c r="K1281" i="1"/>
  <c r="L1280" i="1"/>
  <c r="N1280" i="1" s="1"/>
  <c r="K1282" i="3" l="1"/>
  <c r="L1281" i="3"/>
  <c r="N1281" i="3" s="1"/>
  <c r="K1282" i="1"/>
  <c r="L1281" i="1"/>
  <c r="N1281" i="1" s="1"/>
  <c r="K1283" i="3" l="1"/>
  <c r="L1282" i="3"/>
  <c r="N1282" i="3" s="1"/>
  <c r="L1282" i="1"/>
  <c r="N1282" i="1" s="1"/>
  <c r="K1283" i="1"/>
  <c r="K1284" i="3" l="1"/>
  <c r="L1283" i="3"/>
  <c r="N1283" i="3" s="1"/>
  <c r="K1284" i="1"/>
  <c r="L1283" i="1"/>
  <c r="N1283" i="1" s="1"/>
  <c r="L1284" i="3" l="1"/>
  <c r="N1284" i="3" s="1"/>
  <c r="K1285" i="3"/>
  <c r="K1285" i="1"/>
  <c r="L1284" i="1"/>
  <c r="N1284" i="1" s="1"/>
  <c r="K1286" i="3" l="1"/>
  <c r="L1285" i="3"/>
  <c r="N1285" i="3" s="1"/>
  <c r="L1285" i="1"/>
  <c r="N1285" i="1" s="1"/>
  <c r="K1286" i="1"/>
  <c r="K1287" i="3" l="1"/>
  <c r="L1286" i="3"/>
  <c r="N1286" i="3" s="1"/>
  <c r="K1287" i="1"/>
  <c r="L1286" i="1"/>
  <c r="N1286" i="1" s="1"/>
  <c r="K1288" i="3" l="1"/>
  <c r="L1287" i="3"/>
  <c r="N1287" i="3" s="1"/>
  <c r="K1288" i="1"/>
  <c r="L1287" i="1"/>
  <c r="N1287" i="1" s="1"/>
  <c r="L1288" i="3" l="1"/>
  <c r="N1288" i="3" s="1"/>
  <c r="K1289" i="3"/>
  <c r="K1289" i="1"/>
  <c r="L1288" i="1"/>
  <c r="N1288" i="1" s="1"/>
  <c r="K1290" i="3" l="1"/>
  <c r="L1289" i="3"/>
  <c r="N1289" i="3" s="1"/>
  <c r="K1290" i="1"/>
  <c r="L1289" i="1"/>
  <c r="N1289" i="1" s="1"/>
  <c r="L1290" i="3" l="1"/>
  <c r="N1290" i="3" s="1"/>
  <c r="K1291" i="3"/>
  <c r="L1290" i="1"/>
  <c r="N1290" i="1" s="1"/>
  <c r="K1291" i="1"/>
  <c r="K1292" i="3" l="1"/>
  <c r="L1291" i="3"/>
  <c r="N1291" i="3" s="1"/>
  <c r="K1292" i="1"/>
  <c r="L1291" i="1"/>
  <c r="N1291" i="1" s="1"/>
  <c r="L1292" i="3" l="1"/>
  <c r="N1292" i="3" s="1"/>
  <c r="K1293" i="3"/>
  <c r="K1293" i="1"/>
  <c r="L1292" i="1"/>
  <c r="N1292" i="1" s="1"/>
  <c r="K1294" i="3" l="1"/>
  <c r="L1293" i="3"/>
  <c r="N1293" i="3" s="1"/>
  <c r="L1293" i="1"/>
  <c r="N1293" i="1" s="1"/>
  <c r="K1294" i="1"/>
  <c r="L1294" i="3" l="1"/>
  <c r="N1294" i="3" s="1"/>
  <c r="K1295" i="3"/>
  <c r="K1295" i="1"/>
  <c r="L1294" i="1"/>
  <c r="N1294" i="1" s="1"/>
  <c r="K1296" i="3" l="1"/>
  <c r="L1295" i="3"/>
  <c r="N1295" i="3" s="1"/>
  <c r="K1296" i="1"/>
  <c r="L1295" i="1"/>
  <c r="N1295" i="1" s="1"/>
  <c r="L1296" i="3" l="1"/>
  <c r="N1296" i="3" s="1"/>
  <c r="K1297" i="3"/>
  <c r="K1297" i="1"/>
  <c r="L1296" i="1"/>
  <c r="N1296" i="1" s="1"/>
  <c r="K1298" i="3" l="1"/>
  <c r="L1297" i="3"/>
  <c r="N1297" i="3" s="1"/>
  <c r="K1298" i="1"/>
  <c r="L1297" i="1"/>
  <c r="N1297" i="1" s="1"/>
  <c r="L1298" i="3" l="1"/>
  <c r="N1298" i="3" s="1"/>
  <c r="K1299" i="3"/>
  <c r="L1298" i="1"/>
  <c r="N1298" i="1" s="1"/>
  <c r="K1299" i="1"/>
  <c r="K1300" i="3" l="1"/>
  <c r="L1299" i="3"/>
  <c r="N1299" i="3" s="1"/>
  <c r="K1300" i="1"/>
  <c r="L1299" i="1"/>
  <c r="N1299" i="1" s="1"/>
  <c r="L1300" i="3" l="1"/>
  <c r="N1300" i="3" s="1"/>
  <c r="K1301" i="3"/>
  <c r="K1301" i="1"/>
  <c r="L1300" i="1"/>
  <c r="N1300" i="1" s="1"/>
  <c r="K1302" i="3" l="1"/>
  <c r="L1301" i="3"/>
  <c r="N1301" i="3" s="1"/>
  <c r="K1302" i="1"/>
  <c r="L1301" i="1"/>
  <c r="N1301" i="1" s="1"/>
  <c r="L1302" i="3" l="1"/>
  <c r="N1302" i="3" s="1"/>
  <c r="K1303" i="3"/>
  <c r="K1303" i="1"/>
  <c r="L1302" i="1"/>
  <c r="N1302" i="1" s="1"/>
  <c r="K1304" i="3" l="1"/>
  <c r="L1303" i="3"/>
  <c r="N1303" i="3" s="1"/>
  <c r="L1303" i="1"/>
  <c r="N1303" i="1" s="1"/>
  <c r="K1304" i="1"/>
  <c r="L1304" i="3" l="1"/>
  <c r="N1304" i="3" s="1"/>
  <c r="K1305" i="3"/>
  <c r="K1305" i="1"/>
  <c r="L1304" i="1"/>
  <c r="N1304" i="1" s="1"/>
  <c r="K1306" i="3" l="1"/>
  <c r="L1305" i="3"/>
  <c r="N1305" i="3" s="1"/>
  <c r="K1306" i="1"/>
  <c r="L1305" i="1"/>
  <c r="N1305" i="1" s="1"/>
  <c r="L1306" i="3" l="1"/>
  <c r="N1306" i="3" s="1"/>
  <c r="K1307" i="3"/>
  <c r="K1307" i="1"/>
  <c r="L1306" i="1"/>
  <c r="N1306" i="1" s="1"/>
  <c r="K1308" i="3" l="1"/>
  <c r="L1307" i="3"/>
  <c r="N1307" i="3" s="1"/>
  <c r="K1308" i="1"/>
  <c r="L1307" i="1"/>
  <c r="N1307" i="1" s="1"/>
  <c r="L1308" i="3" l="1"/>
  <c r="N1308" i="3" s="1"/>
  <c r="K1309" i="3"/>
  <c r="L1308" i="1"/>
  <c r="N1308" i="1" s="1"/>
  <c r="K1309" i="1"/>
  <c r="K1310" i="3" l="1"/>
  <c r="L1309" i="3"/>
  <c r="N1309" i="3" s="1"/>
  <c r="K1310" i="1"/>
  <c r="L1309" i="1"/>
  <c r="N1309" i="1" s="1"/>
  <c r="L1310" i="3" l="1"/>
  <c r="N1310" i="3" s="1"/>
  <c r="K1311" i="3"/>
  <c r="K1311" i="1"/>
  <c r="L1310" i="1"/>
  <c r="N1310" i="1" s="1"/>
  <c r="K1312" i="3" l="1"/>
  <c r="L1311" i="3"/>
  <c r="N1311" i="3" s="1"/>
  <c r="L1311" i="1"/>
  <c r="N1311" i="1" s="1"/>
  <c r="K1312" i="1"/>
  <c r="L1312" i="3" l="1"/>
  <c r="N1312" i="3" s="1"/>
  <c r="K1313" i="3"/>
  <c r="K1313" i="1"/>
  <c r="L1312" i="1"/>
  <c r="N1312" i="1" s="1"/>
  <c r="K1314" i="3" l="1"/>
  <c r="L1313" i="3"/>
  <c r="N1313" i="3" s="1"/>
  <c r="K1314" i="1"/>
  <c r="L1313" i="1"/>
  <c r="N1313" i="1" s="1"/>
  <c r="L1314" i="3" l="1"/>
  <c r="N1314" i="3" s="1"/>
  <c r="K1315" i="3"/>
  <c r="K1315" i="1"/>
  <c r="L1314" i="1"/>
  <c r="N1314" i="1" s="1"/>
  <c r="K1316" i="3" l="1"/>
  <c r="L1315" i="3"/>
  <c r="N1315" i="3" s="1"/>
  <c r="K1316" i="1"/>
  <c r="L1315" i="1"/>
  <c r="N1315" i="1" s="1"/>
  <c r="L1316" i="3" l="1"/>
  <c r="N1316" i="3" s="1"/>
  <c r="K1317" i="3"/>
  <c r="L1316" i="1"/>
  <c r="N1316" i="1" s="1"/>
  <c r="K1317" i="1"/>
  <c r="K1318" i="3" l="1"/>
  <c r="L1317" i="3"/>
  <c r="N1317" i="3" s="1"/>
  <c r="K1318" i="1"/>
  <c r="L1317" i="1"/>
  <c r="N1317" i="1" s="1"/>
  <c r="L1318" i="3" l="1"/>
  <c r="N1318" i="3" s="1"/>
  <c r="K1319" i="3"/>
  <c r="K1319" i="1"/>
  <c r="L1318" i="1"/>
  <c r="N1318" i="1" s="1"/>
  <c r="K1320" i="3" l="1"/>
  <c r="L1319" i="3"/>
  <c r="N1319" i="3" s="1"/>
  <c r="L1319" i="1"/>
  <c r="N1319" i="1" s="1"/>
  <c r="K1320" i="1"/>
  <c r="L1320" i="3" l="1"/>
  <c r="N1320" i="3" s="1"/>
  <c r="K1321" i="3"/>
  <c r="K1321" i="1"/>
  <c r="L1320" i="1"/>
  <c r="N1320" i="1" s="1"/>
  <c r="K1322" i="3" l="1"/>
  <c r="L1321" i="3"/>
  <c r="N1321" i="3" s="1"/>
  <c r="K1322" i="1"/>
  <c r="L1321" i="1"/>
  <c r="N1321" i="1" s="1"/>
  <c r="L1322" i="3" l="1"/>
  <c r="N1322" i="3" s="1"/>
  <c r="K1323" i="3"/>
  <c r="K1323" i="1"/>
  <c r="L1322" i="1"/>
  <c r="N1322" i="1" s="1"/>
  <c r="K1324" i="3" l="1"/>
  <c r="L1323" i="3"/>
  <c r="N1323" i="3" s="1"/>
  <c r="K1324" i="1"/>
  <c r="L1323" i="1"/>
  <c r="N1323" i="1" s="1"/>
  <c r="L1324" i="3" l="1"/>
  <c r="N1324" i="3" s="1"/>
  <c r="K1325" i="3"/>
  <c r="L1324" i="1"/>
  <c r="N1324" i="1" s="1"/>
  <c r="K1325" i="1"/>
  <c r="K1326" i="3" l="1"/>
  <c r="L1325" i="3"/>
  <c r="N1325" i="3" s="1"/>
  <c r="K1326" i="1"/>
  <c r="L1325" i="1"/>
  <c r="N1325" i="1" s="1"/>
  <c r="L1326" i="3" l="1"/>
  <c r="N1326" i="3" s="1"/>
  <c r="K1327" i="3"/>
  <c r="K1327" i="1"/>
  <c r="L1326" i="1"/>
  <c r="N1326" i="1" s="1"/>
  <c r="K1328" i="3" l="1"/>
  <c r="L1327" i="3"/>
  <c r="N1327" i="3" s="1"/>
  <c r="L1327" i="1"/>
  <c r="N1327" i="1" s="1"/>
  <c r="K1328" i="1"/>
  <c r="L1328" i="3" l="1"/>
  <c r="N1328" i="3" s="1"/>
  <c r="K1329" i="3"/>
  <c r="K1329" i="1"/>
  <c r="L1328" i="1"/>
  <c r="N1328" i="1" s="1"/>
  <c r="K1330" i="3" l="1"/>
  <c r="L1329" i="3"/>
  <c r="N1329" i="3" s="1"/>
  <c r="K1330" i="1"/>
  <c r="L1329" i="1"/>
  <c r="N1329" i="1" s="1"/>
  <c r="L1330" i="3" l="1"/>
  <c r="N1330" i="3" s="1"/>
  <c r="K1331" i="3"/>
  <c r="K1331" i="1"/>
  <c r="L1330" i="1"/>
  <c r="N1330" i="1" s="1"/>
  <c r="K1332" i="3" l="1"/>
  <c r="L1331" i="3"/>
  <c r="N1331" i="3" s="1"/>
  <c r="K1332" i="1"/>
  <c r="L1331" i="1"/>
  <c r="N1331" i="1" s="1"/>
  <c r="L1332" i="3" l="1"/>
  <c r="N1332" i="3" s="1"/>
  <c r="K1333" i="3"/>
  <c r="L1332" i="1"/>
  <c r="N1332" i="1" s="1"/>
  <c r="K1333" i="1"/>
  <c r="K1334" i="3" l="1"/>
  <c r="L1333" i="3"/>
  <c r="N1333" i="3" s="1"/>
  <c r="K1334" i="1"/>
  <c r="L1333" i="1"/>
  <c r="N1333" i="1" s="1"/>
  <c r="L1334" i="3" l="1"/>
  <c r="N1334" i="3" s="1"/>
  <c r="K1335" i="3"/>
  <c r="K1335" i="1"/>
  <c r="L1334" i="1"/>
  <c r="N1334" i="1" s="1"/>
  <c r="K1336" i="3" l="1"/>
  <c r="L1335" i="3"/>
  <c r="N1335" i="3" s="1"/>
  <c r="L1335" i="1"/>
  <c r="N1335" i="1" s="1"/>
  <c r="K1336" i="1"/>
  <c r="L1336" i="3" l="1"/>
  <c r="N1336" i="3" s="1"/>
  <c r="K1337" i="3"/>
  <c r="K1337" i="1"/>
  <c r="L1336" i="1"/>
  <c r="N1336" i="1" s="1"/>
  <c r="K1338" i="3" l="1"/>
  <c r="L1337" i="3"/>
  <c r="N1337" i="3" s="1"/>
  <c r="K1338" i="1"/>
  <c r="L1337" i="1"/>
  <c r="N1337" i="1" s="1"/>
  <c r="L1338" i="3" l="1"/>
  <c r="N1338" i="3" s="1"/>
  <c r="K1339" i="3"/>
  <c r="K1339" i="1"/>
  <c r="L1338" i="1"/>
  <c r="N1338" i="1" s="1"/>
  <c r="K1340" i="3" l="1"/>
  <c r="L1339" i="3"/>
  <c r="N1339" i="3" s="1"/>
  <c r="K1340" i="1"/>
  <c r="L1339" i="1"/>
  <c r="N1339" i="1" s="1"/>
  <c r="L1340" i="3" l="1"/>
  <c r="N1340" i="3" s="1"/>
  <c r="K1341" i="3"/>
  <c r="L1340" i="1"/>
  <c r="N1340" i="1" s="1"/>
  <c r="K1341" i="1"/>
  <c r="K1342" i="3" l="1"/>
  <c r="L1341" i="3"/>
  <c r="N1341" i="3" s="1"/>
  <c r="K1342" i="1"/>
  <c r="L1341" i="1"/>
  <c r="N1341" i="1" s="1"/>
  <c r="L1342" i="3" l="1"/>
  <c r="N1342" i="3" s="1"/>
  <c r="K1343" i="3"/>
  <c r="K1343" i="1"/>
  <c r="L1342" i="1"/>
  <c r="N1342" i="1" s="1"/>
  <c r="K1344" i="3" l="1"/>
  <c r="L1343" i="3"/>
  <c r="N1343" i="3" s="1"/>
  <c r="L1343" i="1"/>
  <c r="N1343" i="1" s="1"/>
  <c r="K1344" i="1"/>
  <c r="L1344" i="3" l="1"/>
  <c r="N1344" i="3" s="1"/>
  <c r="K1345" i="3"/>
  <c r="K1345" i="1"/>
  <c r="L1344" i="1"/>
  <c r="N1344" i="1" s="1"/>
  <c r="K1346" i="3" l="1"/>
  <c r="L1345" i="3"/>
  <c r="N1345" i="3" s="1"/>
  <c r="K1346" i="1"/>
  <c r="L1345" i="1"/>
  <c r="N1345" i="1" s="1"/>
  <c r="L1346" i="3" l="1"/>
  <c r="N1346" i="3" s="1"/>
  <c r="K1347" i="3"/>
  <c r="K1347" i="1"/>
  <c r="L1346" i="1"/>
  <c r="N1346" i="1" s="1"/>
  <c r="K1348" i="3" l="1"/>
  <c r="L1347" i="3"/>
  <c r="N1347" i="3" s="1"/>
  <c r="K1348" i="1"/>
  <c r="L1347" i="1"/>
  <c r="N1347" i="1" s="1"/>
  <c r="L1348" i="3" l="1"/>
  <c r="N1348" i="3" s="1"/>
  <c r="K1349" i="3"/>
  <c r="L1348" i="1"/>
  <c r="N1348" i="1" s="1"/>
  <c r="K1349" i="1"/>
  <c r="K1350" i="3" l="1"/>
  <c r="L1349" i="3"/>
  <c r="N1349" i="3" s="1"/>
  <c r="K1350" i="1"/>
  <c r="L1349" i="1"/>
  <c r="N1349" i="1" s="1"/>
  <c r="L1350" i="3" l="1"/>
  <c r="N1350" i="3" s="1"/>
  <c r="K1351" i="3"/>
  <c r="K1351" i="1"/>
  <c r="L1350" i="1"/>
  <c r="N1350" i="1" s="1"/>
  <c r="K1352" i="3" l="1"/>
  <c r="L1351" i="3"/>
  <c r="N1351" i="3" s="1"/>
  <c r="L1351" i="1"/>
  <c r="N1351" i="1" s="1"/>
  <c r="K1352" i="1"/>
  <c r="L1352" i="3" l="1"/>
  <c r="N1352" i="3" s="1"/>
  <c r="K1353" i="3"/>
  <c r="K1353" i="1"/>
  <c r="L1352" i="1"/>
  <c r="N1352" i="1" s="1"/>
  <c r="K1354" i="3" l="1"/>
  <c r="L1353" i="3"/>
  <c r="N1353" i="3" s="1"/>
  <c r="K1354" i="1"/>
  <c r="L1353" i="1"/>
  <c r="N1353" i="1" s="1"/>
  <c r="L1354" i="3" l="1"/>
  <c r="N1354" i="3" s="1"/>
  <c r="K1355" i="3"/>
  <c r="K1355" i="1"/>
  <c r="L1354" i="1"/>
  <c r="N1354" i="1" s="1"/>
  <c r="K1356" i="3" l="1"/>
  <c r="L1355" i="3"/>
  <c r="N1355" i="3" s="1"/>
  <c r="K1356" i="1"/>
  <c r="L1355" i="1"/>
  <c r="N1355" i="1" s="1"/>
  <c r="L1356" i="3" l="1"/>
  <c r="N1356" i="3" s="1"/>
  <c r="K1357" i="3"/>
  <c r="L1356" i="1"/>
  <c r="N1356" i="1" s="1"/>
  <c r="K1357" i="1"/>
  <c r="K1358" i="3" l="1"/>
  <c r="L1357" i="3"/>
  <c r="N1357" i="3" s="1"/>
  <c r="K1358" i="1"/>
  <c r="L1357" i="1"/>
  <c r="N1357" i="1" s="1"/>
  <c r="L1358" i="3" l="1"/>
  <c r="N1358" i="3" s="1"/>
  <c r="K1359" i="3"/>
  <c r="K1359" i="1"/>
  <c r="L1358" i="1"/>
  <c r="N1358" i="1" s="1"/>
  <c r="K1360" i="3" l="1"/>
  <c r="L1359" i="3"/>
  <c r="N1359" i="3" s="1"/>
  <c r="L1359" i="1"/>
  <c r="N1359" i="1" s="1"/>
  <c r="K1360" i="1"/>
  <c r="L1360" i="3" l="1"/>
  <c r="N1360" i="3" s="1"/>
  <c r="K1361" i="3"/>
  <c r="K1361" i="1"/>
  <c r="L1360" i="1"/>
  <c r="N1360" i="1" s="1"/>
  <c r="K1362" i="3" l="1"/>
  <c r="L1361" i="3"/>
  <c r="N1361" i="3" s="1"/>
  <c r="K1362" i="1"/>
  <c r="L1361" i="1"/>
  <c r="N1361" i="1" s="1"/>
  <c r="L1362" i="3" l="1"/>
  <c r="N1362" i="3" s="1"/>
  <c r="K1363" i="3"/>
  <c r="K1363" i="1"/>
  <c r="L1362" i="1"/>
  <c r="N1362" i="1" s="1"/>
  <c r="K1364" i="3" l="1"/>
  <c r="L1363" i="3"/>
  <c r="N1363" i="3" s="1"/>
  <c r="K1364" i="1"/>
  <c r="L1363" i="1"/>
  <c r="N1363" i="1" s="1"/>
  <c r="L1364" i="3" l="1"/>
  <c r="N1364" i="3" s="1"/>
  <c r="K1365" i="3"/>
  <c r="L1364" i="1"/>
  <c r="N1364" i="1" s="1"/>
  <c r="K1365" i="1"/>
  <c r="K1366" i="3" l="1"/>
  <c r="L1365" i="3"/>
  <c r="N1365" i="3" s="1"/>
  <c r="K1366" i="1"/>
  <c r="L1365" i="1"/>
  <c r="N1365" i="1" s="1"/>
  <c r="L1366" i="3" l="1"/>
  <c r="N1366" i="3" s="1"/>
  <c r="K1367" i="3"/>
  <c r="K1367" i="1"/>
  <c r="L1367" i="1" s="1"/>
  <c r="N1367" i="1" s="1"/>
  <c r="N1369" i="1" s="1"/>
  <c r="L1366" i="1"/>
  <c r="N1366" i="1" s="1"/>
  <c r="Q1374" i="1" l="1"/>
  <c r="Q1375" i="1" s="1"/>
  <c r="Q1377" i="1" s="1"/>
  <c r="D12" i="9"/>
  <c r="K1368" i="3"/>
  <c r="L1367" i="3"/>
  <c r="N1367" i="3" s="1"/>
  <c r="D14" i="9" l="1"/>
  <c r="D16" i="9" s="1"/>
  <c r="L1368" i="3"/>
  <c r="N1368" i="3" s="1"/>
  <c r="K1369" i="3"/>
  <c r="K1370" i="3" l="1"/>
  <c r="L1370" i="3" s="1"/>
  <c r="N1370" i="3" s="1"/>
  <c r="L1369" i="3"/>
  <c r="N1369" i="3" s="1"/>
  <c r="N1372" i="3" l="1"/>
  <c r="F12" i="9" s="1"/>
  <c r="N1430" i="3"/>
  <c r="F14" i="9" l="1"/>
  <c r="F16" i="9" s="1"/>
  <c r="E15" i="12" l="1"/>
  <c r="E18" i="12" l="1"/>
  <c r="E23" i="12" s="1"/>
  <c r="C5" i="14" s="1"/>
  <c r="C11" i="14" s="1"/>
  <c r="E18" i="14" l="1"/>
  <c r="E16" i="14"/>
  <c r="E22" i="14"/>
  <c r="E20" i="14"/>
  <c r="E24" i="14" l="1"/>
  <c r="E26" i="14" s="1"/>
  <c r="E28" i="14" l="1"/>
  <c r="G16" i="14" s="1"/>
  <c r="H16" i="14" s="1"/>
  <c r="G20" i="14" l="1"/>
  <c r="H20" i="14" s="1"/>
  <c r="G18" i="14"/>
  <c r="H18" i="14" s="1"/>
  <c r="G22" i="14"/>
  <c r="H22" i="14" s="1"/>
  <c r="H24" i="14" l="1"/>
</calcChain>
</file>

<file path=xl/sharedStrings.xml><?xml version="1.0" encoding="utf-8"?>
<sst xmlns="http://schemas.openxmlformats.org/spreadsheetml/2006/main" count="76448" uniqueCount="2665">
  <si>
    <t>Missouri Gas Energy - MGE</t>
  </si>
  <si>
    <t>Month</t>
  </si>
  <si>
    <t>Monthly Depreciation Rate</t>
  </si>
  <si>
    <t>Depr Mos(1)</t>
  </si>
  <si>
    <t>Mos</t>
  </si>
  <si>
    <t>Tax Depr</t>
  </si>
  <si>
    <t>Utility Account</t>
  </si>
  <si>
    <t>MGE Work Order No.</t>
  </si>
  <si>
    <t>New Work Order No.</t>
  </si>
  <si>
    <t>Work Order Description</t>
  </si>
  <si>
    <t>Funding Proj. No.</t>
  </si>
  <si>
    <t>Funding Project Description</t>
  </si>
  <si>
    <t>FERC Activity</t>
  </si>
  <si>
    <t>Addition Amount</t>
  </si>
  <si>
    <t>380200-Services - Plastic &amp; Copper</t>
  </si>
  <si>
    <t>20909133142</t>
  </si>
  <si>
    <t>003793</t>
  </si>
  <si>
    <t>Richmond Dr Repl 10'-2in pcs main</t>
  </si>
  <si>
    <t>F0580</t>
  </si>
  <si>
    <t>Replace steel &amp; plastic main</t>
  </si>
  <si>
    <t>Addition</t>
  </si>
  <si>
    <t>376100-Mains - Steel</t>
  </si>
  <si>
    <t>20801133175</t>
  </si>
  <si>
    <t>003810</t>
  </si>
  <si>
    <t>11th &amp; Cleveland Repl PBS w 220'-2i</t>
  </si>
  <si>
    <t>F0592</t>
  </si>
  <si>
    <t>Replace bare steel main - safety re</t>
  </si>
  <si>
    <t>#Months</t>
  </si>
  <si>
    <t>MACRS Rates</t>
  </si>
  <si>
    <t>380200-Services</t>
  </si>
  <si>
    <t>20401050360</t>
  </si>
  <si>
    <t>003816</t>
  </si>
  <si>
    <t>BWO SERVICE LINE LEAK RESPONSIVE</t>
  </si>
  <si>
    <t>F0558</t>
  </si>
  <si>
    <t>SLRP - immediate response - company</t>
  </si>
  <si>
    <t>15 yr</t>
  </si>
  <si>
    <t>20 yr</t>
  </si>
  <si>
    <t>20401050372</t>
  </si>
  <si>
    <t>003818</t>
  </si>
  <si>
    <t>BWO SERVICE REPL BLOCK CONTRACTOR S</t>
  </si>
  <si>
    <t>F0568</t>
  </si>
  <si>
    <t>SLRP - block by block - contract</t>
  </si>
  <si>
    <t>Year 1</t>
  </si>
  <si>
    <t>20801050372</t>
  </si>
  <si>
    <t>003819</t>
  </si>
  <si>
    <t>BWO SERVICE LINE REPL BLOCK CONTRAC</t>
  </si>
  <si>
    <t>F0552</t>
  </si>
  <si>
    <t>Year 2</t>
  </si>
  <si>
    <t>20801050361</t>
  </si>
  <si>
    <t>003823</t>
  </si>
  <si>
    <t>BWO SERVICE LINE REPL MODIFIED BLOC</t>
  </si>
  <si>
    <t>F0522</t>
  </si>
  <si>
    <t>SLRP - modified block by block - co</t>
  </si>
  <si>
    <t>Year 3</t>
  </si>
  <si>
    <t>20401050367</t>
  </si>
  <si>
    <t>003826</t>
  </si>
  <si>
    <t>BWO SERVICE LINE MATERIAL-COMPANY S</t>
  </si>
  <si>
    <t>F0487</t>
  </si>
  <si>
    <t>SLRP - materials - company crews</t>
  </si>
  <si>
    <t>Year 4</t>
  </si>
  <si>
    <t>20401132322</t>
  </si>
  <si>
    <t>003838</t>
  </si>
  <si>
    <t>Mayfair Ph2 Repl CS w 8000'-20in TF</t>
  </si>
  <si>
    <t>F0636</t>
  </si>
  <si>
    <t>20806132677</t>
  </si>
  <si>
    <t>003846</t>
  </si>
  <si>
    <t>Neosho &amp; South St Repl PBS w 135'-4</t>
  </si>
  <si>
    <t>20806132655</t>
  </si>
  <si>
    <t>003848</t>
  </si>
  <si>
    <t>Peterson Road Rectifier &amp; Groundbed</t>
  </si>
  <si>
    <t>F0621</t>
  </si>
  <si>
    <t>Rectifier Initial Installation</t>
  </si>
  <si>
    <t>20201132800</t>
  </si>
  <si>
    <t>003859</t>
  </si>
  <si>
    <t>35th &amp; Denton Repl PBS w 1220'-2in</t>
  </si>
  <si>
    <t>F0604</t>
  </si>
  <si>
    <t>21001132830</t>
  </si>
  <si>
    <t>003861</t>
  </si>
  <si>
    <t>22nd &amp; Vories REPL PBS w 377-4in PE</t>
  </si>
  <si>
    <t>F0504</t>
  </si>
  <si>
    <t>Bonus deprec</t>
  </si>
  <si>
    <t>20201132920</t>
  </si>
  <si>
    <t>003871</t>
  </si>
  <si>
    <t>Smart Ave Repl PBS w 620'-2in PE Ma</t>
  </si>
  <si>
    <t>21274132678</t>
  </si>
  <si>
    <t>003876</t>
  </si>
  <si>
    <t>NE 68th Reloc PCS w 682'-4in PE mai</t>
  </si>
  <si>
    <t>F0547</t>
  </si>
  <si>
    <t>Street &amp; highway relocates</t>
  </si>
  <si>
    <t xml:space="preserve">Total </t>
  </si>
  <si>
    <t>20501133145</t>
  </si>
  <si>
    <t>003878</t>
  </si>
  <si>
    <t>9th &amp; Schifferdecker Reloc 86'-2in</t>
  </si>
  <si>
    <t>F0664</t>
  </si>
  <si>
    <t>Deprec taken</t>
  </si>
  <si>
    <t>20318132937</t>
  </si>
  <si>
    <t>003887</t>
  </si>
  <si>
    <t>US Rt50 Repl PBS w 310'-4in PE main</t>
  </si>
  <si>
    <t>Shortfall</t>
  </si>
  <si>
    <t>20813132958</t>
  </si>
  <si>
    <t>003905</t>
  </si>
  <si>
    <t>Pine Repl  Fuses w 100'-2in PE</t>
  </si>
  <si>
    <t>F0598</t>
  </si>
  <si>
    <t>20801050360</t>
  </si>
  <si>
    <t>003929</t>
  </si>
  <si>
    <t>BWO SERVICE LINE LEAK RESPONSIVE CO</t>
  </si>
  <si>
    <t>F0520</t>
  </si>
  <si>
    <t>20401050361</t>
  </si>
  <si>
    <t>003932</t>
  </si>
  <si>
    <t>BWO SERVICES REPL MODIFIED BLOCK CO</t>
  </si>
  <si>
    <t>F0486</t>
  </si>
  <si>
    <t>20501050370</t>
  </si>
  <si>
    <t>003937</t>
  </si>
  <si>
    <t>BWO SERVICE LINE REPL CONTRACTOR</t>
  </si>
  <si>
    <t>F0576</t>
  </si>
  <si>
    <t>SLRP - immediate response - contrac</t>
  </si>
  <si>
    <t>20401050325</t>
  </si>
  <si>
    <t>003969</t>
  </si>
  <si>
    <t>ENCAPSULATION CAST IRON JOINTS</t>
  </si>
  <si>
    <t>F0524</t>
  </si>
  <si>
    <t>Encapsulation - cast iron joints</t>
  </si>
  <si>
    <t>20501050361</t>
  </si>
  <si>
    <t>003975</t>
  </si>
  <si>
    <t>F0494</t>
  </si>
  <si>
    <t>20901050361</t>
  </si>
  <si>
    <t>003976</t>
  </si>
  <si>
    <t>F0515</t>
  </si>
  <si>
    <t>378000-Meas &amp; Reg Station Equipment</t>
  </si>
  <si>
    <t>20910121696</t>
  </si>
  <si>
    <t>003998</t>
  </si>
  <si>
    <t>Olive St Rebuild DRS 13</t>
  </si>
  <si>
    <t>F0600</t>
  </si>
  <si>
    <t>Station Rebuild &amp; Replacement</t>
  </si>
  <si>
    <t>376101-MGE-Mains Steel-Transmission</t>
  </si>
  <si>
    <t>20401132311</t>
  </si>
  <si>
    <t>004000</t>
  </si>
  <si>
    <t>Bannister 20inch Hydro Testing</t>
  </si>
  <si>
    <t>F0502</t>
  </si>
  <si>
    <t>34-394-100-PIPESAFE</t>
  </si>
  <si>
    <t>20201132785</t>
  </si>
  <si>
    <t>004024</t>
  </si>
  <si>
    <t>Phelps Rd Repl I/O Drs 159 w 4in CS</t>
  </si>
  <si>
    <t>F0672</t>
  </si>
  <si>
    <t>Other main replacements - system re</t>
  </si>
  <si>
    <t>20201132786</t>
  </si>
  <si>
    <t>004025</t>
  </si>
  <si>
    <t>44th &amp; Phelps Repl I/O DRS 105 w 6i</t>
  </si>
  <si>
    <t>20902132933</t>
  </si>
  <si>
    <t>004027</t>
  </si>
  <si>
    <t>Northern Blvd Repl PBS w 280'-2in P</t>
  </si>
  <si>
    <t>20322133096</t>
  </si>
  <si>
    <t>004031</t>
  </si>
  <si>
    <t>806 S Main Repl PBS w 260'-2in PE m</t>
  </si>
  <si>
    <t>20401133219</t>
  </si>
  <si>
    <t>004041</t>
  </si>
  <si>
    <t>109th Terr Repl Copper w 25'-2in TF</t>
  </si>
  <si>
    <t>F0613</t>
  </si>
  <si>
    <t>20513133102</t>
  </si>
  <si>
    <t>004044</t>
  </si>
  <si>
    <t>Main &amp; Hillcrest Repl PCS w 180'-2i</t>
  </si>
  <si>
    <t>F0575</t>
  </si>
  <si>
    <t>20401133185</t>
  </si>
  <si>
    <t>004062</t>
  </si>
  <si>
    <t>AOR 4505 Agnes Repl CI w 35'-4in PE</t>
  </si>
  <si>
    <t>F0599</t>
  </si>
  <si>
    <t>Replace cast iron main - CPI / prio</t>
  </si>
  <si>
    <t>20810133054</t>
  </si>
  <si>
    <t>004082</t>
  </si>
  <si>
    <t>Necessity repl 5ft 2in Plastic Main</t>
  </si>
  <si>
    <t>20201133048</t>
  </si>
  <si>
    <t>004097</t>
  </si>
  <si>
    <t>Kentucky Rectifier &amp; GroundBed I-03</t>
  </si>
  <si>
    <t>F0503</t>
  </si>
  <si>
    <t>Rectifier Replacements</t>
  </si>
  <si>
    <t>20501132979</t>
  </si>
  <si>
    <t>004121</t>
  </si>
  <si>
    <t>11th &amp; Highview Reloc PBS w 510'-6i</t>
  </si>
  <si>
    <t>21204133050</t>
  </si>
  <si>
    <t>004126</t>
  </si>
  <si>
    <t>Glenaire Rectifier/Ground Bed Repl</t>
  </si>
  <si>
    <t>20201132807</t>
  </si>
  <si>
    <t>004132</t>
  </si>
  <si>
    <t>Osage &amp; Gudgell Repl PBS w 1855'-2i</t>
  </si>
  <si>
    <t>20901050372</t>
  </si>
  <si>
    <t>004146</t>
  </si>
  <si>
    <t>F0650</t>
  </si>
  <si>
    <t>20501050377</t>
  </si>
  <si>
    <t>004148</t>
  </si>
  <si>
    <t>BWO MATERIAL SERV LINE REPL CONT</t>
  </si>
  <si>
    <t>F0517</t>
  </si>
  <si>
    <t>SLRP - materials - contract</t>
  </si>
  <si>
    <t>20401050370</t>
  </si>
  <si>
    <t>004150</t>
  </si>
  <si>
    <t>BWO SERVICE LINE REPL CONTRACTOR SL</t>
  </si>
  <si>
    <t>F0559</t>
  </si>
  <si>
    <t>20401050301</t>
  </si>
  <si>
    <t>004152</t>
  </si>
  <si>
    <t>BWO-REPLACE SERVICE</t>
  </si>
  <si>
    <t>F0608</t>
  </si>
  <si>
    <t>Replace existing protected steel, p</t>
  </si>
  <si>
    <t>20901050301</t>
  </si>
  <si>
    <t>004153</t>
  </si>
  <si>
    <t>F0513</t>
  </si>
  <si>
    <t>20501121593</t>
  </si>
  <si>
    <t>004179</t>
  </si>
  <si>
    <t>50th &amp; Indiana Reloc 5962'-4in PE m</t>
  </si>
  <si>
    <t>20307132741</t>
  </si>
  <si>
    <t>004195</t>
  </si>
  <si>
    <t>Orange St Reloc CS w 114'-6in TF St</t>
  </si>
  <si>
    <t>F0578</t>
  </si>
  <si>
    <t>20932132895</t>
  </si>
  <si>
    <t>004199</t>
  </si>
  <si>
    <t>155th St  Extension to Facilitate H</t>
  </si>
  <si>
    <t>20401132824</t>
  </si>
  <si>
    <t>004203</t>
  </si>
  <si>
    <t>Rebuild DRS 415</t>
  </si>
  <si>
    <t>F0501</t>
  </si>
  <si>
    <t>Station rebuild &amp; replacement</t>
  </si>
  <si>
    <t>20901133057</t>
  </si>
  <si>
    <t>004204</t>
  </si>
  <si>
    <t>Oak Tree &amp; Adams Reloc 2in PE</t>
  </si>
  <si>
    <t>20813133154</t>
  </si>
  <si>
    <t>004207</t>
  </si>
  <si>
    <t>Purdy &amp; Pine Repl PBS w 315'-2in PE</t>
  </si>
  <si>
    <t>20201132787</t>
  </si>
  <si>
    <t>004213</t>
  </si>
  <si>
    <t>45th &amp; Phelps Repl DRS 188 I/O w 4i</t>
  </si>
  <si>
    <t>20401132337</t>
  </si>
  <si>
    <t>004232</t>
  </si>
  <si>
    <t>Rebuild DRS 260 W of Blue River Rd</t>
  </si>
  <si>
    <t>20401133039</t>
  </si>
  <si>
    <t>004271</t>
  </si>
  <si>
    <t>AOR 2552 Chelsea Repl CI with 40'-6</t>
  </si>
  <si>
    <t>21001133047</t>
  </si>
  <si>
    <t>004272</t>
  </si>
  <si>
    <t>Riverview Rectifier 661 Relocation</t>
  </si>
  <si>
    <t>20901050377</t>
  </si>
  <si>
    <t>004287</t>
  </si>
  <si>
    <t>F0607</t>
  </si>
  <si>
    <t>20501050301</t>
  </si>
  <si>
    <t>004288</t>
  </si>
  <si>
    <t>F0541</t>
  </si>
  <si>
    <t>20401132458</t>
  </si>
  <si>
    <t>004311</t>
  </si>
  <si>
    <t>Leslie Ave DRS 308 I/O Piping</t>
  </si>
  <si>
    <t>20801132712</t>
  </si>
  <si>
    <t>004324</t>
  </si>
  <si>
    <t>Monett New Rectifier /Ground Bed #6</t>
  </si>
  <si>
    <t>20933132713</t>
  </si>
  <si>
    <t>004325</t>
  </si>
  <si>
    <t>Drexel Rectifier/Ground Bed #0061</t>
  </si>
  <si>
    <t>20401132827</t>
  </si>
  <si>
    <t>004332</t>
  </si>
  <si>
    <t>AOR 7027 Agnes Blvd Repl CI w 30'-6</t>
  </si>
  <si>
    <t>20401133036</t>
  </si>
  <si>
    <t>004343</t>
  </si>
  <si>
    <t>AOR 6111 Forest Repl CI w 30'-4in P</t>
  </si>
  <si>
    <t>20513133101</t>
  </si>
  <si>
    <t>004362</t>
  </si>
  <si>
    <t>2nd &amp; Hunter Repl PBS w 301'-2in PE</t>
  </si>
  <si>
    <t>F0572</t>
  </si>
  <si>
    <t>20902132967</t>
  </si>
  <si>
    <t>004374</t>
  </si>
  <si>
    <t>Railroad St Repl BS/CS w 1515'-2in;</t>
  </si>
  <si>
    <t>20201133049</t>
  </si>
  <si>
    <t>004382</t>
  </si>
  <si>
    <t>33rd &amp; Vermont Rectifier/GroundBed</t>
  </si>
  <si>
    <t>20901050370</t>
  </si>
  <si>
    <t>004414</t>
  </si>
  <si>
    <t>BWO SERVICE LINE REPL CONTRACT-SLRP</t>
  </si>
  <si>
    <t>F0555</t>
  </si>
  <si>
    <t>21001050301</t>
  </si>
  <si>
    <t>004416</t>
  </si>
  <si>
    <t>F0561</t>
  </si>
  <si>
    <t>20201132511</t>
  </si>
  <si>
    <t>004427</t>
  </si>
  <si>
    <t>Hayward Ave Repl PBS w 5040'-2in PE</t>
  </si>
  <si>
    <t>20401132518</t>
  </si>
  <si>
    <t>004428</t>
  </si>
  <si>
    <t>52nd &amp; Oak Repl PBS with 40'-12in T</t>
  </si>
  <si>
    <t>F0663</t>
  </si>
  <si>
    <t>20401133204</t>
  </si>
  <si>
    <t>004444</t>
  </si>
  <si>
    <t>KANSAS CITY STAR-2IN REPL SERVICE</t>
  </si>
  <si>
    <t>F0631</t>
  </si>
  <si>
    <t>Services - 2" &amp; larger - safety</t>
  </si>
  <si>
    <t>20813133159</t>
  </si>
  <si>
    <t>004459</t>
  </si>
  <si>
    <t>Geneve Repl PBS w  310'-2in PE main</t>
  </si>
  <si>
    <t>20401132966</t>
  </si>
  <si>
    <t>004468</t>
  </si>
  <si>
    <t>AOR 33rd &amp; Wayne Repl CI w 120'-4in</t>
  </si>
  <si>
    <t>20801050301</t>
  </si>
  <si>
    <t>004501</t>
  </si>
  <si>
    <t>F0659</t>
  </si>
  <si>
    <t>20401132379</t>
  </si>
  <si>
    <t>004515</t>
  </si>
  <si>
    <t>Gardner Ave Reloc DRS 424</t>
  </si>
  <si>
    <t>20401121835</t>
  </si>
  <si>
    <t>004525</t>
  </si>
  <si>
    <t>Askew Repl CI w 1175'-2in PE main</t>
  </si>
  <si>
    <t>20904132968</t>
  </si>
  <si>
    <t>004547</t>
  </si>
  <si>
    <t>Alley 7th &amp; Jones Reloc 75'-2in PE</t>
  </si>
  <si>
    <t>20401121900</t>
  </si>
  <si>
    <t>004557</t>
  </si>
  <si>
    <t>55th &amp; Woodland Repl CI w 12in TF S</t>
  </si>
  <si>
    <t>F0668</t>
  </si>
  <si>
    <t>20902132892</t>
  </si>
  <si>
    <t>004571</t>
  </si>
  <si>
    <t>83rd &amp; Raytown Rd Tie 2in PE</t>
  </si>
  <si>
    <t>20401132828</t>
  </si>
  <si>
    <t>004582</t>
  </si>
  <si>
    <t>AOR CI Repl 240'-6in PE main</t>
  </si>
  <si>
    <t>20806133026</t>
  </si>
  <si>
    <t>004590</t>
  </si>
  <si>
    <t>Doniphan Dr Repl 2in CS Service Lin</t>
  </si>
  <si>
    <t>F0506</t>
  </si>
  <si>
    <t>20901050360</t>
  </si>
  <si>
    <t>004598</t>
  </si>
  <si>
    <t>F0484</t>
  </si>
  <si>
    <t>20401050371</t>
  </si>
  <si>
    <t>004599</t>
  </si>
  <si>
    <t>BWO SERVICE REPL MODIFIED BLOCK CON</t>
  </si>
  <si>
    <t>F0567</t>
  </si>
  <si>
    <t>20901050367</t>
  </si>
  <si>
    <t>004609</t>
  </si>
  <si>
    <t>BWO MATERIAL SERV LINE REPL COMP</t>
  </si>
  <si>
    <t>F0649</t>
  </si>
  <si>
    <t>20401121846</t>
  </si>
  <si>
    <t>004612</t>
  </si>
  <si>
    <t>26th btw Brooklyn/Prospect Repl CI</t>
  </si>
  <si>
    <t>20201132733</t>
  </si>
  <si>
    <t>004624</t>
  </si>
  <si>
    <t>33rd Terr Reloc PBS w 620'-2in Pe</t>
  </si>
  <si>
    <t>20201132701</t>
  </si>
  <si>
    <t>004630</t>
  </si>
  <si>
    <t>31st &amp; Overton Repl PBS w 500'-2in</t>
  </si>
  <si>
    <t>21271132604</t>
  </si>
  <si>
    <t>004633</t>
  </si>
  <si>
    <t>Highland Ave Repl CI w 1330'-2in PE</t>
  </si>
  <si>
    <t>20401132849</t>
  </si>
  <si>
    <t>004638</t>
  </si>
  <si>
    <t>Cass County Hydrotest Phase 2</t>
  </si>
  <si>
    <t>20401132894</t>
  </si>
  <si>
    <t>004647</t>
  </si>
  <si>
    <t>Kelly Road Main Ext Facilitate Hydr</t>
  </si>
  <si>
    <t>20816133105</t>
  </si>
  <si>
    <t>004662</t>
  </si>
  <si>
    <t>Cheynne &amp; Daisy Falls Reloc 290'-4i</t>
  </si>
  <si>
    <t>20201132874</t>
  </si>
  <si>
    <t>004665</t>
  </si>
  <si>
    <t>Highland &amp; College Repl PBS w 330'-</t>
  </si>
  <si>
    <t>20806133208</t>
  </si>
  <si>
    <t>004666</t>
  </si>
  <si>
    <t>Alley at Sherman Ret PBS/PCS with 6</t>
  </si>
  <si>
    <t>F0527</t>
  </si>
  <si>
    <t>20401132883</t>
  </si>
  <si>
    <t>004669</t>
  </si>
  <si>
    <t>84th &amp; Hillcrest Repl PCS w 1235'-2</t>
  </si>
  <si>
    <t>F0665</t>
  </si>
  <si>
    <t>20401133038</t>
  </si>
  <si>
    <t>004670</t>
  </si>
  <si>
    <t>AOR Repl CI w 125'-6in PE main</t>
  </si>
  <si>
    <t>20813133153</t>
  </si>
  <si>
    <t>003879</t>
  </si>
  <si>
    <t>McHenry &amp; Main Repl PBS w 890'-2in</t>
  </si>
  <si>
    <t>21261143281</t>
  </si>
  <si>
    <t>003885</t>
  </si>
  <si>
    <t>NW 76th Repl PE w 40'-3in CS main</t>
  </si>
  <si>
    <t>21207133243</t>
  </si>
  <si>
    <t>003914</t>
  </si>
  <si>
    <t>205 N Forest Repl PCS w 26'-4IN TF</t>
  </si>
  <si>
    <t>20401132805</t>
  </si>
  <si>
    <t>004007</t>
  </si>
  <si>
    <t>38th &amp; State Line Repl CI w 70'-4in</t>
  </si>
  <si>
    <t>20401133168</t>
  </si>
  <si>
    <t>004056</t>
  </si>
  <si>
    <t>23rd &amp; Topping Repl CU/BS w 645'-2;</t>
  </si>
  <si>
    <t>20401133187</t>
  </si>
  <si>
    <t>004093</t>
  </si>
  <si>
    <t>AOR 4937-43 S Benton Repl CI w 140'</t>
  </si>
  <si>
    <t>20602133202</t>
  </si>
  <si>
    <t>004094</t>
  </si>
  <si>
    <t>Sumac Abandon 525'-1.25in PCS</t>
  </si>
  <si>
    <t>20401133037</t>
  </si>
  <si>
    <t>004096</t>
  </si>
  <si>
    <t>AOR 2904 E 69th Repl CI w 30'-6in P</t>
  </si>
  <si>
    <t>20401133040</t>
  </si>
  <si>
    <t>004133</t>
  </si>
  <si>
    <t>Rebuild DRS 356 New DRS #757</t>
  </si>
  <si>
    <t>20401133238</t>
  </si>
  <si>
    <t>004255</t>
  </si>
  <si>
    <t>12th &amp; Denver Repl Copper w 70'-2in</t>
  </si>
  <si>
    <t>20401133242</t>
  </si>
  <si>
    <t>004381</t>
  </si>
  <si>
    <t>14th &amp; Bennington Reloc PBS w 15'-3</t>
  </si>
  <si>
    <t>F0497</t>
  </si>
  <si>
    <t>Street &amp; highway relocates - safety</t>
  </si>
  <si>
    <t>20902143326</t>
  </si>
  <si>
    <t>004385</t>
  </si>
  <si>
    <t>74th Ter &amp; Woodson Repl PCS w 50'-2</t>
  </si>
  <si>
    <t>F0605</t>
  </si>
  <si>
    <t>20201133137</t>
  </si>
  <si>
    <t>004396</t>
  </si>
  <si>
    <t>Farley Ave Repl PBS w 9325'-2;285'-</t>
  </si>
  <si>
    <t>21219133193</t>
  </si>
  <si>
    <t>004442</t>
  </si>
  <si>
    <t>7th St Repl PCS w 19'-3in TF Steel</t>
  </si>
  <si>
    <t>20317132851</t>
  </si>
  <si>
    <t>004448</t>
  </si>
  <si>
    <t>Railroad St Repl PBS w 25'-6;10'-4i</t>
  </si>
  <si>
    <t>20816143338</t>
  </si>
  <si>
    <t>004464</t>
  </si>
  <si>
    <t>Texas St Repl CS w 56'- 2in PE Main</t>
  </si>
  <si>
    <t>F0545</t>
  </si>
  <si>
    <t>20901132486</t>
  </si>
  <si>
    <t>004574</t>
  </si>
  <si>
    <t>Lincolnwood Reloc PCS w 20'-4in PE</t>
  </si>
  <si>
    <t>20501050371</t>
  </si>
  <si>
    <t>004600</t>
  </si>
  <si>
    <t>F0669</t>
  </si>
  <si>
    <t>21271121673</t>
  </si>
  <si>
    <t>004629</t>
  </si>
  <si>
    <t>113th &amp; Main Rebuild DRS #332</t>
  </si>
  <si>
    <t>20401133249</t>
  </si>
  <si>
    <t>003788</t>
  </si>
  <si>
    <t>Cypress &amp; E 43rd Repl Cooper w 45'-</t>
  </si>
  <si>
    <t>20401133186</t>
  </si>
  <si>
    <t>003869</t>
  </si>
  <si>
    <t>AOR Brooklyn &amp; Linwood Repl CI w 60</t>
  </si>
  <si>
    <t>20201133133</t>
  </si>
  <si>
    <t>003903</t>
  </si>
  <si>
    <t>24hwy &amp; Salisbury Repl PBS main 334</t>
  </si>
  <si>
    <t>20601132986</t>
  </si>
  <si>
    <t>003910</t>
  </si>
  <si>
    <t>13th &amp; Buena Vista Reloc 365'-2in P</t>
  </si>
  <si>
    <t>20401121897</t>
  </si>
  <si>
    <t>003950</t>
  </si>
  <si>
    <t>County Line Rd Rectifier L0413 and</t>
  </si>
  <si>
    <t>20201121889</t>
  </si>
  <si>
    <t>003962</t>
  </si>
  <si>
    <t>Rectifier L0263 Rectifier and Grou</t>
  </si>
  <si>
    <t>20806133205</t>
  </si>
  <si>
    <t>004100</t>
  </si>
  <si>
    <t>Alley at Hickory Repl PBS w 190'-2i</t>
  </si>
  <si>
    <t>21271143343</t>
  </si>
  <si>
    <t>004102</t>
  </si>
  <si>
    <t>119th Ter &amp; N College Repl 200'-2in</t>
  </si>
  <si>
    <t>20501121966</t>
  </si>
  <si>
    <t>004161</t>
  </si>
  <si>
    <t>26th &amp; Schifferdecker Reloc Main Wi</t>
  </si>
  <si>
    <t>F0546</t>
  </si>
  <si>
    <t>20908121857</t>
  </si>
  <si>
    <t>004182</t>
  </si>
  <si>
    <t>Polk &amp; Butler Ter Repl PBS w 500'-2</t>
  </si>
  <si>
    <t>20401133189</t>
  </si>
  <si>
    <t>004197</t>
  </si>
  <si>
    <t>AOR 5345 Swope Prky Repl CI w 1090'</t>
  </si>
  <si>
    <t>20501132764</t>
  </si>
  <si>
    <t>004240</t>
  </si>
  <si>
    <t>7th &amp; Illinois Repl PCS w 590'-4in</t>
  </si>
  <si>
    <t>20401133173</t>
  </si>
  <si>
    <t>004241</t>
  </si>
  <si>
    <t>92nd &amp; Tenn REPL PBS w 12'-2in TF S</t>
  </si>
  <si>
    <t>20201143426</t>
  </si>
  <si>
    <t>004248</t>
  </si>
  <si>
    <t>24 Hwy &amp; Allen Repl PBS w 120'-4in</t>
  </si>
  <si>
    <t>20401132897</t>
  </si>
  <si>
    <t>004257</t>
  </si>
  <si>
    <t>27th &amp; Park Repl CI w 620'-4in PE m</t>
  </si>
  <si>
    <t>F0500</t>
  </si>
  <si>
    <t>21215143294</t>
  </si>
  <si>
    <t>004266</t>
  </si>
  <si>
    <t>19th &amp; Meadow Ln RELOC 165'- 4IN PC</t>
  </si>
  <si>
    <t>21258143346</t>
  </si>
  <si>
    <t>004267</t>
  </si>
  <si>
    <t>4800 NW Homestead Repl 4'-2IN PE</t>
  </si>
  <si>
    <t>20401133188</t>
  </si>
  <si>
    <t>004275</t>
  </si>
  <si>
    <t>AOR Norton &amp; 52nd St Repl CI w 40'-</t>
  </si>
  <si>
    <t>20401050377</t>
  </si>
  <si>
    <t>004279</t>
  </si>
  <si>
    <t>BWO SERVICE LINE MATERIAL CONTRACTO</t>
  </si>
  <si>
    <t>F0586</t>
  </si>
  <si>
    <t>20910132654</t>
  </si>
  <si>
    <t>004285</t>
  </si>
  <si>
    <t>2nd &amp; St ChralesRepl PBS w 75'-2in</t>
  </si>
  <si>
    <t>20515133033</t>
  </si>
  <si>
    <t>004360</t>
  </si>
  <si>
    <t>7th &amp; Duquesne Reloc 110'-4in TF St</t>
  </si>
  <si>
    <t>20401132728</t>
  </si>
  <si>
    <t>004480</t>
  </si>
  <si>
    <t>80th Public Impr Reloc CS/BS w 1428</t>
  </si>
  <si>
    <t>20501132745</t>
  </si>
  <si>
    <t>004559</t>
  </si>
  <si>
    <t>7th &amp; Minnesota Repl PBS w 2350'-4;</t>
  </si>
  <si>
    <t>F0544</t>
  </si>
  <si>
    <t>20908133165</t>
  </si>
  <si>
    <t>004566</t>
  </si>
  <si>
    <t>Butler Repl PBS w 2930'-2in PE main</t>
  </si>
  <si>
    <t>20401132982</t>
  </si>
  <si>
    <t>004567</t>
  </si>
  <si>
    <t>27th &amp; Lawn Repl CI/PBS w 2118'-6in</t>
  </si>
  <si>
    <t>20401133190</t>
  </si>
  <si>
    <t>004585</t>
  </si>
  <si>
    <t>AOR 425 N Denver Repl CI w 35'-6in</t>
  </si>
  <si>
    <t>20501132643</t>
  </si>
  <si>
    <t>004623</t>
  </si>
  <si>
    <t>11th&amp;Picher CP Repl PBS w 1095'-4in</t>
  </si>
  <si>
    <t>20501133143</t>
  </si>
  <si>
    <t>004648</t>
  </si>
  <si>
    <t>Florida Ave Repl PBS w 588'-2in PE</t>
  </si>
  <si>
    <t>20901143327</t>
  </si>
  <si>
    <t>004673</t>
  </si>
  <si>
    <t>16th &amp; Decker Reloc CS w 250'-4in P</t>
  </si>
  <si>
    <t>20802132908</t>
  </si>
  <si>
    <t>003795</t>
  </si>
  <si>
    <t>Short St Repl PBS w 30'-2in CS main</t>
  </si>
  <si>
    <t>21001132796</t>
  </si>
  <si>
    <t>003797</t>
  </si>
  <si>
    <t>Monterey Dr Repl PBS w 600'-4in PE</t>
  </si>
  <si>
    <t>21219132984</t>
  </si>
  <si>
    <t>003801</t>
  </si>
  <si>
    <t>S Walnut Repl PE w 9'-4in PE main</t>
  </si>
  <si>
    <t>21271132955</t>
  </si>
  <si>
    <t>003802</t>
  </si>
  <si>
    <t>NE 50 &amp; N Chelsea Repl PBS w 12'-2i</t>
  </si>
  <si>
    <t>20802132882</t>
  </si>
  <si>
    <t>003806</t>
  </si>
  <si>
    <t>Elm &amp; Halstead Repl PBS w 15'-2in P</t>
  </si>
  <si>
    <t>F0634</t>
  </si>
  <si>
    <t>20901050371</t>
  </si>
  <si>
    <t>003817</t>
  </si>
  <si>
    <t>F0581</t>
  </si>
  <si>
    <t>20910132661</t>
  </si>
  <si>
    <t>003829</t>
  </si>
  <si>
    <t>2nd &amp; Charles Repl PBS w 340'-2in P</t>
  </si>
  <si>
    <t>20928132664</t>
  </si>
  <si>
    <t>003833</t>
  </si>
  <si>
    <t>Wells St Reloc PCS w 660'-2in PE</t>
  </si>
  <si>
    <t>20909132747</t>
  </si>
  <si>
    <t>003839</t>
  </si>
  <si>
    <t>Alley btw Taylor/Campbell Repl PBS</t>
  </si>
  <si>
    <t>F0646</t>
  </si>
  <si>
    <t>20501132517</t>
  </si>
  <si>
    <t>003844</t>
  </si>
  <si>
    <t>Plaza Dr Repl PBS w 1825'-4in PE</t>
  </si>
  <si>
    <t>20801050367</t>
  </si>
  <si>
    <t>003935</t>
  </si>
  <si>
    <t>F0637</t>
  </si>
  <si>
    <t>20501132715</t>
  </si>
  <si>
    <t>003957</t>
  </si>
  <si>
    <t>Murphy Blvd Repl PBS w 3310'-4in PE</t>
  </si>
  <si>
    <t>376200-Mains - Cast Iron</t>
  </si>
  <si>
    <t>20501050372</t>
  </si>
  <si>
    <t>003972</t>
  </si>
  <si>
    <t>F0624</t>
  </si>
  <si>
    <t>20401132526</t>
  </si>
  <si>
    <t>003988</t>
  </si>
  <si>
    <t>Carondolet &amp; Stateline Reloc 50'-2i</t>
  </si>
  <si>
    <t>20301132519</t>
  </si>
  <si>
    <t>003991</t>
  </si>
  <si>
    <t>Ming St Repl PBS w 245'-2;1500'-4in</t>
  </si>
  <si>
    <t>20909117602</t>
  </si>
  <si>
    <t>004005</t>
  </si>
  <si>
    <t>Lexington St Repl PBS w 1460'-4&amp;70'</t>
  </si>
  <si>
    <t>20909132791</t>
  </si>
  <si>
    <t>20901132945</t>
  </si>
  <si>
    <t>004028</t>
  </si>
  <si>
    <t>Country Ln Reloc 30'-2in PE main</t>
  </si>
  <si>
    <t>21001143357</t>
  </si>
  <si>
    <t>004034</t>
  </si>
  <si>
    <t>35th &amp; Jackson Repl PBS w 680-4in P</t>
  </si>
  <si>
    <t>20401143311</t>
  </si>
  <si>
    <t>004036</t>
  </si>
  <si>
    <t>107 Ter &amp; Hillcrest Reloc PBS w450'</t>
  </si>
  <si>
    <t>20201132794</t>
  </si>
  <si>
    <t>004042</t>
  </si>
  <si>
    <t>24 Hwy &amp; Lynn Repl PBS w 1165'-2in</t>
  </si>
  <si>
    <t>21001143318</t>
  </si>
  <si>
    <t>004103</t>
  </si>
  <si>
    <t>Lookout &amp; Yale Repl PBS w 414'- 4in</t>
  </si>
  <si>
    <t>20909132835</t>
  </si>
  <si>
    <t>004113</t>
  </si>
  <si>
    <t>Oakland St Repl PBS w 1905'-2in PE</t>
  </si>
  <si>
    <t>20201132625</t>
  </si>
  <si>
    <t>004114</t>
  </si>
  <si>
    <t>291 Hwy &amp; Truman I/O Piping DRS 122</t>
  </si>
  <si>
    <t>21207132931</t>
  </si>
  <si>
    <t>004128</t>
  </si>
  <si>
    <t>817 W Hurt Repl PCS w 12'-2in TF St</t>
  </si>
  <si>
    <t>20401132872</t>
  </si>
  <si>
    <t>004135</t>
  </si>
  <si>
    <t>113th Ter &amp; Jackson Repl PBS w 10'-</t>
  </si>
  <si>
    <t>20812132325</t>
  </si>
  <si>
    <t>004162</t>
  </si>
  <si>
    <t>Mill &amp; Cliborne Repl PBS w 165'-2in</t>
  </si>
  <si>
    <t>20401132456</t>
  </si>
  <si>
    <t>004174</t>
  </si>
  <si>
    <t>Leslie Ave Rebuild DRS 308</t>
  </si>
  <si>
    <t>20503132433</t>
  </si>
  <si>
    <t>004177</t>
  </si>
  <si>
    <t>Poplar &amp; Tenn Repl PBS w 585'-2in P</t>
  </si>
  <si>
    <t>20401132928</t>
  </si>
  <si>
    <t>004216</t>
  </si>
  <si>
    <t>4821 Chelsea Repl CS w 62'-2in PE m</t>
  </si>
  <si>
    <t>20312143312</t>
  </si>
  <si>
    <t>004233</t>
  </si>
  <si>
    <t>Virginia &amp; 2nd St Repl PBS/PCS w 60</t>
  </si>
  <si>
    <t>20904143298</t>
  </si>
  <si>
    <t>004262</t>
  </si>
  <si>
    <t>So Haven Rd Reloc PBS w 1365'-4;255</t>
  </si>
  <si>
    <t>F0549</t>
  </si>
  <si>
    <t>20301132993</t>
  </si>
  <si>
    <t>004265</t>
  </si>
  <si>
    <t>South Town Border DRS45</t>
  </si>
  <si>
    <t>20401121683</t>
  </si>
  <si>
    <t>004298</t>
  </si>
  <si>
    <t>27th &amp; Troost Reloc CI w 2198'-6in</t>
  </si>
  <si>
    <t>20201132463</t>
  </si>
  <si>
    <t>004301</t>
  </si>
  <si>
    <t>39th St Bridge  Reloc 1545'-6in PE</t>
  </si>
  <si>
    <t>20813132533</t>
  </si>
  <si>
    <t>004320</t>
  </si>
  <si>
    <t>Pine &amp; Purdy Repl PBS w 2040'-2in P</t>
  </si>
  <si>
    <t>376300-Mains - Plastic</t>
  </si>
  <si>
    <t>21001143303</t>
  </si>
  <si>
    <t>004376</t>
  </si>
  <si>
    <t>9th &amp; Ridenbaugh Repl B/CS w 558'-4</t>
  </si>
  <si>
    <t>20308143365</t>
  </si>
  <si>
    <t>004389</t>
  </si>
  <si>
    <t>22nd &amp; Shelby Repl PBS w 410'-2in P</t>
  </si>
  <si>
    <t>20801050370</t>
  </si>
  <si>
    <t>004413</t>
  </si>
  <si>
    <t>F0618</t>
  </si>
  <si>
    <t>20501132307</t>
  </si>
  <si>
    <t>004422</t>
  </si>
  <si>
    <t>41st &amp; Penn Repl PBS w 560'-4in PE</t>
  </si>
  <si>
    <t>20401132788</t>
  </si>
  <si>
    <t>004443</t>
  </si>
  <si>
    <t>AOR Indep Ave Repl CI w 60'-6in PE</t>
  </si>
  <si>
    <t>21219132924</t>
  </si>
  <si>
    <t>004453</t>
  </si>
  <si>
    <t>Walnut Repl PCS w 15'-3in TF Steel</t>
  </si>
  <si>
    <t>20401132399</t>
  </si>
  <si>
    <t>004460</t>
  </si>
  <si>
    <t>KC Street Car Ph 1 Reloc CI w 2815'</t>
  </si>
  <si>
    <t>21001132797</t>
  </si>
  <si>
    <t>004481</t>
  </si>
  <si>
    <t>Olive Repl PBS w 518'-4in PE main</t>
  </si>
  <si>
    <t>21213132956</t>
  </si>
  <si>
    <t>004483</t>
  </si>
  <si>
    <t>1026 Fredericksburg Repl PCS w 21'-</t>
  </si>
  <si>
    <t>21271133034</t>
  </si>
  <si>
    <t>004485</t>
  </si>
  <si>
    <t>38th &amp; N Brighton Reloc PCS w 20'-8</t>
  </si>
  <si>
    <t>20802132875</t>
  </si>
  <si>
    <t>004486</t>
  </si>
  <si>
    <t>Hwy 97 Repl PCS w 10'-2in TF Steel</t>
  </si>
  <si>
    <t>20401132756</t>
  </si>
  <si>
    <t>004488</t>
  </si>
  <si>
    <t>48th &amp; Oak Repl PBS w 45'-12in TF S</t>
  </si>
  <si>
    <t>20501132734</t>
  </si>
  <si>
    <t>004510</t>
  </si>
  <si>
    <t>Range Line Rd Repl PBS w 105'-2"PE</t>
  </si>
  <si>
    <t>20401132651</t>
  </si>
  <si>
    <t>004523</t>
  </si>
  <si>
    <t>Ward Pkwy &amp; 62nd St Reloc CI w 3564</t>
  </si>
  <si>
    <t>20501132499</t>
  </si>
  <si>
    <t>004531</t>
  </si>
  <si>
    <t>34th &amp; Indiana Repl PBS w 2590'-4in</t>
  </si>
  <si>
    <t>20401132709</t>
  </si>
  <si>
    <t>004536</t>
  </si>
  <si>
    <t>AOR 6115 Main Repl CI w 40'-6in PE</t>
  </si>
  <si>
    <t>20401121259</t>
  </si>
  <si>
    <t>004538</t>
  </si>
  <si>
    <t>107th &amp; Elm Rebuild DRS 746 Site</t>
  </si>
  <si>
    <t>20201132490</t>
  </si>
  <si>
    <t>004619</t>
  </si>
  <si>
    <t>Lexington &amp; Short Repl PBS w 220'-2</t>
  </si>
  <si>
    <t>20201132660</t>
  </si>
  <si>
    <t>004622</t>
  </si>
  <si>
    <t>291 Hwy &amp; Truman Rd Rebuild DRS 122</t>
  </si>
  <si>
    <t>20901132504</t>
  </si>
  <si>
    <t>004626</t>
  </si>
  <si>
    <t>Fairview Rd Rebuild DRS 55</t>
  </si>
  <si>
    <t>20401121800</t>
  </si>
  <si>
    <t>004637</t>
  </si>
  <si>
    <t>63rd &amp; Indiana Repl CI w PE Main  P</t>
  </si>
  <si>
    <t>20401133121</t>
  </si>
  <si>
    <t>004671</t>
  </si>
  <si>
    <t>Palmer Repl PCS w 15'-2in PE main</t>
  </si>
  <si>
    <t>379000-Meas &amp; Reg Station Eqpt-City</t>
  </si>
  <si>
    <t>20830143409</t>
  </si>
  <si>
    <t>003893</t>
  </si>
  <si>
    <t>Repl TB Sta Reg w 2in Mooney</t>
  </si>
  <si>
    <t>21001143358</t>
  </si>
  <si>
    <t>004071</t>
  </si>
  <si>
    <t>Hill Pine Repl PBS w 288'-2in PE ma</t>
  </si>
  <si>
    <t>20812143289</t>
  </si>
  <si>
    <t>004198</t>
  </si>
  <si>
    <t>Elm &amp; Eagon Repl PBS w 1295'-4;505'</t>
  </si>
  <si>
    <t>20401143389</t>
  </si>
  <si>
    <t>004375</t>
  </si>
  <si>
    <t>AOR 5717 Troost Repl CI w 50'-8in T</t>
  </si>
  <si>
    <t>20801050362</t>
  </si>
  <si>
    <t>004407</t>
  </si>
  <si>
    <t>BWO SERVICE LINE REPL BLOCK COMPANY</t>
  </si>
  <si>
    <t>F0594</t>
  </si>
  <si>
    <t>SLRP - block by block - company cre</t>
  </si>
  <si>
    <t>20201143317</t>
  </si>
  <si>
    <t>004463</t>
  </si>
  <si>
    <t>24 Hwy &amp; Overton Reloc PBS w 100'-4</t>
  </si>
  <si>
    <t>20902143419</t>
  </si>
  <si>
    <t>004890</t>
  </si>
  <si>
    <t>71 Ter &amp; Ralston Repl PBS main w 23</t>
  </si>
  <si>
    <t>20401143436</t>
  </si>
  <si>
    <t>004953</t>
  </si>
  <si>
    <t>911 Main St Repl 8in Steel Service</t>
  </si>
  <si>
    <t>21272143466</t>
  </si>
  <si>
    <t>004972</t>
  </si>
  <si>
    <t>101 E 9th Repl CS w 2in PE Service</t>
  </si>
  <si>
    <t>F0612</t>
  </si>
  <si>
    <t>21207143488</t>
  </si>
  <si>
    <t>005040</t>
  </si>
  <si>
    <t>W Franklin Repl PBS w 130'-4in PE m</t>
  </si>
  <si>
    <t>21001143464</t>
  </si>
  <si>
    <t>005111</t>
  </si>
  <si>
    <t>16th &amp; Moss Repl PBS w 450'-4in PE</t>
  </si>
  <si>
    <t>20201133152</t>
  </si>
  <si>
    <t>003809</t>
  </si>
  <si>
    <t>Ky &amp; Sterling Repl PBS w 900'-12 TF</t>
  </si>
  <si>
    <t>20201050360</t>
  </si>
  <si>
    <t>003815</t>
  </si>
  <si>
    <t>20201133170</t>
  </si>
  <si>
    <t>003921</t>
  </si>
  <si>
    <t>Crysler &amp; 35th Repl PBS w 5440'-2in</t>
  </si>
  <si>
    <t>20901143388</t>
  </si>
  <si>
    <t>004070</t>
  </si>
  <si>
    <t>Pacific Reloc 60'-4in PE</t>
  </si>
  <si>
    <t>20812143354</t>
  </si>
  <si>
    <t>004134</t>
  </si>
  <si>
    <t>Main &amp; Elm Reloc PBS w 1895'-4in PE</t>
  </si>
  <si>
    <t>20201132737</t>
  </si>
  <si>
    <t>004169</t>
  </si>
  <si>
    <t>25th &amp; Claremont Reloc PBSw100'-2TF</t>
  </si>
  <si>
    <t>20501143300</t>
  </si>
  <si>
    <t>004214</t>
  </si>
  <si>
    <t>4th &amp; Rangeline Repl PBS w 200'-2in</t>
  </si>
  <si>
    <t>20401133129</t>
  </si>
  <si>
    <t>004221</t>
  </si>
  <si>
    <t>63rd Repl CI Main w 16078'-PE main</t>
  </si>
  <si>
    <t>21235133051</t>
  </si>
  <si>
    <t>004354</t>
  </si>
  <si>
    <t>Lathrop NEW Rectifier &amp; Groundbed</t>
  </si>
  <si>
    <t>F0626</t>
  </si>
  <si>
    <t>Rectifier initial installations</t>
  </si>
  <si>
    <t>20201133218</t>
  </si>
  <si>
    <t>004369</t>
  </si>
  <si>
    <t>26th Glendale Windsor 2in PE Pub Im</t>
  </si>
  <si>
    <t>20501133245</t>
  </si>
  <si>
    <t>004379</t>
  </si>
  <si>
    <t>19th &amp; Harlem Repl PBS w 430'-2in P</t>
  </si>
  <si>
    <t>20901133138</t>
  </si>
  <si>
    <t>004477</t>
  </si>
  <si>
    <t>Country Ln &amp; Columbus Reloc 124'-2i</t>
  </si>
  <si>
    <t>20201133224</t>
  </si>
  <si>
    <t>004575</t>
  </si>
  <si>
    <t>Tie PE mains to C500 System Crysler</t>
  </si>
  <si>
    <t>21271133028</t>
  </si>
  <si>
    <t>004576</t>
  </si>
  <si>
    <t>N Jackson Reloc PBS/PCS w 995'-4;1,</t>
  </si>
  <si>
    <t>20201143418</t>
  </si>
  <si>
    <t>004587</t>
  </si>
  <si>
    <t>Grand &amp; South Reloc PBS w 4270'-2in</t>
  </si>
  <si>
    <t>20301143470</t>
  </si>
  <si>
    <t>004948</t>
  </si>
  <si>
    <t>Broad St Repl PBS w 530'-2in PE mai</t>
  </si>
  <si>
    <t>20401143390</t>
  </si>
  <si>
    <t>004971</t>
  </si>
  <si>
    <t>AOR 1837 E 48th Ter Repl CI w 500'-</t>
  </si>
  <si>
    <t>20903143508</t>
  </si>
  <si>
    <t>005027</t>
  </si>
  <si>
    <t>RD Mize &amp; 7 hwy Repl PCS inlet DRS</t>
  </si>
  <si>
    <t>20201143509</t>
  </si>
  <si>
    <t>005032</t>
  </si>
  <si>
    <t>Lexington &amp; Strode Repl PBS w 440'-</t>
  </si>
  <si>
    <t>21001143360</t>
  </si>
  <si>
    <t>005110</t>
  </si>
  <si>
    <t>Middleton Repl CI w 542'-6in PE mai</t>
  </si>
  <si>
    <t>21001143463</t>
  </si>
  <si>
    <t>005113</t>
  </si>
  <si>
    <t>14th &amp; Scaramento Repl PBS w 150'-4</t>
  </si>
  <si>
    <t>20301118253</t>
  </si>
  <si>
    <t>004430</t>
  </si>
  <si>
    <t>W0137 Rectifier Groundbed Replaceme</t>
  </si>
  <si>
    <t>20903121888</t>
  </si>
  <si>
    <t>004315</t>
  </si>
  <si>
    <t>Brezendine Rectifier L0043 and Grou</t>
  </si>
  <si>
    <t>20507143505</t>
  </si>
  <si>
    <t>005271</t>
  </si>
  <si>
    <t>3rd St &amp; Maple Repl PBS w 139'-2in</t>
  </si>
  <si>
    <t>20806143587</t>
  </si>
  <si>
    <t>005342</t>
  </si>
  <si>
    <t>South St &amp; Oak Ridge Repl PBS w CS/</t>
  </si>
  <si>
    <t>21001143534</t>
  </si>
  <si>
    <t>005462</t>
  </si>
  <si>
    <t>18th St Repl PBS w 303'-2in PE main</t>
  </si>
  <si>
    <t>F0678</t>
  </si>
  <si>
    <t>20401143328</t>
  </si>
  <si>
    <t>004387</t>
  </si>
  <si>
    <t>25th &amp; Indiana Repl CI w 500'-4;379</t>
  </si>
  <si>
    <t>20401143391</t>
  </si>
  <si>
    <t>004365</t>
  </si>
  <si>
    <t>AOR 1300 Askew Repl CI w 555'-4in P</t>
  </si>
  <si>
    <t>20401143560</t>
  </si>
  <si>
    <t>005517</t>
  </si>
  <si>
    <t>20th &amp; Monroe Repl CI w 1122'-2in P</t>
  </si>
  <si>
    <t>20812132959</t>
  </si>
  <si>
    <t>003904</t>
  </si>
  <si>
    <t>Farm Rd 170 Fuses Repl 1035'- 4in P</t>
  </si>
  <si>
    <t>20901132505</t>
  </si>
  <si>
    <t>003845</t>
  </si>
  <si>
    <t>Fairview DR#55 Inlet/Outlet Piping</t>
  </si>
  <si>
    <t>21001143359</t>
  </si>
  <si>
    <t>005112</t>
  </si>
  <si>
    <t>11TH &amp; BROADWAY Repl 103'-2in PE ma</t>
  </si>
  <si>
    <t>21251143578</t>
  </si>
  <si>
    <t>005394</t>
  </si>
  <si>
    <t>N Overland Dr Repl 16'-8in CS main</t>
  </si>
  <si>
    <t>21207132922</t>
  </si>
  <si>
    <t>004259</t>
  </si>
  <si>
    <t>HOLLAND 1916 INC-REPL-4IN SERVLINE</t>
  </si>
  <si>
    <t>F0587</t>
  </si>
  <si>
    <t>Services - 2" &amp; larger</t>
  </si>
  <si>
    <t>20501050367</t>
  </si>
  <si>
    <t>004499</t>
  </si>
  <si>
    <t>F0526</t>
  </si>
  <si>
    <t>21001050371</t>
  </si>
  <si>
    <t>004601</t>
  </si>
  <si>
    <t>F0591</t>
  </si>
  <si>
    <t>21235132901</t>
  </si>
  <si>
    <t>004119</t>
  </si>
  <si>
    <t>Pur Odorant Storage Tank-REX TB Sta</t>
  </si>
  <si>
    <t>20401133116</t>
  </si>
  <si>
    <t>004038</t>
  </si>
  <si>
    <t>135th Reloc PCS/pe w 167'-6in;2884'</t>
  </si>
  <si>
    <t>20506143552</t>
  </si>
  <si>
    <t>005251</t>
  </si>
  <si>
    <t>171 &amp; Pearl Repl PBS w 625'-2in PE</t>
  </si>
  <si>
    <t>20804143597</t>
  </si>
  <si>
    <t>005463</t>
  </si>
  <si>
    <t>Sloan Ave Reloc 10'-3in CS main</t>
  </si>
  <si>
    <t>20910143640</t>
  </si>
  <si>
    <t>005610</t>
  </si>
  <si>
    <t>1901 S Market Reloc 2in PE Service</t>
  </si>
  <si>
    <t>F0623</t>
  </si>
  <si>
    <t>20902143310</t>
  </si>
  <si>
    <t>003866</t>
  </si>
  <si>
    <t>83rd St Reloc PBS/PCS w 2825'-4in P</t>
  </si>
  <si>
    <t>20501143427</t>
  </si>
  <si>
    <t>003906</t>
  </si>
  <si>
    <t>School Ave Reloc PBS w 235'-4in PE</t>
  </si>
  <si>
    <t>20940143315</t>
  </si>
  <si>
    <t>004037</t>
  </si>
  <si>
    <t>Allendale Lake rd Reloc 15'-4in pe</t>
  </si>
  <si>
    <t>20603133197</t>
  </si>
  <si>
    <t>004337</t>
  </si>
  <si>
    <t>I-49 Overpass Reloc Main</t>
  </si>
  <si>
    <t>20901132732</t>
  </si>
  <si>
    <t>004893</t>
  </si>
  <si>
    <t>Colbern &amp; Unity Way Reloc PBS w 550</t>
  </si>
  <si>
    <t>F0514</t>
  </si>
  <si>
    <t>Other relocates</t>
  </si>
  <si>
    <t>Colbern &amp; Unity Way Reloc-Reimbursement</t>
  </si>
  <si>
    <t>20506143648</t>
  </si>
  <si>
    <t>005577</t>
  </si>
  <si>
    <t>So HWY 171 &amp; 43 Reloc PCS w 42'-4in</t>
  </si>
  <si>
    <t>20401143656</t>
  </si>
  <si>
    <t>005683</t>
  </si>
  <si>
    <t>92nd Ter &amp; Holmes Reloc PBS w 30'-6</t>
  </si>
  <si>
    <t>21274143634</t>
  </si>
  <si>
    <t>005687</t>
  </si>
  <si>
    <t>56th Terr Reloc 20'-2in CS main</t>
  </si>
  <si>
    <t>20501143667</t>
  </si>
  <si>
    <t>005733</t>
  </si>
  <si>
    <t>1st &amp; McKinley Reloc PBS w 1215'-2i</t>
  </si>
  <si>
    <t>20401143477</t>
  </si>
  <si>
    <t>004973</t>
  </si>
  <si>
    <t>84th &amp; Tracy Repl PBS w 24'-TF Stee</t>
  </si>
  <si>
    <t>21271143686</t>
  </si>
  <si>
    <t>005850</t>
  </si>
  <si>
    <t>NE 67th Ter &amp; N Euclid Repl 5'-2in</t>
  </si>
  <si>
    <t>20401143682</t>
  </si>
  <si>
    <t>005854</t>
  </si>
  <si>
    <t>Kensington &amp; E 112 Ter Reloc PB w 1</t>
  </si>
  <si>
    <t>20401143555</t>
  </si>
  <si>
    <t>005294</t>
  </si>
  <si>
    <t>18th &amp; Lydia Repl CI w 8'-6in PE ma</t>
  </si>
  <si>
    <t>20801143551</t>
  </si>
  <si>
    <t>005296</t>
  </si>
  <si>
    <t>6th &amp; Sycamore Repl PBS w 150'-2in;</t>
  </si>
  <si>
    <t>21001143577</t>
  </si>
  <si>
    <t>005396</t>
  </si>
  <si>
    <t>Riverview Repl PBS w 6011'-4;707'-2</t>
  </si>
  <si>
    <t>20401143480</t>
  </si>
  <si>
    <t>005433</t>
  </si>
  <si>
    <t>1511 Brooklyn REPL CI w 101'-4IN PE</t>
  </si>
  <si>
    <t>21001143532</t>
  </si>
  <si>
    <t>005466</t>
  </si>
  <si>
    <t>Spratt Ave Repl PBS w 454'- 2in PE</t>
  </si>
  <si>
    <t>20401143601</t>
  </si>
  <si>
    <t>005773</t>
  </si>
  <si>
    <t>803 Bales Ct Repl CI w 40'-4in PE m</t>
  </si>
  <si>
    <t>21271143699</t>
  </si>
  <si>
    <t>005791</t>
  </si>
  <si>
    <t>NE 45th Ter Repl BS/PE w 6'-2in PE</t>
  </si>
  <si>
    <t>F0633</t>
  </si>
  <si>
    <t>20401143687</t>
  </si>
  <si>
    <t>005852</t>
  </si>
  <si>
    <t>2415 Walrond Repl CI w 15'-6in PE m</t>
  </si>
  <si>
    <t>Grand Total</t>
  </si>
  <si>
    <t>Tax Depreciation</t>
  </si>
  <si>
    <t>less Accumulated (Book) Depreciation</t>
  </si>
  <si>
    <t>equals Difference</t>
  </si>
  <si>
    <t>times Effective Tax Rate</t>
  </si>
  <si>
    <t>equals Deferred Taxes</t>
  </si>
  <si>
    <t>ISRS Other</t>
  </si>
  <si>
    <t>Public Improv</t>
  </si>
  <si>
    <t>20501132871</t>
  </si>
  <si>
    <t>003807</t>
  </si>
  <si>
    <t>20th &amp; Ozark Reloc PCS w 370'-4in;5</t>
  </si>
  <si>
    <t>Blanket WO</t>
  </si>
  <si>
    <t xml:space="preserve">Blanket WO </t>
  </si>
  <si>
    <t>Reg Station</t>
  </si>
  <si>
    <t>Encapsulation</t>
  </si>
  <si>
    <t>SLRP</t>
  </si>
  <si>
    <t>20908143266</t>
  </si>
  <si>
    <t>004394</t>
  </si>
  <si>
    <t>291 &amp; Commercial Reloc CS w 1659'-6</t>
  </si>
  <si>
    <t>20501050360</t>
  </si>
  <si>
    <t>004597</t>
  </si>
  <si>
    <t>F0632</t>
  </si>
  <si>
    <t>20401143313</t>
  </si>
  <si>
    <t>004986</t>
  </si>
  <si>
    <t>Cast Iron Repl Proj Ph I Sec0306 KC</t>
  </si>
  <si>
    <t>20201143501</t>
  </si>
  <si>
    <t>005039</t>
  </si>
  <si>
    <t>31st Overton Repl PBS/PCS w 3425'-2</t>
  </si>
  <si>
    <t>20401143575</t>
  </si>
  <si>
    <t>005332</t>
  </si>
  <si>
    <t>13508 Oak St Repl 2in Service Line</t>
  </si>
  <si>
    <t>20801143585</t>
  </si>
  <si>
    <t>005451</t>
  </si>
  <si>
    <t>11th &amp; Broadway Repl PBS w 50'-2in</t>
  </si>
  <si>
    <t>21001143536</t>
  </si>
  <si>
    <t>005467</t>
  </si>
  <si>
    <t>Monterey &amp; 16th Repl PBS w 406'-2in</t>
  </si>
  <si>
    <t>21272143478</t>
  </si>
  <si>
    <t>005556</t>
  </si>
  <si>
    <t>24th &amp; Vernon Repl PBS w/ 410'-8in</t>
  </si>
  <si>
    <t>F0595</t>
  </si>
  <si>
    <t>21001143533</t>
  </si>
  <si>
    <t>005592</t>
  </si>
  <si>
    <t>4th &amp; Sylvanie St Repl 8in CI w 600</t>
  </si>
  <si>
    <t>20307143658</t>
  </si>
  <si>
    <t>005633</t>
  </si>
  <si>
    <t>7th &amp; Orange Reloc pcs w 18'-6in CS</t>
  </si>
  <si>
    <t>20401143569</t>
  </si>
  <si>
    <t>005679</t>
  </si>
  <si>
    <t>CI Repl Due to Graphitization</t>
  </si>
  <si>
    <t>21207143665</t>
  </si>
  <si>
    <t>005730</t>
  </si>
  <si>
    <t>Wilshire Reloc PCS w 60'-2in;30'-4i</t>
  </si>
  <si>
    <t>21207143620</t>
  </si>
  <si>
    <t>005732</t>
  </si>
  <si>
    <t>Franklin St Reloc PBS w 1402'-4;70'</t>
  </si>
  <si>
    <t>20828143755</t>
  </si>
  <si>
    <t>006113</t>
  </si>
  <si>
    <t>Repl 1.25 and 2 in CS Main</t>
  </si>
  <si>
    <t>20806143791</t>
  </si>
  <si>
    <t>006356</t>
  </si>
  <si>
    <t>Repl 288ft PBS with 295ft 2in Plast</t>
  </si>
  <si>
    <t>21271143754</t>
  </si>
  <si>
    <t>006419</t>
  </si>
  <si>
    <t>2in PBS REPLACEMENT</t>
  </si>
  <si>
    <t>21207143819</t>
  </si>
  <si>
    <t>006552</t>
  </si>
  <si>
    <t>2in PE Main Relocation</t>
  </si>
  <si>
    <t>382000 Meter Installations-MGE</t>
  </si>
  <si>
    <t>20901050363</t>
  </si>
  <si>
    <t>003825</t>
  </si>
  <si>
    <t>BWO SLRP MTR/REG REPL COMPANY</t>
  </si>
  <si>
    <t>F0516</t>
  </si>
  <si>
    <t>SLRP - meter &amp; regulator replacemen</t>
  </si>
  <si>
    <t>20801050373</t>
  </si>
  <si>
    <t>003930</t>
  </si>
  <si>
    <t>BWO MTR/REG SET REPL CONTRACTOR-SLR</t>
  </si>
  <si>
    <t>F0652</t>
  </si>
  <si>
    <t>20901050373</t>
  </si>
  <si>
    <t>003931</t>
  </si>
  <si>
    <t>F0535</t>
  </si>
  <si>
    <t>20401050373</t>
  </si>
  <si>
    <t>003974</t>
  </si>
  <si>
    <t>BWO MTR/REG SET REPL CONTRACTOR SLR</t>
  </si>
  <si>
    <t>F0543</t>
  </si>
  <si>
    <t>20801050363</t>
  </si>
  <si>
    <t>003980</t>
  </si>
  <si>
    <t>F0666</t>
  </si>
  <si>
    <t>20401050363</t>
  </si>
  <si>
    <t>004282</t>
  </si>
  <si>
    <t>BWO REPL MTR/REG SETTING COMPANY SL</t>
  </si>
  <si>
    <t>F0583</t>
  </si>
  <si>
    <t>21001050363</t>
  </si>
  <si>
    <t>004408</t>
  </si>
  <si>
    <t>F0519</t>
  </si>
  <si>
    <t>20501050363</t>
  </si>
  <si>
    <t>004498</t>
  </si>
  <si>
    <t>F0596</t>
  </si>
  <si>
    <t>20501050373</t>
  </si>
  <si>
    <t>004602</t>
  </si>
  <si>
    <t>F0629</t>
  </si>
  <si>
    <t>Fiscal Year 2015 tax depreciation with 50% bonus for 2014 Additions</t>
  </si>
  <si>
    <t>20401050309</t>
  </si>
  <si>
    <t>003927</t>
  </si>
  <si>
    <t>BWO LINE LOCATES-REPL SERVICES ONLY</t>
  </si>
  <si>
    <t>F0655</t>
  </si>
  <si>
    <t>Service line locates</t>
  </si>
  <si>
    <t>20601133126</t>
  </si>
  <si>
    <t>004040</t>
  </si>
  <si>
    <t>Hazel &amp; Airport Repl PBS w 2620'-8;</t>
  </si>
  <si>
    <t>20401132618</t>
  </si>
  <si>
    <t>004380</t>
  </si>
  <si>
    <t>Build DRS 100 LS Rd and GV Lateral</t>
  </si>
  <si>
    <t>20308143387</t>
  </si>
  <si>
    <t>004947</t>
  </si>
  <si>
    <t>23rd &amp; Walnut Repl PBS w 360'-2in P</t>
  </si>
  <si>
    <t>20301143476</t>
  </si>
  <si>
    <t>005028</t>
  </si>
  <si>
    <t>Market St Repl PBS w 1320'-2in PE m</t>
  </si>
  <si>
    <t>20902143513</t>
  </si>
  <si>
    <t>005153</t>
  </si>
  <si>
    <t>59th &amp; Kentucky Repl PCS/PBS w 885'</t>
  </si>
  <si>
    <t>20401143586</t>
  </si>
  <si>
    <t>005677</t>
  </si>
  <si>
    <t>CI Repl due to graphitization</t>
  </si>
  <si>
    <t>20401143602</t>
  </si>
  <si>
    <t>005917</t>
  </si>
  <si>
    <t>18th Ter Repl CI/CS w 2945'-4;340'-</t>
  </si>
  <si>
    <t>20401143705</t>
  </si>
  <si>
    <t>006351</t>
  </si>
  <si>
    <t>AOR 6in CI Replacement with 65ft-6i</t>
  </si>
  <si>
    <t>20501143720</t>
  </si>
  <si>
    <t>006435</t>
  </si>
  <si>
    <t>Lower 167ft of 2in PE</t>
  </si>
  <si>
    <t>20813143792</t>
  </si>
  <si>
    <t>006473</t>
  </si>
  <si>
    <t>Repl 391ft BS 86ft CS  with 479ft 2</t>
  </si>
  <si>
    <t>F0573</t>
  </si>
  <si>
    <t>21001143881</t>
  </si>
  <si>
    <t>006714</t>
  </si>
  <si>
    <t>Replace 1 1/4 plastic with 2in PE</t>
  </si>
  <si>
    <t>20503143406</t>
  </si>
  <si>
    <t>003808</t>
  </si>
  <si>
    <t>3rd &amp; Arch Repl PBS w 2795'-4;745'-</t>
  </si>
  <si>
    <t>20902133172</t>
  </si>
  <si>
    <t>003874</t>
  </si>
  <si>
    <t>Gregory Heights Repl PBS main</t>
  </si>
  <si>
    <t>20501133207</t>
  </si>
  <si>
    <t>004081</t>
  </si>
  <si>
    <t>15th &amp; Indiana Repl PBS/PCS w 590'-</t>
  </si>
  <si>
    <t>20401132947</t>
  </si>
  <si>
    <t>004141</t>
  </si>
  <si>
    <t>Lees Summit Rd 20in Reloc Proj</t>
  </si>
  <si>
    <t>Lees Summit Rd 20in Reloc Proj -Reimb Amt</t>
  </si>
  <si>
    <t>20317143417</t>
  </si>
  <si>
    <t>004364</t>
  </si>
  <si>
    <t>Davis St Repl PBS w 730'-2in PE mai</t>
  </si>
  <si>
    <t>20815132957</t>
  </si>
  <si>
    <t>004474</t>
  </si>
  <si>
    <t>Replace Fuses on WO 132353 Thistle</t>
  </si>
  <si>
    <t>20201143450</t>
  </si>
  <si>
    <t>004888</t>
  </si>
  <si>
    <t>33rd &amp; Vermont Repl PBS w 22300'-2;</t>
  </si>
  <si>
    <t>20312143471</t>
  </si>
  <si>
    <t>004949</t>
  </si>
  <si>
    <t>Folger Repl PBS w 1350'-2in PE main</t>
  </si>
  <si>
    <t>20812143611</t>
  </si>
  <si>
    <t>005492</t>
  </si>
  <si>
    <t>Hines &amp; Main Repl PBS/PCS w 5775'-2</t>
  </si>
  <si>
    <t>21205143503</t>
  </si>
  <si>
    <t>005516</t>
  </si>
  <si>
    <t>Pleasant Valley Rd Reloc PBSPCS w 1</t>
  </si>
  <si>
    <t>20501143621</t>
  </si>
  <si>
    <t>005551</t>
  </si>
  <si>
    <t>11th &amp; Highview Reloc PBS w 1245'-2</t>
  </si>
  <si>
    <t>20513143661</t>
  </si>
  <si>
    <t>005737</t>
  </si>
  <si>
    <t>Pennel &amp; Summit Reloc BS/CS w 485'-</t>
  </si>
  <si>
    <t>21271143554</t>
  </si>
  <si>
    <t>005772</t>
  </si>
  <si>
    <t>NE Kelsey Reloc PCS/PBS w 100'-4in</t>
  </si>
  <si>
    <t>21213143676</t>
  </si>
  <si>
    <t>006075</t>
  </si>
  <si>
    <t>Excelsior Springs Public Improvemen</t>
  </si>
  <si>
    <t>20925143749</t>
  </si>
  <si>
    <t>006080</t>
  </si>
  <si>
    <t>Install 2in PE distribution main Je</t>
  </si>
  <si>
    <t>20506143761</t>
  </si>
  <si>
    <t>006201</t>
  </si>
  <si>
    <t>Stones Corner Main Relocation</t>
  </si>
  <si>
    <t>20501133125</t>
  </si>
  <si>
    <t>004064</t>
  </si>
  <si>
    <t>Repl I/O Piping DRS 0182C</t>
  </si>
  <si>
    <t>20901050309</t>
  </si>
  <si>
    <t>004400</t>
  </si>
  <si>
    <t>F0648</t>
  </si>
  <si>
    <t>20501133062</t>
  </si>
  <si>
    <t>004450</t>
  </si>
  <si>
    <t>20th &amp; Wisconsin Reloc 120'-8;1250'</t>
  </si>
  <si>
    <t>20502143412</t>
  </si>
  <si>
    <t>004588</t>
  </si>
  <si>
    <t>Jefferson Repl PBS/PCS w 1080'-6;82</t>
  </si>
  <si>
    <t>20401132400</t>
  </si>
  <si>
    <t>004645</t>
  </si>
  <si>
    <t>Kansas City Street Car Phase 2</t>
  </si>
  <si>
    <t>20401132402</t>
  </si>
  <si>
    <t>004654</t>
  </si>
  <si>
    <t>KC Street Car Ph 3 Reloc CI, PBS w</t>
  </si>
  <si>
    <t>20925143474</t>
  </si>
  <si>
    <t>005042</t>
  </si>
  <si>
    <t>Rebuild DRS 1 09-25 RD Mize</t>
  </si>
  <si>
    <t>20401143422</t>
  </si>
  <si>
    <t>005250</t>
  </si>
  <si>
    <t>Wabash &amp; St John Repl CI w 190'-4in</t>
  </si>
  <si>
    <t>20401143309</t>
  </si>
  <si>
    <t>005270</t>
  </si>
  <si>
    <t>Blue Pkwy Repl PBS/PE w 2557'-4in;1</t>
  </si>
  <si>
    <t>21271143517</t>
  </si>
  <si>
    <t>005295</t>
  </si>
  <si>
    <t>39th &amp; N Spruce Repl PBS w 2400'-2i</t>
  </si>
  <si>
    <t>20401143489</t>
  </si>
  <si>
    <t>005432</t>
  </si>
  <si>
    <t>43rd/47th Belfontaine CI Repl Proj</t>
  </si>
  <si>
    <t>21207143502</t>
  </si>
  <si>
    <t>005515</t>
  </si>
  <si>
    <t>73rd Crt Reloc PCS w 325'-6in TF St</t>
  </si>
  <si>
    <t>20501143622</t>
  </si>
  <si>
    <t>005555</t>
  </si>
  <si>
    <t>Rolla &amp; Brownell Reloc PBS w 1185'-</t>
  </si>
  <si>
    <t>21207143744</t>
  </si>
  <si>
    <t>006111</t>
  </si>
  <si>
    <t>Northwyck Park Rectifier and Ground</t>
  </si>
  <si>
    <t>20401143774</t>
  </si>
  <si>
    <t>006433</t>
  </si>
  <si>
    <t>Relocate 220'-8in PBS with Thin Fil</t>
  </si>
  <si>
    <t>20502143706</t>
  </si>
  <si>
    <t>006511</t>
  </si>
  <si>
    <t>Reactivate Main for Webster Element</t>
  </si>
  <si>
    <t>20502143823</t>
  </si>
  <si>
    <t>006512</t>
  </si>
  <si>
    <t>Replace w/ 210ft of 4in PE due to D</t>
  </si>
  <si>
    <t>20901143822</t>
  </si>
  <si>
    <t>006551</t>
  </si>
  <si>
    <t>Replace 4inch PCS/PBS main</t>
  </si>
  <si>
    <t>20201143853</t>
  </si>
  <si>
    <t>006594</t>
  </si>
  <si>
    <t>Replace 6in PBS 20th and Arlington</t>
  </si>
  <si>
    <t>20401143816</t>
  </si>
  <si>
    <t>006597</t>
  </si>
  <si>
    <t>CI Replacement w/ 2,430ft-4in PE</t>
  </si>
  <si>
    <t>20401143826</t>
  </si>
  <si>
    <t>006603</t>
  </si>
  <si>
    <t>3in PBS Main Replacement</t>
  </si>
  <si>
    <t>20801143783</t>
  </si>
  <si>
    <t>006666</t>
  </si>
  <si>
    <t>Repl 177ft 2in BS with 180ft 2in Pl</t>
  </si>
  <si>
    <t>20501143697</t>
  </si>
  <si>
    <t>006667</t>
  </si>
  <si>
    <t>Repl with 375ft of 2in PE due to CP</t>
  </si>
  <si>
    <t>21001143907</t>
  </si>
  <si>
    <t>006800</t>
  </si>
  <si>
    <t>Repl  60ft of 2in PE main with 2inP</t>
  </si>
  <si>
    <t>20401143936</t>
  </si>
  <si>
    <t>006910</t>
  </si>
  <si>
    <t>4in CI Replacement</t>
  </si>
  <si>
    <t>Fiscal Year 2015 tax depreciation with no bonus for 2015 Additions</t>
  </si>
  <si>
    <t>20201143455</t>
  </si>
  <si>
    <t>004889</t>
  </si>
  <si>
    <t>40th &amp; Highridge Repl PBS w 7870'-2</t>
  </si>
  <si>
    <t>20925143475</t>
  </si>
  <si>
    <t>005029</t>
  </si>
  <si>
    <t>Repl bridle valve &amp; IO piping DRS 1</t>
  </si>
  <si>
    <t>20201143520</t>
  </si>
  <si>
    <t>005210</t>
  </si>
  <si>
    <t>35th Ter &amp; Pittman Repl PBS w 4120'</t>
  </si>
  <si>
    <t>20201143547</t>
  </si>
  <si>
    <t>005273</t>
  </si>
  <si>
    <t>35th &amp; Evanston Tie exist PEtoC-500</t>
  </si>
  <si>
    <t>20902143584</t>
  </si>
  <si>
    <t>005395</t>
  </si>
  <si>
    <t>79th &amp; Raytown Rd Repl PBS/PCS main</t>
  </si>
  <si>
    <t>20501143573</t>
  </si>
  <si>
    <t>005490</t>
  </si>
  <si>
    <t>Picher Ave Repl PBS w 125'-6in CS;</t>
  </si>
  <si>
    <t>20401143344</t>
  </si>
  <si>
    <t>005630</t>
  </si>
  <si>
    <t>56 &amp; Troost Repl CU/CI w 175'-2 PE;</t>
  </si>
  <si>
    <t>21001143596</t>
  </si>
  <si>
    <t>006355</t>
  </si>
  <si>
    <t>PBS Replacement</t>
  </si>
  <si>
    <t>20501143695</t>
  </si>
  <si>
    <t>006664</t>
  </si>
  <si>
    <t>Repl with 875ft of 4in PE due to CP</t>
  </si>
  <si>
    <t>20806143872</t>
  </si>
  <si>
    <t>006669</t>
  </si>
  <si>
    <t>Repl 2in PCS due to CP Main and</t>
  </si>
  <si>
    <t>21001143860</t>
  </si>
  <si>
    <t>006790</t>
  </si>
  <si>
    <t>Replace 202ft of PBS with 202ft of</t>
  </si>
  <si>
    <t>20401143807</t>
  </si>
  <si>
    <t>006844</t>
  </si>
  <si>
    <t>2in PCS Replacement</t>
  </si>
  <si>
    <t>20401143849</t>
  </si>
  <si>
    <t>006918</t>
  </si>
  <si>
    <t>AOR Replace CI w/ 1,530ft-4in PE</t>
  </si>
  <si>
    <t>20401143985</t>
  </si>
  <si>
    <t>006970</t>
  </si>
  <si>
    <t>4in PBS Replacement James A Ree</t>
  </si>
  <si>
    <t>21251144040</t>
  </si>
  <si>
    <t>007197</t>
  </si>
  <si>
    <t>2in PCS replacement</t>
  </si>
  <si>
    <t>20323144062</t>
  </si>
  <si>
    <t>007330</t>
  </si>
  <si>
    <t>HOUSTONIA GROUNDBED REPLACEMENT</t>
  </si>
  <si>
    <t>20501143892</t>
  </si>
  <si>
    <t>006734</t>
  </si>
  <si>
    <t>Relocate 6in PE Main due to Storm B</t>
  </si>
  <si>
    <t>20806144003</t>
  </si>
  <si>
    <t>007171</t>
  </si>
  <si>
    <t>Relocate 2in Steel Main due to Road</t>
  </si>
  <si>
    <t>20401132773</t>
  </si>
  <si>
    <t>004003</t>
  </si>
  <si>
    <t>Relocate DRS 258 Mayfair</t>
  </si>
  <si>
    <t>21201050309</t>
  </si>
  <si>
    <t>003928</t>
  </si>
  <si>
    <t>20901050362</t>
  </si>
  <si>
    <t>003979</t>
  </si>
  <si>
    <t>F0627</t>
  </si>
  <si>
    <t>20501133213</t>
  </si>
  <si>
    <t>004458</t>
  </si>
  <si>
    <t>12th &amp; Joplin Ave Repl PBS w 1355'-</t>
  </si>
  <si>
    <t>20802143485</t>
  </si>
  <si>
    <t>005008</t>
  </si>
  <si>
    <t>Morris &amp; Myrtle Repl PBS w 2885'-PE</t>
  </si>
  <si>
    <t>20201143515</t>
  </si>
  <si>
    <t>005291</t>
  </si>
  <si>
    <t>Repl PBS main Blue Ridge Blvd 31st</t>
  </si>
  <si>
    <t>20401143709</t>
  </si>
  <si>
    <t>005956</t>
  </si>
  <si>
    <t>River Market Rectifier and Groundbe</t>
  </si>
  <si>
    <t>21001143745</t>
  </si>
  <si>
    <t>006085</t>
  </si>
  <si>
    <t>OSAGE RECTIFIER GROUND BED REPLACEM</t>
  </si>
  <si>
    <t>20909143711</t>
  </si>
  <si>
    <t>006196</t>
  </si>
  <si>
    <t>Vellie Road Rectifier Relocation</t>
  </si>
  <si>
    <t>20501143694</t>
  </si>
  <si>
    <t>006668</t>
  </si>
  <si>
    <t>Repl with 510ft of 4in PE due to CP</t>
  </si>
  <si>
    <t>20901143903</t>
  </si>
  <si>
    <t>006762</t>
  </si>
  <si>
    <t>Replace pbs main</t>
  </si>
  <si>
    <t>20401143829</t>
  </si>
  <si>
    <t>006836</t>
  </si>
  <si>
    <t>CI Break Repl w/1630ft of 4in PE an</t>
  </si>
  <si>
    <t>20401143742</t>
  </si>
  <si>
    <t>006916</t>
  </si>
  <si>
    <t>51st and Woodland CI Replacement</t>
  </si>
  <si>
    <t>20401144046</t>
  </si>
  <si>
    <t>007316</t>
  </si>
  <si>
    <t>AOR 4in CI Replacement</t>
  </si>
  <si>
    <t>21001155069</t>
  </si>
  <si>
    <t>007480</t>
  </si>
  <si>
    <t>Repl  500ft of 3in &amp; 4in B.S. w/ 4i</t>
  </si>
  <si>
    <t>20501122022</t>
  </si>
  <si>
    <t>003999</t>
  </si>
  <si>
    <t>19th &amp; Maiden Reloc PCS/PE w 1965'-</t>
  </si>
  <si>
    <t>20902143624</t>
  </si>
  <si>
    <t>005530</t>
  </si>
  <si>
    <t>83rd &amp; Lane Reloc 14'-4in pcs main</t>
  </si>
  <si>
    <t>20501143693</t>
  </si>
  <si>
    <t>006431</t>
  </si>
  <si>
    <t>Relocate Main Due to Sidewalk Proje</t>
  </si>
  <si>
    <t>20401143595</t>
  </si>
  <si>
    <t>006915</t>
  </si>
  <si>
    <t>Replace BS with 2in and 4in</t>
  </si>
  <si>
    <t>20501144049</t>
  </si>
  <si>
    <t>007326</t>
  </si>
  <si>
    <t>Relocate 3in PBS Due to Storm Impro</t>
  </si>
  <si>
    <t>2014 Additions</t>
  </si>
  <si>
    <t>2015 Additions</t>
  </si>
  <si>
    <t>20201133055</t>
  </si>
  <si>
    <t>005735</t>
  </si>
  <si>
    <t>Jones St Ret DRS 117 &amp; I/O piping T</t>
  </si>
  <si>
    <t>20925143738</t>
  </si>
  <si>
    <t>006030</t>
  </si>
  <si>
    <t>Replace 12in PCS Main I-70</t>
  </si>
  <si>
    <t>21001143957</t>
  </si>
  <si>
    <t>007182</t>
  </si>
  <si>
    <t>Relocate Inlet and Outlet Piping DR</t>
  </si>
  <si>
    <t>20925143795</t>
  </si>
  <si>
    <t>006690</t>
  </si>
  <si>
    <t>Hydrotest 12in Transmission Main</t>
  </si>
  <si>
    <t>20501143605</t>
  </si>
  <si>
    <t>005468</t>
  </si>
  <si>
    <t>Murphy Repl PBS/PE w 1115'-2;255'-4</t>
  </si>
  <si>
    <t>20806143868</t>
  </si>
  <si>
    <t>006654</t>
  </si>
  <si>
    <t>Repl 2in PBS due to CP</t>
  </si>
  <si>
    <t>20901143349</t>
  </si>
  <si>
    <t>006716</t>
  </si>
  <si>
    <t>Relocate 4in pbs main</t>
  </si>
  <si>
    <t>20903143875</t>
  </si>
  <si>
    <t>006831</t>
  </si>
  <si>
    <t>Reinforce Woods Chappel Rd West of</t>
  </si>
  <si>
    <t>20902143857</t>
  </si>
  <si>
    <t>006851</t>
  </si>
  <si>
    <t>Replace 4in PBS &amp; 2in PCS m</t>
  </si>
  <si>
    <t>20830143990</t>
  </si>
  <si>
    <t>007031</t>
  </si>
  <si>
    <t>Abandon Pressure System w Isolated</t>
  </si>
  <si>
    <t>20401144045</t>
  </si>
  <si>
    <t>007317</t>
  </si>
  <si>
    <t>AOR 6in CI Replacement</t>
  </si>
  <si>
    <t>20201144057</t>
  </si>
  <si>
    <t>007327</t>
  </si>
  <si>
    <t>Replace  2in &amp; 4in PBS Main</t>
  </si>
  <si>
    <t>20401155084</t>
  </si>
  <si>
    <t>007474</t>
  </si>
  <si>
    <t>4in PE Main Relocation</t>
  </si>
  <si>
    <t>20401155095</t>
  </si>
  <si>
    <t>007531</t>
  </si>
  <si>
    <t>AOR - 6in CI Replacement</t>
  </si>
  <si>
    <t>21251143812</t>
  </si>
  <si>
    <t>007574</t>
  </si>
  <si>
    <t>4in PE Relocation (Reimb)</t>
  </si>
  <si>
    <t>20904155124</t>
  </si>
  <si>
    <t>007590</t>
  </si>
  <si>
    <t>Replace main Belmont 137th to 139th</t>
  </si>
  <si>
    <t>21001155066</t>
  </si>
  <si>
    <t>007597</t>
  </si>
  <si>
    <t>Repl 182ft of 2in BS with 2in PE</t>
  </si>
  <si>
    <t>20904155108</t>
  </si>
  <si>
    <t>007499</t>
  </si>
  <si>
    <t>2in and 4in PBS Replacement with 2i</t>
  </si>
  <si>
    <t>20902143856</t>
  </si>
  <si>
    <t>006839</t>
  </si>
  <si>
    <t>Replace 2in PBS main</t>
  </si>
  <si>
    <t>20201143934</t>
  </si>
  <si>
    <t>006845</t>
  </si>
  <si>
    <t>Replace 2in PCS &amp; 2in PBS m</t>
  </si>
  <si>
    <t>20502144036</t>
  </si>
  <si>
    <t>007183</t>
  </si>
  <si>
    <t>Repl w 225ft of 2in PE 8th and Oakl</t>
  </si>
  <si>
    <t>20201155071</t>
  </si>
  <si>
    <t>007392</t>
  </si>
  <si>
    <t>Relocate 2in PE for storm 14th and</t>
  </si>
  <si>
    <t>21001155065</t>
  </si>
  <si>
    <t>007591</t>
  </si>
  <si>
    <t>Repl 255ft of 6in BS w/ 4in PE.</t>
  </si>
  <si>
    <t>20505155107</t>
  </si>
  <si>
    <t>007593</t>
  </si>
  <si>
    <t>2in PBS Main Replacement</t>
  </si>
  <si>
    <t>20501155106</t>
  </si>
  <si>
    <t>007652</t>
  </si>
  <si>
    <t>20801155143</t>
  </si>
  <si>
    <t>007693</t>
  </si>
  <si>
    <t>Repl 178ft of 2in Bare Steel Main w</t>
  </si>
  <si>
    <t>21001143861</t>
  </si>
  <si>
    <t>007789</t>
  </si>
  <si>
    <t>REPLACE 2151ft of PBS and PCS WITH</t>
  </si>
  <si>
    <t>21001155067</t>
  </si>
  <si>
    <t>007790</t>
  </si>
  <si>
    <t>Repl 165ft of 3in BS w/ 4in PE.</t>
  </si>
  <si>
    <t>20401155219</t>
  </si>
  <si>
    <t>007826</t>
  </si>
  <si>
    <t>AOR - 8in CI Replacement</t>
  </si>
  <si>
    <t>21207155259</t>
  </si>
  <si>
    <t>007961</t>
  </si>
  <si>
    <t>3in PBS Main Replacement with 4</t>
  </si>
  <si>
    <t>21219155239</t>
  </si>
  <si>
    <t>008130</t>
  </si>
  <si>
    <t>Repl 2inch PE Service 1100 Main St</t>
  </si>
  <si>
    <t>20401155333</t>
  </si>
  <si>
    <t>008365</t>
  </si>
  <si>
    <t>3inch PCS Replacement</t>
  </si>
  <si>
    <t>20401155340</t>
  </si>
  <si>
    <t>008391</t>
  </si>
  <si>
    <t>21271155342</t>
  </si>
  <si>
    <t>008392</t>
  </si>
  <si>
    <t>2in CS Replacement</t>
  </si>
  <si>
    <t>21271155344</t>
  </si>
  <si>
    <t>008394</t>
  </si>
  <si>
    <t>21258155347</t>
  </si>
  <si>
    <t>008400</t>
  </si>
  <si>
    <t>2in PCS and Valve replacement</t>
  </si>
  <si>
    <t>20401155121</t>
  </si>
  <si>
    <t>007901</t>
  </si>
  <si>
    <t>21001143363</t>
  </si>
  <si>
    <t>005331</t>
  </si>
  <si>
    <t>Frederick &amp; Kemper Reloc 20'-2in PE</t>
  </si>
  <si>
    <t>F0617</t>
  </si>
  <si>
    <t>20925143728</t>
  </si>
  <si>
    <t>006423</t>
  </si>
  <si>
    <t>Relocate 6in PE MoDOT Walnut to AA</t>
  </si>
  <si>
    <t>20324143651</t>
  </si>
  <si>
    <t>006516</t>
  </si>
  <si>
    <t>Replace PBS Main in Pilot Grove</t>
  </si>
  <si>
    <t>20501143696</t>
  </si>
  <si>
    <t>006665</t>
  </si>
  <si>
    <t>Repl 656ft of 6in PBS due to CP</t>
  </si>
  <si>
    <t>20902143839</t>
  </si>
  <si>
    <t>006838</t>
  </si>
  <si>
    <t>Replace 4in PCS/PBS main</t>
  </si>
  <si>
    <t>20902143858</t>
  </si>
  <si>
    <t>006855</t>
  </si>
  <si>
    <t>Replace 2in PCS/PBS main</t>
  </si>
  <si>
    <t>21251143731</t>
  </si>
  <si>
    <t>007319</t>
  </si>
  <si>
    <t>Replace Thin Film with 4in and 2in</t>
  </si>
  <si>
    <t>20501155075</t>
  </si>
  <si>
    <t>007506</t>
  </si>
  <si>
    <t>Repl PBS with 1250ft of PE 12th and</t>
  </si>
  <si>
    <t>20904155109</t>
  </si>
  <si>
    <t>007576</t>
  </si>
  <si>
    <t>Replace 2in PBS White and 148th Ter</t>
  </si>
  <si>
    <t>20904155120</t>
  </si>
  <si>
    <t>007577</t>
  </si>
  <si>
    <t>Replace 2in PBS 135th and Parker Pa</t>
  </si>
  <si>
    <t>20901155137</t>
  </si>
  <si>
    <t>007599</t>
  </si>
  <si>
    <t>Relocate 4in PE MoDOT J4P2233 Black</t>
  </si>
  <si>
    <t>20401155118</t>
  </si>
  <si>
    <t>007654</t>
  </si>
  <si>
    <t>21001155132</t>
  </si>
  <si>
    <t>007824</t>
  </si>
  <si>
    <t>Repl  612ft of 4in b/s with 4in PE</t>
  </si>
  <si>
    <t>21001155187</t>
  </si>
  <si>
    <t>007866</t>
  </si>
  <si>
    <t>Replace 560ft of 4in b/s with 4in P</t>
  </si>
  <si>
    <t>20501155166</t>
  </si>
  <si>
    <t>007881</t>
  </si>
  <si>
    <t>Relocate 4in PE for Storm Improveme</t>
  </si>
  <si>
    <t>20904155148</t>
  </si>
  <si>
    <t>007902</t>
  </si>
  <si>
    <t>PBS Replacement 2inch PE</t>
  </si>
  <si>
    <t>20401143776</t>
  </si>
  <si>
    <t>006710</t>
  </si>
  <si>
    <t>2100 CENTRAL AVE-REPL SERVICE LINE</t>
  </si>
  <si>
    <t>20307143483</t>
  </si>
  <si>
    <t>005030</t>
  </si>
  <si>
    <t>6th &amp; Main Reloc 4in PCS dogleg Sto</t>
  </si>
  <si>
    <t>21271155077</t>
  </si>
  <si>
    <t>007571</t>
  </si>
  <si>
    <t>Main Replacement for DR 607 Inlet a</t>
  </si>
  <si>
    <t>20928155115</t>
  </si>
  <si>
    <t>007573</t>
  </si>
  <si>
    <t>Install two doglegs MoDOT J3S3040</t>
  </si>
  <si>
    <t>20601155110</t>
  </si>
  <si>
    <t>008398</t>
  </si>
  <si>
    <t>Replace 2in Valve due to Leakage 90</t>
  </si>
  <si>
    <t>20806143870</t>
  </si>
  <si>
    <t>006982</t>
  </si>
  <si>
    <t>Repl 2in PBS Due to CP Hickory</t>
  </si>
  <si>
    <t>20806143871</t>
  </si>
  <si>
    <t>007202</t>
  </si>
  <si>
    <t>Repl 2in PBS due to CP Rockhill</t>
  </si>
  <si>
    <t>20806143833</t>
  </si>
  <si>
    <t>007324</t>
  </si>
  <si>
    <t>Repl HWY Crossing Due to Desser Cou</t>
  </si>
  <si>
    <t>20201155085</t>
  </si>
  <si>
    <t>007511</t>
  </si>
  <si>
    <t>Replace 4in PBS 23rd and Arlington</t>
  </si>
  <si>
    <t>20401155102</t>
  </si>
  <si>
    <t>007512</t>
  </si>
  <si>
    <t>6in CI Replacement</t>
  </si>
  <si>
    <t>20813155154</t>
  </si>
  <si>
    <t>007865</t>
  </si>
  <si>
    <t>21001155068</t>
  </si>
  <si>
    <t>007904</t>
  </si>
  <si>
    <t>Repl 1396 ft of 4in BS w/ 4in PE</t>
  </si>
  <si>
    <t>20910155189</t>
  </si>
  <si>
    <t>007926</t>
  </si>
  <si>
    <t>Replace 2in pbs main</t>
  </si>
  <si>
    <t>20401155274</t>
  </si>
  <si>
    <t>008247</t>
  </si>
  <si>
    <t>4in and 6in Cast Iron Repl. 2in PE</t>
  </si>
  <si>
    <t>21271155078</t>
  </si>
  <si>
    <t>007530</t>
  </si>
  <si>
    <t>Rebuild DRS 607</t>
  </si>
  <si>
    <t>20301143713</t>
  </si>
  <si>
    <t>005951</t>
  </si>
  <si>
    <t>Walnut Grove Rectifier  0256 Reloca</t>
  </si>
  <si>
    <t>20324143614</t>
  </si>
  <si>
    <t>005557</t>
  </si>
  <si>
    <t>College Repl PBS LP main w IP 3865'</t>
  </si>
  <si>
    <t>20201143851</t>
  </si>
  <si>
    <t>006671</t>
  </si>
  <si>
    <t>Replace PBS Northern and 27th</t>
  </si>
  <si>
    <t>20502143950</t>
  </si>
  <si>
    <t>006935</t>
  </si>
  <si>
    <t>Daugherty Avenue Bare Steel Replace</t>
  </si>
  <si>
    <t>20501143657</t>
  </si>
  <si>
    <t>006975</t>
  </si>
  <si>
    <t>Replace Main at Hill and Division C</t>
  </si>
  <si>
    <t>21271143521</t>
  </si>
  <si>
    <t>007313</t>
  </si>
  <si>
    <t>20201155087</t>
  </si>
  <si>
    <t>007503</t>
  </si>
  <si>
    <t>Replace PBS main 23rd and Haden and</t>
  </si>
  <si>
    <t>20904155099</t>
  </si>
  <si>
    <t>007516</t>
  </si>
  <si>
    <t>Replace PBS main 130th and Byars Pa</t>
  </si>
  <si>
    <t>20901155097</t>
  </si>
  <si>
    <t>007672</t>
  </si>
  <si>
    <t>Replace 2in PBS alley E of Walnut f</t>
  </si>
  <si>
    <t>20906155221</t>
  </si>
  <si>
    <t>007828</t>
  </si>
  <si>
    <t>20812155156</t>
  </si>
  <si>
    <t>007862</t>
  </si>
  <si>
    <t>2in PBS and 2in PCS Main Replacemen</t>
  </si>
  <si>
    <t>20401155201</t>
  </si>
  <si>
    <t>007938</t>
  </si>
  <si>
    <t>Replace 10in pbs main</t>
  </si>
  <si>
    <t>20501155278</t>
  </si>
  <si>
    <t>008141</t>
  </si>
  <si>
    <t>Repl 2in PBS and PCS with 500ft</t>
  </si>
  <si>
    <t>21272155334</t>
  </si>
  <si>
    <t>008366</t>
  </si>
  <si>
    <t>8in PBS Relocation</t>
  </si>
  <si>
    <t>20806155332</t>
  </si>
  <si>
    <t>008633</t>
  </si>
  <si>
    <t>2in PBS replacement due to CP and L</t>
  </si>
  <si>
    <t>20401143773</t>
  </si>
  <si>
    <t>006659</t>
  </si>
  <si>
    <t>Cast Iron Replacement project WO-1</t>
  </si>
  <si>
    <t>20401143855</t>
  </si>
  <si>
    <t>007532</t>
  </si>
  <si>
    <t>Cast Iron Replacement Proj Phase 4</t>
  </si>
  <si>
    <t>20401155319</t>
  </si>
  <si>
    <t>008274</t>
  </si>
  <si>
    <t>20401155320</t>
  </si>
  <si>
    <t>008541</t>
  </si>
  <si>
    <t>20324143615</t>
  </si>
  <si>
    <t>005799</t>
  </si>
  <si>
    <t>College Repl 2in PE w/1000'-4in PE</t>
  </si>
  <si>
    <t>20501143824</t>
  </si>
  <si>
    <t>006513</t>
  </si>
  <si>
    <t>Repl 12ft of 6in PE due to 3rd Part</t>
  </si>
  <si>
    <t>20501143978</t>
  </si>
  <si>
    <t>006985</t>
  </si>
  <si>
    <t>Repl 230ft of 2in PE 19th and NH Jo</t>
  </si>
  <si>
    <t>20925143983</t>
  </si>
  <si>
    <t>007153</t>
  </si>
  <si>
    <t>Relocate 2in PCS IO DRS 10 BB and P</t>
  </si>
  <si>
    <t>20401144041</t>
  </si>
  <si>
    <t>007310</t>
  </si>
  <si>
    <t>Glen Arbor and Red Bridge Main Repl</t>
  </si>
  <si>
    <t>20324143653</t>
  </si>
  <si>
    <t>005794</t>
  </si>
  <si>
    <t>12302 Hwy 135 Repl 2in Svc w 4in PE</t>
  </si>
  <si>
    <t>F0628</t>
  </si>
  <si>
    <t>20401143804</t>
  </si>
  <si>
    <t>006596</t>
  </si>
  <si>
    <t>BLOUNT-REPLACEMENT SERVICE LINE</t>
  </si>
  <si>
    <t>20925143982</t>
  </si>
  <si>
    <t>006990</t>
  </si>
  <si>
    <t>Rebuild DRS 10 BB and Perry</t>
  </si>
  <si>
    <t>F0606</t>
  </si>
  <si>
    <t>21271144038</t>
  </si>
  <si>
    <t>008241</t>
  </si>
  <si>
    <t>DR 384 REBUILD</t>
  </si>
  <si>
    <t>008243</t>
  </si>
  <si>
    <t>21240155217</t>
  </si>
  <si>
    <t>007927</t>
  </si>
  <si>
    <t>2in Repl Clark Avenue Bridge Repl O</t>
  </si>
  <si>
    <t>20201155241</t>
  </si>
  <si>
    <t>007969</t>
  </si>
  <si>
    <t>Relocate 8in pcs main</t>
  </si>
  <si>
    <t>20501155329</t>
  </si>
  <si>
    <t>008310</t>
  </si>
  <si>
    <t>Relocate 4in PE due to Storm Drain</t>
  </si>
  <si>
    <t>21271155315</t>
  </si>
  <si>
    <t>008362</t>
  </si>
  <si>
    <t>Relocate 40ft of 4in PE at Vivion a</t>
  </si>
  <si>
    <t>20401132881</t>
  </si>
  <si>
    <t>003789</t>
  </si>
  <si>
    <t>18th &amp; Locust Repl CI w 500'-4in PE</t>
  </si>
  <si>
    <t>Main Replacement - ISRS (N)</t>
  </si>
  <si>
    <t>Street &amp; Hwy Relocates ISRS (SW)</t>
  </si>
  <si>
    <t>Main Replacement - ISRS (S)</t>
  </si>
  <si>
    <t>Street &amp; Highway Relocates ISRS (N)</t>
  </si>
  <si>
    <t>BWO Mtr/Reg Repl - SLRP ISRS (S)</t>
  </si>
  <si>
    <t>BWO CI Joint Encapsulation ISRS (N)</t>
  </si>
  <si>
    <t>BWO Mtr/Reg Repl - SLRP ISRS (N)</t>
  </si>
  <si>
    <t>Station Rebuild &amp; Repl ISRS (N)</t>
  </si>
  <si>
    <t>Main Replacement - ISRS (SW)</t>
  </si>
  <si>
    <t>Rectifier New/Repl ISRS (N)</t>
  </si>
  <si>
    <t>BWO Service Line Repl - ISRS (N)</t>
  </si>
  <si>
    <t>BWO Service Line Repl - ISRS (S)</t>
  </si>
  <si>
    <t>Street &amp; Highway Relocates ISRS (S)</t>
  </si>
  <si>
    <t>BWO Service Line Repl - ISRS (SW)</t>
  </si>
  <si>
    <t>BWO Mtr/Reg Repl - SLRP ISRS (SW)</t>
  </si>
  <si>
    <t>20504143350</t>
  </si>
  <si>
    <t>005456</t>
  </si>
  <si>
    <t>Repl Steel in Alba due to Leakage</t>
  </si>
  <si>
    <t>Main Repl - Sys Reinforcement (SW)</t>
  </si>
  <si>
    <t>Main Repl - Sys Reinforcement (S)</t>
  </si>
  <si>
    <t>20501155072</t>
  </si>
  <si>
    <t>007396</t>
  </si>
  <si>
    <t>12th St and Geneva Ave PBS Replacem</t>
  </si>
  <si>
    <t>20502155074</t>
  </si>
  <si>
    <t>007508</t>
  </si>
  <si>
    <t>Walker St PBS Replacement</t>
  </si>
  <si>
    <t>20401155181</t>
  </si>
  <si>
    <t>007861</t>
  </si>
  <si>
    <t>Cast Iron Replacement project Phase</t>
  </si>
  <si>
    <t>20401155164</t>
  </si>
  <si>
    <t>007864</t>
  </si>
  <si>
    <t>Cast Iron Replacement Proj KC Ph 5</t>
  </si>
  <si>
    <t>20401155172</t>
  </si>
  <si>
    <t>008390</t>
  </si>
  <si>
    <t>8IN CI REPLACEMENT</t>
  </si>
  <si>
    <t>20401155343</t>
  </si>
  <si>
    <t>008393</t>
  </si>
  <si>
    <t>3in PCS Replacement</t>
  </si>
  <si>
    <t>20401155365</t>
  </si>
  <si>
    <t>008537</t>
  </si>
  <si>
    <t>AOR - 4in and 6in CI Replacement</t>
  </si>
  <si>
    <t>20401155359</t>
  </si>
  <si>
    <t>008548</t>
  </si>
  <si>
    <t>20901155368</t>
  </si>
  <si>
    <t>008674</t>
  </si>
  <si>
    <t>Manhattan Dr.- 4in PE Relocatio</t>
  </si>
  <si>
    <t>20923155370</t>
  </si>
  <si>
    <t>008675</t>
  </si>
  <si>
    <t>4in PCS Main Replacement</t>
  </si>
  <si>
    <t>20908155382</t>
  </si>
  <si>
    <t>008692</t>
  </si>
  <si>
    <t>Relocate 2in pcs main</t>
  </si>
  <si>
    <t>20902155383</t>
  </si>
  <si>
    <t>008731</t>
  </si>
  <si>
    <t>Replace 4in PBS- 83rd St</t>
  </si>
  <si>
    <t>20902155375</t>
  </si>
  <si>
    <t>008740</t>
  </si>
  <si>
    <t>Replace 4in PBS- Westridge Rd</t>
  </si>
  <si>
    <t>20201155406</t>
  </si>
  <si>
    <t>008755</t>
  </si>
  <si>
    <t>2in Main Relocation- 24 Hwy</t>
  </si>
  <si>
    <t>20401155256</t>
  </si>
  <si>
    <t>008759</t>
  </si>
  <si>
    <t>2in Service Replacement</t>
  </si>
  <si>
    <t>21261155422</t>
  </si>
  <si>
    <t>008790</t>
  </si>
  <si>
    <t>4in PCS Relocation</t>
  </si>
  <si>
    <t>20928155427</t>
  </si>
  <si>
    <t>008804</t>
  </si>
  <si>
    <t>20815155412</t>
  </si>
  <si>
    <t>008899</t>
  </si>
  <si>
    <t>HWY 65 and HWY J Improvements</t>
  </si>
  <si>
    <t>BWO-Repl Mtr Sets (SLRP) - South</t>
  </si>
  <si>
    <t>BWO-Repl Mtr Set (SLRP) - North</t>
  </si>
  <si>
    <t>BWO-Repl Svc w/ Pls (North Reg)</t>
  </si>
  <si>
    <t>BWO-Repl Svc w/ Pls (South Reg)</t>
  </si>
  <si>
    <t>20801050371</t>
  </si>
  <si>
    <t>004492</t>
  </si>
  <si>
    <t>F0619</t>
  </si>
  <si>
    <t>BWO-Repl Svc w/ Pls (SW Reg)</t>
  </si>
  <si>
    <t>BWO-Repl Mtr Set (SLRP) - SWest</t>
  </si>
  <si>
    <t>N/A</t>
  </si>
  <si>
    <t>009217</t>
  </si>
  <si>
    <t>BWO-Replace Svc w/ Steel (North)</t>
  </si>
  <si>
    <t>ISRS-Other</t>
  </si>
  <si>
    <t>20901155299</t>
  </si>
  <si>
    <t>008214</t>
  </si>
  <si>
    <t>First Assembly of God 3M Rotary Reb</t>
  </si>
  <si>
    <t>F0507</t>
  </si>
  <si>
    <t>Rebuild Meter Install 2'' &amp; Lg (S)</t>
  </si>
  <si>
    <t>21207155346</t>
  </si>
  <si>
    <t>008399</t>
  </si>
  <si>
    <t>4in PBS Replacement -3rd pty damage</t>
  </si>
  <si>
    <t>21001155233</t>
  </si>
  <si>
    <t>008533</t>
  </si>
  <si>
    <t>Repl 333ft of 2in and 4in b/s main</t>
  </si>
  <si>
    <t>20903155417</t>
  </si>
  <si>
    <t>008798</t>
  </si>
  <si>
    <t>Winsteads 3M Rebuild SLRP</t>
  </si>
  <si>
    <t>20201155425</t>
  </si>
  <si>
    <t>008890</t>
  </si>
  <si>
    <t>Replace Bare Steel-Waldo Ave</t>
  </si>
  <si>
    <t>Fiscal Year 2016 Additions</t>
  </si>
  <si>
    <t>007052</t>
  </si>
  <si>
    <t>BWO Main Installed Mtce-North Reg</t>
  </si>
  <si>
    <t>007053</t>
  </si>
  <si>
    <t>BWO Mains Installed Mtce -South Reg</t>
  </si>
  <si>
    <t>007054</t>
  </si>
  <si>
    <t>BWO Mains Installed Mtce-Southwest</t>
  </si>
  <si>
    <t>20501143900</t>
  </si>
  <si>
    <t>006740</t>
  </si>
  <si>
    <t>Repl with 2120ft of 2in PE due to C</t>
  </si>
  <si>
    <t>20502143980</t>
  </si>
  <si>
    <t>007080</t>
  </si>
  <si>
    <t>Repl with 1220ft of 2in PE due to C</t>
  </si>
  <si>
    <t>20502144034</t>
  </si>
  <si>
    <t>007191</t>
  </si>
  <si>
    <t>Repl w 725ft of 4in PE 13th and Mad</t>
  </si>
  <si>
    <t>20502144035</t>
  </si>
  <si>
    <t>007206</t>
  </si>
  <si>
    <t>Repl w 440ft of 4in PE 10th and Mad</t>
  </si>
  <si>
    <t>20301155094</t>
  </si>
  <si>
    <t>007513</t>
  </si>
  <si>
    <t>Replace 2in PBS Gay and Mitchell</t>
  </si>
  <si>
    <t>20301155111</t>
  </si>
  <si>
    <t>007601</t>
  </si>
  <si>
    <t>Replace PBS main to eliminate DRS 9</t>
  </si>
  <si>
    <t>20906155284</t>
  </si>
  <si>
    <t>008238</t>
  </si>
  <si>
    <t>Replace 8in PBS Main</t>
  </si>
  <si>
    <t>20903155313</t>
  </si>
  <si>
    <t>008244</t>
  </si>
  <si>
    <t>Price Chopper 3M Rotary Meter Rebui</t>
  </si>
  <si>
    <t>20903155314</t>
  </si>
  <si>
    <t>008245</t>
  </si>
  <si>
    <t>Midwest Inn 7M Rotary Meter Rebuild</t>
  </si>
  <si>
    <t>20401155292</t>
  </si>
  <si>
    <t>008360</t>
  </si>
  <si>
    <t>Cast Iron Replacement proj KC Ph7</t>
  </si>
  <si>
    <t>20401155301</t>
  </si>
  <si>
    <t>008389</t>
  </si>
  <si>
    <t>Cast Iron Replacement project phase</t>
  </si>
  <si>
    <t>20502155309</t>
  </si>
  <si>
    <t>008543</t>
  </si>
  <si>
    <t>3in and 2in PBS Main Replacement</t>
  </si>
  <si>
    <t>20501155264</t>
  </si>
  <si>
    <t>008546</t>
  </si>
  <si>
    <t>12th St and Illinois Ave 4in PBS Ma</t>
  </si>
  <si>
    <t>21001155322</t>
  </si>
  <si>
    <t>008636</t>
  </si>
  <si>
    <t>Replace 2in PBS/PCS &amp; 6in P</t>
  </si>
  <si>
    <t>20903155419</t>
  </si>
  <si>
    <t>008797</t>
  </si>
  <si>
    <t>Chapel Hill Church 3M Rebuild SLRP</t>
  </si>
  <si>
    <t>20901155415</t>
  </si>
  <si>
    <t>008799</t>
  </si>
  <si>
    <t>RLDS Church 3M Rebuild SLRP</t>
  </si>
  <si>
    <t>20201155497</t>
  </si>
  <si>
    <t>009227</t>
  </si>
  <si>
    <t>Replace 4in pbs main</t>
  </si>
  <si>
    <t>20401155483</t>
  </si>
  <si>
    <t>009249</t>
  </si>
  <si>
    <t>20401155484</t>
  </si>
  <si>
    <t>009251</t>
  </si>
  <si>
    <t>20401155463</t>
  </si>
  <si>
    <t>009274</t>
  </si>
  <si>
    <t>Replace 3in PCS, 1.25in PE, 2</t>
  </si>
  <si>
    <t>21001143364</t>
  </si>
  <si>
    <t>004035</t>
  </si>
  <si>
    <t>26th &amp; Frederick Reloc PCS w 56'-4i</t>
  </si>
  <si>
    <t>20501144063</t>
  </si>
  <si>
    <t>007507</t>
  </si>
  <si>
    <t>Relocate 10in PE Main due to Storm</t>
  </si>
  <si>
    <t>20901144058</t>
  </si>
  <si>
    <t>008367</t>
  </si>
  <si>
    <t>Rebuild DRS 58 Independence and Tow</t>
  </si>
  <si>
    <t>20501155348</t>
  </si>
  <si>
    <t>008681</t>
  </si>
  <si>
    <t>C Street and Harlem  PBS/PCS replac</t>
  </si>
  <si>
    <t>20513155372</t>
  </si>
  <si>
    <t>008791</t>
  </si>
  <si>
    <t>Carl Junction Addition for R1 HP Ma</t>
  </si>
  <si>
    <t>21215155377</t>
  </si>
  <si>
    <t>008895</t>
  </si>
  <si>
    <t>Gas Main Relocation</t>
  </si>
  <si>
    <t>20932143803</t>
  </si>
  <si>
    <t>006670</t>
  </si>
  <si>
    <t>Rebuild DRS 4 Madison and Foxwood</t>
  </si>
  <si>
    <t>20810155146</t>
  </si>
  <si>
    <t>007706</t>
  </si>
  <si>
    <t>Repl Main Odell and Missouri</t>
  </si>
  <si>
    <t>20201155082</t>
  </si>
  <si>
    <t>007906</t>
  </si>
  <si>
    <t>Replace PBS Main</t>
  </si>
  <si>
    <t>21001155243</t>
  </si>
  <si>
    <t>008205</t>
  </si>
  <si>
    <t>Repl 203ft of 2in PBS with 2in PE</t>
  </si>
  <si>
    <t>20401155317</t>
  </si>
  <si>
    <t>008395</t>
  </si>
  <si>
    <t>Cast Iron Replacement Project Phase</t>
  </si>
  <si>
    <t>20902155308</t>
  </si>
  <si>
    <t>008549</t>
  </si>
  <si>
    <t>Replace 2in &amp; 3in PCS/PBS</t>
  </si>
  <si>
    <t>20401155356</t>
  </si>
  <si>
    <t>008635</t>
  </si>
  <si>
    <t>Cast Iron Replacement Proj Phase 10</t>
  </si>
  <si>
    <t>20201155147</t>
  </si>
  <si>
    <t>008682</t>
  </si>
  <si>
    <t>Replace 6in PCS 4in PCS/PBS &amp;</t>
  </si>
  <si>
    <t>20902155460</t>
  </si>
  <si>
    <t>009133</t>
  </si>
  <si>
    <t>20813155491</t>
  </si>
  <si>
    <t>009136</t>
  </si>
  <si>
    <t>2in Main Replacement</t>
  </si>
  <si>
    <t>20806155485</t>
  </si>
  <si>
    <t>009239</t>
  </si>
  <si>
    <t>Repl PBS with 382 ft 2in Plastic Ma</t>
  </si>
  <si>
    <t>20903155506</t>
  </si>
  <si>
    <t>009253</t>
  </si>
  <si>
    <t>Hydrotest the GV Lateral Transmissi</t>
  </si>
  <si>
    <t>20401155393</t>
  </si>
  <si>
    <t>008809</t>
  </si>
  <si>
    <t>6in PCS Relocation</t>
  </si>
  <si>
    <t>20501143304</t>
  </si>
  <si>
    <t>005012</t>
  </si>
  <si>
    <t>15th &amp; Delaware Repl PBS w 4935'-PE</t>
  </si>
  <si>
    <t>20809143500</t>
  </si>
  <si>
    <t>005274</t>
  </si>
  <si>
    <t>Hadley &amp; Rinker Repl PBS  w 895'-2p</t>
  </si>
  <si>
    <t>2050143908</t>
  </si>
  <si>
    <t>006738</t>
  </si>
  <si>
    <t>Replace with 975ft of 2in due to CP</t>
  </si>
  <si>
    <t>20501144012</t>
  </si>
  <si>
    <t>007078</t>
  </si>
  <si>
    <t>6th and Connor Repl 70ft of 4in PBS</t>
  </si>
  <si>
    <t>20501144013</t>
  </si>
  <si>
    <t>007201</t>
  </si>
  <si>
    <t>5th and Gray Repl w 820ft of 4in PE</t>
  </si>
  <si>
    <t>20501155157</t>
  </si>
  <si>
    <t>007910</t>
  </si>
  <si>
    <t>3in and 4in PBS Main Replacement</t>
  </si>
  <si>
    <t>20501155247</t>
  </si>
  <si>
    <t>008129</t>
  </si>
  <si>
    <t>2in PCS Main Replacement</t>
  </si>
  <si>
    <t>20501155263</t>
  </si>
  <si>
    <t>008212</t>
  </si>
  <si>
    <t>Duquesne Rd 3in PCS Main Replacemen</t>
  </si>
  <si>
    <t>21251155311</t>
  </si>
  <si>
    <t>008361</t>
  </si>
  <si>
    <t>Replace 4in PE with 2in PE at 74 an</t>
  </si>
  <si>
    <t>20501155480</t>
  </si>
  <si>
    <t>009236</t>
  </si>
  <si>
    <t>Wall Ave 2995' PBS Main Replacement</t>
  </si>
  <si>
    <t>800036</t>
  </si>
  <si>
    <t>20th and Maiden Lane Relocation</t>
  </si>
  <si>
    <t>20901143369</t>
  </si>
  <si>
    <t>004268</t>
  </si>
  <si>
    <t>Jefferson &amp; Persels Reloc 6in PE</t>
  </si>
  <si>
    <t>20930143750</t>
  </si>
  <si>
    <t>006083</t>
  </si>
  <si>
    <t>BB Highway Rectifier and Ground Bed</t>
  </si>
  <si>
    <t>20902143873</t>
  </si>
  <si>
    <t>006840</t>
  </si>
  <si>
    <t>Acc Main Repl 0403 S of 350</t>
  </si>
  <si>
    <t>20902143921</t>
  </si>
  <si>
    <t>006971</t>
  </si>
  <si>
    <t>Replace PBS 0401</t>
  </si>
  <si>
    <t>20902143920</t>
  </si>
  <si>
    <t>006972</t>
  </si>
  <si>
    <t>Replace PBS 0403 S of 67th Terr</t>
  </si>
  <si>
    <t>20902143922</t>
  </si>
  <si>
    <t>006973</t>
  </si>
  <si>
    <t>Replace PBS 0401 69th to Gregory</t>
  </si>
  <si>
    <t>20902143919</t>
  </si>
  <si>
    <t>006977</t>
  </si>
  <si>
    <t>Replace PBS 0403 0603</t>
  </si>
  <si>
    <t>20903155194</t>
  </si>
  <si>
    <t>007935</t>
  </si>
  <si>
    <t>Prepare Hydrotest Odessa Lateral Tr</t>
  </si>
  <si>
    <t>20305155214</t>
  </si>
  <si>
    <t>008061</t>
  </si>
  <si>
    <t>20305155206</t>
  </si>
  <si>
    <t>008246</t>
  </si>
  <si>
    <t>Replace Bare Steel Main</t>
  </si>
  <si>
    <t>20305155220</t>
  </si>
  <si>
    <t>008271</t>
  </si>
  <si>
    <t>Replace 2in PE, PBS and PCS</t>
  </si>
  <si>
    <t>21001155327</t>
  </si>
  <si>
    <t>008372</t>
  </si>
  <si>
    <t>Hilltop Road Replacement</t>
  </si>
  <si>
    <t>20305155210</t>
  </si>
  <si>
    <t>008401</t>
  </si>
  <si>
    <t>20201155286</t>
  </si>
  <si>
    <t>008442</t>
  </si>
  <si>
    <t>Replace 4in PBS &amp; PE, 2in P</t>
  </si>
  <si>
    <t>21001155318</t>
  </si>
  <si>
    <t>008443</t>
  </si>
  <si>
    <t>Replace 4in &amp; 2in PBS/PCS</t>
  </si>
  <si>
    <t>20305155209</t>
  </si>
  <si>
    <t>008530</t>
  </si>
  <si>
    <t>Install 4in and 2in PE Main</t>
  </si>
  <si>
    <t>20201155341</t>
  </si>
  <si>
    <t>008532</t>
  </si>
  <si>
    <t>Allen Road Replacement</t>
  </si>
  <si>
    <t>20305155188</t>
  </si>
  <si>
    <t>008538</t>
  </si>
  <si>
    <t>Install 2inch PL Main</t>
  </si>
  <si>
    <t>20305155162</t>
  </si>
  <si>
    <t>008632</t>
  </si>
  <si>
    <t>Replace 2in pbs and pcs main</t>
  </si>
  <si>
    <t>20201155321</t>
  </si>
  <si>
    <t>008639</t>
  </si>
  <si>
    <t>Replace 4in PBS/PCS &amp; 2in P</t>
  </si>
  <si>
    <t>20305155191</t>
  </si>
  <si>
    <t>008640</t>
  </si>
  <si>
    <t>Replace 2in and 4in pbs mai</t>
  </si>
  <si>
    <t>20305155203</t>
  </si>
  <si>
    <t>008677</t>
  </si>
  <si>
    <t>20305155158</t>
  </si>
  <si>
    <t>008683</t>
  </si>
  <si>
    <t>Replace 4in &amp; 6in pbs and p</t>
  </si>
  <si>
    <t>20401155418</t>
  </si>
  <si>
    <t>008758</t>
  </si>
  <si>
    <t>3in PBS Replacement</t>
  </si>
  <si>
    <t>20305155159</t>
  </si>
  <si>
    <t>008806</t>
  </si>
  <si>
    <t>Install 2in PE main</t>
  </si>
  <si>
    <t>20305155178</t>
  </si>
  <si>
    <t>008808</t>
  </si>
  <si>
    <t>Replace 2in PBS and PCS</t>
  </si>
  <si>
    <t>20305155105</t>
  </si>
  <si>
    <t>008894</t>
  </si>
  <si>
    <t>Replace 3in pbs main</t>
  </si>
  <si>
    <t>20305155119</t>
  </si>
  <si>
    <t>008897</t>
  </si>
  <si>
    <t>Replace 2in PE/PBS/PCS main</t>
  </si>
  <si>
    <t>20305155131</t>
  </si>
  <si>
    <t>008961</t>
  </si>
  <si>
    <t>Replace 2in PBS/PCS/PE Main</t>
  </si>
  <si>
    <t>21205155455</t>
  </si>
  <si>
    <t>008970</t>
  </si>
  <si>
    <t>12in PCS Relocation</t>
  </si>
  <si>
    <t>380100-Services - Steel</t>
  </si>
  <si>
    <t>009218</t>
  </si>
  <si>
    <t>BWO-Replace Svc w/ Steel (South)</t>
  </si>
  <si>
    <t>20501155526</t>
  </si>
  <si>
    <t>009276</t>
  </si>
  <si>
    <t>Lincoln to Highview along Zora</t>
  </si>
  <si>
    <t>20401143710</t>
  </si>
  <si>
    <t>005954</t>
  </si>
  <si>
    <t>Bannister 10 Inch Rectifier and Gro</t>
  </si>
  <si>
    <t>20301143948</t>
  </si>
  <si>
    <t>007199</t>
  </si>
  <si>
    <t>20301155104</t>
  </si>
  <si>
    <t>007514</t>
  </si>
  <si>
    <t>Replace 2in pbsw main</t>
  </si>
  <si>
    <t>20901155079</t>
  </si>
  <si>
    <t>008406</t>
  </si>
  <si>
    <t>Lees Summit Rd 85th - Gregory CJ</t>
  </si>
  <si>
    <t>20314155312</t>
  </si>
  <si>
    <t>008529</t>
  </si>
  <si>
    <t>20317155362</t>
  </si>
  <si>
    <t>008630</t>
  </si>
  <si>
    <t>Spring St.- Replace 2in PBS</t>
  </si>
  <si>
    <t>20401155426</t>
  </si>
  <si>
    <t>008891</t>
  </si>
  <si>
    <t>Inlet and Outlet Piping to DRS 763</t>
  </si>
  <si>
    <t>20201155414</t>
  </si>
  <si>
    <t>008907</t>
  </si>
  <si>
    <t>Replace 4in PBS</t>
  </si>
  <si>
    <t>20401155420</t>
  </si>
  <si>
    <t>008969</t>
  </si>
  <si>
    <t>Target Marlborough East phase 1</t>
  </si>
  <si>
    <t>21251155431</t>
  </si>
  <si>
    <t>009123</t>
  </si>
  <si>
    <t>12in PCS Relocation - 7B</t>
  </si>
  <si>
    <t>009219</t>
  </si>
  <si>
    <t>BWO-Replace Svc w/ Steel (Southwest</t>
  </si>
  <si>
    <t>20910155493</t>
  </si>
  <si>
    <t>009225</t>
  </si>
  <si>
    <t>Replace 2/3/4 PCS/PBS &amp; 2in PE</t>
  </si>
  <si>
    <t>20910155499</t>
  </si>
  <si>
    <t>009228</t>
  </si>
  <si>
    <t>Replace 2/3 PBS/PCS &amp; 4in PCS</t>
  </si>
  <si>
    <t>20904155501</t>
  </si>
  <si>
    <t>009231</t>
  </si>
  <si>
    <t>Grandview Repl Phase 1</t>
  </si>
  <si>
    <t>20301155498</t>
  </si>
  <si>
    <t>009252</t>
  </si>
  <si>
    <t>20301155525</t>
  </si>
  <si>
    <t>009254</t>
  </si>
  <si>
    <t>20501155517</t>
  </si>
  <si>
    <t>009277</t>
  </si>
  <si>
    <t>4in PBS and PCS Main Replacement</t>
  </si>
  <si>
    <t>20401155408</t>
  </si>
  <si>
    <t>009278</t>
  </si>
  <si>
    <t>Relocate DRS 103</t>
  </si>
  <si>
    <t>800021</t>
  </si>
  <si>
    <t>AOR - 50th and Walnut</t>
  </si>
  <si>
    <t>800027</t>
  </si>
  <si>
    <t>CP15-02 Replace 2" pbs main</t>
  </si>
  <si>
    <t>800029</t>
  </si>
  <si>
    <t>AOR - 2601 Smart Ave</t>
  </si>
  <si>
    <t>800031</t>
  </si>
  <si>
    <t>AOR - 2021 Elmwood</t>
  </si>
  <si>
    <t>800034</t>
  </si>
  <si>
    <t>15th and Main Relocation</t>
  </si>
  <si>
    <t>800114</t>
  </si>
  <si>
    <t>Webb City Ph1A Grid Bare Steel Rep</t>
  </si>
  <si>
    <t>800115</t>
  </si>
  <si>
    <t>Webb City Phase 1B Grid Bare Steel</t>
  </si>
  <si>
    <t>800116</t>
  </si>
  <si>
    <t>Webb City Phase 1C Grid Bare Steel</t>
  </si>
  <si>
    <t>800227</t>
  </si>
  <si>
    <t>Valentine and Terrace St Replacemen</t>
  </si>
  <si>
    <t>800228</t>
  </si>
  <si>
    <t>31st and College Replacement - IUI</t>
  </si>
  <si>
    <t>800245</t>
  </si>
  <si>
    <t>20th and Buchanan 8in STL Relocatio</t>
  </si>
  <si>
    <t>ISRS Work Order Additions March 2016 - July 2016</t>
  </si>
  <si>
    <t>Months</t>
  </si>
  <si>
    <t>Depr Mo. Rate</t>
  </si>
  <si>
    <t>Accum. Depr</t>
  </si>
  <si>
    <t>Depr Expense</t>
  </si>
  <si>
    <t>Type</t>
  </si>
  <si>
    <t>In Svc. Dt.</t>
  </si>
  <si>
    <t>20401050362</t>
  </si>
  <si>
    <t>003978</t>
  </si>
  <si>
    <t>BWO SERVICE REPL BLOCK COMPANY</t>
  </si>
  <si>
    <t>F0582</t>
  </si>
  <si>
    <t>20502144017</t>
  </si>
  <si>
    <t>007186</t>
  </si>
  <si>
    <t>Repl w 235ft of 2in PE due to CP Je</t>
  </si>
  <si>
    <t>20501155073</t>
  </si>
  <si>
    <t>007394</t>
  </si>
  <si>
    <t>St Louis Ave PBS Replacement</t>
  </si>
  <si>
    <t>20501155098</t>
  </si>
  <si>
    <t>007500</t>
  </si>
  <si>
    <t>PCS Main Replacement</t>
  </si>
  <si>
    <t>20501144037</t>
  </si>
  <si>
    <t>007970</t>
  </si>
  <si>
    <t>Repl w 4640ft of 4in PE due to CP i</t>
  </si>
  <si>
    <t>20501155262</t>
  </si>
  <si>
    <t>008133</t>
  </si>
  <si>
    <t>8th St and Virginia Ave 3in PBS Mai</t>
  </si>
  <si>
    <t>20201155307</t>
  </si>
  <si>
    <t>008629</t>
  </si>
  <si>
    <t>Replace 4 in PBS/PCS &amp; 2 in P</t>
  </si>
  <si>
    <t>20902155316</t>
  </si>
  <si>
    <t>008676</t>
  </si>
  <si>
    <t>Replace 2in PCS /PBS Main</t>
  </si>
  <si>
    <t>20201155409</t>
  </si>
  <si>
    <t>008733</t>
  </si>
  <si>
    <t>Replace 6in bare steel main</t>
  </si>
  <si>
    <t>20904155509</t>
  </si>
  <si>
    <t>009232</t>
  </si>
  <si>
    <t>Grandview Repl Phase 2</t>
  </si>
  <si>
    <t>20904155515</t>
  </si>
  <si>
    <t>009247</t>
  </si>
  <si>
    <t>Grandview Repl Phase 3</t>
  </si>
  <si>
    <t>20904155457</t>
  </si>
  <si>
    <t>009248</t>
  </si>
  <si>
    <t>Grandview Repl Phase 4</t>
  </si>
  <si>
    <t>009701</t>
  </si>
  <si>
    <t>Rebuild 3M Meter Set - 4801 S Cliff</t>
  </si>
  <si>
    <t>800043</t>
  </si>
  <si>
    <t>6" PE Main Relocation 197th-Raymore</t>
  </si>
  <si>
    <t>800074</t>
  </si>
  <si>
    <t>156' Main Replace N Central City Rd</t>
  </si>
  <si>
    <t>800129</t>
  </si>
  <si>
    <t>Hwy 71 &amp; Gregory Grid Replace Ph1</t>
  </si>
  <si>
    <t>800194</t>
  </si>
  <si>
    <t>Repl w/ 865F 4P 26th &amp; Jackson</t>
  </si>
  <si>
    <t>800196</t>
  </si>
  <si>
    <t>AOR - 2939 Brooklyn Ave</t>
  </si>
  <si>
    <t>800199</t>
  </si>
  <si>
    <t>Replace 8" PBS Main-Loch Lloyd</t>
  </si>
  <si>
    <t>800235</t>
  </si>
  <si>
    <t>CP15-042 and Bare Steel 4" Main Rep</t>
  </si>
  <si>
    <t>800236</t>
  </si>
  <si>
    <t>CP15-12 Replace 2" pbs main</t>
  </si>
  <si>
    <t>800246</t>
  </si>
  <si>
    <t>18th &amp; Hawthorn Main Replace</t>
  </si>
  <si>
    <t>800249</t>
  </si>
  <si>
    <t>Replace 2" Main-Savage &amp; Pacific</t>
  </si>
  <si>
    <t>800253</t>
  </si>
  <si>
    <t>AOR - W 20th ST &amp; Broadway</t>
  </si>
  <si>
    <t>800272</t>
  </si>
  <si>
    <t>AOR - 20th and McGee St Replacement</t>
  </si>
  <si>
    <t>800308</t>
  </si>
  <si>
    <t>Dewey and Rosine Replacement</t>
  </si>
  <si>
    <t>800333</t>
  </si>
  <si>
    <t>Third and High Abandonment due to C</t>
  </si>
  <si>
    <t>800346</t>
  </si>
  <si>
    <t>2" Bare Steel Relocation-37th &amp; Nor</t>
  </si>
  <si>
    <t>800347</t>
  </si>
  <si>
    <t>AOR 3211 Cypress Ave Replacement -</t>
  </si>
  <si>
    <t>800386</t>
  </si>
  <si>
    <t>Repl w/ 1533F 2P Hwy 37 &amp; Walnut</t>
  </si>
  <si>
    <t>800388</t>
  </si>
  <si>
    <t>Repl w/ 800F 2P Carnation Dr</t>
  </si>
  <si>
    <t>800391</t>
  </si>
  <si>
    <t>Repl w/ 88F 2P 2nd &amp; Broadway</t>
  </si>
  <si>
    <t>800423</t>
  </si>
  <si>
    <t>Rel w/ 325F 4P 11th St &amp; Hartley</t>
  </si>
  <si>
    <t>800428</t>
  </si>
  <si>
    <t>Aber and MorrelRepl Bare Steel Main</t>
  </si>
  <si>
    <t>800574</t>
  </si>
  <si>
    <t>Rel w/ 160F 8S Feeder Main</t>
  </si>
  <si>
    <t>800582</t>
  </si>
  <si>
    <t>Repl w/ 540F 6P Coll Terr E of Fore</t>
  </si>
  <si>
    <t>800467</t>
  </si>
  <si>
    <t>Rel w/ 50F 6P 54th Terrace AOR</t>
  </si>
  <si>
    <t>800416</t>
  </si>
  <si>
    <t>N Amity Ave main relocation</t>
  </si>
  <si>
    <t>20201155405</t>
  </si>
  <si>
    <t>008761</t>
  </si>
  <si>
    <t>20910155472</t>
  </si>
  <si>
    <t>009224</t>
  </si>
  <si>
    <t>Replace 2 PCS/PE &amp; 4in PCS/PE</t>
  </si>
  <si>
    <t>Work Order Detailed Descriptions</t>
  </si>
  <si>
    <t>Work Order Notes - Purpose/Necessity</t>
  </si>
  <si>
    <t>ISRS Work Order Retirements March 2016 - July 2016</t>
  </si>
  <si>
    <t>Retirement Amount</t>
  </si>
  <si>
    <t>006735</t>
  </si>
  <si>
    <t>20201143866</t>
  </si>
  <si>
    <t>Retire DRS 40 27th and Northern</t>
  </si>
  <si>
    <t>Retirement</t>
  </si>
  <si>
    <t>007967</t>
  </si>
  <si>
    <t>20401155258</t>
  </si>
  <si>
    <t>4in Bare Steel Abandonment</t>
  </si>
  <si>
    <t>009220</t>
  </si>
  <si>
    <t>BWO-Abandon Service (North)</t>
  </si>
  <si>
    <t>009221</t>
  </si>
  <si>
    <t>BWO-Abandon Service (South Region)</t>
  </si>
  <si>
    <t>009222</t>
  </si>
  <si>
    <t>BWO-Abandon Service (SW Region)</t>
  </si>
  <si>
    <t>Total Retirements</t>
  </si>
  <si>
    <t>Missouri Gas Energy</t>
  </si>
  <si>
    <t>Deferred Taxes - Rate Base Reduction</t>
  </si>
  <si>
    <t>ISRS  Filing</t>
  </si>
  <si>
    <t>Federal Tax Rate:</t>
  </si>
  <si>
    <t>Composite Tax Rate:</t>
  </si>
  <si>
    <t>Current ISRS</t>
  </si>
  <si>
    <t>GR-2015-0025</t>
  </si>
  <si>
    <t>GO-2015-0270</t>
  </si>
  <si>
    <t>GO-2015-0343</t>
  </si>
  <si>
    <t>2016 Tax Depreciation</t>
  </si>
  <si>
    <t>Total Tax Depreciation</t>
  </si>
  <si>
    <t>Book Depreciation</t>
  </si>
  <si>
    <t>Difference between tax and book Depec</t>
  </si>
  <si>
    <t xml:space="preserve">Total Deferred Taxes </t>
  </si>
  <si>
    <t>Rate of Return Determination Per GR-2014-0007</t>
  </si>
  <si>
    <r>
      <t>Per the Stipulation and Agreement in GR-2014-0007 the pre-tax rate of return for all ISRS filings will be 9.75</t>
    </r>
    <r>
      <rPr>
        <b/>
        <strike/>
        <sz val="10"/>
        <rFont val="Arial"/>
        <family val="2"/>
      </rPr>
      <t>%</t>
    </r>
  </si>
  <si>
    <t>Property Tax Calculation</t>
  </si>
  <si>
    <t>ISRS Filing</t>
  </si>
  <si>
    <t>ISRS Revenue Requirements Calculation</t>
  </si>
  <si>
    <t>Total for</t>
  </si>
  <si>
    <t>ISRS Activity:</t>
  </si>
  <si>
    <r>
      <t xml:space="preserve">ISRS </t>
    </r>
    <r>
      <rPr>
        <b/>
        <sz val="10"/>
        <rFont val="Arial"/>
        <family val="2"/>
      </rPr>
      <t>Filing</t>
    </r>
  </si>
  <si>
    <t>Gas Utility Plant Projects--Total -(RM) RSMo 393.1012:</t>
  </si>
  <si>
    <t xml:space="preserve">   Work Orders Placed in Service:</t>
  </si>
  <si>
    <t xml:space="preserve">      Replacement Mains, Services and Associated Valves and Regulators</t>
  </si>
  <si>
    <t xml:space="preserve">      Deferred Taxes (Previous ISRS)</t>
  </si>
  <si>
    <t xml:space="preserve">      Accumulated Depreciation (Previous ISRS)</t>
  </si>
  <si>
    <t xml:space="preserve">      Deferred Taxes (Current)</t>
  </si>
  <si>
    <t xml:space="preserve">      Accumulated Depreciation (Current)</t>
  </si>
  <si>
    <t>Total ISRS Rate Base</t>
  </si>
  <si>
    <t>Pre-tax rate of return from S&amp;A in GR-2014-0007</t>
  </si>
  <si>
    <t>Total Revenue Requirement on Capital</t>
  </si>
  <si>
    <t>Depreciation Expense</t>
  </si>
  <si>
    <t>Tax Conversion Factor</t>
  </si>
  <si>
    <t>Property Taxes</t>
  </si>
  <si>
    <t>=1/(1-.383886)</t>
  </si>
  <si>
    <t>Current ISRS Revenues</t>
  </si>
  <si>
    <t>Summary of Plant Additions</t>
  </si>
  <si>
    <t>Original Cost</t>
  </si>
  <si>
    <t>Retirements</t>
  </si>
  <si>
    <t>Accum Depr</t>
  </si>
  <si>
    <t>Depr Exp</t>
  </si>
  <si>
    <t>Summary</t>
  </si>
  <si>
    <t xml:space="preserve">Public Improvements </t>
  </si>
  <si>
    <t xml:space="preserve">SLRP  </t>
  </si>
  <si>
    <t>Regulator Stations</t>
  </si>
  <si>
    <t>Blanket Workorders</t>
  </si>
  <si>
    <t>Rate Design</t>
  </si>
  <si>
    <t>Current ISRS Filing</t>
  </si>
  <si>
    <t>GO-2015-0270 ISRS Rev Req</t>
  </si>
  <si>
    <t>GR-2015-0025 ISRS Rev Req</t>
  </si>
  <si>
    <t>Total ISRS Rev Requirement</t>
  </si>
  <si>
    <t>No. of Customers</t>
  </si>
  <si>
    <t xml:space="preserve">Customer </t>
  </si>
  <si>
    <t>Ratio To</t>
  </si>
  <si>
    <t>ISRS</t>
  </si>
  <si>
    <t>Weighted</t>
  </si>
  <si>
    <t>Note</t>
  </si>
  <si>
    <t>Charges</t>
  </si>
  <si>
    <t>Allocation</t>
  </si>
  <si>
    <t>Res Cust Chrg</t>
  </si>
  <si>
    <t>Charge</t>
  </si>
  <si>
    <t>Revenue</t>
  </si>
  <si>
    <t>Customers</t>
  </si>
  <si>
    <t>Residential</t>
  </si>
  <si>
    <t>Small General Service</t>
  </si>
  <si>
    <t>Large General Service</t>
  </si>
  <si>
    <t>Large Volume</t>
  </si>
  <si>
    <t>Per Customer</t>
  </si>
  <si>
    <t>Per Cust Weighted</t>
  </si>
  <si>
    <t>Customer numbers from FERC Form 2</t>
  </si>
  <si>
    <t>Lg General Service</t>
  </si>
  <si>
    <t>Lg Volume</t>
  </si>
  <si>
    <t>December 31, 2015</t>
  </si>
  <si>
    <t>GO-2016-0197</t>
  </si>
  <si>
    <t>2017 Tax Depreciation</t>
  </si>
  <si>
    <t>Description</t>
  </si>
  <si>
    <t>Legend for State or Federal Safety Requirements</t>
  </si>
  <si>
    <t>A</t>
  </si>
  <si>
    <t>393.130 RSMo</t>
  </si>
  <si>
    <t>Safe and Adequate Service</t>
  </si>
  <si>
    <t>B</t>
  </si>
  <si>
    <t>4 CSR 240-40.030(13)(B)</t>
  </si>
  <si>
    <t>Replace, repair or remove unsafe pipeline segments</t>
  </si>
  <si>
    <t>C</t>
  </si>
  <si>
    <t>4 CSR 240-40.030(15)</t>
  </si>
  <si>
    <t>Replacement Programs</t>
  </si>
  <si>
    <t>D</t>
  </si>
  <si>
    <t>4 CSR 240-40.030(14)</t>
  </si>
  <si>
    <t>Gas Leaks</t>
  </si>
  <si>
    <t>E</t>
  </si>
  <si>
    <t>4 CSR 240-40.030(9)</t>
  </si>
  <si>
    <t>Corrosion Control</t>
  </si>
  <si>
    <t>F</t>
  </si>
  <si>
    <t>4 CSR 240-40.030(13)</t>
  </si>
  <si>
    <t>Maintenance</t>
  </si>
  <si>
    <t>G</t>
  </si>
  <si>
    <t>4 CSR 240-40.030(7)</t>
  </si>
  <si>
    <t>Construction requirements</t>
  </si>
  <si>
    <t>H</t>
  </si>
  <si>
    <t>4 CSR 240-40.030(10)</t>
  </si>
  <si>
    <t>Testing Requirements</t>
  </si>
  <si>
    <t>I</t>
  </si>
  <si>
    <t>GO-2002-50</t>
  </si>
  <si>
    <t>Order Approving Modifications to the Ongoing Cast Iron Main, Service Line and Yard Line Replacement as Part of the Safety Line Replacement Program</t>
  </si>
  <si>
    <t xml:space="preserve">References to state safety rules should be interpreted to include the corresponding federal safety rule. </t>
  </si>
  <si>
    <t>Statute Section</t>
  </si>
  <si>
    <t>State or Federal Requirement</t>
  </si>
  <si>
    <t>393.1009 (5) (C)</t>
  </si>
  <si>
    <t>393.1009 (5) (a) (b)</t>
  </si>
  <si>
    <t>A,B,C</t>
  </si>
  <si>
    <t>A,B,C,I</t>
  </si>
  <si>
    <t>009275</t>
  </si>
  <si>
    <t>20901155534</t>
  </si>
  <si>
    <t>20910155503</t>
  </si>
  <si>
    <t>009230</t>
  </si>
  <si>
    <t>Replace 2in PE, PCS &amp; PBS</t>
  </si>
  <si>
    <t>800016</t>
  </si>
  <si>
    <t>Relocate 4" PCS on Route 7</t>
  </si>
  <si>
    <t>800023</t>
  </si>
  <si>
    <t>13th and Maiden Lane Relocation</t>
  </si>
  <si>
    <t>800030</t>
  </si>
  <si>
    <t>Relocate 2" &amp; 3" Steel - Route 7 fr</t>
  </si>
  <si>
    <t>800105</t>
  </si>
  <si>
    <t>Centerview Grid Replacement Phase 2</t>
  </si>
  <si>
    <t>800106</t>
  </si>
  <si>
    <t>Centerview Grid Replacement Phase 3</t>
  </si>
  <si>
    <t>800135</t>
  </si>
  <si>
    <t>St. Joe's South Phase 1A - MGE</t>
  </si>
  <si>
    <t>800163</t>
  </si>
  <si>
    <t>Webb City Phase 1D Bare Steel Repla</t>
  </si>
  <si>
    <t>800372</t>
  </si>
  <si>
    <t>Hill Street Drainage Improvement -</t>
  </si>
  <si>
    <t>800389</t>
  </si>
  <si>
    <t>Repl w/ 3270F 2-4P Lincoln-Jefferso</t>
  </si>
  <si>
    <t>800403</t>
  </si>
  <si>
    <t>Repl w/ 740F 2P 3rd and McKinley</t>
  </si>
  <si>
    <t>800433</t>
  </si>
  <si>
    <t>Repl Bare Steel Main-Brookside</t>
  </si>
  <si>
    <t>800550</t>
  </si>
  <si>
    <t>Repl w/ 795F 4P Hayward Ave</t>
  </si>
  <si>
    <t>800567</t>
  </si>
  <si>
    <t>Rel w/ 450F 12S Illinois Ave</t>
  </si>
  <si>
    <t>800581</t>
  </si>
  <si>
    <t>Repl w/ 282F 2P S Hwy 14</t>
  </si>
  <si>
    <t>800588</t>
  </si>
  <si>
    <t>Repl w 120F 2P Morgan #2 Leak</t>
  </si>
  <si>
    <t>800591</t>
  </si>
  <si>
    <t>Repl w/ 1648F 2P Lafayette St</t>
  </si>
  <si>
    <t>800602</t>
  </si>
  <si>
    <t>Repl w/ 1275F 4P 39th</t>
  </si>
  <si>
    <t>800621</t>
  </si>
  <si>
    <t>Rel w/ 1997F 4P Bankers Addition</t>
  </si>
  <si>
    <t>Total Additions</t>
  </si>
  <si>
    <t>ISRS Work Order Retirements March 2016 - August 2016</t>
  </si>
  <si>
    <t>008906</t>
  </si>
  <si>
    <t>20902155399</t>
  </si>
  <si>
    <t>Replace 10in and 6in pbs ma</t>
  </si>
  <si>
    <t>20801155198</t>
  </si>
  <si>
    <t>007939</t>
  </si>
  <si>
    <t>Repl 2in PBS with 1045 ft  2in Plas</t>
  </si>
  <si>
    <t>20601155410</t>
  </si>
  <si>
    <t>009140</t>
  </si>
  <si>
    <t>Carthage Overlay  Grant to River Re</t>
  </si>
  <si>
    <t>20910155505</t>
  </si>
  <si>
    <t>009229</t>
  </si>
  <si>
    <t>Replace 2 PE/PCS/PBS &amp; 4in PCS</t>
  </si>
  <si>
    <t>009914</t>
  </si>
  <si>
    <t>Grain Valley Phase II Hydrotest</t>
  </si>
  <si>
    <t>F1195</t>
  </si>
  <si>
    <t>Pipeline Safety/Integrity ISRS (N)</t>
  </si>
  <si>
    <t>012118</t>
  </si>
  <si>
    <t>Hobby Lobby SLRP Meter Relocation</t>
  </si>
  <si>
    <t>800032</t>
  </si>
  <si>
    <t>Relocate 3in &amp; 4i Steel Rt 7 fro</t>
  </si>
  <si>
    <t>800038</t>
  </si>
  <si>
    <t>Main Replacemen due to CPs/Iso Stee</t>
  </si>
  <si>
    <t>800039</t>
  </si>
  <si>
    <t>Pickett Rd and 29th St - Main Repla</t>
  </si>
  <si>
    <t>800104</t>
  </si>
  <si>
    <t>Centerview Grid Replacement Phase 1</t>
  </si>
  <si>
    <t>800136</t>
  </si>
  <si>
    <t>FY16 Strat Grid-St. Joe's South 1B</t>
  </si>
  <si>
    <t>800137</t>
  </si>
  <si>
    <t>St. Joe's South Phase 1C - MGE</t>
  </si>
  <si>
    <t>800358</t>
  </si>
  <si>
    <t>State Line Rd Main relocation-IUI</t>
  </si>
  <si>
    <t>800370</t>
  </si>
  <si>
    <t>AOR - Spruce and 41st - IUI</t>
  </si>
  <si>
    <t>800468</t>
  </si>
  <si>
    <t>Repl w/ 30F 6P 12th and AskewAOR</t>
  </si>
  <si>
    <t>Total BWO Joint Encapsulation</t>
  </si>
  <si>
    <t>20902155379</t>
  </si>
  <si>
    <t>009285</t>
  </si>
  <si>
    <t>800028</t>
  </si>
  <si>
    <t>Liberty Header - Phase 3</t>
  </si>
  <si>
    <t>800041</t>
  </si>
  <si>
    <t>Liberty Header - Phase 4 IUI</t>
  </si>
  <si>
    <t>800045</t>
  </si>
  <si>
    <t>Liberty - Grid Phase A</t>
  </si>
  <si>
    <t>800046</t>
  </si>
  <si>
    <t>Liberty - Grid Phase B</t>
  </si>
  <si>
    <t>800064</t>
  </si>
  <si>
    <t>Repl w/ 3152F 2-4P 48th &amp; Rangeline</t>
  </si>
  <si>
    <t>800068</t>
  </si>
  <si>
    <t>Tipton Bare Steel Replace-Grid PhA</t>
  </si>
  <si>
    <t>800069</t>
  </si>
  <si>
    <t>Tipton Grid Phase C - Bare steel re</t>
  </si>
  <si>
    <t>800070</t>
  </si>
  <si>
    <t>Tipton Grid Phase D - Bare steel re</t>
  </si>
  <si>
    <t>800072</t>
  </si>
  <si>
    <t>Tipton Grid Phase B - Bare steel re</t>
  </si>
  <si>
    <t>800073</t>
  </si>
  <si>
    <t>Tipton Grid Phase F - Bare steel re</t>
  </si>
  <si>
    <t>800075</t>
  </si>
  <si>
    <t>Tipton Grid Phase E - Bare steel re</t>
  </si>
  <si>
    <t>800078</t>
  </si>
  <si>
    <t>Liberty Header - Phase 1</t>
  </si>
  <si>
    <t>800079</t>
  </si>
  <si>
    <t>Liberty Header Main - Phase 2</t>
  </si>
  <si>
    <t>800083</t>
  </si>
  <si>
    <t>Holden Grid Phase 2I</t>
  </si>
  <si>
    <t>800084</t>
  </si>
  <si>
    <t>Holden Grid Phase 2H</t>
  </si>
  <si>
    <t>800085</t>
  </si>
  <si>
    <t>Holden Grid Phase 2G</t>
  </si>
  <si>
    <t>800086</t>
  </si>
  <si>
    <t>Holden Grid Phase 2F</t>
  </si>
  <si>
    <t>800087</t>
  </si>
  <si>
    <t>Holden Grid Phase 2E</t>
  </si>
  <si>
    <t>800088</t>
  </si>
  <si>
    <t>Holden Grid Phase 2D</t>
  </si>
  <si>
    <t>800089</t>
  </si>
  <si>
    <t>Holden Grid Phase 2C</t>
  </si>
  <si>
    <t>800138</t>
  </si>
  <si>
    <t>St. Joe's South Phase 1D - MGE</t>
  </si>
  <si>
    <t>800142</t>
  </si>
  <si>
    <t>Hwy 71 and Gregory Grid Replace PhB</t>
  </si>
  <si>
    <t>800143</t>
  </si>
  <si>
    <t>Hwy 71 &amp; Gregory Grid Replace PhC</t>
  </si>
  <si>
    <t>800144</t>
  </si>
  <si>
    <t>Hwy 71 and Gregory Grid Repl PhD</t>
  </si>
  <si>
    <t>800145</t>
  </si>
  <si>
    <t>Repl w 4271F 4P- 71 &amp; Gregory Ph E</t>
  </si>
  <si>
    <t>800146</t>
  </si>
  <si>
    <t>Repl w/ 4506F 2P Hwy71 &amp; Gregory-F</t>
  </si>
  <si>
    <t>800178</t>
  </si>
  <si>
    <t>Webb City Phase 1E Grid Repl</t>
  </si>
  <si>
    <t>800179</t>
  </si>
  <si>
    <t>Webb City Phase 1F Grid Repl</t>
  </si>
  <si>
    <t>800230</t>
  </si>
  <si>
    <t>5227 Norton CI Replacement - IUI</t>
  </si>
  <si>
    <t>800242</t>
  </si>
  <si>
    <t>Cast Iron Abandonment 55th &amp; Jackso</t>
  </si>
  <si>
    <t>800254</t>
  </si>
  <si>
    <t>Pleasant Hill Main Replacement- Pha</t>
  </si>
  <si>
    <t>800255</t>
  </si>
  <si>
    <t>Pleasant Hill Main Replace-Phase 2</t>
  </si>
  <si>
    <t>800369</t>
  </si>
  <si>
    <t>AOR - 1310 E 62nd St - IUI</t>
  </si>
  <si>
    <t>800377</t>
  </si>
  <si>
    <t>Rel w/ 568F 2S Rt 14 &amp; Hwy 160</t>
  </si>
  <si>
    <t>800381</t>
  </si>
  <si>
    <t>Neck City- Bare Steel Main Replacem</t>
  </si>
  <si>
    <t>800385</t>
  </si>
  <si>
    <t>Rel w/ 2320F 2P 22nd&amp;23rd St-Wabash</t>
  </si>
  <si>
    <t>800397</t>
  </si>
  <si>
    <t>Rel w/ 2064F 2-6P 18th &amp; Evanston</t>
  </si>
  <si>
    <t>800430</t>
  </si>
  <si>
    <t>Repl w 4625F 2-4P TCLea&amp;Rogers Ph1</t>
  </si>
  <si>
    <t>800481</t>
  </si>
  <si>
    <t>Repl w/ 1317F 2&amp;4P 56th&amp; Norton AOR</t>
  </si>
  <si>
    <t>800515</t>
  </si>
  <si>
    <t>Rel w/ 3105f 2-4P Johnson Dr Storm</t>
  </si>
  <si>
    <t>800543</t>
  </si>
  <si>
    <t>Repl w/ 4265F 2P TC Lea &amp;RogersPh2</t>
  </si>
  <si>
    <t>800549</t>
  </si>
  <si>
    <t>Repl w 225F 2P Charlotte&amp;PacificAOR</t>
  </si>
  <si>
    <t>800551</t>
  </si>
  <si>
    <t>Repl w/ 2962F 2P 58th and Olive</t>
  </si>
  <si>
    <t>800557</t>
  </si>
  <si>
    <t>Repl 4185F 8S Colbern Feeder Main</t>
  </si>
  <si>
    <t>800569</t>
  </si>
  <si>
    <t>Repl w/ 30F 4P Troost AOR</t>
  </si>
  <si>
    <t>800648</t>
  </si>
  <si>
    <t>Repl w/ 947F 4P 53rd Ter &amp; Ditman</t>
  </si>
  <si>
    <t>800707</t>
  </si>
  <si>
    <t>Reloc 800F 4P Garden Grove</t>
  </si>
  <si>
    <t>ISRS Work Order Additions March 2016 - October 2016</t>
  </si>
  <si>
    <t>ISRS Work Order Additions January 2014 - August 2014</t>
  </si>
  <si>
    <t>ISRS Work Order Additions September 2014 - February 2015</t>
  </si>
  <si>
    <t>ISRS Work Order Additions March 2015 - August 2015</t>
  </si>
  <si>
    <t>ISRS Work Order Additions September 2015 - February 2016</t>
  </si>
  <si>
    <t>ISRS Work Order Additions November to December 2016</t>
  </si>
  <si>
    <t>BWO-Encapsulation Cast Iron Joints</t>
  </si>
  <si>
    <t>21201050301</t>
  </si>
  <si>
    <t>004417</t>
  </si>
  <si>
    <t>Lees Summit Rd 85th - Gregory</t>
  </si>
  <si>
    <t>800189</t>
  </si>
  <si>
    <t>Rel w/ 2515F 4P Tudor Rd Ph2</t>
  </si>
  <si>
    <t>800408</t>
  </si>
  <si>
    <t>Repl w 455F 2P Kansas Ave &amp; 18th</t>
  </si>
  <si>
    <t>800622</t>
  </si>
  <si>
    <t>Repl w/ 5785F 2P 29th &amp; Northern</t>
  </si>
  <si>
    <t>800714</t>
  </si>
  <si>
    <t>Repl w 2748F 2-4P Monett Phase 1B</t>
  </si>
  <si>
    <t>800724</t>
  </si>
  <si>
    <t>Repl w 2490F 2-4P 60th Terr &amp; Elm</t>
  </si>
  <si>
    <t>800766</t>
  </si>
  <si>
    <t>Repl w 30F 4P Indiana &amp; 12th  AOR</t>
  </si>
  <si>
    <t>800817</t>
  </si>
  <si>
    <t>Repl w 194F 2P 5th &amp; St. Louis</t>
  </si>
  <si>
    <t>800938</t>
  </si>
  <si>
    <t>Reloc 625F 6P Hook Rd &amp; Arther Dr</t>
  </si>
  <si>
    <t>ISRS Work Order Retirements November to December 2016</t>
  </si>
  <si>
    <t>Blanket Work Order Estimates</t>
  </si>
  <si>
    <t>Work order Estimates</t>
  </si>
  <si>
    <t>Depreciation Expense through April 2017</t>
  </si>
  <si>
    <t>Net Change in Property Base - Current ISRS</t>
  </si>
  <si>
    <t>Less: 2% Accumulated Depreciation</t>
  </si>
  <si>
    <t>Total Property Base</t>
  </si>
  <si>
    <t xml:space="preserve">Assessed Value  % </t>
  </si>
  <si>
    <t>Rate</t>
  </si>
  <si>
    <t xml:space="preserve">Property Tax Expense </t>
  </si>
  <si>
    <t>Property Taxes Currently Included in ISRS</t>
  </si>
  <si>
    <t>Increase in Property Taxes</t>
  </si>
  <si>
    <t>Previous ISRS Iinvestment Property Base</t>
  </si>
  <si>
    <t>ISRS Reconciliation</t>
  </si>
  <si>
    <t>Total</t>
  </si>
  <si>
    <t>GR-2014-0007</t>
  </si>
  <si>
    <t>Effective date</t>
  </si>
  <si>
    <t>Date ISRS Changed</t>
  </si>
  <si>
    <t>Number of days ISRS was in effect</t>
  </si>
  <si>
    <t>Number of days in reconciliation period</t>
  </si>
  <si>
    <t xml:space="preserve">Percentage </t>
  </si>
  <si>
    <t xml:space="preserve">Annual Revenue Requirement </t>
  </si>
  <si>
    <t>Targeted Amount - GR-2014-0007</t>
  </si>
  <si>
    <t>End of reconciliation period</t>
  </si>
  <si>
    <t>Targeted Amount - GR-2015-0025</t>
  </si>
  <si>
    <t>Targeted Amount - GO-2015-0270</t>
  </si>
  <si>
    <t>Targeted Amount - GO-2015-0343</t>
  </si>
  <si>
    <t>Initial Undercollection From Previous ISRS Cycle</t>
  </si>
  <si>
    <t>Total Amount Billed</t>
  </si>
  <si>
    <t>Over / (Under) Collection</t>
  </si>
  <si>
    <t>May 2014 through December 2016</t>
  </si>
  <si>
    <r>
      <t xml:space="preserve">ISRS - </t>
    </r>
    <r>
      <rPr>
        <b/>
        <u/>
        <sz val="10"/>
        <color rgb="FFFF0000"/>
        <rFont val="Arial"/>
        <family val="2"/>
      </rPr>
      <t>New</t>
    </r>
    <r>
      <rPr>
        <b/>
        <sz val="10"/>
        <rFont val="Arial"/>
        <family val="2"/>
      </rPr>
      <t xml:space="preserve"> Work Orders Included in November 2016 and December 2016 Additions</t>
    </r>
  </si>
  <si>
    <t>BWO SERVICE LINE LEAK RESPONSIVE COMP - Service/Yard Line Replacement (SLRP): Company Crew.  Immediate response - replacement single unprotected steel or copper  (Kansas City - Central Region)</t>
  </si>
  <si>
    <t>BWO-Encapsulation Cast Iron Joints - Encapsulation of Cast Iron Joints</t>
  </si>
  <si>
    <t>BWO-Replace Service w/ Plastic (North Region) - Project Type:B</t>
  </si>
  <si>
    <t>BWO-Replace Service w/ Plastic (South Region) - Project Type:B</t>
  </si>
  <si>
    <t>BWO SERVICE LINE MATERIAL CONTRACTOR SLRP - Service/Yard Line Replacement (SLRP): Contract Crew.  Service/yard line replacement - Material Charges Only  (Kansas City - Central Region)</t>
  </si>
  <si>
    <t>BWO MATERIAL SERV LINE REPL CONT - Service/Yard Line Replacement (SLRP): Contract Crew.  Service/yard line replacement - Material Charges Only  (Lee's Summit - East Region)</t>
  </si>
  <si>
    <t>BWO-REPLACE SERVICE - Project Type:B</t>
  </si>
  <si>
    <t>BWO-Replace Service w/ Plastic (Southwest Region) - Project Type:B</t>
  </si>
  <si>
    <t>BWO SERVICE LINE REPL MODIFIED BLOCK CONT - Service/Yard Line Replacement (SLRP): Contract Crew.  Modified Block by Block - Planned replacement of unprotected steel or copper  (Joplin - South Region)</t>
  </si>
  <si>
    <t>BWO MATERIAL SERV LINE REPL COMP - Service/Yard Line Replacement (SLRP): Company Crew.  Service/yard line replacement - Material Charges Only  (Lee's Summit - East Region)</t>
  </si>
  <si>
    <t>BWO Main Installed Mtce North Region - For short replacements of main done on emergency basis - North Region</t>
  </si>
  <si>
    <t>BWO Mains Installed Mtce-South Region - For short replacements of main done on emergency basis - South Region</t>
  </si>
  <si>
    <t>BWO Mains Installed Mtce Southwest Region - For short replacements of main done on emergency basis - Southwest Region</t>
  </si>
  <si>
    <t>12th St and Geneva Ave PBS Replacement: Joplin: Replace Bare Steel Main - 3760 Safety Related (34-394) - 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t>
  </si>
  <si>
    <t>PCS Main Replacement: Joplin: Replace Coated Steel &amp; Plastic Main - 3760 (34-396) - Approved by: Michael Fornelli on 01/26/2015,  Replace 259' of 3" PCS (WO 744151) with 260' 4" PE due to cathodic protections issues.  Project Location: 31st St. between Main St. &amp; Virginia Ave.  System: C-2.  MOP: 1.5 PSIG.  MAOP: 1.5 PSIG.  Design: 58 PSIG.  Test: 100 PSIG.  Price Per Foot: $66.22.</t>
  </si>
  <si>
    <t>8th St and Virginia Ave 3in PBS Main Replacement: Joplin: Replace Bare Steel Main - 3760 Safety Related (34-394) - 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t>
  </si>
  <si>
    <t>Lees Summit Road 85th to Gregory 8in: Lees Summit: Replace Bare Steel Main - 3760 Safety Related (34-394)  Not reimbursable per J Harrell. Part of the Bare Steel Replacement project. - 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t>
  </si>
  <si>
    <t>Replace 4in &amp; 6in pbs and pcs main: Sweet Springs: Replace Bare Steel Main - 3760 Safety Related (34-394) - Approved by: Joe Hampton on 06/01/2015,  Retire and abandon 1,739' - 4" pbs, 264' - 6" pbs, 1,610' - 4" pcs main by installing 3,090" - 4" PE along Miller St, Virginia Ave and N. Locust St. (ISRS)</t>
  </si>
  <si>
    <t>Replace  2in &amp; 4in PBS Main: Independence: Replace Bare Steel Main - 3760 Safety Related (34-394) - Approved by: Joe Hampton on 06/23/2015,  Replace and abandon 2" and 4" pbs main by installing 2,140' of pe main to clear CP 15-42 dated 02/25/15 due to a low CP read which would require the installation of anodes on O&amp;M (ISRS).
FCOMP 7-22-16 PER MAXIMO</t>
  </si>
  <si>
    <t>4in PCS Relocation: Kansas City-Rural: Relocate for Street &amp; Highway-Public Improvements (44-388) - 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t>
  </si>
  <si>
    <t>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t>
  </si>
  <si>
    <t>Replace 10in and 6in pbs main: Raytown: Replace Bare Steel Main - 3760 Safety Related (34-394) - Approved by: Joe Hampton on 07/07/2015,  Relocate and abandon 10", 6", and 2" bare steel main by installing 2,485' - 8" pe and 1,240' - 2" pe main to allow the City of Raytown to improve Blue Ridge Blvd.  (ISRS)</t>
  </si>
  <si>
    <t>Target Marlborough East phase 1: Kansas City-Jackson: Relocate for Street &amp; Highway-Public Improvements (44-388) - 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t>
  </si>
  <si>
    <t>BWO- Replace Service with Steel (North Region) - Replace service lines with steel - North Region</t>
  </si>
  <si>
    <t>BWO-Replace Service with Steel (South Region) - BWO-Replace Service with Steel (South Region)</t>
  </si>
  <si>
    <t>BWO-Replace Svc w/ Steel (Southwest) - BWO-Replace Svc w/ Steel (Southwest)</t>
  </si>
  <si>
    <t>Replace 2in PCS/PE &amp; 4in PCS/PE: Holden: Replace Bare Steel Main - 3760 Safety Related (34-394) - 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t>
  </si>
  <si>
    <t>Grandview Repl Phase 4: Grandview: Replace Bare Steel Main - 3760 Safety Related (34-394) - 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t>
  </si>
  <si>
    <t>Lincoln to Highview along Zora: Joplin: Relocate for Street &amp; Highway-Public Improvements (44-388) - 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t>
  </si>
  <si>
    <t>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t>
  </si>
  <si>
    <t>Install 2,615 feet of 2 inch plastic main to retire 2,564 feet of bare steel main and 45 feet of coated steel main to clear cp15-02 - S. Home, S Hall, E22nd and S Cedar Ave. - 0</t>
  </si>
  <si>
    <t>Install 1879 ft of 2 in PE on Mechanic St (Route 7) between Bradley and Edgevale &amp; north on Bradley from Mechanic to Wall St., south on Eastwood to the tie-in, North on King to the tie-in &amp; south on Edgevale to the tie-in in Harrisonville. -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t>
  </si>
  <si>
    <t>Install 200ft of 6in PE and abandon 200ft of 8in cast iron at 2021 Elmwood due to Angle of Repose. Due 11/13/2015 - 0</t>
  </si>
  <si>
    <t>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t>
  </si>
  <si>
    <t>Abandon 5,525' - 2" Steel due to multiple CP and isolated steel and replace with 7,625' 2" PE - South St &amp; Faulkner in Marionville. - Project Location: Marionville; Pressure System: S-0006; MOP: 30 psig; MAOP: 30 psig; Design: 66 psig; Test: 100 psig; 47 - Services, ISRS $35.71/ft ($268,174.76)</t>
  </si>
  <si>
    <t>Install 6439' of 2'' PE and 3027' of 4'' PE. Abandon 230' of 2'' PL, 220' of 2’’ ST, 28’ of 4’’ PL, 4024’ of 4’’ STL, 4944’ of 6’’ CI, 320’ of 6’’ STL. Existing PE main in the project area will be uprated. - FY16 Main replacement program for St. Joseph, MO</t>
  </si>
  <si>
    <t>Install 1450 ft of 4 in and 355 ft of 2 in PL IP main on E Mill St and W Liberty Dr. Abandon 58 ft of 4 in PL, 255 ft of 2 in Steel, 9 ft of 4 in Steel, 760 ft of 5 in Steel, and 609 ft of 6 in Steel main at the same location. - Total Service Estimate: 20 Service Tie-Overs.  Main is being installed as part of the FY 2016 Bare Steel Replacement Program.</t>
  </si>
  <si>
    <t>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t>
  </si>
  <si>
    <t>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t>
  </si>
  <si>
    <t>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t>
  </si>
  <si>
    <t>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t>
  </si>
  <si>
    <t>Install 4529 Ft of 2 in PL and 2863 Ft of 4 in PL MP Main for Tipton Phase C. Abandon 2168 Ft of 2 in and 74 Ft of 4 in PCS (Majority poorly coated), 4819 Ft of 2 in PBS and 138 Ft of 3 in PBS MP Main. - Total services are 79. FY 2016 Bare Steel Replacement Program</t>
  </si>
  <si>
    <t>Install 1277 Ft of 4 in and 1089 Ft of 2 in PL MP Main on Briar, S. Ferguson &amp; Prospect St (Tipton Grid Ph D). Abandon 1997 Ft of 3 in PCS and 388 Ft of 2 in PBS MP main at the above locations. - Total Service Tie overs = 20; Total Service Abandon = 1; Total Service uprate = 0  This main is being replaced as part of the FY16 Bare Steel Replacement Program.</t>
  </si>
  <si>
    <t>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t>
  </si>
  <si>
    <t>Inst 8563ft 2in, 3479ft of 4in, and 1634ft of 6in PL MP main for Tipton Grid Phase F. Abdn 210ft of 2in PL, 2740ft of 2in, 6115ft of 3in and 865ft of 4in PBS, 3436 Ft of 2 in, 600 Ft of 3 in and 284 Ft of 4 in PCS (Majority poorly coated) MP main. - FY16 Bare Steel Replacement Program.</t>
  </si>
  <si>
    <t>Install 6759 Ft of 2 in and 7361 Ft of 4 in PL IP Main for Tipton Grid Phase E. Abandon 25 Ft of 2 in PL, 6846 Ft of 2 in Steel, 5266 Ft of 3 in Steel and 200 Ft of 4 in Steel MP and IP main. FY16 Bare Steel Replacement Program. - 0</t>
  </si>
  <si>
    <t>Install ~5685 feet of 4 inch PLS. IP Main on Corbin St, N Grover St, Nwater St, Doniphan St, N Lightburne St, Miller St, and Jewel St. Total Service Estimate: 41 Service Tie-Overs. Replacement Program. - Main is being installed as part of the FY 2016 Bare Steel.  Work order estimates also contain 100 ft 2in Pl.</t>
  </si>
  <si>
    <t>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t>
  </si>
  <si>
    <t>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t>
  </si>
  <si>
    <t>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t>
  </si>
  <si>
    <t>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t>
  </si>
  <si>
    <t>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t>
  </si>
  <si>
    <t>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t>
  </si>
  <si>
    <t>Install 6230 Ft of 4 in and 920 Ft of 2 in PL IP main for Holden Phase 2C. Abandon 1317 Ft of 2 in PBS at above location. Total Services is 43. Main is being abandoned as part of the FY16 Bare Steel Replacement Program. - 0</t>
  </si>
  <si>
    <t>Install 595 Ft of 4 in PL MP and 3086 Ft of 2 in PL MP main for Centerview Phase 1. Abandon 3600 Ft of 2 in PBS, 344 Ft of 2 in PCS, and 12 Ft of 2 in PL MP main. Total service tie-overs are 20 and 9 abandons. FY16 Bare Steel Repl - 0</t>
  </si>
  <si>
    <t>Install 1400 Ft of 4 in PL IP main for Webb City Phase 1A. Abandon 1282 Ft of 4 in PBS IP and 27 Ft of 4in PL IP main at the same location. Project includes 5 Service Tie-Overs and 2 Abandonments. FY16 Bare Steel Replacement Program. - 0</t>
  </si>
  <si>
    <t>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t>
  </si>
  <si>
    <t>Install 2405 Ft of 2 in and 2275 Ft of 4 in PL IP main for Webb City Ph 1C. Abandon 595 Ft of 3 in PBS, 2753 Ft of 3 in PCS, 80 Ft of 3 in PL, and 1243 Ft of 4 in PCS LP main. - 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t>
  </si>
  <si>
    <t>Inst 236 Ft of 4 in PL LP, 617 Ft of 2 in PL LP and 1478 Ft of 6 in PL IP main for St Joseph Grid Phase 1A. Abandon 157 Ft of 2 PL LP, 816 Ft of 2 in PBS LP, 498 Ft of 2 in PCS LP, 170 Ft of 4 in PBS LP, and 1402 Ft of 4 in PBS IP Main - This main is being replaced as part of the FY 2016 Bare Steel Replacement Program.</t>
  </si>
  <si>
    <t>Install 1403 Ft of 2 in PL IP main for St Joe Phase 1B. Abandon 35 Ft of 4 in PL and 1603 of Ft 4 in ST LP main. Uprate 338 Ft of 2 in and 497 Ft of 4 in PL LP main to IP.FY16 Bare Steel Replacement Program. - 0</t>
  </si>
  <si>
    <t>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t>
  </si>
  <si>
    <t>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t>
  </si>
  <si>
    <t>Install 3082' of 2'' PE, 1079' of 4'' PE - Hwy 71 &amp; Gregory Grid - B.  Abandon 1731' of 4'' CI, 2991' of 6'' CI, 6' of 4'' Coated STL (less than 20% of footage). Strategic Cast Iron Replacement. - 0</t>
  </si>
  <si>
    <t>Install 2695' of 2'' PE and 1292' of 4'' PE - Hwy 71 &amp; Gregory Ph C. Abandon 2905' of 4'' CI, 16' of 4'' PE, 86' of 4'' CS (Less than 20% of abandonment), 1054' of 6'' CI and 5' of 6'' PE. - This main is being replaced as part of the FY16 Strategic Cast Iron Replacement Program</t>
  </si>
  <si>
    <t>Install 3356ft of 2in PE and 1596ft of 4in PE to replace existing CI main - Hwy 71 &amp; Gregory Grid Ph D. Abandon 682ft of 12in CI, 1483ft of 6in CI, 1938ft of 4in CI, and 158ft of 2in Bare STL. Strategic CI Replacement. - 15 Service Replacements, 13 Service upgrades, and 52 service tie overs</t>
  </si>
  <si>
    <t>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t>
  </si>
  <si>
    <t>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t>
  </si>
  <si>
    <t>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t>
  </si>
  <si>
    <t>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t>
  </si>
  <si>
    <t>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t>
  </si>
  <si>
    <t>Relocate and abandon 2,250' - 2PE Main (2001), 22' - 4PE Main (1986) and 167' 4PE Main by installing 2,515' 4PE Main to allow the City to widen Tudor Road and install new storm structures. - 0</t>
  </si>
  <si>
    <t>Install 865 Ft of 4in PL IP on 26th Street. Abandon 50 Ft of 2PL LP main, 350 Ft 2in ST LP main and 602 Ft 3in ST LP main along 26th Street. Abandon existing Reg Station 01-52-C to eliminate LP main. - This main is being replaced as part of the FY16 Bare Steel Replacement Program</t>
  </si>
  <si>
    <t>Replace 45' of 6'' CI with 50' of 6'' PE due to AOR. Due 11/28 - 0</t>
  </si>
  <si>
    <t>Install 449' of 4'' PE and 9' of 6" PE. Abandon 439' of 6'' CI - 31st St &amp; College Ave. This replacement is due to graphitization and compliance date is 02/10/2016. - 0</t>
  </si>
  <si>
    <t>Replace 1598ft 4in PBS  &amp; 124ft 4in PE with 1895ft 4in PE from 18th to 23rd along Conner Ave due to CP issues (CP 15-042). - Segment of System C-002 will be Uprated to System C-1 as part of this replacement.  Project Location: Connor Ave between 18th St &amp; 23st St. System: C-2. MOP: 1.5 PSIG. MAOP: 1.5 PSIG. Design: 66 PSIG. Test: 100 PSIG and System C-1 MOP: 58 MAOP: 58 Test: 66 Design: 100
Price Per Foot:$73.44 ($139,170.17)</t>
  </si>
  <si>
    <t>Install 180 ft of 2 in IP PE main.  Abandon 453 ft of 12 in LP CI, 148 ft of 4 in LP CI and 200 ft of 4 in LP ST at E 55th &amp; Jackson. - Total Service Tie overs= 3;Total Service Replacement= 3; Total Service Upgrade = 0; Total Abandoned Services: 2.</t>
  </si>
  <si>
    <t>Install 2,005 ft of 2 in pl main - Savage &amp; Pacific. Abandon 105 ft of 2 in bs main 1949, 797 ft of 2 in bs main 1950, 346 ft of 2 in bs main 1952, 307 ft of 2 in bs main 1955, 165 ft of 2 in pl main 1974 and 199 ft of 2 in pl main 1987. - Work is to  to clear leak number 417915 which has allowed water in the main due to the 22 ounce pressure system. The new 2 inch plastic main will tie into the 44 psig maop pressure system.</t>
  </si>
  <si>
    <t>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t>
  </si>
  <si>
    <t>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t>
  </si>
  <si>
    <t>Install 754ft of 4in PE - 20th &amp; McGee. Abandon 502ft of 4in  CI, 112ft of 6in CI, and 466ft of 4in STL (Majority installed prior to 1966). This replacement is due to an AOR. Compliance date of 2/17/2016 - 0</t>
  </si>
  <si>
    <t>Install 40' of 4'' PE. Abandon 30' of 6'' CI due to AOR at 3211 Cypress Ave. - 0</t>
  </si>
  <si>
    <t>Relocate of 568ft of 2in ST, 2189ft of 3in ST, 126ft of 4in ST and 1371ft of 4in PL with 159ft 2in PL, 2053ft 4in PL and 1186ft of 6in PL along Rt 14 and Hwy 160 due to MODOT improvements. Division: 08 Town: 16 Sector: A1412. - Pressure System: C-0001 MAOP: 44 psig MOP: 44 psig Design: 66 psig Test: 100 psig Cost: $194,906.56 ($57.36/ft ) ISRS</t>
  </si>
  <si>
    <t>Install 2320 ft of 2 in MP PE main, 886 ft of 4 in MP PE main and 1872 ft of 6 in MP PE main. Abandon 721 ft of 12 in MP CI main, 30 ft of 8 in LP CI main, 2858 ft of 6 in LP CI main, 807 ft of 4 in LP CI. - 0</t>
  </si>
  <si>
    <t>Install 1533 Ft of 2 PL IP main on Commercial St and Elm St. Abandon 396 Ft of 2 in ST and 1131 Ft of 4 in ST LP main on Front and Elm St. - This main is being replaced as part of FY16 Bare Steel Replacement Program and is needed due to low reads (.850 and lower). Crews cannot keep readings above .850.</t>
  </si>
  <si>
    <t>Install 800 Ft of 2 in PL IP main on Carnation Dr. Abandon 778 Ft of 2 in ST IP Main at the above location. - This main is being abandoned as part of FY16 Bare Steel Replacement Program and will clear class 3 leak at 507 Carnation.</t>
  </si>
  <si>
    <t>Install 88 Ft of 2 in PL LP Main at 2nd St and Broadway St.  Abandon 90 Ft of 2 in ST LP Main at above location. - Main being replaced due to cathodic protection - corrosion issues.</t>
  </si>
  <si>
    <t>Install 1609 ft of 2 inch PE and 455 ft of 6 inch PE on Overton, Evanston and Arlington from Arlington and Evanston south to 16th St. Abandon 148 ft of 2in PL, 1451 ft of 2in BS, 340 ft of 4in BS, &amp; 340 ft of 6in BS. - Main is in conflict with City of Independence sewer improvements.  Work is not reimbursable. Work is ISRS recoverable.</t>
  </si>
  <si>
    <t>Install 740 Ft of 2 in PL LP main on McKinley Ave in between W 1st St and W 3rd St. Abandon 10 Ft of 2 in PL, 814 Ft of 2 in ST and 5 Ft of 3 in ST main. - This main is being replaced due to failed CP reads and is part of the bare steel replacement program.</t>
  </si>
  <si>
    <t>Install ~455 Ft of 2 in PL MP main on Kansas Ave and 18th Street in Joplin. - Abandon ~384 Ft of 2 in ST MP main and 58 Ft of 3 in ST MP main at the above locations.  Total Service Tie Overs - 2.  ISRS - Replace due to CP 15-092.</t>
  </si>
  <si>
    <t>Install 508' of 2" PE IP main on N Amity Ave.  Abandon 500' of 2" STL IP main.This project is due to curb inlet box and street approach. - 0</t>
  </si>
  <si>
    <t>Replace and abandon 2,339ft of 4in bare steel main - 1925 vintage by installing 2,380ft of 2in plastic main at Aber and Morrell, in Independence - 0</t>
  </si>
  <si>
    <t>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t>
  </si>
  <si>
    <t>Install 4265 Ft of 2 in PL IP and abandon 383 Ft of 2 in PL LP Main, 2124 Ft of 2 in ST LP, 1847 Ft of 4" ST LP Main on Rogers St, Sunrise Dr, Sunset Dr and Westwood Dr. - This main is being replaced as part of the FY16 Bare Steel Replacement Program.</t>
  </si>
  <si>
    <t>Install 2,926ft of 2in PL IP main at Olive Street from 55th to 59th. Abandon 773ft of 3in steel LP main, 262ft if 4in CI LP, 2,059ft of 6in CI LP main, 7ft of 6in PE LP main, and 302ft of 8in CI LP main. - Main being replaced as part of the FY16 cast iron replacement program.</t>
  </si>
  <si>
    <t>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t>
  </si>
  <si>
    <t>Install 450ft of 12ST main on Illinois Ave at Stockyards Expressway in St. Joe, MO for a public improvement project.  Abandon 450 ft of 12ST main at above location. Tie-over 1 service. - 0</t>
  </si>
  <si>
    <t>Install 30 ft of 4 in PL LP main on Troost between Missouri and Pacific Street.  Retire 30 ft of 4 in CI LP main.Total Service Tie-over = 3. - This is being replaced as part of the FY16 cast iron replacement program.</t>
  </si>
  <si>
    <t>Install 160' - 8" Coated Steel main and abandon 150' - 8" coated steel main to allow City to build road - main is in existing right-of-way. - 0</t>
  </si>
  <si>
    <t>Install 1997 Ft of 4 in PL MP main on 20th Street between Vermont and Deleware for the Bankers Addition Civic Improvements. Abandon 176 Ft of 1.25 in PL MP main, 18 Ft 2 in PL MP main &amp; 22 Ft 4 in PL MP main. - This main is being replaced as part of a 2016 Public Improvement and is ISRS recoverable.</t>
  </si>
  <si>
    <t>Install 5785 Ft of 2PL IP Main - 29th &amp; Northern Blvd. Abandon 3193 ft of 4LP ST Main,  2019 Ft of 2'' LP ST Main,  238 Ft of 4LP PL Main, 105 Ft of 2LP PL Main. - This Main is being replaced as part of the bare steel main strategic replacement. Uprate is required as we will tie in to an IP system.</t>
  </si>
  <si>
    <t>Install 947 ft of 4 in PL IP main on 53rd Ter &amp; Ditman.  Abandon 6 ft of 2 in PL IP main, 6 ft of 4 in PL IP main, 564 ft of 4 in ST IP main, and 337 ft of 2 in ST IP main.  - This main is being replaced as part of FY16 Bare Steel Replacement Program.</t>
  </si>
  <si>
    <t>Install ~ 800 Ft of 4 in PL IP Main on Garden Grove  Rd N of Canterbee Ln. - Abandon ~ 800 Ft of 3 in ST IP Main at the above location.  Total Service Tie-Over = 6.  This main is being relocated due to Civic Improvements</t>
  </si>
  <si>
    <t>Install 1416 ft of 2 in PL IP main and 1332 Ft of 4 in PL IP main on 10th St, 11th St, Bond St, 9th St, Broadway St, and 13th St. - Abandon 10 Ft pf 1 1/4 in PL main, 483 Ft of 2 in PL main, 2695 Ft of 2 in ST main, 118 Ft of 4 in ST main at the above locations.  Total Service Tie-over = 22; Total Service Abandoned = 8; Total Service Replace = 6.  This main is being abandoned as part of FY16 Bare Steel Replacement Program.</t>
  </si>
  <si>
    <t>Install ~1815 Ft of 2" PL MP Main, ~675 Ft of 4" PL MP Main. - Abandon ~85 Ft of 2" PL MP Main, ~7 Ft of PL MP Main, ~1728 Ft of 2" ST MP Main, ~671 Ft of 4" ST MP Main Total Service Tie-overs= 30 This bare steel grid main replacement project will clear active leak 419978.</t>
  </si>
  <si>
    <t>Install ~30 ft of 4 in PL LP main on 12th at Indiana due to exposed bell joint- AOR.  Retire ~30 ft of 4 in CI LP main on 12th at Indiana.  No services to tie-over or replace. - Bell joint was exposed at 6 ft EWC of Indiana and 10 ft NSC of 12th Street.  This AOR has a compliance date of 11/29/2016.</t>
  </si>
  <si>
    <t>Install ~ 194 Ft of 2 in PL LP main on St Louis Ave and 5th St. - Abandon ~ 82 Ft of 2 in PL LP main, ~ 495 Ft of 2 in ST LP main at the above locations.  This main is being replaced due to CP deficiencies and as part of FY16 Bare Steel Replacement Program.</t>
  </si>
  <si>
    <t>Install ~625 Ft of 6" PL IP Main. - Abandon ~627 Ft of PL IP Main The City of Lee's Summit is installing new storm structures on Hook Road and a portion of our existing 6" plastic main is in conflict. Main is looped. Project Type: Main Relocation (MRELO) due to Civic Improvement</t>
  </si>
  <si>
    <t>Total BWO Service Line Repl</t>
  </si>
  <si>
    <t>Total Main Replacement</t>
  </si>
  <si>
    <t>Total Replace Bare Steel Main</t>
  </si>
  <si>
    <t>Total Replace Steel &amp; Plastic Main</t>
  </si>
  <si>
    <t>Total SLRP</t>
  </si>
  <si>
    <t>Total Street &amp; Hwy Relocates</t>
  </si>
  <si>
    <t>Total Estimates</t>
  </si>
  <si>
    <t>GO-2016-0332</t>
  </si>
  <si>
    <t>Under Collection of Previous ISRS</t>
  </si>
  <si>
    <t>2016 Investment - Previous ISRS filing</t>
  </si>
  <si>
    <t>2016 Investment - Current ISRS filings</t>
  </si>
  <si>
    <t>Current</t>
  </si>
  <si>
    <t>Additions</t>
  </si>
  <si>
    <t xml:space="preserve">   Total</t>
  </si>
  <si>
    <t xml:space="preserve">   Grand Total</t>
  </si>
  <si>
    <t>Less: 2016 Retirements - Current ISRS Filing</t>
  </si>
  <si>
    <t>Less: 2016 Retirements - Previous ISRS Filings</t>
  </si>
  <si>
    <t>2016 Additions and retirements</t>
  </si>
  <si>
    <t>Previous years Additions and Retirements</t>
  </si>
  <si>
    <t>Net</t>
  </si>
  <si>
    <t>ISRS Work Order Additions November &amp; December 2016 with January &amp;February 2017 Estimates</t>
  </si>
  <si>
    <t>ISRS Work Order Additions January 2017</t>
  </si>
  <si>
    <t>005632</t>
  </si>
  <si>
    <t>87th &amp; Blue Rdige Rebuild DRS 487</t>
  </si>
  <si>
    <t>800378</t>
  </si>
  <si>
    <t>Rel w 4118F 4P&amp;6S Main &amp; Tracker</t>
  </si>
  <si>
    <t>800401</t>
  </si>
  <si>
    <t>Repl w 1051F 2P 33rd &amp; Ferguson Rd</t>
  </si>
  <si>
    <t>800404</t>
  </si>
  <si>
    <t>Repl w 805F 4P 12th &amp; Kansas Ave</t>
  </si>
  <si>
    <t>800406</t>
  </si>
  <si>
    <t>Repl w/ 1098F 2P 2nd and McCoy</t>
  </si>
  <si>
    <t>800411</t>
  </si>
  <si>
    <t>Repl w/ 9635F 2&amp;4P Purcell Ph1A</t>
  </si>
  <si>
    <t>800476</t>
  </si>
  <si>
    <t>Repl w 2030F 2P Range Line &amp; 24th</t>
  </si>
  <si>
    <t>800628</t>
  </si>
  <si>
    <t>Repl 40F 4P AOR 6634 Broadmoor</t>
  </si>
  <si>
    <t>800697</t>
  </si>
  <si>
    <t>Reloc 1820F 2-4P Robin Hills</t>
  </si>
  <si>
    <t>800711</t>
  </si>
  <si>
    <t>Repl w/ 1020F 13th Hervey</t>
  </si>
  <si>
    <t>800818</t>
  </si>
  <si>
    <t>Repl w 627F 2P Maiden and A St</t>
  </si>
  <si>
    <t>800866</t>
  </si>
  <si>
    <t>Repl w 613F 2P 22nd &amp; Picher</t>
  </si>
  <si>
    <t>800897</t>
  </si>
  <si>
    <t>Repl w 2157F 2P Locust &amp; Balard</t>
  </si>
  <si>
    <t>800902</t>
  </si>
  <si>
    <t>Repl w 40F 6P 9th &amp; Woodland AOR</t>
  </si>
  <si>
    <r>
      <t xml:space="preserve">ISRS - </t>
    </r>
    <r>
      <rPr>
        <b/>
        <u/>
        <sz val="10"/>
        <color rgb="FFFF0000"/>
        <rFont val="Arial"/>
        <family val="2"/>
      </rPr>
      <t>New</t>
    </r>
    <r>
      <rPr>
        <b/>
        <sz val="10"/>
        <rFont val="Arial"/>
        <family val="2"/>
      </rPr>
      <t xml:space="preserve"> Work Orders Included in January 2017 Additions</t>
    </r>
  </si>
  <si>
    <t>20401143628</t>
  </si>
  <si>
    <t>87th &amp; Blue Rdige Rebuild DRS 487: Kansas City-Jackson: Rebuild District/TB Stations  3780/3790 (45-387)  Approved by: Kevin Driskell on 07/02/2014,  Rebuild above ground portion of DRS 487 and barricades due to vehicle hitting station. Retire 2-REG-ROCKWELL 441-57S 250 LB FL BODY 3" due to damage.</t>
  </si>
  <si>
    <t>Install 2306 Ft of 6in STL FP main &amp; 1812 Ft of 4in PL IP main along Main Street from Tracker to Deanna Ln. due to Civic Improvements. Abandon 2255 Ft 6 in ST FP, 131 of 2in ST IP,  1654 ft 2in PL IP, &amp; 40 ft 4 in PL IP main.  Main is being relocated due to Civic Improvement Project.</t>
  </si>
  <si>
    <t>Install 1051 ft of 2 in MP PE main, on 33rd St and Ferguson Rd between Wisconsin Ave just East of Ferguson Rd.  Abandon 68 ft of  2 in MP PE main, 443 ft of 2 in MP BST main, 61 ft of 3 in MP BST main, 176 ft of 3 in MP CST main, and 314 ft of 4 in MP PE main at the above locations. Total Service Tie-over = 14; Total Service Replacement = 0; Total Service Abandoned =0; Total Service Upgrade =0.  This main is being abandoned due to CP15-058 and bare steel replacement program.</t>
  </si>
  <si>
    <t>Install ~ 805 Ft of 4 in PL MP Main at 12th St and Kansas Ave.Abandon 817 Ft of 3 in STL MP Main ~ 12 Ft of 3 in PL MP Main at above locations. Due to CP15-091.  Total Service Tie-over = 21</t>
  </si>
  <si>
    <t>Install 1098 Ft of 2 in PL LP main on W 2nd St and McCoy Ave. Abandon 35 Ft of 2 in PL, 5 Ft of 3 in PL, 200 Ft of 1 1/4 in ST and 784 Ft of 2 in ST LP main at the above locations.  Main is being replaced due to failed CP reads.</t>
  </si>
  <si>
    <t>Install 5524 Ft of 2 in PL and 4111 Ft of 4 in PL MP Main for Purcell Phase 1A. Abandon 85 Ft of 2 in PL, 2344 Ft of 2 in ST, 5108 Ft of 3 in ST, 109 Ft of 4 in PL and 2523 Ft of 4 in ST MP Main.  Main being replaced as part of the FY16 Bare Steel Replacement Program.
Total service tie overs = 39; Total service abandon = 15</t>
  </si>
  <si>
    <t>Install 2030 Ft. 2 in. PL MP Main on Range Line Rd.  Abandon 28 Ft of 2 in PL MP Main and 1955 Ft of 2 in ST MP Main on the above mentioned street.  Total Service Tie-over =7; Total Service Abandoned = 2; Total Service Replace = 0.  This main is being replaced due to failed CP reads and as part of FY17 Bare Steel Replacement Program</t>
  </si>
  <si>
    <t>Install ~40 ft of 4 in PL LP main due to angle of repose at 6634 Broadmoor.  Abandon ~40 ft of 4 in CI LP main at above address.  Total Service Tie-over = 0.  This main is being abandoned at part of FY16 Cast Iron Replacement Program.  This has a compliance date of 10-28-2016.</t>
  </si>
  <si>
    <t>Install ~650 Ft of 2" PL MP Main, ~1170 Ft of 4" PL MP Main.Abandon ~545 Ft of 2" ST MP Main, ~1150 Ft. of 4" ST MP Main.  Total Service Tie-overs= 29, Total Service Replace= 1 (74 Ft).  This relocation is part of a civic improvement project. City of Lee's Summit Project.</t>
  </si>
  <si>
    <t>Install 1020 Ft of 2 in PL IP Main on 13th St and Hervey Ln.  Abandon 634 Ft of 2 in ST and 78 Ft of 2 in PL IP Main at the above locations.  This main is being replaced due to several active class 3 leaks and as part of the FY16 Bare Steel Replacement Program.</t>
  </si>
  <si>
    <t>Install 627 ft of 2 in PL LP main on A St and Harlem Ave.  Abandon 25 Ft of 1 1/4 in PL LP main, 9 Ft of 2 in PL LP main, 5 Ft of 3 in PL LP main, 3 Ft of 4 in PL LP main, 562 Ft of 2 in ST LP main at the above locations.  Total Service Tie-over = 3.  Replacement due to CP (A part of the FY17 Bare Steel Replacement Program).</t>
  </si>
  <si>
    <t>Install ~ 613 Ft of 2 in PL LP main on 22nd St &amp; Picher Ave.  Abandon ~ 356 Ft of 2 in ST LP main on Picher Ave.  Total Service Tie Over = 1: Total Service Abandonment = 1.  This main is being replaced as part of FY16 Bare Steel Replacement Program</t>
  </si>
  <si>
    <t>Install 2157 Ft of 2 in PL LP Main on Locust St, Balard, Water St, and Skinner.  Replace 2in LP BST in area of leak No. 09-0107. When leak was repaired it was noted Form 318-5D that main needed to be replaced due to a split seam and depth of main.  Abandon 10 Ft of 2 in PL LP Main, 3 Ft of 4 in PL LP Main, 207 Ft of 7/8 in PL LP Main, 60 Ft of 1 in ST LP Main and 2018 Ft of 2 in ST LP Main at the above location. Total Service Tie-over = 23; Total Service Abandoned = 8; This main is being abandoned as part of FY16 Bare Steel Replacement Program.</t>
  </si>
  <si>
    <t>Install ~40 ft of 6 in PL LP main  on the south west corner of 9th and Woodland.  Abandon ~40 ft of 6 in PL LP main at above location.   No services to tie-over.   This work is being done due to an angle of repose.  This has a compliance date of 2/24/2017.</t>
  </si>
  <si>
    <t>ISRS Work Order Additions November 2016 to January 2017</t>
  </si>
  <si>
    <t>ISRS Work Order Retirements November 2016 to January 2017</t>
  </si>
  <si>
    <t>008896</t>
  </si>
  <si>
    <t>20401155411</t>
  </si>
  <si>
    <t>3inch PBS Abandonment</t>
  </si>
  <si>
    <t>A,B</t>
  </si>
  <si>
    <t>Replace  Steel Main</t>
  </si>
  <si>
    <t>Total Station Rebuild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</si>
</sst>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
    <numFmt numFmtId="166" formatCode="0.00000000"/>
    <numFmt numFmtId="167" formatCode="_(&quot;$&quot;#,##0,,_);[Red]\(&quot;$&quot;#,##0,,\)"/>
    <numFmt numFmtId="168" formatCode="&quot;$&quot;#,##0.0,_);[Red]\(&quot;$&quot;#,##0.0,\)"/>
    <numFmt numFmtId="169" formatCode="&quot;$&quot;#,##0.0,,_);[Red]\(&quot;$&quot;#,##0.0,,\)"/>
    <numFmt numFmtId="170" formatCode="#,##0.00,,_);[Red]\(#,##0.00,,\)"/>
    <numFmt numFmtId="171" formatCode="0%;[Red]\(0%\)"/>
    <numFmt numFmtId="172" formatCode="&quot;$&quot;#,##0,_);[Red]\(&quot;$&quot;#,##0,\)"/>
    <numFmt numFmtId="173" formatCode="_(&quot;$&quot;#,##0,,_);\(&quot;$&quot;#,##0,,\)"/>
    <numFmt numFmtId="174" formatCode="#,##0,,_);\(#,##0,,\)"/>
    <numFmt numFmtId="175" formatCode="#,##0,,_);[Red]\(#,##0,,\)"/>
    <numFmt numFmtId="176" formatCode="#,##0,_);\(#,##0,\)"/>
    <numFmt numFmtId="177" formatCode="#,##0.0_);[Red]\(#,##0.0\)"/>
    <numFmt numFmtId="178" formatCode="#,##0.000_);[Red]\(#,##0.000\)"/>
    <numFmt numFmtId="179" formatCode="0%_);[Red]\(0%\)"/>
    <numFmt numFmtId="180" formatCode="0&quot;A&quot;"/>
    <numFmt numFmtId="181" formatCode="&quot;$&quot;#,##0.0000_);[Red]\(&quot;$&quot;#,##0.0000\)"/>
    <numFmt numFmtId="182" formatCode="0.0%"/>
    <numFmt numFmtId="183" formatCode="0&quot;yr&quot;"/>
    <numFmt numFmtId="184" formatCode="0.000000"/>
    <numFmt numFmtId="185" formatCode="0.0000000"/>
    <numFmt numFmtId="186" formatCode="#,##0.0,_);[Red]\(#,##0.0,\)"/>
    <numFmt numFmtId="187" formatCode="#,##0.0,,_);[Red]\(#,##0.0,,\)"/>
    <numFmt numFmtId="188" formatCode="0.00%;[Red]\(0.00%\)"/>
    <numFmt numFmtId="189" formatCode="0."/>
    <numFmt numFmtId="190" formatCode="_(&quot;$&quot;* #,##0_);_(&quot;$&quot;* \(#,##0\);_(&quot;$&quot;* &quot;--- &quot;_)"/>
    <numFmt numFmtId="191" formatCode="&quot;Ann'l Incr= &quot;0.0%"/>
    <numFmt numFmtId="192" formatCode="&quot;$&quot;#,##0"/>
    <numFmt numFmtId="193" formatCode="m/d/yy\ hh:mm"/>
    <numFmt numFmtId="194" formatCode="General_)"/>
    <numFmt numFmtId="195" formatCode="0.000"/>
    <numFmt numFmtId="196" formatCode="0.000&quot;  &quot;"/>
    <numFmt numFmtId="197" formatCode="0.0000&quot;  &quot;"/>
    <numFmt numFmtId="198" formatCode="0.0&quot;  &quot;"/>
    <numFmt numFmtId="199" formatCode="0.00000&quot;  &quot;"/>
    <numFmt numFmtId="200" formatCode="#,##0_)_%;\(#,##0\)_%;"/>
    <numFmt numFmtId="201" formatCode="_(* #,##0.0_);_(* \(#,##0.0\);_(* &quot;-&quot;??_);_(@_)"/>
    <numFmt numFmtId="202" formatCode="_(* #,##0.0_);[Red]_(* \(#,##0.0\);_(* &quot;-&quot;??_);_(@_)"/>
    <numFmt numFmtId="203" formatCode="_(* #,##0.00_);[Red]_(* \(#,##0.00\);_(* &quot;-&quot;??_);_(@_)"/>
    <numFmt numFmtId="204" formatCode="_(* #,##0_);[Red]_(* \(#,##0\);_(* &quot;-&quot;_);_(@_)"/>
    <numFmt numFmtId="205" formatCode="#,##0_%_);\(#,##0\)_%;#,##0_%_);@_%_)"/>
    <numFmt numFmtId="206" formatCode="#,##0_%_);\(#,##0\)_%;**;@_%_)"/>
    <numFmt numFmtId="207" formatCode="_._.* #,##0.0_)_%;_._.* \(#,##0.0\)_%"/>
    <numFmt numFmtId="208" formatCode="#,##0.0_)_%;\(#,##0.0\)_%;\ \ .0_)_%"/>
    <numFmt numFmtId="209" formatCode="_._.* #,##0.00_)_%;_._.* \(#,##0.00\)_%"/>
    <numFmt numFmtId="210" formatCode="#,##0.00_)_%;\(#,##0.00\)_%;\ \ .00_)_%"/>
    <numFmt numFmtId="211" formatCode="_._.* #,##0.000_)_%;_._.* \(#,##0.000\)_%"/>
    <numFmt numFmtId="212" formatCode="#,##0.000_)_%;\(#,##0.000\)_%;\ \ .000_)_%"/>
    <numFmt numFmtId="213" formatCode="_(* #,##0.00_);_(* \(\ #,##0.00\ \);_(* &quot;-&quot;??_);_(\ @_ \)"/>
    <numFmt numFmtId="214" formatCode="#,##0.0"/>
    <numFmt numFmtId="215" formatCode="#,##0.000"/>
    <numFmt numFmtId="216" formatCode="_._.* \(#,##0\)_%;_._.* #,##0_)_%;_._.* 0_)_%;_._.@_)_%"/>
    <numFmt numFmtId="217" formatCode="_._.&quot;$&quot;* \(#,##0\)_%;_._.&quot;$&quot;* #,##0_)_%;_._.&quot;$&quot;* 0_)_%;_._.@_)_%"/>
    <numFmt numFmtId="218" formatCode="* \(#,##0\);* #,##0_);&quot;-&quot;??_);@"/>
    <numFmt numFmtId="219" formatCode="&quot;$&quot;* #,##0_)_%;&quot;$&quot;* \(#,##0\)_%;&quot;$&quot;* &quot;-&quot;??_)_%;@_)_%"/>
    <numFmt numFmtId="220" formatCode="&quot;$&quot;#,##0.0_);[Red]\(&quot;$&quot;#,##0.0\)"/>
    <numFmt numFmtId="221" formatCode="_(&quot;$&quot;#,##0.00_);_(&quot;$&quot;\(#,##0\);_(&quot;$&quot;&quot;-&quot;??_);_(@_)"/>
    <numFmt numFmtId="222" formatCode="_(&quot;$&quot;#,##0.00_);[Red]_(&quot;$&quot;\(#,##0.00\);_(&quot;$&quot;&quot;-&quot;??_);_(@_)"/>
    <numFmt numFmtId="223" formatCode="_(&quot;$&quot;0.00_);[Red]_(&quot;$&quot;\(0.00\);_(&quot;$&quot;&quot;-&quot;_);_(@_)"/>
    <numFmt numFmtId="224" formatCode="_(&quot;$&quot;#,##0_);[Red]_(&quot;$&quot;\(#,##0\);_(&quot;$&quot;&quot;-&quot;_);_(@_)"/>
    <numFmt numFmtId="225" formatCode="&quot;$&quot;#,##0_%_);\(&quot;$&quot;#,##0\)_%;&quot;$&quot;#,##0_%_);@_%_)"/>
    <numFmt numFmtId="226" formatCode="_._.&quot;$&quot;* #,##0.0_)_%;_._.&quot;$&quot;* \(#,##0.0\)_%"/>
    <numFmt numFmtId="227" formatCode="&quot;$&quot;* #,##0.0_)_%;&quot;$&quot;* \(#,##0.0\)_%;&quot;$&quot;* \ .0_)_%"/>
    <numFmt numFmtId="228" formatCode="_._.&quot;$&quot;* #,##0.00_)_%;_._.&quot;$&quot;* \(#,##0.00\)_%"/>
    <numFmt numFmtId="229" formatCode="&quot;$&quot;* #,##0.00_)_%;&quot;$&quot;* \(#,##0.00\)_%;&quot;$&quot;* \ .00_)_%"/>
    <numFmt numFmtId="230" formatCode="_._.&quot;$&quot;* #,##0.000_)_%;_._.&quot;$&quot;* \(#,##0.000\)_%"/>
    <numFmt numFmtId="231" formatCode="&quot;$&quot;* #,##0.000_)_%;&quot;$&quot;* \(#,##0.000\)_%;&quot;$&quot;* \ .000_)_%"/>
    <numFmt numFmtId="232" formatCode="&quot;$&quot;#,##0\ ;\(&quot;$&quot;#,##0\)"/>
    <numFmt numFmtId="233" formatCode="#,##0.0_);\(#,##0.0\)"/>
    <numFmt numFmtId="234" formatCode="#,##0.000_);\(#,##0.000\)"/>
    <numFmt numFmtId="235" formatCode="#,##0.000\ ;\(#,##0.000\)"/>
    <numFmt numFmtId="236" formatCode="mmm\-d\-yyyy"/>
    <numFmt numFmtId="237" formatCode="m/d/yy_%_)"/>
    <numFmt numFmtId="238" formatCode="yyyy"/>
    <numFmt numFmtId="239" formatCode="mmmm\ d\,\ yyyy"/>
    <numFmt numFmtId="240" formatCode="0.000%"/>
    <numFmt numFmtId="241" formatCode="* #,##0_);* \(#,##0\);&quot;-&quot;??_);@"/>
    <numFmt numFmtId="242" formatCode="#.000000\ \O\R\R\I"/>
    <numFmt numFmtId="243" formatCode="#.000000\ \R\I"/>
    <numFmt numFmtId="244" formatCode="#.000000\ \W\I"/>
    <numFmt numFmtId="245" formatCode="_-* #,##0_-;\-* #,##0_-;_-* &quot;-&quot;_-;_-@_-"/>
    <numFmt numFmtId="246" formatCode="_-* #,##0.00_-;\-* #,##0.00_-;_-* &quot;-&quot;??_-;_-@_-"/>
    <numFmt numFmtId="247" formatCode="0&quot;Mths&quot;"/>
    <numFmt numFmtId="248" formatCode="0_%_);\(0\)_%;0_%_);@_%_)"/>
    <numFmt numFmtId="249" formatCode="_([$€-2]* #,##0.00_);_([$€-2]* \(#,##0.00\);_([$€-2]* &quot;-&quot;??_)"/>
    <numFmt numFmtId="250" formatCode="_ &quot;\&quot;* #,##0.00_ ;_ &quot;\&quot;* &quot;\&quot;&quot;\&quot;&quot;\&quot;&quot;\&quot;&quot;\&quot;\-#,##0.00_ ;_ &quot;\&quot;* &quot;-&quot;??_ ;_ @_ "/>
    <numFmt numFmtId="251" formatCode="\«#,##0;_(* #,##0;_(* &quot;-&quot;??_);_(@_)"/>
    <numFmt numFmtId="252" formatCode="[Black][&gt;10]&quot;$&quot;#,##0_);[Red][&lt;0]\(#,##0\);[Blue]0.0%"/>
    <numFmt numFmtId="253" formatCode="#,###,##0;\(#,###,##0\)"/>
    <numFmt numFmtId="254" formatCode="&quot;$&quot;#,##0_);\(\ &quot;$&quot;#,##0\ \)"/>
    <numFmt numFmtId="255" formatCode="#,###,##0.00;\(#,###,##0.00\)"/>
    <numFmt numFmtId="256" formatCode="000000"/>
    <numFmt numFmtId="257" formatCode="&quot;$&quot;#,###,##0;\(&quot;$&quot;#,###,##0\)"/>
    <numFmt numFmtId="258" formatCode="&quot;$&quot;#,###,##0.00;\(&quot;$&quot;#,###,##0.00\)"/>
    <numFmt numFmtId="259" formatCode="#,##0.00%;\(#,##0.00%\)"/>
    <numFmt numFmtId="260" formatCode="0.00%_);[Red]\(0.00%\)"/>
    <numFmt numFmtId="261" formatCode="0.0\%_);\(0.0\%\);0.0\%_);@_%_)"/>
    <numFmt numFmtId="262" formatCode="#,##0.00&quot; $&quot;;\-#,##0.00&quot; $&quot;"/>
    <numFmt numFmtId="263" formatCode="yy&quot;\&quot;&quot;\&quot;&quot;\&quot;\-mm&quot;\&quot;&quot;\&quot;&quot;\&quot;\-dd&quot;\&quot;&quot;\&quot;&quot;\&quot;&quot;\&quot;\ h:mm"/>
    <numFmt numFmtId="264" formatCode=";;;"/>
    <numFmt numFmtId="265" formatCode="&quot;0&quot;##0"/>
    <numFmt numFmtId="266" formatCode="#,##0;[Red]\(#,##0\)"/>
    <numFmt numFmtId="267" formatCode="0000"/>
    <numFmt numFmtId="268" formatCode="#,##0&quot; Mi&quot;"/>
    <numFmt numFmtId="269" formatCode="_ * #,##0_ ;_ * \-#,##0_ ;_ * &quot;-&quot;_ ;_ @_ "/>
    <numFmt numFmtId="270" formatCode="_ * #,##0.00_ ;_ * \-#,##0.00_ ;_ * &quot;-&quot;??_ ;_ @_ "/>
    <numFmt numFmtId="271" formatCode="#,##0.00_)&quot; mills&quot;;[Red]\(#,##0.00\)&quot; mills&quot;"/>
    <numFmt numFmtId="272" formatCode="#,##0_)&quot;mo&quot;;[Red]\(#,##0\)&quot; mo&quot;"/>
    <numFmt numFmtId="273" formatCode="#,##0_)&quot;mo. end&quot;;[Red]\(#,##0\)"/>
    <numFmt numFmtId="274" formatCode="_ * #,##0.00_)\ &quot;$&quot;_ ;_ * \(#,##0.00\)\ &quot;$&quot;_ ;_ * &quot;-&quot;??_)\ &quot;$&quot;_ ;_ @_ "/>
    <numFmt numFmtId="275" formatCode="0.0\x_)_);&quot;NM&quot;_x_)_);0.0\x_)_);@_%_)"/>
    <numFmt numFmtId="276" formatCode="&quot;IR£&quot;#,##0.00;\-&quot;IR£&quot;#,##0.00"/>
    <numFmt numFmtId="277" formatCode="0.00_)"/>
    <numFmt numFmtId="278" formatCode="0_)%;\(0\)%"/>
    <numFmt numFmtId="279" formatCode="_._._(* 0_)%;_._.* \(0\)%"/>
    <numFmt numFmtId="280" formatCode="_(0_)%;\(0\)%"/>
    <numFmt numFmtId="281" formatCode="0%;\(0%\)"/>
    <numFmt numFmtId="282" formatCode="0.0%;[Red]\(0.0%\)"/>
    <numFmt numFmtId="283" formatCode="0.00%;\(0.00%\)"/>
    <numFmt numFmtId="284" formatCode="_(0.0_)%;\(0.0\)%"/>
    <numFmt numFmtId="285" formatCode="_._._(* 0.0_)%;_._.* \(0.0\)%"/>
    <numFmt numFmtId="286" formatCode="_(0.00_)%;\(0.00\)%"/>
    <numFmt numFmtId="287" formatCode="_._._(* 0.00_)%;_._.* \(0.00\)%"/>
    <numFmt numFmtId="288" formatCode="_(0.000_)%;\(0.000\)%"/>
    <numFmt numFmtId="289" formatCode="_._._(* 0.000_)%;_._.* \(0.000\)%"/>
    <numFmt numFmtId="290" formatCode="#,##0.0\x;\(#,##0.0\)\x"/>
    <numFmt numFmtId="291" formatCode="0.0%;\(0.0%\)"/>
    <numFmt numFmtId="292" formatCode="#,##0;\(#,###\)"/>
    <numFmt numFmtId="293" formatCode="&quot;$&quot;#,##0.0;[Red]\(&quot;$&quot;#,##0.0\)"/>
    <numFmt numFmtId="294" formatCode="#,##0.0;[Red]\(#,##0.0\)"/>
    <numFmt numFmtId="295" formatCode="#,##0;[Red]\(#,###\)"/>
    <numFmt numFmtId="296" formatCode="0.0000"/>
    <numFmt numFmtId="297" formatCode="#,##0&quot; Dys&quot;"/>
    <numFmt numFmtId="298" formatCode="#,##0.0&quot; Dys&quot;"/>
    <numFmt numFmtId="299" formatCode="#,##0&quot; Yrs&quot;"/>
    <numFmt numFmtId="300" formatCode="#,##0.0&quot; Yrs&quot;"/>
    <numFmt numFmtId="301" formatCode="#,##0;\(#,##0\)"/>
    <numFmt numFmtId="302" formatCode="#,##0.0\x;[Red]\(#,##0.0\)\x"/>
    <numFmt numFmtId="303" formatCode="_(&quot;$&quot;* #,##0.000000000_);_(&quot;$&quot;* \(#,##0.000000000\);_(&quot;$&quot;* &quot;-&quot;??_);_(@_)"/>
    <numFmt numFmtId="304" formatCode="&quot;$&quot;#,##0.00"/>
    <numFmt numFmtId="305" formatCode="0\ \ ;\(0\)\ \ \ "/>
    <numFmt numFmtId="306" formatCode="0.0000%"/>
    <numFmt numFmtId="307" formatCode="_(* #,##0_);_(* \(#,##0\);_(* &quot;-&quot;??_);_(@_)"/>
    <numFmt numFmtId="308" formatCode="_(&quot;$&quot;* #,##0_);_(&quot;$&quot;* \(#,##0\);_(&quot;$&quot;* &quot;-&quot;??_);_(@_)"/>
    <numFmt numFmtId="309" formatCode="_(* #,##0.0000_);_(* \(#,##0.0000\);_(* &quot;-&quot;??_);_(@_)"/>
    <numFmt numFmtId="310" formatCode="_(&quot;$&quot;* #,##0.0000_);_(&quot;$&quot;* \(#,##0.0000\);_(&quot;$&quot;* &quot;-&quot;??_);_(@_)"/>
  </numFmts>
  <fonts count="194">
    <font>
      <sz val="11"/>
      <color theme="1"/>
      <name val="Calibri"/>
      <family val="2"/>
      <scheme val="minor"/>
    </font>
    <font>
      <sz val="11"/>
      <color theme="1"/>
      <name val="Calibri"/>
      <family val="2"/>
      <scheme val="minor"/>
    </font>
    <font>
      <sz val="11"/>
      <color rgb="FF9C0006"/>
      <name val="Calibri"/>
      <family val="2"/>
      <scheme val="minor"/>
    </font>
    <font>
      <b/>
      <sz val="11"/>
      <color theme="1"/>
      <name val="Calibri"/>
      <family val="2"/>
      <scheme val="minor"/>
    </font>
    <font>
      <b/>
      <sz val="10"/>
      <name val="Arial"/>
      <family val="2"/>
    </font>
    <font>
      <b/>
      <i/>
      <sz val="8"/>
      <name val="Arial"/>
      <family val="2"/>
    </font>
    <font>
      <b/>
      <i/>
      <sz val="10"/>
      <name val="Arial"/>
      <family val="2"/>
    </font>
    <font>
      <b/>
      <u/>
      <sz val="10"/>
      <name val="Arial"/>
      <family val="2"/>
    </font>
    <font>
      <sz val="8"/>
      <name val="Arial"/>
      <family val="2"/>
    </font>
    <font>
      <sz val="8"/>
      <color theme="1"/>
      <name val="Calibri"/>
      <family val="2"/>
      <scheme val="minor"/>
    </font>
    <font>
      <u/>
      <sz val="8"/>
      <name val="Arial"/>
      <family val="2"/>
    </font>
    <font>
      <sz val="10"/>
      <name val="Arial"/>
      <family val="2"/>
    </font>
    <font>
      <u/>
      <sz val="10"/>
      <name val="Arial"/>
      <family val="2"/>
    </font>
    <font>
      <sz val="10"/>
      <color rgb="FFFF0000"/>
      <name val="Arial"/>
      <family val="2"/>
    </font>
    <font>
      <u val="singleAccounting"/>
      <sz val="11"/>
      <color theme="1"/>
      <name val="Calibri"/>
      <family val="2"/>
      <scheme val="minor"/>
    </font>
    <font>
      <u val="doubleAccounting"/>
      <sz val="11"/>
      <color theme="1"/>
      <name val="Calibri"/>
      <family val="2"/>
      <scheme val="minor"/>
    </font>
    <font>
      <sz val="11"/>
      <color rgb="FF00B050"/>
      <name val="Calibri"/>
      <family val="2"/>
      <scheme val="minor"/>
    </font>
    <font>
      <b/>
      <sz val="8"/>
      <name val="Helv"/>
    </font>
    <font>
      <b/>
      <sz val="8"/>
      <name val="Helvetica"/>
      <family val="2"/>
    </font>
    <font>
      <sz val="8"/>
      <name val="Times New Roman"/>
      <family val="1"/>
    </font>
    <font>
      <sz val="10"/>
      <color indexed="8"/>
      <name val="MS Sans Serif"/>
      <family val="2"/>
    </font>
    <font>
      <sz val="10"/>
      <name val="Times New Roman"/>
      <family val="1"/>
    </font>
    <font>
      <b/>
      <sz val="7"/>
      <name val="Helv"/>
    </font>
    <font>
      <sz val="10"/>
      <name val="MS Sans Serif"/>
      <family val="2"/>
    </font>
    <font>
      <sz val="11"/>
      <color indexed="8"/>
      <name val="Arial"/>
      <family val="2"/>
    </font>
    <font>
      <sz val="11"/>
      <color indexed="8"/>
      <name val="Calibri"/>
      <family val="2"/>
    </font>
    <font>
      <sz val="10"/>
      <color indexed="8"/>
      <name val="Arial"/>
      <family val="2"/>
    </font>
    <font>
      <sz val="11"/>
      <color indexed="9"/>
      <name val="Arial"/>
      <family val="2"/>
    </font>
    <font>
      <sz val="11"/>
      <color indexed="9"/>
      <name val="Calibri"/>
      <family val="2"/>
    </font>
    <font>
      <sz val="10"/>
      <color indexed="9"/>
      <name val="Arial"/>
      <family val="2"/>
    </font>
    <font>
      <sz val="12"/>
      <name val="Arial MT"/>
    </font>
    <font>
      <b/>
      <sz val="10"/>
      <name val="Helv"/>
    </font>
    <font>
      <sz val="12"/>
      <name val="Times New Roman"/>
      <family val="1"/>
    </font>
    <font>
      <sz val="10"/>
      <color indexed="12"/>
      <name val="Times New Roman"/>
      <family val="1"/>
    </font>
    <font>
      <sz val="8"/>
      <name val="Times"/>
      <family val="1"/>
    </font>
    <font>
      <sz val="11"/>
      <color indexed="20"/>
      <name val="Arial"/>
      <family val="2"/>
    </font>
    <font>
      <sz val="11"/>
      <color indexed="20"/>
      <name val="Calibri"/>
      <family val="2"/>
    </font>
    <font>
      <sz val="10"/>
      <color indexed="20"/>
      <name val="Arial"/>
      <family val="2"/>
    </font>
    <font>
      <sz val="8"/>
      <name val="Geneva"/>
    </font>
    <font>
      <sz val="8"/>
      <color indexed="12"/>
      <name val="Tms Rmn"/>
      <family val="1"/>
    </font>
    <font>
      <sz val="8"/>
      <color indexed="12"/>
      <name val="Arial"/>
      <family val="2"/>
    </font>
    <font>
      <sz val="12"/>
      <name val="Tms Rmn"/>
    </font>
    <font>
      <b/>
      <sz val="12"/>
      <name val="Times New Roman"/>
      <family val="1"/>
    </font>
    <font>
      <b/>
      <i/>
      <sz val="12"/>
      <name val="Times New Roman"/>
      <family val="1"/>
    </font>
    <font>
      <sz val="12"/>
      <name val="±¼¸²Ã¼"/>
      <charset val="129"/>
    </font>
    <font>
      <sz val="9"/>
      <name val="Times New Roman"/>
      <family val="1"/>
    </font>
    <font>
      <b/>
      <sz val="11"/>
      <color indexed="52"/>
      <name val="Arial"/>
      <family val="2"/>
    </font>
    <font>
      <b/>
      <sz val="11"/>
      <color indexed="52"/>
      <name val="Calibri"/>
      <family val="2"/>
    </font>
    <font>
      <b/>
      <sz val="10"/>
      <color indexed="52"/>
      <name val="Arial"/>
      <family val="2"/>
    </font>
    <font>
      <b/>
      <sz val="11"/>
      <name val="Arial"/>
      <family val="2"/>
    </font>
    <font>
      <sz val="10"/>
      <color indexed="18"/>
      <name val="Times New Roman"/>
      <family val="1"/>
    </font>
    <font>
      <sz val="10"/>
      <name val="Book Antiqua"/>
      <family val="1"/>
    </font>
    <font>
      <b/>
      <sz val="11"/>
      <color indexed="9"/>
      <name val="Arial"/>
      <family val="2"/>
    </font>
    <font>
      <b/>
      <sz val="11"/>
      <color indexed="9"/>
      <name val="Calibri"/>
      <family val="2"/>
    </font>
    <font>
      <b/>
      <sz val="10"/>
      <color indexed="9"/>
      <name val="Arial"/>
      <family val="2"/>
    </font>
    <font>
      <sz val="10"/>
      <name val="Geneva"/>
    </font>
    <font>
      <b/>
      <sz val="8"/>
      <name val="Arial"/>
      <family val="2"/>
    </font>
    <font>
      <sz val="10"/>
      <name val="Helv"/>
    </font>
    <font>
      <sz val="8"/>
      <name val="Palatino"/>
      <family val="1"/>
    </font>
    <font>
      <sz val="11"/>
      <name val="Times New Roman"/>
      <family val="1"/>
    </font>
    <font>
      <sz val="9"/>
      <name val="Arial"/>
      <family val="2"/>
    </font>
    <font>
      <u val="singleAccounting"/>
      <sz val="11"/>
      <name val="Times New Roman"/>
      <family val="1"/>
    </font>
    <font>
      <sz val="10"/>
      <name val="Verdana"/>
      <family val="2"/>
    </font>
    <font>
      <sz val="10"/>
      <name val="Tahoma"/>
      <family val="2"/>
    </font>
    <font>
      <sz val="10"/>
      <color indexed="0"/>
      <name val="Arial"/>
      <family val="2"/>
    </font>
    <font>
      <sz val="10"/>
      <color indexed="24"/>
      <name val="Courier New"/>
      <family val="3"/>
    </font>
    <font>
      <sz val="10"/>
      <color indexed="12"/>
      <name val="Geneva"/>
    </font>
    <font>
      <b/>
      <sz val="16"/>
      <name val="Times New Roman"/>
      <family val="1"/>
    </font>
    <font>
      <sz val="10"/>
      <name val="MS Serif"/>
      <family val="1"/>
    </font>
    <font>
      <sz val="11"/>
      <color indexed="12"/>
      <name val="Times New Roman"/>
      <family val="1"/>
    </font>
    <font>
      <sz val="10"/>
      <name val="BERNHARD"/>
    </font>
    <font>
      <sz val="11"/>
      <name val="??"/>
      <family val="3"/>
      <charset val="129"/>
    </font>
    <font>
      <b/>
      <sz val="7"/>
      <color indexed="12"/>
      <name val="Helvetica"/>
      <family val="2"/>
    </font>
    <font>
      <sz val="10"/>
      <color indexed="16"/>
      <name val="MS Serif"/>
      <family val="1"/>
    </font>
    <font>
      <sz val="10"/>
      <color indexed="0"/>
      <name val="Terminal"/>
      <family val="3"/>
      <charset val="255"/>
    </font>
    <font>
      <i/>
      <sz val="11"/>
      <color indexed="23"/>
      <name val="Arial"/>
      <family val="2"/>
    </font>
    <font>
      <i/>
      <sz val="11"/>
      <color indexed="23"/>
      <name val="Calibri"/>
      <family val="2"/>
    </font>
    <font>
      <i/>
      <sz val="10"/>
      <color indexed="23"/>
      <name val="Arial"/>
      <family val="2"/>
    </font>
    <font>
      <sz val="7"/>
      <name val="Palatino"/>
      <family val="1"/>
    </font>
    <font>
      <sz val="11"/>
      <color indexed="10"/>
      <name val="Arial"/>
      <family val="2"/>
    </font>
    <font>
      <i/>
      <sz val="12"/>
      <color indexed="0"/>
      <name val="Arial"/>
      <family val="2"/>
    </font>
    <font>
      <sz val="12"/>
      <color indexed="0"/>
      <name val="Arial"/>
      <family val="2"/>
    </font>
    <font>
      <sz val="11"/>
      <color indexed="17"/>
      <name val="Arial"/>
      <family val="2"/>
    </font>
    <font>
      <sz val="11"/>
      <color indexed="17"/>
      <name val="Calibri"/>
      <family val="2"/>
    </font>
    <font>
      <sz val="10"/>
      <color indexed="17"/>
      <name val="Arial"/>
      <family val="2"/>
    </font>
    <font>
      <sz val="8"/>
      <color indexed="17"/>
      <name val="Times New Roman"/>
      <family val="1"/>
    </font>
    <font>
      <sz val="6"/>
      <color indexed="16"/>
      <name val="Palatino"/>
      <family val="1"/>
    </font>
    <font>
      <b/>
      <sz val="12"/>
      <name val="Arial"/>
      <family val="2"/>
    </font>
    <font>
      <b/>
      <sz val="9"/>
      <name val="Arial"/>
      <family val="2"/>
    </font>
    <font>
      <b/>
      <sz val="15"/>
      <color indexed="56"/>
      <name val="Arial"/>
      <family val="2"/>
    </font>
    <font>
      <b/>
      <sz val="15"/>
      <color indexed="56"/>
      <name val="Calibri"/>
      <family val="2"/>
    </font>
    <font>
      <b/>
      <sz val="12"/>
      <color indexed="24"/>
      <name val="Times New Roman"/>
      <family val="1"/>
    </font>
    <font>
      <sz val="18"/>
      <name val="Helvetica-Black"/>
    </font>
    <font>
      <b/>
      <sz val="13"/>
      <color indexed="56"/>
      <name val="Calibri"/>
      <family val="2"/>
    </font>
    <font>
      <sz val="10"/>
      <color indexed="24"/>
      <name val="Times New Roman"/>
      <family val="1"/>
    </font>
    <font>
      <i/>
      <sz val="14"/>
      <name val="Palatino"/>
      <family val="1"/>
    </font>
    <font>
      <b/>
      <sz val="11"/>
      <color indexed="56"/>
      <name val="Calibri"/>
      <family val="2"/>
    </font>
    <font>
      <b/>
      <sz val="11"/>
      <color indexed="56"/>
      <name val="Arial"/>
      <family val="2"/>
    </font>
    <font>
      <b/>
      <sz val="8"/>
      <name val="MS Sans Serif"/>
      <family val="2"/>
    </font>
    <font>
      <sz val="10"/>
      <color indexed="9"/>
      <name val="Helv"/>
    </font>
    <font>
      <sz val="10"/>
      <color indexed="12"/>
      <name val="Arial"/>
      <family val="2"/>
    </font>
    <font>
      <b/>
      <i/>
      <sz val="10"/>
      <color indexed="10"/>
      <name val="Arial"/>
      <family val="2"/>
    </font>
    <font>
      <u/>
      <sz val="12"/>
      <color indexed="12"/>
      <name val="Helv"/>
    </font>
    <font>
      <sz val="11"/>
      <color indexed="62"/>
      <name val="Arial"/>
      <family val="2"/>
    </font>
    <font>
      <sz val="11"/>
      <color indexed="62"/>
      <name val="Calibri"/>
      <family val="2"/>
    </font>
    <font>
      <sz val="10"/>
      <color indexed="62"/>
      <name val="Arial"/>
      <family val="2"/>
    </font>
    <font>
      <sz val="11"/>
      <color indexed="21"/>
      <name val="Arial"/>
      <family val="2"/>
    </font>
    <font>
      <u/>
      <sz val="8.6999999999999993"/>
      <color indexed="12"/>
      <name val="Arial"/>
      <family val="2"/>
    </font>
    <font>
      <u/>
      <sz val="8.6999999999999993"/>
      <color indexed="36"/>
      <name val="Arial"/>
      <family val="2"/>
    </font>
    <font>
      <sz val="10"/>
      <color indexed="12"/>
      <name val="CG Times (WN)"/>
    </font>
    <font>
      <sz val="11"/>
      <color indexed="52"/>
      <name val="Arial"/>
      <family val="2"/>
    </font>
    <font>
      <sz val="11"/>
      <color indexed="52"/>
      <name val="Calibri"/>
      <family val="2"/>
    </font>
    <font>
      <sz val="10"/>
      <color indexed="52"/>
      <name val="Arial"/>
      <family val="2"/>
    </font>
    <font>
      <sz val="8"/>
      <color indexed="18"/>
      <name val="Times New Roman"/>
      <family val="1"/>
    </font>
    <font>
      <sz val="11"/>
      <color indexed="60"/>
      <name val="Arial"/>
      <family val="2"/>
    </font>
    <font>
      <sz val="11"/>
      <color indexed="60"/>
      <name val="Calibri"/>
      <family val="2"/>
    </font>
    <font>
      <sz val="10"/>
      <color indexed="60"/>
      <name val="Arial"/>
      <family val="2"/>
    </font>
    <font>
      <sz val="7"/>
      <name val="Small Fonts"/>
      <family val="2"/>
    </font>
    <font>
      <b/>
      <i/>
      <sz val="16"/>
      <name val="Helv"/>
    </font>
    <font>
      <sz val="11"/>
      <name val="Arial"/>
      <family val="2"/>
    </font>
    <font>
      <sz val="10"/>
      <name val="Arial"/>
      <family val="2"/>
    </font>
    <font>
      <sz val="10"/>
      <name val="Palatino"/>
      <family val="1"/>
    </font>
    <font>
      <b/>
      <sz val="13.5"/>
      <name val="MS Sans Serif"/>
      <family val="2"/>
    </font>
    <font>
      <b/>
      <sz val="11"/>
      <color indexed="63"/>
      <name val="Arial"/>
      <family val="2"/>
    </font>
    <font>
      <b/>
      <sz val="11"/>
      <color indexed="63"/>
      <name val="Calibri"/>
      <family val="2"/>
    </font>
    <font>
      <b/>
      <sz val="10"/>
      <color indexed="63"/>
      <name val="Arial"/>
      <family val="2"/>
    </font>
    <font>
      <sz val="11"/>
      <color indexed="8"/>
      <name val="Times New Roman"/>
      <family val="1"/>
    </font>
    <font>
      <b/>
      <i/>
      <sz val="10"/>
      <color indexed="8"/>
      <name val="Arial"/>
      <family val="2"/>
    </font>
    <font>
      <b/>
      <i/>
      <sz val="11"/>
      <color indexed="8"/>
      <name val="Times New Roman"/>
      <family val="1"/>
    </font>
    <font>
      <b/>
      <sz val="11"/>
      <color indexed="16"/>
      <name val="Times New Roman"/>
      <family val="1"/>
    </font>
    <font>
      <b/>
      <i/>
      <sz val="22"/>
      <color indexed="8"/>
      <name val="Times New Roman"/>
      <family val="1"/>
    </font>
    <font>
      <b/>
      <sz val="22"/>
      <color indexed="8"/>
      <name val="Times New Roman"/>
      <family val="1"/>
    </font>
    <font>
      <sz val="10"/>
      <color indexed="16"/>
      <name val="Helvetica-Black"/>
    </font>
    <font>
      <b/>
      <sz val="10"/>
      <name val="Times New Roman"/>
      <family val="1"/>
    </font>
    <font>
      <b/>
      <sz val="8"/>
      <color indexed="18"/>
      <name val="Times New Roman"/>
      <family val="1"/>
    </font>
    <font>
      <b/>
      <sz val="10"/>
      <name val="MS Sans Serif"/>
      <family val="2"/>
    </font>
    <font>
      <sz val="8"/>
      <name val="Wingdings"/>
      <charset val="2"/>
    </font>
    <font>
      <sz val="8"/>
      <name val="Helv"/>
    </font>
    <font>
      <sz val="9.5"/>
      <color indexed="23"/>
      <name val="Helvetica-Black"/>
    </font>
    <font>
      <sz val="12"/>
      <name val="Arial"/>
      <family val="2"/>
    </font>
    <font>
      <sz val="8"/>
      <name val="MS Sans Serif"/>
      <family val="2"/>
    </font>
    <font>
      <strike/>
      <sz val="10"/>
      <name val="Arial"/>
      <family val="2"/>
    </font>
    <font>
      <sz val="10"/>
      <name val="Arial MT"/>
    </font>
    <font>
      <b/>
      <sz val="13"/>
      <color indexed="8"/>
      <name val="Verdana"/>
      <family val="2"/>
    </font>
    <font>
      <b/>
      <sz val="8"/>
      <color indexed="9"/>
      <name val="Verdana"/>
      <family val="2"/>
    </font>
    <font>
      <b/>
      <sz val="14"/>
      <name val="Arial"/>
      <family val="2"/>
    </font>
    <font>
      <b/>
      <sz val="8"/>
      <color indexed="8"/>
      <name val="Arial"/>
      <family val="2"/>
    </font>
    <font>
      <sz val="8"/>
      <color indexed="8"/>
      <name val="Arial"/>
      <family val="2"/>
    </font>
    <font>
      <i/>
      <sz val="8"/>
      <color indexed="8"/>
      <name val="Arial"/>
      <family val="2"/>
    </font>
    <font>
      <sz val="2"/>
      <color indexed="9"/>
      <name val="Symbol"/>
      <family val="1"/>
      <charset val="2"/>
    </font>
    <font>
      <sz val="12"/>
      <color indexed="8"/>
      <name val="Arial"/>
      <family val="2"/>
    </font>
    <font>
      <i/>
      <sz val="12"/>
      <color indexed="8"/>
      <name val="Arial"/>
      <family val="2"/>
    </font>
    <font>
      <b/>
      <sz val="10"/>
      <color indexed="0"/>
      <name val="Arial"/>
      <family val="2"/>
    </font>
    <font>
      <b/>
      <i/>
      <sz val="12"/>
      <color indexed="0"/>
      <name val="Arial"/>
      <family val="2"/>
    </font>
    <font>
      <b/>
      <i/>
      <sz val="12"/>
      <color indexed="8"/>
      <name val="Arial"/>
      <family val="2"/>
    </font>
    <font>
      <b/>
      <sz val="11"/>
      <color indexed="0"/>
      <name val="Arial"/>
      <family val="2"/>
    </font>
    <font>
      <b/>
      <i/>
      <sz val="12"/>
      <color indexed="12"/>
      <name val="Arial"/>
      <family val="2"/>
    </font>
    <font>
      <b/>
      <sz val="8"/>
      <color indexed="8"/>
      <name val="Helv"/>
    </font>
    <font>
      <sz val="10"/>
      <color indexed="18"/>
      <name val="Book Antiqua"/>
      <family val="1"/>
    </font>
    <font>
      <b/>
      <sz val="9"/>
      <name val="Palatino"/>
      <family val="1"/>
    </font>
    <font>
      <sz val="9"/>
      <color indexed="21"/>
      <name val="Helvetica-Black"/>
    </font>
    <font>
      <b/>
      <sz val="10"/>
      <name val="Palatino"/>
      <family val="1"/>
    </font>
    <font>
      <sz val="9"/>
      <name val="Helvetica-Black"/>
    </font>
    <font>
      <b/>
      <sz val="8"/>
      <name val="Times New Roman"/>
      <family val="1"/>
    </font>
    <font>
      <sz val="12"/>
      <color indexed="8"/>
      <name val="Palatino"/>
      <family val="1"/>
    </font>
    <font>
      <sz val="11"/>
      <color indexed="8"/>
      <name val="Helvetica-Black"/>
    </font>
    <font>
      <b/>
      <sz val="10"/>
      <color indexed="10"/>
      <name val="Arial"/>
      <family val="2"/>
    </font>
    <font>
      <b/>
      <sz val="11"/>
      <name val="Times New Roman"/>
      <family val="1"/>
    </font>
    <font>
      <b/>
      <sz val="18"/>
      <color indexed="56"/>
      <name val="Cambria"/>
      <family val="2"/>
    </font>
    <font>
      <i/>
      <sz val="10"/>
      <name val="Times New Roman"/>
      <family val="1"/>
    </font>
    <font>
      <b/>
      <sz val="11"/>
      <color indexed="8"/>
      <name val="Calibri"/>
      <family val="2"/>
    </font>
    <font>
      <u/>
      <sz val="8"/>
      <color indexed="8"/>
      <name val="Arial"/>
      <family val="2"/>
    </font>
    <font>
      <sz val="11"/>
      <color indexed="10"/>
      <name val="Calibri"/>
      <family val="2"/>
    </font>
    <font>
      <sz val="10"/>
      <color indexed="10"/>
      <name val="Arial"/>
      <family val="2"/>
    </font>
    <font>
      <b/>
      <i/>
      <sz val="8"/>
      <name val="Helv"/>
    </font>
    <font>
      <b/>
      <sz val="12"/>
      <color theme="1"/>
      <name val="Calibri"/>
      <family val="2"/>
      <scheme val="minor"/>
    </font>
    <font>
      <sz val="11"/>
      <name val="Calibri"/>
      <family val="2"/>
      <scheme val="minor"/>
    </font>
    <font>
      <sz val="20"/>
      <color theme="1"/>
      <name val="Calibri"/>
      <family val="2"/>
      <scheme val="minor"/>
    </font>
    <font>
      <b/>
      <u val="doubleAccounting"/>
      <sz val="11"/>
      <color theme="1"/>
      <name val="Calibri"/>
      <family val="2"/>
      <scheme val="minor"/>
    </font>
    <font>
      <b/>
      <sz val="11"/>
      <name val="Calibri"/>
      <family val="2"/>
    </font>
    <font>
      <sz val="11"/>
      <name val="Calibri"/>
      <family val="2"/>
    </font>
    <font>
      <b/>
      <u/>
      <sz val="11"/>
      <name val="Calibri"/>
      <family val="2"/>
    </font>
    <font>
      <b/>
      <sz val="11"/>
      <color theme="1"/>
      <name val="Calibri"/>
      <family val="2"/>
    </font>
    <font>
      <b/>
      <sz val="11"/>
      <color rgb="FFFF0000"/>
      <name val="Calibri"/>
      <family val="2"/>
      <scheme val="minor"/>
    </font>
    <font>
      <sz val="10"/>
      <color rgb="FF7030A0"/>
      <name val="Arial"/>
      <family val="2"/>
    </font>
    <font>
      <b/>
      <strike/>
      <sz val="10"/>
      <name val="Arial"/>
      <family val="2"/>
    </font>
    <font>
      <sz val="9"/>
      <color theme="1"/>
      <name val="Calibri"/>
      <family val="2"/>
      <scheme val="minor"/>
    </font>
    <font>
      <b/>
      <u/>
      <sz val="12"/>
      <name val="Arial"/>
      <family val="2"/>
    </font>
    <font>
      <sz val="10"/>
      <color theme="1"/>
      <name val="Arial"/>
      <family val="2"/>
    </font>
    <font>
      <b/>
      <sz val="11"/>
      <name val="Calibri"/>
      <family val="2"/>
      <scheme val="minor"/>
    </font>
    <font>
      <b/>
      <u/>
      <sz val="10"/>
      <color rgb="FFFF0000"/>
      <name val="Arial"/>
      <family val="2"/>
    </font>
    <font>
      <sz val="10"/>
      <name val="SWISS"/>
    </font>
    <font>
      <u val="doubleAccounting"/>
      <sz val="10"/>
      <name val="Arial"/>
      <family val="2"/>
    </font>
    <font>
      <b/>
      <sz val="12"/>
      <name val="Calibri"/>
      <family val="2"/>
    </font>
  </fonts>
  <fills count="55">
    <fill>
      <patternFill patternType="none"/>
    </fill>
    <fill>
      <patternFill patternType="gray125"/>
    </fill>
    <fill>
      <patternFill patternType="solid">
        <fgColor rgb="FFFFC7CE"/>
      </patternFill>
    </fill>
    <fill>
      <patternFill patternType="solid">
        <fgColor rgb="FFFFFF99"/>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indexed="22"/>
      </patternFill>
    </fill>
    <fill>
      <patternFill patternType="solid">
        <fgColor indexed="55"/>
      </patternFill>
    </fill>
    <fill>
      <patternFill patternType="solid">
        <fgColor indexed="26"/>
        <bgColor indexed="64"/>
      </patternFill>
    </fill>
    <fill>
      <patternFill patternType="gray0625">
        <fgColor indexed="12"/>
        <bgColor indexed="9"/>
      </patternFill>
    </fill>
    <fill>
      <patternFill patternType="solid">
        <fgColor indexed="22"/>
        <bgColor indexed="64"/>
      </patternFill>
    </fill>
    <fill>
      <patternFill patternType="solid">
        <fgColor indexed="27"/>
        <bgColor indexed="64"/>
      </patternFill>
    </fill>
    <fill>
      <patternFill patternType="gray125">
        <fgColor indexed="22"/>
        <bgColor indexed="22"/>
      </patternFill>
    </fill>
    <fill>
      <patternFill patternType="solid">
        <fgColor indexed="42"/>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darkVertical"/>
    </fill>
    <fill>
      <patternFill patternType="solid">
        <fgColor indexed="22"/>
        <bgColor indexed="14"/>
      </patternFill>
    </fill>
    <fill>
      <patternFill patternType="solid">
        <fgColor indexed="58"/>
        <bgColor indexed="64"/>
      </patternFill>
    </fill>
    <fill>
      <patternFill patternType="solid">
        <fgColor indexed="15"/>
        <bgColor indexed="64"/>
      </patternFill>
    </fill>
    <fill>
      <patternFill patternType="solid">
        <fgColor indexed="8"/>
      </patternFill>
    </fill>
    <fill>
      <patternFill patternType="lightGray">
        <fgColor indexed="8"/>
      </patternFill>
    </fill>
    <fill>
      <patternFill patternType="solid">
        <fgColor indexed="56"/>
        <bgColor indexed="64"/>
      </patternFill>
    </fill>
    <fill>
      <patternFill patternType="solid">
        <fgColor indexed="63"/>
        <bgColor indexed="64"/>
      </patternFill>
    </fill>
    <fill>
      <patternFill patternType="solid">
        <fgColor indexed="62"/>
        <bgColor indexed="64"/>
      </patternFill>
    </fill>
    <fill>
      <patternFill patternType="solid">
        <fgColor indexed="22"/>
        <bgColor indexed="24"/>
      </patternFill>
    </fill>
    <fill>
      <patternFill patternType="solid">
        <fgColor indexed="16"/>
        <bgColor indexed="64"/>
      </patternFill>
    </fill>
    <fill>
      <patternFill patternType="solid">
        <fgColor indexed="8"/>
        <bgColor indexed="64"/>
      </patternFill>
    </fill>
    <fill>
      <patternFill patternType="solid">
        <fgColor indexed="55"/>
        <bgColor indexed="64"/>
      </patternFill>
    </fill>
    <fill>
      <patternFill patternType="solid">
        <fgColor rgb="FFFF0000"/>
        <bgColor indexed="64"/>
      </patternFill>
    </fill>
    <fill>
      <patternFill patternType="solid">
        <fgColor rgb="FFFFC000"/>
        <bgColor indexed="64"/>
      </patternFill>
    </fill>
  </fills>
  <borders count="58">
    <border>
      <left/>
      <right/>
      <top/>
      <bottom/>
      <diagonal/>
    </border>
    <border>
      <left style="thin">
        <color indexed="8"/>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bottom style="medium">
        <color indexed="64"/>
      </bottom>
      <diagonal/>
    </border>
    <border>
      <left style="thin">
        <color indexed="64"/>
      </left>
      <right style="thin">
        <color indexed="8"/>
      </right>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22"/>
      </bottom>
      <diagonal/>
    </border>
    <border>
      <left style="thin">
        <color indexed="64"/>
      </left>
      <right/>
      <top style="medium">
        <color indexed="64"/>
      </top>
      <bottom style="thin">
        <color indexed="64"/>
      </bottom>
      <diagonal/>
    </border>
    <border>
      <left style="thin">
        <color indexed="8"/>
      </left>
      <right style="thin">
        <color indexed="8"/>
      </right>
      <top style="thin">
        <color indexed="22"/>
      </top>
      <bottom style="thin">
        <color indexed="22"/>
      </bottom>
      <diagonal/>
    </border>
    <border>
      <left style="thin">
        <color indexed="8"/>
      </left>
      <right style="medium">
        <color indexed="64"/>
      </right>
      <top/>
      <bottom style="thin">
        <color indexed="22"/>
      </bottom>
      <diagonal/>
    </border>
    <border>
      <left style="thin">
        <color indexed="8"/>
      </left>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style="double">
        <color indexed="64"/>
      </left>
      <right/>
      <top/>
      <bottom style="hair">
        <color indexed="64"/>
      </bottom>
      <diagonal/>
    </border>
    <border>
      <left/>
      <right/>
      <top style="thin">
        <color indexed="8"/>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auto="1"/>
      </bottom>
      <diagonal/>
    </border>
    <border>
      <left style="double">
        <color indexed="64"/>
      </left>
      <right style="double">
        <color indexed="64"/>
      </right>
      <top style="double">
        <color indexed="64"/>
      </top>
      <bottom style="double">
        <color indexed="64"/>
      </bottom>
      <diagonal/>
    </border>
    <border>
      <left style="hair">
        <color indexed="12"/>
      </left>
      <right style="hair">
        <color indexed="12"/>
      </right>
      <top style="hair">
        <color indexed="12"/>
      </top>
      <bottom style="hair">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64"/>
      </top>
      <bottom/>
      <diagonal/>
    </border>
    <border>
      <left/>
      <right/>
      <top/>
      <bottom style="medium">
        <color indexed="64"/>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style="thin">
        <color indexed="62"/>
      </top>
      <bottom style="double">
        <color indexed="62"/>
      </bottom>
      <diagonal/>
    </border>
    <border>
      <left/>
      <right/>
      <top style="double">
        <color indexed="64"/>
      </top>
      <bottom/>
      <diagonal/>
    </border>
    <border>
      <left/>
      <right/>
      <top style="thin">
        <color indexed="64"/>
      </top>
      <bottom style="medium">
        <color indexed="64"/>
      </bottom>
      <diagonal/>
    </border>
  </borders>
  <cellStyleXfs count="1265">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1" fillId="0" borderId="0" applyFont="0" applyFill="0" applyBorder="0" applyAlignment="0" applyProtection="0"/>
    <xf numFmtId="0" fontId="11" fillId="0" borderId="0"/>
    <xf numFmtId="167" fontId="11" fillId="0" borderId="0"/>
    <xf numFmtId="168" fontId="17" fillId="0" borderId="0" applyFont="0" applyFill="0" applyBorder="0" applyAlignment="0" applyProtection="0"/>
    <xf numFmtId="169" fontId="18" fillId="0" borderId="0"/>
    <xf numFmtId="170" fontId="17" fillId="0" borderId="0" applyFont="0" applyFill="0" applyBorder="0" applyAlignment="0" applyProtection="0"/>
    <xf numFmtId="0" fontId="11" fillId="0" borderId="0"/>
    <xf numFmtId="171" fontId="19" fillId="0" borderId="0" applyBorder="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2" fontId="11" fillId="0" borderId="0" applyFont="0" applyFill="0" applyBorder="0" applyAlignment="0" applyProtection="0"/>
    <xf numFmtId="172" fontId="11" fillId="0" borderId="0"/>
    <xf numFmtId="173" fontId="11" fillId="0" borderId="0" applyFont="0" applyFill="0" applyBorder="0" applyAlignment="0" applyProtection="0"/>
    <xf numFmtId="167" fontId="11" fillId="0" borderId="0"/>
    <xf numFmtId="5" fontId="11" fillId="0" borderId="0" applyFont="0" applyFill="0" applyBorder="0" applyAlignment="0" applyProtection="0"/>
    <xf numFmtId="174" fontId="11" fillId="0" borderId="0" applyFont="0" applyFill="0" applyBorder="0" applyAlignment="0" applyProtection="0"/>
    <xf numFmtId="175" fontId="11" fillId="0" borderId="0"/>
    <xf numFmtId="176" fontId="11" fillId="0" borderId="0" applyBorder="0">
      <alignment wrapText="1"/>
    </xf>
    <xf numFmtId="0" fontId="20" fillId="0" borderId="0" applyNumberFormat="0" applyFont="0" applyFill="0" applyBorder="0" applyAlignment="0" applyProtection="0"/>
    <xf numFmtId="177" fontId="11" fillId="0" borderId="0" applyFont="0" applyFill="0" applyBorder="0" applyAlignment="0" applyProtection="0"/>
    <xf numFmtId="178" fontId="11" fillId="0" borderId="0" applyFont="0" applyFill="0" applyBorder="0" applyAlignment="0" applyProtection="0"/>
    <xf numFmtId="9" fontId="11" fillId="0" borderId="0" applyFont="0" applyFill="0" applyBorder="0" applyAlignment="0" applyProtection="0"/>
    <xf numFmtId="179" fontId="11" fillId="0" borderId="0" applyFont="0" applyFill="0" applyBorder="0" applyAlignment="0" applyProtection="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2" fontId="21" fillId="0" borderId="0" applyFont="0" applyFill="0" applyBorder="0" applyAlignment="0" applyProtection="0"/>
    <xf numFmtId="180" fontId="21" fillId="0" borderId="0" applyFont="0" applyFill="0" applyBorder="0" applyAlignment="0" applyProtection="0"/>
    <xf numFmtId="181" fontId="21" fillId="0" borderId="0" applyFont="0" applyFill="0" applyBorder="0" applyAlignment="0" applyProtection="0"/>
    <xf numFmtId="0" fontId="21" fillId="0" borderId="0"/>
    <xf numFmtId="1" fontId="22" fillId="0" borderId="0">
      <alignment horizontal="center"/>
    </xf>
    <xf numFmtId="9" fontId="11" fillId="0" borderId="0"/>
    <xf numFmtId="165" fontId="23" fillId="0" borderId="0"/>
    <xf numFmtId="182" fontId="23" fillId="0" borderId="0"/>
    <xf numFmtId="165" fontId="23" fillId="0" borderId="0"/>
    <xf numFmtId="2" fontId="23" fillId="0" borderId="0"/>
    <xf numFmtId="10" fontId="23" fillId="0" borderId="0"/>
    <xf numFmtId="2" fontId="23" fillId="0" borderId="0"/>
    <xf numFmtId="183" fontId="11" fillId="0" borderId="0"/>
    <xf numFmtId="183" fontId="11" fillId="0" borderId="0"/>
    <xf numFmtId="183" fontId="11" fillId="0" borderId="0"/>
    <xf numFmtId="183" fontId="11" fillId="0" borderId="0"/>
    <xf numFmtId="184" fontId="23" fillId="0" borderId="0">
      <alignment horizontal="left"/>
    </xf>
    <xf numFmtId="185" fontId="23" fillId="0" borderId="0">
      <alignment horizontal="left"/>
    </xf>
    <xf numFmtId="186" fontId="17" fillId="0" borderId="0" applyFont="0" applyFill="0" applyBorder="0" applyAlignment="0" applyProtection="0"/>
    <xf numFmtId="165" fontId="19" fillId="0" borderId="0"/>
    <xf numFmtId="187" fontId="17" fillId="0" borderId="0" applyFont="0" applyFill="0" applyBorder="0" applyAlignment="0" applyProtection="0"/>
    <xf numFmtId="170" fontId="17" fillId="0" borderId="0" applyFont="0" applyFill="0" applyBorder="0" applyAlignment="0" applyProtection="0"/>
    <xf numFmtId="0" fontId="24"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6" fillId="7" borderId="0" applyNumberFormat="0" applyBorder="0" applyAlignment="0" applyProtection="0"/>
    <xf numFmtId="0" fontId="24"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6" fillId="8"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6" fillId="9"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6" fillId="10" borderId="0" applyNumberFormat="0" applyBorder="0" applyAlignment="0" applyProtection="0"/>
    <xf numFmtId="0" fontId="24"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6" fillId="11" borderId="0" applyNumberFormat="0" applyBorder="0" applyAlignment="0" applyProtection="0"/>
    <xf numFmtId="0" fontId="24"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6" fillId="12" borderId="0" applyNumberFormat="0" applyBorder="0" applyAlignment="0" applyProtection="0"/>
    <xf numFmtId="188" fontId="19" fillId="0" borderId="0"/>
    <xf numFmtId="40" fontId="19" fillId="0" borderId="0"/>
    <xf numFmtId="0" fontId="24"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6" fillId="13"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6" fillId="14" borderId="0" applyNumberFormat="0" applyBorder="0" applyAlignment="0" applyProtection="0"/>
    <xf numFmtId="0" fontId="24"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6" fillId="15"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6" fillId="10"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6" fillId="13"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6" fillId="16" borderId="0" applyNumberFormat="0" applyBorder="0" applyAlignment="0" applyProtection="0"/>
    <xf numFmtId="0" fontId="27"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17" borderId="0" applyNumberFormat="0" applyBorder="0" applyAlignment="0" applyProtection="0"/>
    <xf numFmtId="0" fontId="27"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9" fillId="14" borderId="0" applyNumberFormat="0" applyBorder="0" applyAlignment="0" applyProtection="0"/>
    <xf numFmtId="0" fontId="27"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9" fillId="15"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9" fillId="18" borderId="0" applyNumberFormat="0" applyBorder="0" applyAlignment="0" applyProtection="0"/>
    <xf numFmtId="0" fontId="27"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19" borderId="0" applyNumberFormat="0" applyBorder="0" applyAlignment="0" applyProtection="0"/>
    <xf numFmtId="0" fontId="27"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9" fillId="20" borderId="0" applyNumberFormat="0" applyBorder="0" applyAlignment="0" applyProtection="0"/>
    <xf numFmtId="37" fontId="30" fillId="0" borderId="0">
      <alignment horizontal="center"/>
    </xf>
    <xf numFmtId="189" fontId="31" fillId="0" borderId="0">
      <alignment horizontal="center"/>
    </xf>
    <xf numFmtId="0" fontId="27"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9" fillId="21" borderId="0" applyNumberFormat="0" applyBorder="0" applyAlignment="0" applyProtection="0"/>
    <xf numFmtId="0" fontId="27"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9" fillId="22" borderId="0" applyNumberFormat="0" applyBorder="0" applyAlignment="0" applyProtection="0"/>
    <xf numFmtId="0" fontId="27"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9" fillId="23"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9" fillId="18" borderId="0" applyNumberFormat="0" applyBorder="0" applyAlignment="0" applyProtection="0"/>
    <xf numFmtId="0" fontId="27"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19" borderId="0" applyNumberFormat="0" applyBorder="0" applyAlignment="0" applyProtection="0"/>
    <xf numFmtId="0" fontId="27"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9" fillId="24" borderId="0" applyNumberFormat="0" applyBorder="0" applyAlignment="0" applyProtection="0"/>
    <xf numFmtId="41" fontId="32" fillId="0" borderId="0"/>
    <xf numFmtId="0" fontId="32" fillId="0" borderId="0"/>
    <xf numFmtId="190" fontId="33" fillId="0" borderId="0" applyFont="0" applyFill="0" applyBorder="0" applyAlignment="0" applyProtection="0"/>
    <xf numFmtId="0" fontId="32" fillId="0" borderId="0"/>
    <xf numFmtId="41" fontId="32" fillId="0" borderId="0"/>
    <xf numFmtId="14" fontId="11" fillId="25" borderId="25">
      <alignment horizontal="center" vertical="center"/>
    </xf>
    <xf numFmtId="0" fontId="34" fillId="0" borderId="0"/>
    <xf numFmtId="191" fontId="8" fillId="0" borderId="0" applyFont="0" applyFill="0" applyBorder="0" applyAlignment="0" applyProtection="0"/>
    <xf numFmtId="0" fontId="19" fillId="0" borderId="0">
      <alignment horizontal="center" wrapText="1"/>
      <protection locked="0"/>
    </xf>
    <xf numFmtId="0" fontId="2" fillId="2" borderId="0" applyNumberFormat="0" applyBorder="0" applyAlignment="0" applyProtection="0"/>
    <xf numFmtId="0" fontId="35" fillId="8"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0" fontId="37" fillId="8" borderId="0" applyNumberFormat="0" applyBorder="0" applyAlignment="0" applyProtection="0"/>
    <xf numFmtId="0" fontId="38" fillId="0" borderId="0" applyFont="0" applyFill="0" applyBorder="0" applyAlignment="0" applyProtection="0">
      <alignment horizontal="right"/>
    </xf>
    <xf numFmtId="0" fontId="39" fillId="0" borderId="0" applyNumberFormat="0" applyFill="0" applyBorder="0" applyAlignment="0" applyProtection="0"/>
    <xf numFmtId="177" fontId="40" fillId="26" borderId="0" applyNumberFormat="0" applyFill="0" applyBorder="0" applyAlignment="0" applyProtection="0">
      <alignment horizontal="center"/>
    </xf>
    <xf numFmtId="0" fontId="41" fillId="0" borderId="0" applyNumberFormat="0" applyFill="0" applyBorder="0" applyAlignment="0" applyProtection="0"/>
    <xf numFmtId="0" fontId="42" fillId="0" borderId="22" applyNumberFormat="0" applyFill="0" applyAlignment="0" applyProtection="0"/>
    <xf numFmtId="0" fontId="43" fillId="0" borderId="26" applyFill="0" applyProtection="0">
      <alignment horizontal="right"/>
    </xf>
    <xf numFmtId="192" fontId="21" fillId="0" borderId="0" applyFont="0" applyFill="0" applyBorder="0" applyAlignment="0" applyProtection="0"/>
    <xf numFmtId="0" fontId="44" fillId="0" borderId="0"/>
    <xf numFmtId="0" fontId="11" fillId="27" borderId="10"/>
    <xf numFmtId="193" fontId="11" fillId="0" borderId="0" applyFill="0" applyBorder="0" applyAlignment="0"/>
    <xf numFmtId="194" fontId="45" fillId="0" borderId="0" applyFill="0" applyBorder="0" applyAlignment="0"/>
    <xf numFmtId="195" fontId="45" fillId="0" borderId="0" applyFill="0" applyBorder="0" applyAlignment="0"/>
    <xf numFmtId="196" fontId="11" fillId="0" borderId="0" applyFill="0" applyBorder="0" applyAlignment="0"/>
    <xf numFmtId="197" fontId="11"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11" fillId="27" borderId="10"/>
    <xf numFmtId="0" fontId="46" fillId="28" borderId="27" applyNumberFormat="0" applyAlignment="0" applyProtection="0"/>
    <xf numFmtId="0" fontId="47" fillId="28" borderId="27" applyNumberFormat="0" applyAlignment="0" applyProtection="0"/>
    <xf numFmtId="0" fontId="47" fillId="28" borderId="27" applyNumberFormat="0" applyAlignment="0" applyProtection="0"/>
    <xf numFmtId="0" fontId="48" fillId="28" borderId="27" applyNumberFormat="0" applyAlignment="0" applyProtection="0"/>
    <xf numFmtId="0" fontId="49" fillId="0" borderId="0" applyFill="0" applyBorder="0" applyProtection="0">
      <alignment horizontal="center"/>
      <protection locked="0"/>
    </xf>
    <xf numFmtId="8" fontId="11" fillId="0" borderId="28" applyFont="0" applyFill="0" applyBorder="0" applyProtection="0">
      <alignment horizontal="right"/>
    </xf>
    <xf numFmtId="1" fontId="50" fillId="0" borderId="0"/>
    <xf numFmtId="0" fontId="51" fillId="0" borderId="0" applyNumberFormat="0" applyFont="0" applyFill="0" applyBorder="0"/>
    <xf numFmtId="0" fontId="52" fillId="29" borderId="29" applyNumberFormat="0" applyAlignment="0" applyProtection="0"/>
    <xf numFmtId="0" fontId="53" fillId="29" borderId="29" applyNumberFormat="0" applyAlignment="0" applyProtection="0"/>
    <xf numFmtId="0" fontId="53" fillId="29" borderId="29" applyNumberFormat="0" applyAlignment="0" applyProtection="0"/>
    <xf numFmtId="0" fontId="54" fillId="29" borderId="29" applyNumberFormat="0" applyAlignment="0" applyProtection="0"/>
    <xf numFmtId="3" fontId="55" fillId="0" borderId="0"/>
    <xf numFmtId="0" fontId="56" fillId="0" borderId="30">
      <alignment horizontal="center"/>
    </xf>
    <xf numFmtId="0" fontId="4" fillId="0" borderId="10">
      <alignment horizontal="left" wrapText="1"/>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200" fontId="11" fillId="0" borderId="0" applyFont="0" applyFill="0" applyBorder="0" applyAlignment="0" applyProtection="0"/>
    <xf numFmtId="201" fontId="11" fillId="0" borderId="0"/>
    <xf numFmtId="202" fontId="11" fillId="0" borderId="0"/>
    <xf numFmtId="201" fontId="11" fillId="0" borderId="0"/>
    <xf numFmtId="43" fontId="11" fillId="0" borderId="0"/>
    <xf numFmtId="203" fontId="11" fillId="0" borderId="0"/>
    <xf numFmtId="43" fontId="11" fillId="0" borderId="0"/>
    <xf numFmtId="204" fontId="11" fillId="0" borderId="0"/>
    <xf numFmtId="198" fontId="11" fillId="0" borderId="0" applyFont="0" applyFill="0" applyBorder="0" applyAlignment="0" applyProtection="0"/>
    <xf numFmtId="205" fontId="58" fillId="0" borderId="0" applyFont="0" applyFill="0" applyBorder="0" applyAlignment="0" applyProtection="0">
      <alignment horizontal="right"/>
    </xf>
    <xf numFmtId="206" fontId="58" fillId="0" borderId="0" applyFont="0" applyFill="0" applyBorder="0" applyAlignment="0" applyProtection="0"/>
    <xf numFmtId="207" fontId="59" fillId="0" borderId="0" applyFont="0" applyFill="0" applyBorder="0" applyAlignment="0" applyProtection="0"/>
    <xf numFmtId="208" fontId="60" fillId="0" borderId="0" applyFont="0" applyFill="0" applyBorder="0" applyAlignment="0" applyProtection="0"/>
    <xf numFmtId="209" fontId="61" fillId="0" borderId="0" applyFont="0" applyFill="0" applyBorder="0" applyAlignment="0" applyProtection="0"/>
    <xf numFmtId="210" fontId="60" fillId="0" borderId="0" applyFont="0" applyFill="0" applyBorder="0" applyAlignment="0" applyProtection="0"/>
    <xf numFmtId="211" fontId="61" fillId="0" borderId="0" applyFont="0" applyFill="0" applyBorder="0" applyAlignment="0" applyProtection="0"/>
    <xf numFmtId="212" fontId="6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39" fontId="11" fillId="0" borderId="0" applyFill="0" applyBorder="0" applyAlignment="0" applyProtection="0"/>
    <xf numFmtId="43" fontId="11" fillId="0" borderId="0" applyFont="0" applyFill="0" applyBorder="0" applyAlignment="0" applyProtection="0"/>
    <xf numFmtId="43" fontId="62" fillId="0" borderId="0" applyFont="0" applyFill="0" applyBorder="0" applyAlignment="0" applyProtection="0"/>
    <xf numFmtId="213" fontId="63" fillId="0" borderId="0" applyFont="0" applyFill="0" applyBorder="0" applyAlignment="0" applyProtection="0"/>
    <xf numFmtId="43" fontId="11" fillId="0" borderId="0" applyFont="0" applyFill="0" applyBorder="0" applyAlignment="0" applyProtection="0"/>
    <xf numFmtId="43" fontId="26"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 fontId="57" fillId="0" borderId="0" applyFont="0" applyFill="0" applyBorder="0" applyAlignment="0" applyProtection="0"/>
    <xf numFmtId="43" fontId="26"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0" fontId="23" fillId="0" borderId="0" applyFont="0" applyFill="0" applyBorder="0" applyAlignment="0" applyProtection="0"/>
    <xf numFmtId="40" fontId="23" fillId="0" borderId="0" applyFont="0" applyFill="0" applyBorder="0" applyAlignment="0" applyProtection="0"/>
    <xf numFmtId="40" fontId="23"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alignment vertical="top"/>
    </xf>
    <xf numFmtId="43" fontId="1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62" fillId="0" borderId="0" applyFont="0" applyFill="0" applyBorder="0" applyAlignment="0" applyProtection="0"/>
    <xf numFmtId="43"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1" fillId="0" borderId="0" applyFont="0" applyFill="0" applyBorder="0" applyAlignment="0" applyProtection="0">
      <alignment wrapText="1"/>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alignment vertical="top"/>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alignment vertical="top"/>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0" fontId="11" fillId="0" borderId="0" applyFont="0" applyFill="0" applyBorder="0" applyProtection="0">
      <alignment horizontal="right"/>
    </xf>
    <xf numFmtId="3" fontId="65" fillId="0" borderId="0" applyFont="0" applyFill="0" applyBorder="0" applyAlignment="0" applyProtection="0"/>
    <xf numFmtId="214" fontId="55" fillId="0" borderId="0" applyFont="0" applyFill="0" applyBorder="0" applyAlignment="0" applyProtection="0"/>
    <xf numFmtId="4" fontId="66" fillId="0" borderId="10" applyFont="0" applyFill="0" applyBorder="0" applyAlignment="0" applyProtection="0"/>
    <xf numFmtId="215" fontId="55" fillId="0" borderId="0" applyFont="0" applyFill="0" applyBorder="0" applyAlignment="0" applyProtection="0"/>
    <xf numFmtId="0" fontId="67" fillId="0" borderId="0" applyNumberFormat="0" applyFill="0" applyBorder="0" applyAlignment="0" applyProtection="0"/>
    <xf numFmtId="194" fontId="11" fillId="0" borderId="0" applyFill="0" applyBorder="0">
      <alignment horizontal="left"/>
    </xf>
    <xf numFmtId="0" fontId="68" fillId="0" borderId="0" applyNumberFormat="0" applyAlignment="0">
      <alignment horizontal="left"/>
    </xf>
    <xf numFmtId="216" fontId="69" fillId="0" borderId="0" applyFill="0" applyBorder="0" applyProtection="0"/>
    <xf numFmtId="217" fontId="59" fillId="0" borderId="0" applyFont="0" applyFill="0" applyBorder="0" applyAlignment="0" applyProtection="0"/>
    <xf numFmtId="218" fontId="21" fillId="0" borderId="0" applyFill="0" applyBorder="0" applyProtection="0"/>
    <xf numFmtId="218" fontId="21" fillId="0" borderId="17" applyFill="0" applyProtection="0"/>
    <xf numFmtId="218" fontId="21" fillId="0" borderId="31" applyFill="0" applyProtection="0"/>
    <xf numFmtId="0" fontId="70" fillId="0" borderId="0"/>
    <xf numFmtId="219" fontId="11" fillId="0" borderId="0" applyFont="0" applyFill="0" applyBorder="0" applyAlignment="0" applyProtection="0"/>
    <xf numFmtId="220" fontId="11" fillId="0" borderId="0"/>
    <xf numFmtId="221" fontId="11" fillId="0" borderId="0"/>
    <xf numFmtId="222" fontId="11" fillId="0" borderId="0"/>
    <xf numFmtId="223" fontId="11" fillId="0" borderId="0"/>
    <xf numFmtId="224" fontId="11" fillId="0" borderId="0"/>
    <xf numFmtId="194" fontId="45" fillId="0" borderId="0" applyFont="0" applyFill="0" applyBorder="0" applyAlignment="0" applyProtection="0"/>
    <xf numFmtId="8" fontId="51" fillId="0" borderId="0" applyBorder="0"/>
    <xf numFmtId="44" fontId="11" fillId="0" borderId="0" applyFont="0" applyFill="0" applyBorder="0" applyAlignment="0" applyProtection="0"/>
    <xf numFmtId="225" fontId="58" fillId="0" borderId="0" applyFont="0" applyFill="0" applyBorder="0" applyAlignment="0" applyProtection="0">
      <alignment horizontal="right"/>
    </xf>
    <xf numFmtId="226" fontId="61" fillId="0" borderId="0" applyFont="0" applyFill="0" applyBorder="0" applyAlignment="0" applyProtection="0"/>
    <xf numFmtId="227" fontId="60" fillId="0" borderId="0" applyFont="0" applyFill="0" applyBorder="0" applyAlignment="0" applyProtection="0"/>
    <xf numFmtId="228" fontId="61" fillId="0" borderId="0" applyFont="0" applyFill="0" applyBorder="0" applyAlignment="0" applyProtection="0"/>
    <xf numFmtId="229" fontId="60" fillId="0" borderId="0" applyFont="0" applyFill="0" applyBorder="0" applyAlignment="0" applyProtection="0"/>
    <xf numFmtId="230" fontId="61" fillId="0" borderId="0" applyFont="0" applyFill="0" applyBorder="0" applyAlignment="0" applyProtection="0"/>
    <xf numFmtId="231" fontId="60" fillId="0" borderId="0" applyFont="0" applyFill="0" applyBorder="0" applyAlignment="0" applyProtection="0"/>
    <xf numFmtId="8"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7" fontId="11" fillId="0" borderId="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8" fontId="23" fillId="0" borderId="0" applyFont="0" applyFill="0" applyBorder="0" applyAlignment="0" applyProtection="0"/>
    <xf numFmtId="8" fontId="23" fillId="0" borderId="0" applyFont="0" applyFill="0" applyBorder="0" applyAlignment="0" applyProtection="0"/>
    <xf numFmtId="232" fontId="65" fillId="0" borderId="0" applyFont="0" applyFill="0" applyBorder="0" applyAlignment="0" applyProtection="0"/>
    <xf numFmtId="233" fontId="55" fillId="0" borderId="0" applyFont="0" applyFill="0" applyBorder="0" applyAlignment="0" applyProtection="0"/>
    <xf numFmtId="234" fontId="55" fillId="0" borderId="0" applyFont="0" applyFill="0" applyBorder="0" applyAlignment="0" applyProtection="0"/>
    <xf numFmtId="235" fontId="21" fillId="0" borderId="0" applyFont="0" applyFill="0" applyBorder="0" applyAlignment="0" applyProtection="0"/>
    <xf numFmtId="0" fontId="11" fillId="26" borderId="10">
      <protection locked="0"/>
    </xf>
    <xf numFmtId="0" fontId="65" fillId="0" borderId="0" applyFont="0" applyFill="0" applyBorder="0" applyAlignment="0" applyProtection="0"/>
    <xf numFmtId="236" fontId="40" fillId="30" borderId="32" applyFont="0" applyFill="0" applyBorder="0" applyAlignment="0" applyProtection="0"/>
    <xf numFmtId="6" fontId="71" fillId="0" borderId="0">
      <protection locked="0"/>
    </xf>
    <xf numFmtId="6" fontId="71" fillId="0" borderId="0">
      <protection locked="0"/>
    </xf>
    <xf numFmtId="237" fontId="58" fillId="0" borderId="0" applyFont="0" applyFill="0" applyBorder="0" applyAlignment="0" applyProtection="0"/>
    <xf numFmtId="14" fontId="26" fillId="0" borderId="0" applyFill="0" applyBorder="0" applyAlignment="0"/>
    <xf numFmtId="238" fontId="8" fillId="0" borderId="0" applyFont="0" applyFill="0" applyBorder="0" applyAlignment="0" applyProtection="0">
      <alignment horizontal="center"/>
    </xf>
    <xf numFmtId="239" fontId="11" fillId="0" borderId="0" applyFont="0" applyFill="0" applyBorder="0" applyAlignment="0" applyProtection="0"/>
    <xf numFmtId="240" fontId="57" fillId="0" borderId="0"/>
    <xf numFmtId="14" fontId="72" fillId="0" borderId="0" applyFont="0" applyFill="0" applyBorder="0"/>
    <xf numFmtId="241" fontId="21" fillId="0" borderId="0" applyFill="0" applyBorder="0" applyProtection="0"/>
    <xf numFmtId="241" fontId="21" fillId="0" borderId="17" applyFill="0" applyProtection="0"/>
    <xf numFmtId="241" fontId="21" fillId="0" borderId="31" applyFill="0" applyProtection="0"/>
    <xf numFmtId="242" fontId="11" fillId="0" borderId="0" applyFont="0" applyFill="0" applyBorder="0" applyAlignment="0" applyProtection="0"/>
    <xf numFmtId="243" fontId="11" fillId="0" borderId="0" applyFont="0" applyFill="0" applyBorder="0" applyAlignment="0" applyProtection="0"/>
    <xf numFmtId="244" fontId="11" fillId="0" borderId="0" applyFont="0" applyFill="0" applyBorder="0" applyAlignment="0" applyProtection="0"/>
    <xf numFmtId="38" fontId="23" fillId="0" borderId="33">
      <alignment vertical="center"/>
    </xf>
    <xf numFmtId="245" fontId="11" fillId="0" borderId="0" applyFont="0" applyFill="0" applyBorder="0" applyAlignment="0" applyProtection="0"/>
    <xf numFmtId="246" fontId="11" fillId="0" borderId="0" applyFont="0" applyFill="0" applyBorder="0" applyAlignment="0" applyProtection="0"/>
    <xf numFmtId="247" fontId="11" fillId="0" borderId="0"/>
    <xf numFmtId="0" fontId="57" fillId="0" borderId="0"/>
    <xf numFmtId="247" fontId="11" fillId="0" borderId="0"/>
    <xf numFmtId="5" fontId="26" fillId="0" borderId="0" applyFont="0" applyFill="0" applyBorder="0" applyAlignment="0" applyProtection="0">
      <protection locked="0"/>
    </xf>
    <xf numFmtId="248" fontId="58" fillId="0" borderId="34" applyNumberFormat="0" applyFont="0" applyFill="0" applyAlignment="0" applyProtection="0"/>
    <xf numFmtId="198" fontId="11" fillId="0" borderId="0" applyFill="0" applyBorder="0" applyAlignment="0"/>
    <xf numFmtId="194" fontId="45"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73" fillId="0" borderId="0" applyNumberFormat="0" applyAlignment="0">
      <alignment horizontal="left"/>
    </xf>
    <xf numFmtId="249" fontId="74" fillId="0" borderId="0" applyFon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37" fontId="19" fillId="0" borderId="0" applyBorder="0" applyAlignment="0"/>
    <xf numFmtId="2" fontId="65" fillId="0" borderId="0" applyFont="0" applyFill="0" applyBorder="0" applyAlignment="0" applyProtection="0"/>
    <xf numFmtId="250" fontId="71" fillId="0" borderId="0">
      <protection locked="0"/>
    </xf>
    <xf numFmtId="1" fontId="55" fillId="0" borderId="0" applyFont="0" applyFill="0" applyBorder="0" applyAlignment="0" applyProtection="0"/>
    <xf numFmtId="251" fontId="8" fillId="0" borderId="0">
      <alignment horizontal="left"/>
    </xf>
    <xf numFmtId="0" fontId="78" fillId="0" borderId="0" applyFill="0" applyBorder="0" applyProtection="0">
      <alignment horizontal="left"/>
    </xf>
    <xf numFmtId="252" fontId="72" fillId="31" borderId="0">
      <alignment horizontal="center"/>
      <protection locked="0"/>
    </xf>
    <xf numFmtId="182" fontId="79" fillId="0" borderId="0" applyNumberFormat="0" applyFill="0" applyBorder="0" applyAlignment="0" applyProtection="0">
      <protection locked="0"/>
    </xf>
    <xf numFmtId="253" fontId="80" fillId="0" borderId="0"/>
    <xf numFmtId="254" fontId="80" fillId="0" borderId="0"/>
    <xf numFmtId="254" fontId="80" fillId="0" borderId="0"/>
    <xf numFmtId="254" fontId="80" fillId="0" borderId="0"/>
    <xf numFmtId="254" fontId="80" fillId="0" borderId="0"/>
    <xf numFmtId="254" fontId="81" fillId="0" borderId="0"/>
    <xf numFmtId="254" fontId="81" fillId="0" borderId="0"/>
    <xf numFmtId="254" fontId="80" fillId="0" borderId="0"/>
    <xf numFmtId="254" fontId="80" fillId="0" borderId="0"/>
    <xf numFmtId="254" fontId="81" fillId="0" borderId="0"/>
    <xf numFmtId="254" fontId="81" fillId="0" borderId="0"/>
    <xf numFmtId="254" fontId="81"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6" fontId="80" fillId="0" borderId="0"/>
    <xf numFmtId="253" fontId="81" fillId="0" borderId="0"/>
    <xf numFmtId="255" fontId="80" fillId="0" borderId="0"/>
    <xf numFmtId="255" fontId="80" fillId="0" borderId="0"/>
    <xf numFmtId="254" fontId="80" fillId="0" borderId="0"/>
    <xf numFmtId="254" fontId="80" fillId="0" borderId="0"/>
    <xf numFmtId="254" fontId="80" fillId="0" borderId="0"/>
    <xf numFmtId="254" fontId="80" fillId="0" borderId="0"/>
    <xf numFmtId="254" fontId="81" fillId="0" borderId="0"/>
    <xf numFmtId="253" fontId="64" fillId="0" borderId="0"/>
    <xf numFmtId="253" fontId="64" fillId="0" borderId="0"/>
    <xf numFmtId="255" fontId="81" fillId="0" borderId="0"/>
    <xf numFmtId="255" fontId="81"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5" fontId="80"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5" fontId="80" fillId="0" borderId="0"/>
    <xf numFmtId="253" fontId="64" fillId="0" borderId="0"/>
    <xf numFmtId="255" fontId="80" fillId="0" borderId="0"/>
    <xf numFmtId="253" fontId="80" fillId="0" borderId="0"/>
    <xf numFmtId="253" fontId="80" fillId="0" borderId="0"/>
    <xf numFmtId="253" fontId="80" fillId="0" borderId="0"/>
    <xf numFmtId="253" fontId="80" fillId="0" borderId="0"/>
    <xf numFmtId="254" fontId="81" fillId="0" borderId="0"/>
    <xf numFmtId="255" fontId="81" fillId="0" borderId="0"/>
    <xf numFmtId="255" fontId="81" fillId="0" borderId="0"/>
    <xf numFmtId="255" fontId="81" fillId="0" borderId="0"/>
    <xf numFmtId="253" fontId="64" fillId="0" borderId="0"/>
    <xf numFmtId="254" fontId="81"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3" fontId="64" fillId="0" borderId="0"/>
    <xf numFmtId="254" fontId="81"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3" fontId="64" fillId="0" borderId="0"/>
    <xf numFmtId="254" fontId="80" fillId="0" borderId="0"/>
    <xf numFmtId="254" fontId="80" fillId="0" borderId="0"/>
    <xf numFmtId="254" fontId="80" fillId="0" borderId="0"/>
    <xf numFmtId="254" fontId="80" fillId="0" borderId="0"/>
    <xf numFmtId="254" fontId="81" fillId="0" borderId="0"/>
    <xf numFmtId="255" fontId="80" fillId="0" borderId="0"/>
    <xf numFmtId="257" fontId="80" fillId="0" borderId="0"/>
    <xf numFmtId="257" fontId="81" fillId="0" borderId="0"/>
    <xf numFmtId="258" fontId="80" fillId="0" borderId="0"/>
    <xf numFmtId="258" fontId="80" fillId="0" borderId="0"/>
    <xf numFmtId="257" fontId="81" fillId="0" borderId="0"/>
    <xf numFmtId="257" fontId="81" fillId="0" borderId="0"/>
    <xf numFmtId="258" fontId="80" fillId="0" borderId="0"/>
    <xf numFmtId="258" fontId="80" fillId="0" borderId="0"/>
    <xf numFmtId="258" fontId="80" fillId="0" borderId="0"/>
    <xf numFmtId="258" fontId="80" fillId="0" borderId="0"/>
    <xf numFmtId="258" fontId="80" fillId="0" borderId="0"/>
    <xf numFmtId="258" fontId="80" fillId="0" borderId="0"/>
    <xf numFmtId="257" fontId="81" fillId="0" borderId="0"/>
    <xf numFmtId="257" fontId="81" fillId="0" borderId="0"/>
    <xf numFmtId="258" fontId="81" fillId="0" borderId="0"/>
    <xf numFmtId="258" fontId="80" fillId="0" borderId="0"/>
    <xf numFmtId="258" fontId="80" fillId="0" borderId="0"/>
    <xf numFmtId="258" fontId="81" fillId="0" borderId="0"/>
    <xf numFmtId="258" fontId="81" fillId="0" borderId="0"/>
    <xf numFmtId="258" fontId="81" fillId="0" borderId="0"/>
    <xf numFmtId="257" fontId="64" fillId="0" borderId="0"/>
    <xf numFmtId="257" fontId="64" fillId="0" borderId="0"/>
    <xf numFmtId="257" fontId="64" fillId="0" borderId="0"/>
    <xf numFmtId="257" fontId="80" fillId="0" borderId="0"/>
    <xf numFmtId="257" fontId="80" fillId="0" borderId="0"/>
    <xf numFmtId="258" fontId="80" fillId="0" borderId="0"/>
    <xf numFmtId="257" fontId="80" fillId="0" borderId="0"/>
    <xf numFmtId="257" fontId="80" fillId="0" borderId="0"/>
    <xf numFmtId="258" fontId="80" fillId="0" borderId="0"/>
    <xf numFmtId="258" fontId="80" fillId="0" borderId="0"/>
    <xf numFmtId="257" fontId="64" fillId="0" borderId="0"/>
    <xf numFmtId="257" fontId="64" fillId="0" borderId="0"/>
    <xf numFmtId="257" fontId="64" fillId="0" borderId="0"/>
    <xf numFmtId="257" fontId="64" fillId="0" borderId="0"/>
    <xf numFmtId="257" fontId="81" fillId="0" borderId="0"/>
    <xf numFmtId="257" fontId="81" fillId="0" borderId="0"/>
    <xf numFmtId="257" fontId="81" fillId="0" borderId="0"/>
    <xf numFmtId="259" fontId="80" fillId="0" borderId="0"/>
    <xf numFmtId="259" fontId="81" fillId="0" borderId="0"/>
    <xf numFmtId="259" fontId="81" fillId="0" borderId="0"/>
    <xf numFmtId="259" fontId="80" fillId="0" borderId="0"/>
    <xf numFmtId="259" fontId="80" fillId="0" borderId="0"/>
    <xf numFmtId="259" fontId="81" fillId="0" borderId="0"/>
    <xf numFmtId="259" fontId="81" fillId="0" borderId="0"/>
    <xf numFmtId="259" fontId="80" fillId="0" borderId="0"/>
    <xf numFmtId="259" fontId="80" fillId="0" borderId="0"/>
    <xf numFmtId="259" fontId="80" fillId="0" borderId="0"/>
    <xf numFmtId="259" fontId="80" fillId="0" borderId="0"/>
    <xf numFmtId="259" fontId="80" fillId="0" borderId="0"/>
    <xf numFmtId="259" fontId="80" fillId="0" borderId="0"/>
    <xf numFmtId="259" fontId="81" fillId="0" borderId="0"/>
    <xf numFmtId="259" fontId="81" fillId="0" borderId="0"/>
    <xf numFmtId="259" fontId="81" fillId="0" borderId="0"/>
    <xf numFmtId="259" fontId="81" fillId="0" borderId="0"/>
    <xf numFmtId="259" fontId="81" fillId="0" borderId="0"/>
    <xf numFmtId="259" fontId="81" fillId="0" borderId="0"/>
    <xf numFmtId="259" fontId="81" fillId="0" borderId="0"/>
    <xf numFmtId="259" fontId="64" fillId="0" borderId="0"/>
    <xf numFmtId="259" fontId="64" fillId="0" borderId="0"/>
    <xf numFmtId="259" fontId="64" fillId="0" borderId="0"/>
    <xf numFmtId="259" fontId="80" fillId="0" borderId="0"/>
    <xf numFmtId="259" fontId="80" fillId="0" borderId="0"/>
    <xf numFmtId="259" fontId="80" fillId="0" borderId="0"/>
    <xf numFmtId="259" fontId="80" fillId="0" borderId="0"/>
    <xf numFmtId="259" fontId="80" fillId="0" borderId="0"/>
    <xf numFmtId="259" fontId="80" fillId="0" borderId="0"/>
    <xf numFmtId="259" fontId="64" fillId="0" borderId="0"/>
    <xf numFmtId="259" fontId="64" fillId="0" borderId="0"/>
    <xf numFmtId="259" fontId="64" fillId="0" borderId="0"/>
    <xf numFmtId="259" fontId="64" fillId="0" borderId="0"/>
    <xf numFmtId="259" fontId="81" fillId="0" borderId="0"/>
    <xf numFmtId="239" fontId="80" fillId="0" borderId="0"/>
    <xf numFmtId="37" fontId="8" fillId="0" borderId="0"/>
    <xf numFmtId="0" fontId="82" fillId="9" borderId="0" applyNumberFormat="0" applyBorder="0" applyAlignment="0" applyProtection="0"/>
    <xf numFmtId="0" fontId="83" fillId="9" borderId="0" applyNumberFormat="0" applyBorder="0" applyAlignment="0" applyProtection="0"/>
    <xf numFmtId="0" fontId="83" fillId="9" borderId="0" applyNumberFormat="0" applyBorder="0" applyAlignment="0" applyProtection="0"/>
    <xf numFmtId="0" fontId="84" fillId="9" borderId="0" applyNumberFormat="0" applyBorder="0" applyAlignment="0" applyProtection="0"/>
    <xf numFmtId="38" fontId="8" fillId="32" borderId="0" applyNumberFormat="0" applyBorder="0" applyAlignment="0" applyProtection="0"/>
    <xf numFmtId="38" fontId="8" fillId="32" borderId="0" applyNumberFormat="0" applyBorder="0" applyAlignment="0" applyProtection="0"/>
    <xf numFmtId="260" fontId="85" fillId="0" borderId="0" applyFill="0" applyBorder="0" applyAlignment="0" applyProtection="0"/>
    <xf numFmtId="261" fontId="58" fillId="0" borderId="0" applyFont="0" applyFill="0" applyBorder="0" applyAlignment="0" applyProtection="0">
      <alignment horizontal="right"/>
    </xf>
    <xf numFmtId="233" fontId="11" fillId="0" borderId="0" applyFill="0" applyBorder="0" applyAlignment="0" applyProtection="0"/>
    <xf numFmtId="0" fontId="67" fillId="0" borderId="0"/>
    <xf numFmtId="0" fontId="86" fillId="0" borderId="0" applyProtection="0">
      <alignment horizontal="right"/>
    </xf>
    <xf numFmtId="0" fontId="87" fillId="0" borderId="35" applyNumberFormat="0" applyAlignment="0" applyProtection="0">
      <alignment horizontal="left" vertical="center"/>
    </xf>
    <xf numFmtId="0" fontId="87" fillId="0" borderId="36">
      <alignment horizontal="left" vertical="center"/>
    </xf>
    <xf numFmtId="0" fontId="17" fillId="0" borderId="0"/>
    <xf numFmtId="0" fontId="88" fillId="0" borderId="0" applyFill="0" applyBorder="0" applyProtection="0">
      <alignment horizontal="right"/>
    </xf>
    <xf numFmtId="0" fontId="89" fillId="0" borderId="37" applyNumberFormat="0" applyFill="0" applyAlignment="0" applyProtection="0"/>
    <xf numFmtId="0" fontId="90" fillId="0" borderId="37" applyNumberFormat="0" applyFill="0" applyAlignment="0" applyProtection="0"/>
    <xf numFmtId="0" fontId="90" fillId="0" borderId="37" applyNumberFormat="0" applyFill="0" applyAlignment="0" applyProtection="0"/>
    <xf numFmtId="0" fontId="91" fillId="0" borderId="0" applyNumberFormat="0" applyFill="0" applyBorder="0" applyAlignment="0" applyProtection="0"/>
    <xf numFmtId="0" fontId="92" fillId="0" borderId="0" applyProtection="0">
      <alignment horizontal="left"/>
    </xf>
    <xf numFmtId="0" fontId="93" fillId="0" borderId="38" applyNumberFormat="0" applyFill="0" applyAlignment="0" applyProtection="0"/>
    <xf numFmtId="0" fontId="93" fillId="0" borderId="38" applyNumberFormat="0" applyFill="0" applyAlignment="0" applyProtection="0"/>
    <xf numFmtId="0" fontId="94" fillId="0" borderId="0" applyNumberFormat="0" applyFill="0" applyBorder="0" applyAlignment="0" applyProtection="0"/>
    <xf numFmtId="0" fontId="95" fillId="0" borderId="0" applyProtection="0">
      <alignment horizontal="left"/>
    </xf>
    <xf numFmtId="0" fontId="96" fillId="0" borderId="39" applyNumberFormat="0" applyFill="0" applyAlignment="0" applyProtection="0"/>
    <xf numFmtId="0" fontId="96" fillId="0" borderId="39" applyNumberFormat="0" applyFill="0" applyAlignment="0" applyProtection="0"/>
    <xf numFmtId="0" fontId="97" fillId="0" borderId="39" applyNumberFormat="0" applyFill="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4" fontId="4" fillId="33" borderId="40">
      <alignment horizontal="center" vertical="center" wrapText="1"/>
    </xf>
    <xf numFmtId="0" fontId="49" fillId="0" borderId="0" applyFill="0" applyAlignment="0" applyProtection="0">
      <protection locked="0"/>
    </xf>
    <xf numFmtId="0" fontId="49" fillId="0" borderId="22" applyFill="0" applyAlignment="0" applyProtection="0">
      <protection locked="0"/>
    </xf>
    <xf numFmtId="262" fontId="11" fillId="0" borderId="0">
      <protection locked="0"/>
    </xf>
    <xf numFmtId="263" fontId="71" fillId="0" borderId="0">
      <protection locked="0"/>
    </xf>
    <xf numFmtId="262" fontId="11" fillId="0" borderId="0">
      <protection locked="0"/>
    </xf>
    <xf numFmtId="263" fontId="71" fillId="0" borderId="0">
      <protection locked="0"/>
    </xf>
    <xf numFmtId="0" fontId="98" fillId="0" borderId="40">
      <alignment horizontal="center"/>
    </xf>
    <xf numFmtId="0" fontId="98" fillId="0" borderId="0">
      <alignment horizontal="center"/>
    </xf>
    <xf numFmtId="0" fontId="11" fillId="0" borderId="0" applyNumberFormat="0" applyFill="0" applyBorder="0" applyProtection="0">
      <alignment wrapText="1"/>
    </xf>
    <xf numFmtId="0" fontId="11" fillId="0" borderId="0" applyNumberFormat="0" applyFill="0" applyBorder="0" applyProtection="0">
      <alignment horizontal="justify" vertical="top" wrapText="1"/>
    </xf>
    <xf numFmtId="264" fontId="99" fillId="0" borderId="0" applyFill="0" applyBorder="0" applyAlignment="0" applyProtection="0"/>
    <xf numFmtId="0" fontId="100" fillId="0" borderId="41" applyNumberFormat="0" applyFill="0" applyAlignment="0" applyProtection="0"/>
    <xf numFmtId="0" fontId="101" fillId="0" borderId="0">
      <alignment horizontal="center"/>
    </xf>
    <xf numFmtId="0" fontId="100" fillId="0" borderId="41" applyNumberFormat="0" applyFill="0" applyAlignment="0" applyProtection="0"/>
    <xf numFmtId="0" fontId="102" fillId="0" borderId="0" applyNumberFormat="0" applyFill="0" applyBorder="0" applyAlignment="0" applyProtection="0">
      <alignment vertical="top"/>
      <protection locked="0"/>
    </xf>
    <xf numFmtId="177" fontId="19" fillId="0" borderId="0" applyFont="0" applyFill="0" applyBorder="0" applyAlignment="0" applyProtection="0"/>
    <xf numFmtId="10" fontId="8" fillId="30" borderId="10" applyNumberFormat="0" applyBorder="0" applyAlignment="0" applyProtection="0"/>
    <xf numFmtId="10" fontId="8" fillId="30" borderId="10" applyNumberFormat="0" applyBorder="0" applyAlignment="0" applyProtection="0"/>
    <xf numFmtId="0" fontId="103" fillId="12" borderId="27" applyNumberFormat="0" applyAlignment="0" applyProtection="0"/>
    <xf numFmtId="0" fontId="104" fillId="12" borderId="27" applyNumberFormat="0" applyAlignment="0" applyProtection="0"/>
    <xf numFmtId="0" fontId="104" fillId="12" borderId="27" applyNumberFormat="0" applyAlignment="0" applyProtection="0"/>
    <xf numFmtId="0" fontId="105" fillId="12" borderId="27" applyNumberFormat="0" applyAlignment="0" applyProtection="0"/>
    <xf numFmtId="0" fontId="105" fillId="12" borderId="27" applyNumberFormat="0" applyAlignment="0" applyProtection="0"/>
    <xf numFmtId="0" fontId="105" fillId="12" borderId="27" applyNumberFormat="0" applyAlignment="0" applyProtection="0"/>
    <xf numFmtId="182" fontId="66" fillId="0" borderId="10" applyNumberFormat="0" applyFill="0" applyAlignment="0" applyProtection="0"/>
    <xf numFmtId="38" fontId="106" fillId="34" borderId="42" applyNumberFormat="0" applyFill="0" applyBorder="0" applyAlignment="0" applyProtection="0">
      <alignment horizontal="right"/>
    </xf>
    <xf numFmtId="265" fontId="40" fillId="0" borderId="0" applyFill="0" applyBorder="0" applyAlignment="0">
      <protection locked="0"/>
    </xf>
    <xf numFmtId="266" fontId="11" fillId="0" borderId="0"/>
    <xf numFmtId="0" fontId="11" fillId="0" borderId="0" applyNumberFormat="0" applyFill="0" applyBorder="0" applyProtection="0">
      <alignment horizontal="left" vertical="center"/>
    </xf>
    <xf numFmtId="0" fontId="11" fillId="35" borderId="10">
      <protection locked="0"/>
    </xf>
    <xf numFmtId="267" fontId="11" fillId="35" borderId="10">
      <alignment horizontal="left"/>
      <protection locked="0"/>
    </xf>
    <xf numFmtId="0" fontId="11" fillId="35" borderId="10">
      <protection locked="0"/>
    </xf>
    <xf numFmtId="0" fontId="107"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2" fontId="109" fillId="0" borderId="22"/>
    <xf numFmtId="1" fontId="8" fillId="0" borderId="22" applyNumberFormat="0" applyFont="0" applyFill="0" applyAlignment="0" applyProtection="0">
      <alignment horizontal="center"/>
    </xf>
    <xf numFmtId="1" fontId="8" fillId="0" borderId="17" applyNumberFormat="0" applyFont="0" applyFill="0" applyProtection="0">
      <alignment horizontal="center"/>
    </xf>
    <xf numFmtId="198" fontId="11" fillId="0" borderId="0" applyFill="0" applyBorder="0" applyAlignment="0"/>
    <xf numFmtId="194" fontId="45"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110" fillId="0" borderId="43" applyNumberFormat="0" applyFill="0" applyAlignment="0" applyProtection="0"/>
    <xf numFmtId="0" fontId="111" fillId="0" borderId="43" applyNumberFormat="0" applyFill="0" applyAlignment="0" applyProtection="0"/>
    <xf numFmtId="0" fontId="111" fillId="0" borderId="43" applyNumberFormat="0" applyFill="0" applyAlignment="0" applyProtection="0"/>
    <xf numFmtId="0" fontId="112" fillId="0" borderId="43" applyNumberFormat="0" applyFill="0" applyAlignment="0" applyProtection="0"/>
    <xf numFmtId="260" fontId="113" fillId="0" borderId="0" applyFill="0" applyBorder="0" applyAlignment="0" applyProtection="0"/>
    <xf numFmtId="268" fontId="8" fillId="0" borderId="0" applyFont="0" applyFill="0" applyBorder="0" applyAlignment="0" applyProtection="0"/>
    <xf numFmtId="269" fontId="11" fillId="0" borderId="0" applyFont="0" applyFill="0" applyBorder="0" applyAlignment="0" applyProtection="0"/>
    <xf numFmtId="270" fontId="11" fillId="0" borderId="0" applyFont="0" applyFill="0" applyBorder="0" applyAlignment="0" applyProtection="0"/>
    <xf numFmtId="271" fontId="40" fillId="0" borderId="22" applyFont="0" applyFill="0" applyBorder="0" applyAlignment="0" applyProtection="0">
      <protection locked="0"/>
    </xf>
    <xf numFmtId="187" fontId="17" fillId="0" borderId="0" applyFont="0" applyFill="0" applyBorder="0" applyAlignment="0" applyProtection="0"/>
    <xf numFmtId="187" fontId="17" fillId="0" borderId="0" applyFont="0" applyFill="0" applyBorder="0" applyAlignment="0" applyProtection="0"/>
    <xf numFmtId="272" fontId="60" fillId="0" borderId="0" applyFont="0" applyFill="0" applyBorder="0" applyAlignment="0" applyProtection="0"/>
    <xf numFmtId="273" fontId="60"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274" fontId="11" fillId="0" borderId="0" applyFont="0" applyFill="0" applyBorder="0" applyAlignment="0" applyProtection="0"/>
    <xf numFmtId="17" fontId="72" fillId="0" borderId="0" applyFont="0" applyFill="0" applyBorder="0">
      <alignment horizontal="right"/>
    </xf>
    <xf numFmtId="275" fontId="58" fillId="0" borderId="0" applyFont="0" applyFill="0" applyBorder="0" applyAlignment="0" applyProtection="0">
      <alignment horizontal="right"/>
    </xf>
    <xf numFmtId="0" fontId="31" fillId="0" borderId="0"/>
    <xf numFmtId="0" fontId="114" fillId="36" borderId="0" applyNumberFormat="0" applyBorder="0" applyAlignment="0" applyProtection="0"/>
    <xf numFmtId="0" fontId="115" fillId="36" borderId="0" applyNumberFormat="0" applyBorder="0" applyAlignment="0" applyProtection="0"/>
    <xf numFmtId="0" fontId="115" fillId="36" borderId="0" applyNumberFormat="0" applyBorder="0" applyAlignment="0" applyProtection="0"/>
    <xf numFmtId="0" fontId="116" fillId="36" borderId="0" applyNumberFormat="0" applyBorder="0" applyAlignment="0" applyProtection="0"/>
    <xf numFmtId="37" fontId="117" fillId="0" borderId="0"/>
    <xf numFmtId="276" fontId="11" fillId="0" borderId="0"/>
    <xf numFmtId="277" fontId="118" fillId="0" borderId="0"/>
    <xf numFmtId="0" fontId="57" fillId="0" borderId="0"/>
    <xf numFmtId="0" fontId="1" fillId="0" borderId="0"/>
    <xf numFmtId="0" fontId="80" fillId="0" borderId="0"/>
    <xf numFmtId="0" fontId="80"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1" fillId="0" borderId="0"/>
    <xf numFmtId="0" fontId="26" fillId="0" borderId="0">
      <alignment vertical="top"/>
    </xf>
    <xf numFmtId="0" fontId="81" fillId="0" borderId="0"/>
    <xf numFmtId="0" fontId="26" fillId="0" borderId="0">
      <alignment vertical="top"/>
    </xf>
    <xf numFmtId="0" fontId="80" fillId="0" borderId="0"/>
    <xf numFmtId="0" fontId="80" fillId="0" borderId="0"/>
    <xf numFmtId="0" fontId="1" fillId="0" borderId="0"/>
    <xf numFmtId="0" fontId="11" fillId="0" borderId="0"/>
    <xf numFmtId="0" fontId="80" fillId="0" borderId="0"/>
    <xf numFmtId="0" fontId="80" fillId="0" borderId="0"/>
    <xf numFmtId="0" fontId="80" fillId="0" borderId="0"/>
    <xf numFmtId="0" fontId="11" fillId="0" borderId="0"/>
    <xf numFmtId="0" fontId="80" fillId="0" borderId="0"/>
    <xf numFmtId="0" fontId="80" fillId="0" borderId="0"/>
    <xf numFmtId="0" fontId="80" fillId="0" borderId="0"/>
    <xf numFmtId="0" fontId="21" fillId="0" borderId="0"/>
    <xf numFmtId="0" fontId="21" fillId="0" borderId="0"/>
    <xf numFmtId="0" fontId="21" fillId="0" borderId="0"/>
    <xf numFmtId="0" fontId="21" fillId="0" borderId="0"/>
    <xf numFmtId="0" fontId="1" fillId="0" borderId="0"/>
    <xf numFmtId="0" fontId="1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1" fillId="0" borderId="0"/>
    <xf numFmtId="0" fontId="26" fillId="0" borderId="0">
      <alignment vertical="top"/>
    </xf>
    <xf numFmtId="0" fontId="80" fillId="0" borderId="0"/>
    <xf numFmtId="0" fontId="80" fillId="0" borderId="0"/>
    <xf numFmtId="0" fontId="81" fillId="0" borderId="0"/>
    <xf numFmtId="0" fontId="80" fillId="0" borderId="0"/>
    <xf numFmtId="0" fontId="80" fillId="0" borderId="0"/>
    <xf numFmtId="0" fontId="26" fillId="0" borderId="0">
      <alignment vertical="top"/>
    </xf>
    <xf numFmtId="0" fontId="11" fillId="0" borderId="0"/>
    <xf numFmtId="0" fontId="80" fillId="0" borderId="0"/>
    <xf numFmtId="0" fontId="80" fillId="0" borderId="0"/>
    <xf numFmtId="0" fontId="80" fillId="0" borderId="0"/>
    <xf numFmtId="0" fontId="80" fillId="0" borderId="0"/>
    <xf numFmtId="0" fontId="80" fillId="0" borderId="0"/>
    <xf numFmtId="0" fontId="80" fillId="0" borderId="0"/>
    <xf numFmtId="0" fontId="11" fillId="0" borderId="0"/>
    <xf numFmtId="0" fontId="26" fillId="0" borderId="0">
      <alignment vertical="top"/>
    </xf>
    <xf numFmtId="0" fontId="81" fillId="0" borderId="0"/>
    <xf numFmtId="0" fontId="26" fillId="0" borderId="0">
      <alignment vertical="top"/>
    </xf>
    <xf numFmtId="0" fontId="81" fillId="0" borderId="0"/>
    <xf numFmtId="0" fontId="81" fillId="0" borderId="0"/>
    <xf numFmtId="0" fontId="26" fillId="0" borderId="0">
      <alignment vertical="top"/>
    </xf>
    <xf numFmtId="0" fontId="11" fillId="0" borderId="0">
      <alignment wrapText="1"/>
    </xf>
    <xf numFmtId="0" fontId="26" fillId="0" borderId="0">
      <alignment vertical="top"/>
    </xf>
    <xf numFmtId="0" fontId="26" fillId="0" borderId="0">
      <alignment vertical="top"/>
    </xf>
    <xf numFmtId="0" fontId="26" fillId="0" borderId="0">
      <alignment vertical="top"/>
    </xf>
    <xf numFmtId="0" fontId="81" fillId="0" borderId="0"/>
    <xf numFmtId="0" fontId="81" fillId="0" borderId="0"/>
    <xf numFmtId="0" fontId="11" fillId="0" borderId="0"/>
    <xf numFmtId="0" fontId="11" fillId="0" borderId="0"/>
    <xf numFmtId="0" fontId="64" fillId="0" borderId="0"/>
    <xf numFmtId="0" fontId="64" fillId="0" borderId="0"/>
    <xf numFmtId="0" fontId="64" fillId="0" borderId="0"/>
    <xf numFmtId="0" fontId="8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0" fillId="0" borderId="0"/>
    <xf numFmtId="0" fontId="80" fillId="0" borderId="0"/>
    <xf numFmtId="0" fontId="11" fillId="0" borderId="0"/>
    <xf numFmtId="0" fontId="11" fillId="0" borderId="0"/>
    <xf numFmtId="0" fontId="11" fillId="0" borderId="0"/>
    <xf numFmtId="0" fontId="11" fillId="0" borderId="0"/>
    <xf numFmtId="0" fontId="11" fillId="0" borderId="0"/>
    <xf numFmtId="0" fontId="57" fillId="0" borderId="0"/>
    <xf numFmtId="0" fontId="119" fillId="0" borderId="0"/>
    <xf numFmtId="0" fontId="119" fillId="0" borderId="0"/>
    <xf numFmtId="0" fontId="57" fillId="0" borderId="0"/>
    <xf numFmtId="0" fontId="119" fillId="0" borderId="0"/>
    <xf numFmtId="0" fontId="119" fillId="0" borderId="0"/>
    <xf numFmtId="0" fontId="57" fillId="0" borderId="0"/>
    <xf numFmtId="0" fontId="1" fillId="0" borderId="0"/>
    <xf numFmtId="0" fontId="1" fillId="0" borderId="0"/>
    <xf numFmtId="0" fontId="1" fillId="0" borderId="0"/>
    <xf numFmtId="0" fontId="57" fillId="0" borderId="0"/>
    <xf numFmtId="0" fontId="119" fillId="0" borderId="0"/>
    <xf numFmtId="0" fontId="119" fillId="0" borderId="0"/>
    <xf numFmtId="0" fontId="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19" fillId="0" borderId="0"/>
    <xf numFmtId="0" fontId="119" fillId="0" borderId="0"/>
    <xf numFmtId="0" fontId="1" fillId="0" borderId="0"/>
    <xf numFmtId="0" fontId="1" fillId="0" borderId="0"/>
    <xf numFmtId="0" fontId="119" fillId="0" borderId="0"/>
    <xf numFmtId="0" fontId="119" fillId="0" borderId="0"/>
    <xf numFmtId="0" fontId="119" fillId="0" borderId="0"/>
    <xf numFmtId="0" fontId="119"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64" fillId="0" borderId="0"/>
    <xf numFmtId="0" fontId="1" fillId="0" borderId="0"/>
    <xf numFmtId="0" fontId="57" fillId="0" borderId="0"/>
    <xf numFmtId="0" fontId="57" fillId="0" borderId="0"/>
    <xf numFmtId="0" fontId="57" fillId="0" borderId="0"/>
    <xf numFmtId="0" fontId="57" fillId="0" borderId="0"/>
    <xf numFmtId="0" fontId="23" fillId="0" borderId="0"/>
    <xf numFmtId="0" fontId="23" fillId="0" borderId="0"/>
    <xf numFmtId="0" fontId="23" fillId="0" borderId="0"/>
    <xf numFmtId="0" fontId="23" fillId="0" borderId="0"/>
    <xf numFmtId="0" fontId="23" fillId="0" borderId="0"/>
    <xf numFmtId="0" fontId="1" fillId="0" borderId="0"/>
    <xf numFmtId="0" fontId="80" fillId="0" borderId="0"/>
    <xf numFmtId="0" fontId="80" fillId="0" borderId="0"/>
    <xf numFmtId="0" fontId="80" fillId="0" borderId="0"/>
    <xf numFmtId="0" fontId="80"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3" fillId="0" borderId="0"/>
    <xf numFmtId="0" fontId="1" fillId="0" borderId="0"/>
    <xf numFmtId="0" fontId="120" fillId="0" borderId="0"/>
    <xf numFmtId="0" fontId="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8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vertical="top"/>
    </xf>
    <xf numFmtId="0" fontId="31" fillId="0" borderId="22" applyFill="0" applyAlignment="0" applyProtection="0"/>
    <xf numFmtId="177" fontId="8" fillId="0" borderId="0"/>
    <xf numFmtId="40" fontId="8" fillId="0" borderId="0"/>
    <xf numFmtId="178" fontId="8" fillId="0" borderId="0"/>
    <xf numFmtId="0" fontId="121" fillId="0" borderId="0"/>
    <xf numFmtId="0" fontId="11" fillId="37" borderId="44" applyNumberFormat="0" applyFont="0" applyAlignment="0" applyProtection="0"/>
    <xf numFmtId="0" fontId="25" fillId="37" borderId="44" applyNumberFormat="0" applyFont="0" applyAlignment="0" applyProtection="0"/>
    <xf numFmtId="0" fontId="25" fillId="37" borderId="44" applyNumberFormat="0" applyFont="0" applyAlignment="0" applyProtection="0"/>
    <xf numFmtId="0" fontId="26" fillId="37" borderId="44" applyNumberFormat="0" applyFont="0" applyAlignment="0" applyProtection="0"/>
    <xf numFmtId="43" fontId="105" fillId="0" borderId="0"/>
    <xf numFmtId="43" fontId="21" fillId="0" borderId="0" applyFont="0" applyFill="0" applyBorder="0" applyAlignment="0" applyProtection="0"/>
    <xf numFmtId="41" fontId="21" fillId="0" borderId="0" applyFont="0" applyFill="0" applyBorder="0" applyAlignment="0" applyProtection="0"/>
    <xf numFmtId="0" fontId="122" fillId="0" borderId="0">
      <alignment horizontal="left"/>
    </xf>
    <xf numFmtId="0" fontId="123" fillId="28" borderId="45" applyNumberFormat="0" applyAlignment="0" applyProtection="0"/>
    <xf numFmtId="0" fontId="124" fillId="28" borderId="45" applyNumberFormat="0" applyAlignment="0" applyProtection="0"/>
    <xf numFmtId="0" fontId="124" fillId="28" borderId="45" applyNumberFormat="0" applyAlignment="0" applyProtection="0"/>
    <xf numFmtId="0" fontId="125" fillId="28" borderId="45" applyNumberFormat="0" applyAlignment="0" applyProtection="0"/>
    <xf numFmtId="40" fontId="126" fillId="38" borderId="0">
      <alignment horizontal="right"/>
    </xf>
    <xf numFmtId="0" fontId="127" fillId="38" borderId="0">
      <alignment horizontal="center" vertical="center"/>
    </xf>
    <xf numFmtId="0" fontId="128" fillId="38" borderId="0">
      <alignment horizontal="right"/>
    </xf>
    <xf numFmtId="0" fontId="129" fillId="38" borderId="20"/>
    <xf numFmtId="0" fontId="127" fillId="38" borderId="0" applyBorder="0">
      <alignment horizontal="centerContinuous"/>
    </xf>
    <xf numFmtId="0" fontId="129" fillId="0" borderId="0" applyBorder="0">
      <alignment horizontal="centerContinuous"/>
    </xf>
    <xf numFmtId="0" fontId="130" fillId="38" borderId="0" applyBorder="0">
      <alignment horizontal="centerContinuous"/>
    </xf>
    <xf numFmtId="0" fontId="131" fillId="0" borderId="0" applyBorder="0">
      <alignment horizontal="centerContinuous"/>
    </xf>
    <xf numFmtId="1" fontId="132" fillId="0" borderId="0" applyProtection="0">
      <alignment horizontal="right" vertical="center"/>
    </xf>
    <xf numFmtId="0" fontId="133" fillId="0" borderId="46" applyNumberFormat="0" applyAlignment="0" applyProtection="0"/>
    <xf numFmtId="0" fontId="21" fillId="35" borderId="0" applyNumberFormat="0" applyFont="0" applyBorder="0" applyAlignment="0" applyProtection="0"/>
    <xf numFmtId="0" fontId="8" fillId="27" borderId="47" applyNumberFormat="0" applyFont="0" applyBorder="0" applyAlignment="0" applyProtection="0">
      <alignment horizontal="center"/>
    </xf>
    <xf numFmtId="0" fontId="8" fillId="25" borderId="47" applyNumberFormat="0" applyFont="0" applyBorder="0" applyAlignment="0" applyProtection="0">
      <alignment horizontal="center"/>
    </xf>
    <xf numFmtId="0" fontId="21" fillId="0" borderId="48" applyNumberFormat="0" applyAlignment="0" applyProtection="0"/>
    <xf numFmtId="0" fontId="21" fillId="0" borderId="49" applyNumberFormat="0" applyAlignment="0" applyProtection="0"/>
    <xf numFmtId="0" fontId="133" fillId="0" borderId="50" applyNumberFormat="0" applyAlignment="0" applyProtection="0"/>
    <xf numFmtId="14" fontId="19" fillId="0" borderId="0">
      <alignment horizontal="center" wrapText="1"/>
      <protection locked="0"/>
    </xf>
    <xf numFmtId="0" fontId="70" fillId="0" borderId="0"/>
    <xf numFmtId="278" fontId="49" fillId="0" borderId="0" applyFont="0" applyFill="0" applyBorder="0" applyAlignment="0" applyProtection="0"/>
    <xf numFmtId="279" fontId="59" fillId="0" borderId="0" applyFont="0" applyFill="0" applyBorder="0" applyAlignment="0" applyProtection="0"/>
    <xf numFmtId="280" fontId="61" fillId="0" borderId="0" applyFont="0" applyFill="0" applyBorder="0" applyAlignment="0" applyProtection="0"/>
    <xf numFmtId="281" fontId="11" fillId="0" borderId="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23" fillId="0" borderId="0" applyFont="0">
      <alignment horizontal="right"/>
    </xf>
    <xf numFmtId="282" fontId="11" fillId="0" borderId="0"/>
    <xf numFmtId="283" fontId="11" fillId="0" borderId="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284" fontId="61" fillId="0" borderId="0" applyFont="0" applyFill="0" applyBorder="0" applyAlignment="0" applyProtection="0"/>
    <xf numFmtId="285" fontId="59" fillId="0" borderId="0" applyFont="0" applyFill="0" applyBorder="0" applyAlignment="0" applyProtection="0"/>
    <xf numFmtId="286" fontId="61" fillId="0" borderId="0" applyFont="0" applyFill="0" applyBorder="0" applyAlignment="0" applyProtection="0"/>
    <xf numFmtId="287" fontId="59" fillId="0" borderId="0" applyFont="0" applyFill="0" applyBorder="0" applyAlignment="0" applyProtection="0"/>
    <xf numFmtId="288" fontId="61" fillId="0" borderId="0" applyFont="0" applyFill="0" applyBorder="0" applyAlignment="0" applyProtection="0"/>
    <xf numFmtId="289" fontId="59"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6"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290" fontId="11" fillId="0" borderId="0" applyFont="0" applyFill="0" applyBorder="0" applyProtection="0">
      <alignment horizontal="right"/>
    </xf>
    <xf numFmtId="291" fontId="11" fillId="0" borderId="0"/>
    <xf numFmtId="182" fontId="55" fillId="0" borderId="0" applyFont="0" applyFill="0" applyBorder="0" applyAlignment="0" applyProtection="0"/>
    <xf numFmtId="10" fontId="55" fillId="0" borderId="0" applyFont="0" applyFill="0" applyBorder="0" applyAlignment="0" applyProtection="0"/>
    <xf numFmtId="8" fontId="134" fillId="0" borderId="51">
      <alignment horizontal="right"/>
    </xf>
    <xf numFmtId="0" fontId="23" fillId="0" borderId="0" applyNumberFormat="0" applyFont="0" applyFill="0" applyBorder="0" applyAlignment="0" applyProtection="0">
      <alignment horizontal="left"/>
    </xf>
    <xf numFmtId="15" fontId="23" fillId="0" borderId="0" applyFont="0" applyFill="0" applyBorder="0" applyAlignment="0" applyProtection="0"/>
    <xf numFmtId="4" fontId="23" fillId="0" borderId="0" applyFont="0" applyFill="0" applyBorder="0" applyAlignment="0" applyProtection="0"/>
    <xf numFmtId="0" fontId="135" fillId="0" borderId="52">
      <alignment horizontal="center"/>
    </xf>
    <xf numFmtId="3" fontId="23" fillId="0" borderId="0" applyFont="0" applyFill="0" applyBorder="0" applyAlignment="0" applyProtection="0"/>
    <xf numFmtId="0" fontId="23" fillId="39" borderId="0" applyNumberFormat="0" applyFont="0" applyBorder="0" applyAlignment="0" applyProtection="0"/>
    <xf numFmtId="292" fontId="57" fillId="28" borderId="0">
      <alignment horizontal="right"/>
    </xf>
    <xf numFmtId="293" fontId="11" fillId="0" borderId="0" applyFont="0" applyFill="0" applyBorder="0" applyProtection="0">
      <alignment horizontal="right"/>
    </xf>
    <xf numFmtId="294" fontId="11" fillId="0" borderId="0" applyFont="0" applyFill="0" applyBorder="0" applyProtection="0">
      <alignment horizontal="right"/>
    </xf>
    <xf numFmtId="165" fontId="57" fillId="0" borderId="0" applyFont="0" applyFill="0" applyBorder="0" applyAlignment="0" applyProtection="0"/>
    <xf numFmtId="0" fontId="136" fillId="40" borderId="0" applyNumberFormat="0" applyFont="0" applyBorder="0" applyAlignment="0">
      <alignment horizontal="center"/>
    </xf>
    <xf numFmtId="14" fontId="137" fillId="0" borderId="0" applyNumberFormat="0" applyFill="0" applyBorder="0" applyAlignment="0" applyProtection="0">
      <alignment horizontal="left"/>
    </xf>
    <xf numFmtId="0" fontId="138" fillId="0" borderId="53">
      <alignment vertical="center"/>
    </xf>
    <xf numFmtId="0" fontId="87" fillId="0" borderId="0" applyFill="0" applyBorder="0" applyProtection="0">
      <alignment horizontal="left"/>
    </xf>
    <xf numFmtId="0" fontId="11" fillId="0" borderId="10">
      <protection locked="0"/>
    </xf>
    <xf numFmtId="0" fontId="23" fillId="41" borderId="54"/>
    <xf numFmtId="0" fontId="136" fillId="1" borderId="36" applyNumberFormat="0" applyFont="0" applyAlignment="0">
      <alignment horizontal="center"/>
    </xf>
    <xf numFmtId="1" fontId="11" fillId="0" borderId="0" applyNumberFormat="0" applyFill="0" applyBorder="0" applyAlignment="0" applyProtection="0">
      <alignment horizontal="center"/>
    </xf>
    <xf numFmtId="1" fontId="139" fillId="0" borderId="0" applyNumberFormat="0" applyFill="0" applyBorder="0" applyAlignment="0" applyProtection="0">
      <alignment horizontal="center"/>
    </xf>
    <xf numFmtId="0" fontId="140" fillId="0" borderId="0" applyNumberFormat="0" applyFill="0" applyBorder="0" applyAlignment="0">
      <alignment horizontal="center"/>
    </xf>
    <xf numFmtId="182" fontId="57" fillId="0" borderId="31" applyFont="0" applyFill="0" applyAlignment="0" applyProtection="0"/>
    <xf numFmtId="38" fontId="11" fillId="0" borderId="0"/>
    <xf numFmtId="295" fontId="57" fillId="0" borderId="31"/>
    <xf numFmtId="295" fontId="57" fillId="0" borderId="36" applyFill="0" applyProtection="0"/>
    <xf numFmtId="182" fontId="57" fillId="0" borderId="36" applyFont="0" applyFill="0" applyAlignment="0" applyProtection="0"/>
    <xf numFmtId="295" fontId="57" fillId="0" borderId="36" applyFill="0" applyProtection="0"/>
    <xf numFmtId="38" fontId="11" fillId="0" borderId="0"/>
    <xf numFmtId="0" fontId="11" fillId="42" borderId="0"/>
    <xf numFmtId="292" fontId="57" fillId="0" borderId="36" applyFont="0" applyFill="0" applyAlignment="0" applyProtection="0"/>
    <xf numFmtId="182" fontId="57" fillId="0" borderId="36" applyFont="0" applyFill="0" applyAlignment="0" applyProtection="0"/>
    <xf numFmtId="292" fontId="57" fillId="0" borderId="36" applyFont="0" applyFill="0" applyAlignment="0" applyProtection="0"/>
    <xf numFmtId="12" fontId="11" fillId="0" borderId="0" applyFont="0" applyFill="0" applyBorder="0" applyProtection="0">
      <alignment horizontal="right"/>
    </xf>
    <xf numFmtId="238" fontId="11" fillId="43" borderId="0" applyFont="0" applyFill="0" applyBorder="0" applyProtection="0">
      <alignment horizontal="right"/>
    </xf>
    <xf numFmtId="0" fontId="141" fillId="0" borderId="0"/>
    <xf numFmtId="0" fontId="142" fillId="44" borderId="0"/>
    <xf numFmtId="0" fontId="142" fillId="0" borderId="0"/>
    <xf numFmtId="0" fontId="142" fillId="0" borderId="0"/>
    <xf numFmtId="0" fontId="142" fillId="45" borderId="0"/>
    <xf numFmtId="0" fontId="142" fillId="45" borderId="0"/>
    <xf numFmtId="38" fontId="23" fillId="0" borderId="0" applyFont="0" applyFill="0" applyBorder="0" applyAlignment="0" applyProtection="0"/>
    <xf numFmtId="0" fontId="11" fillId="0" borderId="0" applyNumberFormat="0" applyFill="0" applyBorder="0" applyAlignment="0" applyProtection="0"/>
    <xf numFmtId="0" fontId="143" fillId="0" borderId="0" applyNumberFormat="0" applyFill="0" applyBorder="0" applyProtection="0"/>
    <xf numFmtId="0" fontId="144" fillId="46" borderId="0" applyNumberFormat="0" applyBorder="0" applyProtection="0"/>
    <xf numFmtId="0" fontId="145" fillId="0" borderId="0" applyNumberFormat="0" applyFill="0" applyBorder="0" applyAlignment="0" applyProtection="0"/>
    <xf numFmtId="0" fontId="144" fillId="46" borderId="0" applyNumberFormat="0" applyBorder="0" applyProtection="0"/>
    <xf numFmtId="0" fontId="146" fillId="47" borderId="0" applyNumberFormat="0" applyBorder="0" applyProtection="0"/>
    <xf numFmtId="0" fontId="147" fillId="0" borderId="0" applyNumberFormat="0" applyFill="0" applyBorder="0" applyProtection="0"/>
    <xf numFmtId="0" fontId="146" fillId="0" borderId="0" applyNumberFormat="0" applyFill="0" applyBorder="0" applyProtection="0"/>
    <xf numFmtId="0" fontId="4" fillId="0" borderId="0" applyNumberFormat="0" applyFill="0" applyBorder="0" applyAlignment="0" applyProtection="0"/>
    <xf numFmtId="0" fontId="146" fillId="0" borderId="0" applyNumberFormat="0" applyFill="0" applyBorder="0" applyProtection="0"/>
    <xf numFmtId="0" fontId="148" fillId="0" borderId="0" applyNumberFormat="0" applyFill="0" applyBorder="0" applyProtection="0"/>
    <xf numFmtId="0" fontId="146" fillId="0" borderId="0" applyNumberFormat="0" applyFill="0" applyBorder="0" applyProtection="0">
      <alignment wrapText="1"/>
    </xf>
    <xf numFmtId="0" fontId="149" fillId="0" borderId="0" applyNumberFormat="0" applyFill="0" applyBorder="0" applyProtection="0"/>
    <xf numFmtId="0" fontId="11" fillId="0" borderId="0" applyNumberFormat="0" applyFont="0" applyFill="0" applyBorder="0" applyProtection="0">
      <alignment horizontal="right"/>
    </xf>
    <xf numFmtId="0" fontId="11" fillId="0" borderId="0" applyNumberFormat="0" applyFill="0" applyBorder="0" applyAlignment="0" applyProtection="0"/>
    <xf numFmtId="0" fontId="11" fillId="0" borderId="0" applyNumberFormat="0" applyFont="0" applyFill="0" applyBorder="0" applyProtection="0">
      <alignment horizontal="left"/>
    </xf>
    <xf numFmtId="0" fontId="8" fillId="0" borderId="0" applyNumberFormat="0" applyFill="0" applyBorder="0" applyAlignment="0" applyProtection="0"/>
    <xf numFmtId="0" fontId="56" fillId="0" borderId="0" applyNumberFormat="0" applyFill="0" applyBorder="0" applyAlignment="0" applyProtection="0"/>
    <xf numFmtId="0" fontId="11" fillId="48" borderId="0" applyNumberFormat="0" applyFont="0" applyBorder="0" applyAlignment="0" applyProtection="0"/>
    <xf numFmtId="296" fontId="11" fillId="0" borderId="0" applyFont="0" applyFill="0" applyBorder="0" applyAlignment="0" applyProtection="0"/>
    <xf numFmtId="2" fontId="11" fillId="0" borderId="0" applyFont="0" applyFill="0" applyBorder="0" applyAlignment="0" applyProtection="0"/>
    <xf numFmtId="165" fontId="11" fillId="0" borderId="0" applyFont="0" applyFill="0" applyBorder="0" applyAlignment="0" applyProtection="0"/>
    <xf numFmtId="0" fontId="11" fillId="0" borderId="52" applyNumberFormat="0" applyFont="0" applyFill="0" applyAlignment="0" applyProtection="0"/>
    <xf numFmtId="0" fontId="57" fillId="0" borderId="0" applyNumberFormat="0" applyFont="0" applyFill="0" applyBorder="0" applyAlignment="0" applyProtection="0">
      <alignment horizontal="left"/>
    </xf>
    <xf numFmtId="4" fontId="57" fillId="0" borderId="0" applyFont="0" applyFill="0" applyBorder="0" applyAlignment="0" applyProtection="0"/>
    <xf numFmtId="15" fontId="57" fillId="0" borderId="0" applyFont="0" applyFill="0" applyBorder="0" applyAlignment="0" applyProtection="0"/>
    <xf numFmtId="0" fontId="80" fillId="0" borderId="0"/>
    <xf numFmtId="0" fontId="81" fillId="0" borderId="0"/>
    <xf numFmtId="0" fontId="81" fillId="0" borderId="0"/>
    <xf numFmtId="0" fontId="81" fillId="0" borderId="0"/>
    <xf numFmtId="0" fontId="80" fillId="0" borderId="0"/>
    <xf numFmtId="0" fontId="80" fillId="0" borderId="0"/>
    <xf numFmtId="0" fontId="81" fillId="0" borderId="0"/>
    <xf numFmtId="0" fontId="8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150" fillId="0" borderId="0" applyNumberFormat="0" applyBorder="0" applyAlignment="0"/>
    <xf numFmtId="0" fontId="151" fillId="0" borderId="0" applyNumberFormat="0" applyBorder="0" applyAlignment="0"/>
    <xf numFmtId="0" fontId="150" fillId="0" borderId="0" applyNumberFormat="0" applyBorder="0" applyAlignment="0"/>
    <xf numFmtId="0" fontId="150" fillId="0" borderId="0" applyNumberFormat="0" applyBorder="0" applyAlignment="0"/>
    <xf numFmtId="0" fontId="15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64" fillId="0" borderId="0"/>
    <xf numFmtId="0" fontId="64" fillId="0" borderId="0"/>
    <xf numFmtId="0" fontId="64" fillId="0" borderId="0"/>
    <xf numFmtId="0" fontId="80" fillId="0" borderId="0"/>
    <xf numFmtId="0" fontId="80" fillId="0" borderId="0"/>
    <xf numFmtId="0" fontId="80" fillId="0" borderId="0"/>
    <xf numFmtId="0" fontId="80" fillId="0" borderId="0"/>
    <xf numFmtId="0" fontId="151" fillId="0" borderId="0" applyNumberFormat="0" applyBorder="0" applyAlignment="0"/>
    <xf numFmtId="0" fontId="151" fillId="0" borderId="0" applyNumberFormat="0" applyBorder="0" applyAlignment="0"/>
    <xf numFmtId="0" fontId="151" fillId="0" borderId="0" applyNumberFormat="0" applyBorder="0" applyAlignment="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4" fillId="0" borderId="0"/>
    <xf numFmtId="0" fontId="64" fillId="0" borderId="0"/>
    <xf numFmtId="0" fontId="81" fillId="0" borderId="0"/>
    <xf numFmtId="0" fontId="81" fillId="0" borderId="0"/>
    <xf numFmtId="0" fontId="152" fillId="0" borderId="0"/>
    <xf numFmtId="0" fontId="152" fillId="0" borderId="0"/>
    <xf numFmtId="0" fontId="153" fillId="0" borderId="0"/>
    <xf numFmtId="0" fontId="153" fillId="0" borderId="0"/>
    <xf numFmtId="0" fontId="153" fillId="0" borderId="0"/>
    <xf numFmtId="0" fontId="153" fillId="0" borderId="0"/>
    <xf numFmtId="0" fontId="64" fillId="0" borderId="0"/>
    <xf numFmtId="0" fontId="64" fillId="0" borderId="0"/>
    <xf numFmtId="0" fontId="64" fillId="0" borderId="0"/>
    <xf numFmtId="0" fontId="64" fillId="0" borderId="0"/>
    <xf numFmtId="0" fontId="150" fillId="0" borderId="0" applyNumberFormat="0" applyBorder="0" applyAlignment="0"/>
    <xf numFmtId="0" fontId="150" fillId="0" borderId="0" applyNumberFormat="0" applyBorder="0" applyAlignment="0"/>
    <xf numFmtId="0" fontId="150" fillId="0" borderId="0" applyNumberFormat="0" applyBorder="0" applyAlignment="0"/>
    <xf numFmtId="0" fontId="150" fillId="0" borderId="0" applyNumberFormat="0" applyBorder="0" applyAlignment="0"/>
    <xf numFmtId="0" fontId="154" fillId="0" borderId="0" applyNumberFormat="0" applyBorder="0" applyAlignment="0"/>
    <xf numFmtId="0" fontId="155" fillId="0" borderId="0"/>
    <xf numFmtId="0" fontId="155" fillId="0" borderId="0"/>
    <xf numFmtId="0" fontId="15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50" fillId="0" borderId="0" applyNumberFormat="0" applyBorder="0" applyAlignment="0"/>
    <xf numFmtId="0" fontId="150" fillId="0" borderId="0" applyNumberFormat="0" applyBorder="0" applyAlignment="0"/>
    <xf numFmtId="0" fontId="64" fillId="0" borderId="0"/>
    <xf numFmtId="0" fontId="81" fillId="0" borderId="0"/>
    <xf numFmtId="0" fontId="81" fillId="0" borderId="0"/>
    <xf numFmtId="0" fontId="81" fillId="0" borderId="0"/>
    <xf numFmtId="0" fontId="81" fillId="0" borderId="0"/>
    <xf numFmtId="0" fontId="81" fillId="0" borderId="0"/>
    <xf numFmtId="0" fontId="64" fillId="0" borderId="0"/>
    <xf numFmtId="0" fontId="64" fillId="0" borderId="0"/>
    <xf numFmtId="0" fontId="64" fillId="0" borderId="0"/>
    <xf numFmtId="0" fontId="81" fillId="0" borderId="0"/>
    <xf numFmtId="0" fontId="81" fillId="0" borderId="0"/>
    <xf numFmtId="0" fontId="155" fillId="0" borderId="0"/>
    <xf numFmtId="0" fontId="156" fillId="0" borderId="0" applyNumberFormat="0" applyBorder="0" applyAlignment="0"/>
    <xf numFmtId="0" fontId="64" fillId="0" borderId="0"/>
    <xf numFmtId="0" fontId="152" fillId="0" borderId="0"/>
    <xf numFmtId="0" fontId="152" fillId="0" borderId="0"/>
    <xf numFmtId="0" fontId="152" fillId="0" borderId="0"/>
    <xf numFmtId="0" fontId="64" fillId="0" borderId="0"/>
    <xf numFmtId="0" fontId="64" fillId="0" borderId="0"/>
    <xf numFmtId="0" fontId="64" fillId="0" borderId="0"/>
    <xf numFmtId="0" fontId="64" fillId="0" borderId="0"/>
    <xf numFmtId="0" fontId="152" fillId="0" borderId="0"/>
    <xf numFmtId="0" fontId="152" fillId="0" borderId="0"/>
    <xf numFmtId="0" fontId="152" fillId="0" borderId="0"/>
    <xf numFmtId="0" fontId="64" fillId="0" borderId="0"/>
    <xf numFmtId="0" fontId="64" fillId="0" borderId="0"/>
    <xf numFmtId="0" fontId="64" fillId="0" borderId="0"/>
    <xf numFmtId="0" fontId="64" fillId="0" borderId="0"/>
    <xf numFmtId="0" fontId="64" fillId="0" borderId="0"/>
    <xf numFmtId="0" fontId="152" fillId="0" borderId="0"/>
    <xf numFmtId="0" fontId="152" fillId="0" borderId="0"/>
    <xf numFmtId="0" fontId="152" fillId="0" borderId="0"/>
    <xf numFmtId="0" fontId="81" fillId="0" borderId="0"/>
    <xf numFmtId="0" fontId="15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52" fillId="0" borderId="0"/>
    <xf numFmtId="0" fontId="64" fillId="0" borderId="0"/>
    <xf numFmtId="0" fontId="64" fillId="0" borderId="0"/>
    <xf numFmtId="0" fontId="64" fillId="0" borderId="0"/>
    <xf numFmtId="0" fontId="64" fillId="0" borderId="0"/>
    <xf numFmtId="0" fontId="64" fillId="0" borderId="0"/>
    <xf numFmtId="0" fontId="151" fillId="0" borderId="0" applyNumberFormat="0" applyBorder="0" applyAlignment="0"/>
    <xf numFmtId="0" fontId="155"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81" fillId="0" borderId="0"/>
    <xf numFmtId="0" fontId="81" fillId="0" borderId="0"/>
    <xf numFmtId="0" fontId="80" fillId="0" borderId="0"/>
    <xf numFmtId="0" fontId="153" fillId="0" borderId="0"/>
    <xf numFmtId="40" fontId="157" fillId="0" borderId="0" applyBorder="0">
      <alignment horizontal="right"/>
    </xf>
    <xf numFmtId="39" fontId="158" fillId="49" borderId="0">
      <alignment horizontal="center"/>
    </xf>
    <xf numFmtId="0" fontId="159" fillId="0" borderId="0" applyBorder="0" applyProtection="0">
      <alignment vertical="center"/>
    </xf>
    <xf numFmtId="248" fontId="159" fillId="0" borderId="22" applyBorder="0" applyProtection="0">
      <alignment horizontal="right" vertical="center"/>
    </xf>
    <xf numFmtId="0" fontId="160" fillId="50" borderId="0" applyBorder="0" applyProtection="0">
      <alignment horizontal="centerContinuous" vertical="center"/>
    </xf>
    <xf numFmtId="0" fontId="160" fillId="51" borderId="22" applyBorder="0" applyProtection="0">
      <alignment horizontal="centerContinuous" vertical="center"/>
    </xf>
    <xf numFmtId="0" fontId="161" fillId="0" borderId="0"/>
    <xf numFmtId="0" fontId="121" fillId="0" borderId="0"/>
    <xf numFmtId="0" fontId="162" fillId="0" borderId="0" applyFill="0" applyBorder="0" applyProtection="0">
      <alignment horizontal="left"/>
    </xf>
    <xf numFmtId="0" fontId="78" fillId="0" borderId="19" applyFill="0" applyBorder="0" applyProtection="0">
      <alignment horizontal="left" vertical="top"/>
    </xf>
    <xf numFmtId="0" fontId="133" fillId="0" borderId="0">
      <alignment horizontal="centerContinuous"/>
    </xf>
    <xf numFmtId="0" fontId="163" fillId="0" borderId="0"/>
    <xf numFmtId="0" fontId="8" fillId="0" borderId="0"/>
    <xf numFmtId="0" fontId="164" fillId="0" borderId="0"/>
    <xf numFmtId="0" fontId="165" fillId="0" borderId="0"/>
    <xf numFmtId="297" fontId="8" fillId="0" borderId="0" applyFont="0" applyFill="0" applyBorder="0" applyAlignment="0" applyProtection="0">
      <alignment horizontal="center"/>
    </xf>
    <xf numFmtId="298" fontId="8" fillId="0" borderId="0" applyFont="0" applyFill="0" applyBorder="0" applyAlignment="0" applyProtection="0">
      <alignment horizontal="center"/>
    </xf>
    <xf numFmtId="299" fontId="8" fillId="0" borderId="0" applyFont="0" applyFill="0" applyBorder="0" applyAlignment="0" applyProtection="0">
      <alignment horizontal="center"/>
    </xf>
    <xf numFmtId="300" fontId="8" fillId="0" borderId="0" applyFont="0" applyFill="0" applyBorder="0" applyAlignment="0" applyProtection="0">
      <alignment horizontal="center"/>
    </xf>
    <xf numFmtId="0" fontId="166" fillId="0" borderId="0" applyFill="0" applyBorder="0" applyProtection="0">
      <alignment horizontal="left" vertical="top"/>
    </xf>
    <xf numFmtId="40" fontId="167" fillId="0" borderId="0"/>
    <xf numFmtId="0" fontId="21" fillId="0" borderId="0">
      <alignment horizontal="center"/>
    </xf>
    <xf numFmtId="0" fontId="168" fillId="0" borderId="0" applyNumberFormat="0" applyFill="0" applyBorder="0" applyAlignment="0" applyProtection="0"/>
    <xf numFmtId="0" fontId="168" fillId="0" borderId="0" applyNumberFormat="0" applyFill="0" applyBorder="0" applyAlignment="0" applyProtection="0"/>
    <xf numFmtId="0" fontId="54" fillId="52" borderId="0" applyBorder="0">
      <alignment wrapText="1"/>
    </xf>
    <xf numFmtId="177" fontId="134" fillId="0" borderId="0" applyNumberFormat="0" applyFill="0" applyBorder="0" applyAlignment="0" applyProtection="0"/>
    <xf numFmtId="301" fontId="4" fillId="0" borderId="0">
      <alignment horizontal="right"/>
      <protection locked="0"/>
    </xf>
    <xf numFmtId="0" fontId="169" fillId="0" borderId="0" applyFill="0" applyBorder="0" applyAlignment="0" applyProtection="0"/>
    <xf numFmtId="263" fontId="71" fillId="0" borderId="31">
      <protection locked="0"/>
    </xf>
    <xf numFmtId="0" fontId="170" fillId="0" borderId="55" applyNumberFormat="0" applyFill="0" applyAlignment="0" applyProtection="0"/>
    <xf numFmtId="0" fontId="170" fillId="0" borderId="55" applyNumberFormat="0" applyFill="0" applyAlignment="0" applyProtection="0"/>
    <xf numFmtId="0" fontId="65" fillId="0" borderId="56" applyNumberFormat="0" applyFont="0" applyFill="0" applyAlignment="0" applyProtection="0"/>
    <xf numFmtId="302" fontId="11" fillId="0" borderId="0">
      <alignment horizontal="left"/>
      <protection locked="0"/>
    </xf>
    <xf numFmtId="303" fontId="23" fillId="0" borderId="0"/>
    <xf numFmtId="38" fontId="8" fillId="26" borderId="0" applyNumberFormat="0" applyBorder="0" applyAlignment="0" applyProtection="0"/>
    <xf numFmtId="38" fontId="8" fillId="26" borderId="0" applyNumberFormat="0" applyBorder="0" applyAlignment="0" applyProtection="0"/>
    <xf numFmtId="0" fontId="171" fillId="0" borderId="0">
      <alignment horizontal="fill"/>
    </xf>
    <xf numFmtId="37" fontId="8" fillId="26" borderId="0" applyNumberFormat="0" applyBorder="0" applyAlignment="0" applyProtection="0"/>
    <xf numFmtId="37" fontId="8" fillId="26" borderId="0" applyNumberFormat="0" applyBorder="0" applyAlignment="0" applyProtection="0"/>
    <xf numFmtId="37" fontId="8" fillId="0" borderId="0"/>
    <xf numFmtId="37" fontId="8" fillId="26" borderId="0" applyNumberFormat="0" applyBorder="0" applyAlignment="0" applyProtection="0"/>
    <xf numFmtId="3" fontId="40" fillId="0" borderId="41" applyProtection="0"/>
    <xf numFmtId="304" fontId="11" fillId="0" borderId="0" applyNumberFormat="0"/>
    <xf numFmtId="0" fontId="11" fillId="0" borderId="0" applyFont="0" applyFill="0" applyBorder="0" applyAlignment="0" applyProtection="0"/>
    <xf numFmtId="0" fontId="11" fillId="0" borderId="0" applyFont="0" applyFill="0" applyBorder="0" applyAlignment="0" applyProtection="0"/>
    <xf numFmtId="0" fontId="79"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38" fontId="60" fillId="0" borderId="0" applyNumberFormat="0" applyFont="0" applyFill="0" applyBorder="0" applyProtection="0">
      <alignment horizontal="center" vertical="center" wrapText="1"/>
    </xf>
    <xf numFmtId="1" fontId="8" fillId="0" borderId="0" applyFont="0" applyFill="0" applyBorder="0" applyProtection="0">
      <alignment horizontal="center"/>
    </xf>
    <xf numFmtId="305" fontId="174" fillId="0" borderId="22" applyBorder="0" applyProtection="0">
      <alignment horizontal="right"/>
    </xf>
    <xf numFmtId="44" fontId="1" fillId="0" borderId="0" applyFont="0" applyFill="0" applyBorder="0" applyAlignment="0" applyProtection="0"/>
    <xf numFmtId="0" fontId="11" fillId="0" borderId="0"/>
  </cellStyleXfs>
  <cellXfs count="490">
    <xf numFmtId="0" fontId="0" fillId="0" borderId="0" xfId="0"/>
    <xf numFmtId="0" fontId="4" fillId="0" borderId="0" xfId="2" applyFont="1" applyFill="1"/>
    <xf numFmtId="0" fontId="1" fillId="0" borderId="0" xfId="2" applyFill="1" applyAlignment="1">
      <alignment horizontal="center"/>
    </xf>
    <xf numFmtId="0" fontId="1" fillId="0" borderId="0" xfId="2" applyFill="1"/>
    <xf numFmtId="43" fontId="0" fillId="0" borderId="0" xfId="3" applyFont="1" applyFill="1"/>
    <xf numFmtId="164" fontId="5" fillId="3" borderId="2" xfId="2" applyNumberFormat="1" applyFont="1" applyFill="1" applyBorder="1" applyAlignment="1">
      <alignment horizontal="center"/>
    </xf>
    <xf numFmtId="0" fontId="7" fillId="0" borderId="10" xfId="2" applyFont="1" applyFill="1" applyBorder="1" applyAlignment="1">
      <alignment vertical="center" wrapText="1"/>
    </xf>
    <xf numFmtId="0" fontId="7" fillId="0" borderId="10" xfId="2" applyFont="1" applyFill="1" applyBorder="1" applyAlignment="1">
      <alignment horizontal="center" vertical="center" wrapText="1"/>
    </xf>
    <xf numFmtId="0" fontId="4" fillId="0" borderId="10" xfId="2" applyFont="1" applyBorder="1" applyAlignment="1">
      <alignment horizontal="center" vertical="center"/>
    </xf>
    <xf numFmtId="43" fontId="7" fillId="0" borderId="10" xfId="3" applyFont="1" applyFill="1" applyBorder="1" applyAlignment="1">
      <alignment horizontal="center" vertical="center" wrapText="1"/>
    </xf>
    <xf numFmtId="38" fontId="8" fillId="4" borderId="11" xfId="2" applyNumberFormat="1" applyFont="1" applyFill="1" applyBorder="1" applyAlignment="1">
      <alignment horizontal="center"/>
    </xf>
    <xf numFmtId="10" fontId="5" fillId="5" borderId="12" xfId="2" applyNumberFormat="1" applyFont="1" applyFill="1" applyBorder="1" applyAlignment="1">
      <alignment horizontal="center"/>
    </xf>
    <xf numFmtId="0" fontId="7" fillId="0" borderId="0" xfId="2" applyFont="1" applyFill="1" applyAlignment="1">
      <alignment wrapText="1"/>
    </xf>
    <xf numFmtId="0" fontId="1" fillId="0" borderId="10" xfId="2" applyFill="1" applyBorder="1"/>
    <xf numFmtId="0" fontId="1" fillId="0" borderId="10" xfId="2" applyFill="1" applyBorder="1" applyAlignment="1">
      <alignment horizontal="center"/>
    </xf>
    <xf numFmtId="43" fontId="0" fillId="0" borderId="10" xfId="3" applyFont="1" applyFill="1" applyBorder="1"/>
    <xf numFmtId="165" fontId="8" fillId="3" borderId="13" xfId="2" applyNumberFormat="1" applyFont="1" applyFill="1" applyBorder="1" applyAlignment="1">
      <alignment horizontal="center"/>
    </xf>
    <xf numFmtId="166" fontId="1" fillId="0" borderId="10" xfId="2" applyNumberFormat="1" applyFill="1" applyBorder="1"/>
    <xf numFmtId="40" fontId="8" fillId="3" borderId="13" xfId="2" applyNumberFormat="1" applyFont="1" applyFill="1" applyBorder="1" applyAlignment="1">
      <alignment horizontal="right"/>
    </xf>
    <xf numFmtId="40" fontId="9" fillId="0" borderId="0" xfId="2" applyNumberFormat="1" applyFont="1"/>
    <xf numFmtId="40" fontId="8" fillId="4" borderId="14" xfId="2" applyNumberFormat="1" applyFont="1" applyFill="1" applyBorder="1" applyAlignment="1">
      <alignment horizontal="right"/>
    </xf>
    <xf numFmtId="164" fontId="8" fillId="3" borderId="15" xfId="2" applyNumberFormat="1" applyFont="1" applyFill="1" applyBorder="1" applyAlignment="1">
      <alignment horizontal="center"/>
    </xf>
    <xf numFmtId="0" fontId="10" fillId="6" borderId="0" xfId="2" applyFont="1" applyFill="1"/>
    <xf numFmtId="0" fontId="11" fillId="0" borderId="10" xfId="2" applyFont="1" applyFill="1" applyBorder="1"/>
    <xf numFmtId="43" fontId="11" fillId="6" borderId="0" xfId="4" applyFont="1" applyFill="1"/>
    <xf numFmtId="0" fontId="7" fillId="6" borderId="19" xfId="2" applyFont="1" applyFill="1" applyBorder="1" applyAlignment="1">
      <alignment horizontal="center"/>
    </xf>
    <xf numFmtId="0" fontId="12" fillId="6" borderId="0" xfId="2" applyFont="1" applyFill="1" applyBorder="1" applyAlignment="1">
      <alignment horizontal="center"/>
    </xf>
    <xf numFmtId="0" fontId="12" fillId="6" borderId="20" xfId="2" applyFont="1" applyFill="1" applyBorder="1" applyAlignment="1">
      <alignment horizontal="center"/>
    </xf>
    <xf numFmtId="0" fontId="11" fillId="6" borderId="0" xfId="2" applyFont="1" applyFill="1"/>
    <xf numFmtId="43" fontId="11" fillId="6" borderId="19" xfId="4" applyFont="1" applyFill="1" applyBorder="1"/>
    <xf numFmtId="0" fontId="11" fillId="6" borderId="0" xfId="2" applyFont="1" applyFill="1" applyBorder="1"/>
    <xf numFmtId="0" fontId="11" fillId="6" borderId="20" xfId="2" applyFont="1" applyFill="1" applyBorder="1"/>
    <xf numFmtId="0" fontId="11" fillId="6" borderId="21" xfId="2" applyFont="1" applyFill="1" applyBorder="1"/>
    <xf numFmtId="0" fontId="11" fillId="6" borderId="22" xfId="2" applyFont="1" applyFill="1" applyBorder="1"/>
    <xf numFmtId="0" fontId="11" fillId="6" borderId="23" xfId="2" applyFont="1" applyFill="1" applyBorder="1"/>
    <xf numFmtId="43" fontId="11" fillId="0" borderId="10" xfId="3" applyFont="1" applyFill="1" applyBorder="1"/>
    <xf numFmtId="0" fontId="1" fillId="5" borderId="10" xfId="2" applyFill="1" applyBorder="1"/>
    <xf numFmtId="0" fontId="1" fillId="5" borderId="10" xfId="2" applyFill="1" applyBorder="1" applyAlignment="1">
      <alignment horizontal="center"/>
    </xf>
    <xf numFmtId="43" fontId="0" fillId="5" borderId="10" xfId="3" applyFont="1" applyFill="1" applyBorder="1"/>
    <xf numFmtId="166" fontId="1" fillId="5" borderId="10" xfId="2" applyNumberFormat="1" applyFill="1" applyBorder="1"/>
    <xf numFmtId="40" fontId="8" fillId="5" borderId="13" xfId="2" applyNumberFormat="1" applyFont="1" applyFill="1" applyBorder="1" applyAlignment="1">
      <alignment horizontal="right"/>
    </xf>
    <xf numFmtId="43" fontId="0" fillId="0" borderId="10" xfId="4" applyFont="1" applyFill="1" applyBorder="1"/>
    <xf numFmtId="0" fontId="13" fillId="0" borderId="10" xfId="2" applyFont="1" applyFill="1" applyBorder="1"/>
    <xf numFmtId="0" fontId="13" fillId="0" borderId="10" xfId="2" applyFont="1" applyFill="1" applyBorder="1" applyAlignment="1">
      <alignment horizontal="center"/>
    </xf>
    <xf numFmtId="43" fontId="13" fillId="0" borderId="10" xfId="4" applyFont="1" applyFill="1" applyBorder="1"/>
    <xf numFmtId="166" fontId="13" fillId="0" borderId="10" xfId="2" applyNumberFormat="1" applyFont="1" applyFill="1" applyBorder="1"/>
    <xf numFmtId="0" fontId="3" fillId="0" borderId="0" xfId="2" applyFont="1" applyFill="1" applyAlignment="1">
      <alignment horizontal="center"/>
    </xf>
    <xf numFmtId="43" fontId="0" fillId="0" borderId="24" xfId="3" applyFont="1" applyFill="1" applyBorder="1"/>
    <xf numFmtId="43" fontId="14" fillId="0" borderId="0" xfId="3" applyFont="1" applyFill="1" applyBorder="1"/>
    <xf numFmtId="43" fontId="15" fillId="0" borderId="0" xfId="3" applyFont="1" applyFill="1"/>
    <xf numFmtId="0" fontId="16" fillId="0" borderId="0" xfId="2" applyFont="1" applyFill="1" applyAlignment="1">
      <alignment horizontal="center"/>
    </xf>
    <xf numFmtId="0" fontId="4" fillId="0" borderId="0" xfId="697" applyFont="1" applyFill="1"/>
    <xf numFmtId="0" fontId="1" fillId="0" borderId="0" xfId="697" applyFill="1" applyAlignment="1">
      <alignment horizontal="center"/>
    </xf>
    <xf numFmtId="0" fontId="1" fillId="0" borderId="0" xfId="697" applyFill="1"/>
    <xf numFmtId="43" fontId="0" fillId="0" borderId="0" xfId="239" applyFont="1" applyFill="1"/>
    <xf numFmtId="164" fontId="5" fillId="3" borderId="2" xfId="697" applyNumberFormat="1" applyFont="1" applyFill="1" applyBorder="1" applyAlignment="1">
      <alignment horizontal="center"/>
    </xf>
    <xf numFmtId="0" fontId="7" fillId="0" borderId="10" xfId="697" applyFont="1" applyFill="1" applyBorder="1" applyAlignment="1">
      <alignment vertical="center" wrapText="1"/>
    </xf>
    <xf numFmtId="0" fontId="7" fillId="0" borderId="10" xfId="697" applyFont="1" applyFill="1" applyBorder="1" applyAlignment="1">
      <alignment horizontal="center" vertical="center" wrapText="1"/>
    </xf>
    <xf numFmtId="0" fontId="4" fillId="0" borderId="10" xfId="697" applyFont="1" applyBorder="1" applyAlignment="1">
      <alignment horizontal="center" vertical="center"/>
    </xf>
    <xf numFmtId="43" fontId="7" fillId="0" borderId="10" xfId="239" applyFont="1" applyFill="1" applyBorder="1" applyAlignment="1">
      <alignment horizontal="center" vertical="center" wrapText="1"/>
    </xf>
    <xf numFmtId="38" fontId="8" fillId="4" borderId="11" xfId="697" applyNumberFormat="1" applyFont="1" applyFill="1" applyBorder="1" applyAlignment="1">
      <alignment horizontal="center"/>
    </xf>
    <xf numFmtId="10" fontId="5" fillId="5" borderId="12" xfId="697" applyNumberFormat="1" applyFont="1" applyFill="1" applyBorder="1" applyAlignment="1">
      <alignment horizontal="center"/>
    </xf>
    <xf numFmtId="0" fontId="7" fillId="0" borderId="10" xfId="697" applyFont="1" applyBorder="1" applyAlignment="1">
      <alignment horizontal="center" vertical="center"/>
    </xf>
    <xf numFmtId="0" fontId="7" fillId="0" borderId="0" xfId="697" applyFont="1" applyFill="1" applyAlignment="1">
      <alignment wrapText="1"/>
    </xf>
    <xf numFmtId="0" fontId="1" fillId="0" borderId="10" xfId="697" applyFill="1" applyBorder="1"/>
    <xf numFmtId="0" fontId="1" fillId="0" borderId="10" xfId="697" applyFill="1" applyBorder="1" applyAlignment="1">
      <alignment horizontal="center"/>
    </xf>
    <xf numFmtId="43" fontId="0" fillId="0" borderId="10" xfId="239" applyFont="1" applyFill="1" applyBorder="1"/>
    <xf numFmtId="165" fontId="8" fillId="3" borderId="13" xfId="697" applyNumberFormat="1" applyFont="1" applyFill="1" applyBorder="1" applyAlignment="1">
      <alignment horizontal="center"/>
    </xf>
    <xf numFmtId="166" fontId="1" fillId="0" borderId="10" xfId="697" applyNumberFormat="1" applyFill="1" applyBorder="1"/>
    <xf numFmtId="40" fontId="8" fillId="3" borderId="13" xfId="697" applyNumberFormat="1" applyFont="1" applyFill="1" applyBorder="1" applyAlignment="1">
      <alignment horizontal="right"/>
    </xf>
    <xf numFmtId="40" fontId="9" fillId="0" borderId="0" xfId="697" applyNumberFormat="1" applyFont="1"/>
    <xf numFmtId="40" fontId="8" fillId="4" borderId="14" xfId="697" applyNumberFormat="1" applyFont="1" applyFill="1" applyBorder="1" applyAlignment="1">
      <alignment horizontal="right"/>
    </xf>
    <xf numFmtId="164" fontId="8" fillId="3" borderId="15" xfId="697" applyNumberFormat="1" applyFont="1" applyFill="1" applyBorder="1" applyAlignment="1">
      <alignment horizontal="center"/>
    </xf>
    <xf numFmtId="0" fontId="10" fillId="6" borderId="0" xfId="697" applyFont="1" applyFill="1"/>
    <xf numFmtId="43" fontId="11" fillId="6" borderId="0" xfId="264" applyFont="1" applyFill="1"/>
    <xf numFmtId="0" fontId="7" fillId="6" borderId="19" xfId="697" applyFont="1" applyFill="1" applyBorder="1" applyAlignment="1">
      <alignment horizontal="center"/>
    </xf>
    <xf numFmtId="0" fontId="12" fillId="6" borderId="0" xfId="697" applyFont="1" applyFill="1" applyBorder="1" applyAlignment="1">
      <alignment horizontal="center"/>
    </xf>
    <xf numFmtId="0" fontId="12" fillId="6" borderId="20" xfId="697" applyFont="1" applyFill="1" applyBorder="1" applyAlignment="1">
      <alignment horizontal="center"/>
    </xf>
    <xf numFmtId="0" fontId="11" fillId="6" borderId="0" xfId="697" applyFont="1" applyFill="1"/>
    <xf numFmtId="43" fontId="11" fillId="6" borderId="19" xfId="264" applyFont="1" applyFill="1" applyBorder="1"/>
    <xf numFmtId="0" fontId="11" fillId="6" borderId="0" xfId="697" applyFont="1" applyFill="1" applyBorder="1"/>
    <xf numFmtId="0" fontId="11" fillId="6" borderId="20" xfId="697" applyFont="1" applyFill="1" applyBorder="1"/>
    <xf numFmtId="0" fontId="11" fillId="6" borderId="21" xfId="697" applyFont="1" applyFill="1" applyBorder="1"/>
    <xf numFmtId="0" fontId="11" fillId="6" borderId="22" xfId="697" applyFont="1" applyFill="1" applyBorder="1"/>
    <xf numFmtId="0" fontId="11" fillId="6" borderId="23" xfId="697" applyFont="1" applyFill="1" applyBorder="1"/>
    <xf numFmtId="0" fontId="11" fillId="0" borderId="10" xfId="697" applyFont="1" applyFill="1" applyBorder="1"/>
    <xf numFmtId="43" fontId="11" fillId="0" borderId="10" xfId="239" applyFont="1" applyFill="1" applyBorder="1"/>
    <xf numFmtId="0" fontId="1" fillId="0" borderId="10" xfId="697" applyBorder="1" applyAlignment="1">
      <alignment horizontal="center"/>
    </xf>
    <xf numFmtId="0" fontId="1" fillId="3" borderId="10" xfId="697" applyFill="1" applyBorder="1"/>
    <xf numFmtId="0" fontId="1" fillId="3" borderId="10" xfId="697" applyFill="1" applyBorder="1" applyAlignment="1">
      <alignment horizontal="center"/>
    </xf>
    <xf numFmtId="43" fontId="0" fillId="3" borderId="10" xfId="239" applyFont="1" applyFill="1" applyBorder="1"/>
    <xf numFmtId="166" fontId="1" fillId="3" borderId="10" xfId="697" applyNumberFormat="1" applyFill="1" applyBorder="1"/>
    <xf numFmtId="0" fontId="1" fillId="53" borderId="10" xfId="697" applyFill="1" applyBorder="1" applyAlignment="1">
      <alignment horizontal="center"/>
    </xf>
    <xf numFmtId="43" fontId="175" fillId="53" borderId="10" xfId="239" applyFont="1" applyFill="1" applyBorder="1"/>
    <xf numFmtId="164" fontId="87" fillId="53" borderId="15" xfId="697" applyNumberFormat="1" applyFont="1" applyFill="1" applyBorder="1" applyAlignment="1">
      <alignment horizontal="center"/>
    </xf>
    <xf numFmtId="165" fontId="87" fillId="53" borderId="13" xfId="697" applyNumberFormat="1" applyFont="1" applyFill="1" applyBorder="1" applyAlignment="1">
      <alignment horizontal="center"/>
    </xf>
    <xf numFmtId="166" fontId="1" fillId="53" borderId="10" xfId="697" applyNumberFormat="1" applyFill="1" applyBorder="1"/>
    <xf numFmtId="0" fontId="1" fillId="54" borderId="10" xfId="697" applyFill="1" applyBorder="1"/>
    <xf numFmtId="0" fontId="1" fillId="54" borderId="10" xfId="697" applyFill="1" applyBorder="1" applyAlignment="1">
      <alignment horizontal="center"/>
    </xf>
    <xf numFmtId="43" fontId="0" fillId="54" borderId="10" xfId="239" applyFont="1" applyFill="1" applyBorder="1"/>
    <xf numFmtId="166" fontId="1" fillId="54" borderId="10" xfId="697" applyNumberFormat="1" applyFill="1" applyBorder="1"/>
    <xf numFmtId="40" fontId="8" fillId="53" borderId="13" xfId="697" applyNumberFormat="1" applyFont="1" applyFill="1" applyBorder="1" applyAlignment="1">
      <alignment horizontal="right"/>
    </xf>
    <xf numFmtId="0" fontId="120" fillId="0" borderId="10" xfId="876" applyFill="1" applyBorder="1"/>
    <xf numFmtId="0" fontId="120" fillId="0" borderId="10" xfId="876" applyFill="1" applyBorder="1" applyAlignment="1">
      <alignment horizontal="center"/>
    </xf>
    <xf numFmtId="43" fontId="0" fillId="0" borderId="10" xfId="248" applyFont="1" applyFill="1" applyBorder="1"/>
    <xf numFmtId="166" fontId="120" fillId="0" borderId="10" xfId="876" applyNumberFormat="1" applyFill="1" applyBorder="1"/>
    <xf numFmtId="0" fontId="11" fillId="0" borderId="10" xfId="876" applyFont="1" applyFill="1" applyBorder="1"/>
    <xf numFmtId="43" fontId="0" fillId="0" borderId="30" xfId="248" applyFont="1" applyFill="1" applyBorder="1"/>
    <xf numFmtId="0" fontId="11" fillId="0" borderId="10" xfId="876" applyFont="1" applyFill="1" applyBorder="1" applyAlignment="1">
      <alignment horizontal="center" wrapText="1"/>
    </xf>
    <xf numFmtId="0" fontId="120" fillId="0" borderId="10" xfId="876" applyFill="1" applyBorder="1" applyAlignment="1">
      <alignment horizontal="center" wrapText="1"/>
    </xf>
    <xf numFmtId="0" fontId="0" fillId="0" borderId="10" xfId="0" applyFont="1" applyFill="1" applyBorder="1"/>
    <xf numFmtId="0" fontId="0" fillId="0" borderId="10" xfId="0" applyFill="1" applyBorder="1" applyAlignment="1">
      <alignment horizontal="center"/>
    </xf>
    <xf numFmtId="0" fontId="0" fillId="0" borderId="10" xfId="0" applyFill="1" applyBorder="1"/>
    <xf numFmtId="43" fontId="0" fillId="0" borderId="10" xfId="1" applyFont="1" applyFill="1" applyBorder="1"/>
    <xf numFmtId="166" fontId="0" fillId="0" borderId="10" xfId="0" applyNumberFormat="1" applyFill="1" applyBorder="1"/>
    <xf numFmtId="0" fontId="0" fillId="0" borderId="0" xfId="697" applyFont="1" applyFill="1"/>
    <xf numFmtId="0" fontId="176" fillId="0" borderId="10" xfId="0" applyFont="1" applyFill="1" applyBorder="1"/>
    <xf numFmtId="43" fontId="0" fillId="0" borderId="14" xfId="239" applyFont="1" applyFill="1" applyBorder="1"/>
    <xf numFmtId="0" fontId="11" fillId="0" borderId="10" xfId="0" applyFont="1" applyFill="1" applyBorder="1" applyAlignment="1">
      <alignment horizontal="center"/>
    </xf>
    <xf numFmtId="43" fontId="177" fillId="53" borderId="10" xfId="1" applyFont="1" applyFill="1" applyBorder="1"/>
    <xf numFmtId="164" fontId="8" fillId="53" borderId="15" xfId="697" applyNumberFormat="1" applyFont="1" applyFill="1" applyBorder="1" applyAlignment="1">
      <alignment horizontal="center"/>
    </xf>
    <xf numFmtId="165" fontId="8" fillId="53" borderId="13" xfId="697" applyNumberFormat="1" applyFont="1" applyFill="1" applyBorder="1" applyAlignment="1">
      <alignment horizontal="center"/>
    </xf>
    <xf numFmtId="166" fontId="0" fillId="53" borderId="10" xfId="0" applyNumberFormat="1" applyFill="1" applyBorder="1"/>
    <xf numFmtId="43" fontId="0" fillId="53" borderId="10" xfId="248" applyFont="1" applyFill="1" applyBorder="1"/>
    <xf numFmtId="43" fontId="178" fillId="0" borderId="0" xfId="239" applyFont="1" applyFill="1"/>
    <xf numFmtId="0" fontId="176" fillId="0" borderId="10" xfId="0" applyFont="1" applyFill="1" applyBorder="1" applyAlignment="1">
      <alignment horizontal="center"/>
    </xf>
    <xf numFmtId="43" fontId="176" fillId="0" borderId="10" xfId="1" applyFont="1" applyFill="1" applyBorder="1"/>
    <xf numFmtId="166" fontId="176" fillId="0" borderId="10" xfId="0" applyNumberFormat="1" applyFont="1" applyFill="1" applyBorder="1"/>
    <xf numFmtId="10" fontId="5" fillId="5" borderId="21" xfId="697" applyNumberFormat="1" applyFont="1" applyFill="1" applyBorder="1" applyAlignment="1">
      <alignment horizontal="center"/>
    </xf>
    <xf numFmtId="10" fontId="5" fillId="5" borderId="0" xfId="697" applyNumberFormat="1" applyFont="1" applyFill="1" applyBorder="1" applyAlignment="1">
      <alignment horizontal="center"/>
    </xf>
    <xf numFmtId="40" fontId="8" fillId="4" borderId="0" xfId="2" applyNumberFormat="1" applyFont="1" applyFill="1" applyBorder="1" applyAlignment="1">
      <alignment horizontal="right"/>
    </xf>
    <xf numFmtId="43" fontId="0" fillId="0" borderId="0" xfId="3" applyFont="1" applyFill="1" applyBorder="1"/>
    <xf numFmtId="40" fontId="8" fillId="4" borderId="0" xfId="697" applyNumberFormat="1" applyFont="1" applyFill="1" applyBorder="1" applyAlignment="1">
      <alignment horizontal="right"/>
    </xf>
    <xf numFmtId="0" fontId="179" fillId="0" borderId="0" xfId="876" applyFont="1" applyFill="1"/>
    <xf numFmtId="0" fontId="180" fillId="0" borderId="0" xfId="876" applyFont="1" applyFill="1" applyAlignment="1">
      <alignment horizontal="center"/>
    </xf>
    <xf numFmtId="0" fontId="180" fillId="0" borderId="0" xfId="876" applyFont="1" applyFill="1"/>
    <xf numFmtId="43" fontId="180" fillId="0" borderId="0" xfId="248" applyFont="1" applyFill="1"/>
    <xf numFmtId="0" fontId="120" fillId="0" borderId="0" xfId="876" applyFill="1"/>
    <xf numFmtId="0" fontId="181" fillId="0" borderId="10" xfId="876" applyFont="1" applyFill="1" applyBorder="1" applyAlignment="1">
      <alignment vertical="center" wrapText="1"/>
    </xf>
    <xf numFmtId="0" fontId="181" fillId="0" borderId="10" xfId="876" applyFont="1" applyFill="1" applyBorder="1" applyAlignment="1">
      <alignment horizontal="center" vertical="center" wrapText="1"/>
    </xf>
    <xf numFmtId="0" fontId="179" fillId="0" borderId="10" xfId="876" applyFont="1" applyBorder="1" applyAlignment="1">
      <alignment horizontal="center" vertical="center"/>
    </xf>
    <xf numFmtId="43" fontId="181" fillId="0" borderId="10" xfId="248" applyFont="1" applyFill="1" applyBorder="1" applyAlignment="1">
      <alignment horizontal="center" vertical="center" wrapText="1"/>
    </xf>
    <xf numFmtId="0" fontId="181" fillId="0" borderId="10" xfId="876" applyFont="1" applyBorder="1" applyAlignment="1">
      <alignment horizontal="center" vertical="center"/>
    </xf>
    <xf numFmtId="0" fontId="7" fillId="0" borderId="0" xfId="876" applyFont="1" applyFill="1" applyAlignment="1">
      <alignment wrapText="1"/>
    </xf>
    <xf numFmtId="0" fontId="11" fillId="6" borderId="10" xfId="0" applyFont="1" applyFill="1" applyBorder="1"/>
    <xf numFmtId="0" fontId="180" fillId="0" borderId="10" xfId="876" applyFont="1" applyFill="1" applyBorder="1"/>
    <xf numFmtId="0" fontId="180" fillId="0" borderId="10" xfId="876" applyFont="1" applyFill="1" applyBorder="1" applyAlignment="1">
      <alignment horizontal="center"/>
    </xf>
    <xf numFmtId="43" fontId="180" fillId="0" borderId="10" xfId="248" applyFont="1" applyFill="1" applyBorder="1"/>
    <xf numFmtId="166" fontId="180" fillId="0" borderId="10" xfId="876" applyNumberFormat="1" applyFont="1" applyFill="1" applyBorder="1"/>
    <xf numFmtId="1" fontId="11" fillId="6" borderId="10" xfId="0" applyNumberFormat="1" applyFont="1" applyFill="1" applyBorder="1" applyAlignment="1">
      <alignment horizontal="center"/>
    </xf>
    <xf numFmtId="0" fontId="180" fillId="0" borderId="10" xfId="876" applyFont="1" applyBorder="1" applyAlignment="1">
      <alignment horizontal="center"/>
    </xf>
    <xf numFmtId="0" fontId="176" fillId="0" borderId="10" xfId="876" applyFont="1" applyBorder="1"/>
    <xf numFmtId="0" fontId="176" fillId="0" borderId="10" xfId="876" applyFont="1" applyBorder="1" applyAlignment="1">
      <alignment horizontal="center"/>
    </xf>
    <xf numFmtId="0" fontId="120" fillId="0" borderId="10" xfId="876" applyBorder="1" applyAlignment="1">
      <alignment horizontal="center"/>
    </xf>
    <xf numFmtId="43" fontId="176" fillId="0" borderId="10" xfId="248" applyFont="1" applyFill="1" applyBorder="1"/>
    <xf numFmtId="166" fontId="176" fillId="0" borderId="10" xfId="876" applyNumberFormat="1" applyFont="1" applyFill="1" applyBorder="1"/>
    <xf numFmtId="0" fontId="180" fillId="0" borderId="0" xfId="876" applyFont="1" applyFill="1" applyBorder="1"/>
    <xf numFmtId="0" fontId="180" fillId="0" borderId="0" xfId="876" applyFont="1" applyFill="1" applyBorder="1" applyAlignment="1">
      <alignment horizontal="center"/>
    </xf>
    <xf numFmtId="43" fontId="180" fillId="0" borderId="0" xfId="248" applyFont="1" applyFill="1" applyBorder="1"/>
    <xf numFmtId="166" fontId="180" fillId="0" borderId="0" xfId="876" applyNumberFormat="1" applyFont="1" applyFill="1" applyBorder="1"/>
    <xf numFmtId="0" fontId="176" fillId="0" borderId="10" xfId="876" applyFont="1" applyFill="1" applyBorder="1" applyAlignment="1">
      <alignment horizontal="center"/>
    </xf>
    <xf numFmtId="0" fontId="176" fillId="0" borderId="10" xfId="876" applyFont="1" applyFill="1" applyBorder="1"/>
    <xf numFmtId="0" fontId="182" fillId="0" borderId="0" xfId="876" applyFont="1" applyFill="1" applyBorder="1" applyAlignment="1">
      <alignment horizontal="right"/>
    </xf>
    <xf numFmtId="43" fontId="182" fillId="0" borderId="0" xfId="248" applyFont="1" applyFill="1" applyBorder="1"/>
    <xf numFmtId="0" fontId="120" fillId="0" borderId="0" xfId="876" applyFill="1" applyAlignment="1">
      <alignment horizontal="center"/>
    </xf>
    <xf numFmtId="43" fontId="0" fillId="0" borderId="0" xfId="248" applyFont="1" applyFill="1"/>
    <xf numFmtId="43" fontId="120" fillId="0" borderId="0" xfId="876" applyNumberFormat="1" applyFill="1"/>
    <xf numFmtId="43" fontId="4" fillId="0" borderId="0" xfId="248" applyFont="1" applyFill="1"/>
    <xf numFmtId="0" fontId="180" fillId="0" borderId="10" xfId="876" applyFont="1" applyFill="1" applyBorder="1" applyAlignment="1">
      <alignment wrapText="1"/>
    </xf>
    <xf numFmtId="0" fontId="120" fillId="0" borderId="0" xfId="876" applyFill="1" applyAlignment="1">
      <alignment horizontal="left"/>
    </xf>
    <xf numFmtId="0" fontId="4" fillId="0" borderId="0" xfId="0" applyFont="1" applyFill="1" applyAlignment="1">
      <alignment horizontal="left"/>
    </xf>
    <xf numFmtId="0" fontId="0" fillId="0" borderId="0" xfId="0" applyFill="1" applyAlignment="1">
      <alignment horizontal="center"/>
    </xf>
    <xf numFmtId="0" fontId="183" fillId="0" borderId="0" xfId="0" applyFont="1" applyFill="1" applyAlignment="1">
      <alignment horizontal="left"/>
    </xf>
    <xf numFmtId="0" fontId="11" fillId="0" borderId="0" xfId="0" applyFont="1" applyFill="1" applyAlignment="1">
      <alignment horizontal="center"/>
    </xf>
    <xf numFmtId="0" fontId="0" fillId="0" borderId="0" xfId="0" applyFill="1" applyAlignment="1">
      <alignment horizontal="left"/>
    </xf>
    <xf numFmtId="43" fontId="0" fillId="0" borderId="0" xfId="1" applyFont="1" applyFill="1"/>
    <xf numFmtId="0" fontId="0" fillId="0" borderId="0" xfId="0" applyFill="1"/>
    <xf numFmtId="0" fontId="11" fillId="0" borderId="0" xfId="0" applyFont="1" applyFill="1"/>
    <xf numFmtId="0" fontId="7" fillId="0" borderId="10" xfId="0" applyFont="1" applyFill="1" applyBorder="1" applyAlignment="1">
      <alignment horizontal="left" vertical="center" wrapText="1"/>
    </xf>
    <xf numFmtId="0" fontId="7" fillId="0" borderId="10" xfId="0" applyFont="1" applyFill="1" applyBorder="1" applyAlignment="1">
      <alignment horizontal="center" vertical="center" wrapText="1"/>
    </xf>
    <xf numFmtId="0" fontId="4" fillId="0" borderId="10" xfId="0" applyFont="1" applyBorder="1" applyAlignment="1">
      <alignment horizontal="center" vertical="center"/>
    </xf>
    <xf numFmtId="43" fontId="7" fillId="0" borderId="10" xfId="1" applyFont="1" applyFill="1" applyBorder="1" applyAlignment="1">
      <alignment horizontal="center" vertical="center" wrapText="1"/>
    </xf>
    <xf numFmtId="0" fontId="7" fillId="0" borderId="10" xfId="0" applyFont="1" applyBorder="1" applyAlignment="1">
      <alignment horizontal="center" vertical="center"/>
    </xf>
    <xf numFmtId="0" fontId="0" fillId="0" borderId="10" xfId="0" applyFill="1" applyBorder="1" applyAlignment="1">
      <alignment horizontal="left"/>
    </xf>
    <xf numFmtId="43" fontId="0" fillId="0" borderId="10" xfId="1" applyFont="1" applyFill="1" applyBorder="1" applyAlignment="1">
      <alignment horizontal="right"/>
    </xf>
    <xf numFmtId="0" fontId="0" fillId="0" borderId="10" xfId="0" applyFill="1" applyBorder="1" applyAlignment="1">
      <alignment horizontal="right"/>
    </xf>
    <xf numFmtId="166" fontId="0" fillId="0" borderId="10" xfId="0" applyNumberFormat="1" applyFill="1" applyBorder="1" applyAlignment="1">
      <alignment horizontal="right"/>
    </xf>
    <xf numFmtId="0" fontId="0" fillId="0" borderId="10" xfId="0" applyBorder="1" applyAlignment="1">
      <alignment horizontal="left"/>
    </xf>
    <xf numFmtId="0" fontId="11" fillId="0" borderId="10" xfId="0" applyFont="1" applyFill="1" applyBorder="1" applyAlignment="1">
      <alignment horizontal="left"/>
    </xf>
    <xf numFmtId="0" fontId="0" fillId="0" borderId="10" xfId="0" applyBorder="1" applyAlignment="1">
      <alignment horizontal="center"/>
    </xf>
    <xf numFmtId="0" fontId="184" fillId="0" borderId="10" xfId="0" applyFont="1" applyBorder="1" applyAlignment="1">
      <alignment horizontal="right"/>
    </xf>
    <xf numFmtId="0" fontId="0" fillId="0" borderId="10" xfId="0" applyBorder="1" applyAlignment="1">
      <alignment horizontal="right"/>
    </xf>
    <xf numFmtId="0" fontId="11" fillId="0" borderId="10" xfId="0" applyFont="1" applyBorder="1" applyAlignment="1">
      <alignment horizontal="left"/>
    </xf>
    <xf numFmtId="43" fontId="0" fillId="0" borderId="10" xfId="1" applyFont="1" applyBorder="1" applyAlignment="1">
      <alignment horizontal="right"/>
    </xf>
    <xf numFmtId="0" fontId="0" fillId="0" borderId="0" xfId="0" applyAlignment="1">
      <alignment horizontal="left"/>
    </xf>
    <xf numFmtId="0" fontId="0" fillId="0" borderId="0" xfId="0" applyAlignment="1">
      <alignment horizontal="center"/>
    </xf>
    <xf numFmtId="0" fontId="3" fillId="0" borderId="0" xfId="0" applyFont="1" applyAlignment="1">
      <alignment horizontal="center"/>
    </xf>
    <xf numFmtId="43" fontId="3" fillId="0" borderId="24" xfId="1" applyFont="1" applyBorder="1"/>
    <xf numFmtId="0" fontId="184" fillId="0" borderId="0" xfId="0" applyFont="1"/>
    <xf numFmtId="43" fontId="0" fillId="0" borderId="0" xfId="1" applyFont="1"/>
    <xf numFmtId="0" fontId="11" fillId="0" borderId="0" xfId="721"/>
    <xf numFmtId="0" fontId="4" fillId="0" borderId="0" xfId="721" applyFont="1"/>
    <xf numFmtId="0" fontId="4" fillId="0" borderId="0" xfId="721" applyFont="1" applyFill="1"/>
    <xf numFmtId="0" fontId="11" fillId="0" borderId="0" xfId="721" applyFill="1"/>
    <xf numFmtId="306" fontId="11" fillId="0" borderId="0" xfId="979" applyNumberFormat="1" applyFill="1"/>
    <xf numFmtId="10" fontId="11" fillId="0" borderId="0" xfId="979" applyNumberFormat="1" applyFill="1"/>
    <xf numFmtId="306" fontId="11" fillId="0" borderId="52" xfId="985" applyNumberFormat="1" applyFont="1" applyFill="1" applyBorder="1"/>
    <xf numFmtId="0" fontId="4" fillId="0" borderId="0" xfId="721" applyFont="1" applyFill="1" applyAlignment="1">
      <alignment horizontal="center"/>
    </xf>
    <xf numFmtId="38" fontId="11" fillId="0" borderId="0" xfId="721" applyNumberFormat="1" applyFill="1"/>
    <xf numFmtId="307" fontId="11" fillId="0" borderId="0" xfId="721" applyNumberFormat="1"/>
    <xf numFmtId="307" fontId="11" fillId="0" borderId="22" xfId="4" applyNumberFormat="1" applyFill="1" applyBorder="1"/>
    <xf numFmtId="307" fontId="11" fillId="0" borderId="0" xfId="721" applyNumberFormat="1" applyFill="1"/>
    <xf numFmtId="307" fontId="11" fillId="0" borderId="22" xfId="285" applyNumberFormat="1" applyFont="1" applyFill="1" applyBorder="1"/>
    <xf numFmtId="308" fontId="11" fillId="0" borderId="24" xfId="372" applyNumberFormat="1" applyFont="1" applyFill="1" applyBorder="1"/>
    <xf numFmtId="37" fontId="4" fillId="0" borderId="0" xfId="721" applyNumberFormat="1" applyFont="1"/>
    <xf numFmtId="0" fontId="4" fillId="0" borderId="0" xfId="721" applyFont="1" applyAlignment="1">
      <alignment horizontal="center"/>
    </xf>
    <xf numFmtId="0" fontId="7" fillId="0" borderId="0" xfId="721" applyFont="1" applyAlignment="1">
      <alignment horizontal="center"/>
    </xf>
    <xf numFmtId="0" fontId="7" fillId="0" borderId="0" xfId="721" applyFont="1"/>
    <xf numFmtId="10" fontId="11" fillId="0" borderId="0" xfId="978" applyNumberFormat="1"/>
    <xf numFmtId="306" fontId="11" fillId="0" borderId="0" xfId="978" applyNumberFormat="1"/>
    <xf numFmtId="240" fontId="11" fillId="0" borderId="0" xfId="978" applyNumberFormat="1"/>
    <xf numFmtId="10" fontId="11" fillId="0" borderId="0" xfId="721" applyNumberFormat="1"/>
    <xf numFmtId="10" fontId="11" fillId="0" borderId="0" xfId="978" applyNumberFormat="1" applyAlignment="1">
      <alignment horizontal="left"/>
    </xf>
    <xf numFmtId="0" fontId="11" fillId="0" borderId="0" xfId="721" applyFont="1"/>
    <xf numFmtId="240" fontId="11" fillId="0" borderId="0" xfId="977" applyNumberFormat="1" applyFont="1"/>
    <xf numFmtId="240" fontId="11" fillId="0" borderId="0" xfId="721" applyNumberFormat="1"/>
    <xf numFmtId="37" fontId="11" fillId="0" borderId="0" xfId="721" applyNumberFormat="1"/>
    <xf numFmtId="37" fontId="11" fillId="0" borderId="0" xfId="721" applyNumberFormat="1" applyFont="1" applyFill="1"/>
    <xf numFmtId="37" fontId="11" fillId="0" borderId="0" xfId="721" applyNumberFormat="1" applyFill="1"/>
    <xf numFmtId="308" fontId="11" fillId="0" borderId="0" xfId="374" applyNumberFormat="1" applyFill="1"/>
    <xf numFmtId="37" fontId="4" fillId="0" borderId="0" xfId="721" applyNumberFormat="1" applyFont="1" applyFill="1" applyAlignment="1">
      <alignment horizontal="center"/>
    </xf>
    <xf numFmtId="0" fontId="7" fillId="0" borderId="0" xfId="721" applyFont="1" applyFill="1"/>
    <xf numFmtId="37" fontId="4" fillId="0" borderId="0" xfId="721" applyNumberFormat="1" applyFont="1" applyFill="1"/>
    <xf numFmtId="5" fontId="11" fillId="0" borderId="0" xfId="721" applyNumberFormat="1" applyFill="1" applyAlignment="1">
      <alignment horizontal="right"/>
    </xf>
    <xf numFmtId="37" fontId="11" fillId="0" borderId="0" xfId="721" applyNumberFormat="1" applyFont="1" applyFill="1" applyAlignment="1">
      <alignment horizontal="right"/>
    </xf>
    <xf numFmtId="0" fontId="12" fillId="0" borderId="0" xfId="721" applyFont="1" applyFill="1"/>
    <xf numFmtId="37" fontId="11" fillId="0" borderId="0" xfId="721" applyNumberFormat="1" applyFont="1" applyFill="1" applyAlignment="1">
      <alignment horizontal="left"/>
    </xf>
    <xf numFmtId="308" fontId="4" fillId="0" borderId="0" xfId="373" applyNumberFormat="1" applyFont="1" applyFill="1"/>
    <xf numFmtId="42" fontId="11" fillId="0" borderId="0" xfId="721" applyNumberFormat="1" applyFont="1" applyFill="1" applyAlignment="1">
      <alignment horizontal="right"/>
    </xf>
    <xf numFmtId="42" fontId="11" fillId="0" borderId="0" xfId="721" applyNumberFormat="1" applyFill="1"/>
    <xf numFmtId="308" fontId="11" fillId="0" borderId="0" xfId="373" applyNumberFormat="1" applyFont="1" applyFill="1"/>
    <xf numFmtId="0" fontId="11" fillId="0" borderId="0" xfId="721" applyFont="1" applyFill="1"/>
    <xf numFmtId="10" fontId="11" fillId="0" borderId="22" xfId="721" applyNumberFormat="1" applyFont="1" applyFill="1" applyBorder="1" applyAlignment="1">
      <alignment horizontal="right"/>
    </xf>
    <xf numFmtId="10" fontId="11" fillId="0" borderId="0" xfId="721" applyNumberFormat="1" applyFont="1" applyFill="1" applyBorder="1" applyAlignment="1">
      <alignment horizontal="right"/>
    </xf>
    <xf numFmtId="3" fontId="139" fillId="0" borderId="0" xfId="1264" applyNumberFormat="1" applyFont="1" applyFill="1" applyBorder="1"/>
    <xf numFmtId="3" fontId="11" fillId="0" borderId="0" xfId="1264" applyNumberFormat="1" applyFont="1" applyFill="1"/>
    <xf numFmtId="0" fontId="11" fillId="0" borderId="0" xfId="721" quotePrefix="1" applyFill="1"/>
    <xf numFmtId="42" fontId="11" fillId="0" borderId="0" xfId="721" applyNumberFormat="1"/>
    <xf numFmtId="0" fontId="87" fillId="0" borderId="0" xfId="875" applyFont="1" applyAlignment="1"/>
    <xf numFmtId="0" fontId="186" fillId="0" borderId="0" xfId="875" applyFont="1"/>
    <xf numFmtId="0" fontId="1" fillId="0" borderId="0" xfId="875"/>
    <xf numFmtId="0" fontId="1" fillId="0" borderId="0" xfId="875" applyBorder="1"/>
    <xf numFmtId="43" fontId="8" fillId="0" borderId="0" xfId="264" applyFont="1" applyBorder="1" applyAlignment="1">
      <alignment horizontal="center"/>
    </xf>
    <xf numFmtId="0" fontId="1" fillId="0" borderId="0" xfId="875" applyFill="1"/>
    <xf numFmtId="43" fontId="56" fillId="0" borderId="10" xfId="264" applyFont="1" applyFill="1" applyBorder="1" applyAlignment="1">
      <alignment horizontal="center" wrapText="1"/>
    </xf>
    <xf numFmtId="0" fontId="186" fillId="0" borderId="0" xfId="875" applyFont="1" applyFill="1"/>
    <xf numFmtId="0" fontId="187" fillId="0" borderId="0" xfId="875" applyFont="1" applyFill="1"/>
    <xf numFmtId="43" fontId="11" fillId="0" borderId="0" xfId="264" applyFont="1" applyFill="1"/>
    <xf numFmtId="43" fontId="8" fillId="0" borderId="0" xfId="264" applyFont="1" applyFill="1"/>
    <xf numFmtId="0" fontId="8" fillId="0" borderId="0" xfId="875" applyFont="1" applyFill="1"/>
    <xf numFmtId="0" fontId="87" fillId="0" borderId="0" xfId="875" applyFont="1" applyFill="1"/>
    <xf numFmtId="43" fontId="56" fillId="0" borderId="0" xfId="875" applyNumberFormat="1" applyFont="1" applyFill="1"/>
    <xf numFmtId="10" fontId="186" fillId="0" borderId="0" xfId="977" applyNumberFormat="1" applyFont="1" applyFill="1"/>
    <xf numFmtId="43" fontId="56" fillId="0" borderId="31" xfId="875" applyNumberFormat="1" applyFont="1" applyFill="1" applyBorder="1"/>
    <xf numFmtId="0" fontId="8" fillId="0" borderId="0" xfId="875" applyFont="1"/>
    <xf numFmtId="43" fontId="8" fillId="0" borderId="0" xfId="875" applyNumberFormat="1" applyFont="1"/>
    <xf numFmtId="43" fontId="8" fillId="0" borderId="0" xfId="264" applyFont="1"/>
    <xf numFmtId="43" fontId="186" fillId="0" borderId="0" xfId="875" applyNumberFormat="1" applyFont="1"/>
    <xf numFmtId="0" fontId="4" fillId="0" borderId="0" xfId="721" applyFont="1" applyFill="1" applyAlignment="1"/>
    <xf numFmtId="308" fontId="11" fillId="0" borderId="0" xfId="382" applyNumberFormat="1" applyFill="1"/>
    <xf numFmtId="0" fontId="4" fillId="0" borderId="0" xfId="721" applyFont="1" applyFill="1" applyAlignment="1">
      <alignment wrapText="1"/>
    </xf>
    <xf numFmtId="14" fontId="11" fillId="0" borderId="0" xfId="374" applyNumberFormat="1" applyFill="1"/>
    <xf numFmtId="308" fontId="11" fillId="0" borderId="31" xfId="374" applyNumberFormat="1" applyFill="1" applyBorder="1"/>
    <xf numFmtId="37" fontId="11" fillId="0" borderId="0" xfId="721" applyNumberFormat="1" applyFill="1" applyAlignment="1">
      <alignment horizontal="center"/>
    </xf>
    <xf numFmtId="37" fontId="11" fillId="0" borderId="0" xfId="721" applyNumberFormat="1" applyFont="1" applyFill="1" applyAlignment="1">
      <alignment horizontal="center"/>
    </xf>
    <xf numFmtId="0" fontId="12" fillId="0" borderId="0" xfId="721" applyFont="1" applyFill="1" applyAlignment="1">
      <alignment horizontal="center"/>
    </xf>
    <xf numFmtId="0" fontId="7" fillId="0" borderId="0" xfId="721" applyFont="1" applyFill="1" applyAlignment="1">
      <alignment horizontal="center"/>
    </xf>
    <xf numFmtId="37" fontId="12" fillId="0" borderId="0" xfId="721" applyNumberFormat="1" applyFont="1" applyFill="1" applyAlignment="1">
      <alignment horizontal="center"/>
    </xf>
    <xf numFmtId="44" fontId="11" fillId="0" borderId="0" xfId="721" applyNumberFormat="1"/>
    <xf numFmtId="307" fontId="11" fillId="0" borderId="0" xfId="4" applyNumberFormat="1" applyFont="1" applyFill="1"/>
    <xf numFmtId="304" fontId="11" fillId="0" borderId="0" xfId="721" applyNumberFormat="1" applyFill="1" applyAlignment="1">
      <alignment horizontal="right" indent="1"/>
    </xf>
    <xf numFmtId="309" fontId="11" fillId="0" borderId="0" xfId="4" applyNumberFormat="1" applyFill="1"/>
    <xf numFmtId="44" fontId="4" fillId="0" borderId="0" xfId="374" applyFont="1" applyFill="1"/>
    <xf numFmtId="307" fontId="11" fillId="0" borderId="0" xfId="4" applyNumberFormat="1" applyFill="1"/>
    <xf numFmtId="307" fontId="11" fillId="0" borderId="31" xfId="4" applyNumberFormat="1" applyFill="1" applyBorder="1"/>
    <xf numFmtId="0" fontId="11" fillId="0" borderId="0" xfId="721" applyFill="1" applyAlignment="1">
      <alignment horizontal="right"/>
    </xf>
    <xf numFmtId="310" fontId="11" fillId="0" borderId="24" xfId="374" applyNumberFormat="1" applyFill="1" applyBorder="1"/>
    <xf numFmtId="39" fontId="11" fillId="0" borderId="0" xfId="721" applyNumberFormat="1" applyFill="1"/>
    <xf numFmtId="3" fontId="11" fillId="0" borderId="0" xfId="721" applyNumberFormat="1"/>
    <xf numFmtId="307" fontId="188" fillId="0" borderId="0" xfId="291" applyNumberFormat="1" applyFont="1"/>
    <xf numFmtId="307" fontId="11" fillId="0" borderId="0" xfId="4" applyNumberFormat="1"/>
    <xf numFmtId="307" fontId="188" fillId="0" borderId="22" xfId="291" applyNumberFormat="1" applyFont="1" applyBorder="1"/>
    <xf numFmtId="307" fontId="11" fillId="0" borderId="24" xfId="4" applyNumberFormat="1" applyBorder="1"/>
    <xf numFmtId="43" fontId="189" fillId="0" borderId="10" xfId="248" applyFont="1" applyFill="1" applyBorder="1"/>
    <xf numFmtId="43" fontId="3" fillId="0" borderId="36" xfId="248" applyFont="1" applyFill="1" applyBorder="1"/>
    <xf numFmtId="43" fontId="3" fillId="0" borderId="0" xfId="248" applyFont="1" applyFill="1" applyBorder="1"/>
    <xf numFmtId="43" fontId="178" fillId="0" borderId="0" xfId="248" applyFont="1" applyFill="1" applyBorder="1"/>
    <xf numFmtId="164" fontId="0" fillId="0" borderId="0" xfId="0" applyNumberFormat="1"/>
    <xf numFmtId="0" fontId="0" fillId="0" borderId="0" xfId="0" applyFont="1" applyFill="1"/>
    <xf numFmtId="0" fontId="0" fillId="0" borderId="0" xfId="0" applyFont="1" applyFill="1" applyAlignment="1">
      <alignment horizont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ill="1" applyAlignment="1">
      <alignment vertical="center"/>
    </xf>
    <xf numFmtId="0" fontId="0" fillId="0" borderId="0" xfId="0" applyFont="1" applyFill="1" applyAlignment="1">
      <alignment vertical="center" wrapText="1"/>
    </xf>
    <xf numFmtId="0" fontId="0" fillId="0" borderId="0" xfId="0" applyFill="1" applyAlignment="1">
      <alignment wrapText="1"/>
    </xf>
    <xf numFmtId="42" fontId="11" fillId="0" borderId="31" xfId="721" applyNumberFormat="1" applyFont="1" applyFill="1" applyBorder="1"/>
    <xf numFmtId="0" fontId="0" fillId="0" borderId="0" xfId="0" applyBorder="1"/>
    <xf numFmtId="43" fontId="3" fillId="0" borderId="0" xfId="1" applyFont="1" applyBorder="1"/>
    <xf numFmtId="43" fontId="0" fillId="0" borderId="0" xfId="1" applyFont="1" applyBorder="1"/>
    <xf numFmtId="43" fontId="0" fillId="0" borderId="0" xfId="0" applyNumberFormat="1" applyBorder="1"/>
    <xf numFmtId="43" fontId="0" fillId="0" borderId="10" xfId="1" applyFont="1" applyBorder="1"/>
    <xf numFmtId="0" fontId="4" fillId="0" borderId="0" xfId="876" applyFont="1" applyFill="1" applyAlignment="1">
      <alignment horizontal="center"/>
    </xf>
    <xf numFmtId="43" fontId="3" fillId="0" borderId="10" xfId="248" applyFont="1" applyFill="1" applyBorder="1"/>
    <xf numFmtId="166" fontId="180" fillId="0" borderId="10" xfId="0" applyNumberFormat="1" applyFont="1" applyFill="1" applyBorder="1"/>
    <xf numFmtId="43" fontId="0" fillId="0" borderId="0" xfId="0" applyNumberFormat="1"/>
    <xf numFmtId="0" fontId="11" fillId="54" borderId="0" xfId="2" applyFont="1" applyFill="1"/>
    <xf numFmtId="0" fontId="11" fillId="54" borderId="0" xfId="697" applyFont="1" applyFill="1"/>
    <xf numFmtId="307" fontId="11" fillId="0" borderId="0" xfId="1" applyNumberFormat="1" applyFont="1" applyFill="1" applyAlignment="1">
      <alignment horizontal="right"/>
    </xf>
    <xf numFmtId="307" fontId="11" fillId="0" borderId="22" xfId="1" applyNumberFormat="1" applyFont="1" applyFill="1" applyBorder="1" applyAlignment="1">
      <alignment horizontal="right"/>
    </xf>
    <xf numFmtId="0" fontId="0" fillId="0" borderId="0" xfId="0" applyFont="1" applyFill="1" applyAlignment="1">
      <alignment wrapText="1"/>
    </xf>
    <xf numFmtId="0" fontId="0" fillId="0" borderId="0" xfId="0" applyFont="1" applyFill="1" applyAlignment="1"/>
    <xf numFmtId="0" fontId="120" fillId="0" borderId="0" xfId="876" applyFill="1" applyBorder="1"/>
    <xf numFmtId="0" fontId="120" fillId="0" borderId="0" xfId="876" applyFill="1" applyBorder="1" applyAlignment="1">
      <alignment horizontal="center"/>
    </xf>
    <xf numFmtId="0" fontId="11" fillId="6" borderId="0" xfId="0" applyFont="1" applyFill="1" applyBorder="1"/>
    <xf numFmtId="0" fontId="11" fillId="0" borderId="10" xfId="876" applyFont="1" applyFill="1" applyBorder="1" applyAlignment="1">
      <alignment horizontal="center"/>
    </xf>
    <xf numFmtId="43" fontId="11" fillId="0" borderId="10" xfId="248" applyFont="1" applyFill="1" applyBorder="1"/>
    <xf numFmtId="166" fontId="11" fillId="0" borderId="10" xfId="876" applyNumberFormat="1" applyFont="1" applyFill="1" applyBorder="1"/>
    <xf numFmtId="43" fontId="0" fillId="0" borderId="0" xfId="248" applyFont="1" applyFill="1" applyBorder="1"/>
    <xf numFmtId="43" fontId="176" fillId="0" borderId="0" xfId="248" applyFont="1" applyFill="1" applyBorder="1"/>
    <xf numFmtId="0" fontId="4" fillId="0" borderId="10" xfId="876" applyFont="1" applyFill="1" applyBorder="1"/>
    <xf numFmtId="165" fontId="8" fillId="3" borderId="0" xfId="697" applyNumberFormat="1" applyFont="1" applyFill="1" applyBorder="1" applyAlignment="1">
      <alignment horizontal="center"/>
    </xf>
    <xf numFmtId="43" fontId="0" fillId="0" borderId="0" xfId="239" applyFont="1" applyFill="1" applyBorder="1"/>
    <xf numFmtId="43" fontId="178" fillId="0" borderId="0" xfId="0" applyNumberFormat="1" applyFont="1"/>
    <xf numFmtId="43" fontId="176" fillId="5" borderId="10" xfId="248" applyFont="1" applyFill="1" applyBorder="1"/>
    <xf numFmtId="0" fontId="120" fillId="5" borderId="10" xfId="876" applyFill="1" applyBorder="1"/>
    <xf numFmtId="0" fontId="176" fillId="5" borderId="10" xfId="876" applyFont="1" applyFill="1" applyBorder="1" applyAlignment="1">
      <alignment horizontal="center"/>
    </xf>
    <xf numFmtId="0" fontId="120" fillId="5" borderId="10" xfId="876" applyFill="1" applyBorder="1" applyAlignment="1">
      <alignment horizontal="center"/>
    </xf>
    <xf numFmtId="0" fontId="11" fillId="5" borderId="10" xfId="876" applyFont="1" applyFill="1" applyBorder="1"/>
    <xf numFmtId="0" fontId="11" fillId="5" borderId="10" xfId="876" applyFont="1" applyFill="1" applyBorder="1" applyAlignment="1">
      <alignment horizontal="center"/>
    </xf>
    <xf numFmtId="166" fontId="176" fillId="5" borderId="10" xfId="876" applyNumberFormat="1" applyFont="1" applyFill="1" applyBorder="1"/>
    <xf numFmtId="43" fontId="11" fillId="5" borderId="10" xfId="248" applyFont="1" applyFill="1" applyBorder="1"/>
    <xf numFmtId="166" fontId="11" fillId="5" borderId="10" xfId="876" applyNumberFormat="1" applyFont="1" applyFill="1" applyBorder="1"/>
    <xf numFmtId="0" fontId="180" fillId="5" borderId="10" xfId="876" applyFont="1" applyFill="1" applyBorder="1"/>
    <xf numFmtId="0" fontId="180" fillId="5" borderId="10" xfId="876" applyFont="1" applyFill="1" applyBorder="1" applyAlignment="1">
      <alignment horizontal="center"/>
    </xf>
    <xf numFmtId="43" fontId="180" fillId="5" borderId="10" xfId="248" applyFont="1" applyFill="1" applyBorder="1"/>
    <xf numFmtId="166" fontId="180" fillId="5" borderId="10" xfId="876" applyNumberFormat="1" applyFont="1" applyFill="1" applyBorder="1"/>
    <xf numFmtId="0" fontId="176" fillId="5" borderId="10" xfId="876" applyFont="1" applyFill="1" applyBorder="1"/>
    <xf numFmtId="164" fontId="0" fillId="5" borderId="0" xfId="0" applyNumberFormat="1" applyFill="1"/>
    <xf numFmtId="165" fontId="8" fillId="5" borderId="13" xfId="697" applyNumberFormat="1" applyFont="1" applyFill="1" applyBorder="1" applyAlignment="1">
      <alignment horizontal="center"/>
    </xf>
    <xf numFmtId="43" fontId="0" fillId="5" borderId="10" xfId="248" applyFont="1" applyFill="1" applyBorder="1"/>
    <xf numFmtId="0" fontId="0" fillId="5" borderId="0" xfId="0" applyFill="1"/>
    <xf numFmtId="43" fontId="0" fillId="5" borderId="10" xfId="239" applyFont="1" applyFill="1" applyBorder="1"/>
    <xf numFmtId="0" fontId="0" fillId="5" borderId="10" xfId="0" applyFill="1" applyBorder="1"/>
    <xf numFmtId="0" fontId="0" fillId="5" borderId="10" xfId="0" applyFill="1" applyBorder="1" applyAlignment="1">
      <alignment horizontal="center"/>
    </xf>
    <xf numFmtId="166" fontId="180" fillId="5" borderId="10" xfId="0" applyNumberFormat="1" applyFont="1" applyFill="1" applyBorder="1"/>
    <xf numFmtId="43" fontId="4" fillId="0" borderId="31" xfId="248" applyFont="1" applyFill="1" applyBorder="1"/>
    <xf numFmtId="0" fontId="11" fillId="0" borderId="0" xfId="0" applyFont="1" applyFill="1" applyAlignment="1">
      <alignment horizontal="left"/>
    </xf>
    <xf numFmtId="43" fontId="0" fillId="0" borderId="0" xfId="1" applyFont="1" applyFill="1" applyAlignment="1">
      <alignment horizontal="left"/>
    </xf>
    <xf numFmtId="0" fontId="4" fillId="0" borderId="10" xfId="0" applyFont="1" applyBorder="1" applyAlignment="1">
      <alignment horizontal="left" vertical="center"/>
    </xf>
    <xf numFmtId="43" fontId="7" fillId="0" borderId="10" xfId="1" applyFont="1" applyFill="1" applyBorder="1" applyAlignment="1">
      <alignment horizontal="left" vertical="center" wrapText="1"/>
    </xf>
    <xf numFmtId="0" fontId="7" fillId="0" borderId="10" xfId="0" applyFont="1" applyBorder="1" applyAlignment="1">
      <alignment horizontal="left" vertical="center"/>
    </xf>
    <xf numFmtId="43" fontId="0" fillId="0" borderId="10" xfId="1" applyFont="1" applyBorder="1" applyAlignment="1">
      <alignment horizontal="left"/>
    </xf>
    <xf numFmtId="166" fontId="0" fillId="0" borderId="10" xfId="0" applyNumberFormat="1" applyFill="1" applyBorder="1" applyAlignment="1">
      <alignment horizontal="left"/>
    </xf>
    <xf numFmtId="43" fontId="0" fillId="0" borderId="10" xfId="1" applyFont="1" applyFill="1" applyBorder="1" applyAlignment="1">
      <alignment horizontal="left"/>
    </xf>
    <xf numFmtId="0" fontId="3" fillId="0" borderId="0" xfId="0" applyFont="1" applyAlignment="1">
      <alignment horizontal="left"/>
    </xf>
    <xf numFmtId="43" fontId="0" fillId="0" borderId="57" xfId="1" applyFont="1" applyBorder="1" applyAlignment="1">
      <alignment horizontal="left"/>
    </xf>
    <xf numFmtId="0" fontId="184" fillId="0" borderId="0" xfId="0" applyFont="1" applyAlignment="1">
      <alignment horizontal="left"/>
    </xf>
    <xf numFmtId="43" fontId="0" fillId="0" borderId="0" xfId="1" applyFont="1" applyAlignment="1">
      <alignment horizontal="left"/>
    </xf>
    <xf numFmtId="308" fontId="11" fillId="0" borderId="22" xfId="374" applyNumberFormat="1" applyFill="1" applyBorder="1"/>
    <xf numFmtId="308" fontId="11" fillId="0" borderId="0" xfId="1263" applyNumberFormat="1" applyFont="1" applyFill="1"/>
    <xf numFmtId="9" fontId="0" fillId="0" borderId="0" xfId="0" applyNumberFormat="1"/>
    <xf numFmtId="306" fontId="191" fillId="0" borderId="22" xfId="985" applyNumberFormat="1" applyFont="1" applyFill="1" applyBorder="1" applyAlignment="1" applyProtection="1">
      <alignment horizontal="right"/>
    </xf>
    <xf numFmtId="308" fontId="192" fillId="0" borderId="0" xfId="1263" applyNumberFormat="1" applyFont="1"/>
    <xf numFmtId="43" fontId="191" fillId="0" borderId="0" xfId="1" applyFont="1" applyFill="1" applyAlignment="1" applyProtection="1">
      <alignment horizontal="center"/>
    </xf>
    <xf numFmtId="14" fontId="11" fillId="0" borderId="0" xfId="721" applyNumberFormat="1"/>
    <xf numFmtId="43" fontId="11" fillId="0" borderId="0" xfId="264"/>
    <xf numFmtId="10" fontId="11" fillId="0" borderId="24" xfId="721" applyNumberFormat="1" applyBorder="1"/>
    <xf numFmtId="6" fontId="11" fillId="0" borderId="24" xfId="721" applyNumberFormat="1" applyBorder="1"/>
    <xf numFmtId="6" fontId="11" fillId="5" borderId="0" xfId="721" applyNumberFormat="1" applyFill="1"/>
    <xf numFmtId="6" fontId="11" fillId="0" borderId="0" xfId="721" applyNumberFormat="1"/>
    <xf numFmtId="308" fontId="11" fillId="5" borderId="24" xfId="373" applyNumberFormat="1" applyFont="1" applyFill="1" applyBorder="1"/>
    <xf numFmtId="43" fontId="11" fillId="0" borderId="0" xfId="721" applyNumberFormat="1"/>
    <xf numFmtId="10" fontId="11" fillId="0" borderId="0" xfId="977" applyNumberFormat="1" applyFont="1"/>
    <xf numFmtId="43" fontId="11" fillId="0" borderId="0" xfId="291" applyFont="1"/>
    <xf numFmtId="308" fontId="11" fillId="0" borderId="22" xfId="1263" applyNumberFormat="1" applyFont="1" applyBorder="1"/>
    <xf numFmtId="0" fontId="179" fillId="0" borderId="0" xfId="721" applyFont="1" applyFill="1"/>
    <xf numFmtId="0" fontId="180" fillId="0" borderId="0" xfId="721" applyFont="1" applyFill="1" applyAlignment="1">
      <alignment horizontal="center"/>
    </xf>
    <xf numFmtId="0" fontId="180" fillId="0" borderId="0" xfId="721" applyFont="1" applyFill="1" applyAlignment="1">
      <alignment horizontal="left"/>
    </xf>
    <xf numFmtId="0" fontId="193" fillId="0" borderId="0" xfId="721" applyFont="1" applyFill="1"/>
    <xf numFmtId="0" fontId="180" fillId="0" borderId="0" xfId="721" applyFont="1" applyFill="1"/>
    <xf numFmtId="0" fontId="179" fillId="0" borderId="0" xfId="721" applyFont="1" applyFill="1" applyAlignment="1">
      <alignment horizontal="left"/>
    </xf>
    <xf numFmtId="0" fontId="181" fillId="0" borderId="10" xfId="721" applyFont="1" applyFill="1" applyBorder="1" applyAlignment="1">
      <alignment horizontal="center" vertical="center" wrapText="1"/>
    </xf>
    <xf numFmtId="0" fontId="181" fillId="0" borderId="10" xfId="721" applyFont="1" applyFill="1" applyBorder="1" applyAlignment="1">
      <alignment horizontal="left" vertical="center" wrapText="1"/>
    </xf>
    <xf numFmtId="0" fontId="181" fillId="0" borderId="10" xfId="721" applyFont="1" applyFill="1" applyBorder="1" applyAlignment="1">
      <alignment vertical="center" wrapText="1"/>
    </xf>
    <xf numFmtId="0" fontId="7" fillId="0" borderId="0" xfId="721" applyFont="1" applyFill="1" applyAlignment="1">
      <alignment wrapText="1"/>
    </xf>
    <xf numFmtId="0" fontId="11" fillId="0" borderId="10" xfId="721" applyFont="1" applyFill="1" applyBorder="1" applyAlignment="1">
      <alignment horizontal="center" wrapText="1"/>
    </xf>
    <xf numFmtId="0" fontId="11" fillId="0" borderId="10" xfId="721" applyFont="1" applyFill="1" applyBorder="1" applyAlignment="1">
      <alignment wrapText="1"/>
    </xf>
    <xf numFmtId="0" fontId="180" fillId="0" borderId="10" xfId="721" applyFont="1" applyFill="1" applyBorder="1" applyAlignment="1">
      <alignment horizontal="left" wrapText="1"/>
    </xf>
    <xf numFmtId="43" fontId="11" fillId="0" borderId="10" xfId="248" applyFont="1" applyFill="1" applyBorder="1" applyAlignment="1">
      <alignment wrapText="1"/>
    </xf>
    <xf numFmtId="0" fontId="11" fillId="0" borderId="0" xfId="721" applyFill="1" applyAlignment="1">
      <alignment wrapText="1"/>
    </xf>
    <xf numFmtId="0" fontId="11" fillId="0" borderId="0" xfId="721" applyFill="1" applyAlignment="1">
      <alignment horizontal="center"/>
    </xf>
    <xf numFmtId="0" fontId="11" fillId="0" borderId="0" xfId="721" applyFill="1" applyAlignment="1">
      <alignment horizontal="left"/>
    </xf>
    <xf numFmtId="43" fontId="0" fillId="0" borderId="22" xfId="248" applyFont="1" applyFill="1" applyBorder="1"/>
    <xf numFmtId="0" fontId="180" fillId="0" borderId="0" xfId="876" applyFont="1" applyFill="1" applyBorder="1" applyAlignment="1">
      <alignment wrapText="1"/>
    </xf>
    <xf numFmtId="0" fontId="4" fillId="0" borderId="10" xfId="876" applyFont="1" applyFill="1" applyBorder="1" applyAlignment="1">
      <alignment horizontal="center"/>
    </xf>
    <xf numFmtId="0" fontId="4" fillId="6" borderId="10" xfId="0" applyFont="1" applyFill="1" applyBorder="1"/>
    <xf numFmtId="166" fontId="179" fillId="0" borderId="10" xfId="876" applyNumberFormat="1" applyFont="1" applyFill="1" applyBorder="1"/>
    <xf numFmtId="166" fontId="189" fillId="0" borderId="10" xfId="876" applyNumberFormat="1" applyFont="1" applyFill="1" applyBorder="1"/>
    <xf numFmtId="0" fontId="4" fillId="0" borderId="36" xfId="876" applyFont="1" applyFill="1" applyBorder="1"/>
    <xf numFmtId="0" fontId="4" fillId="0" borderId="36" xfId="876" applyFont="1" applyFill="1" applyBorder="1" applyAlignment="1">
      <alignment horizontal="center"/>
    </xf>
    <xf numFmtId="0" fontId="4" fillId="6" borderId="36" xfId="0" applyFont="1" applyFill="1" applyBorder="1"/>
    <xf numFmtId="166" fontId="179" fillId="0" borderId="36" xfId="876" applyNumberFormat="1" applyFont="1" applyFill="1" applyBorder="1"/>
    <xf numFmtId="43" fontId="189" fillId="0" borderId="31" xfId="248" applyFont="1" applyFill="1" applyBorder="1"/>
    <xf numFmtId="0" fontId="7" fillId="0" borderId="0" xfId="721" applyFont="1" applyFill="1" applyAlignment="1">
      <alignment horizontal="center" vertical="center" wrapText="1"/>
    </xf>
    <xf numFmtId="37" fontId="12" fillId="0" borderId="0" xfId="721" applyNumberFormat="1" applyFont="1"/>
    <xf numFmtId="37" fontId="11" fillId="0" borderId="0" xfId="721" applyNumberFormat="1" applyAlignment="1">
      <alignment horizontal="center"/>
    </xf>
    <xf numFmtId="14" fontId="0" fillId="0" borderId="0" xfId="0" applyNumberFormat="1" applyAlignment="1">
      <alignment horizontal="left"/>
    </xf>
    <xf numFmtId="0" fontId="5" fillId="3" borderId="0" xfId="2" applyFont="1" applyFill="1" applyBorder="1" applyAlignment="1">
      <alignment horizontal="right" vertical="center" wrapText="1"/>
    </xf>
    <xf numFmtId="0" fontId="6" fillId="3" borderId="0" xfId="2" applyFont="1" applyFill="1" applyBorder="1" applyAlignment="1">
      <alignment horizontal="right" vertical="center" wrapText="1"/>
    </xf>
    <xf numFmtId="0" fontId="7" fillId="6" borderId="16" xfId="2" applyFont="1" applyFill="1" applyBorder="1" applyAlignment="1">
      <alignment horizontal="center"/>
    </xf>
    <xf numFmtId="0" fontId="7" fillId="6" borderId="17" xfId="2" applyFont="1" applyFill="1" applyBorder="1" applyAlignment="1">
      <alignment horizontal="center"/>
    </xf>
    <xf numFmtId="0" fontId="7" fillId="6" borderId="18" xfId="2" applyFont="1" applyFill="1" applyBorder="1" applyAlignment="1">
      <alignment horizontal="center"/>
    </xf>
    <xf numFmtId="0" fontId="5" fillId="4" borderId="3" xfId="2" quotePrefix="1" applyFont="1" applyFill="1" applyBorder="1" applyAlignment="1">
      <alignment horizontal="center" vertical="center"/>
    </xf>
    <xf numFmtId="0" fontId="6" fillId="4" borderId="4" xfId="2" applyFont="1" applyFill="1" applyBorder="1" applyAlignment="1">
      <alignment horizontal="center" vertical="center"/>
    </xf>
    <xf numFmtId="0" fontId="5" fillId="4" borderId="7" xfId="2" applyFont="1" applyFill="1" applyBorder="1" applyAlignment="1">
      <alignment horizontal="center" vertical="center" wrapText="1"/>
    </xf>
    <xf numFmtId="0" fontId="5" fillId="4" borderId="9" xfId="2" applyFont="1" applyFill="1" applyBorder="1" applyAlignment="1">
      <alignment horizontal="center" vertical="center" wrapText="1"/>
    </xf>
    <xf numFmtId="164" fontId="5" fillId="4" borderId="6" xfId="2" applyNumberFormat="1" applyFont="1" applyFill="1" applyBorder="1" applyAlignment="1">
      <alignment horizontal="center" vertical="center" wrapText="1"/>
    </xf>
    <xf numFmtId="164" fontId="5" fillId="4" borderId="5" xfId="2" applyNumberFormat="1" applyFont="1" applyFill="1" applyBorder="1" applyAlignment="1">
      <alignment horizontal="center" vertical="center" wrapText="1"/>
    </xf>
    <xf numFmtId="0" fontId="5" fillId="3" borderId="1" xfId="2" applyFont="1" applyFill="1" applyBorder="1" applyAlignment="1">
      <alignment horizontal="center" vertical="center"/>
    </xf>
    <xf numFmtId="0" fontId="4" fillId="3" borderId="5" xfId="2" applyFont="1" applyFill="1" applyBorder="1" applyAlignment="1">
      <alignment horizontal="center" vertical="center"/>
    </xf>
    <xf numFmtId="0" fontId="4" fillId="3" borderId="8" xfId="2" applyFont="1" applyFill="1" applyBorder="1" applyAlignment="1">
      <alignment horizontal="center" vertical="center"/>
    </xf>
    <xf numFmtId="164" fontId="5" fillId="3" borderId="1" xfId="2" applyNumberFormat="1" applyFont="1" applyFill="1" applyBorder="1" applyAlignment="1">
      <alignment horizontal="center" vertical="center" wrapText="1"/>
    </xf>
    <xf numFmtId="0" fontId="4" fillId="3" borderId="5" xfId="2" applyFont="1" applyFill="1" applyBorder="1" applyAlignment="1">
      <alignment horizontal="center" vertical="center" wrapText="1"/>
    </xf>
    <xf numFmtId="0" fontId="4" fillId="3" borderId="8" xfId="2" applyFont="1" applyFill="1" applyBorder="1" applyAlignment="1">
      <alignment horizontal="center" vertical="center" wrapText="1"/>
    </xf>
    <xf numFmtId="164" fontId="5" fillId="3" borderId="6" xfId="2" applyNumberFormat="1" applyFont="1" applyFill="1" applyBorder="1" applyAlignment="1">
      <alignment horizontal="center" vertical="center" wrapText="1"/>
    </xf>
    <xf numFmtId="0" fontId="5" fillId="3" borderId="8" xfId="2" applyFont="1" applyFill="1" applyBorder="1" applyAlignment="1">
      <alignment horizontal="center" vertical="center" wrapText="1"/>
    </xf>
    <xf numFmtId="0" fontId="5" fillId="3" borderId="0" xfId="697" applyFont="1" applyFill="1" applyBorder="1" applyAlignment="1">
      <alignment horizontal="right" vertical="center" wrapText="1"/>
    </xf>
    <xf numFmtId="0" fontId="6" fillId="3" borderId="0" xfId="697" applyFont="1" applyFill="1" applyBorder="1" applyAlignment="1">
      <alignment horizontal="right" vertical="center" wrapText="1"/>
    </xf>
    <xf numFmtId="0" fontId="7" fillId="6" borderId="16" xfId="697" applyFont="1" applyFill="1" applyBorder="1" applyAlignment="1">
      <alignment horizontal="center"/>
    </xf>
    <xf numFmtId="0" fontId="7" fillId="6" borderId="17" xfId="697" applyFont="1" applyFill="1" applyBorder="1" applyAlignment="1">
      <alignment horizontal="center"/>
    </xf>
    <xf numFmtId="0" fontId="7" fillId="6" borderId="18" xfId="697" applyFont="1" applyFill="1" applyBorder="1" applyAlignment="1">
      <alignment horizontal="center"/>
    </xf>
    <xf numFmtId="0" fontId="5" fillId="4" borderId="3" xfId="697" quotePrefix="1" applyFont="1" applyFill="1" applyBorder="1" applyAlignment="1">
      <alignment horizontal="center" vertical="center"/>
    </xf>
    <xf numFmtId="0" fontId="6" fillId="4" borderId="4" xfId="697" applyFont="1" applyFill="1" applyBorder="1" applyAlignment="1">
      <alignment horizontal="center" vertical="center"/>
    </xf>
    <xf numFmtId="0" fontId="5" fillId="4" borderId="7" xfId="697" applyFont="1" applyFill="1" applyBorder="1" applyAlignment="1">
      <alignment horizontal="center" vertical="center" wrapText="1"/>
    </xf>
    <xf numFmtId="0" fontId="5" fillId="4" borderId="9" xfId="697" applyFont="1" applyFill="1" applyBorder="1" applyAlignment="1">
      <alignment horizontal="center" vertical="center" wrapText="1"/>
    </xf>
    <xf numFmtId="164" fontId="5" fillId="4" borderId="6" xfId="697" applyNumberFormat="1" applyFont="1" applyFill="1" applyBorder="1" applyAlignment="1">
      <alignment horizontal="center" vertical="center" wrapText="1"/>
    </xf>
    <xf numFmtId="164" fontId="5" fillId="4" borderId="5" xfId="697" applyNumberFormat="1" applyFont="1" applyFill="1" applyBorder="1" applyAlignment="1">
      <alignment horizontal="center" vertical="center" wrapText="1"/>
    </xf>
    <xf numFmtId="0" fontId="5" fillId="3" borderId="1" xfId="697" applyFont="1" applyFill="1" applyBorder="1" applyAlignment="1">
      <alignment horizontal="center" vertical="center"/>
    </xf>
    <xf numFmtId="0" fontId="4" fillId="3" borderId="5" xfId="697" applyFont="1" applyFill="1" applyBorder="1" applyAlignment="1">
      <alignment horizontal="center" vertical="center"/>
    </xf>
    <xf numFmtId="0" fontId="4" fillId="3" borderId="8" xfId="697" applyFont="1" applyFill="1" applyBorder="1" applyAlignment="1">
      <alignment horizontal="center" vertical="center"/>
    </xf>
    <xf numFmtId="164" fontId="5" fillId="3" borderId="1" xfId="697" applyNumberFormat="1" applyFont="1" applyFill="1" applyBorder="1" applyAlignment="1">
      <alignment horizontal="center" vertical="center" wrapText="1"/>
    </xf>
    <xf numFmtId="0" fontId="4" fillId="3" borderId="5" xfId="697" applyFont="1" applyFill="1" applyBorder="1" applyAlignment="1">
      <alignment horizontal="center" vertical="center" wrapText="1"/>
    </xf>
    <xf numFmtId="0" fontId="4" fillId="3" borderId="8" xfId="697" applyFont="1" applyFill="1" applyBorder="1" applyAlignment="1">
      <alignment horizontal="center" vertical="center" wrapText="1"/>
    </xf>
    <xf numFmtId="164" fontId="5" fillId="3" borderId="6" xfId="697" applyNumberFormat="1" applyFont="1" applyFill="1" applyBorder="1" applyAlignment="1">
      <alignment horizontal="center" vertical="center" wrapText="1"/>
    </xf>
    <xf numFmtId="0" fontId="5" fillId="3" borderId="8" xfId="697" applyFont="1" applyFill="1" applyBorder="1" applyAlignment="1">
      <alignment horizontal="center" vertical="center" wrapText="1"/>
    </xf>
    <xf numFmtId="0" fontId="4" fillId="0" borderId="0" xfId="721" applyFont="1" applyAlignment="1">
      <alignment horizontal="center"/>
    </xf>
    <xf numFmtId="37" fontId="4" fillId="0" borderId="0" xfId="721" applyNumberFormat="1" applyFont="1" applyAlignment="1">
      <alignment horizontal="center"/>
    </xf>
    <xf numFmtId="0" fontId="4" fillId="0" borderId="0" xfId="721" applyFont="1" applyAlignment="1">
      <alignment horizontal="left" wrapText="1"/>
    </xf>
    <xf numFmtId="0" fontId="87" fillId="0" borderId="0" xfId="721" applyFont="1" applyAlignment="1">
      <alignment horizontal="center"/>
    </xf>
    <xf numFmtId="0" fontId="87" fillId="0" borderId="0" xfId="875" applyFont="1" applyAlignment="1">
      <alignment horizontal="center"/>
    </xf>
    <xf numFmtId="15" fontId="4" fillId="0" borderId="0" xfId="721" quotePrefix="1" applyNumberFormat="1" applyFont="1" applyAlignment="1">
      <alignment horizontal="center"/>
    </xf>
    <xf numFmtId="0" fontId="7" fillId="0" borderId="0" xfId="721" applyFont="1" applyAlignment="1">
      <alignment horizontal="center"/>
    </xf>
    <xf numFmtId="0" fontId="179" fillId="0" borderId="10" xfId="721" applyFont="1" applyFill="1" applyBorder="1" applyAlignment="1">
      <alignment horizontal="center" vertical="center"/>
    </xf>
    <xf numFmtId="0" fontId="181" fillId="0" borderId="10" xfId="721" applyFont="1" applyFill="1" applyBorder="1" applyAlignment="1">
      <alignment horizontal="center" vertical="center"/>
    </xf>
    <xf numFmtId="0" fontId="11" fillId="0" borderId="10" xfId="721" applyFill="1" applyBorder="1"/>
    <xf numFmtId="0" fontId="11" fillId="0" borderId="10" xfId="721" applyFill="1" applyBorder="1" applyAlignment="1">
      <alignment horizontal="center"/>
    </xf>
    <xf numFmtId="0" fontId="11" fillId="0" borderId="10" xfId="721" applyNumberFormat="1" applyFill="1" applyBorder="1" applyAlignment="1">
      <alignment horizontal="center"/>
    </xf>
    <xf numFmtId="39" fontId="11" fillId="0" borderId="10" xfId="721" applyNumberFormat="1" applyFill="1" applyBorder="1"/>
    <xf numFmtId="166" fontId="180" fillId="0" borderId="10" xfId="721" applyNumberFormat="1" applyFont="1" applyFill="1" applyBorder="1"/>
    <xf numFmtId="39" fontId="176" fillId="0" borderId="10" xfId="248" applyNumberFormat="1" applyFont="1" applyFill="1" applyBorder="1"/>
    <xf numFmtId="0" fontId="180" fillId="0" borderId="10" xfId="721" applyFont="1" applyFill="1" applyBorder="1"/>
    <xf numFmtId="39" fontId="180" fillId="0" borderId="10" xfId="248" applyNumberFormat="1" applyFont="1" applyFill="1" applyBorder="1"/>
    <xf numFmtId="166" fontId="176" fillId="0" borderId="10" xfId="721" applyNumberFormat="1" applyFont="1" applyFill="1" applyBorder="1"/>
    <xf numFmtId="39" fontId="0" fillId="0" borderId="0" xfId="248" applyNumberFormat="1" applyFont="1" applyFill="1"/>
    <xf numFmtId="39" fontId="4" fillId="0" borderId="31" xfId="248" applyNumberFormat="1" applyFont="1" applyFill="1" applyBorder="1"/>
    <xf numFmtId="0" fontId="11" fillId="0" borderId="10" xfId="721" applyFill="1" applyBorder="1" applyAlignment="1">
      <alignment wrapText="1"/>
    </xf>
    <xf numFmtId="0" fontId="11" fillId="0" borderId="10" xfId="721" applyNumberFormat="1" applyFill="1" applyBorder="1" applyAlignment="1">
      <alignment wrapText="1"/>
    </xf>
    <xf numFmtId="4" fontId="11" fillId="0" borderId="10" xfId="721" applyNumberFormat="1" applyFill="1" applyBorder="1" applyAlignment="1">
      <alignment wrapText="1"/>
    </xf>
    <xf numFmtId="4" fontId="11" fillId="0" borderId="0" xfId="721" applyNumberFormat="1" applyFill="1" applyAlignment="1">
      <alignment wrapText="1"/>
    </xf>
    <xf numFmtId="4" fontId="11" fillId="0" borderId="0" xfId="721" applyNumberFormat="1" applyFill="1" applyBorder="1" applyAlignment="1">
      <alignment wrapText="1"/>
    </xf>
    <xf numFmtId="39" fontId="0" fillId="0" borderId="10" xfId="248" applyNumberFormat="1" applyFont="1" applyFill="1" applyBorder="1"/>
    <xf numFmtId="0" fontId="11" fillId="0" borderId="0" xfId="721" applyFont="1" applyFill="1" applyBorder="1" applyAlignment="1">
      <alignment horizontal="center" wrapText="1"/>
    </xf>
    <xf numFmtId="0" fontId="11" fillId="0" borderId="0" xfId="721" applyFont="1" applyFill="1" applyBorder="1" applyAlignment="1">
      <alignment wrapText="1"/>
    </xf>
    <xf numFmtId="0" fontId="180" fillId="0" borderId="0" xfId="721" applyFont="1" applyFill="1" applyBorder="1" applyAlignment="1">
      <alignment horizontal="left" wrapText="1"/>
    </xf>
    <xf numFmtId="43" fontId="11" fillId="0" borderId="0" xfId="248" applyFont="1" applyFill="1" applyBorder="1" applyAlignment="1">
      <alignment wrapText="1"/>
    </xf>
    <xf numFmtId="0" fontId="4" fillId="0" borderId="10" xfId="721" applyFont="1" applyFill="1" applyBorder="1"/>
    <xf numFmtId="0" fontId="4" fillId="0" borderId="10" xfId="721" applyFont="1" applyFill="1" applyBorder="1" applyAlignment="1">
      <alignment horizontal="center"/>
    </xf>
    <xf numFmtId="39" fontId="4" fillId="0" borderId="10" xfId="721" applyNumberFormat="1" applyFont="1" applyFill="1" applyBorder="1"/>
    <xf numFmtId="166" fontId="179" fillId="0" borderId="10" xfId="721" applyNumberFormat="1" applyFont="1" applyFill="1" applyBorder="1"/>
    <xf numFmtId="166" fontId="189" fillId="0" borderId="10" xfId="721" applyNumberFormat="1" applyFont="1" applyFill="1" applyBorder="1"/>
  </cellXfs>
  <cellStyles count="1265">
    <cellStyle name="_x0007__x000b_" xfId="5"/>
    <cellStyle name="$000,000's red" xfId="6"/>
    <cellStyle name="$000s1Place" xfId="7"/>
    <cellStyle name="$MMs1Place" xfId="8"/>
    <cellStyle name="$MMs2Places" xfId="9"/>
    <cellStyle name="%" xfId="10"/>
    <cellStyle name="% Presentation" xfId="11"/>
    <cellStyle name="%_449 250-6000" xfId="12"/>
    <cellStyle name="%_521 Rollforward" xfId="13"/>
    <cellStyle name="%_541 Rollforward" xfId="14"/>
    <cellStyle name="%_Bammel Proptax Summary_010709" xfId="15"/>
    <cellStyle name="%_Bammel Proptax Summary_123108" xfId="16"/>
    <cellStyle name="%_Bammel Proptax Summary_123108_449 250-6000" xfId="17"/>
    <cellStyle name="%_Bammel Proptax Summary_123108_521 Rollforward" xfId="18"/>
    <cellStyle name="%_Bammel Proptax Summary_123108_541 Rollforward" xfId="19"/>
    <cellStyle name="%_ET Accrual ALL MS_ms" xfId="20"/>
    <cellStyle name="%_ET Accrual ALL MS_ms_449 250-6000" xfId="21"/>
    <cellStyle name="%_ET Accrual ALL MS_ms_521 Rollforward" xfId="22"/>
    <cellStyle name="%_ET Accrual ALL MS_ms_541 Rollforward" xfId="23"/>
    <cellStyle name="($000)" xfId="24"/>
    <cellStyle name="($000) red" xfId="25"/>
    <cellStyle name="($000,000's)" xfId="26"/>
    <cellStyle name="($000,000's)w/red" xfId="27"/>
    <cellStyle name="($000's)" xfId="28"/>
    <cellStyle name="(000,000's)" xfId="29"/>
    <cellStyle name="(000,000's)w/red" xfId="30"/>
    <cellStyle name="(000's)" xfId="31"/>
    <cellStyle name="******************************************" xfId="32"/>
    <cellStyle name="?? [0]_RESULTS" xfId="33"/>
    <cellStyle name="???[0]_RESULTS" xfId="34"/>
    <cellStyle name="???_RESULTS" xfId="35"/>
    <cellStyle name="??_RESULTS" xfId="36"/>
    <cellStyle name="_TX_Engr Firm Assign_2008" xfId="37"/>
    <cellStyle name="_TX_Engr Firm Assign_2008_449 250-6000" xfId="38"/>
    <cellStyle name="_TX_Engr Firm Assign_2008_521 Rollforward" xfId="39"/>
    <cellStyle name="_TX_Engr Firm Assign_2008_541 Rollforward" xfId="40"/>
    <cellStyle name="’Ê‰Ý [0.00]_GE 3 MINIMUM" xfId="41"/>
    <cellStyle name="’Ê‰Ý_GE 3 MINIMUM" xfId="42"/>
    <cellStyle name="£ BP" xfId="43"/>
    <cellStyle name="¥ JY" xfId="44"/>
    <cellStyle name="•W€_GE 3 MINIMUM" xfId="45"/>
    <cellStyle name="0" xfId="46"/>
    <cellStyle name="0%" xfId="47"/>
    <cellStyle name="0.0" xfId="48"/>
    <cellStyle name="0.0%" xfId="49"/>
    <cellStyle name="0.0_449 250-6000" xfId="50"/>
    <cellStyle name="0.00" xfId="51"/>
    <cellStyle name="0.00%" xfId="52"/>
    <cellStyle name="0.00_449 250-6000" xfId="53"/>
    <cellStyle name="0_Abovenet RVS 2004 Summary Unit Value Model FINAL" xfId="54"/>
    <cellStyle name="0_Abovenet RVS 2004 Summary Unit Value Model FINAL_449 250-6000" xfId="55"/>
    <cellStyle name="0_Abovenet RVS 2004 Summary Unit Value Model FINAL_521 Rollforward" xfId="56"/>
    <cellStyle name="0_Abovenet RVS 2004 Summary Unit Value Model FINAL_541 Rollforward" xfId="57"/>
    <cellStyle name="0000" xfId="58"/>
    <cellStyle name="000000" xfId="59"/>
    <cellStyle name="1000s1Place" xfId="60"/>
    <cellStyle name="1Decimal" xfId="61"/>
    <cellStyle name="1MMs1Place" xfId="62"/>
    <cellStyle name="1MMs2Places" xfId="63"/>
    <cellStyle name="20% - Accent1 2" xfId="64"/>
    <cellStyle name="20% - Accent1 3" xfId="65"/>
    <cellStyle name="20% - Accent1 3 2" xfId="66"/>
    <cellStyle name="20% - Accent1 4" xfId="67"/>
    <cellStyle name="20% - Accent2 2" xfId="68"/>
    <cellStyle name="20% - Accent2 3" xfId="69"/>
    <cellStyle name="20% - Accent2 3 2" xfId="70"/>
    <cellStyle name="20% - Accent2 4" xfId="71"/>
    <cellStyle name="20% - Accent3 2" xfId="72"/>
    <cellStyle name="20% - Accent3 3" xfId="73"/>
    <cellStyle name="20% - Accent3 3 2" xfId="74"/>
    <cellStyle name="20% - Accent3 4" xfId="75"/>
    <cellStyle name="20% - Accent4 2" xfId="76"/>
    <cellStyle name="20% - Accent4 3" xfId="77"/>
    <cellStyle name="20% - Accent4 3 2" xfId="78"/>
    <cellStyle name="20% - Accent4 4" xfId="79"/>
    <cellStyle name="20% - Accent5 2" xfId="80"/>
    <cellStyle name="20% - Accent5 3" xfId="81"/>
    <cellStyle name="20% - Accent5 3 2" xfId="82"/>
    <cellStyle name="20% - Accent5 4" xfId="83"/>
    <cellStyle name="20% - Accent6 2" xfId="84"/>
    <cellStyle name="20% - Accent6 3" xfId="85"/>
    <cellStyle name="20% - Accent6 3 2" xfId="86"/>
    <cellStyle name="20% - Accent6 4" xfId="87"/>
    <cellStyle name="2DecimalPercent" xfId="88"/>
    <cellStyle name="2Decimals" xfId="89"/>
    <cellStyle name="40% - Accent1 2" xfId="90"/>
    <cellStyle name="40% - Accent1 3" xfId="91"/>
    <cellStyle name="40% - Accent1 3 2" xfId="92"/>
    <cellStyle name="40% - Accent1 4" xfId="93"/>
    <cellStyle name="40% - Accent2 2" xfId="94"/>
    <cellStyle name="40% - Accent2 3" xfId="95"/>
    <cellStyle name="40% - Accent2 3 2" xfId="96"/>
    <cellStyle name="40% - Accent2 4" xfId="97"/>
    <cellStyle name="40% - Accent3 2" xfId="98"/>
    <cellStyle name="40% - Accent3 3" xfId="99"/>
    <cellStyle name="40% - Accent3 3 2" xfId="100"/>
    <cellStyle name="40% - Accent3 4" xfId="101"/>
    <cellStyle name="40% - Accent4 2" xfId="102"/>
    <cellStyle name="40% - Accent4 3" xfId="103"/>
    <cellStyle name="40% - Accent4 3 2" xfId="104"/>
    <cellStyle name="40% - Accent4 4" xfId="105"/>
    <cellStyle name="40% - Accent5 2" xfId="106"/>
    <cellStyle name="40% - Accent5 3" xfId="107"/>
    <cellStyle name="40% - Accent5 3 2" xfId="108"/>
    <cellStyle name="40% - Accent5 4" xfId="109"/>
    <cellStyle name="40% - Accent6 2" xfId="110"/>
    <cellStyle name="40% - Accent6 3" xfId="111"/>
    <cellStyle name="40% - Accent6 3 2" xfId="112"/>
    <cellStyle name="40% - Accent6 4" xfId="113"/>
    <cellStyle name="60% - Accent1 2" xfId="114"/>
    <cellStyle name="60% - Accent1 3" xfId="115"/>
    <cellStyle name="60% - Accent1 3 2" xfId="116"/>
    <cellStyle name="60% - Accent1 4" xfId="117"/>
    <cellStyle name="60% - Accent2 2" xfId="118"/>
    <cellStyle name="60% - Accent2 3" xfId="119"/>
    <cellStyle name="60% - Accent2 3 2" xfId="120"/>
    <cellStyle name="60% - Accent2 4" xfId="121"/>
    <cellStyle name="60% - Accent3 2" xfId="122"/>
    <cellStyle name="60% - Accent3 3" xfId="123"/>
    <cellStyle name="60% - Accent3 3 2" xfId="124"/>
    <cellStyle name="60% - Accent3 4" xfId="125"/>
    <cellStyle name="60% - Accent4 2" xfId="126"/>
    <cellStyle name="60% - Accent4 3" xfId="127"/>
    <cellStyle name="60% - Accent4 3 2" xfId="128"/>
    <cellStyle name="60% - Accent4 4" xfId="129"/>
    <cellStyle name="60% - Accent5 2" xfId="130"/>
    <cellStyle name="60% - Accent5 3" xfId="131"/>
    <cellStyle name="60% - Accent5 3 2" xfId="132"/>
    <cellStyle name="60% - Accent5 4" xfId="133"/>
    <cellStyle name="60% - Accent6 2" xfId="134"/>
    <cellStyle name="60% - Accent6 3" xfId="135"/>
    <cellStyle name="60% - Accent6 3 2" xfId="136"/>
    <cellStyle name="60% - Accent6 4" xfId="137"/>
    <cellStyle name="752131" xfId="138"/>
    <cellStyle name="AA_NUMBER" xfId="139"/>
    <cellStyle name="Accent1 2" xfId="140"/>
    <cellStyle name="Accent1 3" xfId="141"/>
    <cellStyle name="Accent1 3 2" xfId="142"/>
    <cellStyle name="Accent1 4" xfId="143"/>
    <cellStyle name="Accent2 2" xfId="144"/>
    <cellStyle name="Accent2 3" xfId="145"/>
    <cellStyle name="Accent2 3 2" xfId="146"/>
    <cellStyle name="Accent2 4" xfId="147"/>
    <cellStyle name="Accent3 2" xfId="148"/>
    <cellStyle name="Accent3 3" xfId="149"/>
    <cellStyle name="Accent3 3 2" xfId="150"/>
    <cellStyle name="Accent3 4" xfId="151"/>
    <cellStyle name="Accent4 2" xfId="152"/>
    <cellStyle name="Accent4 3" xfId="153"/>
    <cellStyle name="Accent4 3 2" xfId="154"/>
    <cellStyle name="Accent4 4" xfId="155"/>
    <cellStyle name="Accent5 2" xfId="156"/>
    <cellStyle name="Accent5 3" xfId="157"/>
    <cellStyle name="Accent5 3 2" xfId="158"/>
    <cellStyle name="Accent5 4" xfId="159"/>
    <cellStyle name="Accent6 2" xfId="160"/>
    <cellStyle name="Accent6 3" xfId="161"/>
    <cellStyle name="Accent6 3 2" xfId="162"/>
    <cellStyle name="Accent6 4" xfId="163"/>
    <cellStyle name="Accounting" xfId="164"/>
    <cellStyle name="Acctg" xfId="165"/>
    <cellStyle name="Acctg$" xfId="166"/>
    <cellStyle name="Acctg_449 250-6000" xfId="167"/>
    <cellStyle name="Accting" xfId="168"/>
    <cellStyle name="Actual Date" xfId="169"/>
    <cellStyle name="AFE" xfId="170"/>
    <cellStyle name="Ann'l_Incr" xfId="171"/>
    <cellStyle name="args.style" xfId="172"/>
    <cellStyle name="Bad 2" xfId="173"/>
    <cellStyle name="Bad 2 2" xfId="174"/>
    <cellStyle name="Bad 2 3" xfId="175"/>
    <cellStyle name="Bad 3" xfId="176"/>
    <cellStyle name="Bad 3 2" xfId="177"/>
    <cellStyle name="Bad 4" xfId="178"/>
    <cellStyle name="blank" xfId="179"/>
    <cellStyle name="Blue" xfId="180"/>
    <cellStyle name="blue font" xfId="181"/>
    <cellStyle name="Body" xfId="182"/>
    <cellStyle name="Bold/Border" xfId="183"/>
    <cellStyle name="Bottom Edge" xfId="184"/>
    <cellStyle name="Bullet" xfId="185"/>
    <cellStyle name="Ç¥ÁØ_¿ù°£¿ä¾àº¸°í" xfId="186"/>
    <cellStyle name="Calc" xfId="187"/>
    <cellStyle name="Calc Currency (0)" xfId="188"/>
    <cellStyle name="Calc Currency (2)" xfId="189"/>
    <cellStyle name="Calc Percent (0)" xfId="190"/>
    <cellStyle name="Calc Percent (1)" xfId="191"/>
    <cellStyle name="Calc Percent (2)" xfId="192"/>
    <cellStyle name="Calc Units (0)" xfId="193"/>
    <cellStyle name="Calc Units (1)" xfId="194"/>
    <cellStyle name="Calc Units (2)" xfId="195"/>
    <cellStyle name="Calc_449 250-6000" xfId="196"/>
    <cellStyle name="Calculation 2" xfId="197"/>
    <cellStyle name="Calculation 3" xfId="198"/>
    <cellStyle name="Calculation 3 2" xfId="199"/>
    <cellStyle name="Calculation 4" xfId="200"/>
    <cellStyle name="Centered Heading" xfId="201"/>
    <cellStyle name="Cents" xfId="202"/>
    <cellStyle name="Changeable" xfId="203"/>
    <cellStyle name="chart" xfId="204"/>
    <cellStyle name="Check Cell 2" xfId="205"/>
    <cellStyle name="Check Cell 3" xfId="206"/>
    <cellStyle name="Check Cell 3 2" xfId="207"/>
    <cellStyle name="Check Cell 4" xfId="208"/>
    <cellStyle name="Clean" xfId="209"/>
    <cellStyle name="Column_Title" xfId="210"/>
    <cellStyle name="ColumnHeading" xfId="211"/>
    <cellStyle name="Comma" xfId="1" builtinId="3"/>
    <cellStyle name="Comma  - Style1" xfId="212"/>
    <cellStyle name="Comma  - Style2" xfId="213"/>
    <cellStyle name="Comma  - Style3" xfId="214"/>
    <cellStyle name="Comma  - Style4" xfId="215"/>
    <cellStyle name="Comma  - Style5" xfId="216"/>
    <cellStyle name="Comma  - Style6" xfId="217"/>
    <cellStyle name="Comma  - Style7" xfId="218"/>
    <cellStyle name="Comma  - Style8" xfId="219"/>
    <cellStyle name="Comma %" xfId="220"/>
    <cellStyle name="Comma (1)" xfId="221"/>
    <cellStyle name="Comma (1) red" xfId="222"/>
    <cellStyle name="Comma (1)_449 250-6000" xfId="223"/>
    <cellStyle name="Comma (2)" xfId="224"/>
    <cellStyle name="Comma (2) red" xfId="225"/>
    <cellStyle name="Comma (2)_449 250-6000" xfId="226"/>
    <cellStyle name="Comma [0] red" xfId="227"/>
    <cellStyle name="Comma [00]" xfId="228"/>
    <cellStyle name="Comma 0" xfId="229"/>
    <cellStyle name="Comma 0*" xfId="230"/>
    <cellStyle name="Comma 0.0" xfId="231"/>
    <cellStyle name="Comma 0.0%" xfId="232"/>
    <cellStyle name="Comma 0.00" xfId="233"/>
    <cellStyle name="Comma 0.00%" xfId="234"/>
    <cellStyle name="Comma 0.000" xfId="235"/>
    <cellStyle name="Comma 0.000%" xfId="236"/>
    <cellStyle name="Comma 10" xfId="237"/>
    <cellStyle name="Comma 10 2" xfId="238"/>
    <cellStyle name="Comma 10 3" xfId="239"/>
    <cellStyle name="Comma 10 3 2" xfId="240"/>
    <cellStyle name="Comma 10 3 2 2" xfId="241"/>
    <cellStyle name="Comma 10 3 2 3" xfId="242"/>
    <cellStyle name="Comma 10 3 3" xfId="243"/>
    <cellStyle name="Comma 10 3 3 2" xfId="244"/>
    <cellStyle name="Comma 10 3 3 3" xfId="245"/>
    <cellStyle name="Comma 10 3 4" xfId="246"/>
    <cellStyle name="Comma 10 3 5" xfId="247"/>
    <cellStyle name="Comma 10 4" xfId="248"/>
    <cellStyle name="Comma 11" xfId="249"/>
    <cellStyle name="Comma 12" xfId="250"/>
    <cellStyle name="Comma 12 2" xfId="251"/>
    <cellStyle name="Comma 12 3" xfId="252"/>
    <cellStyle name="Comma 12 3 2" xfId="253"/>
    <cellStyle name="Comma 13" xfId="254"/>
    <cellStyle name="Comma 14" xfId="255"/>
    <cellStyle name="Comma 15" xfId="256"/>
    <cellStyle name="Comma 16" xfId="257"/>
    <cellStyle name="Comma 17" xfId="258"/>
    <cellStyle name="Comma 17 2" xfId="259"/>
    <cellStyle name="Comma 17 3" xfId="260"/>
    <cellStyle name="Comma 18" xfId="261"/>
    <cellStyle name="Comma 19" xfId="262"/>
    <cellStyle name="Comma 2" xfId="263"/>
    <cellStyle name="Comma 2 10" xfId="264"/>
    <cellStyle name="Comma 2 11" xfId="265"/>
    <cellStyle name="Comma 2 2" xfId="4"/>
    <cellStyle name="Comma 2 2 2" xfId="266"/>
    <cellStyle name="Comma 2 3" xfId="267"/>
    <cellStyle name="Comma 2 3 2" xfId="268"/>
    <cellStyle name="Comma 2 4" xfId="269"/>
    <cellStyle name="Comma 2 5" xfId="270"/>
    <cellStyle name="Comma 2 6" xfId="271"/>
    <cellStyle name="Comma 2 7" xfId="272"/>
    <cellStyle name="Comma 2 8" xfId="273"/>
    <cellStyle name="Comma 2 9" xfId="274"/>
    <cellStyle name="Comma 2_521 Rollforward" xfId="275"/>
    <cellStyle name="Comma 20" xfId="276"/>
    <cellStyle name="Comma 21" xfId="277"/>
    <cellStyle name="Comma 22" xfId="278"/>
    <cellStyle name="Comma 23" xfId="279"/>
    <cellStyle name="Comma 24" xfId="280"/>
    <cellStyle name="Comma 25" xfId="281"/>
    <cellStyle name="Comma 26" xfId="282"/>
    <cellStyle name="Comma 27" xfId="283"/>
    <cellStyle name="Comma 28" xfId="284"/>
    <cellStyle name="Comma 29" xfId="285"/>
    <cellStyle name="Comma 3" xfId="3"/>
    <cellStyle name="Comma 3 2" xfId="286"/>
    <cellStyle name="Comma 3 2 2" xfId="287"/>
    <cellStyle name="Comma 3 2 3" xfId="288"/>
    <cellStyle name="Comma 3 3" xfId="289"/>
    <cellStyle name="Comma 3 4" xfId="290"/>
    <cellStyle name="Comma 30" xfId="291"/>
    <cellStyle name="Comma 39" xfId="292"/>
    <cellStyle name="Comma 4" xfId="293"/>
    <cellStyle name="Comma 4 2" xfId="294"/>
    <cellStyle name="Comma 5" xfId="295"/>
    <cellStyle name="Comma 5 2" xfId="296"/>
    <cellStyle name="Comma 5 3" xfId="297"/>
    <cellStyle name="Comma 5 4" xfId="298"/>
    <cellStyle name="Comma 6" xfId="299"/>
    <cellStyle name="Comma 6 2" xfId="300"/>
    <cellStyle name="Comma 6 3" xfId="301"/>
    <cellStyle name="Comma 6 4" xfId="302"/>
    <cellStyle name="Comma 7" xfId="303"/>
    <cellStyle name="Comma 7 2" xfId="304"/>
    <cellStyle name="Comma 7 3" xfId="305"/>
    <cellStyle name="Comma 7 3 2" xfId="306"/>
    <cellStyle name="Comma 7 3 2 2" xfId="307"/>
    <cellStyle name="Comma 7 3 2 3" xfId="308"/>
    <cellStyle name="Comma 7 3 3" xfId="309"/>
    <cellStyle name="Comma 7 3 3 2" xfId="310"/>
    <cellStyle name="Comma 7 3 3 3" xfId="311"/>
    <cellStyle name="Comma 7 3 4" xfId="312"/>
    <cellStyle name="Comma 7 3 5" xfId="313"/>
    <cellStyle name="Comma 7 4" xfId="314"/>
    <cellStyle name="Comma 7 5" xfId="315"/>
    <cellStyle name="Comma 8" xfId="316"/>
    <cellStyle name="Comma 8 2" xfId="317"/>
    <cellStyle name="Comma 8 2 2" xfId="318"/>
    <cellStyle name="Comma 8 3" xfId="319"/>
    <cellStyle name="Comma 8 3 2" xfId="320"/>
    <cellStyle name="Comma 8 3 2 2" xfId="321"/>
    <cellStyle name="Comma 8 3 2 3" xfId="322"/>
    <cellStyle name="Comma 8 3 3" xfId="323"/>
    <cellStyle name="Comma 8 3 4" xfId="324"/>
    <cellStyle name="Comma 8 3 4 2" xfId="325"/>
    <cellStyle name="Comma 8 3 4 3" xfId="326"/>
    <cellStyle name="Comma 8 3 5" xfId="327"/>
    <cellStyle name="Comma 8 3 6" xfId="328"/>
    <cellStyle name="Comma 9" xfId="329"/>
    <cellStyle name="Comma 9 2" xfId="330"/>
    <cellStyle name="Comma 9 3" xfId="331"/>
    <cellStyle name="Comma 9 3 2" xfId="332"/>
    <cellStyle name="Comma 9 3 2 2" xfId="333"/>
    <cellStyle name="Comma 9 3 2 3" xfId="334"/>
    <cellStyle name="Comma 9 3 3" xfId="335"/>
    <cellStyle name="Comma 9 3 3 2" xfId="336"/>
    <cellStyle name="Comma 9 3 3 3" xfId="337"/>
    <cellStyle name="Comma 9 3 4" xfId="338"/>
    <cellStyle name="Comma 9 3 5" xfId="339"/>
    <cellStyle name="Comma 9 4" xfId="340"/>
    <cellStyle name="Comma Cents" xfId="341"/>
    <cellStyle name="Comma0" xfId="342"/>
    <cellStyle name="Comma1" xfId="343"/>
    <cellStyle name="Comma2" xfId="344"/>
    <cellStyle name="Comma3" xfId="345"/>
    <cellStyle name="Company Name" xfId="346"/>
    <cellStyle name="CompanyName" xfId="347"/>
    <cellStyle name="Copied" xfId="348"/>
    <cellStyle name="CR Comma" xfId="349"/>
    <cellStyle name="CR Currency" xfId="350"/>
    <cellStyle name="Credit" xfId="351"/>
    <cellStyle name="Credit subtotal" xfId="352"/>
    <cellStyle name="Credit Total" xfId="353"/>
    <cellStyle name="Curren - Style2" xfId="354"/>
    <cellStyle name="Currency" xfId="1263" builtinId="4"/>
    <cellStyle name="Currency %" xfId="355"/>
    <cellStyle name="Currency (1)" xfId="356"/>
    <cellStyle name="Currency (2)" xfId="357"/>
    <cellStyle name="Currency (2) red" xfId="358"/>
    <cellStyle name="Currency [0.00] red" xfId="359"/>
    <cellStyle name="Currency [0] red" xfId="360"/>
    <cellStyle name="Currency [00]" xfId="361"/>
    <cellStyle name="Currency [2]" xfId="362"/>
    <cellStyle name="Currency [wide]" xfId="363"/>
    <cellStyle name="Currency 0" xfId="364"/>
    <cellStyle name="Currency 0.0" xfId="365"/>
    <cellStyle name="Currency 0.0%" xfId="366"/>
    <cellStyle name="Currency 0.00" xfId="367"/>
    <cellStyle name="Currency 0.00%" xfId="368"/>
    <cellStyle name="Currency 0.000" xfId="369"/>
    <cellStyle name="Currency 0.000%" xfId="370"/>
    <cellStyle name="Currency 10" xfId="371"/>
    <cellStyle name="Currency 11" xfId="372"/>
    <cellStyle name="Currency 12" xfId="373"/>
    <cellStyle name="Currency 2" xfId="374"/>
    <cellStyle name="Currency 2 2" xfId="375"/>
    <cellStyle name="Currency 2 2 2" xfId="376"/>
    <cellStyle name="Currency 2 3" xfId="377"/>
    <cellStyle name="Currency 2 4" xfId="378"/>
    <cellStyle name="Currency 2 5" xfId="379"/>
    <cellStyle name="Currency 2 6" xfId="380"/>
    <cellStyle name="Currency 2 7" xfId="381"/>
    <cellStyle name="Currency 2_November 2010 Trial Balance (2)" xfId="382"/>
    <cellStyle name="Currency 3" xfId="383"/>
    <cellStyle name="Currency 4" xfId="384"/>
    <cellStyle name="Currency 5" xfId="385"/>
    <cellStyle name="Currency 6" xfId="386"/>
    <cellStyle name="Currency 7" xfId="387"/>
    <cellStyle name="Currency 8" xfId="388"/>
    <cellStyle name="Currency 9" xfId="389"/>
    <cellStyle name="Currency0" xfId="390"/>
    <cellStyle name="Currency1" xfId="391"/>
    <cellStyle name="Currency3" xfId="392"/>
    <cellStyle name="Dash" xfId="393"/>
    <cellStyle name="Data" xfId="394"/>
    <cellStyle name="Date" xfId="395"/>
    <cellStyle name="Date [mm-d-yyyy]" xfId="396"/>
    <cellStyle name="Date 2" xfId="397"/>
    <cellStyle name="Date 3" xfId="398"/>
    <cellStyle name="Date Aligned" xfId="399"/>
    <cellStyle name="Date Short" xfId="400"/>
    <cellStyle name="Date Year" xfId="401"/>
    <cellStyle name="Date_6-10 (with may tb) FIN - Consolidated Financials June 2010" xfId="402"/>
    <cellStyle name="Date2" xfId="403"/>
    <cellStyle name="Daydate" xfId="404"/>
    <cellStyle name="Debit" xfId="405"/>
    <cellStyle name="Debit subtotal" xfId="406"/>
    <cellStyle name="Debit Total" xfId="407"/>
    <cellStyle name="Decimal ORRI" xfId="408"/>
    <cellStyle name="Decimal RI" xfId="409"/>
    <cellStyle name="Decimal WI" xfId="410"/>
    <cellStyle name="DELTA" xfId="411"/>
    <cellStyle name="Dezimal [0]_Compiling Utility Macros" xfId="412"/>
    <cellStyle name="Dezimal_Compiling Utility Macros" xfId="413"/>
    <cellStyle name="Dollar" xfId="414"/>
    <cellStyle name="Dollar - Style5" xfId="415"/>
    <cellStyle name="Dollar_449 250-6000" xfId="416"/>
    <cellStyle name="Dollars" xfId="417"/>
    <cellStyle name="Dotted Line" xfId="418"/>
    <cellStyle name="Enter Currency (0)" xfId="419"/>
    <cellStyle name="Enter Currency (2)" xfId="420"/>
    <cellStyle name="Enter Units (0)" xfId="421"/>
    <cellStyle name="Enter Units (1)" xfId="422"/>
    <cellStyle name="Enter Units (2)" xfId="423"/>
    <cellStyle name="Entered" xfId="424"/>
    <cellStyle name="Euro" xfId="425"/>
    <cellStyle name="Explanatory Text 2" xfId="426"/>
    <cellStyle name="Explanatory Text 3" xfId="427"/>
    <cellStyle name="Explanatory Text 3 2" xfId="428"/>
    <cellStyle name="Explanatory Text 4" xfId="429"/>
    <cellStyle name="FIELD" xfId="430"/>
    <cellStyle name="Fixed" xfId="431"/>
    <cellStyle name="Fixed 2" xfId="432"/>
    <cellStyle name="Fixed0" xfId="433"/>
    <cellStyle name="Footnote" xfId="434"/>
    <cellStyle name="Footnote 2" xfId="435"/>
    <cellStyle name="ForecastInput" xfId="436"/>
    <cellStyle name="formula" xfId="437"/>
    <cellStyle name="FRxAmtStyle" xfId="438"/>
    <cellStyle name="FRxAmtStyle 10" xfId="439"/>
    <cellStyle name="FRxAmtStyle 10 2" xfId="440"/>
    <cellStyle name="FRxAmtStyle 11" xfId="441"/>
    <cellStyle name="FRxAmtStyle 11 2" xfId="442"/>
    <cellStyle name="FRxAmtStyle 12" xfId="443"/>
    <cellStyle name="FRxAmtStyle 13" xfId="444"/>
    <cellStyle name="FRxAmtStyle 14" xfId="445"/>
    <cellStyle name="FRxAmtStyle 14 2" xfId="446"/>
    <cellStyle name="FRxAmtStyle 15" xfId="447"/>
    <cellStyle name="FRxAmtStyle 16" xfId="448"/>
    <cellStyle name="FRxAmtStyle 17" xfId="449"/>
    <cellStyle name="FRxAmtStyle 18" xfId="450"/>
    <cellStyle name="FRxAmtStyle 18 2" xfId="451"/>
    <cellStyle name="FRxAmtStyle 19" xfId="452"/>
    <cellStyle name="FRxAmtStyle 19 2" xfId="453"/>
    <cellStyle name="FRxAmtStyle 2" xfId="454"/>
    <cellStyle name="FRxAmtStyle 2 2" xfId="455"/>
    <cellStyle name="FRxAmtStyle 2 2 2" xfId="456"/>
    <cellStyle name="FRxAmtStyle 2 3" xfId="457"/>
    <cellStyle name="FRxAmtStyle 2 3 2" xfId="458"/>
    <cellStyle name="FRxAmtStyle 2 4" xfId="459"/>
    <cellStyle name="FRxAmtStyle 2 4 2" xfId="460"/>
    <cellStyle name="FRxAmtStyle 2 5" xfId="461"/>
    <cellStyle name="FRxAmtStyle 2 5 2" xfId="462"/>
    <cellStyle name="FRxAmtStyle 2 6" xfId="463"/>
    <cellStyle name="FRxAmtStyle 2_6-10 (with may tb) FIN - Consolidated Financials June 2010" xfId="464"/>
    <cellStyle name="FRxAmtStyle 20" xfId="465"/>
    <cellStyle name="FRxAmtStyle 20 2" xfId="466"/>
    <cellStyle name="FRxAmtStyle 21" xfId="467"/>
    <cellStyle name="FRxAmtStyle 21 2" xfId="468"/>
    <cellStyle name="FRxAmtStyle 21 2 2" xfId="469"/>
    <cellStyle name="FRxAmtStyle 21 3" xfId="470"/>
    <cellStyle name="FRxAmtStyle 22" xfId="471"/>
    <cellStyle name="FRxAmtStyle 23" xfId="472"/>
    <cellStyle name="FRxAmtStyle 24" xfId="473"/>
    <cellStyle name="FRxAmtStyle 25" xfId="474"/>
    <cellStyle name="FRxAmtStyle 26" xfId="475"/>
    <cellStyle name="FRxAmtStyle 27" xfId="476"/>
    <cellStyle name="FRxAmtStyle 27 2" xfId="477"/>
    <cellStyle name="FRxAmtStyle 28" xfId="478"/>
    <cellStyle name="FRxAmtStyle 28 2" xfId="479"/>
    <cellStyle name="FRxAmtStyle 29" xfId="480"/>
    <cellStyle name="FRxAmtStyle 29 2" xfId="481"/>
    <cellStyle name="FRxAmtStyle 3" xfId="482"/>
    <cellStyle name="FRxAmtStyle 3 2" xfId="483"/>
    <cellStyle name="FRxAmtStyle 3 2 2" xfId="484"/>
    <cellStyle name="FRxAmtStyle 3 3" xfId="485"/>
    <cellStyle name="FRxAmtStyle 3 3 2" xfId="486"/>
    <cellStyle name="FRxAmtStyle 3 4" xfId="487"/>
    <cellStyle name="FRxAmtStyle 3 4 2" xfId="488"/>
    <cellStyle name="FRxAmtStyle 3 5" xfId="489"/>
    <cellStyle name="FRxAmtStyle 3_6-10 (with may tb) FIN - Consolidated Financials June 2010" xfId="490"/>
    <cellStyle name="FRxAmtStyle 30" xfId="491"/>
    <cellStyle name="FRxAmtStyle 31" xfId="492"/>
    <cellStyle name="FRxAmtStyle 31 2" xfId="493"/>
    <cellStyle name="FRxAmtStyle 32" xfId="494"/>
    <cellStyle name="FRxAmtStyle 32 2" xfId="495"/>
    <cellStyle name="FRxAmtStyle 4" xfId="496"/>
    <cellStyle name="FRxAmtStyle 4 2" xfId="497"/>
    <cellStyle name="FRxAmtStyle 4 3" xfId="498"/>
    <cellStyle name="FRxAmtStyle 4 4" xfId="499"/>
    <cellStyle name="FRxAmtStyle 4_6-10 (with may tb) FIN - Consolidated Financials June 2010" xfId="500"/>
    <cellStyle name="FRxAmtStyle 5" xfId="501"/>
    <cellStyle name="FRxAmtStyle 5 2" xfId="502"/>
    <cellStyle name="FRxAmtStyle 5 2 2" xfId="503"/>
    <cellStyle name="FRxAmtStyle 5 3" xfId="504"/>
    <cellStyle name="FRxAmtStyle 5 3 2" xfId="505"/>
    <cellStyle name="FRxAmtStyle 5 4" xfId="506"/>
    <cellStyle name="FRxAmtStyle 5 4 2" xfId="507"/>
    <cellStyle name="FRxAmtStyle 5_6-10 (with may tb) FIN - Consolidated Financials June 2010" xfId="508"/>
    <cellStyle name="FRxAmtStyle 6" xfId="509"/>
    <cellStyle name="FRxAmtStyle 6 2" xfId="510"/>
    <cellStyle name="FRxAmtStyle 6 2 2" xfId="511"/>
    <cellStyle name="FRxAmtStyle 6 3" xfId="512"/>
    <cellStyle name="FRxAmtStyle 6 3 2" xfId="513"/>
    <cellStyle name="FRxAmtStyle 6 4" xfId="514"/>
    <cellStyle name="FRxAmtStyle 6 4 2" xfId="515"/>
    <cellStyle name="FRxAmtStyle 6_6-10 (with may tb) FIN - Consolidated Financials June 2010" xfId="516"/>
    <cellStyle name="FRxAmtStyle 7" xfId="517"/>
    <cellStyle name="FRxAmtStyle 7 2" xfId="518"/>
    <cellStyle name="FRxAmtStyle 8" xfId="519"/>
    <cellStyle name="FRxAmtStyle 8 2" xfId="520"/>
    <cellStyle name="FRxAmtStyle 9" xfId="521"/>
    <cellStyle name="FRxAmtStyle_6-10 (with may tb) FIN - Consolidated Financials June 2010" xfId="522"/>
    <cellStyle name="FRxCurrStyle" xfId="523"/>
    <cellStyle name="FRxCurrStyle 10" xfId="524"/>
    <cellStyle name="FRxCurrStyle 11" xfId="525"/>
    <cellStyle name="FRxCurrStyle 11 2" xfId="526"/>
    <cellStyle name="FRxCurrStyle 12" xfId="527"/>
    <cellStyle name="FRxCurrStyle 13" xfId="528"/>
    <cellStyle name="FRxCurrStyle 14" xfId="529"/>
    <cellStyle name="FRxCurrStyle 14 2" xfId="530"/>
    <cellStyle name="FRxCurrStyle 15" xfId="531"/>
    <cellStyle name="FRxCurrStyle 15 2" xfId="532"/>
    <cellStyle name="FRxCurrStyle 16" xfId="533"/>
    <cellStyle name="FRxCurrStyle 16 2" xfId="534"/>
    <cellStyle name="FRxCurrStyle 17" xfId="535"/>
    <cellStyle name="FRxCurrStyle 18" xfId="536"/>
    <cellStyle name="FRxCurrStyle 19" xfId="537"/>
    <cellStyle name="FRxCurrStyle 2" xfId="538"/>
    <cellStyle name="FRxCurrStyle 2 2" xfId="539"/>
    <cellStyle name="FRxCurrStyle 20" xfId="540"/>
    <cellStyle name="FRxCurrStyle 21" xfId="541"/>
    <cellStyle name="FRxCurrStyle 22" xfId="542"/>
    <cellStyle name="FRxCurrStyle 23" xfId="543"/>
    <cellStyle name="FRxCurrStyle 24" xfId="544"/>
    <cellStyle name="FRxCurrStyle 25" xfId="545"/>
    <cellStyle name="FRxCurrStyle 26" xfId="546"/>
    <cellStyle name="FRxCurrStyle 26 2" xfId="547"/>
    <cellStyle name="FRxCurrStyle 27" xfId="548"/>
    <cellStyle name="FRxCurrStyle 28" xfId="549"/>
    <cellStyle name="FRxCurrStyle 28 2" xfId="550"/>
    <cellStyle name="FRxCurrStyle 3" xfId="551"/>
    <cellStyle name="FRxCurrStyle 3 2" xfId="552"/>
    <cellStyle name="FRxCurrStyle 4" xfId="553"/>
    <cellStyle name="FRxCurrStyle 5" xfId="554"/>
    <cellStyle name="FRxCurrStyle 6" xfId="555"/>
    <cellStyle name="FRxCurrStyle 7" xfId="556"/>
    <cellStyle name="FRxCurrStyle 8" xfId="557"/>
    <cellStyle name="FRxCurrStyle 9" xfId="558"/>
    <cellStyle name="FRxCurrStyle_6-10 (with may tb) FIN - Consolidated Financials June 2010" xfId="559"/>
    <cellStyle name="FRxPcntStyle" xfId="560"/>
    <cellStyle name="FRxPcntStyle 10" xfId="561"/>
    <cellStyle name="FRxPcntStyle 11" xfId="562"/>
    <cellStyle name="FRxPcntStyle 12" xfId="563"/>
    <cellStyle name="FRxPcntStyle 12 2" xfId="564"/>
    <cellStyle name="FRxPcntStyle 13" xfId="565"/>
    <cellStyle name="FRxPcntStyle 14" xfId="566"/>
    <cellStyle name="FRxPcntStyle 15" xfId="567"/>
    <cellStyle name="FRxPcntStyle 15 2" xfId="568"/>
    <cellStyle name="FRxPcntStyle 16" xfId="569"/>
    <cellStyle name="FRxPcntStyle 16 2" xfId="570"/>
    <cellStyle name="FRxPcntStyle 17" xfId="571"/>
    <cellStyle name="FRxPcntStyle 17 2" xfId="572"/>
    <cellStyle name="FRxPcntStyle 18" xfId="573"/>
    <cellStyle name="FRxPcntStyle 19" xfId="574"/>
    <cellStyle name="FRxPcntStyle 2" xfId="575"/>
    <cellStyle name="FRxPcntStyle 20" xfId="576"/>
    <cellStyle name="FRxPcntStyle 21" xfId="577"/>
    <cellStyle name="FRxPcntStyle 22" xfId="578"/>
    <cellStyle name="FRxPcntStyle 23" xfId="579"/>
    <cellStyle name="FRxPcntStyle 24" xfId="580"/>
    <cellStyle name="FRxPcntStyle 25" xfId="581"/>
    <cellStyle name="FRxPcntStyle 26" xfId="582"/>
    <cellStyle name="FRxPcntStyle 27" xfId="583"/>
    <cellStyle name="FRxPcntStyle 27 2" xfId="584"/>
    <cellStyle name="FRxPcntStyle 3" xfId="585"/>
    <cellStyle name="FRxPcntStyle 3 2" xfId="586"/>
    <cellStyle name="FRxPcntStyle 4" xfId="587"/>
    <cellStyle name="FRxPcntStyle 4 2" xfId="588"/>
    <cellStyle name="FRxPcntStyle 5" xfId="589"/>
    <cellStyle name="FRxPcntStyle 6" xfId="590"/>
    <cellStyle name="FRxPcntStyle 7" xfId="591"/>
    <cellStyle name="FRxPcntStyle 8" xfId="592"/>
    <cellStyle name="FRxPcntStyle 9" xfId="593"/>
    <cellStyle name="FRxPcntStyle_6-10 (with may tb) FIN - Consolidated Financials June 2010" xfId="594"/>
    <cellStyle name="general" xfId="595"/>
    <cellStyle name="Good 2" xfId="596"/>
    <cellStyle name="Good 3" xfId="597"/>
    <cellStyle name="Good 3 2" xfId="598"/>
    <cellStyle name="Good 4" xfId="599"/>
    <cellStyle name="Grey" xfId="600"/>
    <cellStyle name="Grey 2" xfId="601"/>
    <cellStyle name="GrowthRate" xfId="602"/>
    <cellStyle name="Hard Percent" xfId="603"/>
    <cellStyle name="HBC Income" xfId="604"/>
    <cellStyle name="header" xfId="605"/>
    <cellStyle name="Header 2" xfId="606"/>
    <cellStyle name="Header1" xfId="607"/>
    <cellStyle name="Header2" xfId="608"/>
    <cellStyle name="Headin - Style6" xfId="609"/>
    <cellStyle name="Heading" xfId="610"/>
    <cellStyle name="Heading 1 2" xfId="611"/>
    <cellStyle name="Heading 1 3" xfId="612"/>
    <cellStyle name="Heading 1 3 2" xfId="613"/>
    <cellStyle name="Heading 1 4" xfId="614"/>
    <cellStyle name="Heading 2 2" xfId="615"/>
    <cellStyle name="Heading 2 3" xfId="616"/>
    <cellStyle name="Heading 2 3 2" xfId="617"/>
    <cellStyle name="Heading 2 4" xfId="618"/>
    <cellStyle name="Heading 3 2" xfId="619"/>
    <cellStyle name="Heading 3 3" xfId="620"/>
    <cellStyle name="Heading 3 3 2" xfId="621"/>
    <cellStyle name="Heading 3 4" xfId="622"/>
    <cellStyle name="Heading 4 2" xfId="623"/>
    <cellStyle name="Heading 4 3" xfId="624"/>
    <cellStyle name="Heading 4 3 2" xfId="625"/>
    <cellStyle name="Heading 5" xfId="626"/>
    <cellStyle name="Heading No Underline" xfId="627"/>
    <cellStyle name="Heading With Underline" xfId="628"/>
    <cellStyle name="Heading1" xfId="629"/>
    <cellStyle name="Heading1 2" xfId="630"/>
    <cellStyle name="Heading2" xfId="631"/>
    <cellStyle name="Heading2 2" xfId="632"/>
    <cellStyle name="HEADINGS" xfId="633"/>
    <cellStyle name="HEADINGSTOP" xfId="634"/>
    <cellStyle name="HeadlineStyle" xfId="635"/>
    <cellStyle name="HeadlineStyleJustified" xfId="636"/>
    <cellStyle name="HIDDEN" xfId="637"/>
    <cellStyle name="HIGHLIGHT" xfId="638"/>
    <cellStyle name="Highlight 1" xfId="639"/>
    <cellStyle name="HIGHLIGHT_449 250-6000" xfId="640"/>
    <cellStyle name="Hyperlink 2" xfId="641"/>
    <cellStyle name="IncomeStatement" xfId="642"/>
    <cellStyle name="Input [yellow]" xfId="643"/>
    <cellStyle name="Input [yellow] 2" xfId="644"/>
    <cellStyle name="Input 2" xfId="645"/>
    <cellStyle name="Input 3" xfId="646"/>
    <cellStyle name="Input 3 2" xfId="647"/>
    <cellStyle name="Input 4" xfId="648"/>
    <cellStyle name="Input 5" xfId="649"/>
    <cellStyle name="Input 6" xfId="650"/>
    <cellStyle name="Input cell" xfId="651"/>
    <cellStyle name="Inputs" xfId="652"/>
    <cellStyle name="Input-Text Only" xfId="653"/>
    <cellStyle name="Integer" xfId="654"/>
    <cellStyle name="KP_Normal" xfId="655"/>
    <cellStyle name="Label" xfId="656"/>
    <cellStyle name="Label, Store Num" xfId="657"/>
    <cellStyle name="Label_449 250-6000" xfId="658"/>
    <cellStyle name="Lien hypertexte" xfId="659"/>
    <cellStyle name="Lien hypertexte visité" xfId="660"/>
    <cellStyle name="Lien hypertexte_449 250-6000" xfId="661"/>
    <cellStyle name="Line" xfId="662"/>
    <cellStyle name="LineBottom" xfId="663"/>
    <cellStyle name="LineTop" xfId="664"/>
    <cellStyle name="Link Currency (0)" xfId="665"/>
    <cellStyle name="Link Currency (2)" xfId="666"/>
    <cellStyle name="Link Units (0)" xfId="667"/>
    <cellStyle name="Link Units (1)" xfId="668"/>
    <cellStyle name="Link Units (2)" xfId="669"/>
    <cellStyle name="Linked Cell 2" xfId="670"/>
    <cellStyle name="Linked Cell 3" xfId="671"/>
    <cellStyle name="Linked Cell 3 2" xfId="672"/>
    <cellStyle name="Linked Cell 4" xfId="673"/>
    <cellStyle name="Margins" xfId="674"/>
    <cellStyle name="Miles" xfId="675"/>
    <cellStyle name="Millares [0]_2AV_M_M " xfId="676"/>
    <cellStyle name="Millares_2AV_M_M " xfId="677"/>
    <cellStyle name="Mills" xfId="678"/>
    <cellStyle name="MMs1Place" xfId="679"/>
    <cellStyle name="MMs2Places" xfId="680"/>
    <cellStyle name="mo" xfId="681"/>
    <cellStyle name="mo end" xfId="682"/>
    <cellStyle name="Moneda [0]_2AV_M_M " xfId="683"/>
    <cellStyle name="Moneda_2AV_M_M " xfId="684"/>
    <cellStyle name="Monétaire_Asset-Extraction 00 APR avec Network" xfId="685"/>
    <cellStyle name="MonthYear" xfId="686"/>
    <cellStyle name="Multiple" xfId="687"/>
    <cellStyle name="Name - Style7" xfId="688"/>
    <cellStyle name="Neutral 2" xfId="689"/>
    <cellStyle name="Neutral 3" xfId="690"/>
    <cellStyle name="Neutral 3 2" xfId="691"/>
    <cellStyle name="Neutral 4" xfId="692"/>
    <cellStyle name="no dec" xfId="693"/>
    <cellStyle name="Normal" xfId="0" builtinId="0"/>
    <cellStyle name="Normal - Style1" xfId="694"/>
    <cellStyle name="Normal - Style1 2" xfId="695"/>
    <cellStyle name="Normal - Style8" xfId="696"/>
    <cellStyle name="Normal 10" xfId="697"/>
    <cellStyle name="Normal 10 2" xfId="698"/>
    <cellStyle name="Normal 10 2 2" xfId="699"/>
    <cellStyle name="Normal 10 3" xfId="700"/>
    <cellStyle name="Normal 10 3 2" xfId="701"/>
    <cellStyle name="Normal 10 4" xfId="702"/>
    <cellStyle name="Normal 10 4 2" xfId="703"/>
    <cellStyle name="Normal 10 4 3" xfId="704"/>
    <cellStyle name="Normal 10 5" xfId="705"/>
    <cellStyle name="Normal 10 5 2" xfId="706"/>
    <cellStyle name="Normal 10 5 3" xfId="707"/>
    <cellStyle name="Normal 10 6" xfId="708"/>
    <cellStyle name="Normal 10 7" xfId="709"/>
    <cellStyle name="Normal 11" xfId="710"/>
    <cellStyle name="Normal 12" xfId="711"/>
    <cellStyle name="Normal 13" xfId="712"/>
    <cellStyle name="Normal 14" xfId="713"/>
    <cellStyle name="Normal 15" xfId="714"/>
    <cellStyle name="Normal 16" xfId="715"/>
    <cellStyle name="Normal 17" xfId="716"/>
    <cellStyle name="Normal 18" xfId="717"/>
    <cellStyle name="Normal 19" xfId="718"/>
    <cellStyle name="Normal 19 2" xfId="719"/>
    <cellStyle name="Normal 2" xfId="720"/>
    <cellStyle name="Normal 2 2" xfId="721"/>
    <cellStyle name="Normal 2 2 2" xfId="722"/>
    <cellStyle name="Normal 2 2 2 2" xfId="723"/>
    <cellStyle name="Normal 2 2_6-10 (with may tb) FIN - Consolidated Financials June 2010" xfId="724"/>
    <cellStyle name="Normal 2 3" xfId="725"/>
    <cellStyle name="Normal 2 3 2" xfId="726"/>
    <cellStyle name="Normal 2 4" xfId="727"/>
    <cellStyle name="Normal 2 4 2" xfId="728"/>
    <cellStyle name="Normal 2 5" xfId="729"/>
    <cellStyle name="Normal 2 6" xfId="730"/>
    <cellStyle name="Normal 2 7" xfId="731"/>
    <cellStyle name="Normal 2 8" xfId="732"/>
    <cellStyle name="Normal 2 9" xfId="733"/>
    <cellStyle name="Normal 2_4100112 - Amortization of Intangible Assets - April" xfId="734"/>
    <cellStyle name="Normal 20" xfId="735"/>
    <cellStyle name="Normal 21" xfId="736"/>
    <cellStyle name="Normal 22" xfId="737"/>
    <cellStyle name="Normal 23" xfId="738"/>
    <cellStyle name="Normal 24" xfId="739"/>
    <cellStyle name="Normal 25" xfId="740"/>
    <cellStyle name="Normal 26" xfId="741"/>
    <cellStyle name="Normal 26 2" xfId="742"/>
    <cellStyle name="Normal 27" xfId="743"/>
    <cellStyle name="Normal 28" xfId="744"/>
    <cellStyle name="Normal 28 2" xfId="745"/>
    <cellStyle name="Normal 29" xfId="746"/>
    <cellStyle name="Normal 3" xfId="2"/>
    <cellStyle name="Normal 3 2" xfId="747"/>
    <cellStyle name="Normal 3 3" xfId="748"/>
    <cellStyle name="Normal 3 3 2" xfId="749"/>
    <cellStyle name="Normal 3 4" xfId="750"/>
    <cellStyle name="Normal 3 4 2" xfId="751"/>
    <cellStyle name="Normal 3 5" xfId="752"/>
    <cellStyle name="Normal 3 5 2" xfId="753"/>
    <cellStyle name="Normal 3 6" xfId="754"/>
    <cellStyle name="Normal 3_6-10 (with may tb) FIN - Consolidated Financials June 2010" xfId="755"/>
    <cellStyle name="Normal 30" xfId="756"/>
    <cellStyle name="Normal 31" xfId="757"/>
    <cellStyle name="Normal 32" xfId="758"/>
    <cellStyle name="Normal 33" xfId="759"/>
    <cellStyle name="Normal 34" xfId="760"/>
    <cellStyle name="Normal 35" xfId="761"/>
    <cellStyle name="Normal 36" xfId="762"/>
    <cellStyle name="Normal 37" xfId="763"/>
    <cellStyle name="Normal 38" xfId="764"/>
    <cellStyle name="Normal 39" xfId="765"/>
    <cellStyle name="Normal 39 2" xfId="766"/>
    <cellStyle name="Normal 39_November 2010 Trial Balance (2)" xfId="767"/>
    <cellStyle name="Normal 4" xfId="768"/>
    <cellStyle name="Normal 4 2" xfId="769"/>
    <cellStyle name="Normal 4 3" xfId="770"/>
    <cellStyle name="Normal 4 4" xfId="771"/>
    <cellStyle name="Normal 4 5" xfId="772"/>
    <cellStyle name="Normal 4_6-10 (with may tb) FIN - Consolidated Financials June 2010" xfId="773"/>
    <cellStyle name="Normal 40" xfId="774"/>
    <cellStyle name="Normal 41" xfId="775"/>
    <cellStyle name="Normal 42" xfId="776"/>
    <cellStyle name="Normal 43" xfId="777"/>
    <cellStyle name="Normal 43 2" xfId="778"/>
    <cellStyle name="Normal 44" xfId="779"/>
    <cellStyle name="Normal 45" xfId="780"/>
    <cellStyle name="Normal 45 2" xfId="781"/>
    <cellStyle name="Normal 45 3" xfId="782"/>
    <cellStyle name="Normal 45 3 2" xfId="783"/>
    <cellStyle name="Normal 46" xfId="784"/>
    <cellStyle name="Normal 46 2" xfId="785"/>
    <cellStyle name="Normal 46 2 2" xfId="786"/>
    <cellStyle name="Normal 47" xfId="787"/>
    <cellStyle name="Normal 47 2" xfId="788"/>
    <cellStyle name="Normal 47 2 2" xfId="789"/>
    <cellStyle name="Normal 48" xfId="790"/>
    <cellStyle name="Normal 48 2" xfId="791"/>
    <cellStyle name="Normal 48 2 2" xfId="792"/>
    <cellStyle name="Normal 48 2 3" xfId="793"/>
    <cellStyle name="Normal 49" xfId="794"/>
    <cellStyle name="Normal 49 2" xfId="795"/>
    <cellStyle name="Normal 49 2 2" xfId="796"/>
    <cellStyle name="Normal 5" xfId="797"/>
    <cellStyle name="Normal 5 2" xfId="798"/>
    <cellStyle name="Normal 5 2 2" xfId="799"/>
    <cellStyle name="Normal 5 3" xfId="800"/>
    <cellStyle name="Normal 5 3 2" xfId="801"/>
    <cellStyle name="Normal 5 3 3" xfId="802"/>
    <cellStyle name="Normal 5 4" xfId="803"/>
    <cellStyle name="Normal 5 4 2" xfId="804"/>
    <cellStyle name="Normal 5 4 3" xfId="805"/>
    <cellStyle name="Normal 5 5" xfId="806"/>
    <cellStyle name="Normal 5 6" xfId="807"/>
    <cellStyle name="Normal 5 7" xfId="808"/>
    <cellStyle name="Normal 50" xfId="809"/>
    <cellStyle name="Normal 50 2" xfId="810"/>
    <cellStyle name="Normal 50 2 2" xfId="811"/>
    <cellStyle name="Normal 50 3" xfId="812"/>
    <cellStyle name="Normal 50 4" xfId="813"/>
    <cellStyle name="Normal 51" xfId="814"/>
    <cellStyle name="Normal 51 2" xfId="815"/>
    <cellStyle name="Normal 52" xfId="816"/>
    <cellStyle name="Normal 52 2" xfId="817"/>
    <cellStyle name="Normal 53" xfId="818"/>
    <cellStyle name="Normal 53 2" xfId="819"/>
    <cellStyle name="Normal 53 3" xfId="820"/>
    <cellStyle name="Normal 54" xfId="821"/>
    <cellStyle name="Normal 54 2" xfId="822"/>
    <cellStyle name="Normal 54 3" xfId="823"/>
    <cellStyle name="Normal 55" xfId="824"/>
    <cellStyle name="Normal 55 2" xfId="825"/>
    <cellStyle name="Normal 56" xfId="826"/>
    <cellStyle name="Normal 57" xfId="827"/>
    <cellStyle name="Normal 58" xfId="828"/>
    <cellStyle name="Normal 59" xfId="829"/>
    <cellStyle name="Normal 6" xfId="830"/>
    <cellStyle name="Normal 6 10" xfId="831"/>
    <cellStyle name="Normal 6 2" xfId="832"/>
    <cellStyle name="Normal 6 2 2" xfId="833"/>
    <cellStyle name="Normal 6 3" xfId="834"/>
    <cellStyle name="Normal 6 3 2" xfId="835"/>
    <cellStyle name="Normal 6 4" xfId="836"/>
    <cellStyle name="Normal 6 4 2" xfId="837"/>
    <cellStyle name="Normal 6 5" xfId="838"/>
    <cellStyle name="Normal 6 6" xfId="839"/>
    <cellStyle name="Normal 6 6 2" xfId="840"/>
    <cellStyle name="Normal 6 6 3" xfId="841"/>
    <cellStyle name="Normal 6 7" xfId="842"/>
    <cellStyle name="Normal 6 7 2" xfId="843"/>
    <cellStyle name="Normal 6 7 3" xfId="844"/>
    <cellStyle name="Normal 6 8" xfId="845"/>
    <cellStyle name="Normal 6 9" xfId="846"/>
    <cellStyle name="Normal 6_6-10 (with may tb) FIN - Consolidated Financials June 2010" xfId="847"/>
    <cellStyle name="Normal 60" xfId="848"/>
    <cellStyle name="Normal 61" xfId="849"/>
    <cellStyle name="Normal 62" xfId="850"/>
    <cellStyle name="Normal 63" xfId="851"/>
    <cellStyle name="Normal 64" xfId="852"/>
    <cellStyle name="Normal 65" xfId="853"/>
    <cellStyle name="Normal 66" xfId="854"/>
    <cellStyle name="Normal 67" xfId="855"/>
    <cellStyle name="Normal 68" xfId="856"/>
    <cellStyle name="Normal 69" xfId="857"/>
    <cellStyle name="Normal 7" xfId="858"/>
    <cellStyle name="Normal 7 2" xfId="859"/>
    <cellStyle name="Normal 7 2 2" xfId="860"/>
    <cellStyle name="Normal 7 3" xfId="861"/>
    <cellStyle name="Normal 7 3 2" xfId="862"/>
    <cellStyle name="Normal 7 4" xfId="863"/>
    <cellStyle name="Normal 7 4 2" xfId="864"/>
    <cellStyle name="Normal 7 5" xfId="865"/>
    <cellStyle name="Normal 7 5 2" xfId="866"/>
    <cellStyle name="Normal 7 5 3" xfId="867"/>
    <cellStyle name="Normal 7 6" xfId="868"/>
    <cellStyle name="Normal 7 6 2" xfId="869"/>
    <cellStyle name="Normal 7 6 3" xfId="870"/>
    <cellStyle name="Normal 7 7" xfId="871"/>
    <cellStyle name="Normal 7 8" xfId="872"/>
    <cellStyle name="Normal 7_November 2010 Trial Balance (2)" xfId="873"/>
    <cellStyle name="Normal 70" xfId="874"/>
    <cellStyle name="Normal 71" xfId="875"/>
    <cellStyle name="Normal 72" xfId="876"/>
    <cellStyle name="Normal 8" xfId="877"/>
    <cellStyle name="Normal 8 2" xfId="878"/>
    <cellStyle name="Normal 8 2 2" xfId="879"/>
    <cellStyle name="Normal 8 3" xfId="880"/>
    <cellStyle name="Normal 8 3 2" xfId="881"/>
    <cellStyle name="Normal 8 3 3" xfId="882"/>
    <cellStyle name="Normal 8 4" xfId="883"/>
    <cellStyle name="Normal 8 4 2" xfId="884"/>
    <cellStyle name="Normal 8 4 3" xfId="885"/>
    <cellStyle name="Normal 8 5" xfId="886"/>
    <cellStyle name="Normal 8 6" xfId="887"/>
    <cellStyle name="Normal 9" xfId="888"/>
    <cellStyle name="Normal 9 2" xfId="889"/>
    <cellStyle name="Normal 9 3" xfId="890"/>
    <cellStyle name="Normal 9 4" xfId="891"/>
    <cellStyle name="Normal 9 5" xfId="892"/>
    <cellStyle name="Normal 9 5 2" xfId="893"/>
    <cellStyle name="Normal 9 6" xfId="894"/>
    <cellStyle name="Normal 9 6 2" xfId="895"/>
    <cellStyle name="Normal 9 6 3" xfId="896"/>
    <cellStyle name="Normal 9 7" xfId="897"/>
    <cellStyle name="Normal 9 7 2" xfId="898"/>
    <cellStyle name="Normal 9 7 3" xfId="899"/>
    <cellStyle name="Normal 9 8" xfId="900"/>
    <cellStyle name="Normal 9 9" xfId="901"/>
    <cellStyle name="Normal 9_6-10 (with may tb) FIN - Consolidated Financials June 2010" xfId="902"/>
    <cellStyle name="Normal header" xfId="903"/>
    <cellStyle name="Normal_Final Revenue Requirement - Scenario #11" xfId="1264"/>
    <cellStyle name="Normal1Places" xfId="904"/>
    <cellStyle name="Normal2Places" xfId="905"/>
    <cellStyle name="Normal3Places" xfId="906"/>
    <cellStyle name="NormalGB" xfId="907"/>
    <cellStyle name="Note 2" xfId="908"/>
    <cellStyle name="Note 3" xfId="909"/>
    <cellStyle name="Note 3 2" xfId="910"/>
    <cellStyle name="Note 4" xfId="911"/>
    <cellStyle name="nPlosion" xfId="912"/>
    <cellStyle name="Œ…‹æØ‚è [0.00]_GE 3 MINIMUM" xfId="913"/>
    <cellStyle name="Œ…‹æØ‚è_GE 3 MINIMUM" xfId="914"/>
    <cellStyle name="outh America" xfId="915"/>
    <cellStyle name="Output 2" xfId="916"/>
    <cellStyle name="Output 3" xfId="917"/>
    <cellStyle name="Output 3 2" xfId="918"/>
    <cellStyle name="Output 4" xfId="919"/>
    <cellStyle name="Output Amounts" xfId="920"/>
    <cellStyle name="Output Column Headings" xfId="921"/>
    <cellStyle name="Output Column Headings 2" xfId="922"/>
    <cellStyle name="Output Line Items" xfId="923"/>
    <cellStyle name="Output Report Heading" xfId="924"/>
    <cellStyle name="Output Report Heading 2" xfId="925"/>
    <cellStyle name="Output Report Title" xfId="926"/>
    <cellStyle name="Output Report Title 2" xfId="927"/>
    <cellStyle name="Page Number" xfId="928"/>
    <cellStyle name="PB Table Heading" xfId="929"/>
    <cellStyle name="PB Table Highlight1" xfId="930"/>
    <cellStyle name="PB Table Highlight2" xfId="931"/>
    <cellStyle name="PB Table Highlight3" xfId="932"/>
    <cellStyle name="PB Table Standard Row" xfId="933"/>
    <cellStyle name="PB Table Subtotal Row" xfId="934"/>
    <cellStyle name="PB Table Total Row" xfId="935"/>
    <cellStyle name="per.style" xfId="936"/>
    <cellStyle name="Percen - Style5" xfId="937"/>
    <cellStyle name="Percent %" xfId="938"/>
    <cellStyle name="Percent % Long Underline" xfId="939"/>
    <cellStyle name="Percent %_Worksheet in  US Financial Statements Ref. Workbook - Single Co" xfId="940"/>
    <cellStyle name="Percent (0)" xfId="941"/>
    <cellStyle name="Percent (0) 2" xfId="942"/>
    <cellStyle name="Percent (0) 3" xfId="943"/>
    <cellStyle name="Percent (0) 3 2" xfId="944"/>
    <cellStyle name="Percent (0) 3 3" xfId="945"/>
    <cellStyle name="Percent (0) 3 3 2" xfId="946"/>
    <cellStyle name="Percent (0) 4" xfId="947"/>
    <cellStyle name="Percent (0) 4 2" xfId="948"/>
    <cellStyle name="Percent (1)" xfId="949"/>
    <cellStyle name="Percent (1) red" xfId="950"/>
    <cellStyle name="Percent (2)" xfId="951"/>
    <cellStyle name="Percent [2]" xfId="952"/>
    <cellStyle name="Percent [2] 2" xfId="953"/>
    <cellStyle name="Percent [2] 3" xfId="954"/>
    <cellStyle name="Percent [2] 3 2" xfId="955"/>
    <cellStyle name="Percent [2] 3 3" xfId="956"/>
    <cellStyle name="Percent [2] 3 3 2" xfId="957"/>
    <cellStyle name="Percent [2] 4" xfId="958"/>
    <cellStyle name="Percent [2] 4 2" xfId="959"/>
    <cellStyle name="Percent 0.0%" xfId="960"/>
    <cellStyle name="Percent 0.0% Long Underline" xfId="961"/>
    <cellStyle name="Percent 0.00%" xfId="962"/>
    <cellStyle name="Percent 0.00% Long Underline" xfId="963"/>
    <cellStyle name="Percent 0.000%" xfId="964"/>
    <cellStyle name="Percent 0.000% Long Underline" xfId="965"/>
    <cellStyle name="Percent 10" xfId="966"/>
    <cellStyle name="Percent 11" xfId="967"/>
    <cellStyle name="Percent 11 2" xfId="968"/>
    <cellStyle name="Percent 11 3" xfId="969"/>
    <cellStyle name="Percent 12" xfId="970"/>
    <cellStyle name="Percent 13" xfId="971"/>
    <cellStyle name="Percent 14" xfId="972"/>
    <cellStyle name="Percent 15" xfId="973"/>
    <cellStyle name="Percent 16" xfId="974"/>
    <cellStyle name="Percent 17" xfId="975"/>
    <cellStyle name="Percent 18" xfId="976"/>
    <cellStyle name="Percent 19" xfId="977"/>
    <cellStyle name="Percent 2" xfId="978"/>
    <cellStyle name="Percent 2 2" xfId="979"/>
    <cellStyle name="Percent 2 3" xfId="980"/>
    <cellStyle name="Percent 2 4" xfId="981"/>
    <cellStyle name="Percent 2 5" xfId="982"/>
    <cellStyle name="Percent 2 6" xfId="983"/>
    <cellStyle name="Percent 2 7" xfId="984"/>
    <cellStyle name="Percent 3" xfId="985"/>
    <cellStyle name="Percent 3 2" xfId="986"/>
    <cellStyle name="Percent 4" xfId="987"/>
    <cellStyle name="Percent 5" xfId="988"/>
    <cellStyle name="Percent 5 2" xfId="989"/>
    <cellStyle name="Percent 5 3" xfId="990"/>
    <cellStyle name="Percent 6" xfId="991"/>
    <cellStyle name="Percent 6 2" xfId="992"/>
    <cellStyle name="Percent 7" xfId="993"/>
    <cellStyle name="Percent 7 2" xfId="994"/>
    <cellStyle name="Percent 7 3" xfId="995"/>
    <cellStyle name="Percent 7 3 2" xfId="996"/>
    <cellStyle name="Percent 7 3 3" xfId="997"/>
    <cellStyle name="Percent 7 4" xfId="998"/>
    <cellStyle name="Percent 7 5" xfId="999"/>
    <cellStyle name="Percent 8" xfId="1000"/>
    <cellStyle name="Percent 9" xfId="1001"/>
    <cellStyle name="Percent Comma" xfId="1002"/>
    <cellStyle name="Percent(1)" xfId="1003"/>
    <cellStyle name="Percent1" xfId="1004"/>
    <cellStyle name="Percent2" xfId="1005"/>
    <cellStyle name="Price" xfId="1006"/>
    <cellStyle name="PSChar" xfId="1007"/>
    <cellStyle name="PSDate" xfId="1008"/>
    <cellStyle name="PSDec" xfId="1009"/>
    <cellStyle name="PSHeading" xfId="1010"/>
    <cellStyle name="PSInt" xfId="1011"/>
    <cellStyle name="PSSpacer" xfId="1012"/>
    <cellStyle name="Questionable" xfId="1013"/>
    <cellStyle name="Ratio" xfId="1014"/>
    <cellStyle name="Ratio Comma" xfId="1015"/>
    <cellStyle name="Ratio_Cingular Market Approach" xfId="1016"/>
    <cellStyle name="regstoresfromspecstores" xfId="1017"/>
    <cellStyle name="RevList" xfId="1018"/>
    <cellStyle name="Salomon Logo" xfId="1019"/>
    <cellStyle name="Section" xfId="1020"/>
    <cellStyle name="SEPEntry" xfId="1021"/>
    <cellStyle name="Shade" xfId="1022"/>
    <cellStyle name="SHADEDSTORES" xfId="1023"/>
    <cellStyle name="Size10Pt" xfId="1024"/>
    <cellStyle name="Size12Pt" xfId="1025"/>
    <cellStyle name="specstores" xfId="1026"/>
    <cellStyle name="Standard Numb Total P" xfId="1027"/>
    <cellStyle name="Standard Numbers" xfId="1028"/>
    <cellStyle name="Standard Numbers Total" xfId="1029"/>
    <cellStyle name="Standard Numbers Total2" xfId="1030"/>
    <cellStyle name="Standard Numbers Total2 Percent" xfId="1031"/>
    <cellStyle name="Standard Numbers Total2_449 250-6000" xfId="1032"/>
    <cellStyle name="Standard Numbers_449 250-6000" xfId="1033"/>
    <cellStyle name="Standard_Anpassen der Amortisation" xfId="1034"/>
    <cellStyle name="Std Num Tot2" xfId="1035"/>
    <cellStyle name="Std Num Tot2 Perc" xfId="1036"/>
    <cellStyle name="Std Num Tot2_449 250-6000" xfId="1037"/>
    <cellStyle name="Stock Comma" xfId="1038"/>
    <cellStyle name="Stock Price" xfId="1039"/>
    <cellStyle name="Strikethru" xfId="1040"/>
    <cellStyle name="STYL1 - Style1" xfId="1041"/>
    <cellStyle name="STYL2 - Style2" xfId="1042"/>
    <cellStyle name="STYL3 - Style3" xfId="1043"/>
    <cellStyle name="STYL4 - Style4" xfId="1044"/>
    <cellStyle name="STYL5 - Style5" xfId="1045"/>
    <cellStyle name="Style 1" xfId="1046"/>
    <cellStyle name="Style 2" xfId="1047"/>
    <cellStyle name="Style 21" xfId="1048"/>
    <cellStyle name="Style 22" xfId="1049"/>
    <cellStyle name="Style 22 2" xfId="1050"/>
    <cellStyle name="Style 22_521 Rollforward" xfId="1051"/>
    <cellStyle name="Style 23" xfId="1052"/>
    <cellStyle name="Style 24" xfId="1053"/>
    <cellStyle name="Style 25" xfId="1054"/>
    <cellStyle name="Style 25 2" xfId="1055"/>
    <cellStyle name="Style 25_521 Rollforward" xfId="1056"/>
    <cellStyle name="Style 26" xfId="1057"/>
    <cellStyle name="Style 27" xfId="1058"/>
    <cellStyle name="Style 28" xfId="1059"/>
    <cellStyle name="Style 29" xfId="1060"/>
    <cellStyle name="Style 3" xfId="1061"/>
    <cellStyle name="Style 30" xfId="1062"/>
    <cellStyle name="Style 31" xfId="1063"/>
    <cellStyle name="Style 32" xfId="1064"/>
    <cellStyle name="Style 33" xfId="1065"/>
    <cellStyle name="Style 34" xfId="1066"/>
    <cellStyle name="Style 35" xfId="1067"/>
    <cellStyle name="Style 36" xfId="1068"/>
    <cellStyle name="Style 39" xfId="1069"/>
    <cellStyle name="Style 4" xfId="1070"/>
    <cellStyle name="Style 5" xfId="1071"/>
    <cellStyle name="Style 6" xfId="1072"/>
    <cellStyle name="STYLE1" xfId="1073"/>
    <cellStyle name="STYLE1 10" xfId="1074"/>
    <cellStyle name="STYLE1 11" xfId="1075"/>
    <cellStyle name="STYLE1 12" xfId="1076"/>
    <cellStyle name="STYLE1 13" xfId="1077"/>
    <cellStyle name="STYLE1 13 2" xfId="1078"/>
    <cellStyle name="STYLE1 14" xfId="1079"/>
    <cellStyle name="STYLE1 15" xfId="1080"/>
    <cellStyle name="STYLE1 16" xfId="1081"/>
    <cellStyle name="STYLE1 16 2" xfId="1082"/>
    <cellStyle name="STYLE1 17" xfId="1083"/>
    <cellStyle name="STYLE1 17 2" xfId="1084"/>
    <cellStyle name="STYLE1 18" xfId="1085"/>
    <cellStyle name="STYLE1 18 2" xfId="1086"/>
    <cellStyle name="STYLE1 19" xfId="1087"/>
    <cellStyle name="STYLE1 2" xfId="1088"/>
    <cellStyle name="STYLE1 2 2" xfId="1089"/>
    <cellStyle name="STYLE1 2 2 2" xfId="1090"/>
    <cellStyle name="STYLE1 2 3" xfId="1091"/>
    <cellStyle name="STYLE1 2_6-10 (with may tb) FIN - Consolidated Financials June 2010" xfId="1092"/>
    <cellStyle name="STYLE1 20" xfId="1093"/>
    <cellStyle name="STYLE1 21" xfId="1094"/>
    <cellStyle name="STYLE1 22" xfId="1095"/>
    <cellStyle name="STYLE1 23" xfId="1096"/>
    <cellStyle name="STYLE1 24" xfId="1097"/>
    <cellStyle name="STYLE1 25" xfId="1098"/>
    <cellStyle name="STYLE1 26" xfId="1099"/>
    <cellStyle name="STYLE1 27" xfId="1100"/>
    <cellStyle name="STYLE1 28" xfId="1101"/>
    <cellStyle name="STYLE1 28 2" xfId="1102"/>
    <cellStyle name="STYLE1 29" xfId="1103"/>
    <cellStyle name="STYLE1 29 2" xfId="1104"/>
    <cellStyle name="STYLE1 3" xfId="1105"/>
    <cellStyle name="STYLE1 4" xfId="1106"/>
    <cellStyle name="STYLE1 4 2" xfId="1107"/>
    <cellStyle name="STYLE1 4_6-10 (with may tb) FIN - Consolidated Financials June 2010" xfId="1108"/>
    <cellStyle name="STYLE1 5" xfId="1109"/>
    <cellStyle name="STYLE1 5 2" xfId="1110"/>
    <cellStyle name="STYLE1 6" xfId="1111"/>
    <cellStyle name="STYLE1 6 2" xfId="1112"/>
    <cellStyle name="STYLE1 7" xfId="1113"/>
    <cellStyle name="STYLE1 7 2" xfId="1114"/>
    <cellStyle name="STYLE1 8" xfId="1115"/>
    <cellStyle name="STYLE1 9" xfId="1116"/>
    <cellStyle name="STYLE1_6-10 trial balances from Simon" xfId="1117"/>
    <cellStyle name="STYLE2" xfId="1118"/>
    <cellStyle name="STYLE2 10" xfId="1119"/>
    <cellStyle name="STYLE2 11" xfId="1120"/>
    <cellStyle name="STYLE2 12" xfId="1121"/>
    <cellStyle name="STYLE2 13" xfId="1122"/>
    <cellStyle name="STYLE2 14" xfId="1123"/>
    <cellStyle name="STYLE2 15" xfId="1124"/>
    <cellStyle name="STYLE2 16" xfId="1125"/>
    <cellStyle name="STYLE2 17" xfId="1126"/>
    <cellStyle name="STYLE2 18" xfId="1127"/>
    <cellStyle name="STYLE2 19" xfId="1128"/>
    <cellStyle name="STYLE2 2" xfId="1129"/>
    <cellStyle name="STYLE2 2 2" xfId="1130"/>
    <cellStyle name="STYLE2 2 2 2" xfId="1131"/>
    <cellStyle name="STYLE2 2 3" xfId="1132"/>
    <cellStyle name="STYLE2 2_6-10 (with may tb) FIN - Consolidated Financials June 2010" xfId="1133"/>
    <cellStyle name="STYLE2 20" xfId="1134"/>
    <cellStyle name="STYLE2 21" xfId="1135"/>
    <cellStyle name="STYLE2 22" xfId="1136"/>
    <cellStyle name="STYLE2 23" xfId="1137"/>
    <cellStyle name="STYLE2 24" xfId="1138"/>
    <cellStyle name="STYLE2 25" xfId="1139"/>
    <cellStyle name="STYLE2 26" xfId="1140"/>
    <cellStyle name="STYLE2 26 2" xfId="1141"/>
    <cellStyle name="STYLE2 27" xfId="1142"/>
    <cellStyle name="STYLE2 27 2" xfId="1143"/>
    <cellStyle name="STYLE2 28" xfId="1144"/>
    <cellStyle name="STYLE2 29" xfId="1145"/>
    <cellStyle name="STYLE2 3" xfId="1146"/>
    <cellStyle name="STYLE2 3 2" xfId="1147"/>
    <cellStyle name="STYLE2 3_6-10 (with may tb) FIN - Consolidated Financials June 2010" xfId="1148"/>
    <cellStyle name="STYLE2 30" xfId="1149"/>
    <cellStyle name="STYLE2 31" xfId="1150"/>
    <cellStyle name="STYLE2 32" xfId="1151"/>
    <cellStyle name="STYLE2 33" xfId="1152"/>
    <cellStyle name="STYLE2 34" xfId="1153"/>
    <cellStyle name="STYLE2 4" xfId="1154"/>
    <cellStyle name="STYLE2 5" xfId="1155"/>
    <cellStyle name="STYLE2 6" xfId="1156"/>
    <cellStyle name="STYLE2 7" xfId="1157"/>
    <cellStyle name="STYLE2 8" xfId="1158"/>
    <cellStyle name="STYLE2 9" xfId="1159"/>
    <cellStyle name="STYLE2_6-10 (with may tb) FIN - Consolidated Financials June 2010" xfId="1160"/>
    <cellStyle name="STYLE3" xfId="1161"/>
    <cellStyle name="STYLE3 10" xfId="1162"/>
    <cellStyle name="STYLE3 11" xfId="1163"/>
    <cellStyle name="STYLE3 12" xfId="1164"/>
    <cellStyle name="STYLE3 13" xfId="1165"/>
    <cellStyle name="STYLE3 14" xfId="1166"/>
    <cellStyle name="STYLE3 15" xfId="1167"/>
    <cellStyle name="STYLE3 16" xfId="1168"/>
    <cellStyle name="STYLE3 17" xfId="1169"/>
    <cellStyle name="STYLE3 18" xfId="1170"/>
    <cellStyle name="STYLE3 19" xfId="1171"/>
    <cellStyle name="STYLE3 2" xfId="1172"/>
    <cellStyle name="STYLE3 20" xfId="1173"/>
    <cellStyle name="STYLE3 20 2" xfId="1174"/>
    <cellStyle name="STYLE3 3" xfId="1175"/>
    <cellStyle name="STYLE3 4" xfId="1176"/>
    <cellStyle name="STYLE3 5" xfId="1177"/>
    <cellStyle name="STYLE3 6" xfId="1178"/>
    <cellStyle name="STYLE3 7" xfId="1179"/>
    <cellStyle name="STYLE3 8" xfId="1180"/>
    <cellStyle name="STYLE3 9" xfId="1181"/>
    <cellStyle name="STYLE3_6-10 trial balances from Simon" xfId="1182"/>
    <cellStyle name="STYLE4" xfId="1183"/>
    <cellStyle name="STYLE4 10" xfId="1184"/>
    <cellStyle name="STYLE4 11" xfId="1185"/>
    <cellStyle name="STYLE4 12" xfId="1186"/>
    <cellStyle name="STYLE4 12 2" xfId="1187"/>
    <cellStyle name="STYLE4 2" xfId="1188"/>
    <cellStyle name="STYLE4 3" xfId="1189"/>
    <cellStyle name="STYLE4 4" xfId="1190"/>
    <cellStyle name="STYLE4 5" xfId="1191"/>
    <cellStyle name="STYLE4 6" xfId="1192"/>
    <cellStyle name="STYLE4 7" xfId="1193"/>
    <cellStyle name="STYLE4 8" xfId="1194"/>
    <cellStyle name="STYLE4 9" xfId="1195"/>
    <cellStyle name="STYLE4_6-10 (with may tb) FIN - Consolidated Financials June 2010" xfId="1196"/>
    <cellStyle name="STYLE5" xfId="1197"/>
    <cellStyle name="STYLE5 2" xfId="1198"/>
    <cellStyle name="STYLE5 2 2" xfId="1199"/>
    <cellStyle name="STYLE5 3" xfId="1200"/>
    <cellStyle name="STYLE5 3 2" xfId="1201"/>
    <cellStyle name="STYLE5 4" xfId="1202"/>
    <cellStyle name="STYLE5 4 2" xfId="1203"/>
    <cellStyle name="STYLE5 5" xfId="1204"/>
    <cellStyle name="STYLE5 5 2" xfId="1205"/>
    <cellStyle name="STYLE5 6" xfId="1206"/>
    <cellStyle name="STYLE5 7" xfId="1207"/>
    <cellStyle name="STYLE5 8" xfId="1208"/>
    <cellStyle name="STYLE5_6-10 (with may tb) FIN - Consolidated Financials June 2010" xfId="1209"/>
    <cellStyle name="STYLE6" xfId="1210"/>
    <cellStyle name="Subtotal" xfId="1211"/>
    <cellStyle name="Table" xfId="1212"/>
    <cellStyle name="Table Head" xfId="1213"/>
    <cellStyle name="Table Head Aligned" xfId="1214"/>
    <cellStyle name="Table Head Blue" xfId="1215"/>
    <cellStyle name="Table Head Green" xfId="1216"/>
    <cellStyle name="Table Head_Val_Sum_Graph" xfId="1217"/>
    <cellStyle name="Table Text" xfId="1218"/>
    <cellStyle name="Table Title" xfId="1219"/>
    <cellStyle name="Table Units" xfId="1220"/>
    <cellStyle name="Table_Header" xfId="1221"/>
    <cellStyle name="taples Plaza" xfId="1222"/>
    <cellStyle name="Test" xfId="1223"/>
    <cellStyle name="Text 1" xfId="1224"/>
    <cellStyle name="Text Head 1" xfId="1225"/>
    <cellStyle name="TextDys0" xfId="1226"/>
    <cellStyle name="TextDys1" xfId="1227"/>
    <cellStyle name="TextYrs0" xfId="1228"/>
    <cellStyle name="TextYrs1" xfId="1229"/>
    <cellStyle name="Tickmark" xfId="1230"/>
    <cellStyle name="Times New Roman" xfId="1231"/>
    <cellStyle name="Tina" xfId="1232"/>
    <cellStyle name="Title 2" xfId="1233"/>
    <cellStyle name="Title 2 2" xfId="1234"/>
    <cellStyle name="Title, Wrap" xfId="1235"/>
    <cellStyle name="TitleII" xfId="1236"/>
    <cellStyle name="Titles" xfId="1237"/>
    <cellStyle name="Top Edge" xfId="1238"/>
    <cellStyle name="Total 2" xfId="1239"/>
    <cellStyle name="Total 3" xfId="1240"/>
    <cellStyle name="Total 3 2" xfId="1241"/>
    <cellStyle name="Total 4" xfId="1242"/>
    <cellStyle name="ubordinated Debt" xfId="1243"/>
    <cellStyle name="uk" xfId="1244"/>
    <cellStyle name="Un" xfId="1245"/>
    <cellStyle name="Un 2" xfId="1246"/>
    <cellStyle name="Underline_Single" xfId="1247"/>
    <cellStyle name="Unprot" xfId="1248"/>
    <cellStyle name="Unprot 2" xfId="1249"/>
    <cellStyle name="Unprot$" xfId="1250"/>
    <cellStyle name="Unprot_'06 Firm Book" xfId="1251"/>
    <cellStyle name="Unprotect" xfId="1252"/>
    <cellStyle name="Upload Only" xfId="1253"/>
    <cellStyle name="Währung [0]_Compiling Utility Macros" xfId="1254"/>
    <cellStyle name="Währung_Compiling Utility Macros" xfId="1255"/>
    <cellStyle name="Warning Text 2" xfId="1256"/>
    <cellStyle name="Warning Text 3" xfId="1257"/>
    <cellStyle name="Warning Text 3 2" xfId="1258"/>
    <cellStyle name="Warning Text 4" xfId="1259"/>
    <cellStyle name="Wrap" xfId="1260"/>
    <cellStyle name="Year" xfId="1261"/>
    <cellStyle name="year 2" xfId="1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ATES\DOCKETS\GO-2011-0003\workpapers\GO-2011-0003%20Workpaper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20363\AppData\Local\Microsoft\Windows\Temporary%20Internet%20Files\Content.Outlook\ZTNIUUE4\1%20-%20January%202017%20Project%20Detail%20Quer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ATES\DOCKETS\GO-2009-0302\GO-2009-0302%20Workpaper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20-%20MGE%20ISRS%20Additions%20Nov%20-%20Dec%2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ATES/DOCKETS/GO-2016-0332/October%202016%20ISRS%20Filing%20w%20Oct%20Actuals%20MGE%20Staff%20edit-per%20Ord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RATES\DOCKETS\GO-2016-0197\MGE%20ISRS%20Filing%20-%20Mar%2016%20-%20updated%20for%20February%20addition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RATES\DOCKETS\GO-2015-0343\July%202015\MGE%20ISRS%20Update%20-%20August%202015-%20with%20Staff%20adj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RATES\DOCKETS\GO-2015-0179\April%20Filing\MGE%20ISRS%20Filing%20-%20April%202015-rev%204-2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RATES\DOCKETS\GR-2015-0025\MGE%20ISRS%20filing%20Jan%20-%20August%202014-staff%20versi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GE%20Cal%202016%20ISRS%20for%20Mike%20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GE As Filed"/>
      <sheetName val="Staff Revenue Calc"/>
      <sheetName val="Comparison"/>
      <sheetName val="Staff Summary"/>
      <sheetName val="Retirements Not Filed"/>
      <sheetName val="Sorted ISRS WO Retirements"/>
      <sheetName val="Sorted ISRS BWO Retirements"/>
      <sheetName val="Depreciation-Deferred Tax"/>
      <sheetName val="Depreciation Rates"/>
      <sheetName val="Capital Structure ROE"/>
      <sheetName val="Staff Property Taxes"/>
      <sheetName val="Staff Reconciliation"/>
      <sheetName val="Work Orders Reviewed"/>
      <sheetName val="Sorted WO &amp; BWO Additions"/>
      <sheetName val="Sorted Cost of Removal (COR)"/>
      <sheetName val="MGE - Summary"/>
      <sheetName val="MGE - Add BWO"/>
      <sheetName val="MGE - Add Specific"/>
      <sheetName val="MGE - ISRS_SpecWO_COR_May10"/>
      <sheetName val="MGE - ISRS BWO Ret"/>
      <sheetName val="MGE - ISRS_Bwo_RetCor_May10"/>
      <sheetName val="MGE - ISRS_SpecWo_Ret_May2010"/>
      <sheetName val="MGE - 7.722% Wtd Total"/>
      <sheetName val="MGE - Link In"/>
      <sheetName val="MGE - Customers"/>
      <sheetName val="MGE - Deferred Taxes"/>
      <sheetName val="MGE - Rate of Return"/>
      <sheetName val="MGE - Rev Req 7.722%"/>
      <sheetName val="MGE - Property Taxes"/>
      <sheetName val="MGE - Reconciliation"/>
      <sheetName val="MGE - DIT Deprec"/>
    </sheetNames>
    <sheetDataSet>
      <sheetData sheetId="0"/>
      <sheetData sheetId="1"/>
      <sheetData sheetId="2"/>
      <sheetData sheetId="3">
        <row r="15">
          <cell r="C15">
            <v>1379846.268739495</v>
          </cell>
        </row>
      </sheetData>
      <sheetData sheetId="4"/>
      <sheetData sheetId="5"/>
      <sheetData sheetId="6"/>
      <sheetData sheetId="7"/>
      <sheetData sheetId="8">
        <row r="1">
          <cell r="A1" t="str">
            <v>37600 - Mains-MGE</v>
          </cell>
          <cell r="B1">
            <v>2.1600000000000001E-2</v>
          </cell>
          <cell r="C1">
            <v>1.8000000000000002E-3</v>
          </cell>
        </row>
        <row r="2">
          <cell r="A2" t="str">
            <v>37800 - M&amp;R Station General-MGE</v>
          </cell>
          <cell r="B2">
            <v>2.86E-2</v>
          </cell>
          <cell r="C2">
            <v>2.3833333333333332E-3</v>
          </cell>
        </row>
        <row r="3">
          <cell r="A3" t="str">
            <v>38000 - Services-MGE</v>
          </cell>
          <cell r="B3">
            <v>3.1300000000000001E-2</v>
          </cell>
          <cell r="C3">
            <v>2.6083333333333336E-3</v>
          </cell>
        </row>
        <row r="4">
          <cell r="A4" t="str">
            <v>38200 - Meter Installations-MGE</v>
          </cell>
          <cell r="B4">
            <v>2.86E-2</v>
          </cell>
          <cell r="C4">
            <v>2.3833333333333332E-3</v>
          </cell>
        </row>
        <row r="5">
          <cell r="A5" t="str">
            <v>38300 - House Regulators-MGE</v>
          </cell>
          <cell r="B5">
            <v>2.4400000000000002E-2</v>
          </cell>
          <cell r="C5">
            <v>2.0333333333333336E-3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Detail Query"/>
    </sheetNames>
    <sheetDataSet>
      <sheetData sheetId="0" refreshError="1">
        <row r="1">
          <cell r="A1" t="str">
            <v>work_order_number</v>
          </cell>
          <cell r="B1" t="str">
            <v>business_segment_w</v>
          </cell>
          <cell r="C1" t="str">
            <v>cc_isrs_reason</v>
          </cell>
          <cell r="D1" t="str">
            <v>cc_isrs_recov</v>
          </cell>
          <cell r="E1" t="str">
            <v>cc_mge_wo</v>
          </cell>
          <cell r="F1" t="str">
            <v>fund_proj_number</v>
          </cell>
          <cell r="G1" t="str">
            <v>fund_proj_description</v>
          </cell>
          <cell r="H1" t="str">
            <v>work_order_description</v>
          </cell>
          <cell r="I1" t="str">
            <v>work_order_status</v>
          </cell>
          <cell r="J1" t="str">
            <v>work_order_long_desc</v>
          </cell>
          <cell r="K1" t="str">
            <v>work_order_notes</v>
          </cell>
          <cell r="L1" t="str">
            <v>in_service_date</v>
          </cell>
          <cell r="M1" t="str">
            <v>completion_date</v>
          </cell>
          <cell r="N1" t="str">
            <v>close_date</v>
          </cell>
          <cell r="O1" t="str">
            <v>first_cpr_month</v>
          </cell>
          <cell r="P1" t="str">
            <v>asset_location</v>
          </cell>
          <cell r="Q1" t="str">
            <v>amount</v>
          </cell>
          <cell r="R1" t="str">
            <v>quantity</v>
          </cell>
        </row>
        <row r="2">
          <cell r="A2" t="str">
            <v>800801</v>
          </cell>
          <cell r="B2" t="str">
            <v>LDC 2</v>
          </cell>
          <cell r="C2" t="str">
            <v>01 - Cast Iron Strategic Replacement</v>
          </cell>
          <cell r="D2" t="str">
            <v>yes</v>
          </cell>
          <cell r="F2" t="str">
            <v>F0599</v>
          </cell>
          <cell r="G2" t="str">
            <v>Main Replacement - ISRS (N)</v>
          </cell>
          <cell r="H2" t="str">
            <v>Repl 6360F 2-4P Dunn Prk W of 71 1E</v>
          </cell>
          <cell r="I2" t="str">
            <v>open</v>
          </cell>
          <cell r="J2" t="str">
            <v>Install 5,580 Ft of 2 in PL IP main and 780 Ft of 4 in PL IP main on 67th Ter, 68th St, 68th Ter, 69th ST, 69th Ter, 70th St, 70th Ter, and The Paseo Blvd. Phase 1E Dunn Park W of 71</v>
          </cell>
          <cell r="K2" t="str">
            <v>Abandon 83 Ft of 12 in CI LP Main, 29 Ft of 16 in CI LP Main, 1930 Ft of 4 in CI LP Main, 4398 Ft of 6 in CI LP Main, 465 Ft of 8 in CI LP Main, 155 Ft of 4 in PL LP Main, 107 Ft of 6 in PL LP Main at the above location.  Uprate approximately 1,352 Ft of 6 in PL LP to IP main.  Total Service Tie-over = 105; Total Service Replacement =27; Total Service Abandoned = 31; Total Service Upgrade =30.  This main is being replaced part of FY17 Cast Iron Replacement Program.</v>
          </cell>
          <cell r="P2" t="str">
            <v>0401-043050  JACKSON CTY/KC</v>
          </cell>
          <cell r="Q2">
            <v>0</v>
          </cell>
          <cell r="R2">
            <v>7167</v>
          </cell>
        </row>
        <row r="3">
          <cell r="A3" t="str">
            <v>012339</v>
          </cell>
          <cell r="B3" t="str">
            <v>LDC 2</v>
          </cell>
          <cell r="D3" t="str">
            <v>no</v>
          </cell>
          <cell r="F3" t="str">
            <v>F0538</v>
          </cell>
          <cell r="G3" t="str">
            <v>Other Communication Costs</v>
          </cell>
          <cell r="H3" t="str">
            <v>SCADA Controller 9800 Holmes TBS</v>
          </cell>
          <cell r="I3" t="str">
            <v>in service</v>
          </cell>
          <cell r="J3" t="str">
            <v>Install Kixcel controller (Rotork CMA Actuator) for remote pressure raiser/lower control on the 9800 Holmes TBS. Previous Jordan Kiscell controller was damaged beyond repair</v>
          </cell>
          <cell r="K3" t="str">
            <v>Per Matt Taylor.  TBS Number 007602</v>
          </cell>
          <cell r="L3">
            <v>42736</v>
          </cell>
          <cell r="O3">
            <v>42736</v>
          </cell>
          <cell r="P3" t="str">
            <v>0401-043050  JACKSON CTY/KC</v>
          </cell>
          <cell r="Q3">
            <v>6796.66</v>
          </cell>
          <cell r="R3">
            <v>2</v>
          </cell>
        </row>
        <row r="4">
          <cell r="A4" t="str">
            <v>800586</v>
          </cell>
          <cell r="B4" t="str">
            <v>LDC 2</v>
          </cell>
          <cell r="C4" t="str">
            <v>09 - Facility Relocation due to Civic Improvement</v>
          </cell>
          <cell r="D4" t="str">
            <v>yes</v>
          </cell>
          <cell r="F4" t="str">
            <v>F0547</v>
          </cell>
          <cell r="G4" t="str">
            <v>Street &amp; Highway Relocates ISRS (N)</v>
          </cell>
          <cell r="H4" t="str">
            <v>Rel w/ 8935F 2P Marlborough Ph5</v>
          </cell>
          <cell r="I4" t="str">
            <v>open</v>
          </cell>
          <cell r="J4" t="str">
            <v>Install 8935 ft of  2in PL IP main and 1906 ft of 4 in PL IP main on Lydia St, Flora St, Wayne St, Highland St, 82nd St, 83rd St, and 84th St. Abandon 39 ft of 2 in PL MP main, 6121 ft of 2 in ST MP main.</v>
          </cell>
          <cell r="K4" t="str">
            <v>Not reimbursable.</v>
          </cell>
          <cell r="P4" t="str">
            <v>0401-043050  JACKSON CTY/KC</v>
          </cell>
          <cell r="Q4">
            <v>217581.68</v>
          </cell>
          <cell r="R4">
            <v>-10117</v>
          </cell>
        </row>
        <row r="5">
          <cell r="A5" t="str">
            <v>800146</v>
          </cell>
          <cell r="B5" t="str">
            <v>LDC 2</v>
          </cell>
          <cell r="C5" t="str">
            <v>01 - Cast Iron Strategic Replacement</v>
          </cell>
          <cell r="D5" t="str">
            <v>yes</v>
          </cell>
          <cell r="F5" t="str">
            <v>F0599</v>
          </cell>
          <cell r="G5" t="str">
            <v>Main Replacement - ISRS (N)</v>
          </cell>
          <cell r="H5" t="str">
            <v>Repl w/ 4506F 2P Hwy71 &amp; Gregory-F</v>
          </cell>
          <cell r="I5" t="str">
            <v>in service</v>
          </cell>
          <cell r="J5" t="str">
            <v> Install 4506 ft of 2 in IP PE main and 902 ft of 4 in IP PE main for Hwy 71 &amp; Gregory Ph F.  Abandon 303 ft of 12 in CI LP main, 647 ft of 2 in CI LP main, 592 ft if 4 in CI LP main, 2202 ft of 6 in CI LP main, 865 ft of 8 in CI LP main.</v>
          </cell>
          <cell r="K5" t="str">
            <v>Main is being replaced as part of the FY16 Strategic Cast Iron Replacement Program.</v>
          </cell>
          <cell r="L5">
            <v>42674</v>
          </cell>
          <cell r="O5">
            <v>42644</v>
          </cell>
          <cell r="P5" t="str">
            <v>0401-043050  JACKSON CTY/KC</v>
          </cell>
          <cell r="Q5">
            <v>376165.01</v>
          </cell>
          <cell r="R5">
            <v>-6144.5</v>
          </cell>
        </row>
        <row r="6">
          <cell r="A6" t="str">
            <v>006600</v>
          </cell>
          <cell r="B6" t="str">
            <v>LDC 2</v>
          </cell>
          <cell r="D6" t="str">
            <v>no</v>
          </cell>
          <cell r="E6" t="str">
            <v>20401143733</v>
          </cell>
          <cell r="F6" t="str">
            <v>F0610</v>
          </cell>
          <cell r="G6" t="str">
            <v>New business</v>
          </cell>
          <cell r="H6" t="str">
            <v>Crematory -4in Main Extention</v>
          </cell>
          <cell r="I6" t="str">
            <v>posted to CPR</v>
          </cell>
          <cell r="J6" t="str">
            <v>Crematory: Kansas City-Jackson: New Main Extension - Contractor Crews  3760 (33-380)</v>
          </cell>
          <cell r="K6" t="str">
            <v>Approved by: Gary Williams on 09/29/2014,  Install 1,450' of 4" PE to serve existing customer with increased load. ECONOMIC EVALUATION COVERS COST OF THIS PROJECT.</v>
          </cell>
          <cell r="L6">
            <v>41947</v>
          </cell>
          <cell r="M6">
            <v>42248</v>
          </cell>
          <cell r="N6">
            <v>42284.722500000003</v>
          </cell>
          <cell r="O6">
            <v>41974</v>
          </cell>
          <cell r="P6" t="str">
            <v>0401-043050  JACKSON CTY/KC</v>
          </cell>
          <cell r="Q6">
            <v>52254.720000000001</v>
          </cell>
          <cell r="R6">
            <v>-2852</v>
          </cell>
        </row>
        <row r="7">
          <cell r="A7" t="str">
            <v>005741</v>
          </cell>
          <cell r="B7" t="str">
            <v>LDC 2</v>
          </cell>
          <cell r="D7" t="str">
            <v>no</v>
          </cell>
          <cell r="F7" t="str">
            <v>F0588</v>
          </cell>
          <cell r="G7" t="str">
            <v>Transportation &amp; power operated equ</v>
          </cell>
          <cell r="H7" t="str">
            <v>Retire 15 trucks &amp; 1 Trailer</v>
          </cell>
          <cell r="I7" t="str">
            <v>posted to CPR</v>
          </cell>
          <cell r="J7" t="str">
            <v>Retire MGE vehicles 12363,12370, 12436, 12473, 12453, 12464, 12518, 12547, 2548, 12551, 12573, 12583, 12607, 12642, 12331 and 65613. See VIN Nos on attachment.</v>
          </cell>
          <cell r="K7" t="str">
            <v>Retiring 07947 - 1966 Shelter Trailer on this WO too - should have been retired previously  - AMM 3-30-15</v>
          </cell>
          <cell r="L7">
            <v>42004</v>
          </cell>
          <cell r="M7">
            <v>42004</v>
          </cell>
          <cell r="N7">
            <v>42131.512291666702</v>
          </cell>
          <cell r="P7" t="str">
            <v>0401-043050  JACKSON CTY/KC</v>
          </cell>
          <cell r="Q7">
            <v>42731.9</v>
          </cell>
          <cell r="R7">
            <v>16</v>
          </cell>
        </row>
        <row r="8">
          <cell r="A8" t="str">
            <v>004862</v>
          </cell>
          <cell r="B8" t="str">
            <v>LDC 2</v>
          </cell>
          <cell r="D8" t="str">
            <v>no</v>
          </cell>
          <cell r="E8" t="str">
            <v>20401132371</v>
          </cell>
          <cell r="F8" t="str">
            <v>F0614</v>
          </cell>
          <cell r="G8" t="str">
            <v>Main Repl - Sys Reinforcement (N)</v>
          </cell>
          <cell r="H8" t="str">
            <v>2in PE System Reinforcement</v>
          </cell>
          <cell r="I8" t="str">
            <v>posted to CPR</v>
          </cell>
          <cell r="J8" t="str">
            <v>2in PE System Reinforcement: Kansas City-Jackson: Replace Steel &amp; Plastic Main - System Reinforcement (43-419)</v>
          </cell>
          <cell r="K8" t="str">
            <v>Approved by: Kevin Driskell on 03/23/2014,  (ISRS).  Lay 485' of 2" PE for system reinforcement - 55th &amp; Cambridge.  Lay new main in parkway if possible.  COST PER FOOT $28.78</v>
          </cell>
          <cell r="L8">
            <v>41856</v>
          </cell>
          <cell r="M8">
            <v>42216</v>
          </cell>
          <cell r="N8">
            <v>42256.639988425901</v>
          </cell>
          <cell r="O8">
            <v>41852</v>
          </cell>
          <cell r="P8" t="str">
            <v>0401-043050  JACKSON CTY/KC</v>
          </cell>
          <cell r="Q8">
            <v>4169.8599999999997</v>
          </cell>
          <cell r="R8">
            <v>-1016.5</v>
          </cell>
        </row>
        <row r="9">
          <cell r="A9" t="str">
            <v>003987</v>
          </cell>
          <cell r="B9" t="str">
            <v>LDC 2</v>
          </cell>
          <cell r="D9" t="str">
            <v>no</v>
          </cell>
          <cell r="E9" t="str">
            <v>20401132592</v>
          </cell>
          <cell r="F9" t="str">
            <v>F0588</v>
          </cell>
          <cell r="G9" t="str">
            <v>Transportation &amp; power operated equ</v>
          </cell>
          <cell r="H9" t="str">
            <v>Retirement 2013 Fleet Disposals</v>
          </cell>
          <cell r="I9" t="str">
            <v>posted to CPR</v>
          </cell>
          <cell r="J9" t="str">
            <v>Retirement 2013 Fleet Disposals: Kansas City-Jackson: Kansas City - Broadway</v>
          </cell>
          <cell r="K9" t="str">
            <v>Approved by: Ken Thomas on 04/09/2013,  Retirement 2013 Fleet Disposals.  Purchase of new fleet on separate work order.  This work order will capture salvage for sold vehicles along with retirement.</v>
          </cell>
          <cell r="L9">
            <v>41586</v>
          </cell>
          <cell r="M9">
            <v>41600</v>
          </cell>
          <cell r="N9">
            <v>41612.300208333298</v>
          </cell>
          <cell r="P9" t="str">
            <v>0401-043050  JACKSON CTY/KC</v>
          </cell>
          <cell r="Q9">
            <v>53291.79</v>
          </cell>
          <cell r="R9">
            <v>19</v>
          </cell>
        </row>
        <row r="10">
          <cell r="A10" t="str">
            <v>004616</v>
          </cell>
          <cell r="B10" t="str">
            <v>LDC 2</v>
          </cell>
          <cell r="D10" t="str">
            <v>no</v>
          </cell>
          <cell r="E10" t="str">
            <v>20401121774</v>
          </cell>
          <cell r="F10" t="str">
            <v>F0597</v>
          </cell>
          <cell r="G10" t="str">
            <v>Other</v>
          </cell>
          <cell r="H10" t="str">
            <v>Replace EGM Department of Energy</v>
          </cell>
          <cell r="I10" t="str">
            <v>posted to CPR</v>
          </cell>
          <cell r="J10" t="str">
            <v>Replace EGM Department of Energy: Kansas City-Jackson: Bannister &amp; Troost, Kansas City, MO 64141</v>
          </cell>
          <cell r="K10" t="str">
            <v>Approved by: Rob Kitterman on 10/12/2012,  Replace and retire EGM equipment at Department of Energy with a new Mini-AT-PT on WO# 12-1774, SN:825841. Existing meter is a Roots 3M meter# 08068744. The existing EGM equipment (WO# 040100-998769) was damaged beyond repair. Retirement info: ECAT w/modem S/N: 9905934, 0-60# transducer.</v>
          </cell>
          <cell r="L10">
            <v>41469</v>
          </cell>
          <cell r="M10">
            <v>41575</v>
          </cell>
          <cell r="N10">
            <v>41576.418541666702</v>
          </cell>
          <cell r="P10" t="str">
            <v>0401-043050  JACKSON CTY/KC</v>
          </cell>
          <cell r="Q10">
            <v>4093.06</v>
          </cell>
          <cell r="R10">
            <v>5</v>
          </cell>
        </row>
        <row r="11">
          <cell r="A11" t="str">
            <v>003830</v>
          </cell>
          <cell r="B11" t="str">
            <v>LDC 2</v>
          </cell>
          <cell r="D11" t="str">
            <v>no</v>
          </cell>
          <cell r="E11" t="str">
            <v>20401132648</v>
          </cell>
          <cell r="F11" t="str">
            <v>F0507</v>
          </cell>
          <cell r="G11" t="str">
            <v>Rebuild Meter Install 2'' &amp; Lg (S)</v>
          </cell>
          <cell r="H11" t="str">
            <v>Retire 3M meter set Pleasant Grove</v>
          </cell>
          <cell r="I11" t="str">
            <v>posted to CPR</v>
          </cell>
          <cell r="J11" t="str">
            <v>Retire 3M meter set Pleasant Grove Bible Church: Kansas City-Jackson: 4916 Lees Summit Rd</v>
          </cell>
          <cell r="K11" t="str">
            <v>Approved by: Ralph Janes on 05/01/2013,  Retire the 3M rotary meter setting (WO# 74-1088) at Pleasant Grove Bible Church on WO# 13-2648. Meter# 00281797 on premise# 140455. This service is due for remediation on the SLRP. The existing load was gathered by Kyle Ours: 1,500 cfh. Run a 1in steel service line with riser and first cut second cut regs for an AL-1000 at the building on a BWO in conjunction with the service tie-overs on LS Road public improvement project WO# 13-2520. First cut: 1&amp;quot; FI 627R, yellow spring (5-20 psig) set 20 psig, 1/8&amp;quot; orifice. Second cut: 1&amp;quot; AM 1813C, 1/4&amp;quot; orifice, set 7&amp;quot; w.c.</v>
          </cell>
          <cell r="L11">
            <v>41898</v>
          </cell>
          <cell r="M11">
            <v>42063</v>
          </cell>
          <cell r="N11">
            <v>42193.5930787037</v>
          </cell>
          <cell r="P11" t="str">
            <v>0401-043050  JACKSON CTY/KC</v>
          </cell>
          <cell r="Q11">
            <v>489.33</v>
          </cell>
          <cell r="R11">
            <v>5.5</v>
          </cell>
        </row>
        <row r="12">
          <cell r="A12" t="str">
            <v>004429</v>
          </cell>
          <cell r="B12" t="str">
            <v>LDC 2</v>
          </cell>
          <cell r="D12" t="str">
            <v>no</v>
          </cell>
          <cell r="E12" t="str">
            <v>20401132544</v>
          </cell>
          <cell r="F12" t="str">
            <v>F0597</v>
          </cell>
          <cell r="G12" t="str">
            <v>Other</v>
          </cell>
          <cell r="H12" t="str">
            <v>EGM Replace - Walnut Towers</v>
          </cell>
          <cell r="I12" t="str">
            <v>posted to CPR</v>
          </cell>
          <cell r="J12" t="str">
            <v>EGM Replace - Walnut Towers: Kansas City-Jackson: 720 Walnut - KC, MO</v>
          </cell>
          <cell r="K12" t="str">
            <v>Approved by: Rob Kitterman on 04/10/2013,  Replace EGM equipment at Walnut Towers with a new Mini-AT-PT, S/N: 11080868, &amp; Messenger Modem. Existing meter is a Roots 7M rotary meter# 08512296. The existing equipment was damaged beyond repair. Retire the 2 damaged MiniPTs, S/N: 9501394 &amp; 9501400 on this WO as well.</v>
          </cell>
          <cell r="L12">
            <v>41373</v>
          </cell>
          <cell r="M12">
            <v>41575</v>
          </cell>
          <cell r="N12">
            <v>41576.418541666702</v>
          </cell>
          <cell r="P12" t="str">
            <v>0401-043050  JACKSON CTY/KC</v>
          </cell>
          <cell r="Q12">
            <v>3260.9</v>
          </cell>
          <cell r="R12">
            <v>5</v>
          </cell>
        </row>
        <row r="13">
          <cell r="A13" t="str">
            <v>004556</v>
          </cell>
          <cell r="B13" t="str">
            <v>LDC 2</v>
          </cell>
          <cell r="D13" t="str">
            <v>no</v>
          </cell>
          <cell r="E13" t="str">
            <v>20401133011</v>
          </cell>
          <cell r="F13" t="str">
            <v>F0658</v>
          </cell>
          <cell r="G13" t="str">
            <v>Services -  2" &amp; larger</v>
          </cell>
          <cell r="H13" t="str">
            <v>2101 BROADWAY-2IN SERVICE LINE</v>
          </cell>
          <cell r="I13" t="str">
            <v>posted to CPR</v>
          </cell>
          <cell r="J13" t="str">
            <v>2101 BROADWAY-2IN SERVICE LINE: Kansas City-Jackson: 2101 BROADWAY ST</v>
          </cell>
          <cell r="K13" t="str">
            <v>Approved by: Kevin Driskell on 09/27/2013,  LAYING 20FT-2IN PE SERVICE LINE TO SERVICE A COMMERCIAL BUILDING WITH 3 METER SETS. LOAD (2,000 CFH OFFICE,RESTAURANT 2,300 CFH, RESIDENTIAL 2,000 CFH). ECONOMIC EVALUATION COVERS COST OF PROJECT.</v>
          </cell>
          <cell r="L13">
            <v>41620</v>
          </cell>
          <cell r="M13">
            <v>41698</v>
          </cell>
          <cell r="N13">
            <v>41704.711666666699</v>
          </cell>
          <cell r="O13">
            <v>41730</v>
          </cell>
          <cell r="P13" t="str">
            <v>0401-043050  JACKSON CTY/KC</v>
          </cell>
          <cell r="Q13">
            <v>5568.1</v>
          </cell>
          <cell r="R13">
            <v>44</v>
          </cell>
        </row>
        <row r="14">
          <cell r="A14" t="str">
            <v>004470</v>
          </cell>
          <cell r="B14" t="str">
            <v>LDC 2</v>
          </cell>
          <cell r="D14" t="str">
            <v>no</v>
          </cell>
          <cell r="E14" t="str">
            <v>20401132812</v>
          </cell>
          <cell r="F14" t="str">
            <v>F0670</v>
          </cell>
          <cell r="G14" t="str">
            <v>Tools, Instruments &amp; Equipment (N)</v>
          </cell>
          <cell r="H14" t="str">
            <v>PUR-FUSION MACHINE PACKAGE</v>
          </cell>
          <cell r="I14" t="str">
            <v>posted to CPR</v>
          </cell>
          <cell r="J14" t="str">
            <v>PUR-FUSION MACHINE PACKAGE: Kansas City-Jackson: 7500 E 35TH TER</v>
          </cell>
          <cell r="K14" t="str">
            <v>Approved by: Gary Williams on 07/16/2013,  PURCHASE-FUSION PACKAGE MACHINE,HEATER,FACER &amp; STAND.ACCESSORIES 4in IPS/100MM INSERTS (1SET=4PCS) AND 3in IPS INSERTS (1SET=4PCS). THIS WILL BE USED BY THE C&amp;M CREWS AT CENTRAL USED FOR JOINING PLASTIC PIPES AND FITTINGS. RECEIVED BIDS FROM ISCO INDUSTRIES $6,937.00 AND INDUSTRIAL SALES $7,047.20. GROEBNER $7,365.66. THIS IS NOT A REPLACEMENT TOOL.</v>
          </cell>
          <cell r="L14">
            <v>41493</v>
          </cell>
          <cell r="M14">
            <v>41575</v>
          </cell>
          <cell r="N14">
            <v>41576.418483796297</v>
          </cell>
          <cell r="O14">
            <v>42005</v>
          </cell>
          <cell r="P14" t="str">
            <v>0401-043050  JACKSON CTY/KC</v>
          </cell>
          <cell r="Q14">
            <v>9825.83</v>
          </cell>
          <cell r="R14">
            <v>8.5</v>
          </cell>
        </row>
        <row r="15">
          <cell r="A15" t="str">
            <v>004378</v>
          </cell>
          <cell r="B15" t="str">
            <v>LDC 2</v>
          </cell>
          <cell r="D15" t="str">
            <v>no</v>
          </cell>
          <cell r="E15" t="str">
            <v>20401133020</v>
          </cell>
          <cell r="F15" t="str">
            <v>F0639</v>
          </cell>
          <cell r="G15" t="str">
            <v>EGM Equip-1st Time Installation</v>
          </cell>
          <cell r="H15" t="str">
            <v>EGM - Ross Enterprises of Kansas, I</v>
          </cell>
          <cell r="I15" t="str">
            <v>posted to CPR</v>
          </cell>
          <cell r="J15" t="str">
            <v>EGM - Ross Enterprises of Kansas, Inc: Kansas City-Jackson: 1009 Westport Rd - KC, MO 64111</v>
          </cell>
          <cell r="K15" t="str">
            <v>Approved by: Rob Kitterman on 09/24/2013,  Install Mercury MiniMax-AT-T w/ Messenger Modem S/N:       on Roots 3M meter no 00864271 to monitor daily gas usage of this transportation customer. Customer will reimburse company actual cost for EGM installation not to exceed $5,445.00, which should be coded to account 1072. ATTENTION: Plant &amp; Property Accounting, EGM work order, turn off A&amp;G indicator.</v>
          </cell>
          <cell r="L15">
            <v>41578</v>
          </cell>
          <cell r="M15">
            <v>41670</v>
          </cell>
          <cell r="N15">
            <v>41677.509826388901</v>
          </cell>
          <cell r="P15" t="str">
            <v>0401-043050  JACKSON CTY/KC</v>
          </cell>
          <cell r="Q15">
            <v>332.58</v>
          </cell>
          <cell r="R15">
            <v>5.5</v>
          </cell>
        </row>
        <row r="16">
          <cell r="A16" t="str">
            <v>004333</v>
          </cell>
          <cell r="B16" t="str">
            <v>LDC 2</v>
          </cell>
          <cell r="D16" t="str">
            <v>no</v>
          </cell>
          <cell r="E16" t="str">
            <v>20401132846</v>
          </cell>
          <cell r="F16" t="str">
            <v>F0625</v>
          </cell>
          <cell r="G16" t="str">
            <v>Tools, instruments &amp; equipment</v>
          </cell>
          <cell r="H16" t="str">
            <v>Pur YZ DTEX Odorometers</v>
          </cell>
          <cell r="I16" t="str">
            <v>posted to CPR</v>
          </cell>
          <cell r="J16" t="str">
            <v>Pur YZ DTEX Odorometers: Kansas City-Jackson: KC Central</v>
          </cell>
          <cell r="K16" t="str">
            <v>Approved by: Rob Kitterman on 07/26/2013,  Purchase 5 units of YZ DTEX Odorometers (1 for each division)  Units are electronic machines that are currently used by Laclede.  No old units will be retired are the current time.</v>
          </cell>
          <cell r="L16">
            <v>41506</v>
          </cell>
          <cell r="M16">
            <v>41578</v>
          </cell>
          <cell r="N16">
            <v>41584.3963657407</v>
          </cell>
          <cell r="P16" t="str">
            <v>0401-043050  JACKSON CTY/KC</v>
          </cell>
          <cell r="Q16">
            <v>21927.23</v>
          </cell>
          <cell r="R16">
            <v>0</v>
          </cell>
        </row>
        <row r="17">
          <cell r="A17" t="str">
            <v>004444</v>
          </cell>
          <cell r="B17" t="str">
            <v>LDC 2</v>
          </cell>
          <cell r="D17" t="str">
            <v>yes</v>
          </cell>
          <cell r="E17" t="str">
            <v>20401133204</v>
          </cell>
          <cell r="F17" t="str">
            <v>F0631</v>
          </cell>
          <cell r="G17" t="str">
            <v>Services - 2" &amp; larger - safety</v>
          </cell>
          <cell r="H17" t="str">
            <v>KANSAS CITY STAR-2IN REPL SERVICE</v>
          </cell>
          <cell r="I17" t="str">
            <v>posted to CPR</v>
          </cell>
          <cell r="J17" t="str">
            <v>KANSAS CITY STAR-2IN REPL SERVICE: Kansas City-Jackson: 1729 GRAND AVE</v>
          </cell>
          <cell r="K17" t="str">
            <v>Approved by: Kevin Driskell on 12/06/2013,  Replacing 20ft-2in cs (WO# N/A) service line with 280ft-2in pe service line. Due to leak on main will need to reroute service line to a different main 4in pe (WO#93-2450).</v>
          </cell>
          <cell r="L17">
            <v>41619</v>
          </cell>
          <cell r="M17">
            <v>41696</v>
          </cell>
          <cell r="N17">
            <v>41698.505266203698</v>
          </cell>
          <cell r="O17">
            <v>41730</v>
          </cell>
          <cell r="P17" t="str">
            <v>0401-043050  JACKSON CTY/KC</v>
          </cell>
          <cell r="Q17">
            <v>8114.21</v>
          </cell>
          <cell r="R17">
            <v>810.8</v>
          </cell>
        </row>
        <row r="18">
          <cell r="A18" t="str">
            <v>004480</v>
          </cell>
          <cell r="B18" t="str">
            <v>LDC 2</v>
          </cell>
          <cell r="D18" t="str">
            <v>yes</v>
          </cell>
          <cell r="E18" t="str">
            <v>20401132728</v>
          </cell>
          <cell r="F18" t="str">
            <v>F0547</v>
          </cell>
          <cell r="G18" t="str">
            <v>Street &amp; Highway Relocates ISRS (N)</v>
          </cell>
          <cell r="H18" t="str">
            <v>80th Public Impr Reloc CS/BS w 1428</v>
          </cell>
          <cell r="I18" t="str">
            <v>posted to CPR</v>
          </cell>
          <cell r="J18" t="str">
            <v>80th Public Impr Reloc CS/BS w 1428'-4;538'-2in PE: Kansas City-Jackson: 80th St between Montgall and Bellefontaine</v>
          </cell>
          <cell r="K18" t="str">
            <v>Approved by: Rob Hack on 07/19/2013,  Storm Drainage Improvements in the area of Marlborough will require Gas mains to be relocated at a lower depth. Pressure system is C-051. 4in PE will replace BS and CS on 80th St. from Montgall to Bellefontaine, 8039 S. Benton, and 2in CS will replace CS on 8013 Montgall ave. Marked intersections will be 60in deep and S. Benton replacement will be 48in deep. Construction drawings in Adam Hauck's office.</v>
          </cell>
          <cell r="L18">
            <v>41533</v>
          </cell>
          <cell r="M18">
            <v>41597</v>
          </cell>
          <cell r="N18">
            <v>41643.435266203698</v>
          </cell>
          <cell r="O18">
            <v>41730</v>
          </cell>
          <cell r="P18" t="str">
            <v>0401-043050  JACKSON CTY/KC</v>
          </cell>
          <cell r="Q18">
            <v>197681.21</v>
          </cell>
          <cell r="R18">
            <v>6583.6</v>
          </cell>
        </row>
        <row r="19">
          <cell r="A19" t="str">
            <v>004698</v>
          </cell>
          <cell r="B19" t="str">
            <v>LDC 2</v>
          </cell>
          <cell r="D19" t="str">
            <v>no</v>
          </cell>
          <cell r="E19" t="str">
            <v>21841304000</v>
          </cell>
          <cell r="F19" t="str">
            <v>F0732</v>
          </cell>
          <cell r="G19" t="str">
            <v>Transportation &amp; Eq Clrg MGE</v>
          </cell>
          <cell r="H19" t="str">
            <v>Fleet Clrg - 21841304000 MGE</v>
          </cell>
          <cell r="I19" t="str">
            <v>open</v>
          </cell>
          <cell r="J19" t="str">
            <v>Fleet Clrg - 21841304000 MGE</v>
          </cell>
          <cell r="P19" t="str">
            <v>Expense Only</v>
          </cell>
          <cell r="Q19">
            <v>8490.43</v>
          </cell>
          <cell r="R19">
            <v>0</v>
          </cell>
        </row>
        <row r="20">
          <cell r="A20" t="str">
            <v>800818</v>
          </cell>
          <cell r="B20" t="str">
            <v>LDC 2</v>
          </cell>
          <cell r="C20" t="str">
            <v>03 - Bare Steel Replacement</v>
          </cell>
          <cell r="D20" t="str">
            <v>yes</v>
          </cell>
          <cell r="F20" t="str">
            <v>F0572</v>
          </cell>
          <cell r="G20" t="str">
            <v>Main Replacement - ISRS (SW)</v>
          </cell>
          <cell r="H20" t="str">
            <v>Repl w 627F 2P Maiden and A St</v>
          </cell>
          <cell r="I20" t="str">
            <v>in service</v>
          </cell>
          <cell r="J20" t="str">
            <v>Install 627 ft of 2 in PL LP main on A St and Harlem Ave.</v>
          </cell>
          <cell r="K20" t="str">
            <v>Abandon 25 Ft of 1 1/4 in PL LP main, 9 Ft of 2 in PL LP main, 5 Ft of 3 in PL LP main, 3 Ft of 4 in PL LP main, 562 Ft of 2 in ST LP main at the above locations.  Total Service Tie-over = 3.  Replacement due to CP (A part of the FY17 Bare Steel Replacement Program).</v>
          </cell>
          <cell r="L20">
            <v>42745</v>
          </cell>
          <cell r="O20">
            <v>42736</v>
          </cell>
          <cell r="P20" t="str">
            <v>0501-044001  JASPER CTY/JOPLIN</v>
          </cell>
          <cell r="Q20">
            <v>78513.56</v>
          </cell>
          <cell r="R20">
            <v>-1679</v>
          </cell>
        </row>
        <row r="21">
          <cell r="A21" t="str">
            <v>800707</v>
          </cell>
          <cell r="B21" t="str">
            <v>LDC 2</v>
          </cell>
          <cell r="C21" t="str">
            <v>09 - Facility Relocation due to Civic Improvement</v>
          </cell>
          <cell r="D21" t="str">
            <v>yes</v>
          </cell>
          <cell r="F21" t="str">
            <v>F0664</v>
          </cell>
          <cell r="G21" t="str">
            <v>Street &amp; Hwy Relocates ISRS (SW)</v>
          </cell>
          <cell r="H21" t="str">
            <v>Reloc 800F 4P Garden Grove</v>
          </cell>
          <cell r="I21" t="str">
            <v>in service</v>
          </cell>
          <cell r="J21" t="str">
            <v>Install ~ 800 Ft of 4 in PL IP Main on Garden Grove  Rd N of Canterbee Ln.</v>
          </cell>
          <cell r="K21" t="str">
            <v>Abandon ~ 800 Ft of 3 in ST IP Main at the above location.  Total Service Tie-Over = 6.  This main is being relocated due to Civic Improvements</v>
          </cell>
          <cell r="L21">
            <v>42670</v>
          </cell>
          <cell r="O21">
            <v>42644</v>
          </cell>
          <cell r="P21" t="str">
            <v>0501-044001  JASPER CTY/JOPLIN</v>
          </cell>
          <cell r="Q21">
            <v>80279.429999999993</v>
          </cell>
          <cell r="R21">
            <v>-417</v>
          </cell>
        </row>
        <row r="22">
          <cell r="A22" t="str">
            <v>800402</v>
          </cell>
          <cell r="B22" t="str">
            <v>LDC 2</v>
          </cell>
          <cell r="C22" t="str">
            <v>03 - Bare Steel Replacement</v>
          </cell>
          <cell r="D22" t="str">
            <v>yes</v>
          </cell>
          <cell r="F22" t="str">
            <v>F0572</v>
          </cell>
          <cell r="G22" t="str">
            <v>Main Replacement - ISRS (SW)</v>
          </cell>
          <cell r="H22" t="str">
            <v>Repl w 1205F 2-4P 46th &amp; Wall Ave</v>
          </cell>
          <cell r="I22" t="str">
            <v>open</v>
          </cell>
          <cell r="J22" t="str">
            <v>Install 790 Ft of 2 in PL MP main, and 415 Ft of 4 in PL MP on Wall Ave in between 44th St and 47th St.</v>
          </cell>
          <cell r="K22" t="str">
            <v>Abandon 14 Ft of 4 in PL MP Main, 242 Ft of 2 in ST MP main, and 949 Ft of 3 in ST MP main at the above location.  Total Service Tie-over = 13.  This main is being replaced due to failed CP inspection reads and is part of the bare steel replacement program.</v>
          </cell>
          <cell r="P22" t="str">
            <v>0501-044001  JASPER CTY/JOPLIN</v>
          </cell>
          <cell r="Q22">
            <v>103845.58</v>
          </cell>
          <cell r="R22">
            <v>-3054</v>
          </cell>
        </row>
        <row r="23">
          <cell r="A23" t="str">
            <v>009233</v>
          </cell>
          <cell r="B23" t="str">
            <v>LDC 2</v>
          </cell>
          <cell r="D23" t="str">
            <v>no</v>
          </cell>
          <cell r="E23" t="str">
            <v>20501155522</v>
          </cell>
          <cell r="F23" t="str">
            <v>F0630</v>
          </cell>
          <cell r="G23" t="str">
            <v>Meter &amp; Reg Settings 2" &amp; Lg (SW)</v>
          </cell>
          <cell r="H23" t="str">
            <v>Install 3 Inch Prefab For 5M Rotary</v>
          </cell>
          <cell r="I23" t="str">
            <v>posted to CPR</v>
          </cell>
          <cell r="J23" t="str">
            <v>Install 3 Inch Prefab For 5M Rotary: Joplin: New Meter &amp; Reg Settings - 2&amp;quot; &amp; Larger 3820/3830 (33-382)</v>
          </cell>
          <cell r="K23" t="str">
            <v>Approved by: Michael Fornelli on 08/20/2015,  Install 3" prefab setting for 5M rotary meter. Will use 2" Flanged CL-34-1 regulator with 1/4" orifice, orange closing spring, &amp; yellow/white pilot spring to deliver 2 psig. Will use 1" Fisher 289 H-41 relief for overpressure protection. Total connected demand is 4000 cfh. Based on the economic evaluation, there will be no charge to the customer. Joplin System C-1  MAOP=58PSIG  MOP=58PSIG</v>
          </cell>
          <cell r="L23">
            <v>42296</v>
          </cell>
          <cell r="M23">
            <v>42491</v>
          </cell>
          <cell r="N23">
            <v>42527.354456018496</v>
          </cell>
          <cell r="O23">
            <v>42491</v>
          </cell>
          <cell r="P23" t="str">
            <v>0501-044001  JASPER CTY/JOPLIN</v>
          </cell>
          <cell r="Q23">
            <v>4774.01</v>
          </cell>
          <cell r="R23">
            <v>7</v>
          </cell>
        </row>
        <row r="24">
          <cell r="A24" t="str">
            <v>007050</v>
          </cell>
          <cell r="B24" t="str">
            <v>LDC 2</v>
          </cell>
          <cell r="D24" t="str">
            <v>no</v>
          </cell>
          <cell r="E24" t="str">
            <v>20501144010</v>
          </cell>
          <cell r="F24" t="str">
            <v>F0630</v>
          </cell>
          <cell r="G24" t="str">
            <v>Meter &amp; Reg Settings 2" &amp; Lg (SW)</v>
          </cell>
          <cell r="H24" t="str">
            <v>Install 3 Inch Prefab Setting For 5</v>
          </cell>
          <cell r="I24" t="str">
            <v>posted to CPR</v>
          </cell>
          <cell r="J24" t="str">
            <v>Install 3 Inch Prefab Setting For 5M Roots Meter: Joplin: New Meter &amp; Reg Settings - 2&amp;quot; &amp; Larger 3820/3830 (33-382)</v>
          </cell>
          <cell r="K24" t="str">
            <v>Approved by: Galen Shoemaker on 12/05/2014,  Install 3" prefab meter setting for 5M Roots meter to serve new Joplin Healthcare Center located at 2810 South Jackson. Will use 2" flanged Itron B34 IMRV regulator with 3/8" orifice and green spring to deliver 7" wc. Relief is internal. Total connected demand is 3798 cfh. Based on the economic evaluation, there will be no charge to the customer. System Joplin C-1  MAOP=58 PSIG  MOP=58 PSIG</v>
          </cell>
          <cell r="L24">
            <v>41984</v>
          </cell>
          <cell r="M24">
            <v>42248</v>
          </cell>
          <cell r="N24">
            <v>42270.4836111111</v>
          </cell>
          <cell r="O24">
            <v>42186</v>
          </cell>
          <cell r="P24" t="str">
            <v>0501-044001  JASPER CTY/JOPLIN</v>
          </cell>
          <cell r="Q24">
            <v>3932.01</v>
          </cell>
          <cell r="R24">
            <v>6</v>
          </cell>
        </row>
        <row r="25">
          <cell r="A25" t="str">
            <v>004668</v>
          </cell>
          <cell r="B25" t="str">
            <v>LDC 2</v>
          </cell>
          <cell r="D25" t="str">
            <v>no</v>
          </cell>
          <cell r="E25" t="str">
            <v>20501133091</v>
          </cell>
          <cell r="F25" t="str">
            <v>F0677</v>
          </cell>
          <cell r="G25" t="str">
            <v>New business</v>
          </cell>
          <cell r="H25" t="str">
            <v>121 N Adams Lay 105'-2in PE main ex</v>
          </cell>
          <cell r="I25" t="str">
            <v>posted to CPR</v>
          </cell>
          <cell r="J25" t="str">
            <v>121 N Adams Lay 105'-2in PE main ext: Joplin: 121 N Adams</v>
          </cell>
          <cell r="K25" t="str">
            <v>Approved by: Galen Shoemaker on 10/28/2013,  Lay 105' 2in PE to provide service for a new customer's generator. Customer only needs 75' main extension. Company elects to lay 105' for economic considerations.  Project Location: Adams Ave S of A St.  Pressure System: C-2.  MOP: 1.5 PSIG.  MAOP: 1.5 PSIG.  Design: 58 PSIG.  Test: 100 PSIG.  Price Per Foot: $43.84.</v>
          </cell>
          <cell r="L25">
            <v>41593</v>
          </cell>
          <cell r="M25">
            <v>41654</v>
          </cell>
          <cell r="N25">
            <v>41654.604097222204</v>
          </cell>
          <cell r="O25">
            <v>41730</v>
          </cell>
          <cell r="P25" t="str">
            <v>0501-044001  JASPER CTY/JOPLIN</v>
          </cell>
          <cell r="Q25">
            <v>3984.97</v>
          </cell>
          <cell r="R25">
            <v>736</v>
          </cell>
        </row>
        <row r="26">
          <cell r="A26" t="str">
            <v>004469</v>
          </cell>
          <cell r="B26" t="str">
            <v>LDC 2</v>
          </cell>
          <cell r="D26" t="str">
            <v>no</v>
          </cell>
          <cell r="E26" t="str">
            <v>20501133228</v>
          </cell>
          <cell r="F26" t="str">
            <v>F0630</v>
          </cell>
          <cell r="G26" t="str">
            <v>Meter &amp; Reg Settings 2" &amp; Lg (SW)</v>
          </cell>
          <cell r="H26" t="str">
            <v>7th St Walmart 5M Meter Set Prefab</v>
          </cell>
          <cell r="I26" t="str">
            <v>posted to CPR</v>
          </cell>
          <cell r="J26" t="str">
            <v>7th St Walmart 5M Meter Set Prefab: Joplin: 1600 E 7th St</v>
          </cell>
          <cell r="K26" t="str">
            <v>Approved by: Galen Shoemaker on 12/20/2013,  WILL INSTALL 3" PREFAB SETTING FOR 5M ROOTS METER TO SERVE A NEW WALMART NEIGHBORHOOD MARKET. WILL USE 2" FLANGED RELIANCE 3000 REGULATOR WITH 7-14" SPRING TO DELIVER 7" WC. WILL USE 1" FISHER 289L RELIEF SET AT 1/2 PSIG FOR OVERPRESSURE PROTECTION. TOTAL CONNECTED DEMAND IS 3789 CFH. BASED ON THE ECONOMIC EVALUATION, THERE WILL BE NO CHARGE TO THE CUSTOMER. A 2" SERVICE WILL BE INSTALLED ON WORK ORDER 13-3227. SYSTEM 0501-C-2  MAOP=1.5PSIG  MOP=1.5PSIG</v>
          </cell>
          <cell r="L26">
            <v>41656</v>
          </cell>
          <cell r="M26">
            <v>41729</v>
          </cell>
          <cell r="N26">
            <v>41733.495601851901</v>
          </cell>
          <cell r="P26" t="str">
            <v>0501-044001  JASPER CTY/JOPLIN</v>
          </cell>
          <cell r="Q26">
            <v>5760.65</v>
          </cell>
          <cell r="R26">
            <v>14</v>
          </cell>
        </row>
        <row r="27">
          <cell r="A27" t="str">
            <v>003890</v>
          </cell>
          <cell r="B27" t="str">
            <v>LDC 2</v>
          </cell>
          <cell r="D27" t="str">
            <v>no</v>
          </cell>
          <cell r="E27" t="str">
            <v>20501133122</v>
          </cell>
          <cell r="F27" t="str">
            <v>F0677</v>
          </cell>
          <cell r="G27" t="str">
            <v>New business</v>
          </cell>
          <cell r="H27" t="str">
            <v>24th &amp; Main Lay 165'-2in PE main ex</v>
          </cell>
          <cell r="I27" t="str">
            <v>posted to CPR</v>
          </cell>
          <cell r="J27" t="str">
            <v>24th &amp; Main Lay 165'-2in PE main ext: Joplin: 24th and Main</v>
          </cell>
          <cell r="K27" t="str">
            <v>Approved by: Galen Shoemaker on 10/30/2013,  Extend main with 165' - 2" PE to provide service to new Mexican restaurant in Alley West of Main, South of 24th. Customer is not able to have meter set and service in front of building (Main St) due to outdoor eating area and service can not run on North or South side of building due to proximity of proposed buildings on each side. Customer will contribute $1500.00 prior to work. Project Location: 24th and Main; Pressure System: C-2; MOP: 1.50 psig; MAOP: 1.50 psig; Design: 58 psig; Test: 100 psig; $39.17/ft</v>
          </cell>
          <cell r="L27">
            <v>41604</v>
          </cell>
          <cell r="M27">
            <v>41696</v>
          </cell>
          <cell r="N27">
            <v>41698.505300925899</v>
          </cell>
          <cell r="O27">
            <v>41730</v>
          </cell>
          <cell r="P27" t="str">
            <v>0501-044001  JASPER CTY/JOPLIN</v>
          </cell>
          <cell r="Q27">
            <v>2653.46</v>
          </cell>
          <cell r="R27">
            <v>712</v>
          </cell>
        </row>
        <row r="28">
          <cell r="A28" t="str">
            <v>004564</v>
          </cell>
          <cell r="B28" t="str">
            <v>LDC 2</v>
          </cell>
          <cell r="D28" t="str">
            <v>no</v>
          </cell>
          <cell r="E28" t="str">
            <v>20501132858</v>
          </cell>
          <cell r="F28" t="str">
            <v>F0667</v>
          </cell>
          <cell r="G28" t="str">
            <v>Other relocates</v>
          </cell>
          <cell r="H28" t="str">
            <v>32nd &amp; Hearnes Reloc PBS w 180'-2in</v>
          </cell>
          <cell r="I28" t="str">
            <v>posted to CPR</v>
          </cell>
          <cell r="J28" t="str">
            <v>32nd &amp; Hearnes Reloc PBS w 180'-2in PE main : Joplin: 32nd and Old Main St</v>
          </cell>
          <cell r="K28" t="str">
            <v>Approved by: Galen Shoemaker on 08/06/2013,  Abandon 445' - 3" PBS (WO#'s: NONE, 45409) and 95' - 3" PCS (WO#: 71-4150) due to new CVS Pharmacy proposed to be built over existing main and road right-of-way to be vacated. Lay 180' - 2" PE from C-1 (58 psig) system to catch the two services currently off of the main to be abandoned. Existing main is off of the C-3 (8.00 psig) system. Two services to be tied over have adequate pressure tests for new pressure system. Customer will contribute $11,766.80 prior to work. Project Location: 32nd and Old Main St; Pressure System: C-1/C-3; MOP: 58 psig/8.00 psig; MAOP: 58 psig/8.50 psig; Design: 58 psig; Test: 100 psig; $65.37/ft</v>
          </cell>
          <cell r="L28">
            <v>41663</v>
          </cell>
          <cell r="M28">
            <v>41715</v>
          </cell>
          <cell r="N28">
            <v>41715.574363425898</v>
          </cell>
          <cell r="P28" t="str">
            <v>0501-044001  JASPER CTY/JOPLIN</v>
          </cell>
          <cell r="Q28">
            <v>537.05999999999995</v>
          </cell>
          <cell r="R28">
            <v>1265</v>
          </cell>
        </row>
        <row r="29">
          <cell r="A29" t="str">
            <v>800280</v>
          </cell>
          <cell r="B29" t="str">
            <v>LDC 2</v>
          </cell>
          <cell r="C29" t="str">
            <v>03 - Bare Steel Replacement</v>
          </cell>
          <cell r="D29" t="str">
            <v>yes</v>
          </cell>
          <cell r="F29" t="str">
            <v>F0572</v>
          </cell>
          <cell r="G29" t="str">
            <v>Main Replacement - ISRS (SW)</v>
          </cell>
          <cell r="H29" t="str">
            <v>Repl w/ 2932F 2-4P Webb City Ph2E</v>
          </cell>
          <cell r="I29" t="str">
            <v>open</v>
          </cell>
          <cell r="J29" t="str">
            <v>Install 861 Ft of 2 in PL IP main, and 2071 Ft of 4 in PL IP main - Webb City Ph 2E. Abandon 135 Ft of 6 in PL LP main, and 3282 Ft of ST LP main, and uprate 2625 Ft of PL LP main.</v>
          </cell>
          <cell r="K29" t="str">
            <v>This main is being replaced as part of FY16 Bare Steel Replacement.
 Total Service Tie-over = 32; Total Service Replace = 4; Total Service Upgrade = 44; Total Service Abandoned = 7</v>
          </cell>
          <cell r="P29" t="str">
            <v>0502-044006  JASPER CTY/WEBB CITY</v>
          </cell>
          <cell r="Q29">
            <v>141353.07999999999</v>
          </cell>
          <cell r="R29">
            <v>-6676.1666999999998</v>
          </cell>
        </row>
        <row r="30">
          <cell r="A30" t="str">
            <v>800412</v>
          </cell>
          <cell r="B30" t="str">
            <v>LDC 2</v>
          </cell>
          <cell r="C30" t="str">
            <v>03 - Bare Steel Replacement</v>
          </cell>
          <cell r="D30" t="str">
            <v>yes</v>
          </cell>
          <cell r="F30" t="str">
            <v>F0572</v>
          </cell>
          <cell r="G30" t="str">
            <v>Main Replacement - ISRS (SW)</v>
          </cell>
          <cell r="H30" t="str">
            <v>Repl w/ 5734F 2-4P Purcell 1B</v>
          </cell>
          <cell r="I30" t="str">
            <v>open</v>
          </cell>
          <cell r="J30" t="str">
            <v>Install 4517 Ft of 2 in and 1217 Ft of 4 in PL MP Main for Purcell Replacement Phase 1B. Abandon 168 Ft of 2 in PL, 479 Ft of 2 in ST, 4119 Ft of 3 in ST, 12 Ft of 4 in PL, 937ft of 4 in ST and 21 Ft of 6 in ST MP Main.</v>
          </cell>
          <cell r="K30" t="str">
            <v>This main is being replaced as part of the FY16 Bare Steel Replacement Program.
Total service tie overs = 33; Total service abandon = 11</v>
          </cell>
          <cell r="P30" t="str">
            <v>0507-044014  JASPER CTY/PURCELL</v>
          </cell>
          <cell r="Q30">
            <v>404464.94</v>
          </cell>
          <cell r="R30">
            <v>-16956.330000000002</v>
          </cell>
        </row>
        <row r="31">
          <cell r="A31" t="str">
            <v>004422</v>
          </cell>
          <cell r="B31" t="str">
            <v>LDC 2</v>
          </cell>
          <cell r="D31" t="str">
            <v>yes</v>
          </cell>
          <cell r="E31" t="str">
            <v>20501132307</v>
          </cell>
          <cell r="F31" t="str">
            <v>F0544</v>
          </cell>
          <cell r="G31" t="str">
            <v>Replace bare steel main - safety re</v>
          </cell>
          <cell r="H31" t="str">
            <v>41st &amp; Penn Repl PBS w 560'-4in PE</v>
          </cell>
          <cell r="I31" t="str">
            <v>posted to CPR</v>
          </cell>
          <cell r="J31" t="str">
            <v>41st &amp; Penn Repl PBS w 560'-4in PE main: Joplin: 41st and Pennsylvania</v>
          </cell>
          <cell r="K31" t="str">
            <v>Approved by: Galen Shoemaker on 01/07/2013,  Abandon 336' - 3in PBS (WO#'s: 4537, A1865) and 211' - 3in PCS (WO#: 36870) and replace with 560' - 4in PE to clear three (3) - #3 Leaks (Leak No's: 08-0083, 08-0084, 08-0085) due 4/11/2013. Project Location: 41st and Pennsylvania; Pressure System: C-3; MOP: 8.00 psig; MOAP: 8.50 psig; Design: 58 psig; Test: 100 psig; ISRS $44.35/ft</v>
          </cell>
          <cell r="L31">
            <v>41312</v>
          </cell>
          <cell r="M31">
            <v>41449</v>
          </cell>
          <cell r="N31">
            <v>41603.384722222203</v>
          </cell>
          <cell r="O31">
            <v>41730</v>
          </cell>
          <cell r="P31" t="str">
            <v>0501-066001  NEWTON CTY/JOPLIN</v>
          </cell>
          <cell r="Q31">
            <v>32051.9</v>
          </cell>
          <cell r="R31">
            <v>3036</v>
          </cell>
        </row>
        <row r="32">
          <cell r="A32" t="str">
            <v>004059</v>
          </cell>
          <cell r="B32" t="str">
            <v>LDC 2</v>
          </cell>
          <cell r="D32" t="str">
            <v>yes</v>
          </cell>
          <cell r="E32" t="str">
            <v>20502132946</v>
          </cell>
          <cell r="F32" t="str">
            <v>F0657</v>
          </cell>
          <cell r="G32" t="str">
            <v>Services - 2" &amp; larger</v>
          </cell>
          <cell r="H32" t="str">
            <v>Crowder College 2"service 600 Ellis</v>
          </cell>
          <cell r="I32" t="str">
            <v>posted to CPR</v>
          </cell>
          <cell r="J32" t="str">
            <v>Moved meter location due to building expansion.  Lay 140' 2in PE service for Crowder College.  Abandoned 208' 2in PE.  Customer paid $1,785.28 after economic evaluation.  Project Location:  600 Ellis St.  Pressure System:  C-1.  MOP: 1.75 PSIG.  MAOP:  1.75 PSIG.  Design:  58 PSIG.  Test:  100 PSIG.</v>
          </cell>
          <cell r="K32" t="str">
            <v>Approved by Galen Shoemaker 9/10/2013.  Work order set up manually due to WOES out of commission</v>
          </cell>
          <cell r="L32">
            <v>41512</v>
          </cell>
          <cell r="M32">
            <v>41652</v>
          </cell>
          <cell r="N32">
            <v>41654.604108796302</v>
          </cell>
          <cell r="P32" t="str">
            <v>0502-044006  JASPER CTY/WEBB CITY</v>
          </cell>
          <cell r="Q32">
            <v>4979.59</v>
          </cell>
          <cell r="R32">
            <v>166</v>
          </cell>
        </row>
        <row r="33">
          <cell r="A33" t="str">
            <v>012482</v>
          </cell>
          <cell r="B33" t="str">
            <v>LDC 2</v>
          </cell>
          <cell r="D33" t="str">
            <v>no</v>
          </cell>
          <cell r="F33" t="str">
            <v>F1152</v>
          </cell>
          <cell r="G33" t="str">
            <v>Vehicle Purchases - MGE</v>
          </cell>
          <cell r="H33" t="str">
            <v>Retire vehicles MGE FY16 Inventory</v>
          </cell>
          <cell r="I33" t="str">
            <v>completed</v>
          </cell>
          <cell r="J33" t="str">
            <v>Retire vehicles for FY16 Inventory for MGE</v>
          </cell>
          <cell r="L33">
            <v>42643</v>
          </cell>
          <cell r="M33">
            <v>42643</v>
          </cell>
          <cell r="O33">
            <v>42705</v>
          </cell>
          <cell r="P33" t="str">
            <v>0101-043050  JACKSON CTY/KC</v>
          </cell>
          <cell r="Q33">
            <v>287191.98</v>
          </cell>
          <cell r="R33">
            <v>39</v>
          </cell>
        </row>
        <row r="34">
          <cell r="A34" t="str">
            <v>010182</v>
          </cell>
          <cell r="B34" t="str">
            <v>LDC 2</v>
          </cell>
          <cell r="D34" t="str">
            <v>no</v>
          </cell>
          <cell r="F34" t="str">
            <v>F1152</v>
          </cell>
          <cell r="G34" t="str">
            <v>Vehicle Purchases - MGE</v>
          </cell>
          <cell r="H34" t="str">
            <v>Purchase (27) light trucks. MGE</v>
          </cell>
          <cell r="I34" t="str">
            <v>posted to CPR</v>
          </cell>
          <cell r="J34" t="str">
            <v>Replace 27 light trucks. MGE</v>
          </cell>
          <cell r="L34">
            <v>42613</v>
          </cell>
          <cell r="M34">
            <v>42734</v>
          </cell>
          <cell r="N34">
            <v>42744.448668981502</v>
          </cell>
          <cell r="O34">
            <v>42614</v>
          </cell>
          <cell r="P34" t="str">
            <v>0101-043050  JACKSON CTY/KC</v>
          </cell>
          <cell r="Q34">
            <v>1010302.78</v>
          </cell>
          <cell r="R34">
            <v>6203</v>
          </cell>
        </row>
        <row r="35">
          <cell r="A35" t="str">
            <v>007503</v>
          </cell>
          <cell r="B35" t="str">
            <v>LDC 2</v>
          </cell>
          <cell r="D35" t="str">
            <v>yes</v>
          </cell>
          <cell r="E35" t="str">
            <v>20201155087</v>
          </cell>
          <cell r="F35" t="str">
            <v>F0604</v>
          </cell>
          <cell r="G35" t="str">
            <v>Main Replacement - ISRS (S)</v>
          </cell>
          <cell r="H35" t="str">
            <v>Replace PBS main 23rd and Haden and</v>
          </cell>
          <cell r="I35" t="str">
            <v>posted to CPR</v>
          </cell>
          <cell r="J35" t="str">
            <v>Replace PBS main 23rd and Haden and Woodbury: Independence: Replace Bare Steel Main - 3760 Safety Related (34-394)</v>
          </cell>
          <cell r="K35" t="str">
            <v>Approved by: Steve Holcomb on 01/26/2015,  Accelerated Main Replacement Program. Replace and abandon 2860' of existing main on two single feed pressure systems with 3110' - 2" PE main on the C-500 pressure system. This will allow us to retire DRS 225 and 226 (WO's 15-5088 and 15-5089, respectively). This is an area that we experienced problems with water in the main in winter 2012-13 and targeted for replacement on the C-500 system since it is so readily available. See pipe tab for details on main to abandon. ISRS  Price per ft = $37.86</v>
          </cell>
          <cell r="L35">
            <v>42174</v>
          </cell>
          <cell r="M35">
            <v>42216</v>
          </cell>
          <cell r="N35">
            <v>42284.723124999997</v>
          </cell>
          <cell r="O35">
            <v>42186</v>
          </cell>
          <cell r="P35" t="str">
            <v>0201-043001  JACKSON CTY/INDEPENDENCE</v>
          </cell>
          <cell r="Q35">
            <v>118458.71</v>
          </cell>
          <cell r="R35">
            <v>-6563</v>
          </cell>
        </row>
        <row r="36">
          <cell r="A36" t="str">
            <v>005695</v>
          </cell>
          <cell r="B36" t="str">
            <v>LDC 2</v>
          </cell>
          <cell r="D36" t="str">
            <v>no</v>
          </cell>
          <cell r="F36" t="str">
            <v>F0495</v>
          </cell>
          <cell r="G36" t="str">
            <v>General structures</v>
          </cell>
          <cell r="H36" t="str">
            <v>Security Cameras - Independence</v>
          </cell>
          <cell r="I36" t="str">
            <v>posted to CPR</v>
          </cell>
          <cell r="J36" t="str">
            <v>Install Genetec 4TB Archiver System</v>
          </cell>
          <cell r="K36" t="str">
            <v>Complete per Al Moore 9-18-14 - AMM</v>
          </cell>
          <cell r="L36">
            <v>41900</v>
          </cell>
          <cell r="M36">
            <v>42156</v>
          </cell>
          <cell r="N36">
            <v>42223.566018518497</v>
          </cell>
          <cell r="O36">
            <v>41883</v>
          </cell>
          <cell r="P36" t="str">
            <v>0201-043001  JACKSON CTY/INDEPENDENCE</v>
          </cell>
          <cell r="Q36">
            <v>16174.02</v>
          </cell>
          <cell r="R36">
            <v>12791</v>
          </cell>
        </row>
        <row r="37">
          <cell r="A37" t="str">
            <v>005039</v>
          </cell>
          <cell r="B37" t="str">
            <v>LDC 2</v>
          </cell>
          <cell r="D37" t="str">
            <v>yes</v>
          </cell>
          <cell r="E37" t="str">
            <v>20201143501</v>
          </cell>
          <cell r="F37" t="str">
            <v>F0604</v>
          </cell>
          <cell r="G37" t="str">
            <v>Main Replacement - ISRS (S)</v>
          </cell>
          <cell r="H37" t="str">
            <v>31st Overton Repl PBS/PCS w 3425'-2</v>
          </cell>
          <cell r="I37" t="str">
            <v>posted to CPR</v>
          </cell>
          <cell r="J37" t="str">
            <v>31st Overton Repl PBS/PCS w 3425'-2in PE : Independence: Replace Bare Steel Main - 3760 Safety Related (34-394)</v>
          </cell>
          <cell r="K37" t="str">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ell>
          <cell r="L37">
            <v>41912</v>
          </cell>
          <cell r="M37">
            <v>41912</v>
          </cell>
          <cell r="N37">
            <v>42012.721793981502</v>
          </cell>
          <cell r="O37">
            <v>41883</v>
          </cell>
          <cell r="P37" t="str">
            <v>0201-043001  JACKSON CTY/INDEPENDENCE</v>
          </cell>
          <cell r="Q37">
            <v>112020.2</v>
          </cell>
          <cell r="R37">
            <v>-4732.5</v>
          </cell>
        </row>
        <row r="38">
          <cell r="A38" t="str">
            <v>003961</v>
          </cell>
          <cell r="B38" t="str">
            <v>LDC 2</v>
          </cell>
          <cell r="D38" t="str">
            <v>no</v>
          </cell>
          <cell r="E38" t="str">
            <v>20201121843</v>
          </cell>
          <cell r="F38" t="str">
            <v>F0644</v>
          </cell>
          <cell r="G38" t="str">
            <v>Meter &amp; Reg Settings 2" &amp; Lg (S)</v>
          </cell>
          <cell r="H38" t="str">
            <v>Green Lantern 7M Meter Set</v>
          </cell>
          <cell r="I38" t="str">
            <v>posted to CPR</v>
          </cell>
          <cell r="J38" t="str">
            <v>Green Lantern 7M Meter Set: Independence: 40 Hwy and Cochise Ct South</v>
          </cell>
          <cell r="K38" t="str">
            <v>Approved by: Ralph Janes on 11/14/2012,  Build an 7M rotary meter set on wo# 12-1843 to serve the Green Lantern Car Wash. An elevated pressure of 2 psig will be necessary. A main extension will be necessary and can be found on wo# 12-1840. Also a 2in PE service line will be necessary to account for the 7,720 cfh load. The service line can be found on wo# 12-1842.</v>
          </cell>
          <cell r="L38">
            <v>41541</v>
          </cell>
          <cell r="M38">
            <v>41600</v>
          </cell>
          <cell r="N38">
            <v>41612.300185185202</v>
          </cell>
          <cell r="P38" t="str">
            <v>0201-043001  JACKSON CTY/INDEPENDENCE</v>
          </cell>
          <cell r="Q38">
            <v>3132.33</v>
          </cell>
          <cell r="R38">
            <v>79</v>
          </cell>
        </row>
        <row r="39">
          <cell r="A39" t="str">
            <v>009800</v>
          </cell>
          <cell r="B39" t="str">
            <v>LDC 2</v>
          </cell>
          <cell r="D39" t="str">
            <v>no</v>
          </cell>
          <cell r="F39" t="str">
            <v>F0639</v>
          </cell>
          <cell r="G39" t="str">
            <v>EGM Equip-1st Time Installation</v>
          </cell>
          <cell r="H39" t="str">
            <v>EGM - Jason Incorporated</v>
          </cell>
          <cell r="I39" t="str">
            <v>open</v>
          </cell>
          <cell r="J39" t="str">
            <v>Install Mini-AT-PT for Jason Incorporated d/b/a Janesville Accoustics at 618 N Enterprise Dr. Warrensburg MO to monitor daily gas usage for this customer.  Customer will reimburse company actual cost for EGM installation not to exceed $5,445.</v>
          </cell>
          <cell r="P39" t="str">
            <v>0301-046001  JOHNSON CTY/WARRENSBURG</v>
          </cell>
          <cell r="Q39">
            <v>2604.46</v>
          </cell>
          <cell r="R39">
            <v>9</v>
          </cell>
        </row>
        <row r="40">
          <cell r="A40" t="str">
            <v>004154</v>
          </cell>
          <cell r="B40" t="str">
            <v>LDC 2</v>
          </cell>
          <cell r="D40" t="str">
            <v>no</v>
          </cell>
          <cell r="E40" t="str">
            <v>20301050302</v>
          </cell>
          <cell r="F40" t="str">
            <v>F0645</v>
          </cell>
          <cell r="G40" t="str">
            <v>BWO New Mtr/Reg Install &lt;2'' (S)</v>
          </cell>
          <cell r="H40" t="str">
            <v>BWO-NEW METER SETS</v>
          </cell>
          <cell r="I40" t="str">
            <v>posted to CPR</v>
          </cell>
          <cell r="J40" t="str">
            <v>BWO-NEW METER SETS</v>
          </cell>
          <cell r="K40" t="str">
            <v>Project Type:B</v>
          </cell>
          <cell r="L40">
            <v>41717</v>
          </cell>
          <cell r="M40">
            <v>41717</v>
          </cell>
          <cell r="N40">
            <v>41717</v>
          </cell>
          <cell r="P40" t="str">
            <v>0301-046001  JOHNSON CTY/WARRENSBURG</v>
          </cell>
          <cell r="Q40">
            <v>23546.94</v>
          </cell>
          <cell r="R40">
            <v>306</v>
          </cell>
        </row>
        <row r="41">
          <cell r="A41" t="str">
            <v>004110</v>
          </cell>
          <cell r="B41" t="str">
            <v>LDC 2</v>
          </cell>
          <cell r="D41" t="str">
            <v>no</v>
          </cell>
          <cell r="E41" t="str">
            <v>20301132997</v>
          </cell>
          <cell r="F41" t="str">
            <v>F0597</v>
          </cell>
          <cell r="G41" t="str">
            <v>Other</v>
          </cell>
          <cell r="H41" t="str">
            <v>Replace EGM - Western MO Medical Ce</v>
          </cell>
          <cell r="I41" t="str">
            <v>posted to CPR</v>
          </cell>
          <cell r="J41" t="str">
            <v>Replace EGM - Western MO Medical Center: Warrensburg: 403 Burkarth Rd - Warrensburg, MO 64093</v>
          </cell>
          <cell r="K41" t="str">
            <v>Approved by: Rob Kitterman on 09/24/2013,  Replace EGM equipment at Western MO Medical Center with a new Mini-AT-PT, S/N: 13012224, &amp; Messenger Modem. Existing meter is a Roots 11M rotary meter# 00447845. The existing equipment was damaged beyond repair. Retire the damaged ECAT, S/N: 0416978 on this WO as well.</v>
          </cell>
          <cell r="L41">
            <v>41578</v>
          </cell>
          <cell r="M41">
            <v>41662</v>
          </cell>
          <cell r="N41">
            <v>41676.633402777799</v>
          </cell>
          <cell r="P41" t="str">
            <v>0301-046001  JOHNSON CTY/WARRENSBURG</v>
          </cell>
          <cell r="Q41">
            <v>3740.63</v>
          </cell>
          <cell r="R41">
            <v>4.5</v>
          </cell>
        </row>
        <row r="42">
          <cell r="A42" t="str">
            <v>004605</v>
          </cell>
          <cell r="B42" t="str">
            <v>LDC 2</v>
          </cell>
          <cell r="D42" t="str">
            <v>yes</v>
          </cell>
          <cell r="E42" t="str">
            <v>20301050361</v>
          </cell>
          <cell r="F42" t="str">
            <v>F0515</v>
          </cell>
          <cell r="G42" t="str">
            <v>SLRP - modified block by block - co</v>
          </cell>
          <cell r="H42" t="str">
            <v>BWO SERVICE LINE REPL MODIFIED BLOC</v>
          </cell>
          <cell r="I42" t="str">
            <v>posted to CPR</v>
          </cell>
          <cell r="J42" t="str">
            <v>BWO SERVICE LINE REPL MODIFIED BLOCK COMP</v>
          </cell>
          <cell r="K42" t="str">
            <v>Project Type:B</v>
          </cell>
          <cell r="L42">
            <v>41717</v>
          </cell>
          <cell r="M42">
            <v>41717</v>
          </cell>
          <cell r="N42">
            <v>41717</v>
          </cell>
          <cell r="P42" t="str">
            <v>0301-046001  JOHNSON CTY/WARRENSBURG</v>
          </cell>
          <cell r="Q42">
            <v>15312.45</v>
          </cell>
          <cell r="R42">
            <v>156</v>
          </cell>
        </row>
        <row r="43">
          <cell r="A43" t="str">
            <v>008732</v>
          </cell>
          <cell r="B43" t="str">
            <v>LDC 2</v>
          </cell>
          <cell r="D43" t="str">
            <v>no</v>
          </cell>
          <cell r="E43" t="str">
            <v>20305155398</v>
          </cell>
          <cell r="F43" t="str">
            <v>F0606</v>
          </cell>
          <cell r="G43" t="str">
            <v>Station rebuild &amp; replacement</v>
          </cell>
          <cell r="H43" t="str">
            <v>Retire DRS 7 in Sweet Springs</v>
          </cell>
          <cell r="I43" t="str">
            <v>posted to CPR</v>
          </cell>
          <cell r="J43" t="str">
            <v>Retire DRS 7 in Sweet Springs: Sweet Springs: Rebuild District/TB Stations  3780/3790 (45-387)</v>
          </cell>
          <cell r="K43" t="str">
            <v>Approved by: Kevin Driskell on 06/16/2015,  Remove and retire DRS 7 (WO# 94-2767) as it will not be needed after the completion of WO# 15-5119.  The 2 - 2" Rockwell 461-57S regulators will be junked.</v>
          </cell>
          <cell r="L43">
            <v>42278</v>
          </cell>
          <cell r="M43">
            <v>42278</v>
          </cell>
          <cell r="N43">
            <v>42405.451180555603</v>
          </cell>
          <cell r="P43" t="str">
            <v>0305-086001  SALINE CTY/SWEET SPRINGS</v>
          </cell>
          <cell r="Q43">
            <v>5688.4</v>
          </cell>
          <cell r="R43">
            <v>8</v>
          </cell>
        </row>
        <row r="44">
          <cell r="A44" t="str">
            <v>003930</v>
          </cell>
          <cell r="B44" t="str">
            <v>LDC 2</v>
          </cell>
          <cell r="D44" t="str">
            <v>no</v>
          </cell>
          <cell r="E44" t="str">
            <v>20801050373</v>
          </cell>
          <cell r="F44" t="str">
            <v>F0652</v>
          </cell>
          <cell r="G44" t="str">
            <v>SLRP - meter &amp; regulator replacemen</v>
          </cell>
          <cell r="H44" t="str">
            <v>BWO MTR/REG SET REPL CONTRACTOR-SLR</v>
          </cell>
          <cell r="I44" t="str">
            <v>open</v>
          </cell>
          <cell r="J44" t="str">
            <v>BWO MTR/REG SET REPL CONTRACTOR-SLRP</v>
          </cell>
          <cell r="K44" t="str">
            <v>Service/Yard Line Replacement (SLRP): Contract Crew.  Rebuild meter/regulator setting (exclude regulator) (Monett - South Region).</v>
          </cell>
          <cell r="O44">
            <v>41730</v>
          </cell>
          <cell r="P44" t="str">
            <v>0801-005001  BARRY CTY/MONETT</v>
          </cell>
          <cell r="Q44">
            <v>194007.31</v>
          </cell>
          <cell r="R44">
            <v>1666</v>
          </cell>
        </row>
        <row r="45">
          <cell r="A45" t="str">
            <v>004506</v>
          </cell>
          <cell r="B45" t="str">
            <v>LDC 2</v>
          </cell>
          <cell r="D45" t="str">
            <v>no</v>
          </cell>
          <cell r="E45" t="str">
            <v>20801132326</v>
          </cell>
          <cell r="F45" t="str">
            <v>F0622</v>
          </cell>
          <cell r="G45" t="str">
            <v>Corrosion Control Equip</v>
          </cell>
          <cell r="H45" t="str">
            <v>Remote Test Station</v>
          </cell>
          <cell r="I45" t="str">
            <v>posted to CPR</v>
          </cell>
          <cell r="J45" t="str">
            <v>Remote Test Station: Monett: Monett - Various Locations</v>
          </cell>
          <cell r="K45" t="str">
            <v>Approved by: Steve Holcomb on 01/11/2013,  This work order is necessary to install 52 Elecsys Wathchdog Remote Test Station units on all rectified systems in the Monett service territory. The units will be a Watchdog STS/Smart Test Station/Cellar/ P/N: STS-VZW. This will complete the four year program of the installation of Remote Stations company wide. All installations will be by the Pipeline Safety Department.</v>
          </cell>
          <cell r="L45">
            <v>41547</v>
          </cell>
          <cell r="M45">
            <v>41575</v>
          </cell>
          <cell r="N45">
            <v>41576.418460648099</v>
          </cell>
          <cell r="P45" t="str">
            <v>0801-005001  BARRY CTY/MONETT</v>
          </cell>
          <cell r="Q45">
            <v>58981.1</v>
          </cell>
          <cell r="R45">
            <v>0</v>
          </cell>
        </row>
        <row r="46">
          <cell r="A46" t="str">
            <v>008200</v>
          </cell>
          <cell r="B46" t="str">
            <v>LDC 2</v>
          </cell>
          <cell r="D46" t="str">
            <v>no</v>
          </cell>
          <cell r="E46" t="str">
            <v>20930155300</v>
          </cell>
          <cell r="F46" t="str">
            <v>F0507</v>
          </cell>
          <cell r="G46" t="str">
            <v>Rebuild Meter Install 2'' &amp; Lg (S)</v>
          </cell>
          <cell r="H46" t="str">
            <v>Remove 3M Rotary Meter</v>
          </cell>
          <cell r="I46" t="str">
            <v>posted to CPR</v>
          </cell>
          <cell r="J46" t="str">
            <v>Remove 3M Rotary Meter: Buckner: Replace Meter &amp; Reg 2&amp;quot; &amp;  Larger - 3820/3830 (32-404)</v>
          </cell>
          <cell r="K46" t="str">
            <v>Approved by: Kevin Driskell on 04/17/2015,  Remove and dismantle the 5M rotary meter setting (meter #08059748, premise #600124686, meter setting installed on WO# 80-1180, regulator installed on WO# 68-0083) due to inactivity.</v>
          </cell>
          <cell r="L46">
            <v>42125</v>
          </cell>
          <cell r="M46">
            <v>42155</v>
          </cell>
          <cell r="N46">
            <v>42256.642060185201</v>
          </cell>
          <cell r="O46">
            <v>42217</v>
          </cell>
          <cell r="P46" t="str">
            <v>0930-043043  JACKSON CTY/BUCKNER</v>
          </cell>
          <cell r="Q46">
            <v>639.88</v>
          </cell>
          <cell r="R46">
            <v>4</v>
          </cell>
        </row>
        <row r="47">
          <cell r="A47" t="str">
            <v>004486</v>
          </cell>
          <cell r="B47" t="str">
            <v>LDC 2</v>
          </cell>
          <cell r="D47" t="str">
            <v>yes</v>
          </cell>
          <cell r="E47" t="str">
            <v>20802132875</v>
          </cell>
          <cell r="F47" t="str">
            <v>F0527</v>
          </cell>
          <cell r="G47" t="str">
            <v>Replace steel &amp; plastic main</v>
          </cell>
          <cell r="H47" t="str">
            <v>Hwy 97 Repl PCS w 10'-2in TF Steel</v>
          </cell>
          <cell r="I47" t="str">
            <v>posted to CPR</v>
          </cell>
          <cell r="J47" t="str">
            <v>Hwy 97 Repl PCS w 10'-2in TF Steel main: Pierce City: Hwy 97 and Elizabeth</v>
          </cell>
          <cell r="K47" t="str">
            <v>Approved by: Galen Shoemaker on 08/26/2013,  To replace 6ft of 2in Coated Steel Main from WO 724646 and 4ft of 2in Coated Steel Main from WO 801479 at intersection due to leakage and poor condition of main. MOP=30# MAOP=31# SYSTEM=S-6 TEST=100#</v>
          </cell>
          <cell r="L47">
            <v>41488</v>
          </cell>
          <cell r="M47">
            <v>41600</v>
          </cell>
          <cell r="N47">
            <v>41603.384722222203</v>
          </cell>
          <cell r="O47">
            <v>41730</v>
          </cell>
          <cell r="P47" t="str">
            <v>0802-050010  LAWRENCE CTY/PIERCE</v>
          </cell>
          <cell r="Q47">
            <v>4011.04</v>
          </cell>
          <cell r="R47">
            <v>75</v>
          </cell>
        </row>
        <row r="48">
          <cell r="A48" t="str">
            <v>003806</v>
          </cell>
          <cell r="B48" t="str">
            <v>LDC 2</v>
          </cell>
          <cell r="D48" t="str">
            <v>yes</v>
          </cell>
          <cell r="E48" t="str">
            <v>20802132882</v>
          </cell>
          <cell r="F48" t="str">
            <v>F0634</v>
          </cell>
          <cell r="G48" t="str">
            <v>Replace bare steel main - safety re</v>
          </cell>
          <cell r="H48" t="str">
            <v>Elm &amp; Halstead Repl PBS w 15'-2in P</v>
          </cell>
          <cell r="I48" t="str">
            <v>posted to CPR</v>
          </cell>
          <cell r="J48" t="str">
            <v>Elm &amp; Halstead Repl PBS w 15'-2in PE; 13'-2in CS m: Pierce City: Elm St and Halstead</v>
          </cell>
          <cell r="K48" t="str">
            <v>Approved by: Galen Shoemaker on 08/26/2013,  To replace 18ft of 2in BS Main (A3337) with 15ft of 2in PE and 3ft 2in CS.  To replace 10ft of 2in CS Main (61-3353) with 10ft 2in CS.  To retire 16ft of 2in BS from unknown WO that was not mapped to eliminate several fittings with leakage. MOP=30# MAOP=31# SYSTEM=S-6 TEST=100#</v>
          </cell>
          <cell r="L48">
            <v>41499</v>
          </cell>
          <cell r="M48">
            <v>41638</v>
          </cell>
          <cell r="N48">
            <v>41643.435324074097</v>
          </cell>
          <cell r="O48">
            <v>41730</v>
          </cell>
          <cell r="P48" t="str">
            <v>0802-050010  LAWRENCE CTY/PIERCE</v>
          </cell>
          <cell r="Q48">
            <v>4017.26</v>
          </cell>
          <cell r="R48">
            <v>128</v>
          </cell>
        </row>
        <row r="49">
          <cell r="A49" t="str">
            <v>006843</v>
          </cell>
          <cell r="B49" t="str">
            <v>LDC 2</v>
          </cell>
          <cell r="D49" t="str">
            <v>yes</v>
          </cell>
          <cell r="E49" t="str">
            <v>20312143926</v>
          </cell>
          <cell r="F49" t="str">
            <v>F0507</v>
          </cell>
          <cell r="G49" t="str">
            <v>Rebuild Meter Install 2'' &amp; Lg (S)</v>
          </cell>
          <cell r="H49" t="str">
            <v>Rebuild meter set - 3M Rotary</v>
          </cell>
          <cell r="I49" t="str">
            <v>posted to CPR</v>
          </cell>
          <cell r="J49" t="str">
            <v>Rebuild meter set - 3M Rotary: Carrollton: Replace Meter &amp; Reg 2in &amp;  Larger - 3820/3830 (32-404)</v>
          </cell>
          <cell r="K49" t="str">
            <v>Approved by: Ralph Janes on 11/07/2014,  Rebuild and retire the existing Rockwell 3000 meter setting (meter number 00194423) by installing a new 3M Rotary meter set.  The existing diaphragm meter set is due for a time limit meter change.</v>
          </cell>
          <cell r="L49">
            <v>41995</v>
          </cell>
          <cell r="M49">
            <v>42035</v>
          </cell>
          <cell r="N49">
            <v>42345.345891203702</v>
          </cell>
          <cell r="O49">
            <v>41974</v>
          </cell>
          <cell r="P49" t="str">
            <v>0312-014001  CARROLL CTY/CARROLLTON</v>
          </cell>
          <cell r="Q49">
            <v>2801.56</v>
          </cell>
          <cell r="R49">
            <v>-36.5</v>
          </cell>
        </row>
        <row r="50">
          <cell r="A50" t="str">
            <v>006593</v>
          </cell>
          <cell r="B50" t="str">
            <v>LDC 2</v>
          </cell>
          <cell r="D50" t="str">
            <v>no</v>
          </cell>
          <cell r="E50" t="str">
            <v>20932143766</v>
          </cell>
          <cell r="F50" t="str">
            <v>F0602</v>
          </cell>
          <cell r="G50" t="str">
            <v>New business</v>
          </cell>
          <cell r="H50" t="str">
            <v>Edgewater - 4th Phase Main Ext</v>
          </cell>
          <cell r="I50" t="str">
            <v>posted to CPR</v>
          </cell>
          <cell r="J50" t="str">
            <v>Edgewater - 4th Phase: Raymore: New Main Extension - Contractor Crews  3760 (33-380)</v>
          </cell>
          <cell r="K50" t="str">
            <v>Approved by: Ralph Janes on 09/22/2014,  Install 2,615' - 2" pe main extension to serve 36 new residential lots.</v>
          </cell>
          <cell r="L50">
            <v>42033</v>
          </cell>
          <cell r="M50">
            <v>42063</v>
          </cell>
          <cell r="N50">
            <v>42160.553749999999</v>
          </cell>
          <cell r="O50">
            <v>42005</v>
          </cell>
          <cell r="P50" t="str">
            <v>0932-016022  CASS CTY/RAYMORE</v>
          </cell>
          <cell r="Q50">
            <v>22557.47</v>
          </cell>
          <cell r="R50">
            <v>-5712</v>
          </cell>
        </row>
        <row r="51">
          <cell r="A51" t="str">
            <v>800821</v>
          </cell>
          <cell r="B51" t="str">
            <v>LDC 2</v>
          </cell>
          <cell r="D51" t="str">
            <v>no</v>
          </cell>
          <cell r="F51" t="str">
            <v>F0523</v>
          </cell>
          <cell r="G51" t="str">
            <v>New Main Extensions (SW)</v>
          </cell>
          <cell r="H51" t="str">
            <v>Install 230F 2P 103 S Public - Elm</v>
          </cell>
          <cell r="I51" t="str">
            <v>in service</v>
          </cell>
          <cell r="J51" t="str">
            <v>Install ~ 230 Ft of 2 in PL IP Main on Elm St N of Carpenter St.</v>
          </cell>
          <cell r="K51" t="str">
            <v>Necessary to serve a new bus barn @ 103 S Public in Clever MO.</v>
          </cell>
          <cell r="L51">
            <v>42682</v>
          </cell>
          <cell r="O51">
            <v>42705</v>
          </cell>
          <cell r="P51" t="str">
            <v>0822-019008  CHRISTIAN CTY/CLEVER</v>
          </cell>
          <cell r="Q51">
            <v>19714.68</v>
          </cell>
          <cell r="R51">
            <v>8552</v>
          </cell>
        </row>
        <row r="52">
          <cell r="A52" t="str">
            <v>008797</v>
          </cell>
          <cell r="B52" t="str">
            <v>LDC 2</v>
          </cell>
          <cell r="D52" t="str">
            <v>yes</v>
          </cell>
          <cell r="E52" t="str">
            <v>20903155419</v>
          </cell>
          <cell r="F52" t="str">
            <v>F0507</v>
          </cell>
          <cell r="G52" t="str">
            <v>Rebuild Meter Install 2'' &amp; Lg (S)</v>
          </cell>
          <cell r="H52" t="str">
            <v>Chapel Hill Church 3M Rebuild SLRP</v>
          </cell>
          <cell r="I52" t="str">
            <v>posted to CPR</v>
          </cell>
          <cell r="J52" t="str">
            <v>Chapel Hill Church 3M Rebuild SLRP: Blue Springs: Replace Meter &amp; Reg 2&amp;quot; &amp;  Larger - 3820/3830 (32-404)</v>
          </cell>
          <cell r="K52" t="str">
            <v>Approved by: Kevin Driskell on 06/28/2015,  20 Year SLRP at Chapel Hill Church - 3108 SW 40 Highway (mtr #00239825, premise #323490).  Rebuild a 3M rotary meter set at the building and remove the AL-1000 meter set at the property line.  Total connected load = 2,100 cfh.</v>
          </cell>
          <cell r="L52">
            <v>42291</v>
          </cell>
          <cell r="M52">
            <v>42308</v>
          </cell>
          <cell r="N52">
            <v>42314.376469907402</v>
          </cell>
          <cell r="O52">
            <v>42278</v>
          </cell>
          <cell r="P52" t="str">
            <v>0903-043026  JACKSON CTY/BLUE SPRINGS</v>
          </cell>
          <cell r="Q52">
            <v>1501.61</v>
          </cell>
          <cell r="R52">
            <v>-47</v>
          </cell>
        </row>
        <row r="53">
          <cell r="A53" t="str">
            <v>800130</v>
          </cell>
          <cell r="B53" t="str">
            <v>LDC 2</v>
          </cell>
          <cell r="C53" t="str">
            <v>03 - Bare Steel Replacement</v>
          </cell>
          <cell r="D53" t="str">
            <v>yes</v>
          </cell>
          <cell r="F53" t="str">
            <v>F0604</v>
          </cell>
          <cell r="G53" t="str">
            <v>Main Replacement - ISRS (S)</v>
          </cell>
          <cell r="H53" t="str">
            <v>Repl w 6463F 2-4P Belton Ph 2B</v>
          </cell>
          <cell r="I53" t="str">
            <v>open</v>
          </cell>
          <cell r="J53" t="str">
            <v>Install 5220 Ft of 2 in and 1243 Ft of 4 in PL IP main for Belton Phase 2B. Abandon 301 Ft of 2 in PL, 129 Ft of 4 in PL, 5545 Ft of 2 in ST, 234 Ft of 3 in ST and 2053 Ft of 4in ST IP.</v>
          </cell>
          <cell r="K53" t="str">
            <v>This main is being abandoned as part of FY16 Bare Steel Replacement Program.
Total Service Tie-over = 74; Total Service Abandoned = 3; Total Service Replace = 4; Total Service Upgrade = 0</v>
          </cell>
          <cell r="P53" t="str">
            <v>0906-016001  CASS CTY/BELTON W OF MULLIN RD</v>
          </cell>
          <cell r="Q53">
            <v>109582.1</v>
          </cell>
          <cell r="R53">
            <v>-5673</v>
          </cell>
        </row>
        <row r="54">
          <cell r="A54" t="str">
            <v>800258</v>
          </cell>
          <cell r="B54" t="str">
            <v>LDC 2</v>
          </cell>
          <cell r="C54" t="str">
            <v>03 - Bare Steel Replacement</v>
          </cell>
          <cell r="D54" t="str">
            <v>yes</v>
          </cell>
          <cell r="F54" t="str">
            <v>F0604</v>
          </cell>
          <cell r="G54" t="str">
            <v>Main Replacement - ISRS (S)</v>
          </cell>
          <cell r="H54" t="str">
            <v>Repl w/ 11818F 2P Pleasant Hill Ph5</v>
          </cell>
          <cell r="I54" t="str">
            <v>open</v>
          </cell>
          <cell r="J54" t="str">
            <v>Install 7160 Ft of 2 in and 4658 Ft of 4 in PL IP main for Pleasant Hill Grid Phase 5. Abandon 754 Ft of 2 in PL, 138 Ft of 4 in PL, 9387 Ft of 2 in ST, 4 Ft of 3 in ST, 2682 Ft of 4 in ST and 5 Ft of 5 in ST IP main.</v>
          </cell>
          <cell r="K54" t="str">
            <v>FY16 Bare Steel Replacement Program.</v>
          </cell>
          <cell r="P54" t="str">
            <v>0909-016012  CASS CTY/PLEASANT HILL</v>
          </cell>
          <cell r="Q54">
            <v>45999.55</v>
          </cell>
          <cell r="R54">
            <v>12970</v>
          </cell>
        </row>
        <row r="55">
          <cell r="A55" t="str">
            <v>004627</v>
          </cell>
          <cell r="B55" t="str">
            <v>LDC 2</v>
          </cell>
          <cell r="D55" t="str">
            <v>no</v>
          </cell>
          <cell r="E55" t="str">
            <v>20910121887</v>
          </cell>
          <cell r="F55" t="str">
            <v>F0503</v>
          </cell>
          <cell r="G55" t="str">
            <v>Rectifier New/Repl ISRS (N)</v>
          </cell>
          <cell r="H55" t="str">
            <v>Holden Rectifier L0250 and Ground B</v>
          </cell>
          <cell r="I55" t="str">
            <v>posted to CPR</v>
          </cell>
          <cell r="J55" t="str">
            <v>Holden Rectifier L0250 and Ground Bed Repl: Holden: Private Easement 4th and St. Charles</v>
          </cell>
          <cell r="K55" t="str">
            <v>Approved by: Randy Spector on 11/12/2012,  This work order is necessary to retire existing Rectifier L0250 and ground bed installed on work order 77-0722.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aquired west of 4th &amp; St. Charles. Electrical work will be needed.</v>
          </cell>
          <cell r="L55">
            <v>41372</v>
          </cell>
          <cell r="M55">
            <v>41449</v>
          </cell>
          <cell r="N55">
            <v>41612.300162036998</v>
          </cell>
          <cell r="P55" t="str">
            <v>0910-046008  JOHNSON CTY/HOLDEN</v>
          </cell>
          <cell r="Q55">
            <v>38305.360000000001</v>
          </cell>
          <cell r="R55">
            <v>1</v>
          </cell>
        </row>
        <row r="56">
          <cell r="A56" t="str">
            <v>004649</v>
          </cell>
          <cell r="B56" t="str">
            <v>LDC 2</v>
          </cell>
          <cell r="D56" t="str">
            <v>no</v>
          </cell>
          <cell r="E56" t="str">
            <v>20824133200</v>
          </cell>
          <cell r="F56" t="str">
            <v>F0528</v>
          </cell>
          <cell r="G56" t="str">
            <v>Rebuild Meter Install 2'' &amp; Lg (SW)</v>
          </cell>
          <cell r="H56" t="str">
            <v>3551 Doniphan Dr Repl 11M Meter Set</v>
          </cell>
          <cell r="I56" t="str">
            <v>posted to CPR</v>
          </cell>
          <cell r="J56" t="str">
            <v>3551 Doniphan Dr Repl 11M Meter Setting : Crowder: Premier Turbine 3551 Doniphan Drive</v>
          </cell>
          <cell r="K56" t="str">
            <v>Approved by: Galen Shoemaker on 12/04/2013,  THIS WORK IS NECESSARY TO REPLACE EXISTING 500B METER SETTING WITH A NEW 11M ROTARY METER SETTING. METER IS DUE TO BE CHANGED OUT ON METER CHANGE PROGRAM. WILL USE A 2"FLANGED FISHER 627 REGULATOR SET AT 70 PSIG AS THE OPERATOR AND A 2" FLANGED FISHER 627M REGULATOR SET AT 75 PSIG FOR THE MONITOR. WILL USE 1" 1805 RELIEF SET AT 74 PSIG FOR A WARNING RELIEF. THIS IS A TRANSPORTATION CUSTOMER. THERE IS NO MGE WORK ORDER TO RETIRE FOR EXISTING SETTING AS MGE ACQUIRED THIS SETTING AND CUSTOMER FROM SOUTHERN STAR CENTRAL GAS PIPELINE. SYSTEM S-2301  MAOP=224 PSIG  MAOP=224 PSIG</v>
          </cell>
          <cell r="L56">
            <v>41626</v>
          </cell>
          <cell r="M56">
            <v>41697</v>
          </cell>
          <cell r="N56">
            <v>41698.505266203698</v>
          </cell>
          <cell r="P56" t="str">
            <v>0824-066011  NEWTON CTY/NEOSHO TWP</v>
          </cell>
          <cell r="Q56">
            <v>9355.4699999999993</v>
          </cell>
          <cell r="R56">
            <v>178</v>
          </cell>
        </row>
        <row r="57">
          <cell r="A57" t="str">
            <v>005272</v>
          </cell>
          <cell r="B57" t="str">
            <v>LDC 2</v>
          </cell>
          <cell r="D57" t="str">
            <v>yes</v>
          </cell>
          <cell r="E57" t="str">
            <v>20830143563</v>
          </cell>
          <cell r="F57" t="str">
            <v>F0573</v>
          </cell>
          <cell r="G57" t="str">
            <v>Replace bare steel main - safety re</v>
          </cell>
          <cell r="H57" t="str">
            <v>Artesia &amp; Lake Abandon 102'-1.25in</v>
          </cell>
          <cell r="I57" t="str">
            <v>posted to CPR</v>
          </cell>
          <cell r="J57" t="str">
            <v>Artesia &amp; Lake Abandon 102'-1.25in PCS Main: Noel: Replace Coated Steel &amp; Plastic Main - 3760 (34-396)</v>
          </cell>
          <cell r="K57" t="str">
            <v>Approved by: Galen Shoemaker on 05/09/2014,  Abandon 102' - 1 1/4" PCS (WO#: 80-0522) due to main being exposed by a sink hole. There are no services off of this section of main. Project Location: Artesia and Lake; Pressure System: S-7; MOP: 7 psig; MAOP: 10 psig; Design: 58 psig; Test: 100 psig;</v>
          </cell>
          <cell r="L57">
            <v>41731</v>
          </cell>
          <cell r="M57">
            <v>41821</v>
          </cell>
          <cell r="N57">
            <v>41953.447581018503</v>
          </cell>
          <cell r="P57" t="str">
            <v>0830-059009  MCDONALD CTY/NOEL</v>
          </cell>
          <cell r="Q57">
            <v>2963.01</v>
          </cell>
          <cell r="R57">
            <v>353</v>
          </cell>
        </row>
        <row r="58">
          <cell r="A58" t="str">
            <v>800938</v>
          </cell>
          <cell r="B58" t="str">
            <v>LDC 2</v>
          </cell>
          <cell r="C58" t="str">
            <v>09 - Facility Relocation due to Civic Improvement</v>
          </cell>
          <cell r="D58" t="str">
            <v>yes</v>
          </cell>
          <cell r="F58" t="str">
            <v>F0578</v>
          </cell>
          <cell r="G58" t="str">
            <v>Street &amp; Highway Relocates ISRS (S)</v>
          </cell>
          <cell r="H58" t="str">
            <v>Reloc 625F 6P Hook Rd &amp; Arther Dr</v>
          </cell>
          <cell r="I58" t="str">
            <v>in service</v>
          </cell>
          <cell r="J58" t="str">
            <v>Install ~625 Ft of 6" PL IP Main.</v>
          </cell>
          <cell r="K58" t="str">
            <v>Abandon ~627 Ft of PL IP Main The City of Lee's Summit is installing new storm structures on Hook Road and a portion of our existing 6" plastic main is in conflict. Main is looped. Project Type: Main Relocation (MRELO) due to Civic Improvement</v>
          </cell>
          <cell r="L58">
            <v>42692</v>
          </cell>
          <cell r="O58">
            <v>42705</v>
          </cell>
          <cell r="P58" t="str">
            <v>0901-043021  JACKSON CTY/LEE'S SUMMIT OFFIC</v>
          </cell>
          <cell r="Q58">
            <v>45262.61</v>
          </cell>
          <cell r="R58">
            <v>-749</v>
          </cell>
        </row>
        <row r="59">
          <cell r="A59" t="str">
            <v>800640</v>
          </cell>
          <cell r="B59" t="str">
            <v>LDC 2</v>
          </cell>
          <cell r="C59" t="str">
            <v>03 - Bare Steel Replacement</v>
          </cell>
          <cell r="D59" t="str">
            <v>yes</v>
          </cell>
          <cell r="F59" t="str">
            <v>F0604</v>
          </cell>
          <cell r="G59" t="str">
            <v>Main Replacement - ISRS (S)</v>
          </cell>
          <cell r="H59" t="str">
            <v>Repl w 5715F 2-4P E Downtwn Phase 3</v>
          </cell>
          <cell r="I59" t="str">
            <v>open</v>
          </cell>
          <cell r="J59" t="str">
            <v>Install 3190 Ft of 4 in PL IP Main and 2525 Ft of 2 in PL IP Main along Alleyway, Grand Ave., 6th St., Green St., and 7th St.</v>
          </cell>
          <cell r="K59" t="str">
            <v>Abandon 724 Ft of 6in ST Main, 3661 Ft of 4in ST Main, 2774 Ft of 2in ST Main, 168 Ft of 1 1/4in ST Main, 5 Ft of 6in PL Main, 17 Ft of 4in PL Main, 104 Ft of 2in PL and 4 Ft of 1 1/4in PL Main at the above location.  Uprate 2904 Ft of 4in PL MP Main, 2028 Ft of 2" PL MP Main, and 111 Ft of 1 1/4in PL MP Main and 34 Ft of 1 1/8in PL MP Main.  Total Service Tie-over = 58; Total Service Replacement = 11; Total Service Abandoned = 4; Total Service Upgrade =85.  This main is being abandoned as part of FY16 Bare Steel Replacement Program.</v>
          </cell>
          <cell r="P59" t="str">
            <v>0901-043021  JACKSON CTY/LEE'S SUMMIT OFFIC</v>
          </cell>
          <cell r="Q59">
            <v>0</v>
          </cell>
          <cell r="R59">
            <v>7458</v>
          </cell>
        </row>
        <row r="60">
          <cell r="A60" t="str">
            <v>006601</v>
          </cell>
          <cell r="B60" t="str">
            <v>LDC 2</v>
          </cell>
          <cell r="D60" t="str">
            <v>no</v>
          </cell>
          <cell r="E60" t="str">
            <v>20901143834</v>
          </cell>
          <cell r="F60" t="str">
            <v>F0676</v>
          </cell>
          <cell r="G60" t="str">
            <v>Meter &amp; regulator settings - 2" &amp; l</v>
          </cell>
          <cell r="H60" t="str">
            <v>Frontier Justice 3M Rotary Meter Se</v>
          </cell>
          <cell r="I60" t="str">
            <v>posted to CPR</v>
          </cell>
          <cell r="J60" t="str">
            <v>Frontier Justice 3M Rotary Meter Setting.: Lees Summit: New Meter &amp; Reg Settings - 2&amp;quot; &amp; Larger 3820/3830 (33-382)</v>
          </cell>
          <cell r="K60" t="str">
            <v>Approved by: Ray Wilson on 09/29/2014,  Install a 3M Rotary Meter setting to serve one new commercial customer.  200' - 1-1/4" pe service line to be installed on BWO.</v>
          </cell>
          <cell r="L60">
            <v>41964</v>
          </cell>
          <cell r="M60">
            <v>42004</v>
          </cell>
          <cell r="N60">
            <v>42012.551249999997</v>
          </cell>
          <cell r="O60">
            <v>41944</v>
          </cell>
          <cell r="P60" t="str">
            <v>0901-043021  JACKSON CTY/LEE'S SUMMIT OFFIC</v>
          </cell>
          <cell r="Q60">
            <v>3597.27</v>
          </cell>
          <cell r="R60">
            <v>-37.92</v>
          </cell>
        </row>
        <row r="61">
          <cell r="A61" t="str">
            <v>005734</v>
          </cell>
          <cell r="B61" t="str">
            <v>LDC 2</v>
          </cell>
          <cell r="D61" t="str">
            <v>no</v>
          </cell>
          <cell r="E61" t="str">
            <v>20901143355</v>
          </cell>
          <cell r="F61" t="str">
            <v>F0602</v>
          </cell>
          <cell r="G61" t="str">
            <v>New business</v>
          </cell>
          <cell r="H61" t="str">
            <v>SW 3rd &amp; SW Ansel Adams 2100'-2 140</v>
          </cell>
          <cell r="I61" t="str">
            <v>posted to CPR</v>
          </cell>
          <cell r="J61" t="str">
            <v>SW 3rd &amp; SW Ansel Adams 2100'-2 1400'-4 485'-6 PE: Lees Summit: New Main Extension - Contractor Crews  3760 (33-380)</v>
          </cell>
          <cell r="K61" t="str">
            <v>Approved by: Steve Holcomb on 02/17/2014,  Install 485' - 6" pe main, 1,400' - 4" pe main and 2,100' - 2" pe main to serve 51 new residential lots. Per WOES, received signed contract and check for $33,235 7-16-14</v>
          </cell>
          <cell r="L61">
            <v>42102</v>
          </cell>
          <cell r="M61">
            <v>42124</v>
          </cell>
          <cell r="N61">
            <v>42223.566064814797</v>
          </cell>
          <cell r="O61">
            <v>42095</v>
          </cell>
          <cell r="P61" t="str">
            <v>0901-043021  JACKSON CTY/LEE'S SUMMIT OFFIC</v>
          </cell>
          <cell r="Q61">
            <v>92355.92</v>
          </cell>
          <cell r="R61">
            <v>-9047.5</v>
          </cell>
        </row>
        <row r="62">
          <cell r="A62" t="str">
            <v>003845</v>
          </cell>
          <cell r="B62" t="str">
            <v>LDC 2</v>
          </cell>
          <cell r="D62" t="str">
            <v>yes</v>
          </cell>
          <cell r="E62" t="str">
            <v>20901132505</v>
          </cell>
          <cell r="F62" t="str">
            <v>F0580</v>
          </cell>
          <cell r="G62" t="str">
            <v>Replace steel &amp; plastic main</v>
          </cell>
          <cell r="H62" t="str">
            <v>Fairview DR#55 Inlet/Outlet Piping</v>
          </cell>
          <cell r="I62" t="str">
            <v>posted to CPR</v>
          </cell>
          <cell r="J62" t="str">
            <v>Fairview DR#55 Inlet/Outlet Piping: Lees Summit: Fairview Rd and Woodstock Dr</v>
          </cell>
          <cell r="K62" t="str">
            <v>Approved by: Ralph Janes on 04/09/2013,  Rebuild DRS 55 on WO# 13-2504. The station will be relocated from the landscaping for the entrance of Woodstock Dr to a location North of the exisitng setting but within the West ROW of Fairview Road. The town code and sector of DRS 55 will change from 09-01-Sector 3608 to 02-01-Sector 1715 with the new location. The existing inlet and outlet piping (wo# 873264) will be cut, capped, and replace with new I/O piping on wo# 13-2505. Reuse Essential valve #55 on the Inlet side, but replace Essential valve #55 on the outlet side. The inlet system C-225 has a MOP = 125 psig and a MAOP = 245 psig. The outlet system C-013 has a MOP and MAOP of 25psig.</v>
          </cell>
          <cell r="L62">
            <v>41599</v>
          </cell>
          <cell r="M62">
            <v>41696</v>
          </cell>
          <cell r="N62">
            <v>41698.505219907398</v>
          </cell>
          <cell r="O62">
            <v>41730</v>
          </cell>
          <cell r="P62" t="str">
            <v>0901-043021  JACKSON CTY/LEE'S SUMMIT OFFIC</v>
          </cell>
          <cell r="Q62">
            <v>32371.56</v>
          </cell>
          <cell r="R62">
            <v>350.8</v>
          </cell>
        </row>
        <row r="63">
          <cell r="A63" t="str">
            <v>004625</v>
          </cell>
          <cell r="B63" t="str">
            <v>LDC 2</v>
          </cell>
          <cell r="D63" t="str">
            <v>no</v>
          </cell>
          <cell r="E63" t="str">
            <v>20901132744</v>
          </cell>
          <cell r="F63" t="str">
            <v>F0554</v>
          </cell>
          <cell r="G63" t="str">
            <v>Tools, Instruments &amp; Equipment (S)</v>
          </cell>
          <cell r="H63" t="str">
            <v>Pur Tools - Stanley Water Pump</v>
          </cell>
          <cell r="I63" t="str">
            <v>posted to CPR</v>
          </cell>
          <cell r="J63" t="str">
            <v>Purchase Tools - Stanley Water Pump: Lees Summit: 3025 SE Clover Drive</v>
          </cell>
          <cell r="K63" t="str">
            <v>Approved by: Ralph Janes on 06/14/2013,  Purchase 1 Stanley Hydraulic Submersible Water Pump Model SM21 for the Lee's Summit C&amp;M Crews.  Retirement Unit 94655030 - Hydraulic Pump Unit.  Retire 3 - SM23 Pumps wo 850385, 1 - Stanley Water Pump wo 861365, 2 - Fairmont Submersible MOD H466B wo 013332.</v>
          </cell>
          <cell r="L63">
            <v>41547</v>
          </cell>
          <cell r="M63">
            <v>41638</v>
          </cell>
          <cell r="N63">
            <v>41643.435335648101</v>
          </cell>
          <cell r="P63" t="str">
            <v>0901-043021  JACKSON CTY/LEE'S SUMMIT OFFIC</v>
          </cell>
          <cell r="Q63">
            <v>2740.38</v>
          </cell>
          <cell r="R63">
            <v>0</v>
          </cell>
        </row>
        <row r="64">
          <cell r="A64" t="str">
            <v>004317</v>
          </cell>
          <cell r="B64" t="str">
            <v>LDC 2</v>
          </cell>
          <cell r="D64" t="str">
            <v>no</v>
          </cell>
          <cell r="E64" t="str">
            <v>20901132308</v>
          </cell>
          <cell r="F64" t="str">
            <v>F0597</v>
          </cell>
          <cell r="G64" t="str">
            <v>Other</v>
          </cell>
          <cell r="H64" t="str">
            <v>Replace EGM Unity Village</v>
          </cell>
          <cell r="I64" t="str">
            <v>posted to CPR</v>
          </cell>
          <cell r="J64" t="str">
            <v>Replace EGM Unity Village: Lees Summit: Colbern &amp; Unity Way</v>
          </cell>
          <cell r="K64" t="str">
            <v>Approved by: Rob Kitterman on 04/10/2013,  Replace the EGM equipment at the south Unity Village meter set. The meter set will be rebuilt on WO# 12-2024 due to city improvements and we have chosen to upgrade the obsolete EGM equipment at the same time. Original EGM WO# 95-0896 retire equipment: Mini-PT S/N: 9502641 Transducer: 0-30#; SIP 4CH. Install a Mini-AT-PT with messenger modem.</v>
          </cell>
          <cell r="L64">
            <v>41377</v>
          </cell>
          <cell r="M64">
            <v>41575</v>
          </cell>
          <cell r="N64">
            <v>41576.418553240699</v>
          </cell>
          <cell r="P64" t="str">
            <v>0901-043021  JACKSON CTY/LEE'S SUMMIT OFFIC</v>
          </cell>
          <cell r="Q64">
            <v>3260.9</v>
          </cell>
          <cell r="R64">
            <v>5</v>
          </cell>
        </row>
        <row r="65">
          <cell r="A65" t="str">
            <v>003997</v>
          </cell>
          <cell r="B65" t="str">
            <v>LDC 2</v>
          </cell>
          <cell r="D65" t="str">
            <v>no</v>
          </cell>
          <cell r="E65" t="str">
            <v>20901132545</v>
          </cell>
          <cell r="F65" t="str">
            <v>F0588</v>
          </cell>
          <cell r="G65" t="str">
            <v>Transportation &amp; power operated equ</v>
          </cell>
          <cell r="H65" t="str">
            <v>Pur 2013 Ford 4x4 Classic Utility 8</v>
          </cell>
          <cell r="I65" t="str">
            <v>posted to CPR</v>
          </cell>
          <cell r="J65" t="str">
            <v>Pur 2013 Ford 4x4 Classic Utility 8cyl: Lees Summit: Lees Summit FOP</v>
          </cell>
          <cell r="K65" t="str">
            <v>Approved by: Ken Thomas on 04/08/2013,  Purchaase 2013 Ford 3/4 Ton 4x4 classic utility for Lees Summit FOP</v>
          </cell>
          <cell r="L65">
            <v>41425</v>
          </cell>
          <cell r="M65">
            <v>41531</v>
          </cell>
          <cell r="N65">
            <v>41612.300196759301</v>
          </cell>
          <cell r="P65" t="str">
            <v>0901-043021  JACKSON CTY/LEE'S SUMMIT OFFIC</v>
          </cell>
          <cell r="Q65">
            <v>35035.519999999997</v>
          </cell>
          <cell r="R65">
            <v>0</v>
          </cell>
        </row>
        <row r="66">
          <cell r="A66" t="str">
            <v>004095</v>
          </cell>
          <cell r="B66" t="str">
            <v>LDC 2</v>
          </cell>
          <cell r="D66" t="str">
            <v>no</v>
          </cell>
          <cell r="E66" t="str">
            <v>20901132985</v>
          </cell>
          <cell r="F66" t="str">
            <v>F0602</v>
          </cell>
          <cell r="G66" t="str">
            <v>New business</v>
          </cell>
          <cell r="H66" t="str">
            <v>Willow Creek Ln Lay 745'-2in PE mai</v>
          </cell>
          <cell r="I66" t="str">
            <v>posted to CPR</v>
          </cell>
          <cell r="J66" t="str">
            <v>Willow Creek Ln Lay 745'-2in PE main ext : Lees Summit: Paddock at Richardson Ranch Phas</v>
          </cell>
          <cell r="K66" t="str">
            <v>Approved by: Ralph Janes on 09/19/2013,  Install 745' of 2in PE main to serve lots 279-286 in Paddock of Richardson Ranch. Willow Creek lane</v>
          </cell>
          <cell r="L66">
            <v>41765</v>
          </cell>
          <cell r="M66">
            <v>41821</v>
          </cell>
          <cell r="N66">
            <v>41953.446597222202</v>
          </cell>
          <cell r="O66">
            <v>41760</v>
          </cell>
          <cell r="P66" t="str">
            <v>0901-043021  JACKSON CTY/LEE'S SUMMIT OFFIC</v>
          </cell>
          <cell r="Q66">
            <v>6947.92</v>
          </cell>
          <cell r="R66">
            <v>630.70000000000005</v>
          </cell>
        </row>
        <row r="67">
          <cell r="A67" t="str">
            <v>800723</v>
          </cell>
          <cell r="B67" t="str">
            <v>LDC 2</v>
          </cell>
          <cell r="D67" t="str">
            <v>no</v>
          </cell>
          <cell r="F67" t="str">
            <v>F0647</v>
          </cell>
          <cell r="G67" t="str">
            <v>New Main Extensions (N)</v>
          </cell>
          <cell r="H67" t="str">
            <v>Install 854F 2P Greystone Plat 3</v>
          </cell>
          <cell r="I67" t="str">
            <v>in service</v>
          </cell>
          <cell r="J67" t="str">
            <v>Install 854 ft of 2 in IP PE main to serve new residential customers.</v>
          </cell>
          <cell r="K67" t="str">
            <v>15 lot residential single family subdivision.</v>
          </cell>
          <cell r="L67">
            <v>42674</v>
          </cell>
          <cell r="O67">
            <v>42644</v>
          </cell>
          <cell r="P67" t="str">
            <v>1001-010001  ST. JOSEPH CITY/BUCHANAN</v>
          </cell>
          <cell r="Q67">
            <v>31274.639999999999</v>
          </cell>
          <cell r="R67">
            <v>-1778.5</v>
          </cell>
        </row>
        <row r="68">
          <cell r="A68" t="str">
            <v>006082</v>
          </cell>
          <cell r="B68" t="str">
            <v>LDC 2</v>
          </cell>
          <cell r="D68" t="str">
            <v>no</v>
          </cell>
          <cell r="E68" t="str">
            <v>21001143747</v>
          </cell>
          <cell r="F68" t="str">
            <v>F0560</v>
          </cell>
          <cell r="G68" t="str">
            <v>Tools, instruments &amp; equipment</v>
          </cell>
          <cell r="H68" t="str">
            <v>Quickie Saw -TS-700 &amp; HAMMER DRILL</v>
          </cell>
          <cell r="I68" t="str">
            <v>posted to CPR</v>
          </cell>
          <cell r="J68" t="str">
            <v>Quickie Saw -TS-700 &amp; HAMMER DRILL: St Joseph: Purchase Tools, Instruments &amp; Equipment  3940 (37-366)</v>
          </cell>
          <cell r="K68" t="str">
            <v>Approved by: Gary Williams on 08/19/2014,  To replace stolen items on three crew trucks.The crew trucks are 21359,21360,21355.They where stolen on the 8/14/2014.These are to replace all three quickie saws and hammer drills.</v>
          </cell>
          <cell r="L68">
            <v>41884</v>
          </cell>
          <cell r="M68">
            <v>42216</v>
          </cell>
          <cell r="N68">
            <v>42221.758090277799</v>
          </cell>
          <cell r="O68">
            <v>41883</v>
          </cell>
          <cell r="P68" t="str">
            <v>1001-010001  ST. JOSEPH CITY/BUCHANAN</v>
          </cell>
          <cell r="Q68">
            <v>14658.76</v>
          </cell>
          <cell r="R68">
            <v>12</v>
          </cell>
        </row>
        <row r="69">
          <cell r="A69" t="str">
            <v>005298</v>
          </cell>
          <cell r="B69" t="str">
            <v>LDC 2</v>
          </cell>
          <cell r="D69" t="str">
            <v>no</v>
          </cell>
          <cell r="E69" t="str">
            <v>21251143270</v>
          </cell>
          <cell r="F69" t="str">
            <v>F0610</v>
          </cell>
          <cell r="G69" t="str">
            <v>New business</v>
          </cell>
          <cell r="H69" t="str">
            <v>N Revere &amp; NW 94th Lay 1109'-2;506'</v>
          </cell>
          <cell r="I69" t="str">
            <v>posted to CPR</v>
          </cell>
          <cell r="J69" t="str">
            <v>N Revere &amp; NW 94th Lay 1109'-2;506'-4in : Kansas City-Platte Co: New Main Extension - Contractor Crews  3760 (33-380)</v>
          </cell>
          <cell r="K69" t="str">
            <v>Approved by: Kevin Driskell on 05/15/2014,  LAY 506-4" PE &amp; 1,109'-2" PE IN ORDER TO SERVE 36 lots.  LOTS 195-231.  LOOP FEED.  1,615' x $8.50=$13,727.50  DEVELOPER TO CONTRIBUTE $13,727.50 BEFORE START OF PROJECT.  COST PER FOOT=$9.75</v>
          </cell>
          <cell r="L69">
            <v>41937</v>
          </cell>
          <cell r="M69">
            <v>42004</v>
          </cell>
          <cell r="N69">
            <v>42013.441145833298</v>
          </cell>
          <cell r="O69">
            <v>41883</v>
          </cell>
          <cell r="P69" t="str">
            <v>1251-075010  PLATTE CTY/KANSAS CITY NORTH</v>
          </cell>
          <cell r="Q69">
            <v>12419.92</v>
          </cell>
          <cell r="R69">
            <v>-3725</v>
          </cell>
        </row>
        <row r="70">
          <cell r="A70" t="str">
            <v>005531</v>
          </cell>
          <cell r="B70" t="str">
            <v>LDC 2</v>
          </cell>
          <cell r="D70" t="str">
            <v>no</v>
          </cell>
          <cell r="E70" t="str">
            <v>21001143626</v>
          </cell>
          <cell r="F70" t="str">
            <v>F0639</v>
          </cell>
          <cell r="G70" t="str">
            <v>EGM Equip-1st Time Installation</v>
          </cell>
          <cell r="H70" t="str">
            <v>EGM - MO Western University</v>
          </cell>
          <cell r="I70" t="str">
            <v>posted to CPR</v>
          </cell>
          <cell r="J70" t="str">
            <v>EGM - MO Western University: St Joseph: Install EGM Equipment - First Time Installation  3850 (32-403)</v>
          </cell>
          <cell r="K70" t="str">
            <v>Approved by: Rob Kitterman on 06/17/2014,  Install Mercury MiniMax-AT-PT w/ Messenger Modem S/N:13038783 on Roots 11M meter no 00447841 to monitor daily gas usage of this transportation customer. Customer will reimburse company actual cost for EGM installation not to exceed $5,445.00, which should be coded to account 1072. ATTENTION: Plant &amp; Property Accounting, EGM work order, turn off A&amp;G indicator.</v>
          </cell>
          <cell r="L70">
            <v>42443</v>
          </cell>
          <cell r="M70">
            <v>42491</v>
          </cell>
          <cell r="N70">
            <v>42528.313194444403</v>
          </cell>
          <cell r="O70">
            <v>42430</v>
          </cell>
          <cell r="P70" t="str">
            <v>1001-010001  ST. JOSEPH CITY/BUCHANAN</v>
          </cell>
          <cell r="Q70">
            <v>-245.22</v>
          </cell>
          <cell r="R70">
            <v>9</v>
          </cell>
        </row>
        <row r="71">
          <cell r="A71" t="str">
            <v>004128</v>
          </cell>
          <cell r="B71" t="str">
            <v>LDC 2</v>
          </cell>
          <cell r="D71" t="str">
            <v>yes</v>
          </cell>
          <cell r="E71" t="str">
            <v>21207132931</v>
          </cell>
          <cell r="F71" t="str">
            <v>F0636</v>
          </cell>
          <cell r="G71" t="str">
            <v>Replace steel &amp; plastic main</v>
          </cell>
          <cell r="H71" t="str">
            <v>817 W Hurt Repl PCS w 12'-2in TF St</v>
          </cell>
          <cell r="I71" t="str">
            <v>posted to CPR</v>
          </cell>
          <cell r="J71" t="str">
            <v>817 W Hurt Repl PCS w 12'-2in TF Steel: Liberty: 817 W Hurt St</v>
          </cell>
          <cell r="K71" t="str">
            <v>Approved by: Kevin Driskell on 09/18/2013,  Installed welded yoke around leaking dresser and valve. 12' of 2in PCS was installed and 6' of 2in PCS was abandoned.</v>
          </cell>
          <cell r="L71">
            <v>41417</v>
          </cell>
          <cell r="M71">
            <v>41626</v>
          </cell>
          <cell r="N71">
            <v>41627.582870370403</v>
          </cell>
          <cell r="O71">
            <v>41730</v>
          </cell>
          <cell r="P71" t="str">
            <v>1207-020001  CLAY CTY/LIBERTY</v>
          </cell>
          <cell r="Q71">
            <v>4251.6400000000003</v>
          </cell>
          <cell r="R71">
            <v>67</v>
          </cell>
        </row>
        <row r="72">
          <cell r="A72" t="str">
            <v>800113</v>
          </cell>
          <cell r="B72" t="str">
            <v>LDC 2</v>
          </cell>
          <cell r="D72" t="str">
            <v>no</v>
          </cell>
          <cell r="F72" t="str">
            <v>F0647</v>
          </cell>
          <cell r="G72" t="str">
            <v>New Main Extensions (N)</v>
          </cell>
          <cell r="H72" t="str">
            <v>MAIN EXT - 15016 NATION RD A -BAP</v>
          </cell>
          <cell r="I72" t="str">
            <v>open</v>
          </cell>
          <cell r="J72" t="str">
            <v>500ft of 2in Plastic Main at 15016 Nation Rd-A.  Contact David Kirkpatrick (816-718-6560) for Stake and Survey of 15' easement on south side of private drive.</v>
          </cell>
          <cell r="K72" t="str">
            <v>Designed by Mike Butts, owner changed to Donnie Richards for routing purposes 11/11/15.</v>
          </cell>
          <cell r="P72" t="str">
            <v>1215-020023  CLAY CTY/KEARNEY</v>
          </cell>
          <cell r="Q72">
            <v>10358.24</v>
          </cell>
          <cell r="R72">
            <v>-1049</v>
          </cell>
        </row>
        <row r="73">
          <cell r="A73" t="str">
            <v>005352</v>
          </cell>
          <cell r="B73" t="str">
            <v>LDC 2</v>
          </cell>
          <cell r="D73" t="str">
            <v>no</v>
          </cell>
          <cell r="E73" t="str">
            <v>21215143308</v>
          </cell>
          <cell r="F73" t="str">
            <v>F0610</v>
          </cell>
          <cell r="G73" t="str">
            <v>New business</v>
          </cell>
          <cell r="H73" t="str">
            <v>SHOPPES AT KEARNEY 1567'-4&amp;917'-2in</v>
          </cell>
          <cell r="I73" t="str">
            <v>posted to CPR</v>
          </cell>
          <cell r="J73" t="str">
            <v>SHOPPES AT KEARNEY 1567'-4&amp;917'-2in PE main ext: Kearney: New Main Extension - Contractor Crews  3760 (33-380)</v>
          </cell>
          <cell r="K73" t="str">
            <v>Approved by: Steve Holcomb on 05/27/2014,  LAY 1,567'-4" PE &amp; 917'-2" PE TO SERVE PRICECHOPPER &amp; POTENTIALLY 9 COMMERCIAL BUILDINGS IN SHOPPING COMPLEX. CONTACT PATRICIA KOEB AT 816-472-3485 IF ANY STAKING OF UTILITY EASEMENT IS NEEDED (2 WEEKS BEFORE START OF PROJECT.)  MARTIN MUELLER, PLS-SURVEYOR AT 816-407-0002 OFFICE.  ONE WAY FEED. ECONOMIC EVALUATION COVERS THIS PROJECT.</v>
          </cell>
          <cell r="L73">
            <v>41831</v>
          </cell>
          <cell r="M73">
            <v>41943</v>
          </cell>
          <cell r="N73">
            <v>42044.364965277797</v>
          </cell>
          <cell r="O73">
            <v>41821</v>
          </cell>
          <cell r="P73" t="str">
            <v>1215-020023  CLAY CTY/KEARNEY</v>
          </cell>
          <cell r="Q73">
            <v>27728.41</v>
          </cell>
          <cell r="R73">
            <v>-5269.3</v>
          </cell>
        </row>
        <row r="74">
          <cell r="A74" t="str">
            <v>004442</v>
          </cell>
          <cell r="B74" t="str">
            <v>LDC 2</v>
          </cell>
          <cell r="D74" t="str">
            <v>yes</v>
          </cell>
          <cell r="E74" t="str">
            <v>21219133193</v>
          </cell>
          <cell r="F74" t="str">
            <v>F0547</v>
          </cell>
          <cell r="G74" t="str">
            <v>Street &amp; Highway Relocates ISRS (N)</v>
          </cell>
          <cell r="H74" t="str">
            <v>7th St Repl PCS w 19'-3in TF Steel</v>
          </cell>
          <cell r="I74" t="str">
            <v>posted to CPR</v>
          </cell>
          <cell r="J74" t="str">
            <v>7th St Repl PCS w 19'-3in TF Steel: Cameron-Clinton: 212 E. 7th Street</v>
          </cell>
          <cell r="K74" t="str">
            <v>Approved by: Kevin Driskell on 01/13/2014,  Replace 19'-3in PCS with 3" PCS due to new storm sewer conflict.  Work done my MGE crew.  Retire 7'-3in PCS, year 1962, 62-1512</v>
          </cell>
          <cell r="L74">
            <v>41553</v>
          </cell>
          <cell r="M74">
            <v>41718</v>
          </cell>
          <cell r="N74">
            <v>41719.593148148102</v>
          </cell>
          <cell r="O74">
            <v>41730</v>
          </cell>
          <cell r="P74" t="str">
            <v>1219-021001  CLINTON CTY/CAMERON</v>
          </cell>
          <cell r="Q74">
            <v>5601.88</v>
          </cell>
          <cell r="R74">
            <v>55</v>
          </cell>
        </row>
        <row r="75">
          <cell r="A75" t="str">
            <v>004541</v>
          </cell>
          <cell r="B75" t="str">
            <v>LDC 2</v>
          </cell>
          <cell r="D75" t="str">
            <v>no</v>
          </cell>
          <cell r="E75" t="str">
            <v>21904143398</v>
          </cell>
          <cell r="F75" t="str">
            <v>F0577</v>
          </cell>
          <cell r="G75" t="str">
            <v>ERT Purchases</v>
          </cell>
          <cell r="H75" t="str">
            <v>Pur 300 AM Commerical Erts 2014</v>
          </cell>
          <cell r="I75" t="str">
            <v>posted to CPR</v>
          </cell>
          <cell r="J75" t="str">
            <v>Pur 300 AM Commerical Erts 2014 : Kansas City CORP: Central Plant Meter Shop</v>
          </cell>
          <cell r="K75" t="str">
            <v>Approved by: Rob Kitterman on 02/27/2014,  Purchase new erts for stock and to replace Large meters being built by Itron Meters  5198500</v>
          </cell>
          <cell r="L75">
            <v>41701</v>
          </cell>
          <cell r="M75">
            <v>41944</v>
          </cell>
          <cell r="N75">
            <v>41978.593761574099</v>
          </cell>
          <cell r="O75">
            <v>41883</v>
          </cell>
          <cell r="P75" t="str">
            <v>1904-043050  JACKSON CTY/KC</v>
          </cell>
          <cell r="Q75">
            <v>36201</v>
          </cell>
          <cell r="R75">
            <v>500</v>
          </cell>
        </row>
        <row r="76">
          <cell r="A76" t="str">
            <v>011172</v>
          </cell>
          <cell r="B76" t="str">
            <v>LDC 2</v>
          </cell>
          <cell r="D76" t="str">
            <v>no</v>
          </cell>
          <cell r="F76" t="str">
            <v>F1171</v>
          </cell>
          <cell r="G76" t="str">
            <v>Tools For MGE Operation Services</v>
          </cell>
          <cell r="H76" t="str">
            <v>Purch 2 Hydraulic grease guns</v>
          </cell>
          <cell r="I76" t="str">
            <v>posted to CPR</v>
          </cell>
          <cell r="J76" t="str">
            <v>Purchase 2 hydraulic grease guns with hose and gauge.  One to be used at Monett and the other for Joplin.</v>
          </cell>
          <cell r="K76" t="str">
            <v>Requested by Hal Hoofnagle 4-28-16
reopened per Shauna K 7-19-16 - need to reenter invoice that was mistakenly reversed. - AMM</v>
          </cell>
          <cell r="L76">
            <v>42522</v>
          </cell>
          <cell r="M76">
            <v>42522</v>
          </cell>
          <cell r="N76">
            <v>42557.553136574097</v>
          </cell>
          <cell r="O76">
            <v>42522</v>
          </cell>
          <cell r="P76" t="str">
            <v>0801-043050  Jackson Cty/KC</v>
          </cell>
          <cell r="Q76">
            <v>1942.5</v>
          </cell>
          <cell r="R76">
            <v>8</v>
          </cell>
        </row>
        <row r="77">
          <cell r="A77" t="str">
            <v>009125</v>
          </cell>
          <cell r="B77" t="str">
            <v>LDC 2</v>
          </cell>
          <cell r="D77" t="str">
            <v>no</v>
          </cell>
          <cell r="E77" t="str">
            <v>21271155469</v>
          </cell>
          <cell r="F77" t="str">
            <v>F0610</v>
          </cell>
          <cell r="G77" t="str">
            <v>New business</v>
          </cell>
          <cell r="H77" t="str">
            <v>2in PE Main Extension - Claytona</v>
          </cell>
          <cell r="I77" t="str">
            <v>posted to CPR</v>
          </cell>
          <cell r="J77" t="str">
            <v>2in PE Main Extension - Claytona: Kansas City-Clay Co: New Main Extension - Contractor Crews  3760 (33-380)</v>
          </cell>
          <cell r="K77" t="str">
            <v>Approved by: Gary Williams on 07/31/2015,  Install 2'' PE Main along NE 85th Ter (925') and NE 85th st (1325') this will serve 45 new residential customers.. Tie in to existing 6'' PE along N Cleveland Ave. Pressure system S-685. Economic evaluation will cover the cost of the project.</v>
          </cell>
          <cell r="L77">
            <v>42278</v>
          </cell>
          <cell r="M77">
            <v>42370</v>
          </cell>
          <cell r="N77">
            <v>42496.5608796296</v>
          </cell>
          <cell r="O77">
            <v>42278</v>
          </cell>
          <cell r="P77" t="str">
            <v>1271-020036  CLAY CTY/KANSAS CITY</v>
          </cell>
          <cell r="Q77">
            <v>54361.26</v>
          </cell>
          <cell r="R77">
            <v>-4505.5</v>
          </cell>
        </row>
        <row r="78">
          <cell r="A78" t="str">
            <v>004180</v>
          </cell>
          <cell r="B78" t="str">
            <v>LDC 2</v>
          </cell>
          <cell r="D78" t="str">
            <v>no</v>
          </cell>
          <cell r="E78" t="str">
            <v>21271132375</v>
          </cell>
          <cell r="F78" t="str">
            <v>F0658</v>
          </cell>
          <cell r="G78" t="str">
            <v>Services -  2" &amp; larger</v>
          </cell>
          <cell r="H78" t="str">
            <v>SAM`S CLUB- 2in SERVICE LINE</v>
          </cell>
          <cell r="I78" t="str">
            <v>posted to CPR</v>
          </cell>
          <cell r="J78" t="str">
            <v>SAM`S CLUB- 2in SERVICE LINE: Kansas City-Clay Co: 8130 N CHURCH RD</v>
          </cell>
          <cell r="K78" t="str">
            <v>Approved by: Kevin Driskell on 01/30/2013,  Laying 800'-2in pe service line for Sam`s club. Tie-in 4in pe (WO#06-1177) located on West side of NE Flintlock Rd. Load (9,924 cfh). Sec11 T51N R32W..TEST PRESSURE 100# MOP&amp;MAOP 33#. ECONOMIC EVALUATION WILL COVER COST OF PROJECT. COST PER FOOT $18.85.</v>
          </cell>
          <cell r="L78">
            <v>41590</v>
          </cell>
          <cell r="M78">
            <v>41652</v>
          </cell>
          <cell r="N78">
            <v>41654.604027777801</v>
          </cell>
          <cell r="O78">
            <v>41730</v>
          </cell>
          <cell r="P78" t="str">
            <v>1271-020036  CLAY CTY/KANSAS CITY</v>
          </cell>
          <cell r="Q78">
            <v>9404.4699999999993</v>
          </cell>
          <cell r="R78">
            <v>1774</v>
          </cell>
        </row>
        <row r="79">
          <cell r="A79" t="str">
            <v>003791</v>
          </cell>
          <cell r="B79" t="str">
            <v>LDC 2</v>
          </cell>
          <cell r="D79" t="str">
            <v>no</v>
          </cell>
          <cell r="E79" t="str">
            <v>21271132440</v>
          </cell>
          <cell r="F79" t="str">
            <v>F0610</v>
          </cell>
          <cell r="G79" t="str">
            <v>New business</v>
          </cell>
          <cell r="H79" t="str">
            <v>SHOAL CREEK VILLAGE RETAIL 500'-2in</v>
          </cell>
          <cell r="I79" t="str">
            <v>posted to CPR</v>
          </cell>
          <cell r="J79" t="str">
            <v>SHOAL CREEK VILLAGE RETAIL 500'-2in PEMAIN EXT: Kansas City-Clay Co: 82ND TERR &amp; N FARLEY AVE</v>
          </cell>
          <cell r="K79" t="str">
            <v>Approved by: Kevin Driskell on 07/23/2013,  Laying 500ft-2in main ext for 2 commercial retail spaces. Tie in 4in (WO#08-2584) on south side of 82nd Ter. The main will lay in a 10ft easement on east side of Farley Ave. Contact Beverly at least 2 weeks before for Staking. Mop 30PSIG Maop 33PSIG Pressure System C-001. ECONOMIC EVALUATION WILL COVER COST OF PROJECT. COST PER FOOT $26.68.</v>
          </cell>
          <cell r="L79">
            <v>41635</v>
          </cell>
          <cell r="M79">
            <v>41697</v>
          </cell>
          <cell r="N79">
            <v>41698.505254629599</v>
          </cell>
          <cell r="O79">
            <v>41730</v>
          </cell>
          <cell r="P79" t="str">
            <v>1271-020036  CLAY CTY/KANSAS CITY</v>
          </cell>
          <cell r="Q79">
            <v>13588.16</v>
          </cell>
          <cell r="R79">
            <v>1020</v>
          </cell>
        </row>
        <row r="80">
          <cell r="A80" t="str">
            <v>012754</v>
          </cell>
          <cell r="B80" t="str">
            <v>LDC 2</v>
          </cell>
          <cell r="D80" t="str">
            <v>no</v>
          </cell>
          <cell r="F80" t="str">
            <v>F0538</v>
          </cell>
          <cell r="G80" t="str">
            <v>Other Communication Costs</v>
          </cell>
          <cell r="H80" t="str">
            <v>Altek 334 Generator 4-20 Milliamp</v>
          </cell>
          <cell r="I80" t="str">
            <v>in service</v>
          </cell>
          <cell r="J80" t="str">
            <v>Altek 334 Generator 4-20 Milliamp</v>
          </cell>
          <cell r="K80" t="str">
            <v>Per Matt Taylor.  Electronics Supply Co, Inc. Order #1049522</v>
          </cell>
          <cell r="L80">
            <v>42705</v>
          </cell>
          <cell r="O80">
            <v>42736</v>
          </cell>
          <cell r="P80" t="str">
            <v>0401-043050  JACKSON CTY/KC</v>
          </cell>
          <cell r="Q80">
            <v>1624.17</v>
          </cell>
          <cell r="R80">
            <v>1</v>
          </cell>
        </row>
        <row r="81">
          <cell r="A81" t="str">
            <v>012570</v>
          </cell>
          <cell r="B81" t="str">
            <v>LDC 2</v>
          </cell>
          <cell r="D81" t="str">
            <v>no</v>
          </cell>
          <cell r="F81" t="str">
            <v>F0639</v>
          </cell>
          <cell r="G81" t="str">
            <v>EGM Equip-1st Time Installation</v>
          </cell>
          <cell r="H81" t="str">
            <v>EGM - St Luke Hospital (KC Wornall)</v>
          </cell>
          <cell r="I81" t="str">
            <v>open</v>
          </cell>
          <cell r="J81" t="str">
            <v>Mini-Max AT-PT Corrector for St. Lukes Hospital at 4400 Wornall Rd. to monitor daily gas usage. This is a replacement and is not billable.</v>
          </cell>
          <cell r="K81" t="str">
            <v>Meter Number 8"-T60 turbine   S/N: #01925746 to Replace ECAT S/N: #9400774.</v>
          </cell>
          <cell r="P81" t="str">
            <v>0401-043050  JACKSON CTY/KC</v>
          </cell>
          <cell r="Q81">
            <v>1901.38</v>
          </cell>
          <cell r="R81">
            <v>1</v>
          </cell>
        </row>
        <row r="82">
          <cell r="A82" t="str">
            <v>800145</v>
          </cell>
          <cell r="B82" t="str">
            <v>LDC 2</v>
          </cell>
          <cell r="C82" t="str">
            <v>01 - Cast Iron Strategic Replacement</v>
          </cell>
          <cell r="D82" t="str">
            <v>yes</v>
          </cell>
          <cell r="F82" t="str">
            <v>F0599</v>
          </cell>
          <cell r="G82" t="str">
            <v>Main Replacement - ISRS (N)</v>
          </cell>
          <cell r="H82" t="str">
            <v>Repl w 4271F 4P- 71 &amp; Gregory Ph E</v>
          </cell>
          <cell r="I82" t="str">
            <v>in service</v>
          </cell>
          <cell r="J82" t="str">
            <v>Install 753 ft of 4in PL IP main and 4,271 ft of 2in PL IP main - Hwy 71 &amp; Gregory Ph E. Abandon 494 ft 2in PL LP, 557 ft 2in ST LP main, 993 ft of 3" ST LP main, 482 ft of 4in CI LP main, 3109 ft of 6in CI LP main, &amp; 135 ft of 8in CI LP main.</v>
          </cell>
          <cell r="K82" t="str">
            <v>This main is being replaced as part of FY16 Cast Iron Replacement Program. Strategic cast iron replacement.</v>
          </cell>
          <cell r="L82">
            <v>42674</v>
          </cell>
          <cell r="O82">
            <v>42644</v>
          </cell>
          <cell r="P82" t="str">
            <v>0401-043050  JACKSON CTY/KC</v>
          </cell>
          <cell r="Q82">
            <v>243694.28</v>
          </cell>
          <cell r="R82">
            <v>-4946.75</v>
          </cell>
        </row>
        <row r="83">
          <cell r="A83" t="str">
            <v>800152</v>
          </cell>
          <cell r="B83" t="str">
            <v>LDC 2</v>
          </cell>
          <cell r="C83" t="str">
            <v>01 - Cast Iron Strategic Replacement</v>
          </cell>
          <cell r="D83" t="str">
            <v>yes</v>
          </cell>
          <cell r="F83" t="str">
            <v>F0599</v>
          </cell>
          <cell r="G83" t="str">
            <v>Main Replacement - ISRS (N)</v>
          </cell>
          <cell r="H83" t="str">
            <v>N Budd Park CI Grid Repl Phase 1A</v>
          </cell>
          <cell r="I83" t="str">
            <v>open</v>
          </cell>
          <cell r="J83" t="str">
            <v>Install 2208 Ft of 4 in and 3612 Ft of 6 in PL IP main for Budd Park Phase 1A. Abandon 2016 Ft of 6 in Cast Iron LP. Services affected are 95. Main is being replaced as part of FY16 Cast Iron Replacement Program.</v>
          </cell>
          <cell r="P83" t="str">
            <v>0401-043050  JACKSON CTY/KC</v>
          </cell>
          <cell r="Q83">
            <v>505662.27</v>
          </cell>
          <cell r="R83">
            <v>-9417.75</v>
          </cell>
        </row>
        <row r="84">
          <cell r="A84" t="str">
            <v>010033</v>
          </cell>
          <cell r="B84" t="str">
            <v>LDC 2</v>
          </cell>
          <cell r="D84" t="str">
            <v>no</v>
          </cell>
          <cell r="F84" t="str">
            <v>F0850</v>
          </cell>
          <cell r="G84" t="str">
            <v>Facilities - MGE - Remodel Svc Cen</v>
          </cell>
          <cell r="H84" t="str">
            <v>LED Lighting Project - MGE Central</v>
          </cell>
          <cell r="I84" t="str">
            <v>in service</v>
          </cell>
          <cell r="J84" t="str">
            <v>LED Lighting Project at MGE Central Location</v>
          </cell>
          <cell r="L84">
            <v>42521</v>
          </cell>
          <cell r="O84">
            <v>42522</v>
          </cell>
          <cell r="P84" t="str">
            <v>0401-043050  JACKSON CTY/KC</v>
          </cell>
          <cell r="Q84">
            <v>19864</v>
          </cell>
          <cell r="R84">
            <v>19864</v>
          </cell>
        </row>
        <row r="85">
          <cell r="A85" t="str">
            <v>007861</v>
          </cell>
          <cell r="B85" t="str">
            <v>LDC 2</v>
          </cell>
          <cell r="D85" t="str">
            <v>yes</v>
          </cell>
          <cell r="E85" t="str">
            <v>20401155181</v>
          </cell>
          <cell r="F85" t="str">
            <v>F0599</v>
          </cell>
          <cell r="G85" t="str">
            <v>Main Replacement - ISRS (N)</v>
          </cell>
          <cell r="H85" t="str">
            <v>Cast Iron Replacement project Phase</v>
          </cell>
          <cell r="I85" t="str">
            <v>posted to CPR</v>
          </cell>
          <cell r="J85" t="str">
            <v>Cast Iron Replacement project Phase 6: Kansas City-Jackson: Replace Cast Iron Main - 3760 Safety Related (34-412)</v>
          </cell>
          <cell r="K85" t="str">
            <v>Approved by: Joe Hampton on 03/13/2015,  ISRS. Replace and abandon a total of 85' of 4'' CI, 1705' of 6'' CI, 1144' of 12'' CI and 90' of 2'' BS in Sector 0306 with 1735' of 2'' PE, 1400' of 4'' PE, and 1320'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 bare steel services - 3917 Myrtle, 3901 and 3925 E. 39th, 3914 Jackson Ave - are to be replaced. Replacement services are to be charged to a service replacement blanket work order. 56 tieovers of PE services are to be performed. A tailgate meeting will need to be scheduled for tie in and abandonment procedures. Note that some of the existing main is currently under C-001 and regulators will need to be changed out before uprating the main.</v>
          </cell>
          <cell r="L85">
            <v>42208</v>
          </cell>
          <cell r="M85">
            <v>42309</v>
          </cell>
          <cell r="N85">
            <v>42436.4305439815</v>
          </cell>
          <cell r="O85">
            <v>42217</v>
          </cell>
          <cell r="P85" t="str">
            <v>0401-043050  JACKSON CTY/KC</v>
          </cell>
          <cell r="Q85">
            <v>270935.73</v>
          </cell>
          <cell r="R85">
            <v>48878</v>
          </cell>
        </row>
        <row r="86">
          <cell r="A86" t="str">
            <v>008870</v>
          </cell>
          <cell r="B86" t="str">
            <v>LDC 2</v>
          </cell>
          <cell r="D86" t="str">
            <v>no</v>
          </cell>
          <cell r="F86" t="str">
            <v>F0950</v>
          </cell>
          <cell r="G86" t="str">
            <v>Power Operated Eq - MGE</v>
          </cell>
          <cell r="H86" t="str">
            <v>Purchase (4) equipment floats- MGE</v>
          </cell>
          <cell r="I86" t="str">
            <v>open</v>
          </cell>
          <cell r="J86" t="str">
            <v>Purchase 4 equipment floats for MGE.  These are additional equipment floats for crews added in 2014</v>
          </cell>
          <cell r="P86" t="str">
            <v>0401-043050  JACKSON CTY/KC</v>
          </cell>
          <cell r="Q86">
            <v>673.36</v>
          </cell>
          <cell r="R86">
            <v>-14</v>
          </cell>
        </row>
        <row r="87">
          <cell r="A87" t="str">
            <v>008365</v>
          </cell>
          <cell r="B87" t="str">
            <v>LDC 2</v>
          </cell>
          <cell r="D87" t="str">
            <v>yes</v>
          </cell>
          <cell r="E87" t="str">
            <v>20401155333</v>
          </cell>
          <cell r="F87" t="str">
            <v>F0665</v>
          </cell>
          <cell r="G87" t="str">
            <v>Replace steel &amp; plastic main</v>
          </cell>
          <cell r="H87" t="str">
            <v>3inch PCS Replacement</v>
          </cell>
          <cell r="I87" t="str">
            <v>posted to CPR</v>
          </cell>
          <cell r="J87" t="str">
            <v>3inch PCS Replacement: Kansas City-Jackson: Replace Coated Steel &amp; Plastic Main - 3760 (34-396)</v>
          </cell>
          <cell r="K87" t="str">
            <v>Approved by: Gary Williams on 05/06/2015,  Abandon 1' of 3" PCS and 1-3" valve due to leak, replace 3" of 3" PCS no replacement on valve.</v>
          </cell>
          <cell r="L87">
            <v>41863</v>
          </cell>
          <cell r="M87">
            <v>41882</v>
          </cell>
          <cell r="N87">
            <v>42284.723576388897</v>
          </cell>
          <cell r="O87">
            <v>42125</v>
          </cell>
          <cell r="P87" t="str">
            <v>0401-043050  JACKSON CTY/KC</v>
          </cell>
          <cell r="Q87">
            <v>6468.48</v>
          </cell>
          <cell r="R87">
            <v>86</v>
          </cell>
        </row>
        <row r="88">
          <cell r="A88" t="str">
            <v>008132</v>
          </cell>
          <cell r="B88" t="str">
            <v>LDC 2</v>
          </cell>
          <cell r="D88" t="str">
            <v>no</v>
          </cell>
          <cell r="E88" t="str">
            <v>20401155255</v>
          </cell>
          <cell r="F88" t="str">
            <v>F0670</v>
          </cell>
          <cell r="G88" t="str">
            <v>Tools, Instruments &amp; Equipment (N)</v>
          </cell>
          <cell r="H88" t="str">
            <v>Purchase 6 Scrapers, and wire test</v>
          </cell>
          <cell r="I88" t="str">
            <v>posted to CPR</v>
          </cell>
          <cell r="J88" t="str">
            <v>Purchase 6 Scrapers, and wire test caps,mesh grip. Tools needed for field crews: Kansas City-Jackson: Purchase Tools, Instruments &amp; Equipment  3940 (37-366)</v>
          </cell>
          <cell r="K88" t="str">
            <v>Approved by: Ray Wilson on 03/31/2015,  Tools needed for field crews.</v>
          </cell>
          <cell r="L88">
            <v>42205</v>
          </cell>
          <cell r="M88">
            <v>42491</v>
          </cell>
          <cell r="N88">
            <v>42772.501956018503</v>
          </cell>
          <cell r="O88">
            <v>42186</v>
          </cell>
          <cell r="P88" t="str">
            <v>0401-043050  JACKSON CTY/KC</v>
          </cell>
          <cell r="Q88">
            <v>4121.84</v>
          </cell>
          <cell r="R88">
            <v>34</v>
          </cell>
        </row>
        <row r="89">
          <cell r="A89" t="str">
            <v>007412</v>
          </cell>
          <cell r="B89" t="str">
            <v>LDC 2</v>
          </cell>
          <cell r="D89" t="str">
            <v>no</v>
          </cell>
          <cell r="F89" t="str">
            <v>F0660</v>
          </cell>
          <cell r="G89" t="str">
            <v>Meter &amp; Reg Settings 2" &amp; Lg (N)</v>
          </cell>
          <cell r="H89" t="str">
            <v>Install MGE CNI2 devices  Central</v>
          </cell>
          <cell r="I89" t="str">
            <v>posted to CPR</v>
          </cell>
          <cell r="J89" t="str">
            <v>These units will provide load profile on MGE's Transportation Gas customers hour by hour including daily corrected and uncorrected consumption.</v>
          </cell>
          <cell r="K89" t="str">
            <v>Furthermore, the units are necessary to provide reports for accurate billing of MGE Gas Transportation accounts.</v>
          </cell>
          <cell r="L89">
            <v>42156</v>
          </cell>
          <cell r="M89">
            <v>42278</v>
          </cell>
          <cell r="N89">
            <v>42317.383553240703</v>
          </cell>
          <cell r="O89">
            <v>42156</v>
          </cell>
          <cell r="P89" t="str">
            <v>0401-043050  JACKSON CTY/KC</v>
          </cell>
          <cell r="Q89">
            <v>139368.35999999999</v>
          </cell>
          <cell r="R89">
            <v>960</v>
          </cell>
        </row>
        <row r="90">
          <cell r="A90" t="str">
            <v>007145</v>
          </cell>
          <cell r="B90" t="str">
            <v>LDC 2</v>
          </cell>
          <cell r="D90" t="str">
            <v>no</v>
          </cell>
          <cell r="E90" t="str">
            <v>20401143972</v>
          </cell>
          <cell r="F90" t="str">
            <v>F0660</v>
          </cell>
          <cell r="G90" t="str">
            <v>Meter &amp; Reg Settings 2" &amp; Lg (N)</v>
          </cell>
          <cell r="H90" t="str">
            <v>Jacob Rieger and Company 5M Roots</v>
          </cell>
          <cell r="I90" t="str">
            <v>posted to CPR</v>
          </cell>
          <cell r="J90" t="str">
            <v>Jacob Rieger and Company 5M Roots: Kansas City-Jackson: New Meter &amp; Reg Settings - 2in &amp; Larger 3820/3830 (33-382)</v>
          </cell>
          <cell r="K90" t="str">
            <v>Approved by: Rob Kitterman on 12/04/2014,  This work is necessary to install a 5M Roots meter for one new commercial customer. We'll set a 2in B34 IMRV regulator set at 14in WC for the connected load of 3620cfh.</v>
          </cell>
          <cell r="L90">
            <v>42118</v>
          </cell>
          <cell r="M90">
            <v>42248</v>
          </cell>
          <cell r="N90">
            <v>42274.592719907399</v>
          </cell>
          <cell r="O90">
            <v>42156</v>
          </cell>
          <cell r="P90" t="str">
            <v>0401-043050  JACKSON CTY/KC</v>
          </cell>
          <cell r="Q90">
            <v>695.21</v>
          </cell>
          <cell r="R90">
            <v>-61</v>
          </cell>
        </row>
        <row r="91">
          <cell r="A91" t="str">
            <v>006711</v>
          </cell>
          <cell r="B91" t="str">
            <v>LDC 2</v>
          </cell>
          <cell r="D91" t="str">
            <v>no</v>
          </cell>
          <cell r="E91" t="str">
            <v>20401143877</v>
          </cell>
          <cell r="F91" t="str">
            <v>F0658</v>
          </cell>
          <cell r="G91" t="str">
            <v>Services -  2" &amp; larger</v>
          </cell>
          <cell r="H91" t="str">
            <v>2in Service One Light Tower</v>
          </cell>
          <cell r="I91" t="str">
            <v>posted to CPR</v>
          </cell>
          <cell r="J91" t="str">
            <v>2in Service One Light Tower: Kansas City-Jackson: New Services 2&amp;quot; &amp; Larger  3800 (33-381)</v>
          </cell>
          <cell r="K91" t="str">
            <v>Approved by: Gary Williams on 10/20/2014,  Install 2'' Service line 100'. Tie in to 4'' PE. ECONOMIC EVALUATION WILL COVER COST OF PROJECT.</v>
          </cell>
          <cell r="L91">
            <v>41958</v>
          </cell>
          <cell r="M91">
            <v>42004</v>
          </cell>
          <cell r="N91">
            <v>42345.382442129601</v>
          </cell>
          <cell r="O91">
            <v>41974</v>
          </cell>
          <cell r="P91" t="str">
            <v>0401-043050  JACKSON CTY/KC</v>
          </cell>
          <cell r="Q91">
            <v>9011.23</v>
          </cell>
          <cell r="R91">
            <v>-586</v>
          </cell>
        </row>
        <row r="92">
          <cell r="A92" t="str">
            <v>006433</v>
          </cell>
          <cell r="B92" t="str">
            <v>LDC 2</v>
          </cell>
          <cell r="D92" t="str">
            <v>yes</v>
          </cell>
          <cell r="E92" t="str">
            <v>20401143774</v>
          </cell>
          <cell r="F92" t="str">
            <v>F0497</v>
          </cell>
          <cell r="G92" t="str">
            <v>Street &amp; highway relocates - safety</v>
          </cell>
          <cell r="H92" t="str">
            <v>Relocate 220'-8in PBS with Thin Fil</v>
          </cell>
          <cell r="I92" t="str">
            <v>posted to CPR</v>
          </cell>
          <cell r="J92" t="str">
            <v>Relocate 220'-8in PBS with Thin Film: Kansas City-Jackson: Relocate for Street &amp; Highway-Safety Related (44-389)</v>
          </cell>
          <cell r="K92" t="str">
            <v>Approved by: Gary Williams on 09/15/2014,  ISRS Replace 220'-8in PBS with 8in thin film due to exposed pipe, existing retaining wall to be torn down and rebuilt.  Pipe will need to be bored due to existing retaining wall.  This is a high pressure main at MOP=90#.</v>
          </cell>
          <cell r="L92">
            <v>41985</v>
          </cell>
          <cell r="M92">
            <v>41670</v>
          </cell>
          <cell r="N92">
            <v>42071.592094907399</v>
          </cell>
          <cell r="O92">
            <v>41974</v>
          </cell>
          <cell r="P92" t="str">
            <v>0401-043050  JACKSON CTY/KC</v>
          </cell>
          <cell r="Q92">
            <v>27612.09</v>
          </cell>
          <cell r="R92">
            <v>-178.5</v>
          </cell>
        </row>
        <row r="93">
          <cell r="A93" t="str">
            <v>005432</v>
          </cell>
          <cell r="B93" t="str">
            <v>LDC 2</v>
          </cell>
          <cell r="D93" t="str">
            <v>yes</v>
          </cell>
          <cell r="E93" t="str">
            <v>20401143489</v>
          </cell>
          <cell r="F93" t="str">
            <v>F0599</v>
          </cell>
          <cell r="G93" t="str">
            <v>Main Replacement - ISRS (N)</v>
          </cell>
          <cell r="H93" t="str">
            <v>43rd/47th Belfontaine CI Repl Proj</v>
          </cell>
          <cell r="I93" t="str">
            <v>posted to CPR</v>
          </cell>
          <cell r="J93" t="str">
            <v>43rd/47th Belfontaine CI Repl Proj Ph 2: Kansas City-Jackson: Replace Cast Iron Main - 3760 Safety Related (34-412)</v>
          </cell>
          <cell r="K93" t="str">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ell>
          <cell r="L93">
            <v>41992</v>
          </cell>
          <cell r="M93">
            <v>42035</v>
          </cell>
          <cell r="N93">
            <v>42131.407314814802</v>
          </cell>
          <cell r="O93">
            <v>41974</v>
          </cell>
          <cell r="P93" t="str">
            <v>0401-043050  JACKSON CTY/KC</v>
          </cell>
          <cell r="Q93">
            <v>1073987.6499999999</v>
          </cell>
          <cell r="R93">
            <v>-18143.77</v>
          </cell>
        </row>
        <row r="94">
          <cell r="A94" t="str">
            <v>005211</v>
          </cell>
          <cell r="B94" t="str">
            <v>LDC 2</v>
          </cell>
          <cell r="D94" t="str">
            <v>no</v>
          </cell>
          <cell r="E94" t="str">
            <v>20401143523</v>
          </cell>
          <cell r="F94" t="str">
            <v>F0670</v>
          </cell>
          <cell r="G94" t="str">
            <v>Tools, Instruments &amp; Equipment (N)</v>
          </cell>
          <cell r="H94" t="str">
            <v>PUR-1 VERTICAL MILLDRILL VMD-40G</v>
          </cell>
          <cell r="I94" t="str">
            <v>posted to CPR</v>
          </cell>
          <cell r="J94" t="str">
            <v>PUR-1 VERTICAL MILLDRILL VMD-40G: Kansas City-Jackson: Purchase Tools, Instruments &amp; Equipment  3940 (37-366)</v>
          </cell>
          <cell r="K94" t="str">
            <v>Approved by: Gary Williams on 05/05/2014,  PURCHASE-1 VERTICAL MILL DRILL VMD-40G,TO BE USED THE WELDERS AT CENTRAL. THIS ALLOWS THEM TO MILL THE STEEL. ALSO COMES STANDARD WITH A COOLANT SYSTEM, R8 SPINDLE TAPER AND A HALOGEN LIGHT. CENTRAL MILLDRILL IS OBSOLETE. THIS IS A REPLACEMENT TOOL.</v>
          </cell>
          <cell r="L94">
            <v>41786</v>
          </cell>
          <cell r="M94">
            <v>42217</v>
          </cell>
          <cell r="N94">
            <v>42243.332083333298</v>
          </cell>
          <cell r="O94">
            <v>41760</v>
          </cell>
          <cell r="P94" t="str">
            <v>0401-043050  JACKSON CTY/KC</v>
          </cell>
          <cell r="Q94">
            <v>2920.03</v>
          </cell>
          <cell r="R94">
            <v>1</v>
          </cell>
        </row>
        <row r="95">
          <cell r="A95" t="str">
            <v>005270</v>
          </cell>
          <cell r="B95" t="str">
            <v>LDC 2</v>
          </cell>
          <cell r="D95" t="str">
            <v>yes</v>
          </cell>
          <cell r="E95" t="str">
            <v>20401143309</v>
          </cell>
          <cell r="F95" t="str">
            <v>F0595</v>
          </cell>
          <cell r="G95" t="str">
            <v>Street &amp; highway relocates</v>
          </cell>
          <cell r="H95" t="str">
            <v>Blue Pkwy Repl PBS/PE w 2557'-4in;1</v>
          </cell>
          <cell r="I95" t="str">
            <v>posted to CPR</v>
          </cell>
          <cell r="J95" t="str">
            <v>Blue Pkwy Repl PBS/PE w 2557'-4in;1787'-2in PE mai: Kansas City-Jackson: Relocate for Street &amp; Highway-Public Improvements (44-388)</v>
          </cell>
          <cell r="K95" t="str">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ell>
          <cell r="L95">
            <v>42002</v>
          </cell>
          <cell r="M95">
            <v>42035</v>
          </cell>
          <cell r="N95">
            <v>42131.4070138889</v>
          </cell>
          <cell r="O95">
            <v>41974</v>
          </cell>
          <cell r="P95" t="str">
            <v>0401-043050  JACKSON CTY/KC</v>
          </cell>
          <cell r="Q95">
            <v>136304.22</v>
          </cell>
          <cell r="R95">
            <v>-3413.7</v>
          </cell>
        </row>
        <row r="96">
          <cell r="A96" t="str">
            <v>004952</v>
          </cell>
          <cell r="B96" t="str">
            <v>LDC 2</v>
          </cell>
          <cell r="D96" t="str">
            <v>yes</v>
          </cell>
          <cell r="E96" t="str">
            <v>20401143473</v>
          </cell>
          <cell r="F96" t="str">
            <v>F0663</v>
          </cell>
          <cell r="G96" t="str">
            <v>Replace bare steel main - safety re</v>
          </cell>
          <cell r="H96" t="str">
            <v>Blue Pkwy Abandon 754'-2in PBS main</v>
          </cell>
          <cell r="I96" t="str">
            <v>posted to CPR</v>
          </cell>
          <cell r="J96" t="str">
            <v>Blue Pkwy Abandon 754'-2in PBS main: Kansas City-Jackson: Replace Bare Steel Main - 3760 Safety Related (34-394)</v>
          </cell>
          <cell r="K96" t="str">
            <v>Approved by: Kevin Driskell on 04/04/2014,  Abandoned 754' of 2" PBS due to leaks. Main is no longer needed. Services tied over to 4" main on north side of road.</v>
          </cell>
          <cell r="L96">
            <v>41711</v>
          </cell>
          <cell r="M96">
            <v>41821</v>
          </cell>
          <cell r="N96">
            <v>41936.625740740703</v>
          </cell>
          <cell r="P96" t="str">
            <v>0401-043050  JACKSON CTY/KC</v>
          </cell>
          <cell r="Q96">
            <v>4191.1000000000004</v>
          </cell>
          <cell r="R96">
            <v>754</v>
          </cell>
        </row>
        <row r="97">
          <cell r="A97" t="str">
            <v>004085</v>
          </cell>
          <cell r="B97" t="str">
            <v>LDC 2</v>
          </cell>
          <cell r="D97" t="str">
            <v>no</v>
          </cell>
          <cell r="E97" t="str">
            <v>20401133161</v>
          </cell>
          <cell r="F97" t="str">
            <v>F0588</v>
          </cell>
          <cell r="G97" t="str">
            <v>Transportation &amp; power operated equ</v>
          </cell>
          <cell r="H97" t="str">
            <v>Pur 2013 2x4 Case backhoe with exte</v>
          </cell>
          <cell r="I97" t="str">
            <v>posted to CPR</v>
          </cell>
          <cell r="J97" t="str">
            <v>Pur 2013 2x4 Case backhoe with extend-hoe: Kansas City-Jackson: Central</v>
          </cell>
          <cell r="K97" t="str">
            <v>Approved by: Ken Thomas on 11/14/2013,  Purchase one 2013 2x4 Case backhoe with extend-hoe.</v>
          </cell>
          <cell r="L97">
            <v>41695</v>
          </cell>
          <cell r="M97">
            <v>41710</v>
          </cell>
          <cell r="N97">
            <v>41710.614571759303</v>
          </cell>
          <cell r="P97" t="str">
            <v>0401-043050  JACKSON CTY/KC</v>
          </cell>
          <cell r="Q97">
            <v>69148.97</v>
          </cell>
          <cell r="R97">
            <v>0</v>
          </cell>
        </row>
        <row r="98">
          <cell r="A98" t="str">
            <v>004456</v>
          </cell>
          <cell r="B98" t="str">
            <v>LDC 2</v>
          </cell>
          <cell r="D98" t="str">
            <v>no</v>
          </cell>
          <cell r="E98" t="str">
            <v>20401133024</v>
          </cell>
          <cell r="F98" t="str">
            <v>F0670</v>
          </cell>
          <cell r="G98" t="str">
            <v>Tools, Instruments &amp; Equipment (N)</v>
          </cell>
          <cell r="H98" t="str">
            <v>PUR CHICAGO PNEUMATIC 90LB BREAKER</v>
          </cell>
          <cell r="I98" t="str">
            <v>posted to CPR</v>
          </cell>
          <cell r="J98" t="str">
            <v>PUR CHICAGO PNEUMATIC 90LB BREAKER: Kansas City-Jackson: 7500 E 35TH TER</v>
          </cell>
          <cell r="K98" t="str">
            <v>Approved by: Gary Williams on 09/26/2013,  PURCHASING 1-JACK HAMMER (90LB BREAKER. THIS TOOL WILL BE USED BY THE C&amp;M CREWS AT CENTRAL TO BREAK PAVEMENT (ASPHALT &amp; CONCRETE). RECEIVED QUOTES FROM HERTZ EQUIPMENT RENTAL $991.25,HEATH SALES AND SERVICE INC $896.87 AND TOTAL TOOL $844.12. THIS IS NOT A REPLACEMENT TOOL.</v>
          </cell>
          <cell r="L98">
            <v>41567</v>
          </cell>
          <cell r="M98">
            <v>41626</v>
          </cell>
          <cell r="N98">
            <v>41630.722187500003</v>
          </cell>
          <cell r="P98" t="str">
            <v>0401-043050  JACKSON CTY/KC</v>
          </cell>
          <cell r="Q98">
            <v>1273.77</v>
          </cell>
          <cell r="R98">
            <v>0</v>
          </cell>
        </row>
        <row r="99">
          <cell r="A99" t="str">
            <v>004257</v>
          </cell>
          <cell r="B99" t="str">
            <v>LDC 2</v>
          </cell>
          <cell r="D99" t="str">
            <v>yes</v>
          </cell>
          <cell r="E99" t="str">
            <v>20401132897</v>
          </cell>
          <cell r="F99" t="str">
            <v>F0500</v>
          </cell>
          <cell r="G99" t="str">
            <v>Replace cast iron main - CPI / prio</v>
          </cell>
          <cell r="H99" t="str">
            <v>27th &amp; Park Repl CI w 620'-4in PE m</v>
          </cell>
          <cell r="I99" t="str">
            <v>posted to CPR</v>
          </cell>
          <cell r="J99" t="str">
            <v>27th &amp; Park Repl CI w 620'-4in PE main: Kansas City-Jackson: 27th St and Park Ave</v>
          </cell>
          <cell r="K99" t="str">
            <v>Approved by: Gary Williams on 11/07/2013,  Replace 4in CI with 4in PE 620' due to leaks and condition of gas main. Original work order #B1P38. Pressure system C-001. Retire 600'-4in CI, year 1922.</v>
          </cell>
          <cell r="L99">
            <v>41709</v>
          </cell>
          <cell r="M99">
            <v>41821</v>
          </cell>
          <cell r="N99">
            <v>41859.384942129604</v>
          </cell>
          <cell r="O99">
            <v>41730</v>
          </cell>
          <cell r="P99" t="str">
            <v>0401-043050  JACKSON CTY/KC</v>
          </cell>
          <cell r="Q99">
            <v>40348.47</v>
          </cell>
          <cell r="R99">
            <v>2275.5</v>
          </cell>
        </row>
        <row r="100">
          <cell r="A100" t="str">
            <v>004124</v>
          </cell>
          <cell r="B100" t="str">
            <v>LDC 2</v>
          </cell>
          <cell r="D100" t="str">
            <v>yes</v>
          </cell>
          <cell r="E100" t="str">
            <v>20401132777</v>
          </cell>
          <cell r="F100" t="str">
            <v>F0636</v>
          </cell>
          <cell r="G100" t="str">
            <v>Replace steel &amp; plastic main</v>
          </cell>
          <cell r="H100" t="str">
            <v>4900 E 87TH-Abandon 1660'-2in PE ma</v>
          </cell>
          <cell r="I100" t="str">
            <v>posted to CPR</v>
          </cell>
          <cell r="J100" t="str">
            <v>4900 E 87TH-Abandon 1660'-2in PE main: Kansas City-Jackson: 4900 E 87th St</v>
          </cell>
          <cell r="K100" t="str">
            <v>Approved by: Kevin Driskell on 06/28/2013,  THIS WORK ORDER IS NECESSARY TO ABANDON 1600'-2' PE MAIN (WO#99-9095)DUE TO REDEVELOPMENT OF AREA MAIN WILL NO LONGER BE NEEDED.</v>
          </cell>
          <cell r="L100">
            <v>41473</v>
          </cell>
          <cell r="M100">
            <v>41563</v>
          </cell>
          <cell r="N100">
            <v>41627.582916666703</v>
          </cell>
          <cell r="P100" t="str">
            <v>0401-043050  JACKSON CTY/KC</v>
          </cell>
          <cell r="Q100">
            <v>16747.55</v>
          </cell>
          <cell r="R100">
            <v>1479</v>
          </cell>
        </row>
        <row r="101">
          <cell r="A101" t="str">
            <v>004785</v>
          </cell>
          <cell r="B101" t="str">
            <v>LDC 2</v>
          </cell>
          <cell r="D101" t="str">
            <v>no</v>
          </cell>
          <cell r="E101" t="str">
            <v>28930650000</v>
          </cell>
          <cell r="F101" t="str">
            <v>F0712</v>
          </cell>
          <cell r="G101" t="str">
            <v>Maintenance of Meters MGE</v>
          </cell>
          <cell r="H101" t="str">
            <v>Mtce Mtr &amp; Regs Turbine MGE</v>
          </cell>
          <cell r="I101" t="str">
            <v>open</v>
          </cell>
          <cell r="J101" t="str">
            <v>Mtce Mtr &amp; Regs Turbine MGE</v>
          </cell>
          <cell r="P101" t="str">
            <v>Expense Only</v>
          </cell>
          <cell r="Q101">
            <v>11497.02</v>
          </cell>
          <cell r="R101">
            <v>260.2</v>
          </cell>
        </row>
        <row r="102">
          <cell r="A102" t="str">
            <v>004782</v>
          </cell>
          <cell r="B102" t="str">
            <v>LDC 2</v>
          </cell>
          <cell r="D102" t="str">
            <v>no</v>
          </cell>
          <cell r="F102" t="str">
            <v>F0686</v>
          </cell>
          <cell r="G102" t="str">
            <v>Misc Def Debits - WIP MGE</v>
          </cell>
          <cell r="H102" t="str">
            <v>Misc Def Debits - WIP MGE</v>
          </cell>
          <cell r="I102" t="str">
            <v>open</v>
          </cell>
          <cell r="J102" t="str">
            <v>Misc Def Debits - WIP MGE</v>
          </cell>
          <cell r="P102" t="str">
            <v>Expense Only</v>
          </cell>
          <cell r="Q102">
            <v>6.25</v>
          </cell>
          <cell r="R102">
            <v>94</v>
          </cell>
        </row>
        <row r="103">
          <cell r="A103" t="str">
            <v>004800</v>
          </cell>
          <cell r="B103" t="str">
            <v>LDC 2</v>
          </cell>
          <cell r="D103" t="str">
            <v>no</v>
          </cell>
          <cell r="E103" t="str">
            <v>29080300000</v>
          </cell>
          <cell r="F103" t="str">
            <v>F0718</v>
          </cell>
          <cell r="G103" t="str">
            <v>Customer Assistance MGE</v>
          </cell>
          <cell r="H103" t="str">
            <v>Customer Assistance MGE</v>
          </cell>
          <cell r="I103" t="str">
            <v>open</v>
          </cell>
          <cell r="J103" t="str">
            <v>Customer Assistance MGE</v>
          </cell>
          <cell r="P103" t="str">
            <v>Expense Only</v>
          </cell>
          <cell r="Q103">
            <v>494503.02</v>
          </cell>
          <cell r="R103">
            <v>15717.6</v>
          </cell>
        </row>
        <row r="104">
          <cell r="A104" t="str">
            <v>004753</v>
          </cell>
          <cell r="B104" t="str">
            <v>LDC 2</v>
          </cell>
          <cell r="D104" t="str">
            <v>no</v>
          </cell>
          <cell r="E104" t="str">
            <v>28920100000</v>
          </cell>
          <cell r="F104" t="str">
            <v>F0711</v>
          </cell>
          <cell r="G104" t="str">
            <v>Maintenance of Services MGE</v>
          </cell>
          <cell r="H104" t="str">
            <v>Service on Cust Prop MGE</v>
          </cell>
          <cell r="I104" t="str">
            <v>open</v>
          </cell>
          <cell r="J104" t="str">
            <v>Service on Cust Prop MGE</v>
          </cell>
          <cell r="P104" t="str">
            <v>Expense Only</v>
          </cell>
          <cell r="Q104">
            <v>1284425.26</v>
          </cell>
          <cell r="R104">
            <v>20692.322800000002</v>
          </cell>
        </row>
        <row r="105">
          <cell r="A105" t="str">
            <v>004704</v>
          </cell>
          <cell r="B105" t="str">
            <v>LDC 2</v>
          </cell>
          <cell r="D105" t="str">
            <v>no</v>
          </cell>
          <cell r="E105" t="str">
            <v>21841403000</v>
          </cell>
          <cell r="F105" t="str">
            <v>F0732</v>
          </cell>
          <cell r="G105" t="str">
            <v>Transportation &amp; Eq Clrg MGE</v>
          </cell>
          <cell r="H105" t="str">
            <v>Fleet Clrg - 21841403000 MGE</v>
          </cell>
          <cell r="I105" t="str">
            <v>open</v>
          </cell>
          <cell r="J105" t="str">
            <v>Fleet Clrg - 21841403000 MGE</v>
          </cell>
          <cell r="P105" t="str">
            <v>Expense Only</v>
          </cell>
          <cell r="Q105">
            <v>155524.48000000001</v>
          </cell>
          <cell r="R105">
            <v>5.01</v>
          </cell>
        </row>
        <row r="106">
          <cell r="A106" t="str">
            <v>004703</v>
          </cell>
          <cell r="B106" t="str">
            <v>LDC 2</v>
          </cell>
          <cell r="D106" t="str">
            <v>no</v>
          </cell>
          <cell r="E106" t="str">
            <v>21841402000</v>
          </cell>
          <cell r="F106" t="str">
            <v>F0732</v>
          </cell>
          <cell r="G106" t="str">
            <v>Transportation &amp; Eq Clrg MGE</v>
          </cell>
          <cell r="H106" t="str">
            <v>Fleet Clrg - 21841402000 MGE</v>
          </cell>
          <cell r="I106" t="str">
            <v>open</v>
          </cell>
          <cell r="J106" t="str">
            <v>Fleet Clrg - 21841402000 MGE</v>
          </cell>
          <cell r="P106" t="str">
            <v>Expense Only</v>
          </cell>
          <cell r="Q106">
            <v>26318.42</v>
          </cell>
          <cell r="R106">
            <v>520</v>
          </cell>
        </row>
        <row r="107">
          <cell r="A107" t="str">
            <v>004839</v>
          </cell>
          <cell r="B107" t="str">
            <v>LDC 2</v>
          </cell>
          <cell r="D107" t="str">
            <v>no</v>
          </cell>
          <cell r="E107" t="str">
            <v>29230900000</v>
          </cell>
          <cell r="F107" t="str">
            <v>F0699</v>
          </cell>
          <cell r="G107" t="str">
            <v>Outside Services - MGE</v>
          </cell>
          <cell r="H107" t="str">
            <v>Outside Svcs-Prof Fees MGE</v>
          </cell>
          <cell r="I107" t="str">
            <v>open</v>
          </cell>
          <cell r="J107" t="str">
            <v>Outside Svcs-Prof Fees MGE</v>
          </cell>
          <cell r="P107" t="str">
            <v>Expense Only</v>
          </cell>
          <cell r="Q107">
            <v>4647596.8099999996</v>
          </cell>
          <cell r="R107">
            <v>189724</v>
          </cell>
        </row>
        <row r="108">
          <cell r="A108" t="str">
            <v>004836</v>
          </cell>
          <cell r="B108" t="str">
            <v>LDC 2</v>
          </cell>
          <cell r="D108" t="str">
            <v>no</v>
          </cell>
          <cell r="E108" t="str">
            <v>29210410000</v>
          </cell>
          <cell r="F108" t="str">
            <v>F0723</v>
          </cell>
          <cell r="G108" t="str">
            <v>Gen Office Sup&amp; Exp MGE</v>
          </cell>
          <cell r="H108" t="str">
            <v>Comm/Phone 292104100 MGE</v>
          </cell>
          <cell r="I108" t="str">
            <v>open</v>
          </cell>
          <cell r="J108" t="str">
            <v>Comm/Phone 292104100 MGE</v>
          </cell>
          <cell r="P108" t="str">
            <v>Expense Only</v>
          </cell>
          <cell r="Q108">
            <v>1445551.61</v>
          </cell>
          <cell r="R108">
            <v>0</v>
          </cell>
        </row>
        <row r="109">
          <cell r="A109" t="str">
            <v>800404</v>
          </cell>
          <cell r="B109" t="str">
            <v>LDC 2</v>
          </cell>
          <cell r="C109" t="str">
            <v>03 - Bare Steel Replacement</v>
          </cell>
          <cell r="D109" t="str">
            <v>yes</v>
          </cell>
          <cell r="F109" t="str">
            <v>F0572</v>
          </cell>
          <cell r="G109" t="str">
            <v>Main Replacement - ISRS (SW)</v>
          </cell>
          <cell r="H109" t="str">
            <v>Repl w 805F 4P 12th &amp; Kansas Ave</v>
          </cell>
          <cell r="I109" t="str">
            <v>in service</v>
          </cell>
          <cell r="J109" t="str">
            <v>Install ~ 805 Ft of 4 in PL MP Main at 12th St and Kansas Ave.Abandon 817 Ft of 3 in STL MP Main ~ 12 Ft of 3 in PL MP Main at above locations. Due to CP15-091.</v>
          </cell>
          <cell r="K109" t="str">
            <v>Total Service Tie-over = 21</v>
          </cell>
          <cell r="L109">
            <v>42752</v>
          </cell>
          <cell r="O109">
            <v>42736</v>
          </cell>
          <cell r="P109" t="str">
            <v>0501-044001  JASPER CTY/JOPLIN</v>
          </cell>
          <cell r="Q109">
            <v>107708.65</v>
          </cell>
          <cell r="R109">
            <v>-1962.5</v>
          </cell>
        </row>
        <row r="110">
          <cell r="A110" t="str">
            <v>800406</v>
          </cell>
          <cell r="B110" t="str">
            <v>LDC 2</v>
          </cell>
          <cell r="C110" t="str">
            <v>03 - Bare Steel Replacement</v>
          </cell>
          <cell r="D110" t="str">
            <v>yes</v>
          </cell>
          <cell r="F110" t="str">
            <v>F0572</v>
          </cell>
          <cell r="G110" t="str">
            <v>Main Replacement - ISRS (SW)</v>
          </cell>
          <cell r="H110" t="str">
            <v>Repl w/ 1098F 2P 2nd and McCoy</v>
          </cell>
          <cell r="I110" t="str">
            <v>in service</v>
          </cell>
          <cell r="J110" t="str">
            <v>Install 1098 Ft of 2 in PL LP main on W 2nd St and McCoy Ave. Abandon 35 Ft of 2 in PL, 5 Ft of 3 in PL, 200 Ft of 1 1/4 in ST and 784 Ft of 2 in ST LP main at the above locations.</v>
          </cell>
          <cell r="K110" t="str">
            <v>Main is being replaced due to failed CP reads.</v>
          </cell>
          <cell r="L110">
            <v>42739</v>
          </cell>
          <cell r="O110">
            <v>42736</v>
          </cell>
          <cell r="P110" t="str">
            <v>0501-044001  JASPER CTY/JOPLIN</v>
          </cell>
          <cell r="Q110">
            <v>120142.71</v>
          </cell>
          <cell r="R110">
            <v>5837.5</v>
          </cell>
        </row>
        <row r="111">
          <cell r="A111" t="str">
            <v>800103</v>
          </cell>
          <cell r="B111" t="str">
            <v>LDC 2</v>
          </cell>
          <cell r="D111" t="str">
            <v>no</v>
          </cell>
          <cell r="F111" t="str">
            <v>F0523</v>
          </cell>
          <cell r="G111" t="str">
            <v>New Main Extensions (SW)</v>
          </cell>
          <cell r="H111" t="str">
            <v>Twin Hills Main Extension</v>
          </cell>
          <cell r="I111" t="str">
            <v>in service</v>
          </cell>
          <cell r="J111" t="str">
            <v>Install 1640' of 2" main extension to serve the Twin Hills Subdivision, Joplin MO. Division: 05 Town: 01 Sector: 0058A Pressure System: C-5 MAOP: 20 psig MOP: 21 psig Design Pressure: 66 psig Test Pressure: 100 psig</v>
          </cell>
          <cell r="L111">
            <v>42355</v>
          </cell>
          <cell r="O111">
            <v>42339</v>
          </cell>
          <cell r="P111" t="str">
            <v>0501-044001  JASPER CTY/JOPLIN</v>
          </cell>
          <cell r="Q111">
            <v>40321.06</v>
          </cell>
          <cell r="R111">
            <v>-1673</v>
          </cell>
        </row>
        <row r="112">
          <cell r="A112" t="str">
            <v>008140</v>
          </cell>
          <cell r="B112" t="str">
            <v>LDC 2</v>
          </cell>
          <cell r="D112" t="str">
            <v>no</v>
          </cell>
          <cell r="E112" t="str">
            <v>20501155277</v>
          </cell>
          <cell r="F112" t="str">
            <v>F0485</v>
          </cell>
          <cell r="G112" t="str">
            <v>Tools, Instruments &amp; Equipment (SW)</v>
          </cell>
          <cell r="H112" t="str">
            <v>Purchase 3 Smart Manometers-Merriam</v>
          </cell>
          <cell r="I112" t="str">
            <v>posted to CPR</v>
          </cell>
          <cell r="J112" t="str">
            <v>Purchase 3 Smart Manometers From Merriam : Joplin: Purchase P&amp;M Equipment  3780/3790/3850 (32-397)</v>
          </cell>
          <cell r="K112" t="str">
            <v>Approved by: Michael Fornelli on 04/08/2015,  Purchase 3 Smart Manometers, Model ZM201-DNO200 with Push - To-Read Valve Equalizng Manifold, ATEX/Intrinsic Safety Certification, and ABS Plastic Carrying Case. Qoute JMM20S0331-MO from Merriam Process Technologies. Cost per unit is $1,497 plus shipping and taxes. Units will be used by Joplin &amp; Monett P&amp;M employees to run differential checks when testing rotary meters. Contact info - Jeff Mortensen, Central States Regional Manager, Cell phone, 224-707-2392. Quote attached.</v>
          </cell>
          <cell r="L112">
            <v>42156</v>
          </cell>
          <cell r="M112">
            <v>42491</v>
          </cell>
          <cell r="N112">
            <v>42527.511840277803</v>
          </cell>
          <cell r="O112">
            <v>42186</v>
          </cell>
          <cell r="P112" t="str">
            <v>0501-044001  JASPER CTY/JOPLIN</v>
          </cell>
          <cell r="Q112">
            <v>4525.58</v>
          </cell>
          <cell r="R112">
            <v>27</v>
          </cell>
        </row>
        <row r="113">
          <cell r="A113" t="str">
            <v>007078</v>
          </cell>
          <cell r="B113" t="str">
            <v>LDC 2</v>
          </cell>
          <cell r="D113" t="str">
            <v>yes</v>
          </cell>
          <cell r="E113" t="str">
            <v>20501144012</v>
          </cell>
          <cell r="F113" t="str">
            <v>F0544</v>
          </cell>
          <cell r="G113" t="str">
            <v>Replace bare steel main - safety re</v>
          </cell>
          <cell r="H113" t="str">
            <v>6th and Connor Repl 70ft of 4in PBS</v>
          </cell>
          <cell r="I113" t="str">
            <v>posted to CPR</v>
          </cell>
          <cell r="J113" t="str">
            <v>6th and Connor Repl 70ft of 4in PBS due to CP : Joplin: Replace Bare Steel Main - 3760 Safety Related (34-394)</v>
          </cell>
          <cell r="K113" t="str">
            <v>Approved by: Galen Shoemaker on 12/05/2014,  Abandon 70' - 4" PBS (WO# NONE) and replace with 70' - 4" PE due to CP 14-089. There are 7 repaired leaks on this stretch of main. Project Location: 6th and Connor; Pressure System: C-2; MOP: 1.5 psig; MAOP: 1.5 psig; Design: 58 psig; Test: 100 psig; ISRS</v>
          </cell>
          <cell r="L113">
            <v>42320</v>
          </cell>
          <cell r="M113">
            <v>42429</v>
          </cell>
          <cell r="N113">
            <v>42527.511342592603</v>
          </cell>
          <cell r="O113">
            <v>42339</v>
          </cell>
          <cell r="P113" t="str">
            <v>0501-044001  JASPER CTY/JOPLIN</v>
          </cell>
          <cell r="Q113">
            <v>11800.02</v>
          </cell>
          <cell r="R113">
            <v>-397</v>
          </cell>
        </row>
        <row r="114">
          <cell r="A114" t="str">
            <v>005513</v>
          </cell>
          <cell r="B114" t="str">
            <v>LDC 2</v>
          </cell>
          <cell r="D114" t="str">
            <v>no</v>
          </cell>
          <cell r="E114" t="str">
            <v>20501143590</v>
          </cell>
          <cell r="F114" t="str">
            <v>F0677</v>
          </cell>
          <cell r="G114" t="str">
            <v>New business</v>
          </cell>
          <cell r="H114" t="str">
            <v>Ridge Trail Lay 1200'-2in PE main e</v>
          </cell>
          <cell r="I114" t="str">
            <v>posted to CPR</v>
          </cell>
          <cell r="J114" t="str">
            <v>Ridge Trail Lay 1200'-2in PE main ext: Joplin: New Main Extension - Contractor Crews  3760 (33-380)</v>
          </cell>
          <cell r="K114" t="str">
            <v>Approved by: Galen Shoemaker on 06/16/2014,  Install 1200' of 2" PE for several new services along Ridge Trail.  Three  75' allowances due to three new services off the main.  Customer will contribute $10,725 prior to work.  Project Location: Ridge Trail S of McClelland Park Rd.  System: C-1.  MOP:  58 PSIG.  MAOP: 58 PSIG.  Design: 58 PSIG.  Test: 100 PSIG.  Price Per Foot: $25.12.
Reopened for late paving charges per Cindy Peck 9-27-15</v>
          </cell>
          <cell r="L114">
            <v>41955</v>
          </cell>
          <cell r="M114">
            <v>42063</v>
          </cell>
          <cell r="N114">
            <v>42160.553124999999</v>
          </cell>
          <cell r="O114">
            <v>41944</v>
          </cell>
          <cell r="P114" t="str">
            <v>0501-044001  JASPER CTY/JOPLIN</v>
          </cell>
          <cell r="Q114">
            <v>42575.94</v>
          </cell>
          <cell r="R114">
            <v>-4213</v>
          </cell>
        </row>
        <row r="115">
          <cell r="A115" t="str">
            <v>004516</v>
          </cell>
          <cell r="B115" t="str">
            <v>LDC 2</v>
          </cell>
          <cell r="D115" t="str">
            <v>yes</v>
          </cell>
          <cell r="E115" t="str">
            <v>20501132388</v>
          </cell>
          <cell r="F115" t="str">
            <v>F0575</v>
          </cell>
          <cell r="G115" t="str">
            <v>Replace steel &amp; plastic main</v>
          </cell>
          <cell r="H115" t="str">
            <v>16th&amp;Range Line Repl PCS w 155'-2in</v>
          </cell>
          <cell r="I115" t="str">
            <v>posted to CPR</v>
          </cell>
          <cell r="J115" t="str">
            <v>16th&amp;Range Line Repl PCS w 155'-2in PE main: Joplin: 16th and Range Line</v>
          </cell>
          <cell r="K115" t="str">
            <v>Approved by: Galen Shoemaker on 02/08/2013,  Abandon 155' - 2in PCS (WO#'s: 74-5441, 79-0186), and 2' - 2in PE (WO#: 04-6278) and replace with 155' - 2in PE due to unable to bring cathodic reads up. Project Location: 16th and Range Line Rd; Pressure System: C-1; MOP: 58 psig; MAOP: 58 psig; Design: 58 psig; Test: 100 psig; $40.28/ft</v>
          </cell>
          <cell r="L115">
            <v>41373</v>
          </cell>
          <cell r="M115">
            <v>41564</v>
          </cell>
          <cell r="N115">
            <v>41564.624745370398</v>
          </cell>
          <cell r="P115" t="str">
            <v>0501-044001  JASPER CTY/JOPLIN</v>
          </cell>
          <cell r="Q115">
            <v>5474.07</v>
          </cell>
          <cell r="R115">
            <v>1059</v>
          </cell>
        </row>
        <row r="116">
          <cell r="A116" t="str">
            <v>003957</v>
          </cell>
          <cell r="B116" t="str">
            <v>LDC 2</v>
          </cell>
          <cell r="D116" t="str">
            <v>yes</v>
          </cell>
          <cell r="E116" t="str">
            <v>20501132715</v>
          </cell>
          <cell r="F116" t="str">
            <v>F0572</v>
          </cell>
          <cell r="G116" t="str">
            <v>Main Replacement - ISRS (SW)</v>
          </cell>
          <cell r="H116" t="str">
            <v>Murphy Blvd Repl PBS w 3310'-4in PE</v>
          </cell>
          <cell r="I116" t="str">
            <v>posted to CPR</v>
          </cell>
          <cell r="J116" t="str">
            <v>Murphy Blvd Repl PBS w 3310'-4in PE main: Joplin: Murphy Blvd and Main St</v>
          </cell>
          <cell r="K116" t="str">
            <v>Approved by: Steve Holcomb on 06/06/2013,  Replace 3308' - 3in PBS (WO#: A7180) with 3310' - 4in PE pipe due to history of leakage. Project Location: Murphy Blvd and Main St; Pressure System: C-1; MOP: 58 psig; MAOP: 58 psig; Design: 58 psig; Test: 100 psig; ISRS $29.97/ft</v>
          </cell>
          <cell r="L116">
            <v>41536</v>
          </cell>
          <cell r="M116">
            <v>41626</v>
          </cell>
          <cell r="N116">
            <v>41627.582766203697</v>
          </cell>
          <cell r="O116">
            <v>41730</v>
          </cell>
          <cell r="P116" t="str">
            <v>0501-044001  JASPER CTY/JOPLIN</v>
          </cell>
          <cell r="Q116">
            <v>74964.929999999993</v>
          </cell>
          <cell r="R116">
            <v>13701</v>
          </cell>
        </row>
        <row r="117">
          <cell r="A117" t="str">
            <v>004214</v>
          </cell>
          <cell r="B117" t="str">
            <v>LDC 2</v>
          </cell>
          <cell r="D117" t="str">
            <v>yes</v>
          </cell>
          <cell r="E117" t="str">
            <v>20501143300</v>
          </cell>
          <cell r="F117" t="str">
            <v>F0544</v>
          </cell>
          <cell r="G117" t="str">
            <v>Replace bare steel main - safety re</v>
          </cell>
          <cell r="H117" t="str">
            <v>4th &amp; Rangeline Repl PBS w 200'-2in</v>
          </cell>
          <cell r="I117" t="str">
            <v>posted to CPR</v>
          </cell>
          <cell r="J117" t="str">
            <v>4th &amp; Rangeline Repl PBS w 200'-2in PE main: Joplin: Range Line Rd S of 4th St</v>
          </cell>
          <cell r="K117" t="str">
            <v>Approved by: Galen Shoemaker on 01/20/2014,  *MODOT PERMIT REQUIRED* Replace 200' of 2" PBS with 200' of 2" PE due to leakage issues (#2 Leak reclassed to #3, Leak No: 14-004).  Project Location: Range Line Rd S of 4th St.  Pressure System: C-1.  MOP: 58 PSIG.  MAOP: 58 PSIG.  Design: 58 PSIG.  Test: 100 PSIG.  Price Per Foot: $26.38. ISRS.</v>
          </cell>
          <cell r="L117">
            <v>41745</v>
          </cell>
          <cell r="M117">
            <v>41821</v>
          </cell>
          <cell r="N117">
            <v>41858.746701388904</v>
          </cell>
          <cell r="O117">
            <v>41791</v>
          </cell>
          <cell r="P117" t="str">
            <v>0501-044001  JASPER CTY/JOPLIN</v>
          </cell>
          <cell r="Q117">
            <v>5306.79</v>
          </cell>
          <cell r="R117">
            <v>1492</v>
          </cell>
        </row>
        <row r="118">
          <cell r="A118" t="str">
            <v>003804</v>
          </cell>
          <cell r="B118" t="str">
            <v>LDC 2</v>
          </cell>
          <cell r="D118" t="str">
            <v>no</v>
          </cell>
          <cell r="E118" t="str">
            <v>20501143386</v>
          </cell>
          <cell r="F118" t="str">
            <v>F0485</v>
          </cell>
          <cell r="G118" t="str">
            <v>Tools, Instruments &amp; Equipment (SW)</v>
          </cell>
          <cell r="H118" t="str">
            <v>PUR 12 Sensit Gold Model B</v>
          </cell>
          <cell r="I118" t="str">
            <v>posted to CPR</v>
          </cell>
          <cell r="J118" t="str">
            <v>PUR 12 Sensit Gold Model B: Joplin: 520 E 5TH ST</v>
          </cell>
          <cell r="K118" t="str">
            <v>Approved by: Galen Shoemaker on 02/24/2014,  PURCHASE 12 Sensit Gold Model B CGI LEL/%VOL CO (910-00000-B)to be used by Joplin I&amp;S. Groebner &amp; Assoc only vendor that carries this instrument. These are to replace the non-repairable Bacharach CGI and obsolete ones Joplin I&amp;S is using now.</v>
          </cell>
          <cell r="L118">
            <v>41736</v>
          </cell>
          <cell r="M118">
            <v>42461</v>
          </cell>
          <cell r="N118">
            <v>42496.558553240699</v>
          </cell>
          <cell r="O118">
            <v>41883</v>
          </cell>
          <cell r="P118" t="str">
            <v>0501-044001  JASPER CTY/JOPLIN</v>
          </cell>
          <cell r="Q118">
            <v>28572.19</v>
          </cell>
          <cell r="R118">
            <v>32</v>
          </cell>
        </row>
        <row r="119">
          <cell r="A119" t="str">
            <v>800288</v>
          </cell>
          <cell r="B119" t="str">
            <v>LDC 2</v>
          </cell>
          <cell r="C119" t="str">
            <v>03 - Bare Steel Replacement</v>
          </cell>
          <cell r="D119" t="str">
            <v>yes</v>
          </cell>
          <cell r="F119" t="str">
            <v>F0572</v>
          </cell>
          <cell r="G119" t="str">
            <v>Main Replacement - ISRS (SW)</v>
          </cell>
          <cell r="H119" t="str">
            <v>Repl 2372F 2-4P Webb City Phase 2 J</v>
          </cell>
          <cell r="I119" t="str">
            <v>open</v>
          </cell>
          <cell r="J119" t="str">
            <v>Install - 1297 Ft of 2 in PL IP main, and 1075 Ft of 4 in PL IP main on Madison Ave, 1st St, and the alley between Broadway and 1st ST.</v>
          </cell>
          <cell r="K119" t="str">
            <v>Abandon - 350 Ft of 2 in ST LP main, and 1903 Ft of 4 in ST LP main, and 14 Ft of 6 in ST LP main, and 15 Ft of 8 in ST LP main, and 30 Ft of 2 in PL LP main, and 113 Ft of 4 in PL LP main, and 318 Ft of 6 in PL LP main on 1st St, Madison Ave, and the alley between Broadway and 1st ST.  Uprate- 1124 Ft pf 2 in PL LP main, and 1460 Ft of 3 in PL LP main, and 723 Ft of 4 in PL LP main on Bohnstedt, 3rd St, 2nd St, 1st St, and Madison Ave.  Total Service Tie over = 38; Total Service Replace = 3; Total Service Upgrade = 75; Total Service Abandoned = 5.  This main is being abandoned as part of FY17 Bare Steel Replacement Program.</v>
          </cell>
          <cell r="P119" t="str">
            <v>0502-044006  JASPER CTY/WEBB CITY</v>
          </cell>
          <cell r="Q119">
            <v>0</v>
          </cell>
          <cell r="R119">
            <v>2743</v>
          </cell>
        </row>
        <row r="120">
          <cell r="A120" t="str">
            <v>010654</v>
          </cell>
          <cell r="B120" t="str">
            <v>LDC 2</v>
          </cell>
          <cell r="D120" t="str">
            <v>no</v>
          </cell>
          <cell r="F120" t="str">
            <v>F1152</v>
          </cell>
          <cell r="G120" t="str">
            <v>Vehicle Purchases - MGE</v>
          </cell>
          <cell r="H120" t="str">
            <v>Purchase (17) light bars. MGE</v>
          </cell>
          <cell r="I120" t="str">
            <v>posted to CPR</v>
          </cell>
          <cell r="J120" t="str">
            <v>Purchase and install 17 light bars on existing trucks.</v>
          </cell>
          <cell r="L120">
            <v>42643</v>
          </cell>
          <cell r="M120">
            <v>42765</v>
          </cell>
          <cell r="N120">
            <v>42772.668564814798</v>
          </cell>
          <cell r="O120">
            <v>42614</v>
          </cell>
          <cell r="P120" t="str">
            <v>0101-043050  JACKSON CTY/KC</v>
          </cell>
          <cell r="Q120">
            <v>7382.22</v>
          </cell>
          <cell r="R120">
            <v>84</v>
          </cell>
        </row>
        <row r="121">
          <cell r="A121" t="str">
            <v>009038</v>
          </cell>
          <cell r="B121" t="str">
            <v>LDC 2</v>
          </cell>
          <cell r="D121" t="str">
            <v>no</v>
          </cell>
          <cell r="E121" t="str">
            <v>20101155447</v>
          </cell>
          <cell r="F121" t="str">
            <v>F0577</v>
          </cell>
          <cell r="G121" t="str">
            <v>ERT Purchases</v>
          </cell>
          <cell r="H121" t="str">
            <v>Purchase New 100G 18 Tooth Rockwell</v>
          </cell>
          <cell r="I121" t="str">
            <v>in service</v>
          </cell>
          <cell r="J121" t="str">
            <v>Purchase New 100G 18 Tooth Rockwell Erts : Kansas City CORP: Purchase ERT (Electronic Reading Transmitter)  3971 (32-312)</v>
          </cell>
          <cell r="K121" t="str">
            <v>Approved by: John Jankovich on 07/14/2015,  Following purchase is for stock/repair in house meters.</v>
          </cell>
          <cell r="L121">
            <v>42460</v>
          </cell>
          <cell r="O121">
            <v>42461</v>
          </cell>
          <cell r="P121" t="str">
            <v>0101-043050  JACKSON CTY/KC</v>
          </cell>
          <cell r="Q121">
            <v>19278</v>
          </cell>
          <cell r="R121">
            <v>500</v>
          </cell>
        </row>
        <row r="122">
          <cell r="A122" t="str">
            <v>006797</v>
          </cell>
          <cell r="B122" t="str">
            <v>LDC 2</v>
          </cell>
          <cell r="D122" t="str">
            <v>no</v>
          </cell>
          <cell r="E122" t="str">
            <v>20101143940</v>
          </cell>
          <cell r="F122" t="str">
            <v>F0577</v>
          </cell>
          <cell r="G122" t="str">
            <v>ERT Purchases</v>
          </cell>
          <cell r="H122" t="str">
            <v>Pur 10000 100G Erts Repl Program Ja</v>
          </cell>
          <cell r="I122" t="str">
            <v>posted to CPR</v>
          </cell>
          <cell r="J122" t="str">
            <v>Pur 10000 100G Erts Repl Program Jan 2015 : Kansas City CORP: Purchase ERT (Electronic Reading Transmitter)  3971 (32-312)</v>
          </cell>
          <cell r="K122" t="str">
            <v>Approved by: Steve Holcomb on 11/03/2014,  Purchase domestic 100G Am Erts (5198300) and Rk Erts (5198310) for the Replacement Program 2015. 
Completer per 2-15 meter report - AMM</v>
          </cell>
          <cell r="L122">
            <v>42036</v>
          </cell>
          <cell r="M122">
            <v>42156</v>
          </cell>
          <cell r="N122">
            <v>42185.7281828704</v>
          </cell>
          <cell r="O122">
            <v>42125</v>
          </cell>
          <cell r="P122" t="str">
            <v>0101-043050  JACKSON CTY/KC</v>
          </cell>
          <cell r="Q122">
            <v>445560</v>
          </cell>
          <cell r="R122">
            <v>10000</v>
          </cell>
        </row>
        <row r="123">
          <cell r="A123" t="str">
            <v>800542</v>
          </cell>
          <cell r="B123" t="str">
            <v>LDC 2</v>
          </cell>
          <cell r="C123" t="str">
            <v>03 - Bare Steel Replacement</v>
          </cell>
          <cell r="D123" t="str">
            <v>yes</v>
          </cell>
          <cell r="F123" t="str">
            <v>F0604</v>
          </cell>
          <cell r="G123" t="str">
            <v>Main Replacement - ISRS (S)</v>
          </cell>
          <cell r="H123" t="str">
            <v>Repl w 14507F 2-6-12P Blue Ridge</v>
          </cell>
          <cell r="I123" t="str">
            <v>open</v>
          </cell>
          <cell r="J123" t="str">
            <v>Install ~12010 Ft of 2" PL IP Main, ~2452 Ft of 6" PL IP Main, ~45 Ft of 12" ST IP Main.</v>
          </cell>
          <cell r="K123" t="str">
            <v>Abandon ~61 Ft of 2" PL IP Main, ~7133 Ft of 2" ST IP Main, ~3334 Ft of 4" ST IP Main, ~3596 Ft of 6" ST IP Main, ~17 Ft of 12" ST IP Main.  Total Service Tie-over= 212, Service Replace= 6 (83 Ft).  This project is part of the strategic steel replacement plan.  The City plans to replace the sidewalks along this stretch of Blue Ridge.  While there are no conflicts with the existing bare steel gas main we would prefer to replace the main with plastic prior to the City project.  (ISRS)</v>
          </cell>
          <cell r="P123" t="str">
            <v>0201-043001  JACKSON CTY/INDEPENDENCE</v>
          </cell>
          <cell r="Q123">
            <v>145089.23000000001</v>
          </cell>
          <cell r="R123">
            <v>-7049</v>
          </cell>
        </row>
        <row r="124">
          <cell r="A124" t="str">
            <v>004047</v>
          </cell>
          <cell r="B124" t="str">
            <v>LDC 2</v>
          </cell>
          <cell r="D124" t="str">
            <v>no</v>
          </cell>
          <cell r="E124" t="str">
            <v>20201133005</v>
          </cell>
          <cell r="F124" t="str">
            <v>F0639</v>
          </cell>
          <cell r="G124" t="str">
            <v>EGM Equip-1st Time Installation</v>
          </cell>
          <cell r="H124" t="str">
            <v>EGM - Costco Wholesale Corp (Indepe</v>
          </cell>
          <cell r="I124" t="str">
            <v>posted to CPR</v>
          </cell>
          <cell r="J124" t="str">
            <v>EGM - Costco Wholesale Corp (Independence): Independence: 19040 E Valley View Pkwy - Independence, MO 64055</v>
          </cell>
          <cell r="K124" t="str">
            <v>Approved by: Rob Kitterman on 09/24/2013,  Install Mercury MiniMax-AT-T w/ Messenger Modem S/N:13012188 on Roots 11M meter no 08924746 to monitor daily gas usage of this transportation customer. Customer will reimburse company actual cost for EGM installation not to exceed $5,445.00, which should be coded to account 1072. ATTENTION: Plant &amp; Property Accounting, EGM work order, turn off A&amp;G indicator.</v>
          </cell>
          <cell r="L124">
            <v>41547</v>
          </cell>
          <cell r="M124">
            <v>41670</v>
          </cell>
          <cell r="N124">
            <v>41677.509826388901</v>
          </cell>
          <cell r="P124" t="str">
            <v>0201-043001  JACKSON CTY/INDEPENDENCE</v>
          </cell>
          <cell r="Q124">
            <v>272.83999999999997</v>
          </cell>
          <cell r="R124">
            <v>8</v>
          </cell>
        </row>
        <row r="125">
          <cell r="A125" t="str">
            <v>004350</v>
          </cell>
          <cell r="B125" t="str">
            <v>LDC 2</v>
          </cell>
          <cell r="D125" t="str">
            <v>yes</v>
          </cell>
          <cell r="E125" t="str">
            <v>20201132781</v>
          </cell>
          <cell r="F125" t="str">
            <v>F0600</v>
          </cell>
          <cell r="G125" t="str">
            <v>Station Rebuild &amp; Repl ISRS (N)</v>
          </cell>
          <cell r="H125" t="str">
            <v>Retire DRS 159</v>
          </cell>
          <cell r="I125" t="str">
            <v>posted to CPR</v>
          </cell>
          <cell r="J125" t="str">
            <v>Retire DRS 159: Independence: Phelps Rd and 42nd St</v>
          </cell>
          <cell r="K125" t="str">
            <v>Approved by: Ralph Janes on 07/09/2013,  Retire and remove DRS 159 (wo# 92-5072) as it will not be needed after the uprate of pressure system C-013 to C-500 and completion of wo# 13-2785. The Fisher 133H 2&amp;quot; regulator (operator) and Rockwell 441-57S 2&amp;quot; regulator (monitor) will be salvaged.</v>
          </cell>
          <cell r="L125">
            <v>41583</v>
          </cell>
          <cell r="M125">
            <v>41626</v>
          </cell>
          <cell r="N125">
            <v>41630.722199074102</v>
          </cell>
          <cell r="P125" t="str">
            <v>0201-043001  JACKSON CTY/INDEPENDENCE</v>
          </cell>
          <cell r="Q125">
            <v>3711.61</v>
          </cell>
          <cell r="R125">
            <v>14.5</v>
          </cell>
        </row>
        <row r="126">
          <cell r="A126" t="str">
            <v>008531</v>
          </cell>
          <cell r="B126" t="str">
            <v>LDC 2</v>
          </cell>
          <cell r="D126" t="str">
            <v>yes</v>
          </cell>
          <cell r="E126" t="str">
            <v>20301155252</v>
          </cell>
          <cell r="F126" t="str">
            <v>F0514</v>
          </cell>
          <cell r="G126" t="str">
            <v>Other relocates</v>
          </cell>
          <cell r="H126" t="str">
            <v>Reloc Southern Star Take Pt MainCJ</v>
          </cell>
          <cell r="I126" t="str">
            <v>posted to CPR</v>
          </cell>
          <cell r="J126" t="str">
            <v>Relocate Southern Star Take Point: Warrensburg: Other Relocates - Per Customer Request - Contribution (44-390)</v>
          </cell>
          <cell r="K126" t="str">
            <v>Approved by: Kevin Driskell on 05/12/2015,  Southern Star is replacing their main in Hickory Hills and is relocating the custody transfer take point.  Install 590' - 2" pe main and relocate existing odorizer.  Southern Star is responsible for the relocation costs.</v>
          </cell>
          <cell r="L126">
            <v>42164</v>
          </cell>
          <cell r="M126">
            <v>42248</v>
          </cell>
          <cell r="N126">
            <v>42284.723634259302</v>
          </cell>
          <cell r="O126">
            <v>42156</v>
          </cell>
          <cell r="P126" t="str">
            <v>0301-046001  JOHNSON CTY/WARRENSBURG</v>
          </cell>
          <cell r="Q126">
            <v>9405.66</v>
          </cell>
          <cell r="R126">
            <v>-751.5</v>
          </cell>
        </row>
        <row r="127">
          <cell r="A127" t="str">
            <v>003942</v>
          </cell>
          <cell r="B127" t="str">
            <v>LDC 2</v>
          </cell>
          <cell r="D127" t="str">
            <v>no</v>
          </cell>
          <cell r="E127" t="str">
            <v>20301050301</v>
          </cell>
          <cell r="F127" t="str">
            <v>F0513</v>
          </cell>
          <cell r="G127" t="str">
            <v>BWO Service Line Repl - ISRS (S)</v>
          </cell>
          <cell r="H127" t="str">
            <v>BWO-REPLACE SERVICE</v>
          </cell>
          <cell r="I127" t="str">
            <v>posted to CPR</v>
          </cell>
          <cell r="J127" t="str">
            <v>BWO-REPLACE SERVICE</v>
          </cell>
          <cell r="K127" t="str">
            <v>Project Type:B</v>
          </cell>
          <cell r="L127">
            <v>41717</v>
          </cell>
          <cell r="M127">
            <v>41717</v>
          </cell>
          <cell r="N127">
            <v>41717</v>
          </cell>
          <cell r="O127">
            <v>42491</v>
          </cell>
          <cell r="P127" t="str">
            <v>0301-046001  JOHNSON CTY/WARRENSBURG</v>
          </cell>
          <cell r="Q127">
            <v>670790.56000000006</v>
          </cell>
          <cell r="R127">
            <v>7718.5</v>
          </cell>
        </row>
        <row r="128">
          <cell r="A128" t="str">
            <v>004352</v>
          </cell>
          <cell r="B128" t="str">
            <v>LDC 2</v>
          </cell>
          <cell r="D128" t="str">
            <v>no</v>
          </cell>
          <cell r="E128" t="str">
            <v>20301143287</v>
          </cell>
          <cell r="F128" t="str">
            <v>F0644</v>
          </cell>
          <cell r="G128" t="str">
            <v>Meter &amp; Reg Settings 2" &amp; Lg (S)</v>
          </cell>
          <cell r="H128" t="str">
            <v>Jainesville Acoustic - 16M Meter Se</v>
          </cell>
          <cell r="I128" t="str">
            <v>posted to CPR</v>
          </cell>
          <cell r="J128" t="str">
            <v>Jainesville Acoustic - 16M Meter Set: Warrensburg: 618 N Enterprise Drive</v>
          </cell>
          <cell r="K128" t="str">
            <v>Approved by: Ralph Janes on 01/24/2014,  Install a 16M Rotary Meter at line pressure with 2" RK 441-57S and 2" Mooney operator regulators with 5 psig delivery pressure to serve one new commercial customer.  4" pe service line to be installed on work order 143288.</v>
          </cell>
          <cell r="L128">
            <v>41737</v>
          </cell>
          <cell r="M128">
            <v>41904</v>
          </cell>
          <cell r="N128">
            <v>41914.651145833297</v>
          </cell>
          <cell r="O128">
            <v>41730</v>
          </cell>
          <cell r="P128" t="str">
            <v>0301-046001  JOHNSON CTY/WARRENSBURG</v>
          </cell>
          <cell r="Q128">
            <v>6641.21</v>
          </cell>
          <cell r="R128">
            <v>32</v>
          </cell>
        </row>
        <row r="129">
          <cell r="A129" t="str">
            <v>800759</v>
          </cell>
          <cell r="B129" t="str">
            <v>LDC 2</v>
          </cell>
          <cell r="C129" t="str">
            <v>03 - Bare Steel Replacement</v>
          </cell>
          <cell r="D129" t="str">
            <v>yes</v>
          </cell>
          <cell r="F129" t="str">
            <v>F0604</v>
          </cell>
          <cell r="G129" t="str">
            <v>Main Replacement - ISRS (S)</v>
          </cell>
          <cell r="H129" t="str">
            <v>Repl 7111F 2-4P Concordia Phase B</v>
          </cell>
          <cell r="I129" t="str">
            <v>open</v>
          </cell>
          <cell r="J129" t="str">
            <v>Install 6616 ft of 2 in PL IP main and 495 Ft of 4 in PL IP main on 10th Terrace St, 10th St, Orange St, Orange St Alley, 11th St, 12th St, 14th St, Hwy 23, 15th St, and St. Louis St.</v>
          </cell>
          <cell r="K129" t="str">
            <v>Abandon 180 Ft of 1 1/4 in PL main, 5 Ft of 2 in PL main, 10 Ft of 4 in PL main, and 6999 Ft of 2 in ST main at the above locations.  Uprate 1144 Ft of 4 in PL LP main on St. Louis St and 9th St.  Total Service Tie-over = 94; Total Service Replace = 5; Total Abandon = 5; Total Uprate = 13.  This main is being abandoned as part of FY16 Bare Steel Replacement Program.</v>
          </cell>
          <cell r="P129" t="str">
            <v>0307-049001  LAFAYETTE CTY/CONCORDIA</v>
          </cell>
          <cell r="Q129">
            <v>0</v>
          </cell>
          <cell r="R129">
            <v>7194</v>
          </cell>
        </row>
        <row r="130">
          <cell r="A130" t="str">
            <v>010996</v>
          </cell>
          <cell r="B130" t="str">
            <v>LDC 2</v>
          </cell>
          <cell r="D130" t="str">
            <v>no</v>
          </cell>
          <cell r="F130" t="str">
            <v>F0507</v>
          </cell>
          <cell r="G130" t="str">
            <v>Rebuild Meter Install 2'' &amp; Lg (S)</v>
          </cell>
          <cell r="H130" t="str">
            <v>Rebuild 16M Rotary Meter Set</v>
          </cell>
          <cell r="I130" t="str">
            <v>in service</v>
          </cell>
          <cell r="J130" t="str">
            <v>Rebuild existing 16M Rotary meter setting by installing a new 16M Rotary meter setting. 1901 S Saint Louis St - Continental Deli.</v>
          </cell>
          <cell r="K130" t="str">
            <v>The existing setting has screwed fittings, no strainer and an obsolete regulator that we can no longer adjust. We are building a new 16M Rotary meter for the boilers. This work order will allow us to install a new modern flanged meter setting parallel with the new boiler meter.</v>
          </cell>
          <cell r="L130">
            <v>42499</v>
          </cell>
          <cell r="O130">
            <v>42614</v>
          </cell>
          <cell r="P130" t="str">
            <v>0307-049001  LAFAYETTE CTY/CONCORDIA</v>
          </cell>
          <cell r="Q130">
            <v>1087.1600000000001</v>
          </cell>
          <cell r="R130">
            <v>-74</v>
          </cell>
        </row>
        <row r="131">
          <cell r="A131" t="str">
            <v>004083</v>
          </cell>
          <cell r="B131" t="str">
            <v>LDC 2</v>
          </cell>
          <cell r="D131" t="str">
            <v>no</v>
          </cell>
          <cell r="E131" t="str">
            <v>20307121811</v>
          </cell>
          <cell r="F131" t="str">
            <v>F0639</v>
          </cell>
          <cell r="G131" t="str">
            <v>EGM Equip-1st Time Installation</v>
          </cell>
          <cell r="H131" t="str">
            <v>EGM - Lutheran Good Shepherd</v>
          </cell>
          <cell r="I131" t="str">
            <v>posted to CPR</v>
          </cell>
          <cell r="J131" t="str">
            <v>EGM - Lutheran Good Shepherd: Concordia: 600 West 3rd Street B, Concordia, Mo. 64020</v>
          </cell>
          <cell r="K131" t="str">
            <v>Approved by: Rob Kitterman on 10/12/2012,  Install Mercury MiniMax-AT-T on Roots 5M meter no 08833363 to monitor daily gas usage of this transportation customer. Customer will reimburse company actual cost for EGM installation not to exceed $5,445.00, which should be coded to account 1072. ATTENTION: Plant &amp; Property Accounting, EGM work order, turn off A&amp;G indicator.</v>
          </cell>
          <cell r="L131">
            <v>41548</v>
          </cell>
          <cell r="M131">
            <v>41575</v>
          </cell>
          <cell r="N131">
            <v>41576.418576388904</v>
          </cell>
          <cell r="P131" t="str">
            <v>0307-049001  LAFAYETTE CTY/CONCORDIA</v>
          </cell>
          <cell r="Q131">
            <v>0</v>
          </cell>
          <cell r="R131">
            <v>4</v>
          </cell>
        </row>
        <row r="132">
          <cell r="A132" t="str">
            <v>800487</v>
          </cell>
          <cell r="B132" t="str">
            <v>LDC 2</v>
          </cell>
          <cell r="D132" t="str">
            <v>no</v>
          </cell>
          <cell r="F132" t="str">
            <v>F0673</v>
          </cell>
          <cell r="G132" t="str">
            <v>New Main Extensions (S)</v>
          </cell>
          <cell r="H132" t="str">
            <v>Install 2" PE Main Ext</v>
          </cell>
          <cell r="I132" t="str">
            <v>open</v>
          </cell>
          <cell r="J132" t="str">
            <v>Install 10' of 2" plastic main extension to serve one new residential customer at 505 Oak Lawn, in Fayette.</v>
          </cell>
          <cell r="P132" t="str">
            <v>0317-040001  HOWARD CTY/FAYETTE</v>
          </cell>
          <cell r="Q132">
            <v>215.84</v>
          </cell>
          <cell r="R132">
            <v>0</v>
          </cell>
        </row>
        <row r="133">
          <cell r="A133" t="str">
            <v>006754</v>
          </cell>
          <cell r="B133" t="str">
            <v>LDC 2</v>
          </cell>
          <cell r="D133" t="str">
            <v>no</v>
          </cell>
          <cell r="E133" t="str">
            <v>20609143925</v>
          </cell>
          <cell r="F133" t="str">
            <v>F0639</v>
          </cell>
          <cell r="G133" t="str">
            <v>EGM Equip-1st Time Installation</v>
          </cell>
          <cell r="H133" t="str">
            <v>EGM - Citizens Memorial Health Care</v>
          </cell>
          <cell r="I133" t="str">
            <v>in service</v>
          </cell>
          <cell r="J133" t="str">
            <v>EGM - Citizens Memorial Health Care Foundation: El Dorado Springs: Install EGM Equipment - First Time Installation  3850 (32-403)</v>
          </cell>
          <cell r="K133" t="str">
            <v>Approved by: Rob Kitterman on 10/27/2014,  Install Mercury MiniMax-AT-PT (S/N: 13094594) with CNI-2 (S/N: 13072569) on Roots 3M meter no 00282082 to monitor daily gas usage of this transportation customer. Customer will reimburse company actual cost for EGM installation not to exceed $5,445.00, which should be coded to account 1072. ATTENTION: Plant &amp; Property Accounting, EGM work order, turn off A&amp;G indicator.</v>
          </cell>
          <cell r="L133">
            <v>42443</v>
          </cell>
          <cell r="O133">
            <v>42461</v>
          </cell>
          <cell r="P133" t="str">
            <v>0609-017013  CEDAR CTY/ELDORADO SPRINGS</v>
          </cell>
          <cell r="Q133">
            <v>-8.7899999999999991</v>
          </cell>
          <cell r="R133">
            <v>35</v>
          </cell>
        </row>
        <row r="134">
          <cell r="A134" t="str">
            <v>004407</v>
          </cell>
          <cell r="B134" t="str">
            <v>LDC 2</v>
          </cell>
          <cell r="D134" t="str">
            <v>yes</v>
          </cell>
          <cell r="E134" t="str">
            <v>20801050362</v>
          </cell>
          <cell r="F134" t="str">
            <v>F0594</v>
          </cell>
          <cell r="G134" t="str">
            <v>SLRP - block by block - company cre</v>
          </cell>
          <cell r="H134" t="str">
            <v>BWO SERVICE LINE REPL BLOCK COMPANY</v>
          </cell>
          <cell r="I134" t="str">
            <v>open</v>
          </cell>
          <cell r="J134" t="str">
            <v>BWO SERVICE LINE REPL BLOCK COMPANY</v>
          </cell>
          <cell r="K134" t="str">
            <v>Service/Yard Line Replacement (SLRP): Company Crew.  Block by Block - Planned replacement of all unprotected steel or copper in a single block.  (Monett - South Region)</v>
          </cell>
          <cell r="O134">
            <v>41760</v>
          </cell>
          <cell r="P134" t="str">
            <v>0801-005001  BARRY CTY/MONETT</v>
          </cell>
          <cell r="Q134">
            <v>96830.45</v>
          </cell>
          <cell r="R134">
            <v>3020</v>
          </cell>
        </row>
        <row r="135">
          <cell r="A135" t="str">
            <v>004658</v>
          </cell>
          <cell r="B135" t="str">
            <v>LDC 2</v>
          </cell>
          <cell r="D135" t="str">
            <v>no</v>
          </cell>
          <cell r="E135" t="str">
            <v>20932132771</v>
          </cell>
          <cell r="F135" t="str">
            <v>F0644</v>
          </cell>
          <cell r="G135" t="str">
            <v>Meter &amp; Reg Settings 2" &amp; Lg (S)</v>
          </cell>
          <cell r="H135" t="str">
            <v>Cornerstone Academy 3M Meter Set</v>
          </cell>
          <cell r="I135" t="str">
            <v>posted to CPR</v>
          </cell>
          <cell r="J135" t="str">
            <v>Cornerstone Academy 3M Meter Set: Raymore: 501 Johnston Parkway</v>
          </cell>
          <cell r="K135" t="str">
            <v>Approved by: Ralph Janes on 07/09/2013,  Build a 3M Rotary meter set to serve the new commercial customer of Cornersone Academy. 365' of 1-1/4in PE service line will be installed on a BWO. Elevated pressure of 2 psig has been requested.</v>
          </cell>
          <cell r="L135">
            <v>41543</v>
          </cell>
          <cell r="M135">
            <v>41600</v>
          </cell>
          <cell r="N135">
            <v>41612.300173611096</v>
          </cell>
          <cell r="P135" t="str">
            <v>0932-016022  CASS CTY/RAYMORE</v>
          </cell>
          <cell r="Q135">
            <v>3501.82</v>
          </cell>
          <cell r="R135">
            <v>82</v>
          </cell>
        </row>
        <row r="136">
          <cell r="A136" t="str">
            <v>800591</v>
          </cell>
          <cell r="B136" t="str">
            <v>LDC 2</v>
          </cell>
          <cell r="C136" t="str">
            <v>03 - Bare Steel Replacement</v>
          </cell>
          <cell r="D136" t="str">
            <v>yes</v>
          </cell>
          <cell r="F136" t="str">
            <v>F0572</v>
          </cell>
          <cell r="G136" t="str">
            <v>Main Replacement - ISRS (SW)</v>
          </cell>
          <cell r="H136" t="str">
            <v>Repl w/ 1648F 2P Lafayette St</v>
          </cell>
          <cell r="I136" t="str">
            <v>in service</v>
          </cell>
          <cell r="J136" t="str">
            <v>Install 1648 Ft of 2 in PL IP main on Gibson St, Lafayette St, Robinson Ave, and Fain Ave. Abandon 1575 Ft of 2 in ST IP main at the above locations.</v>
          </cell>
          <cell r="K136" t="str">
            <v>This bare steel main is being replaced due to the replacement program and is exposed in the ditch.</v>
          </cell>
          <cell r="L136">
            <v>42613</v>
          </cell>
          <cell r="O136">
            <v>42583</v>
          </cell>
          <cell r="P136" t="str">
            <v>0806-066010  NEWTON CTY/NEOSHO</v>
          </cell>
          <cell r="Q136">
            <v>125043.4</v>
          </cell>
          <cell r="R136">
            <v>558.75</v>
          </cell>
        </row>
        <row r="137">
          <cell r="A137" t="str">
            <v>006912</v>
          </cell>
          <cell r="B137" t="str">
            <v>LDC 2</v>
          </cell>
          <cell r="D137" t="str">
            <v>no</v>
          </cell>
          <cell r="E137" t="str">
            <v>20806143905</v>
          </cell>
          <cell r="F137" t="str">
            <v>F0556</v>
          </cell>
          <cell r="G137" t="str">
            <v>Tools, instruments &amp; equipment</v>
          </cell>
          <cell r="H137" t="str">
            <v>Tools Purchase Three Grunsky Bottle</v>
          </cell>
          <cell r="I137" t="str">
            <v>posted to CPR</v>
          </cell>
          <cell r="J137" t="str">
            <v>Tools Purchase Three Grunsky Bottle Neosho IandS: Neosho: Purchase Tools, Instruments &amp; Equipment  3940 (37-366)</v>
          </cell>
          <cell r="K137" t="str">
            <v>Approved by: Bob Brazelton on 11/14/2014,  Purchase three grunsky tee bottle setups for Neosho I&amp;S from Praxair.</v>
          </cell>
          <cell r="L137">
            <v>42030</v>
          </cell>
          <cell r="M137">
            <v>42248</v>
          </cell>
          <cell r="N137">
            <v>42270.674861111103</v>
          </cell>
          <cell r="O137">
            <v>42005</v>
          </cell>
          <cell r="P137" t="str">
            <v>0806-066010  NEWTON CTY/NEOSHO</v>
          </cell>
          <cell r="Q137">
            <v>1316.26</v>
          </cell>
          <cell r="R137">
            <v>33</v>
          </cell>
        </row>
        <row r="138">
          <cell r="A138" t="str">
            <v>003884</v>
          </cell>
          <cell r="B138" t="str">
            <v>LDC 2</v>
          </cell>
          <cell r="D138" t="str">
            <v>no</v>
          </cell>
          <cell r="E138" t="str">
            <v>20806133247</v>
          </cell>
          <cell r="F138" t="str">
            <v>F0523</v>
          </cell>
          <cell r="G138" t="str">
            <v>New Main Extensions (SW)</v>
          </cell>
          <cell r="H138" t="str">
            <v>Toni Kem &amp; Spencer Dr Lay 355'-2in</v>
          </cell>
          <cell r="I138" t="str">
            <v>posted to CPR</v>
          </cell>
          <cell r="J138" t="str">
            <v>Toni Kem &amp; Spencer Dr Lay 355'-2in PE main ext: Neosho: Toni Kem and Spencer Dr</v>
          </cell>
          <cell r="K138" t="str">
            <v>Approved by: Galen Shoemaker on 12/30/2013,  Extend main with 355' - 2' PE to provide service to one new house and barn. House could be served with a 250' service through utility easement. Company elects to lay main for future development to the North of this property. Main will lay in 15' utility easement. Customer will contribute $1400 prior to work. Project Location: Toni Kem and Spencer; Pressure System: C-1; MOP: 42 psig; MAOP: 42 psig; Design: 58 psig; Test: 100 psig; $25.89/ft</v>
          </cell>
          <cell r="L138">
            <v>41670</v>
          </cell>
          <cell r="M138">
            <v>41718</v>
          </cell>
          <cell r="N138">
            <v>41719.593148148102</v>
          </cell>
          <cell r="O138">
            <v>41730</v>
          </cell>
          <cell r="P138" t="str">
            <v>0806-066010  NEWTON CTY/NEOSHO</v>
          </cell>
          <cell r="Q138">
            <v>7931.2</v>
          </cell>
          <cell r="R138">
            <v>1096</v>
          </cell>
        </row>
        <row r="139">
          <cell r="A139" t="str">
            <v>007706</v>
          </cell>
          <cell r="B139" t="str">
            <v>LDC 2</v>
          </cell>
          <cell r="D139" t="str">
            <v>yes</v>
          </cell>
          <cell r="E139" t="str">
            <v>20810155146</v>
          </cell>
          <cell r="F139" t="str">
            <v>F0592</v>
          </cell>
          <cell r="G139" t="str">
            <v>Replace bare steel main - safety re</v>
          </cell>
          <cell r="H139" t="str">
            <v>Repl Main Odell and Missouri</v>
          </cell>
          <cell r="I139" t="str">
            <v>posted to CPR</v>
          </cell>
          <cell r="J139" t="str">
            <v>Repl Main Odell and Missouri: Marionville: Replace Bare Steel Main - 3760 Safety Related (34-394)</v>
          </cell>
          <cell r="K139" t="str">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ell>
          <cell r="L139">
            <v>42262</v>
          </cell>
          <cell r="M139">
            <v>42370</v>
          </cell>
          <cell r="N139">
            <v>42496.560393518499</v>
          </cell>
          <cell r="O139">
            <v>42309</v>
          </cell>
          <cell r="P139" t="str">
            <v>0810-050015  LAWRENCE CTY/MARIONVILLE</v>
          </cell>
          <cell r="Q139">
            <v>269449.09999999998</v>
          </cell>
          <cell r="R139">
            <v>1911.4</v>
          </cell>
        </row>
        <row r="140">
          <cell r="A140" t="str">
            <v>005492</v>
          </cell>
          <cell r="B140" t="str">
            <v>LDC 2</v>
          </cell>
          <cell r="D140" t="str">
            <v>yes</v>
          </cell>
          <cell r="E140" t="str">
            <v>20812143611</v>
          </cell>
          <cell r="F140" t="str">
            <v>F0545</v>
          </cell>
          <cell r="G140" t="str">
            <v>Street &amp; highway relocates</v>
          </cell>
          <cell r="H140" t="str">
            <v>Hines &amp; Main Repl PBS/PCS w 5775'-2</v>
          </cell>
          <cell r="I140" t="str">
            <v>posted to CPR</v>
          </cell>
          <cell r="J140" t="str">
            <v>Hines &amp; Main Repl PBS/PCS w 5775'-2in PE : Republic: Relocate for Street &amp; Highway-Public Improvements (44-388)</v>
          </cell>
          <cell r="K140" t="str">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ell>
          <cell r="L140">
            <v>41934</v>
          </cell>
          <cell r="M140">
            <v>42248</v>
          </cell>
          <cell r="N140">
            <v>42284.721712963001</v>
          </cell>
          <cell r="O140">
            <v>41944</v>
          </cell>
          <cell r="P140" t="str">
            <v>0812-034002  GREENE CTY/REPUBLIC</v>
          </cell>
          <cell r="Q140">
            <v>70496.83</v>
          </cell>
          <cell r="R140">
            <v>-2760.5</v>
          </cell>
        </row>
        <row r="141">
          <cell r="A141" t="str">
            <v>003889</v>
          </cell>
          <cell r="B141" t="str">
            <v>LDC 2</v>
          </cell>
          <cell r="D141" t="str">
            <v>no</v>
          </cell>
          <cell r="E141" t="str">
            <v>20812143393</v>
          </cell>
          <cell r="F141" t="str">
            <v>F0523</v>
          </cell>
          <cell r="G141" t="str">
            <v>New Main Extensions (SW)</v>
          </cell>
          <cell r="H141" t="str">
            <v>Hwy 60 Lay 149'-2in Pl Main</v>
          </cell>
          <cell r="I141" t="str">
            <v>posted to CPR</v>
          </cell>
          <cell r="J141" t="str">
            <v>Hwy 60 Lay 149'-2in Pl Main: Republic: US Hwy 60 West of Logan</v>
          </cell>
          <cell r="K141" t="str">
            <v>Approved by: Galen Shoemaker on 03/03/2014,  To lay 149ft of 2in Plastic Main to serve one new Commercial Customer. Company elects to extend Main at no charge to customer to avoid a bore of Highway 60. Project Location: Highway 60 and Logan; MOP=39.5 MAOP=39.5 SYSTEM=C-1 TEST=100#</v>
          </cell>
          <cell r="L141">
            <v>41694</v>
          </cell>
          <cell r="M141">
            <v>41729</v>
          </cell>
          <cell r="N141">
            <v>41733.495613425897</v>
          </cell>
          <cell r="O141">
            <v>41730</v>
          </cell>
          <cell r="P141" t="str">
            <v>0812-034002  GREENE CTY/REPUBLIC</v>
          </cell>
          <cell r="Q141">
            <v>2303.62</v>
          </cell>
          <cell r="R141">
            <v>322</v>
          </cell>
        </row>
        <row r="142">
          <cell r="A142" t="str">
            <v>003905</v>
          </cell>
          <cell r="B142" t="str">
            <v>LDC 2</v>
          </cell>
          <cell r="D142" t="str">
            <v>yes</v>
          </cell>
          <cell r="E142" t="str">
            <v>20813132958</v>
          </cell>
          <cell r="F142" t="str">
            <v>F0598</v>
          </cell>
          <cell r="G142" t="str">
            <v>Replace steel &amp; plastic main</v>
          </cell>
          <cell r="H142" t="str">
            <v>Pine Repl  Fuses w 100'-2in PE</v>
          </cell>
          <cell r="I142" t="str">
            <v>posted to CPR</v>
          </cell>
          <cell r="J142" t="str">
            <v>Replace fuses due to unqualified personell making fuses. Infrasource will pay for all material, time and equipment due to this work as they go along. Crew will indicate on map where they have replaced fuses. Project Location: Purdy and Pine; Pressure System: S-1; MOP: 20 psig: MAOP: 20 psig; Design: 58 psig; Test: 100 psig; Install 100'-2in Plastic pipe; retire 100'-2in PE, wo 132533.</v>
          </cell>
          <cell r="K142" t="str">
            <v>Approved by Galen Shoemaker 9/10/2013.  Manually work order set up due to woes is being changed over.</v>
          </cell>
          <cell r="L142">
            <v>41561</v>
          </cell>
          <cell r="M142">
            <v>41626</v>
          </cell>
          <cell r="N142">
            <v>41676.633425925902</v>
          </cell>
          <cell r="O142">
            <v>41730</v>
          </cell>
          <cell r="P142" t="str">
            <v>0813-019001  CHRISTIAN CTY/BILLING</v>
          </cell>
          <cell r="Q142">
            <v>11603</v>
          </cell>
          <cell r="R142">
            <v>365.2</v>
          </cell>
        </row>
        <row r="143">
          <cell r="A143" t="str">
            <v>005557</v>
          </cell>
          <cell r="B143" t="str">
            <v>LDC 2</v>
          </cell>
          <cell r="D143" t="str">
            <v>yes</v>
          </cell>
          <cell r="E143" t="str">
            <v>20324143614</v>
          </cell>
          <cell r="F143" t="str">
            <v>F0604</v>
          </cell>
          <cell r="G143" t="str">
            <v>Main Replacement - ISRS (S)</v>
          </cell>
          <cell r="H143" t="str">
            <v>College Repl PBS LP main w IP 3865'</v>
          </cell>
          <cell r="I143" t="str">
            <v>posted to CPR</v>
          </cell>
          <cell r="J143" t="str">
            <v>College Repl PBS LP main w IP 3865'- PE main: Pilot Grove: Replace Bare Steel Main - 3760 Safety Related (34-394)</v>
          </cell>
          <cell r="K143" t="str">
            <v>Approved by: Steve Holcomb on 06/25/2014,  Replace 3" and 4" PBS and 2" and 3" PCS low pressure main with 1,485' - 2" PE and 2,380' - 4" PE main on PEPL town pressure (currently MOP = MAOP = 35 psig). This work order will replace PBS main toward our safety replacement program and also provide increased pressure and volume to the SW corner of town which has experienced issues during peak usage. (to be worked in conjunction with 14-3615). Then we will target the rest of the basically one sector town for replacement on the 2015 Accelerated Main Replacement program. This will allow us to retire DRS 1 which cuts from the PEPL pressure to 1.13 psig and retire the rectifier. Main to retire: 2204' - 3" PBS (original town piping); 34' - 4" PBS (original town piping); 153' - 2" PCS (WO# 57169); 113' - 2" PCS (WO# 64-5567); 110' - 2" PCS (WO# 75-4059); 50' - 3" PCS (WO# 77-3307); 100' - 3" PCS (WO# 80-0025); 950' - 2" PCS (WO# 80-0263); 42' - 2" PCS (WO# 80-5029); 310' - 3" PCS (WO# 90-1326); and 30' - 2" PE (WO# 96-1163). Price per ft = $39.22</v>
          </cell>
          <cell r="L143">
            <v>42116</v>
          </cell>
          <cell r="M143">
            <v>42216</v>
          </cell>
          <cell r="N143">
            <v>42285.418668981503</v>
          </cell>
          <cell r="O143">
            <v>42186</v>
          </cell>
          <cell r="P143" t="str">
            <v>0324-023001  COOPER CTY/PILOT GROVE</v>
          </cell>
          <cell r="Q143">
            <v>161022.79999999999</v>
          </cell>
          <cell r="R143">
            <v>-3922</v>
          </cell>
        </row>
        <row r="144">
          <cell r="A144" t="str">
            <v>800534</v>
          </cell>
          <cell r="B144" t="str">
            <v>LDC 2</v>
          </cell>
          <cell r="D144" t="str">
            <v>no</v>
          </cell>
          <cell r="F144" t="str">
            <v>F0673</v>
          </cell>
          <cell r="G144" t="str">
            <v>New Main Extensions (S)</v>
          </cell>
          <cell r="H144" t="str">
            <v>Inst 973F 2-4P Brookside NB</v>
          </cell>
          <cell r="I144" t="str">
            <v>in service</v>
          </cell>
          <cell r="J144" t="str">
            <v>Install  639 ft of 2 in IP PE main and install 334  ft of 4 in IP PE main to serve new residential customers. 15 lot subdivision - Brookside 10th Plat.</v>
          </cell>
          <cell r="L144">
            <v>42550</v>
          </cell>
          <cell r="O144">
            <v>42583</v>
          </cell>
          <cell r="P144" t="str">
            <v>0932-016022  CASS CTY/RAYMORE</v>
          </cell>
          <cell r="Q144">
            <v>24066.01</v>
          </cell>
          <cell r="R144">
            <v>-2370.25</v>
          </cell>
        </row>
        <row r="145">
          <cell r="A145" t="str">
            <v>006917</v>
          </cell>
          <cell r="B145" t="str">
            <v>LDC 2</v>
          </cell>
          <cell r="D145" t="str">
            <v>no</v>
          </cell>
          <cell r="E145" t="str">
            <v>20815143664</v>
          </cell>
          <cell r="F145" t="str">
            <v>F0579</v>
          </cell>
          <cell r="G145" t="str">
            <v>New business</v>
          </cell>
          <cell r="H145" t="str">
            <v>Hwy NN Lay 550ft 2in Plastic Main</v>
          </cell>
          <cell r="I145" t="str">
            <v>posted to CPR</v>
          </cell>
          <cell r="J145" t="str">
            <v>Hwy NN Lay 550ft 2in Plastic Main: Ozark: New Main Extension - Contractor Crews  3760 (33-380)</v>
          </cell>
          <cell r="K145" t="str">
            <v>Approved by: Galen Shoemaker on 07/24/2014,  To lay 550ft of 2in Plastic Main to serve two new residential customers. Customer will pay a deposit of $4,400.00. MOP=58# MAOP=58# TEST=105# SYSTEM=S2322</v>
          </cell>
          <cell r="L145">
            <v>41977</v>
          </cell>
          <cell r="M145">
            <v>42248</v>
          </cell>
          <cell r="N145">
            <v>42284.722847222198</v>
          </cell>
          <cell r="O145">
            <v>41974</v>
          </cell>
          <cell r="P145" t="str">
            <v>0815-019006  CHRISTIAN CTY/OZARK</v>
          </cell>
          <cell r="Q145">
            <v>14893.98</v>
          </cell>
          <cell r="R145">
            <v>-1216</v>
          </cell>
        </row>
        <row r="146">
          <cell r="A146" t="str">
            <v>800374</v>
          </cell>
          <cell r="B146" t="str">
            <v>LDC 2</v>
          </cell>
          <cell r="D146" t="str">
            <v>no</v>
          </cell>
          <cell r="F146" t="str">
            <v>F0523</v>
          </cell>
          <cell r="G146" t="str">
            <v>New Main Extensions (SW)</v>
          </cell>
          <cell r="H146" t="str">
            <v>Install 2960F 2-4-6P Summit Meadow</v>
          </cell>
          <cell r="I146" t="str">
            <v>in service</v>
          </cell>
          <cell r="J146" t="str">
            <v> Install 2384 ft of 2 in IP PE main, 455 ft of 4 in IP PE main and 121 ft of 6 in IP PE main to serve 81 new residential customers - Summit Meadow</v>
          </cell>
          <cell r="L146">
            <v>42765</v>
          </cell>
          <cell r="O146">
            <v>42736</v>
          </cell>
          <cell r="P146" t="str">
            <v>0816-019004  CHRISTIAN CTY/NIXA</v>
          </cell>
          <cell r="Q146">
            <v>120972.17</v>
          </cell>
          <cell r="R146">
            <v>-6282.0033999999996</v>
          </cell>
        </row>
        <row r="147">
          <cell r="A147" t="str">
            <v>800378</v>
          </cell>
          <cell r="B147" t="str">
            <v>LDC 2</v>
          </cell>
          <cell r="C147" t="str">
            <v>09 - Facility Relocation due to Civic Improvement</v>
          </cell>
          <cell r="D147" t="str">
            <v>yes</v>
          </cell>
          <cell r="F147" t="str">
            <v>F0664</v>
          </cell>
          <cell r="G147" t="str">
            <v>Street &amp; Hwy Relocates ISRS (SW)</v>
          </cell>
          <cell r="H147" t="str">
            <v>Rel w 4118F 4P&amp;6S Main &amp; Tracker</v>
          </cell>
          <cell r="I147" t="str">
            <v>in service</v>
          </cell>
          <cell r="J147" t="str">
            <v>Install 2306 Ft of 6in STL FP main &amp; 1812 Ft of 4in PL IP main along Main Street from Tracker to Deanna Ln. due to Civic Improvements. Abandon 2255 Ft 6 in ST FP, 131 of 2in ST IP,  1654 ft 2in PL IP, &amp; 40 ft 4 in PL IP main.</v>
          </cell>
          <cell r="K147" t="str">
            <v>Main is being relocated due to Civic Improvement Project.</v>
          </cell>
          <cell r="L147">
            <v>42752</v>
          </cell>
          <cell r="O147">
            <v>42736</v>
          </cell>
          <cell r="P147" t="str">
            <v>0816-019004  CHRISTIAN CTY/NIXA</v>
          </cell>
          <cell r="Q147">
            <v>273866.39</v>
          </cell>
          <cell r="R147">
            <v>6514.5</v>
          </cell>
        </row>
        <row r="148">
          <cell r="A148" t="str">
            <v>004570</v>
          </cell>
          <cell r="B148" t="str">
            <v>LDC 2</v>
          </cell>
          <cell r="D148" t="str">
            <v>yes</v>
          </cell>
          <cell r="E148" t="str">
            <v>20902132893</v>
          </cell>
          <cell r="F148" t="str">
            <v>F0606</v>
          </cell>
          <cell r="G148" t="str">
            <v>Station rebuild &amp; replacement</v>
          </cell>
          <cell r="H148" t="str">
            <v>83rd &amp; Raytown Rd Retire DRS 23</v>
          </cell>
          <cell r="I148" t="str">
            <v>posted to CPR</v>
          </cell>
          <cell r="J148" t="str">
            <v>83rd &amp; Raytown Rd Retire DRS 23: Raytown: 83rd and Raytown Rd</v>
          </cell>
          <cell r="K148" t="str">
            <v>Approved by: Ralph Janes on 08/13/2013,  DRS 23 (WO# 92-5007) to be retired on WO# 13-2893. The two 2&amp;quot; Fisher 627M's will be junked.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x' of 2&amp;quot; PE main and retire 82' of 2&amp;quot; PCS (WO# 82-0411) and x' of 2&amp;quot; PE (WO# 82-0412) on WO# 13-2892.</v>
          </cell>
          <cell r="L148">
            <v>41596</v>
          </cell>
          <cell r="M148">
            <v>41638</v>
          </cell>
          <cell r="N148">
            <v>41643.4353819444</v>
          </cell>
          <cell r="P148" t="str">
            <v>0902-043025  JACKSON CTY/RAYTOWN</v>
          </cell>
          <cell r="Q148">
            <v>5428.05</v>
          </cell>
          <cell r="R148">
            <v>12</v>
          </cell>
        </row>
        <row r="149">
          <cell r="A149" t="str">
            <v>009133</v>
          </cell>
          <cell r="B149" t="str">
            <v>LDC 2</v>
          </cell>
          <cell r="D149" t="str">
            <v>yes</v>
          </cell>
          <cell r="E149" t="str">
            <v>20902155460</v>
          </cell>
          <cell r="F149" t="str">
            <v>F0604</v>
          </cell>
          <cell r="G149" t="str">
            <v>Main Replacement - ISRS (S)</v>
          </cell>
          <cell r="H149" t="str">
            <v>Relocate 4in pbs main</v>
          </cell>
          <cell r="I149" t="str">
            <v>posted to CPR</v>
          </cell>
          <cell r="J149" t="str">
            <v>Relocate 4in pbs main: Raytown: Replace Bare Steel Main - 3760 Safety Related (34-394)</v>
          </cell>
          <cell r="K149" t="str">
            <v>Approved by: Kevin Driskell on 08/10/2015,  Replace and abandon 165' - 2" pbs main.  A new Dollar General Store. is being constructed and we should replace this main before they landscape and install driveway approaches. (ISRS)</v>
          </cell>
          <cell r="L149">
            <v>42236</v>
          </cell>
          <cell r="M149">
            <v>42461</v>
          </cell>
          <cell r="N149">
            <v>42527.512662036999</v>
          </cell>
          <cell r="O149">
            <v>42309</v>
          </cell>
          <cell r="P149" t="str">
            <v>0902-043025  JACKSON CTY/RAYTOWN</v>
          </cell>
          <cell r="Q149">
            <v>14473.05</v>
          </cell>
          <cell r="R149">
            <v>180</v>
          </cell>
        </row>
        <row r="150">
          <cell r="A150" t="str">
            <v>801067</v>
          </cell>
          <cell r="B150" t="str">
            <v>LDC 2</v>
          </cell>
          <cell r="D150" t="str">
            <v>no</v>
          </cell>
          <cell r="F150" t="str">
            <v>F0604</v>
          </cell>
          <cell r="G150" t="str">
            <v>Main Replacement - ISRS (S)</v>
          </cell>
          <cell r="H150" t="str">
            <v>Repl 2250F 6S 155th St</v>
          </cell>
          <cell r="I150" t="str">
            <v>open</v>
          </cell>
          <cell r="J150" t="str">
            <v>Install ~2250 Ft of 6" Coated ST FP Main.</v>
          </cell>
          <cell r="K150" t="str">
            <v>Abandon ~ 2235 Ft of 4" Coated ST FP Main Total Service Replacement- 1 (84 Ft) Project Type: Main Replacement Existing 4" poorly coated steel Feeder Pressure main was installed in 1962. We were investigating the depth and condition of the main for a couple of dog legs for a public improvement project when we discovered this length of 2,235' of main was only 1 to 2 feet deep. This main replacement project will install new coated main at proper feeder main depth.</v>
          </cell>
          <cell r="P150" t="str">
            <v>0904-043030  JACKSON CTY/GRANDVIEW</v>
          </cell>
          <cell r="Q150">
            <v>8781.58</v>
          </cell>
          <cell r="R150">
            <v>2195</v>
          </cell>
        </row>
        <row r="151">
          <cell r="A151" t="str">
            <v>007902</v>
          </cell>
          <cell r="B151" t="str">
            <v>LDC 2</v>
          </cell>
          <cell r="D151" t="str">
            <v>yes</v>
          </cell>
          <cell r="E151" t="str">
            <v>20904155148</v>
          </cell>
          <cell r="F151" t="str">
            <v>F0613</v>
          </cell>
          <cell r="G151" t="str">
            <v>Replace bare steel main - safety re</v>
          </cell>
          <cell r="H151" t="str">
            <v>PBS Replacement 2inch PE</v>
          </cell>
          <cell r="I151" t="str">
            <v>posted to CPR</v>
          </cell>
          <cell r="J151" t="str">
            <v>PBS Replacement 2inch PE: Grandview: Replace Bare Steel Main - 3760 Safety Related (34-394)</v>
          </cell>
          <cell r="K151" t="str">
            <v>Approved by: Joe Hampton on 03/18/2015,  Replace 1601' of 2'' PBS - 614' of 4'' PBS - 222' of PCS with 2935' of 2'' PE. Proposed 2'' PE will be tied in to system C-250KCLS. PBS/PCS to be abandoned is currently in system C-001. All regulators will need to be changed out for the services. Existing rear services will need a new service from the proposed main on 7th and 8th street. 12823 7th Street is a replacement service. Coordinate with engineering prior to construction. District Regulator Station 11 will be retired on WO 15-5167. ISRS</v>
          </cell>
          <cell r="L151">
            <v>42125</v>
          </cell>
          <cell r="M151">
            <v>42217</v>
          </cell>
          <cell r="N151">
            <v>42284.7234606481</v>
          </cell>
          <cell r="O151">
            <v>42125</v>
          </cell>
          <cell r="P151" t="str">
            <v>0904-043030  JACKSON CTY/GRANDVIEW</v>
          </cell>
          <cell r="Q151">
            <v>95091.87</v>
          </cell>
          <cell r="R151">
            <v>-4057</v>
          </cell>
        </row>
        <row r="152">
          <cell r="A152" t="str">
            <v>004262</v>
          </cell>
          <cell r="B152" t="str">
            <v>LDC 2</v>
          </cell>
          <cell r="D152" t="str">
            <v>yes</v>
          </cell>
          <cell r="E152" t="str">
            <v>20904143298</v>
          </cell>
          <cell r="F152" t="str">
            <v>F0549</v>
          </cell>
          <cell r="G152" t="str">
            <v>Street &amp; highway relocates - safety</v>
          </cell>
          <cell r="H152" t="str">
            <v>So Haven Rd Reloc PBS w 1365'-4;255</v>
          </cell>
          <cell r="I152" t="str">
            <v>posted to CPR</v>
          </cell>
          <cell r="J152" t="str">
            <v>So Haven Rd Reloc PBS w 1365'-4;255'-2in PE mai: Grandview: 143rd &amp; South Haven Rd</v>
          </cell>
          <cell r="K152" t="str">
            <v>Approved by: Ralph Janes on 02/06/2014,  Relocate and retire 100' - 4" pbs main (33961), 290' - 4" pbs main (36065), 170' - 4" pbs main (43829), 203 - 4" pcs main (48517), 118' - 4" pcs main (B1642C), 414' - 2" pcs main (B1642A), and 316' - 2" pcs main (63678), by installing 1,365' - 4" pe main and 255' - 2" pe main to allow the City of Grandview to install new storm structures.</v>
          </cell>
          <cell r="L152">
            <v>41739</v>
          </cell>
          <cell r="M152">
            <v>41820</v>
          </cell>
          <cell r="N152">
            <v>41858.746759259302</v>
          </cell>
          <cell r="O152">
            <v>41730</v>
          </cell>
          <cell r="P152" t="str">
            <v>0904-043030  JACKSON CTY/GRANDVIEW</v>
          </cell>
          <cell r="Q152">
            <v>65616.98</v>
          </cell>
          <cell r="R152">
            <v>5399</v>
          </cell>
        </row>
        <row r="153">
          <cell r="A153" t="str">
            <v>005455</v>
          </cell>
          <cell r="B153" t="str">
            <v>LDC 2</v>
          </cell>
          <cell r="D153" t="str">
            <v>no</v>
          </cell>
          <cell r="E153" t="str">
            <v>20906143607</v>
          </cell>
          <cell r="F153" t="str">
            <v>F0628</v>
          </cell>
          <cell r="G153" t="str">
            <v>Services - 2" &amp; larger</v>
          </cell>
          <cell r="H153" t="str">
            <v>801 W North Convert 380 Service 376</v>
          </cell>
          <cell r="I153" t="str">
            <v>posted to CPR</v>
          </cell>
          <cell r="J153" t="str">
            <v>801 W North Convert 380 Service 376  Main: Belton: Replace Services 2&amp;quot; &amp; Larger - 3800 (42-385)</v>
          </cell>
          <cell r="K153" t="str">
            <v>Approved by: Ralph Janes on 06/09/2014,  This paperwork only work order is required to convert 1,250' of existing 4" pe service line serving the Freshman Center High School to main.  625' was installed on work order 12-1755 and 625' was installed on work order 02-4665.  The school district is constructing a new FEMA addition to the Center which requires a separate meter (to be installed on work order 14-3559).  An 1-1/4" pe service line will be extended from this newly converted main to serve the new addition on a blanket work order.</v>
          </cell>
          <cell r="L153">
            <v>41803</v>
          </cell>
          <cell r="M153">
            <v>42248</v>
          </cell>
          <cell r="N153">
            <v>42772.5018865741</v>
          </cell>
          <cell r="O153">
            <v>41852</v>
          </cell>
          <cell r="P153" t="str">
            <v>0906-016001  CASS CTY/BELTON W OF MULLIN RD</v>
          </cell>
          <cell r="Q153">
            <v>0</v>
          </cell>
          <cell r="R153">
            <v>0</v>
          </cell>
        </row>
        <row r="154">
          <cell r="A154" t="str">
            <v>800295</v>
          </cell>
          <cell r="B154" t="str">
            <v>LDC 2</v>
          </cell>
          <cell r="D154" t="str">
            <v>no</v>
          </cell>
          <cell r="F154" t="str">
            <v>F0673</v>
          </cell>
          <cell r="G154" t="str">
            <v>New Main Extensions (S)</v>
          </cell>
          <cell r="H154" t="str">
            <v>Love's Travel Stop</v>
          </cell>
          <cell r="I154" t="str">
            <v>in service</v>
          </cell>
          <cell r="J154" t="str">
            <v>Install 1,730 feet of 4 inch plastic main to serve 3 new commercial customers. - Love's Travel Stop - Brookhart Dr.</v>
          </cell>
          <cell r="K154" t="str">
            <v>1,730 feet of 2 inch plastic main is minimum to serve - the larger main will allow us to serve future commercial growth as the West side of this I-49 interchange is being developed. 2 service lines will be installed - 1 tap and 2 meters for the Travel Stop and McDonalds - and a separate service line for the Tire Stop.</v>
          </cell>
          <cell r="L154">
            <v>42551</v>
          </cell>
          <cell r="O154">
            <v>42522</v>
          </cell>
          <cell r="P154" t="str">
            <v>0908-016007  CASS CTY/HARRISONVILLE N</v>
          </cell>
          <cell r="Q154">
            <v>66515.429999999993</v>
          </cell>
          <cell r="R154">
            <v>-4414</v>
          </cell>
        </row>
        <row r="155">
          <cell r="A155" t="str">
            <v>005591</v>
          </cell>
          <cell r="B155" t="str">
            <v>LDC 2</v>
          </cell>
          <cell r="D155" t="str">
            <v>no</v>
          </cell>
          <cell r="E155" t="str">
            <v>20903143649</v>
          </cell>
          <cell r="F155" t="str">
            <v>F0644</v>
          </cell>
          <cell r="G155" t="str">
            <v>Meter &amp; Reg Settings 2" &amp; Lg (S)</v>
          </cell>
          <cell r="H155" t="str">
            <v>Mirror Image Car Wash 3M mtr settin</v>
          </cell>
          <cell r="I155" t="str">
            <v>posted to CPR</v>
          </cell>
          <cell r="J155" t="str">
            <v>Mirror Image Car Wash 3M mtr setting: Blue Springs: New Meter &amp; Reg Settings - 2&amp;quot; &amp; Larger 3820/3830 (33-382)</v>
          </cell>
          <cell r="K155" t="str">
            <v>Approved by: Ralph Janes on 06/26/2014,  Install a 3M Rotary Meter Set to serve one new commercial customer.  Service line to be installed on BWO.</v>
          </cell>
          <cell r="L155">
            <v>42006</v>
          </cell>
          <cell r="M155">
            <v>42035</v>
          </cell>
          <cell r="N155">
            <v>42043.507418981499</v>
          </cell>
          <cell r="O155">
            <v>42005</v>
          </cell>
          <cell r="P155" t="str">
            <v>0903-043026  JACKSON CTY/BLUE SPRINGS</v>
          </cell>
          <cell r="Q155">
            <v>2724.02</v>
          </cell>
          <cell r="R155">
            <v>-40.5</v>
          </cell>
        </row>
        <row r="156">
          <cell r="A156" t="str">
            <v>800034</v>
          </cell>
          <cell r="B156" t="str">
            <v>LDC 2</v>
          </cell>
          <cell r="C156" t="str">
            <v>09 - Facility Relocation due to Civic Improvement</v>
          </cell>
          <cell r="D156" t="str">
            <v>yes</v>
          </cell>
          <cell r="F156" t="str">
            <v>F0547</v>
          </cell>
          <cell r="G156" t="str">
            <v>Street &amp; Highway Relocates ISRS (N)</v>
          </cell>
          <cell r="H156" t="str">
            <v>15th and Main Relocation</v>
          </cell>
          <cell r="I156" t="str">
            <v>in service</v>
          </cell>
          <cell r="J156" t="str">
            <v>Install 755' of 2'' PE. Abandon 260' of 2'' STL and 360' of 2'' PE on 15th &amp; Main St. Relocation due to Road improvements.</v>
          </cell>
          <cell r="L156">
            <v>42356</v>
          </cell>
          <cell r="O156">
            <v>42401</v>
          </cell>
          <cell r="P156" t="str">
            <v>0904-043030  JACKSON CTY/GRANDVIEW</v>
          </cell>
          <cell r="Q156">
            <v>118192.12</v>
          </cell>
          <cell r="R156">
            <v>869.75</v>
          </cell>
        </row>
        <row r="157">
          <cell r="A157" t="str">
            <v>009232</v>
          </cell>
          <cell r="B157" t="str">
            <v>LDC 2</v>
          </cell>
          <cell r="D157" t="str">
            <v>yes</v>
          </cell>
          <cell r="E157" t="str">
            <v>20904155509</v>
          </cell>
          <cell r="F157" t="str">
            <v>F0613</v>
          </cell>
          <cell r="G157" t="str">
            <v>Replace bare steel main - safety re</v>
          </cell>
          <cell r="H157" t="str">
            <v>Grandview Repl Phase 2</v>
          </cell>
          <cell r="I157" t="str">
            <v>posted to CPR</v>
          </cell>
          <cell r="J157" t="str">
            <v>Grandview Repl Phase 2: Grandview: Replace Bare Steel Main - 3760 Safety Related (34-394)</v>
          </cell>
          <cell r="K157" t="str">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ell>
          <cell r="L157">
            <v>42382</v>
          </cell>
          <cell r="M157">
            <v>42614</v>
          </cell>
          <cell r="N157">
            <v>42649.700208333299</v>
          </cell>
          <cell r="O157">
            <v>42491</v>
          </cell>
          <cell r="P157" t="str">
            <v>0904-043030  JACKSON CTY/GRANDVIEW</v>
          </cell>
          <cell r="Q157">
            <v>774460.02</v>
          </cell>
          <cell r="R157">
            <v>-5214.21</v>
          </cell>
        </row>
        <row r="158">
          <cell r="A158" t="str">
            <v>005512</v>
          </cell>
          <cell r="B158" t="str">
            <v>LDC 2</v>
          </cell>
          <cell r="D158" t="str">
            <v>no</v>
          </cell>
          <cell r="E158" t="str">
            <v>20906143559</v>
          </cell>
          <cell r="F158" t="str">
            <v>F0644</v>
          </cell>
          <cell r="G158" t="str">
            <v>Meter &amp; Reg Settings 2" &amp; Lg (S)</v>
          </cell>
          <cell r="H158" t="str">
            <v>Freshman Center FEMA Bldg 5M Settin</v>
          </cell>
          <cell r="I158" t="str">
            <v>posted to CPR</v>
          </cell>
          <cell r="J158" t="str">
            <v>Freshman Center FEMA Bldg 5M Setting: Belton: New Meter &amp; Reg Settings - 2&amp;quot; &amp; Larger 3820/3830 (33-382)</v>
          </cell>
          <cell r="K158" t="str">
            <v>Approved by: Ralph Janes on 06/09/2014,  Install a 5M Rotary meter setting to serve a new addition to the existing Freshmn Center building.  This is a FEMA shelter addition which requires a spearate meter.  Install 270' - 1-1/4" pe service line on BWO.  NOTE:  1,250' of Existing 4" pe service line will be converted to main on work order 14-3607.</v>
          </cell>
          <cell r="L158">
            <v>41987</v>
          </cell>
          <cell r="M158">
            <v>41670</v>
          </cell>
          <cell r="N158">
            <v>42043.507395833301</v>
          </cell>
          <cell r="O158">
            <v>41974</v>
          </cell>
          <cell r="P158" t="str">
            <v>0906-016001  CASS CTY/BELTON W OF MULLIN RD</v>
          </cell>
          <cell r="Q158">
            <v>2131.64</v>
          </cell>
          <cell r="R158">
            <v>-23.5</v>
          </cell>
        </row>
        <row r="159">
          <cell r="A159" t="str">
            <v>800088</v>
          </cell>
          <cell r="B159" t="str">
            <v>LDC 2</v>
          </cell>
          <cell r="C159" t="str">
            <v>03 - Bare Steel Replacement</v>
          </cell>
          <cell r="D159" t="str">
            <v>yes</v>
          </cell>
          <cell r="F159" t="str">
            <v>F0604</v>
          </cell>
          <cell r="G159" t="str">
            <v>Main Replacement - ISRS (S)</v>
          </cell>
          <cell r="H159" t="str">
            <v>Holden Grid Phase 2D</v>
          </cell>
          <cell r="I159" t="str">
            <v>in service</v>
          </cell>
          <cell r="J159" t="str">
            <v>Install 1697 Ft of 4 in and 224 Ft of 2 in PL IP main for Holden Grid Ph 2D. Abandon 10 Ft of 4 in PL, 1434 Ft of 2 in PBS and 480 Ft of 2 in PCS MP main. Uprate 600Ft of 1 1/4 in PL, 1480 Ft of 2 in PL, 3382 Ft of 4 in PL, and 1362 Ft of 2 in PCS main.</v>
          </cell>
          <cell r="K159" t="str">
            <v>This main is being replaced as part of FY16 Bare Steel Replacement Program.</v>
          </cell>
          <cell r="L159">
            <v>42641</v>
          </cell>
          <cell r="O159">
            <v>42644</v>
          </cell>
          <cell r="P159" t="str">
            <v>0910-046008  JOHNSON CTY/HOLDEN</v>
          </cell>
          <cell r="Q159">
            <v>169699.96</v>
          </cell>
          <cell r="R159">
            <v>-3453.5</v>
          </cell>
        </row>
        <row r="160">
          <cell r="A160" t="str">
            <v>007926</v>
          </cell>
          <cell r="B160" t="str">
            <v>LDC 2</v>
          </cell>
          <cell r="D160" t="str">
            <v>yes</v>
          </cell>
          <cell r="E160" t="str">
            <v>20910155189</v>
          </cell>
          <cell r="F160" t="str">
            <v>F0604</v>
          </cell>
          <cell r="G160" t="str">
            <v>Main Replacement - ISRS (S)</v>
          </cell>
          <cell r="H160" t="str">
            <v>Replace 2in pbs main</v>
          </cell>
          <cell r="I160" t="str">
            <v>posted to CPR</v>
          </cell>
          <cell r="J160" t="str">
            <v>Replace 2ijn pbs main: Holden: Replace Bare Steel Main - 3760 Safety Related (34-394)</v>
          </cell>
          <cell r="K160" t="str">
            <v>Approved by: Kevin Driskell on 03/23/2015,  Replace and abandon 600' - 2" PBS main (Work Order Unknown) and 200' - 2" PBS main (Work Order 50402) by installing 800' - 2" pe main to clear a #3 leak. (ISRS)</v>
          </cell>
          <cell r="L160">
            <v>42138</v>
          </cell>
          <cell r="M160">
            <v>42461</v>
          </cell>
          <cell r="N160">
            <v>42496.618506944404</v>
          </cell>
          <cell r="O160">
            <v>42156</v>
          </cell>
          <cell r="P160" t="str">
            <v>0910-046008  JOHNSON CTY/HOLDEN</v>
          </cell>
          <cell r="Q160">
            <v>18804.2</v>
          </cell>
          <cell r="R160">
            <v>1012</v>
          </cell>
        </row>
        <row r="161">
          <cell r="A161" t="str">
            <v>800716</v>
          </cell>
          <cell r="B161" t="str">
            <v>LDC 2</v>
          </cell>
          <cell r="D161" t="str">
            <v>no</v>
          </cell>
          <cell r="F161" t="str">
            <v>F0523</v>
          </cell>
          <cell r="G161" t="str">
            <v>New Main Extensions (SW)</v>
          </cell>
          <cell r="H161" t="str">
            <v>Install 720F 4P Hwy 71 N of Hagee</v>
          </cell>
          <cell r="I161" t="str">
            <v>in service</v>
          </cell>
          <cell r="J161" t="str">
            <v>Install ~ 720 Ft of 4 In PL IP Main Hwy 71 N of Hagee Rd in Anderson, MO for TARSCO Bottled Tank.</v>
          </cell>
          <cell r="K161" t="str">
            <v>230 Ft 4 In Service is associated with this Main Extension.  WO:  15379651 to be installed in conjunction with this WO.</v>
          </cell>
          <cell r="L161">
            <v>42676</v>
          </cell>
          <cell r="O161">
            <v>42705</v>
          </cell>
          <cell r="P161" t="str">
            <v>0827-059003  MCDONALD CTY/ANDERSON</v>
          </cell>
          <cell r="Q161">
            <v>2618.0700000000002</v>
          </cell>
          <cell r="R161">
            <v>-1730</v>
          </cell>
        </row>
        <row r="162">
          <cell r="A162" t="str">
            <v>006758</v>
          </cell>
          <cell r="B162" t="str">
            <v>LDC 2</v>
          </cell>
          <cell r="D162" t="str">
            <v>no</v>
          </cell>
          <cell r="E162" t="str">
            <v>20832143917</v>
          </cell>
          <cell r="F162" t="str">
            <v>F0639</v>
          </cell>
          <cell r="G162" t="str">
            <v>EGM Equip-1st Time Installation</v>
          </cell>
          <cell r="H162" t="str">
            <v>EGM - Citizens Memorial Health Care</v>
          </cell>
          <cell r="I162" t="str">
            <v>in service</v>
          </cell>
          <cell r="J162" t="str">
            <v>EGM - Citizens Memorial Health Care Foundation: Ash Grove: Install EGM Equipment - First Time Installation  3850 (32-403)</v>
          </cell>
          <cell r="K162" t="str">
            <v>Approved by: Rob Kitterman on 10/27/2014,  Install Mercury MiniMax-AT-PT (S/N: 13094602) with CNI-2 (S/N: 13072566) on Roots 5M meter no 09949160 to monitor daily gas usage of this transportation customer. Customer will reimburse company actual cost for EGM installation not to exceed $5,445.00, which should be coded to account 1072. ATTENTION: Plant &amp; Property Accounting, EGM work order, turn off A&amp;G indicator.</v>
          </cell>
          <cell r="L162">
            <v>42443</v>
          </cell>
          <cell r="O162">
            <v>42461</v>
          </cell>
          <cell r="P162" t="str">
            <v>0832-034005  GREENE CTY/ASH GROVE</v>
          </cell>
          <cell r="Q162">
            <v>-8.81</v>
          </cell>
          <cell r="R162">
            <v>35</v>
          </cell>
        </row>
        <row r="163">
          <cell r="A163" t="str">
            <v>801049</v>
          </cell>
          <cell r="B163" t="str">
            <v>LDC 2</v>
          </cell>
          <cell r="D163" t="str">
            <v>no</v>
          </cell>
          <cell r="F163" t="str">
            <v>F0673</v>
          </cell>
          <cell r="G163" t="str">
            <v>New Main Extensions (S)</v>
          </cell>
          <cell r="H163" t="str">
            <v>Inst 1200F 2P Monticello - 2</v>
          </cell>
          <cell r="I163" t="str">
            <v>in service</v>
          </cell>
          <cell r="J163" t="str">
            <v>Install 1200' 2" PE Main for 37 lots - Monticello 2 - 470 &amp; NE Bowlin Road - Lee's Summit.</v>
          </cell>
          <cell r="K163" t="str">
            <v>(37) lot single family, detached subdivision. Heat pump with gas back up, gas water heaters, fireplaces, ranges.</v>
          </cell>
          <cell r="L163">
            <v>42748</v>
          </cell>
          <cell r="O163">
            <v>42736</v>
          </cell>
          <cell r="P163" t="str">
            <v>0901-043021  JACKSON CTY/LEE'S SUMMIT OFFIC</v>
          </cell>
          <cell r="Q163">
            <v>42634.02</v>
          </cell>
          <cell r="R163">
            <v>-2848.5</v>
          </cell>
        </row>
        <row r="164">
          <cell r="A164" t="str">
            <v>010154</v>
          </cell>
          <cell r="B164" t="str">
            <v>LDC 2</v>
          </cell>
          <cell r="D164" t="str">
            <v>no</v>
          </cell>
          <cell r="F164" t="str">
            <v>F0554</v>
          </cell>
          <cell r="G164" t="str">
            <v>Tools, Instruments &amp; Equipment (S)</v>
          </cell>
          <cell r="H164" t="str">
            <v>Pur Datem Tek Stak Laptop Stg Unit</v>
          </cell>
          <cell r="I164" t="str">
            <v>posted to CPR</v>
          </cell>
          <cell r="J164" t="str">
            <v>Purchase Datem Tek Stak Laptop Storage Unit for GETAC computers at Lee's Summit</v>
          </cell>
          <cell r="K164" t="str">
            <v>Per Brandon Kavanaugh 1-12-16 - Quote from Global Industrial</v>
          </cell>
          <cell r="L164">
            <v>42522</v>
          </cell>
          <cell r="M164">
            <v>42522</v>
          </cell>
          <cell r="N164">
            <v>42557.552916666697</v>
          </cell>
          <cell r="O164">
            <v>42522</v>
          </cell>
          <cell r="P164" t="str">
            <v>0901-043021  JACKSON CTY/LEE'S SUMMIT OFFIC</v>
          </cell>
          <cell r="Q164">
            <v>1453.69</v>
          </cell>
          <cell r="R164">
            <v>1</v>
          </cell>
        </row>
        <row r="165">
          <cell r="A165" t="str">
            <v>008892</v>
          </cell>
          <cell r="B165" t="str">
            <v>LDC 2</v>
          </cell>
          <cell r="D165" t="str">
            <v>no</v>
          </cell>
          <cell r="E165" t="str">
            <v>20901155434</v>
          </cell>
          <cell r="F165" t="str">
            <v>F0554</v>
          </cell>
          <cell r="G165" t="str">
            <v>Tools, Instruments &amp; Equipment (S)</v>
          </cell>
          <cell r="H165" t="str">
            <v>Purchase Tools - Hinged Pipe Cutter</v>
          </cell>
          <cell r="I165" t="str">
            <v>posted to CPR</v>
          </cell>
          <cell r="J165" t="str">
            <v>Purchase Tools - Hinged Pipe Cutters: Lees Summit: Purchase Tools, Instruments &amp; Equipment  3940 (37-366)</v>
          </cell>
          <cell r="K165" t="str">
            <v>Approved by: Kevin Driskell on 07/06/2015,  Purchase 1 hinged pipe cutter - 6" thru 8" for the Lee's Summit Corrosion Crew.</v>
          </cell>
          <cell r="L165">
            <v>42246</v>
          </cell>
          <cell r="M165">
            <v>42522</v>
          </cell>
          <cell r="N165">
            <v>42557.552777777797</v>
          </cell>
          <cell r="O165">
            <v>42522</v>
          </cell>
          <cell r="P165" t="str">
            <v>0901-043021  JACKSON CTY/LEE'S SUMMIT OFFIC</v>
          </cell>
          <cell r="Q165">
            <v>1207.31</v>
          </cell>
          <cell r="R165">
            <v>0</v>
          </cell>
        </row>
        <row r="166">
          <cell r="A166" t="str">
            <v>004289</v>
          </cell>
          <cell r="B166" t="str">
            <v>LDC 2</v>
          </cell>
          <cell r="D166" t="str">
            <v>no</v>
          </cell>
          <cell r="E166" t="str">
            <v>20901050302</v>
          </cell>
          <cell r="F166" t="str">
            <v>F0645</v>
          </cell>
          <cell r="G166" t="str">
            <v>BWO New Mtr/Reg Install &lt;2'' (S)</v>
          </cell>
          <cell r="H166" t="str">
            <v>BWO-New Bus Meter Sets - South</v>
          </cell>
          <cell r="I166" t="str">
            <v>open</v>
          </cell>
          <cell r="J166" t="str">
            <v>BWO New Business Meter Sets Under 2inch - South Region</v>
          </cell>
          <cell r="O166">
            <v>41730</v>
          </cell>
          <cell r="P166" t="str">
            <v>0901-043021  JACKSON CTY/LEE'S SUMMIT OFFIC</v>
          </cell>
          <cell r="Q166">
            <v>2917766.57</v>
          </cell>
          <cell r="R166">
            <v>333892.15000000002</v>
          </cell>
        </row>
        <row r="167">
          <cell r="A167" t="str">
            <v>004050</v>
          </cell>
          <cell r="B167" t="str">
            <v>LDC 2</v>
          </cell>
          <cell r="D167" t="str">
            <v>no</v>
          </cell>
          <cell r="E167" t="str">
            <v>20901132873</v>
          </cell>
          <cell r="F167" t="str">
            <v>F0507</v>
          </cell>
          <cell r="G167" t="str">
            <v>Rebuild Meter Install 2'' &amp; Lg (S)</v>
          </cell>
          <cell r="H167" t="str">
            <v>Retire AL 1400 Heartland Tanning</v>
          </cell>
          <cell r="I167" t="str">
            <v>posted to CPR</v>
          </cell>
          <cell r="J167" t="str">
            <v>Retire AL 1400 Heartland Tanning: Lees Summit: 4251 NE Port Dr</v>
          </cell>
          <cell r="K167" t="str">
            <v>Approved by: Ralph Janes on 08/06/2013,  The AL 1400 meter (meter# 00229460) at 4251 NE Port Dr (premise 200381987) is due for change out on the 2013 Time Limit Program. The existing load was gathered: 1,600 cfh. Retire the AL 1400 meter set (installed on wo# 92-7719) on WO# 13-2873 and downsize to an AL-1000 meter.</v>
          </cell>
          <cell r="L167">
            <v>41495</v>
          </cell>
          <cell r="M167">
            <v>41575</v>
          </cell>
          <cell r="N167">
            <v>41576.418599536999</v>
          </cell>
          <cell r="P167" t="str">
            <v>0901-043021  JACKSON CTY/LEE'S SUMMIT OFFIC</v>
          </cell>
          <cell r="Q167">
            <v>704.34</v>
          </cell>
          <cell r="R167">
            <v>3</v>
          </cell>
        </row>
        <row r="168">
          <cell r="A168" t="str">
            <v>004361</v>
          </cell>
          <cell r="B168" t="str">
            <v>LDC 2</v>
          </cell>
          <cell r="D168" t="str">
            <v>no</v>
          </cell>
          <cell r="E168" t="str">
            <v>20512133071</v>
          </cell>
          <cell r="F168" t="str">
            <v>F0677</v>
          </cell>
          <cell r="G168" t="str">
            <v>New business</v>
          </cell>
          <cell r="H168" t="str">
            <v>Duquesne Rd Lay 500'-2in PE main ex</v>
          </cell>
          <cell r="I168" t="str">
            <v>posted to CPR</v>
          </cell>
          <cell r="J168" t="str">
            <v>Duquesne Rd Lay 500'-2in PE main ext: Leewood/Silver Creek: Duquesne Rd S of Ivy Ln</v>
          </cell>
          <cell r="K168" t="str">
            <v>Approved by: Galen Shoemaker on 10/24/2013,  Lay 500' of 2in PE in order to tie over three (3) 20 year SLRP services.  Project Location: Duquesne Rd S of Ivy Ln.  Pressure System: S-1.  MOP: 30 PSIG.  MAOP: 30 PSIG.  Design: 58 PSIG.  Test: 100 PSIG.  Price Per Foot: $27.37.</v>
          </cell>
          <cell r="L168">
            <v>41610</v>
          </cell>
          <cell r="M168">
            <v>41654</v>
          </cell>
          <cell r="N168">
            <v>41676.633414351803</v>
          </cell>
          <cell r="O168">
            <v>41730</v>
          </cell>
          <cell r="P168" t="str">
            <v>0512-066006  NEWTON CTY/LEAWOOD</v>
          </cell>
          <cell r="Q168">
            <v>14717.42</v>
          </cell>
          <cell r="R168">
            <v>2531</v>
          </cell>
        </row>
        <row r="169">
          <cell r="A169" t="str">
            <v>007207</v>
          </cell>
          <cell r="B169" t="str">
            <v>LDC 2</v>
          </cell>
          <cell r="D169" t="str">
            <v>no</v>
          </cell>
          <cell r="E169" t="str">
            <v>21251143723</v>
          </cell>
          <cell r="F169" t="str">
            <v>F0610</v>
          </cell>
          <cell r="G169" t="str">
            <v>New business</v>
          </cell>
          <cell r="H169" t="str">
            <v>Reserve at Riverstone -2</v>
          </cell>
          <cell r="I169" t="str">
            <v>posted to CPR</v>
          </cell>
          <cell r="J169" t="str">
            <v>Reserve at Riverstone -2: Kansas City-Platte Co: New Main Extension - Contractor Crews  3760 (33-380)</v>
          </cell>
          <cell r="K169" t="str">
            <v>Approved by: Gary Williams on 12/01/2014,  Extend main for Reserve at Riverstone - 2. Install 862' of 2'' PE, 1520' of 4'' PE. Pressure System S-075. It will serve lots 47-86.</v>
          </cell>
          <cell r="L169">
            <v>42072</v>
          </cell>
          <cell r="M169">
            <v>42248</v>
          </cell>
          <cell r="N169">
            <v>42284.722997685203</v>
          </cell>
          <cell r="O169">
            <v>42095</v>
          </cell>
          <cell r="P169" t="str">
            <v>1251-075010  PLATTE CTY/KANSAS CITY NORTH</v>
          </cell>
          <cell r="Q169">
            <v>31180.25</v>
          </cell>
          <cell r="R169">
            <v>-5051</v>
          </cell>
        </row>
        <row r="170">
          <cell r="A170" t="str">
            <v>012733</v>
          </cell>
          <cell r="B170" t="str">
            <v>LDC 2</v>
          </cell>
          <cell r="D170" t="str">
            <v>no</v>
          </cell>
          <cell r="F170" t="str">
            <v>F0639</v>
          </cell>
          <cell r="G170" t="str">
            <v>EGM Equip-1st Time Installation</v>
          </cell>
          <cell r="H170" t="str">
            <v>EGM - HPB Bio (St Joseph Stockyard)</v>
          </cell>
          <cell r="I170" t="str">
            <v>open</v>
          </cell>
          <cell r="J170" t="str">
            <v>Mini AT-PT Corrector for HPB St. Joe Biodiesel LLC at 5701 Stockyards Expry, St. Joseph, MO to monitor daily gas usage. Customer will reimburse company actual cost for EGM installation not to exceed $5,445.</v>
          </cell>
          <cell r="K170" t="str">
            <v>meter no 008062814</v>
          </cell>
          <cell r="P170" t="str">
            <v>1001-010001  ST. JOSEPH CITY/BUCHANAN</v>
          </cell>
          <cell r="Q170">
            <v>1901.38</v>
          </cell>
          <cell r="R170">
            <v>1</v>
          </cell>
        </row>
        <row r="171">
          <cell r="A171" t="str">
            <v>800567</v>
          </cell>
          <cell r="B171" t="str">
            <v>LDC 2</v>
          </cell>
          <cell r="C171" t="str">
            <v>09 - Facility Relocation due to Civic Improvement</v>
          </cell>
          <cell r="D171" t="str">
            <v>yes</v>
          </cell>
          <cell r="F171" t="str">
            <v>F0547</v>
          </cell>
          <cell r="G171" t="str">
            <v>Street &amp; Highway Relocates ISRS (N)</v>
          </cell>
          <cell r="H171" t="str">
            <v>Rel w/ 450F 12S Illinois Ave</v>
          </cell>
          <cell r="I171" t="str">
            <v>in service</v>
          </cell>
          <cell r="J171" t="str">
            <v>Install 450ft of 12ST main on Illinois Ave at Stockyards Expressway in St. Joe, MO for a public improvement project.  Abandon 450 ft of 12ST main at above location. Tie-over 1 service.</v>
          </cell>
          <cell r="L171">
            <v>42608</v>
          </cell>
          <cell r="O171">
            <v>42583</v>
          </cell>
          <cell r="P171" t="str">
            <v>1001-010001  ST. JOSEPH CITY/BUCHANAN</v>
          </cell>
          <cell r="Q171">
            <v>130548.68</v>
          </cell>
          <cell r="R171">
            <v>1367.25</v>
          </cell>
        </row>
        <row r="172">
          <cell r="A172" t="str">
            <v>005110</v>
          </cell>
          <cell r="B172" t="str">
            <v>LDC 2</v>
          </cell>
          <cell r="D172" t="str">
            <v>yes</v>
          </cell>
          <cell r="E172" t="str">
            <v>21001143360</v>
          </cell>
          <cell r="F172" t="str">
            <v>F0599</v>
          </cell>
          <cell r="G172" t="str">
            <v>Main Replacement - ISRS (N)</v>
          </cell>
          <cell r="H172" t="str">
            <v>Middleton Repl CI w 542'-6in PE mai</v>
          </cell>
          <cell r="I172" t="str">
            <v>posted to CPR</v>
          </cell>
          <cell r="J172" t="str">
            <v>Middleton Repl CI w 542'-6in PE main: St Joseph: Replace Cast Iron Main - 3760 Safety Related (34-412)</v>
          </cell>
          <cell r="K172" t="str">
            <v>Approved by: Gary Williams on 04/28/2014,  TO LAY 542FT -6IN PE MAIN,REPLACE 542FT-10IN CI MAIN (WO#94-0724 330FT,WO#77-1701 73FT,WO#06-0843 110FT). THIS WORK ORDER IS NECESSARY DUE TO LEAKAGE</v>
          </cell>
          <cell r="L172">
            <v>41809</v>
          </cell>
          <cell r="M172">
            <v>41882</v>
          </cell>
          <cell r="N172">
            <v>41936.625787037003</v>
          </cell>
          <cell r="O172">
            <v>41791</v>
          </cell>
          <cell r="P172" t="str">
            <v>1001-010001  ST. JOSEPH CITY/BUCHANAN</v>
          </cell>
          <cell r="Q172">
            <v>19861.16</v>
          </cell>
          <cell r="R172">
            <v>-2221</v>
          </cell>
        </row>
        <row r="173">
          <cell r="A173" t="str">
            <v>004323</v>
          </cell>
          <cell r="B173" t="str">
            <v>LDC 2</v>
          </cell>
          <cell r="D173" t="str">
            <v>no</v>
          </cell>
          <cell r="E173" t="str">
            <v>21001132331</v>
          </cell>
          <cell r="F173" t="str">
            <v>F0483</v>
          </cell>
          <cell r="G173" t="str">
            <v>Meter &amp; regulator settings - 2" &amp; l</v>
          </cell>
          <cell r="H173" t="str">
            <v>CNG Fill Sta St Joe Plant 3M Meter</v>
          </cell>
          <cell r="I173" t="str">
            <v>posted to CPR</v>
          </cell>
          <cell r="J173" t="str">
            <v>CNG Fill Sta St Joe Plant 3M Meter Set: St Joseph: St Joe Service Center</v>
          </cell>
          <cell r="K173" t="str">
            <v>Approved by: Gary Williams on 01/23/2013,  This work order is necessary to install 3M Roots meter to serve the new CNG Fill Station at St Joe Plant. We will run main line pressure through the meter and install a corrector in meter loop for a connected load of 10800cfh.</v>
          </cell>
          <cell r="L173">
            <v>41416</v>
          </cell>
          <cell r="M173">
            <v>42614</v>
          </cell>
          <cell r="N173">
            <v>42772.668402777803</v>
          </cell>
          <cell r="O173">
            <v>42614</v>
          </cell>
          <cell r="P173" t="str">
            <v>1001-010001  ST. JOSEPH CITY/BUCHANAN</v>
          </cell>
          <cell r="Q173">
            <v>513.4</v>
          </cell>
          <cell r="R173">
            <v>55</v>
          </cell>
        </row>
        <row r="174">
          <cell r="A174" t="str">
            <v>004532</v>
          </cell>
          <cell r="B174" t="str">
            <v>LDC 2</v>
          </cell>
          <cell r="D174" t="str">
            <v>yes</v>
          </cell>
          <cell r="E174" t="str">
            <v>21212132831</v>
          </cell>
          <cell r="F174" t="str">
            <v>F0636</v>
          </cell>
          <cell r="G174" t="str">
            <v>Replace steel &amp; plastic main</v>
          </cell>
          <cell r="H174" t="str">
            <v>2nd &amp; Railroad ABANDON 450'-2in PCS</v>
          </cell>
          <cell r="I174" t="str">
            <v>posted to CPR</v>
          </cell>
          <cell r="J174" t="str">
            <v>2nd &amp; Railroad ABANDON 450'-2in PCS: Mosby: 2ND ST &amp; RAILROAD ST</v>
          </cell>
          <cell r="K174" t="str">
            <v>Approved by: Kevin Driskell on 07/29/2013,  THERE ARE NO SERVICES ON THIS MAIN, THEREFORE IT IS NO LONGER NEEDED. ABANDONED APROX. 450'-2in PCS (A9411).  PRESSURE SYSTEM S-070, MOP 11PSIG, MAOP 11 PSIG.  DIV 12 TN 12 SECTOR 0202 &amp; 0201.  SEC. 17 - T52N - R30W. Requested by the corrosion department.</v>
          </cell>
          <cell r="L174">
            <v>41486</v>
          </cell>
          <cell r="M174">
            <v>41575</v>
          </cell>
          <cell r="N174">
            <v>41576.418587963002</v>
          </cell>
          <cell r="P174" t="str">
            <v>1212-020014  CLAY CTY/MOSBY</v>
          </cell>
          <cell r="Q174">
            <v>857.41</v>
          </cell>
          <cell r="R174">
            <v>455</v>
          </cell>
        </row>
        <row r="175">
          <cell r="A175" t="str">
            <v>800787</v>
          </cell>
          <cell r="B175" t="str">
            <v>LDC 2</v>
          </cell>
          <cell r="D175" t="str">
            <v>no</v>
          </cell>
          <cell r="F175" t="str">
            <v>F0647</v>
          </cell>
          <cell r="G175" t="str">
            <v>New Main Extensions (N)</v>
          </cell>
          <cell r="H175" t="str">
            <v>Install 1931F 2-4P Dovecott Plat 2</v>
          </cell>
          <cell r="I175" t="str">
            <v>open</v>
          </cell>
          <cell r="J175" t="str">
            <v>Install approximately 932ft of 4in IP PE main and 999ft of 2in IP PE main to serve  35 new residential customers.</v>
          </cell>
          <cell r="K175" t="str">
            <v>35 Lot Residential Single Family Subdivision.</v>
          </cell>
          <cell r="P175" t="str">
            <v>1215-020023  CLAY CTY/KEARNEY</v>
          </cell>
          <cell r="Q175">
            <v>1261.73</v>
          </cell>
          <cell r="R175">
            <v>-2040</v>
          </cell>
        </row>
        <row r="176">
          <cell r="A176" t="str">
            <v>004453</v>
          </cell>
          <cell r="B176" t="str">
            <v>LDC 2</v>
          </cell>
          <cell r="D176" t="str">
            <v>yes</v>
          </cell>
          <cell r="E176" t="str">
            <v>21219132924</v>
          </cell>
          <cell r="F176" t="str">
            <v>F0665</v>
          </cell>
          <cell r="G176" t="str">
            <v>Replace steel &amp; plastic main</v>
          </cell>
          <cell r="H176" t="str">
            <v>Walnut Repl PCS w 15'-3in TF Steel</v>
          </cell>
          <cell r="I176" t="str">
            <v>posted to CPR</v>
          </cell>
          <cell r="J176" t="str">
            <v>Walnut Repl PCS w 15'-3in TF Steel: Cameron-Clinton: S. Walnut (US HWY 69) &amp; Cornhill Street</v>
          </cell>
          <cell r="K176" t="str">
            <v>Approved by: Kevin Driskell on 09/05/2013,  This work order is necessary to clear leak due to corrosion on 3inch gas main. Install 15'-3in TF steel main; retire 15'-3in PCS main, year 1962, wo 62-1512.</v>
          </cell>
          <cell r="L176">
            <v>41495</v>
          </cell>
          <cell r="M176">
            <v>41626</v>
          </cell>
          <cell r="N176">
            <v>41627.5828356481</v>
          </cell>
          <cell r="O176">
            <v>41730</v>
          </cell>
          <cell r="P176" t="str">
            <v>1219-021001  CLINTON CTY/CAMERON</v>
          </cell>
          <cell r="Q176">
            <v>8560.4</v>
          </cell>
          <cell r="R176">
            <v>120.1</v>
          </cell>
        </row>
        <row r="177">
          <cell r="A177" t="str">
            <v>004475</v>
          </cell>
          <cell r="B177" t="str">
            <v>LDC 2</v>
          </cell>
          <cell r="D177" t="str">
            <v>no</v>
          </cell>
          <cell r="E177" t="str">
            <v>20925132885</v>
          </cell>
          <cell r="F177" t="str">
            <v>F0602</v>
          </cell>
          <cell r="G177" t="str">
            <v>New business</v>
          </cell>
          <cell r="H177" t="str">
            <v>Cottonwood Dr &amp; Woodbury Lay 450'-4</v>
          </cell>
          <cell r="I177" t="str">
            <v>posted to CPR</v>
          </cell>
          <cell r="J177" t="str">
            <v>Cottonwood Dr &amp; Woodbury Lay 450'-4;745'-2in PE ma: Grain Valley: Cottonwood Dr and Woodbury Dr Woodbury - 4th Phase</v>
          </cell>
          <cell r="K177" t="str">
            <v>Approved by: Ralph Janes on 08/13/2013,  Install 450' of 4in PE main and 745' of 2in PE main to serve the 4th Phase of Woodbury. Pressure system is S-007 with an MOP of 25 psig and MAOP of 58 psig.</v>
          </cell>
          <cell r="L177">
            <v>41542</v>
          </cell>
          <cell r="M177">
            <v>41626</v>
          </cell>
          <cell r="N177">
            <v>41627.582847222198</v>
          </cell>
          <cell r="O177">
            <v>41730</v>
          </cell>
          <cell r="P177" t="str">
            <v>0925-043035  JACKSON CTY/GRAIN VALLEY</v>
          </cell>
          <cell r="Q177">
            <v>7522.35</v>
          </cell>
          <cell r="R177">
            <v>2868</v>
          </cell>
        </row>
        <row r="178">
          <cell r="A178" t="str">
            <v>004558</v>
          </cell>
          <cell r="B178" t="str">
            <v>LDC 2</v>
          </cell>
          <cell r="D178" t="str">
            <v>no</v>
          </cell>
          <cell r="E178" t="str">
            <v>21274132823</v>
          </cell>
          <cell r="F178" t="str">
            <v>F0498</v>
          </cell>
          <cell r="G178" t="str">
            <v>Other relocates</v>
          </cell>
          <cell r="H178" t="str">
            <v>Cherry St Reloc PE w 500'-2in PE ma</v>
          </cell>
          <cell r="I178" t="str">
            <v>posted to CPR</v>
          </cell>
          <cell r="J178" t="str">
            <v>Cherry St Reloc PE w 500'-2in PE main: Gladstone: Cherry St. between 69th and 70th</v>
          </cell>
          <cell r="K178" t="str">
            <v>Approved by: Gary Williams on 08/07/2013,  This work is necessary to replace 185'-2in PE main (WO#00-1450) nd 255'-2in PE main (WO#12-1204) with 500'-2in PE Main due to new commercial development being constructed over existing main at N. Cherry between NE 69th St &amp; NE 70th St in Gladstone. Developer will contribute $19,553.63 prior to construction. Test new main at 100psig. MOP = 5psig, MAOP = 5psig.</v>
          </cell>
          <cell r="L178">
            <v>41550</v>
          </cell>
          <cell r="M178">
            <v>41597</v>
          </cell>
          <cell r="N178">
            <v>41643.435370370396</v>
          </cell>
          <cell r="P178" t="str">
            <v>1274-020045  CLAY CTY/GLADSTONE</v>
          </cell>
          <cell r="Q178">
            <v>23562.799999999999</v>
          </cell>
          <cell r="R178">
            <v>1546.5</v>
          </cell>
        </row>
        <row r="179">
          <cell r="A179" t="str">
            <v>004168</v>
          </cell>
          <cell r="B179" t="str">
            <v>LDC 2</v>
          </cell>
          <cell r="D179" t="str">
            <v>no</v>
          </cell>
          <cell r="E179" t="str">
            <v>21904132753</v>
          </cell>
          <cell r="F179" t="str">
            <v>F0577</v>
          </cell>
          <cell r="G179" t="str">
            <v>ERT Purchases</v>
          </cell>
          <cell r="H179" t="str">
            <v>Pur 2020 Am Res 100G Erts Oct  2013</v>
          </cell>
          <cell r="I179" t="str">
            <v>posted to CPR</v>
          </cell>
          <cell r="J179" t="str">
            <v>Pur 2020 Am Res 100G Erts Oct  2013: Kansas City CORP: Central Plant Meter Shop</v>
          </cell>
          <cell r="K179" t="str">
            <v>Approved by: Rob Hack on 06/20/2013,  Purchase 2020 American 100G Erts (95198300) These erts ship to American Meter in October 2013 for meters November 2013.</v>
          </cell>
          <cell r="L179">
            <v>41541</v>
          </cell>
          <cell r="M179">
            <v>41578</v>
          </cell>
          <cell r="N179">
            <v>41584.396331018499</v>
          </cell>
          <cell r="P179" t="str">
            <v>1904-043050  JACKSON CTY/KC</v>
          </cell>
          <cell r="Q179">
            <v>112393.93</v>
          </cell>
          <cell r="R179">
            <v>0</v>
          </cell>
        </row>
        <row r="180">
          <cell r="A180" t="str">
            <v>004225</v>
          </cell>
          <cell r="B180" t="str">
            <v>LDC 2</v>
          </cell>
          <cell r="D180" t="str">
            <v>no</v>
          </cell>
          <cell r="E180" t="str">
            <v>21904133216</v>
          </cell>
          <cell r="F180" t="str">
            <v>F0577</v>
          </cell>
          <cell r="G180" t="str">
            <v>ERT Purchases</v>
          </cell>
          <cell r="H180" t="str">
            <v>Pur new 100G Erts</v>
          </cell>
          <cell r="I180" t="str">
            <v>posted to CPR</v>
          </cell>
          <cell r="J180" t="str">
            <v>Pur new 100G Erts : Kansas City CORP: Central Plant Meter Shop</v>
          </cell>
          <cell r="K180" t="str">
            <v>Approved by: Steve Holcomb on 12/17/2013,  Purchase 800 Am Erts 100G 5198300  800 Rwk Erts 100G 5198310 and 100 Rwk 18T 100G 5198380. These erta to be shipped to Energy Economics for meter repairs.</v>
          </cell>
          <cell r="L180">
            <v>41654</v>
          </cell>
          <cell r="M180">
            <v>41670</v>
          </cell>
          <cell r="N180">
            <v>41677.509687500002</v>
          </cell>
          <cell r="P180" t="str">
            <v>1904-043050  JACKSON CTY/KC</v>
          </cell>
          <cell r="Q180">
            <v>77547.199999999997</v>
          </cell>
          <cell r="R180">
            <v>0</v>
          </cell>
        </row>
        <row r="181">
          <cell r="A181" t="str">
            <v>004377</v>
          </cell>
          <cell r="B181" t="str">
            <v>LDC 2</v>
          </cell>
          <cell r="D181" t="str">
            <v>no</v>
          </cell>
          <cell r="E181" t="str">
            <v>21904143394</v>
          </cell>
          <cell r="F181" t="str">
            <v>F0577</v>
          </cell>
          <cell r="G181" t="str">
            <v>ERT Purchases</v>
          </cell>
          <cell r="H181" t="str">
            <v>Pur 10000 100G Erts Repl Program Ju</v>
          </cell>
          <cell r="I181" t="str">
            <v>posted to CPR</v>
          </cell>
          <cell r="J181" t="str">
            <v>Pur 10000 100G Erts Repl Program June 2014 : Kansas City CORP: Central Plant Meter Shop</v>
          </cell>
          <cell r="K181" t="str">
            <v>Approved by: Steve Lindsey on 03/18/2014,  Purchase domestic 100G Am Erts 5198300 RK Erts 5198310 for the Replacement Program.</v>
          </cell>
          <cell r="L181">
            <v>41733</v>
          </cell>
          <cell r="M181">
            <v>42156</v>
          </cell>
          <cell r="N181">
            <v>42185.728159722203</v>
          </cell>
          <cell r="O181">
            <v>41883</v>
          </cell>
          <cell r="P181" t="str">
            <v>1904-043050  JACKSON CTY/KC</v>
          </cell>
          <cell r="Q181">
            <v>224108.04</v>
          </cell>
          <cell r="R181">
            <v>5020</v>
          </cell>
        </row>
        <row r="182">
          <cell r="A182" t="str">
            <v>004215</v>
          </cell>
          <cell r="B182" t="str">
            <v>LDC 2</v>
          </cell>
          <cell r="D182" t="str">
            <v>no</v>
          </cell>
          <cell r="E182" t="str">
            <v>21261133201</v>
          </cell>
          <cell r="F182" t="str">
            <v>F0610</v>
          </cell>
          <cell r="G182" t="str">
            <v>New business</v>
          </cell>
          <cell r="H182" t="str">
            <v>6904 N Hwy 9 Lay 235'-2IN TF Steel</v>
          </cell>
          <cell r="I182" t="str">
            <v>posted to CPR</v>
          </cell>
          <cell r="J182" t="str">
            <v>6904 N Hwy 9 Lay 235'-2IN TF Steel main ext: Kansas City-Rural: 6904 N HWY 9</v>
          </cell>
          <cell r="K182" t="str">
            <v>Approved by: Kevin Driskell on 01/21/2014,  LAY 235'-2" TF STEEL TO SERVE 1 RESIDENTAL HOME.  TIE INTO EXIST. 4" PCS-(61-3126) ON NORTH SIDE OF HWY 9; TO THE EAST OF N CONGRESS AVE. TEST MAIN TO 190 PSIG.  WHEN RUN SERVICE TO HOUSE; BE AWARE OF SEPTIC TANK &amp; LATERAL IN FRONT YARD.  ONE WAY FEED.  COST PER FOOT=$66.66  235'-75'=160' x $8.50=$1,360.00  CUSTOMER TO CONTRIBUTE $1,360.00 BEFORE START OF PROJECT.</v>
          </cell>
          <cell r="L182">
            <v>41691</v>
          </cell>
          <cell r="M182">
            <v>41729</v>
          </cell>
          <cell r="N182">
            <v>41733.309942129599</v>
          </cell>
          <cell r="O182">
            <v>41730</v>
          </cell>
          <cell r="P182" t="str">
            <v>1261-075025  PLATTE CTY/??? TWP</v>
          </cell>
          <cell r="Q182">
            <v>16410.79</v>
          </cell>
          <cell r="R182">
            <v>30</v>
          </cell>
        </row>
        <row r="183">
          <cell r="A183" t="str">
            <v>800363</v>
          </cell>
          <cell r="B183" t="str">
            <v>LDC 2</v>
          </cell>
          <cell r="D183" t="str">
            <v>no</v>
          </cell>
          <cell r="F183" t="str">
            <v>F0647</v>
          </cell>
          <cell r="G183" t="str">
            <v>New Main Extensions (N)</v>
          </cell>
          <cell r="H183" t="str">
            <v>Install 4325F 2-4-6P Staley Hills</v>
          </cell>
          <cell r="I183" t="str">
            <v>in service</v>
          </cell>
          <cell r="J183" t="str">
            <v>Install 2050 ft of 2 in IP PE, 20 ft of 4 in IP PE, 2255 ft of 6 in IP PE main to serve 36 new residential customers - Benton House of Staley Hills.</v>
          </cell>
          <cell r="K183" t="str">
            <v>MAIN EXTENSION FOR BENTON HOUSE OF STALEY HILLS N WOODLAND AVE - Load 2,500 cfh with 36 villas. NOTE: WO Revision 10-18-16</v>
          </cell>
          <cell r="L183">
            <v>42751</v>
          </cell>
          <cell r="O183">
            <v>42736</v>
          </cell>
          <cell r="P183" t="str">
            <v>1271-020036  CLAY CTY/KANSAS CITY</v>
          </cell>
          <cell r="Q183">
            <v>126353.04</v>
          </cell>
          <cell r="R183">
            <v>-9050.5</v>
          </cell>
        </row>
        <row r="184">
          <cell r="A184" t="str">
            <v>006514</v>
          </cell>
          <cell r="B184" t="str">
            <v>LDC 2</v>
          </cell>
          <cell r="D184" t="str">
            <v>no</v>
          </cell>
          <cell r="E184" t="str">
            <v>21271143280</v>
          </cell>
          <cell r="F184" t="str">
            <v>F0610</v>
          </cell>
          <cell r="G184" t="str">
            <v>New business</v>
          </cell>
          <cell r="H184" t="str">
            <v>BRIGHTON CREEK CLUBHOUSE Main Ext</v>
          </cell>
          <cell r="I184" t="str">
            <v>posted to CPR</v>
          </cell>
          <cell r="J184" t="str">
            <v>BRIGHTON CREEK CLUBHOUSE: Kansas City-Clay Co: New Main Extension - Contractor Crews  3760 (33-380)</v>
          </cell>
          <cell r="K184" t="str">
            <v>Approved by: Gary Williams on 09/22/2014,  LAY 846'-4" PE &amp; 740-2" PE TO SERVE CLUBHOUSE.  TIE INTO EXIST. 9' STUB OF 6" PE-(04-5259).  ONE WAY FEED.  ROCK IN AREA.  EASEMENT ALONG NORTH SIDE OF NE 80TH ST/SOCCER DR &amp; EAST SIDE OF N DENVER AVE BEING SOUGHT.  SCOTT CARGILL OF LUTJEN TO DEDICATE A 10' U.E. ALONG EAST SIDE OF DENVER AVE WITH RECORDING OF THE FINAL PLAT FOR BRIGHTON CREEK; AS WELL AS 10' U.E. UP TO THE CLUBHOUSE FOR PHONE/CABLE AS WELL.  LUTJEN TO GENERATE A 15' UTILITY EASEMENT ALONG SOCCER DRIVE FOR PROPERTY OWNER TO EXECUTE AND LUTJEN TO RECORD.   SUSAN MARX RAN THRU RATE CALCULATION.  1,586'-75 FT=1,511 FT.  1,511 x $8.50=$12,843.50  DEVELOPER TO CONTRIBUTE $12,843.50 BEFORE START OF PROJECT.  COST PER FOOT=$27.04  Check sent to St Louis 9-10-14 per WOES</v>
          </cell>
          <cell r="L184">
            <v>41990</v>
          </cell>
          <cell r="M184">
            <v>42063</v>
          </cell>
          <cell r="N184">
            <v>42160.553692129601</v>
          </cell>
          <cell r="O184">
            <v>41974</v>
          </cell>
          <cell r="P184" t="str">
            <v>1271-020036  CLAY CTY/KANSAS CITY</v>
          </cell>
          <cell r="Q184">
            <v>10479.59</v>
          </cell>
          <cell r="R184">
            <v>-3601.25</v>
          </cell>
        </row>
        <row r="185">
          <cell r="A185" t="str">
            <v>801041</v>
          </cell>
          <cell r="B185" t="str">
            <v>LDC 2</v>
          </cell>
          <cell r="C185" t="str">
            <v>01 - Cast Iron Strategic Replacement</v>
          </cell>
          <cell r="D185" t="str">
            <v>yes</v>
          </cell>
          <cell r="F185" t="str">
            <v>F0599</v>
          </cell>
          <cell r="G185" t="str">
            <v>Main Replacement - ISRS (N)</v>
          </cell>
          <cell r="H185" t="str">
            <v>Inst 9410F 8-12 Budd Park HeaderPh2</v>
          </cell>
          <cell r="I185" t="str">
            <v>open</v>
          </cell>
          <cell r="J185" t="str">
            <v>Install 1970 Ft. of 8 inch PL IP Header Main and 7480 Ft. of 12 inch PL on 9th Street.</v>
          </cell>
          <cell r="K185" t="str">
            <v>This main is being installed as part of FY17 Cast Iron Replacement Program.</v>
          </cell>
          <cell r="P185" t="str">
            <v>0401-043050  JACKSON CTY/KC</v>
          </cell>
          <cell r="Q185">
            <v>84725.22</v>
          </cell>
          <cell r="R185">
            <v>-10621</v>
          </cell>
        </row>
        <row r="186">
          <cell r="A186" t="str">
            <v>800901</v>
          </cell>
          <cell r="B186" t="str">
            <v>LDC 2</v>
          </cell>
          <cell r="C186" t="str">
            <v>02 - Cast Iron AOR Replacement</v>
          </cell>
          <cell r="D186" t="str">
            <v>yes</v>
          </cell>
          <cell r="F186" t="str">
            <v>F0599</v>
          </cell>
          <cell r="G186" t="str">
            <v>Main Replacement - ISRS (N)</v>
          </cell>
          <cell r="H186" t="str">
            <v>Repl w 30F 4P Lydia at 8th &amp;9th AOR</v>
          </cell>
          <cell r="I186" t="str">
            <v>open</v>
          </cell>
          <cell r="J186" t="str">
            <v>Install ~30 ft of 4 in PL LP main along Lydia between 8th and 9th.</v>
          </cell>
          <cell r="K186" t="str">
            <v>Abandon ~30 ft of 4 in CI LP main above location. Total services to tie-over = 0. This work is being done due to AOR.  Main was exposed 106 ft NSCB of 9th and 13 ft EWCB of Lydia.  This has a compliance date of 12/21/2016.</v>
          </cell>
          <cell r="P186" t="str">
            <v>0401-043050  JACKSON CTY/KC</v>
          </cell>
          <cell r="Q186">
            <v>15871.38</v>
          </cell>
          <cell r="R186">
            <v>-1049</v>
          </cell>
        </row>
        <row r="187">
          <cell r="A187" t="str">
            <v>800546</v>
          </cell>
          <cell r="B187" t="str">
            <v>LDC 2</v>
          </cell>
          <cell r="C187" t="str">
            <v>09 - Facility Relocation due to Civic Improvement</v>
          </cell>
          <cell r="D187" t="str">
            <v>yes</v>
          </cell>
          <cell r="F187" t="str">
            <v>F0547</v>
          </cell>
          <cell r="G187" t="str">
            <v>Street &amp; Highway Relocates ISRS (N)</v>
          </cell>
          <cell r="H187" t="str">
            <v>Rel w/ 70F 4S Green Hills&amp;Parkdale</v>
          </cell>
          <cell r="I187" t="str">
            <v>open</v>
          </cell>
          <cell r="J187" t="str">
            <v>Install 70ft of 4in ST IP Main on Green Hills Rd near Parkdale Rd in Riverside, MO. Abandon 40ft of 4in ST IP Main at the above location.  No services to tie-over or abandon.  Non-reimbursable</v>
          </cell>
          <cell r="P187" t="str">
            <v>0401-043050  JACKSON CTY/KC</v>
          </cell>
          <cell r="Q187">
            <v>0</v>
          </cell>
          <cell r="R187">
            <v>40</v>
          </cell>
        </row>
        <row r="188">
          <cell r="A188" t="str">
            <v>800439</v>
          </cell>
          <cell r="B188" t="str">
            <v>LDC 2</v>
          </cell>
          <cell r="C188" t="str">
            <v>01 - Cast Iron Strategic Replacement</v>
          </cell>
          <cell r="D188" t="str">
            <v>yes</v>
          </cell>
          <cell r="F188" t="str">
            <v>F0599</v>
          </cell>
          <cell r="G188" t="str">
            <v>Main Replacement - ISRS (N)</v>
          </cell>
          <cell r="H188" t="str">
            <v>KC-39th &amp; State Line Cast Iron PhB</v>
          </cell>
          <cell r="I188" t="str">
            <v>open</v>
          </cell>
          <cell r="J188" t="str">
            <v>Install 5580 Ft of 2 in PL IP main for 39th and Stateline Phase B. Abandon 1867 Ft of 4 in CI, 3518 Ft of 6 in CI, 2 Ft of 6 in PL, 21 Ft of 4 in PL and 353 Ft of 2 in ST. Uprate 1256 Ft of 4 in PL LP to IP. FY16 Cast Iron Replacement Program.</v>
          </cell>
          <cell r="P188" t="str">
            <v>0401-043050  JACKSON CTY/KC</v>
          </cell>
          <cell r="Q188">
            <v>946507.32</v>
          </cell>
          <cell r="R188">
            <v>-1605.5133000000001</v>
          </cell>
        </row>
        <row r="189">
          <cell r="A189" t="str">
            <v>800272</v>
          </cell>
          <cell r="B189" t="str">
            <v>LDC 2</v>
          </cell>
          <cell r="C189" t="str">
            <v>02 - Cast Iron AOR Replacement</v>
          </cell>
          <cell r="D189" t="str">
            <v>yes</v>
          </cell>
          <cell r="F189" t="str">
            <v>F0599</v>
          </cell>
          <cell r="G189" t="str">
            <v>Main Replacement - ISRS (N)</v>
          </cell>
          <cell r="H189" t="str">
            <v>AOR - 20th and McGee St Replacement</v>
          </cell>
          <cell r="I189" t="str">
            <v>completed</v>
          </cell>
          <cell r="J189" t="str">
            <v>Install 754ft of 4in PE - 20th &amp; McGee. Abandon 502ft of 4in  CI, 112ft of 6in CI, and 466ft of 4in STL (Majority installed prior to 1966). This replacement is due to an AOR. Compliance date of 2/17/2016</v>
          </cell>
          <cell r="L189">
            <v>42551</v>
          </cell>
          <cell r="M189">
            <v>42704</v>
          </cell>
          <cell r="O189">
            <v>42522</v>
          </cell>
          <cell r="P189" t="str">
            <v>0401-043050  JACKSON CTY/KC</v>
          </cell>
          <cell r="Q189">
            <v>92176.94</v>
          </cell>
          <cell r="R189">
            <v>-370.49</v>
          </cell>
        </row>
        <row r="190">
          <cell r="A190" t="str">
            <v>008759</v>
          </cell>
          <cell r="B190" t="str">
            <v>LDC 2</v>
          </cell>
          <cell r="D190" t="str">
            <v>yes</v>
          </cell>
          <cell r="E190" t="str">
            <v>20401155256</v>
          </cell>
          <cell r="F190" t="str">
            <v>F0631</v>
          </cell>
          <cell r="G190" t="str">
            <v>Services - 2" &amp; larger - safety</v>
          </cell>
          <cell r="H190" t="str">
            <v>2in Service Replacement</v>
          </cell>
          <cell r="I190" t="str">
            <v>posted to CPR</v>
          </cell>
          <cell r="J190" t="str">
            <v>2in Service Replacement: Kansas City-Jackson: Replace Services 2in &amp; Larger - Safety Prgm - 3800 (42-386)</v>
          </cell>
          <cell r="K190" t="str">
            <v>Approved by: Gary Williams on 06/22/2015,  Replace service to 3028 E 18th Street tie into 4" cast iron main on 18th Street, due to leaks on existing main.</v>
          </cell>
          <cell r="L190">
            <v>42230</v>
          </cell>
          <cell r="M190">
            <v>42369</v>
          </cell>
          <cell r="N190">
            <v>42434.533726851798</v>
          </cell>
          <cell r="O190">
            <v>42217</v>
          </cell>
          <cell r="P190" t="str">
            <v>0401-043050  JACKSON CTY/KC</v>
          </cell>
          <cell r="Q190">
            <v>5540.81</v>
          </cell>
          <cell r="R190">
            <v>-374</v>
          </cell>
        </row>
        <row r="191">
          <cell r="A191" t="str">
            <v>007654</v>
          </cell>
          <cell r="B191" t="str">
            <v>LDC 2</v>
          </cell>
          <cell r="D191" t="str">
            <v>yes</v>
          </cell>
          <cell r="E191" t="str">
            <v>20401155118</v>
          </cell>
          <cell r="F191" t="str">
            <v>F0599</v>
          </cell>
          <cell r="G191" t="str">
            <v>Main Replacement - ISRS (N)</v>
          </cell>
          <cell r="H191" t="str">
            <v>AOR 4in CI Replacement</v>
          </cell>
          <cell r="I191" t="str">
            <v>posted to CPR</v>
          </cell>
          <cell r="J191" t="str">
            <v>AOR 4in CI Replacement: Kansas City-Jackson: Replace Cast Iron Main - 3760 Safety Related (34-412)</v>
          </cell>
          <cell r="K191" t="str">
            <v>Approved by: Gary Williams on 02/10/2015,  AOR Due 04/17/2015. Replace 4'' and 6'' CI with 285' of 4'' PE. System C-001.</v>
          </cell>
          <cell r="L191">
            <v>42110</v>
          </cell>
          <cell r="M191">
            <v>42219</v>
          </cell>
          <cell r="N191">
            <v>42285.379768518498</v>
          </cell>
          <cell r="O191">
            <v>42125</v>
          </cell>
          <cell r="P191" t="str">
            <v>0401-043050  JACKSON CTY/KC</v>
          </cell>
          <cell r="Q191">
            <v>10463.35</v>
          </cell>
          <cell r="R191">
            <v>329.25</v>
          </cell>
        </row>
        <row r="192">
          <cell r="A192" t="str">
            <v>006073</v>
          </cell>
          <cell r="B192" t="str">
            <v>LDC 2</v>
          </cell>
          <cell r="D192" t="str">
            <v>no</v>
          </cell>
          <cell r="E192" t="str">
            <v>20401143743</v>
          </cell>
          <cell r="F192" t="str">
            <v>F0610</v>
          </cell>
          <cell r="G192" t="str">
            <v>New business</v>
          </cell>
          <cell r="H192" t="str">
            <v>Jackson Main Extension 420F -2in PE</v>
          </cell>
          <cell r="I192" t="str">
            <v>posted to CPR</v>
          </cell>
          <cell r="J192" t="str">
            <v>Jackson Main Extension 450ft of 2in PE: Kansas City-Jackson: New Main Extension - Contractor Crews  3760 (33-380)</v>
          </cell>
          <cell r="K192" t="str">
            <v>Approved by: Gary Williams on 08/21/2014,  Install 420' of 2" PE to serve 1 customer 8142 Chestnut. No charge per Gary Williams.</v>
          </cell>
          <cell r="L192">
            <v>41904</v>
          </cell>
          <cell r="M192">
            <v>41943</v>
          </cell>
          <cell r="N192">
            <v>42041.669328703698</v>
          </cell>
          <cell r="O192">
            <v>41913</v>
          </cell>
          <cell r="P192" t="str">
            <v>0401-043050  JACKSON CTY/KC</v>
          </cell>
          <cell r="Q192">
            <v>9340.59</v>
          </cell>
          <cell r="R192">
            <v>-451</v>
          </cell>
        </row>
        <row r="193">
          <cell r="A193" t="str">
            <v>006934</v>
          </cell>
          <cell r="B193" t="str">
            <v>LDC 2</v>
          </cell>
          <cell r="D193" t="str">
            <v>no</v>
          </cell>
          <cell r="E193" t="str">
            <v>20401143966</v>
          </cell>
          <cell r="F193" t="str">
            <v>F0660</v>
          </cell>
          <cell r="G193" t="str">
            <v>Meter &amp; Reg Settings 2" &amp; Lg (N)</v>
          </cell>
          <cell r="H193" t="str">
            <v>Center Point Cross Dock 7M Roots</v>
          </cell>
          <cell r="I193" t="str">
            <v>posted to CPR</v>
          </cell>
          <cell r="J193" t="str">
            <v>Center Point Cross Dock 7M Roots: Kansas City-Jackson: New Meter &amp; Reg Settings - 2in &amp; Larger 3820/3830 (33-382)</v>
          </cell>
          <cell r="K193" t="str">
            <v>Approved by: Rob Kitterman on 11/17/2014,  This work is necessary to install a 7M Roots meter to serve one new commercial customer. We'll set a 2in CL-34-2 regulator at 2psig with a 1in 289H relief set at 3psig for a connected load of 6691cfh.</v>
          </cell>
          <cell r="L193">
            <v>41967</v>
          </cell>
          <cell r="M193">
            <v>42004</v>
          </cell>
          <cell r="N193">
            <v>42013.446261574099</v>
          </cell>
          <cell r="O193">
            <v>41974</v>
          </cell>
          <cell r="P193" t="str">
            <v>0401-043050  JACKSON CTY/KC</v>
          </cell>
          <cell r="Q193">
            <v>1529.32</v>
          </cell>
          <cell r="R193">
            <v>-21</v>
          </cell>
        </row>
        <row r="194">
          <cell r="A194" t="str">
            <v>006795</v>
          </cell>
          <cell r="B194" t="str">
            <v>LDC 2</v>
          </cell>
          <cell r="D194" t="str">
            <v>no</v>
          </cell>
          <cell r="E194" t="str">
            <v>20401143847</v>
          </cell>
          <cell r="F194" t="str">
            <v>F0670</v>
          </cell>
          <cell r="G194" t="str">
            <v>Tools, Instruments &amp; Equipment (N)</v>
          </cell>
          <cell r="H194" t="str">
            <v>Tools (Guillotine Pipe Saw)</v>
          </cell>
          <cell r="I194" t="str">
            <v>posted to CPR</v>
          </cell>
          <cell r="J194" t="str">
            <v>Tools: Kansas City-Jackson: Purchase Tools, Instruments &amp; Equipment  3940 (37-366)</v>
          </cell>
          <cell r="K194" t="str">
            <v>Approved by: Gary Williams on 10/14/2014,  This is a proprietary tool and cannot be repaired</v>
          </cell>
          <cell r="L194">
            <v>42040</v>
          </cell>
          <cell r="M194">
            <v>42063</v>
          </cell>
          <cell r="N194">
            <v>42067.7635532407</v>
          </cell>
          <cell r="O194">
            <v>42036</v>
          </cell>
          <cell r="P194" t="str">
            <v>0401-043050  JACKSON CTY/KC</v>
          </cell>
          <cell r="Q194">
            <v>19746</v>
          </cell>
          <cell r="R194">
            <v>2</v>
          </cell>
        </row>
        <row r="195">
          <cell r="A195" t="str">
            <v>005553</v>
          </cell>
          <cell r="B195" t="str">
            <v>LDC 2</v>
          </cell>
          <cell r="D195" t="str">
            <v>no</v>
          </cell>
          <cell r="E195" t="str">
            <v>20401143378</v>
          </cell>
          <cell r="F195" t="str">
            <v>F0542</v>
          </cell>
          <cell r="G195" t="str">
            <v>New District Regulator Stations (N)</v>
          </cell>
          <cell r="H195" t="str">
            <v>Hwy 150 &amp; Botts Rd Install DRS 760</v>
          </cell>
          <cell r="I195" t="str">
            <v>posted to CPR</v>
          </cell>
          <cell r="J195" t="str">
            <v>Hwy 150 &amp; Botts Rd Install DRS 760: Kansas City-Jackson: New District/TB Stations  3780/3790 (33-383)</v>
          </cell>
          <cell r="K195" t="str">
            <v>Approved by: Kevin Driskell on 06/23/2014,  BUILDING NEW DRS 760 DUE TO NEW LIGHT INDUSTRIAL MANUFACTURING/OFFICE COMMERCIAL COMPLEX.  THIS W.O. GOES WITH 14-3316.  THIS DRS WILL UTILIZE (2)REGULATORS-ROCKWELL 461-57S 125 LB FL BODY 2", 1" DV, STERLING SILVER TRIM, BUNA-N SEATS.  COORDINATE ALL WORK WITH TOM MCGILL OF P&amp;M.  (CHECK WITH TOM MCGILL CONCERNING ALL COORDINATION &amp; NEEDED CHANGES.)  FISHER RELIEF VALVE(289H-44)1" WILL HAVE 15-50#FOR RELIEF VALVE.  DISTRICT REGULATOR STATION 760 WILL OPERATE AT: MAOP-60#  MOP-25#  MINOP-15#.  RELIEF VALVE-34#, MONITOR-35#, OPERATOR-25#.  OPERATOR 11/16 SINGLE, MONITOR 11/16 DOUBLE.  4" TF STEEL MAIN will tie-in off new 6" tf steel main (14-3316) HAVING MOP-95 PSIG, MAOP-110 PSIG.  FLANGE-BLIND FLAT FACE STL 150 LB 2" STD-needed to air test 4" TF Steel gas main.</v>
          </cell>
          <cell r="L195">
            <v>41950</v>
          </cell>
          <cell r="M195">
            <v>42248</v>
          </cell>
          <cell r="N195">
            <v>42496.433668981503</v>
          </cell>
          <cell r="O195">
            <v>42125</v>
          </cell>
          <cell r="P195" t="str">
            <v>0401-043050  JACKSON CTY/KC</v>
          </cell>
          <cell r="Q195">
            <v>5593.26</v>
          </cell>
          <cell r="R195">
            <v>-256</v>
          </cell>
        </row>
        <row r="196">
          <cell r="A196" t="str">
            <v>005036</v>
          </cell>
          <cell r="B196" t="str">
            <v>LDC 2</v>
          </cell>
          <cell r="D196" t="str">
            <v>no</v>
          </cell>
          <cell r="E196" t="str">
            <v>20401143497</v>
          </cell>
          <cell r="F196" t="str">
            <v>F0670</v>
          </cell>
          <cell r="G196" t="str">
            <v>Tools, Instruments &amp; Equipment (N)</v>
          </cell>
          <cell r="H196" t="str">
            <v>PUR-2IN GRUNDOMAT-55P BASIC PKG</v>
          </cell>
          <cell r="I196" t="str">
            <v>posted to CPR</v>
          </cell>
          <cell r="J196" t="str">
            <v>PUR-2IN GRUNDOMAT-55P BASIC PKG: Kansas City-Jackson: Purchase Tools, Instruments &amp; Equipment  3940 (37-366)</v>
          </cell>
          <cell r="K196" t="str">
            <v>Approved by: Gary Williams on 04/22/2014,  PURCHASE-2IN GRUNDOMAT-55P BASIC PACKAGE. TO BE USED BY THE C&amp;M CREWS AT CENTRAL TO BORE UNDER STREETS. THIS IS A REPLACEMENT.</v>
          </cell>
          <cell r="L196">
            <v>41806</v>
          </cell>
          <cell r="M196">
            <v>42217</v>
          </cell>
          <cell r="N196">
            <v>42243.332083333298</v>
          </cell>
          <cell r="O196">
            <v>41791</v>
          </cell>
          <cell r="P196" t="str">
            <v>0401-043050  JACKSON CTY/KC</v>
          </cell>
          <cell r="Q196">
            <v>2807.83</v>
          </cell>
          <cell r="R196">
            <v>3</v>
          </cell>
        </row>
        <row r="197">
          <cell r="A197" t="str">
            <v>005154</v>
          </cell>
          <cell r="B197" t="str">
            <v>LDC 2</v>
          </cell>
          <cell r="D197" t="str">
            <v>no</v>
          </cell>
          <cell r="E197" t="str">
            <v>20401143525</v>
          </cell>
          <cell r="F197" t="str">
            <v>F0639</v>
          </cell>
          <cell r="G197" t="str">
            <v>EGM Equip-1st Time Installation</v>
          </cell>
          <cell r="H197" t="str">
            <v>EGM - Dept of Energy 14550 Botts Rd</v>
          </cell>
          <cell r="I197" t="str">
            <v>posted to CPR</v>
          </cell>
          <cell r="J197" t="str">
            <v>EGM - Dept of Energy 14550 Botts Rd: Kansas City-Jackson: Install EGM Equipment - First Time Installation  3850 (32-403)</v>
          </cell>
          <cell r="K197" t="str">
            <v>Approved by: Rob Kitterman on 04/30/2014,  Install MiniAT-PT w/ Messenger Modem S/N: 13038786 on Roots 38M meter no 00946315 to monitor daily gas usage of this transportation customer. Customer will reimburse company actual cost for EGM installation not to exceed $5,445.00, which should be coded to account 1072. ATTENTION: Plant &amp; Property Accounting, EGM work order, turn off A&amp;G indicator.</v>
          </cell>
          <cell r="L197">
            <v>42443</v>
          </cell>
          <cell r="M197">
            <v>42491</v>
          </cell>
          <cell r="N197">
            <v>42528.313090277799</v>
          </cell>
          <cell r="O197">
            <v>42430</v>
          </cell>
          <cell r="P197" t="str">
            <v>0401-043050  JACKSON CTY/KC</v>
          </cell>
          <cell r="Q197">
            <v>-245.15</v>
          </cell>
          <cell r="R197">
            <v>9</v>
          </cell>
        </row>
        <row r="198">
          <cell r="A198" t="str">
            <v>005131</v>
          </cell>
          <cell r="B198" t="str">
            <v>LDC 2</v>
          </cell>
          <cell r="D198" t="str">
            <v>no</v>
          </cell>
          <cell r="E198" t="str">
            <v>20401143535</v>
          </cell>
          <cell r="F198" t="str">
            <v>F0507</v>
          </cell>
          <cell r="G198" t="str">
            <v>Rebuild Meter Install 2'' &amp; Lg (S)</v>
          </cell>
          <cell r="H198" t="str">
            <v>Remove 7M Rotary Meter</v>
          </cell>
          <cell r="I198" t="str">
            <v>posted to CPR</v>
          </cell>
          <cell r="J198" t="str">
            <v>Remove 7M Rotary Meter: Kansas City-Jackson: Replace Meter &amp; Reg 2&amp;quot; &amp;  Larger - 3820/3830 (32-404)</v>
          </cell>
          <cell r="K198" t="str">
            <v>Approved by: Ralph Janes on 04/30/2014,  Remove and dismantle the 7M rotary meter setting (meter #08056110, installed on WO# 91-3027) at the old Sam's Club building due to inactivity.</v>
          </cell>
          <cell r="L198">
            <v>41779</v>
          </cell>
          <cell r="M198">
            <v>42217</v>
          </cell>
          <cell r="N198">
            <v>42345.490057870396</v>
          </cell>
          <cell r="P198" t="str">
            <v>0401-043050  JACKSON CTY/KC</v>
          </cell>
          <cell r="Q198">
            <v>629.15</v>
          </cell>
          <cell r="R198">
            <v>5</v>
          </cell>
        </row>
        <row r="199">
          <cell r="A199" t="str">
            <v>004557</v>
          </cell>
          <cell r="B199" t="str">
            <v>LDC 2</v>
          </cell>
          <cell r="D199" t="str">
            <v>yes</v>
          </cell>
          <cell r="E199" t="str">
            <v>20401121900</v>
          </cell>
          <cell r="F199" t="str">
            <v>F0668</v>
          </cell>
          <cell r="G199" t="str">
            <v>Replace cast iron main - CPI / prio</v>
          </cell>
          <cell r="H199" t="str">
            <v>55th &amp; Woodland Repl CI w 12in TF S</v>
          </cell>
          <cell r="I199" t="str">
            <v>posted to CPR</v>
          </cell>
          <cell r="J199" t="str">
            <v>55th &amp; Woodland Repl CI w 12in TF Steel main: Kansas City-Jackson: 55th St &amp; Woodland Ave</v>
          </cell>
          <cell r="K199" t="str">
            <v>Approved by: Kevin Driskell on 09/27/2013,  ISRS. To replace 10' of 12in CI and abandon 91' of 6in CI main in Sector 0208. This will be done as to replace the section of 6in CI main with CI break #11-998 due to graphitization. This work will be done in part with the CI Replacement Program as mandated by the Missouri Public Service Commission for the calendar year, 2013. See attached sheet for work order numbers, size, and footage of main to be retired. Main is on the C-001 pressure system with an MOP=1.1psig and MAOP=2.2psig. Retire 91'-6in Cast Iron, yr 1916, JO B37P19; 10'-12in Cast Iron, yr 1916, JO B37P13.</v>
          </cell>
          <cell r="L199">
            <v>41577</v>
          </cell>
          <cell r="M199">
            <v>41638</v>
          </cell>
          <cell r="N199">
            <v>41676.633414351803</v>
          </cell>
          <cell r="O199">
            <v>41730</v>
          </cell>
          <cell r="P199" t="str">
            <v>0401-043050  JACKSON CTY/KC</v>
          </cell>
          <cell r="Q199">
            <v>61761.17</v>
          </cell>
          <cell r="R199">
            <v>260.39999999999998</v>
          </cell>
        </row>
        <row r="200">
          <cell r="A200" t="str">
            <v>004006</v>
          </cell>
          <cell r="B200" t="str">
            <v>LDC 2</v>
          </cell>
          <cell r="D200" t="str">
            <v>no</v>
          </cell>
          <cell r="E200" t="str">
            <v>20401132818</v>
          </cell>
          <cell r="F200" t="str">
            <v>F0660</v>
          </cell>
          <cell r="G200" t="str">
            <v>Meter &amp; Reg Settings 2" &amp; Lg (N)</v>
          </cell>
          <cell r="H200" t="str">
            <v>Mason Crematory 7M Mtr 8520 Prospec</v>
          </cell>
          <cell r="I200" t="str">
            <v>posted to CPR</v>
          </cell>
          <cell r="J200" t="str">
            <v>Mason Crematory 7M Mtr 8520 Prospect: Kansas City-Jackson: 8520 Prospect Ave</v>
          </cell>
          <cell r="K200" t="str">
            <v>Approved by: Mike Fornelli on 07/29/2013,  This work is necessary to install a 7M Roots meter to serve one new commercial customer. We'll set a 2in CL-34-2 at 2psig with a 1in 289H relief set at 3psig for a connected load of 7000cfh.</v>
          </cell>
          <cell r="L200">
            <v>41495</v>
          </cell>
          <cell r="M200">
            <v>41600</v>
          </cell>
          <cell r="N200">
            <v>41612.300150463001</v>
          </cell>
          <cell r="P200" t="str">
            <v>0401-043050  JACKSON CTY/KC</v>
          </cell>
          <cell r="Q200">
            <v>5298.09</v>
          </cell>
          <cell r="R200">
            <v>20</v>
          </cell>
        </row>
        <row r="201">
          <cell r="A201" t="str">
            <v>004203</v>
          </cell>
          <cell r="B201" t="str">
            <v>LDC 2</v>
          </cell>
          <cell r="D201" t="str">
            <v>yes</v>
          </cell>
          <cell r="E201" t="str">
            <v>20401132824</v>
          </cell>
          <cell r="F201" t="str">
            <v>F0501</v>
          </cell>
          <cell r="G201" t="str">
            <v>Station rebuild &amp; replacement</v>
          </cell>
          <cell r="H201" t="str">
            <v>Rebuild DRS 415</v>
          </cell>
          <cell r="I201" t="str">
            <v>posted to CPR</v>
          </cell>
          <cell r="J201" t="str">
            <v>Rebuild DRS 415: Kansas City-Jackson: 150 Hwy and Raytown Rd</v>
          </cell>
          <cell r="K201" t="str">
            <v>Approved by: Ralph Janes on 07/31/2013,  Rebuild/Relocate DRS #415 on the South outer road at 150 Hwy and Raytown Rd. Inlet system C-062 (MOP = 250 psig and MAOP = 250 psig) and outlet system S-415 (MOP = MAOP = 15 psig). The existing 1&amp;quot; Fisher 627M (operator) and the 1&amp;quot; Fisher 627M (monitor) installed on wo# 94-002706 will be junked and replaced with a 2&amp;quot; 300# Mooney Flow Grid Regulator (operator) and a 2&amp;quot; 300# Rockwell 441-57S Regulator (monitor) w/ a Red (12.5 - 30 psig) spring on wo# 13-2824. Must rebuild Inlet/Outlet piping to DRS 415 on wo# 13-2825. Pressure system S-415 will be uprated to allow the system to have a new MAOP of 58 psig and a MOP of 50 psig.</v>
          </cell>
          <cell r="L201">
            <v>41596</v>
          </cell>
          <cell r="M201">
            <v>41626</v>
          </cell>
          <cell r="N201">
            <v>41676.633414351803</v>
          </cell>
          <cell r="P201" t="str">
            <v>0401-043050  JACKSON CTY/KC</v>
          </cell>
          <cell r="Q201">
            <v>16901.68</v>
          </cell>
          <cell r="R201">
            <v>176</v>
          </cell>
        </row>
        <row r="202">
          <cell r="A202" t="str">
            <v>003869</v>
          </cell>
          <cell r="B202" t="str">
            <v>LDC 2</v>
          </cell>
          <cell r="D202" t="str">
            <v>yes</v>
          </cell>
          <cell r="E202" t="str">
            <v>20401133186</v>
          </cell>
          <cell r="F202" t="str">
            <v>F0599</v>
          </cell>
          <cell r="G202" t="str">
            <v>Main Replacement - ISRS (N)</v>
          </cell>
          <cell r="H202" t="str">
            <v>AOR Brooklyn &amp; Linwood Repl CI w 60</v>
          </cell>
          <cell r="I202" t="str">
            <v>posted to CPR</v>
          </cell>
          <cell r="J202" t="str">
            <v>AOR Brooklyn &amp; Linwood Repl CI w 60'-6in PE main: Kansas City-Jackson: Brooklyn and Linwood</v>
          </cell>
          <cell r="K202" t="str">
            <v>Approved by: Gary Williams on 01/15/2014,  AOR.  Replace 8in and 6in CI with 60'-6in PE due to angle of repose.  Coupling was exposed 9' ECL Brooklyn and 25' NCL Linwood.  Replace cross at intersection due to lack of space to bag off 6" CI on Brooklyn.  This job must be completed by March 5, 2014.  Retire 20'-8in CI, BK10P36; 40'-6in CI, BK10P40.</v>
          </cell>
          <cell r="L202">
            <v>41703</v>
          </cell>
          <cell r="M202">
            <v>41820</v>
          </cell>
          <cell r="N202">
            <v>41858.746064814797</v>
          </cell>
          <cell r="O202">
            <v>41730</v>
          </cell>
          <cell r="P202" t="str">
            <v>0401-043050  JACKSON CTY/KC</v>
          </cell>
          <cell r="Q202">
            <v>123262.31</v>
          </cell>
          <cell r="R202">
            <v>646.5</v>
          </cell>
        </row>
        <row r="203">
          <cell r="A203" t="str">
            <v>004804</v>
          </cell>
          <cell r="B203" t="str">
            <v>LDC 2</v>
          </cell>
          <cell r="D203" t="str">
            <v>no</v>
          </cell>
          <cell r="E203" t="str">
            <v>29160000000</v>
          </cell>
          <cell r="F203" t="str">
            <v>F0722</v>
          </cell>
          <cell r="G203" t="str">
            <v>Misc Sales MGE</v>
          </cell>
          <cell r="H203" t="str">
            <v>Misc Sales MGE</v>
          </cell>
          <cell r="I203" t="str">
            <v>open</v>
          </cell>
          <cell r="J203" t="str">
            <v>Misc Sales MGE</v>
          </cell>
          <cell r="P203" t="str">
            <v>Expense Only</v>
          </cell>
          <cell r="Q203">
            <v>18452.43</v>
          </cell>
          <cell r="R203">
            <v>0</v>
          </cell>
        </row>
        <row r="204">
          <cell r="A204" t="str">
            <v>004852</v>
          </cell>
          <cell r="B204" t="str">
            <v>LDC 2</v>
          </cell>
          <cell r="D204" t="str">
            <v>no</v>
          </cell>
          <cell r="E204" t="str">
            <v>29320300000</v>
          </cell>
          <cell r="F204" t="str">
            <v>F0731</v>
          </cell>
          <cell r="G204" t="str">
            <v>Mtce Admin &amp; Gen Office MGE</v>
          </cell>
          <cell r="H204" t="str">
            <v>Maint of Comm Equip MGE</v>
          </cell>
          <cell r="I204" t="str">
            <v>open</v>
          </cell>
          <cell r="J204" t="str">
            <v>Maint of Comm Equip MGE</v>
          </cell>
          <cell r="P204" t="str">
            <v>Expense Only</v>
          </cell>
          <cell r="Q204">
            <v>1120929.58</v>
          </cell>
          <cell r="R204">
            <v>0</v>
          </cell>
        </row>
        <row r="205">
          <cell r="A205" t="str">
            <v>004840</v>
          </cell>
          <cell r="B205" t="str">
            <v>LDC 2</v>
          </cell>
          <cell r="D205" t="str">
            <v>no</v>
          </cell>
          <cell r="E205" t="str">
            <v>29240600000</v>
          </cell>
          <cell r="F205" t="str">
            <v>F0724</v>
          </cell>
          <cell r="G205" t="str">
            <v>Property Insurance Prem MGE</v>
          </cell>
          <cell r="H205" t="str">
            <v>Insurance Exp - Misc MGE</v>
          </cell>
          <cell r="I205" t="str">
            <v>open</v>
          </cell>
          <cell r="J205" t="str">
            <v>Insurance Exp - Misc MGE</v>
          </cell>
          <cell r="P205" t="str">
            <v>Expense Only</v>
          </cell>
          <cell r="Q205">
            <v>3795</v>
          </cell>
          <cell r="R205">
            <v>0</v>
          </cell>
        </row>
        <row r="206">
          <cell r="A206" t="str">
            <v>004740</v>
          </cell>
          <cell r="B206" t="str">
            <v>LDC 2</v>
          </cell>
          <cell r="D206" t="str">
            <v>no</v>
          </cell>
          <cell r="E206" t="str">
            <v>28870720000</v>
          </cell>
          <cell r="F206" t="str">
            <v>F0700</v>
          </cell>
          <cell r="G206" t="str">
            <v>Maintenance of Mains - MGE</v>
          </cell>
          <cell r="H206" t="str">
            <v>Inspections-Marker,Casing MGE</v>
          </cell>
          <cell r="I206" t="str">
            <v>open</v>
          </cell>
          <cell r="J206" t="str">
            <v>Inspections-Marker,Casing MGE</v>
          </cell>
          <cell r="P206" t="str">
            <v>Expense Only</v>
          </cell>
          <cell r="Q206">
            <v>194784.75</v>
          </cell>
          <cell r="R206">
            <v>2787.25</v>
          </cell>
        </row>
        <row r="207">
          <cell r="A207" t="str">
            <v>004748</v>
          </cell>
          <cell r="B207" t="str">
            <v>LDC 2</v>
          </cell>
          <cell r="D207" t="str">
            <v>no</v>
          </cell>
          <cell r="E207" t="str">
            <v>28900500000</v>
          </cell>
          <cell r="F207" t="str">
            <v>F0709</v>
          </cell>
          <cell r="G207" t="str">
            <v>Mtce Meas &amp; Reg C&amp;I MGE</v>
          </cell>
          <cell r="H207" t="str">
            <v>Maint M&amp;R Eq - Industrial MGE</v>
          </cell>
          <cell r="I207" t="str">
            <v>open</v>
          </cell>
          <cell r="J207" t="str">
            <v>Maint M&amp;R Eq - Industrial MGE</v>
          </cell>
          <cell r="P207" t="str">
            <v>Expense Only</v>
          </cell>
          <cell r="Q207">
            <v>421099.67</v>
          </cell>
          <cell r="R207">
            <v>-9160.4166999999998</v>
          </cell>
        </row>
        <row r="208">
          <cell r="A208" t="str">
            <v>004716</v>
          </cell>
          <cell r="B208" t="str">
            <v>LDC 2</v>
          </cell>
          <cell r="D208" t="str">
            <v>no</v>
          </cell>
          <cell r="E208" t="str">
            <v>28740210000</v>
          </cell>
          <cell r="F208" t="str">
            <v>F0697</v>
          </cell>
          <cell r="G208" t="str">
            <v>Oper Dist Exp-Main &amp; Svc MGE</v>
          </cell>
          <cell r="H208" t="str">
            <v>Line Locates MGE</v>
          </cell>
          <cell r="I208" t="str">
            <v>open</v>
          </cell>
          <cell r="J208" t="str">
            <v>Line Locates MGE</v>
          </cell>
          <cell r="P208" t="str">
            <v>Expense Only</v>
          </cell>
          <cell r="Q208">
            <v>13232921.01</v>
          </cell>
          <cell r="R208">
            <v>13827033.039999999</v>
          </cell>
        </row>
        <row r="209">
          <cell r="A209" t="str">
            <v>004685</v>
          </cell>
          <cell r="B209" t="str">
            <v>LDC 2</v>
          </cell>
          <cell r="D209" t="str">
            <v>no</v>
          </cell>
          <cell r="E209" t="str">
            <v>218SGSREBSH</v>
          </cell>
          <cell r="F209" t="str">
            <v>F0680</v>
          </cell>
          <cell r="G209" t="str">
            <v>Regulatory Assets MGE</v>
          </cell>
          <cell r="H209" t="str">
            <v>Reg Ast Eng Eff SGS SH Reb MG</v>
          </cell>
          <cell r="I209" t="str">
            <v>open</v>
          </cell>
          <cell r="J209" t="str">
            <v>Reg Ast Eng Eff SGS SH Reb MG</v>
          </cell>
          <cell r="P209" t="str">
            <v>Expense Only</v>
          </cell>
          <cell r="Q209">
            <v>6625</v>
          </cell>
          <cell r="R209">
            <v>0</v>
          </cell>
        </row>
        <row r="210">
          <cell r="A210" t="str">
            <v>800401</v>
          </cell>
          <cell r="B210" t="str">
            <v>LDC 2</v>
          </cell>
          <cell r="C210" t="str">
            <v>07 - Cast Iron or Bare Steel Replacement - Corrosion</v>
          </cell>
          <cell r="D210" t="str">
            <v>yes</v>
          </cell>
          <cell r="F210" t="str">
            <v>F0572</v>
          </cell>
          <cell r="G210" t="str">
            <v>Main Replacement - ISRS (SW)</v>
          </cell>
          <cell r="H210" t="str">
            <v>Repl w 1051F 2P 33rd &amp; Ferguson Rd</v>
          </cell>
          <cell r="I210" t="str">
            <v>in service</v>
          </cell>
          <cell r="J210" t="str">
            <v>Install 1051 ft of 2 in MP PE main, on 33rd St and Ferguson Rd between Wisconsin Ave just East of Ferguson Rd.</v>
          </cell>
          <cell r="K210" t="str">
            <v>Abandon 68 ft of  2 in MP PE main, 443 ft of 2 in MP BST main, 61 ft of 3 in MP BST main, 176 ft of 3 in MP CST main, and 314 ft of 4 in MP PE main at the above locations. Total Service Tie-over = 14; Total Service Replacement = 0; Total Service Abandoned =0; Total Service Upgrade =0.  This main is being abandoned due to CP15-058 and bare steel replacement program.</v>
          </cell>
          <cell r="L210">
            <v>42760</v>
          </cell>
          <cell r="O210">
            <v>42736</v>
          </cell>
          <cell r="P210" t="str">
            <v>0501-044001  JASPER CTY/JOPLIN</v>
          </cell>
          <cell r="Q210">
            <v>65525.8</v>
          </cell>
          <cell r="R210">
            <v>-5099.6633000000002</v>
          </cell>
        </row>
        <row r="211">
          <cell r="A211" t="str">
            <v>800817</v>
          </cell>
          <cell r="B211" t="str">
            <v>LDC 2</v>
          </cell>
          <cell r="C211" t="str">
            <v>03 - Bare Steel Replacement</v>
          </cell>
          <cell r="D211" t="str">
            <v>yes</v>
          </cell>
          <cell r="F211" t="str">
            <v>F0572</v>
          </cell>
          <cell r="G211" t="str">
            <v>Main Replacement - ISRS (SW)</v>
          </cell>
          <cell r="H211" t="str">
            <v>Repl w 194F 2P 5th &amp; St. Louis</v>
          </cell>
          <cell r="I211" t="str">
            <v>in service</v>
          </cell>
          <cell r="J211" t="str">
            <v>Install ~ 194 Ft of 2 in PL LP main on St Louis Ave and 5th St.</v>
          </cell>
          <cell r="K211" t="str">
            <v>Abandon ~ 82 Ft of 2 in PL LP main, ~ 495 Ft of 2 in ST LP main at the above locations.  This main is being replaced due to CP deficiencies and as part of FY16 Bare Steel Replacement Program.</v>
          </cell>
          <cell r="L211">
            <v>42732</v>
          </cell>
          <cell r="O211">
            <v>42705</v>
          </cell>
          <cell r="P211" t="str">
            <v>0501-044001  JASPER CTY/JOPLIN</v>
          </cell>
          <cell r="Q211">
            <v>28824.71</v>
          </cell>
          <cell r="R211">
            <v>-211</v>
          </cell>
        </row>
        <row r="212">
          <cell r="A212" t="str">
            <v>800866</v>
          </cell>
          <cell r="B212" t="str">
            <v>LDC 2</v>
          </cell>
          <cell r="C212" t="str">
            <v>03 - Bare Steel Replacement</v>
          </cell>
          <cell r="D212" t="str">
            <v>yes</v>
          </cell>
          <cell r="F212" t="str">
            <v>F0572</v>
          </cell>
          <cell r="G212" t="str">
            <v>Main Replacement - ISRS (SW)</v>
          </cell>
          <cell r="H212" t="str">
            <v>Repl w 613F 2P 22nd &amp; Picher</v>
          </cell>
          <cell r="I212" t="str">
            <v>in service</v>
          </cell>
          <cell r="J212" t="str">
            <v>Install ~ 613 Ft of 2 in PL LP main on 22nd St &amp; Picher Ave.</v>
          </cell>
          <cell r="K212" t="str">
            <v>Abandon ~ 356 Ft of 2 in ST LP main on Picher Ave.  Total Service Tie Over = 1: Total Service Abandonment = 1.  This main is being replaced as part of FY16 Bare Steel Replacement Program</v>
          </cell>
          <cell r="L212">
            <v>42745</v>
          </cell>
          <cell r="O212">
            <v>42736</v>
          </cell>
          <cell r="P212" t="str">
            <v>0501-044001  JASPER CTY/JOPLIN</v>
          </cell>
          <cell r="Q212">
            <v>87188.05</v>
          </cell>
          <cell r="R212">
            <v>-336.75</v>
          </cell>
        </row>
        <row r="213">
          <cell r="A213" t="str">
            <v>800726</v>
          </cell>
          <cell r="B213" t="str">
            <v>LDC 2</v>
          </cell>
          <cell r="C213" t="str">
            <v>08 - Cast Iron or Bare Steel Replacement - Leaks</v>
          </cell>
          <cell r="D213" t="str">
            <v>yes</v>
          </cell>
          <cell r="F213" t="str">
            <v>F0572</v>
          </cell>
          <cell r="G213" t="str">
            <v>Main Replacement - ISRS (SW)</v>
          </cell>
          <cell r="H213" t="str">
            <v>Repl w/ 705F 4P 17th &amp; Grand</v>
          </cell>
          <cell r="I213" t="str">
            <v>open</v>
          </cell>
          <cell r="J213" t="str">
            <v>Install 705F 4P main on Grand Ave.  Abandon 137F 2P, 334F 2S and 258F 4S main at the above location.  Total service tie overs is 14, total service abandon is 9.</v>
          </cell>
          <cell r="K213" t="str">
            <v>This main is being replaced due to class 3 leak and as part of the FY16 Bare Steel Replacement Program.</v>
          </cell>
          <cell r="P213" t="str">
            <v>0501-044001  JASPER CTY/JOPLIN</v>
          </cell>
          <cell r="Q213">
            <v>82809.14</v>
          </cell>
          <cell r="R213">
            <v>-1465.75</v>
          </cell>
        </row>
        <row r="214">
          <cell r="A214" t="str">
            <v>007606</v>
          </cell>
          <cell r="B214" t="str">
            <v>LDC 2</v>
          </cell>
          <cell r="D214" t="str">
            <v>no</v>
          </cell>
          <cell r="E214" t="str">
            <v>20501155117</v>
          </cell>
          <cell r="F214" t="str">
            <v>F0485</v>
          </cell>
          <cell r="G214" t="str">
            <v>Tools, Instruments &amp; Equipment (SW)</v>
          </cell>
          <cell r="H214" t="str">
            <v>Tools Purchase 5 Grunsky Tee Kits J</v>
          </cell>
          <cell r="I214" t="str">
            <v>posted to CPR</v>
          </cell>
          <cell r="J214" t="str">
            <v>Tools Purchase 5 Grunsky Tee Kits Joplin: Joplin: Purchase Tools, Instruments &amp; Equipment  3940 (37-366)</v>
          </cell>
          <cell r="K214" t="str">
            <v>Approved by: Michael Fornelli on 02/05/2015,  Purchase 5 each of regulator, bottle, and carrying cart for Joplin I&amp;S Department.</v>
          </cell>
          <cell r="L214">
            <v>42235</v>
          </cell>
          <cell r="M214">
            <v>42491</v>
          </cell>
          <cell r="N214">
            <v>42527.511597222197</v>
          </cell>
          <cell r="O214">
            <v>42217</v>
          </cell>
          <cell r="P214" t="str">
            <v>0501-044001  JASPER CTY/JOPLIN</v>
          </cell>
          <cell r="Q214">
            <v>2065.69</v>
          </cell>
          <cell r="R214">
            <v>30</v>
          </cell>
        </row>
        <row r="215">
          <cell r="A215" t="str">
            <v>005182</v>
          </cell>
          <cell r="B215" t="str">
            <v>LDC 2</v>
          </cell>
          <cell r="D215" t="str">
            <v>no</v>
          </cell>
          <cell r="E215" t="str">
            <v>20501143527</v>
          </cell>
          <cell r="F215" t="str">
            <v>F0639</v>
          </cell>
          <cell r="G215" t="str">
            <v>EGM Equip-1st Time Installation</v>
          </cell>
          <cell r="H215" t="str">
            <v>EGM - Mercy Hospital LVS</v>
          </cell>
          <cell r="I215" t="str">
            <v>posted to CPR</v>
          </cell>
          <cell r="J215" t="str">
            <v>EGM - Mercy Hospital LVS: Joplin: Install EGM Equipment - First Time Installation  3850 (32-403)</v>
          </cell>
          <cell r="K215" t="str">
            <v>Approved by: Rob Kitterman on 05/01/2014,  Install Mercury Mini-AT-PT w/ Messenger Modem S/N: 13038785 on Roots 38M meter no 01248171 to monitor daily gas usage of this transportation customer. Customer will reimburse company actual cost for EGM installation not to exceed $5,445.00, which should be coded to account 1072. ATTENTION: Plant &amp; Property Accounting, EGM work order, turn off A&amp;G indicator.</v>
          </cell>
          <cell r="L215">
            <v>42443</v>
          </cell>
          <cell r="M215">
            <v>42491</v>
          </cell>
          <cell r="N215">
            <v>42528.313182870399</v>
          </cell>
          <cell r="O215">
            <v>42430</v>
          </cell>
          <cell r="P215" t="str">
            <v>0501-044001  JASPER CTY/JOPLIN</v>
          </cell>
          <cell r="Q215">
            <v>-58.66</v>
          </cell>
          <cell r="R215">
            <v>9</v>
          </cell>
        </row>
        <row r="216">
          <cell r="A216" t="str">
            <v>004166</v>
          </cell>
          <cell r="B216" t="str">
            <v>LDC 2</v>
          </cell>
          <cell r="D216" t="str">
            <v>no</v>
          </cell>
          <cell r="E216" t="str">
            <v>20501132590</v>
          </cell>
          <cell r="F216" t="str">
            <v>F0588</v>
          </cell>
          <cell r="G216" t="str">
            <v>Transportation &amp; power operated equ</v>
          </cell>
          <cell r="H216" t="str">
            <v>Pur 2013 Ford Transit Connect w bin</v>
          </cell>
          <cell r="I216" t="str">
            <v>posted to CPR</v>
          </cell>
          <cell r="J216" t="str">
            <v>Pur 2013 Ford Transit Connect w bins 4 cyl: Joplin: Joplin FOP</v>
          </cell>
          <cell r="K216" t="str">
            <v>Approved by: Ken Thomas on 04/09/2013,  Pur 2013 Ford Transit Connect w bins 4 cyl</v>
          </cell>
          <cell r="L216">
            <v>41548</v>
          </cell>
          <cell r="M216">
            <v>41564</v>
          </cell>
          <cell r="N216">
            <v>41612.300196759301</v>
          </cell>
          <cell r="P216" t="str">
            <v>0501-044001  JASPER CTY/JOPLIN</v>
          </cell>
          <cell r="Q216">
            <v>24455.74</v>
          </cell>
          <cell r="R216">
            <v>0</v>
          </cell>
        </row>
        <row r="217">
          <cell r="A217" t="str">
            <v>003984</v>
          </cell>
          <cell r="B217" t="str">
            <v>LDC 2</v>
          </cell>
          <cell r="D217" t="str">
            <v>no</v>
          </cell>
          <cell r="E217" t="str">
            <v>20501050302</v>
          </cell>
          <cell r="F217" t="str">
            <v>F0662</v>
          </cell>
          <cell r="G217" t="str">
            <v>New meter &amp; regulator installations</v>
          </cell>
          <cell r="H217" t="str">
            <v>BWO-NEW METER SETS</v>
          </cell>
          <cell r="I217" t="str">
            <v>open</v>
          </cell>
          <cell r="J217" t="str">
            <v>BWO-NEW METER SETS</v>
          </cell>
          <cell r="K217" t="str">
            <v>Project Type:B</v>
          </cell>
          <cell r="O217">
            <v>41730</v>
          </cell>
          <cell r="P217" t="str">
            <v>0501-044001  JASPER CTY/JOPLIN</v>
          </cell>
          <cell r="Q217">
            <v>350501.36</v>
          </cell>
          <cell r="R217">
            <v>17252.939999999999</v>
          </cell>
        </row>
        <row r="218">
          <cell r="A218" t="str">
            <v>003863</v>
          </cell>
          <cell r="B218" t="str">
            <v>LDC 2</v>
          </cell>
          <cell r="D218" t="str">
            <v>no</v>
          </cell>
          <cell r="E218" t="str">
            <v>20501132795</v>
          </cell>
          <cell r="F218" t="str">
            <v>F0642</v>
          </cell>
          <cell r="G218" t="str">
            <v>Tools, Instruments &amp; Other Equip</v>
          </cell>
          <cell r="H218" t="str">
            <v>Pur Crystal 500 PSI Gauge PM Dept</v>
          </cell>
          <cell r="I218" t="str">
            <v>posted to CPR</v>
          </cell>
          <cell r="J218" t="str">
            <v>Pur Crystal 500 PSI Gauge PM Dept: Joplin: Joplin P and M Dept</v>
          </cell>
          <cell r="K218" t="str">
            <v>Approved by: Galen Shoemaker on 07/09/2013,  PURCHASE ONE 0-500 PSI CRYSTAL GAUGE 500PSISIXP21 AND ONE CRYSTAL 3696 PROTECTIVE BOOT TO BE USED BY JOPLIN P&amp;M DEPT. ITEMS WILL BE PURCHASED FROM PROMAC INC ON OUOTE NUMBER Q153560 DATED 6/27/13. ITEMS WILL BE ORDERED AND PURCHASED ON HAL HOOFNAGLE'S P-CARD. THERE WILL BE NO RETIREMENT ASSOCIATED WITH THIS WORK ORDER.</v>
          </cell>
          <cell r="L218">
            <v>41486</v>
          </cell>
          <cell r="M218">
            <v>41575</v>
          </cell>
          <cell r="N218">
            <v>41576.418576388904</v>
          </cell>
          <cell r="P218" t="str">
            <v>0501-044001  JASPER CTY/JOPLIN</v>
          </cell>
          <cell r="Q218">
            <v>1070.5999999999999</v>
          </cell>
          <cell r="R218">
            <v>0</v>
          </cell>
        </row>
        <row r="219">
          <cell r="A219" t="str">
            <v>004129</v>
          </cell>
          <cell r="B219" t="str">
            <v>LDC 2</v>
          </cell>
          <cell r="D219" t="str">
            <v>no</v>
          </cell>
          <cell r="E219" t="str">
            <v>20501143345</v>
          </cell>
          <cell r="F219" t="str">
            <v>F0536</v>
          </cell>
          <cell r="G219" t="str">
            <v>Services -  2" &amp; larger</v>
          </cell>
          <cell r="H219" t="str">
            <v>8101 E 32nd Install 4in PE Service</v>
          </cell>
          <cell r="I219" t="str">
            <v>posted to CPR</v>
          </cell>
          <cell r="J219" t="str">
            <v>8101 E 32nd Install 4in PE Service 350': Joplin: 8101 E 32nd St Heartland Petfood</v>
          </cell>
          <cell r="K219" t="str">
            <v>Approved by: Galen Shoemaker on 02/17/2014,  Lay 350' - 4" PE service to new Heartland Petfood plant at 8101 E 32nd St. Customer will not contribute anything after economic evaluation. 23M Rotary Meter will be installed on WO#: 14-3367. Project Location: 32nd and Prigmor (CR 190); Pressure System: S-121; MOP: 58 psig; MAOP: 60 psig; Design: 60 psig; Test: 100 psig; $40.26/ft</v>
          </cell>
          <cell r="L219">
            <v>41704</v>
          </cell>
          <cell r="M219">
            <v>41881</v>
          </cell>
          <cell r="N219">
            <v>41887.681793981501</v>
          </cell>
          <cell r="O219">
            <v>41730</v>
          </cell>
          <cell r="P219" t="str">
            <v>0501-044001  JASPER CTY/JOPLIN</v>
          </cell>
          <cell r="Q219">
            <v>20296.18</v>
          </cell>
          <cell r="R219">
            <v>821</v>
          </cell>
        </row>
        <row r="220">
          <cell r="A220" t="str">
            <v>004179</v>
          </cell>
          <cell r="B220" t="str">
            <v>LDC 2</v>
          </cell>
          <cell r="D220" t="str">
            <v>yes</v>
          </cell>
          <cell r="E220" t="str">
            <v>20501121593</v>
          </cell>
          <cell r="F220" t="str">
            <v>F0664</v>
          </cell>
          <cell r="G220" t="str">
            <v>Street &amp; Hwy Relocates ISRS (SW)</v>
          </cell>
          <cell r="H220" t="str">
            <v>50th &amp; Indiana Reloc 5962'-4in PE m</v>
          </cell>
          <cell r="I220" t="str">
            <v>posted to CPR</v>
          </cell>
          <cell r="J220" t="str">
            <v>50th &amp; Indiana Reloc 5962'-4in PE main: Joplin: 50th and Indiana</v>
          </cell>
          <cell r="K220" t="str">
            <v>Approved by: Rob Hack on 12/07/2012,  Abandon 5573' - 4in PE (WO#'s: 76-4281, 84-0888, 86-1426, 87-3004, 92-6920, 99-8577) and 295' - 3in PE (WO#: 90-1098) and replace with 5962' - 4in PE relocated due to road widening on Indiana and 50th. Project must be completed by 1/31/2013. Main will lay inside new 30' utility easement, 5' inside of R/W line. Project Location: 50th and Indiana; Pressure System: C-1; MOP: 58 psig; MAOP: 58 psig; Design: 58 psig; Test: 100 psig; ISRS $39.07/ft</v>
          </cell>
          <cell r="L220">
            <v>41514</v>
          </cell>
          <cell r="M220">
            <v>41608</v>
          </cell>
          <cell r="N220">
            <v>41695.556678240697</v>
          </cell>
          <cell r="O220">
            <v>41730</v>
          </cell>
          <cell r="P220" t="str">
            <v>0501-066001  NEWTON CTY/JOPLIN</v>
          </cell>
          <cell r="Q220">
            <v>375960.37</v>
          </cell>
          <cell r="R220">
            <v>22492.25</v>
          </cell>
        </row>
        <row r="221">
          <cell r="A221" t="str">
            <v>800413</v>
          </cell>
          <cell r="B221" t="str">
            <v>LDC 2</v>
          </cell>
          <cell r="C221" t="str">
            <v>03 - Bare Steel Replacement</v>
          </cell>
          <cell r="D221" t="str">
            <v>yes</v>
          </cell>
          <cell r="F221" t="str">
            <v>F0572</v>
          </cell>
          <cell r="G221" t="str">
            <v>Main Replacement - ISRS (SW)</v>
          </cell>
          <cell r="H221" t="str">
            <v>Repl w/ 8139F Purcell Ph 1C</v>
          </cell>
          <cell r="I221" t="str">
            <v>open</v>
          </cell>
          <cell r="J221" t="str">
            <v>Install 8139 Ft of 4 in PL MP Main for Purcell Phase 1C. Abandon 745 Ft of 4 in PL and 5679 Ft of 6 in ST MP Main. Uprate approximately 20761 Ft of 2 in PL, 18099 Ft of 4 in PL and 170 Ft of 6 in ST MP Main to IP in Purcell.</v>
          </cell>
          <cell r="K221" t="str">
            <v>This main is being replaced as part of the FY16 Bare Steel Replacement Program.</v>
          </cell>
          <cell r="P221" t="str">
            <v>0507-044014  JASPER CTY/PURCELL</v>
          </cell>
          <cell r="Q221">
            <v>632270.92000000004</v>
          </cell>
          <cell r="R221">
            <v>-21160.0867</v>
          </cell>
        </row>
        <row r="222">
          <cell r="A222" t="str">
            <v>009255</v>
          </cell>
          <cell r="B222" t="str">
            <v>LDC 2</v>
          </cell>
          <cell r="D222" t="str">
            <v>no</v>
          </cell>
          <cell r="E222" t="str">
            <v>20502155524</v>
          </cell>
          <cell r="F222" t="str">
            <v>F0630</v>
          </cell>
          <cell r="G222" t="str">
            <v>Meter &amp; Reg Settings 2" &amp; Lg (SW)</v>
          </cell>
          <cell r="H222" t="str">
            <v>Inst 3 Inch Prefab Set 5M Rotary</v>
          </cell>
          <cell r="I222" t="str">
            <v>posted to CPR</v>
          </cell>
          <cell r="J222" t="str">
            <v>Inst 3 Inch Prefab Set 5M Rotary: Webb City: New Meter &amp; Reg Settings - 2&amp;quot; &amp; Larger 3820/3830 (33-382)</v>
          </cell>
          <cell r="K222" t="str">
            <v>Approved by: Michael Fornelli on 08/26/2015,  Install a 3" prefab setting for a 5M rotary meter setting. Will use a 2" flanged Reliance 3000 regulator to deliver 7" wc and a 1" Fisher 289H41 relief set at 2 psi for overpressure protection. Total customer demand is 4165 cfh. Due to the economic evaluation, there will be no charge to the customer. System 0502-C-2  MAOP=1.5 PSIG  MOP=1.5 PSIG</v>
          </cell>
          <cell r="L222">
            <v>42250</v>
          </cell>
          <cell r="M222">
            <v>42491</v>
          </cell>
          <cell r="N222">
            <v>42527.354479166701</v>
          </cell>
          <cell r="O222">
            <v>42491</v>
          </cell>
          <cell r="P222" t="str">
            <v>0502-044006  JASPER CTY/WEBB CITY</v>
          </cell>
          <cell r="Q222">
            <v>5377.72</v>
          </cell>
          <cell r="R222">
            <v>17</v>
          </cell>
        </row>
        <row r="223">
          <cell r="A223" t="str">
            <v>800381</v>
          </cell>
          <cell r="B223" t="str">
            <v>LDC 2</v>
          </cell>
          <cell r="C223" t="str">
            <v>03 - Bare Steel Replacement</v>
          </cell>
          <cell r="D223" t="str">
            <v>yes</v>
          </cell>
          <cell r="F223" t="str">
            <v>F0572</v>
          </cell>
          <cell r="G223" t="str">
            <v>Main Replacement - ISRS (SW)</v>
          </cell>
          <cell r="H223" t="str">
            <v>Neck City- Bare Steel Main Replacem</v>
          </cell>
          <cell r="I223" t="str">
            <v>in service</v>
          </cell>
          <cell r="J223" t="str">
            <v>Install 4048 Ft of 2 in and 2763 Ft of 4 in PL IP main in Neck City. Abandon 60 Ft of 2 in and 8 Ft of 4 in PL, 1946 Ft of 2 in, 2502 Ft of 3 in and 925 Ft of 4in PBS, 263 Ft of 2in, 1504 Ft of 3in and 10 Ft of 4in PCS (Majority poorly coated).</v>
          </cell>
          <cell r="K223" t="str">
            <v>Total service tie-overs=36; Total service renewals=0; Total service abandon = 20
Main is being replaced as part of the FY16 Bare Steel Replacement Program.</v>
          </cell>
          <cell r="L223">
            <v>42674</v>
          </cell>
          <cell r="O223">
            <v>42644</v>
          </cell>
          <cell r="P223" t="str">
            <v>0510-044013  JASPER CTY/NECK CITY</v>
          </cell>
          <cell r="Q223">
            <v>344681.77</v>
          </cell>
          <cell r="R223">
            <v>-12116.1633</v>
          </cell>
        </row>
        <row r="224">
          <cell r="A224" t="str">
            <v>010213</v>
          </cell>
          <cell r="B224" t="str">
            <v>LDC 2</v>
          </cell>
          <cell r="D224" t="str">
            <v>no</v>
          </cell>
          <cell r="F224" t="str">
            <v>F1153</v>
          </cell>
          <cell r="G224" t="str">
            <v>Power Operated Equip - MGE</v>
          </cell>
          <cell r="H224" t="str">
            <v>Purchase (3) dump trucks. MGE</v>
          </cell>
          <cell r="I224" t="str">
            <v>open</v>
          </cell>
          <cell r="J224" t="str">
            <v>Purchase 3 dump trucks to replace 3 units (32002, 32101 &amp; 32352)</v>
          </cell>
          <cell r="K224" t="str">
            <v>Note: unit 32002 = old #21230, unit 32352 = old #21287</v>
          </cell>
          <cell r="P224" t="str">
            <v>0101-043050  JACKSON CTY/KC</v>
          </cell>
          <cell r="Q224">
            <v>288564.77</v>
          </cell>
          <cell r="R224">
            <v>6</v>
          </cell>
        </row>
        <row r="225">
          <cell r="A225" t="str">
            <v>800940</v>
          </cell>
          <cell r="B225" t="str">
            <v>LDC 2</v>
          </cell>
          <cell r="C225" t="str">
            <v>03 - Bare Steel Replacement</v>
          </cell>
          <cell r="D225" t="str">
            <v>yes</v>
          </cell>
          <cell r="F225" t="str">
            <v>F0604</v>
          </cell>
          <cell r="G225" t="str">
            <v>Main Replacement - ISRS (S)</v>
          </cell>
          <cell r="H225" t="str">
            <v>Repl w 2220F 2P Claremont &amp; 25th</v>
          </cell>
          <cell r="I225" t="str">
            <v>open</v>
          </cell>
          <cell r="J225" t="str">
            <v>Install ~2220 Ft of 2in PL IP Main.</v>
          </cell>
          <cell r="K225" t="str">
            <v>Abandon ~461 Ft of 2" ST LP Main, ~1569 Ft of 4" ST LP Main. ~197 Ft of 4" PL LP Main.  Uprate ~ 652 Ft of 4" PL LP Main to IP.  Total Service tie-over= 42, Service Uprates=5, Service Replace= 8 (519 Ft).</v>
          </cell>
          <cell r="P225" t="str">
            <v>0201-043001  JACKSON CTY/INDEPENDENCE</v>
          </cell>
          <cell r="Q225">
            <v>0</v>
          </cell>
          <cell r="R225">
            <v>2227</v>
          </cell>
        </row>
        <row r="226">
          <cell r="A226" t="str">
            <v>009816</v>
          </cell>
          <cell r="B226" t="str">
            <v>LDC 2</v>
          </cell>
          <cell r="D226" t="str">
            <v>no</v>
          </cell>
          <cell r="F226" t="str">
            <v>F0644</v>
          </cell>
          <cell r="G226" t="str">
            <v>Meter &amp; Reg Settings 2" &amp; Lg (S)</v>
          </cell>
          <cell r="H226" t="str">
            <v>HyVee 7M Meter Set</v>
          </cell>
          <cell r="I226" t="str">
            <v>in service</v>
          </cell>
          <cell r="J226" t="str">
            <v>Rebuild and retire existing Rockwell 5000 meter set and install a new 7M Rotary meter set due to additional load - 1525 E 23rd St. S</v>
          </cell>
          <cell r="L226">
            <v>42391</v>
          </cell>
          <cell r="O226">
            <v>42614</v>
          </cell>
          <cell r="P226" t="str">
            <v>0201-043001  JACKSON CTY/INDEPENDENCE</v>
          </cell>
          <cell r="Q226">
            <v>4473.25</v>
          </cell>
          <cell r="R226">
            <v>-30.5</v>
          </cell>
        </row>
        <row r="227">
          <cell r="A227" t="str">
            <v>800346</v>
          </cell>
          <cell r="B227" t="str">
            <v>LDC 2</v>
          </cell>
          <cell r="C227" t="str">
            <v>09 - Facility Relocation due to Civic Improvement</v>
          </cell>
          <cell r="D227" t="str">
            <v>yes</v>
          </cell>
          <cell r="F227" t="str">
            <v>F0578</v>
          </cell>
          <cell r="G227" t="str">
            <v>Street &amp; Highway Relocates ISRS (S)</v>
          </cell>
          <cell r="H227" t="str">
            <v>2" Bare Steel Relocation-37th &amp; Nor</v>
          </cell>
          <cell r="I227" t="str">
            <v>in service</v>
          </cell>
          <cell r="J227" t="str">
            <v>Inst 245 ft of 2 in pls main to tie in to existing pls main on Norwood to the east and north of 37th St. Abdn 50 ft of 2 in bs main vintage 1964.</v>
          </cell>
          <cell r="K227" t="str">
            <v>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ell>
          <cell r="L227">
            <v>42459</v>
          </cell>
          <cell r="O227">
            <v>42461</v>
          </cell>
          <cell r="P227" t="str">
            <v>0201-043001  JACKSON CTY/INDEPENDENCE</v>
          </cell>
          <cell r="Q227">
            <v>40827.85</v>
          </cell>
          <cell r="R227">
            <v>-561</v>
          </cell>
        </row>
        <row r="228">
          <cell r="A228" t="str">
            <v>005210</v>
          </cell>
          <cell r="B228" t="str">
            <v>LDC 2</v>
          </cell>
          <cell r="D228" t="str">
            <v>yes</v>
          </cell>
          <cell r="E228" t="str">
            <v>20201143520</v>
          </cell>
          <cell r="F228" t="str">
            <v>F0604</v>
          </cell>
          <cell r="G228" t="str">
            <v>Main Replacement - ISRS (S)</v>
          </cell>
          <cell r="H228" t="str">
            <v>35th Ter &amp; Pittman Repl PBS w 4120'</v>
          </cell>
          <cell r="I228" t="str">
            <v>posted to CPR</v>
          </cell>
          <cell r="J228" t="str">
            <v>35th Ter &amp; Pittman Repl PBS w 4120'-2in PE main : Independence: Replace Bare Steel Main - 3760 Safety Related (34-394)</v>
          </cell>
          <cell r="K228" t="str">
            <v>Approved by: Steve Holcomb on 05/03/2014,  The City of Independence has a yearly street overlay project. This year they will repave 35th Terr and 36th St from 40 to Blue Ridge Blvd, as well as 34th St between Evanston and Cedar/35th. Much of the existing main is bare steel and in the roadway. This is an area that will be targeted for replacement on WO# 14-3515. Replace all steel main on these streets with 4,120' - 2" PE. This main and existing PE in the system will be tied onto the C-500 pressure system as part of WO# 14-3515 and WO# 14-3547, so all service tie-overs will require an EFV and regulator change out for the increased pressure. Main to abandon: 2017' - 2" PBS: 169 - WO# 12459; 101' - WO# 13267; 326' - WO# 13659; 210' - WO# 13780; 169' - WO# 14065; 62' - WO# 16382; 112' - WO# 17395; 384' - WO# 25841; 68' - WO# 36825; 42' - WO# 40583; 74' - WO# 43830; 300' - WO# 50940. 1655' - 4" PBS: 693' - WO# A1141; 279' - WO# A1971A; 683' - WO# JO7685. 126' - 2" PCS (WO# 61281); 64' - 2" PCS (WO# 61-1812); 119' - 4" PCS (WO# 63-0873); 89' - 2" PCS (WO# 79-0393); 40' - 4" PE (WO# 96-3723).  (ISRS)  85 tie-overs.  Price per ft = $32.72
Our main lines are not in conflict with the paving, but we are choosing to replace the main before the overlay project to avoid future cutting of their new pavement to pothole utility crossings during replacement.</v>
          </cell>
          <cell r="L228">
            <v>42032</v>
          </cell>
          <cell r="M228">
            <v>42063</v>
          </cell>
          <cell r="N228">
            <v>42160.5527083333</v>
          </cell>
          <cell r="O228">
            <v>42005</v>
          </cell>
          <cell r="P228" t="str">
            <v>0201-043001  JACKSON CTY/INDEPENDENCE</v>
          </cell>
          <cell r="Q228">
            <v>120150.73</v>
          </cell>
          <cell r="R228">
            <v>-4515</v>
          </cell>
        </row>
        <row r="229">
          <cell r="A229" t="str">
            <v>800856</v>
          </cell>
          <cell r="B229" t="str">
            <v>LDC 2</v>
          </cell>
          <cell r="C229" t="str">
            <v>03 - Bare Steel Replacement</v>
          </cell>
          <cell r="D229" t="str">
            <v>yes</v>
          </cell>
          <cell r="F229" t="str">
            <v>F0604</v>
          </cell>
          <cell r="G229" t="str">
            <v>Main Replacement - ISRS (S)</v>
          </cell>
          <cell r="H229" t="str">
            <v>Repl 3494F 2P Carrollton Grid Ph K</v>
          </cell>
          <cell r="I229" t="str">
            <v>open</v>
          </cell>
          <cell r="J229" t="str">
            <v>Install 3494 ft of 2 in PL IP main on W Lincoln St, Orchard St, Whiteman St, S Ely St, and Highland Ave.</v>
          </cell>
          <cell r="K229" t="str">
            <v>Abandon 168 Ft of 2" PL LP main, 3564 Ft of 2 in ST MP main, and 19 Ft of 2 in ST HP main at the above locations.  Total Service Tie-over = 23; Total Service Abandonments = 7.  This main is being replaced as part of FY16 Bare Steel Replacement Program.</v>
          </cell>
          <cell r="P229" t="str">
            <v>0312-014001  CARROLL CTY/CARROLLTON</v>
          </cell>
          <cell r="Q229">
            <v>0</v>
          </cell>
          <cell r="R229">
            <v>3751</v>
          </cell>
        </row>
        <row r="230">
          <cell r="A230" t="str">
            <v>011612</v>
          </cell>
          <cell r="B230" t="str">
            <v>LDC 2</v>
          </cell>
          <cell r="D230" t="str">
            <v>yes</v>
          </cell>
          <cell r="F230" t="str">
            <v>F1191</v>
          </cell>
          <cell r="G230" t="str">
            <v>Station Rebuild &amp; Repl ISRS (S)</v>
          </cell>
          <cell r="H230" t="str">
            <v>Ret reg stn-Jackson &amp; Colt</v>
          </cell>
          <cell r="I230" t="str">
            <v>open</v>
          </cell>
          <cell r="J230" t="str">
            <v>Abandon Regulator Station 3 (JACKSON &amp; COLT/ADAIR &amp; AUGLAIZE)</v>
          </cell>
          <cell r="K230" t="str">
            <v>DRS #3</v>
          </cell>
          <cell r="P230" t="str">
            <v>0318-062001  MONITEAU CTY/TIPTON</v>
          </cell>
          <cell r="Q230">
            <v>293.24</v>
          </cell>
          <cell r="R230">
            <v>9</v>
          </cell>
        </row>
        <row r="231">
          <cell r="A231" t="str">
            <v>800075</v>
          </cell>
          <cell r="B231" t="str">
            <v>LDC 2</v>
          </cell>
          <cell r="C231" t="str">
            <v>03 - Bare Steel Replacement</v>
          </cell>
          <cell r="D231" t="str">
            <v>yes</v>
          </cell>
          <cell r="F231" t="str">
            <v>F0604</v>
          </cell>
          <cell r="G231" t="str">
            <v>Main Replacement - ISRS (S)</v>
          </cell>
          <cell r="H231" t="str">
            <v>Tipton Grid Phase E - Bare steel re</v>
          </cell>
          <cell r="I231" t="str">
            <v>in service</v>
          </cell>
          <cell r="J231" t="str">
            <v>Install 6759 Ft of 2 in and 7361 Ft of 4 in PL IP Main for Tipton Grid Phase E. Abandon 25 Ft of 2 in PL, 6846 Ft of 2 in Steel, 5266 Ft of 3 in Steel and 200 Ft of 4 in Steel MP and IP main. FY16 Bare Steel Replacement Program.</v>
          </cell>
          <cell r="L231">
            <v>42674</v>
          </cell>
          <cell r="O231">
            <v>42644</v>
          </cell>
          <cell r="P231" t="str">
            <v>0318-062001  MONITEAU CTY/TIPTON</v>
          </cell>
          <cell r="Q231">
            <v>544336.91</v>
          </cell>
          <cell r="R231">
            <v>-16810.3367</v>
          </cell>
        </row>
        <row r="232">
          <cell r="A232" t="str">
            <v>800072</v>
          </cell>
          <cell r="B232" t="str">
            <v>LDC 2</v>
          </cell>
          <cell r="C232" t="str">
            <v>03 - Bare Steel Replacement</v>
          </cell>
          <cell r="D232" t="str">
            <v>yes</v>
          </cell>
          <cell r="F232" t="str">
            <v>F0604</v>
          </cell>
          <cell r="G232" t="str">
            <v>Main Replacement - ISRS (S)</v>
          </cell>
          <cell r="H232" t="str">
            <v>Tipton Grid Phase B - Bare steel re</v>
          </cell>
          <cell r="I232" t="str">
            <v>in service</v>
          </cell>
          <cell r="J232" t="str">
            <v>Install 7556 Ft of 2 and 4125 Ft of 4 in PL IP. Abandon 93 Ft of 2 in PL, 1309 Ft of 2 in PBS, 3197 Ft of 2 in PCS, 95 Ft of 3 in PL, 2548 Ft of 3 in PBS, 443 Ft of 3 in PCS, 657 Ft of 4 in PL, 3243 Ft of 4 in PBS on various streets - Tipton Grid Ph B.</v>
          </cell>
          <cell r="K232" t="str">
            <v>Also abandon 403 Ft. 4 in. PCS MP Main at the above location. Total service tie-overs = 121; Total service renewals = 12; Total service abandon = 27 This main is being replaced as part of the FY16 Bare Steel Replacement Program.</v>
          </cell>
          <cell r="L232">
            <v>42674</v>
          </cell>
          <cell r="O232">
            <v>42644</v>
          </cell>
          <cell r="P232" t="str">
            <v>0318-062001  MONITEAU CTY/TIPTON</v>
          </cell>
          <cell r="Q232">
            <v>567212.99</v>
          </cell>
          <cell r="R232">
            <v>-10796.9167</v>
          </cell>
        </row>
        <row r="233">
          <cell r="A233" t="str">
            <v>800261</v>
          </cell>
          <cell r="B233" t="str">
            <v>LDC 2</v>
          </cell>
          <cell r="C233" t="str">
            <v>03 - Bare Steel Replacement</v>
          </cell>
          <cell r="D233" t="str">
            <v>yes</v>
          </cell>
          <cell r="F233" t="str">
            <v>F0604</v>
          </cell>
          <cell r="G233" t="str">
            <v>Main Replacement - ISRS (S)</v>
          </cell>
          <cell r="H233" t="str">
            <v>Repl w/ 5647F 2P Clarksburg Ph B</v>
          </cell>
          <cell r="I233" t="str">
            <v>open</v>
          </cell>
          <cell r="J233" t="str">
            <v>Install 5647 Ft of 2 in and 27 Ft of 4 in PL IP for Clarksburg Grid Phase B. Abandon 38 ft of 2 in PL, 5601 Ft of 2 in ST, 3589 Ft of 3 in ST and 698 Ft. 4in ST.</v>
          </cell>
          <cell r="K233" t="str">
            <v>Uprate 369 Ft of 2 in PL LP Main to IP on Grand Ave and Locust St. 
Total service tie overs = 29; Total service abandon = 16; Total svc uprate = 3 This main is being replaced as part of the FY16 Bare Steel Replacement Program.</v>
          </cell>
          <cell r="P233" t="str">
            <v>0319-062002  MONITEAU CTY/CLARKSBURG</v>
          </cell>
          <cell r="Q233">
            <v>184253.5</v>
          </cell>
          <cell r="R233">
            <v>-1357.5</v>
          </cell>
        </row>
        <row r="234">
          <cell r="A234" t="str">
            <v>801093</v>
          </cell>
          <cell r="B234" t="str">
            <v>LDC 2</v>
          </cell>
          <cell r="D234" t="str">
            <v>no</v>
          </cell>
          <cell r="F234" t="str">
            <v>F0523</v>
          </cell>
          <cell r="G234" t="str">
            <v>New Main Extensions (SW)</v>
          </cell>
          <cell r="H234" t="str">
            <v>Install 355F 2P 25 Fairmeadow Cir</v>
          </cell>
          <cell r="I234" t="str">
            <v>in service</v>
          </cell>
          <cell r="J234" t="str">
            <v>Install ~ 355 Ft of 2 in PL IP Main for home converting from electric to gas at 25 Fairmeadow Cir in Monett MO.</v>
          </cell>
          <cell r="K234" t="str">
            <v>Total Load is 350 CFH.</v>
          </cell>
          <cell r="L234">
            <v>42762</v>
          </cell>
          <cell r="O234">
            <v>42736</v>
          </cell>
          <cell r="P234" t="str">
            <v>0801-005001  BARRY CTY/MONETT</v>
          </cell>
          <cell r="Q234">
            <v>841.89</v>
          </cell>
          <cell r="R234">
            <v>-911</v>
          </cell>
        </row>
        <row r="235">
          <cell r="A235" t="str">
            <v>012565</v>
          </cell>
          <cell r="B235" t="str">
            <v>LDC 2</v>
          </cell>
          <cell r="D235" t="str">
            <v>no</v>
          </cell>
          <cell r="F235" t="str">
            <v>F0639</v>
          </cell>
          <cell r="G235" t="str">
            <v>EGM Equip-1st Time Installation</v>
          </cell>
          <cell r="H235" t="str">
            <v>EGM - Walmart (Monett US Hwy 60)</v>
          </cell>
          <cell r="I235" t="str">
            <v>open</v>
          </cell>
          <cell r="J235" t="str">
            <v>Mini-Max AT-PT Corrector for Walmart at 885 E US Hwy 60 to monitor daily gas usage. Customer will reimburse company actual cost for EGM installation not to exceed $5,445.</v>
          </cell>
          <cell r="K235" t="str">
            <v>meter no 008594019</v>
          </cell>
          <cell r="P235" t="str">
            <v>0801-005001  BARRY CTY/MONETT</v>
          </cell>
          <cell r="Q235">
            <v>1971.95</v>
          </cell>
          <cell r="R235">
            <v>1</v>
          </cell>
        </row>
        <row r="236">
          <cell r="A236" t="str">
            <v>004206</v>
          </cell>
          <cell r="B236" t="str">
            <v>LDC 2</v>
          </cell>
          <cell r="D236" t="str">
            <v>no</v>
          </cell>
          <cell r="E236" t="str">
            <v>20812133086</v>
          </cell>
          <cell r="F236" t="str">
            <v>F0556</v>
          </cell>
          <cell r="G236" t="str">
            <v>Tools, instruments &amp; equipment</v>
          </cell>
          <cell r="H236" t="str">
            <v>TDW T101 Tapping Machine(New)Tools</v>
          </cell>
          <cell r="I236" t="str">
            <v>posted to CPR</v>
          </cell>
          <cell r="J236" t="str">
            <v>TDW T101 Tapping Machine(New)Tools Purchase: Republic: 3541 E Sawyer Rd</v>
          </cell>
          <cell r="K236" t="str">
            <v>Approved by: Galen Shoemaker on 10/18/2013,  Purchase new TDW T-101 Tapping Machine for Republic C&amp;M to replace existing machine that is beyond economical repair.</v>
          </cell>
          <cell r="L236">
            <v>41603</v>
          </cell>
          <cell r="M236">
            <v>41626</v>
          </cell>
          <cell r="N236">
            <v>41630.722152777802</v>
          </cell>
          <cell r="P236" t="str">
            <v>0801-005001  BARRY CTY/MONETT</v>
          </cell>
          <cell r="Q236">
            <v>15677.78</v>
          </cell>
          <cell r="R236">
            <v>20005</v>
          </cell>
        </row>
        <row r="237">
          <cell r="A237" t="str">
            <v>004359</v>
          </cell>
          <cell r="B237" t="str">
            <v>LDC 2</v>
          </cell>
          <cell r="D237" t="str">
            <v>no</v>
          </cell>
          <cell r="E237" t="str">
            <v>20809133095</v>
          </cell>
          <cell r="F237" t="str">
            <v>F0523</v>
          </cell>
          <cell r="G237" t="str">
            <v>New Main Extensions (SW)</v>
          </cell>
          <cell r="H237" t="str">
            <v>Lawrence 2227 Lay 195'-2;610'-4in P</v>
          </cell>
          <cell r="I237" t="str">
            <v>posted to CPR</v>
          </cell>
          <cell r="J237" t="str">
            <v>Lawrence 2227 Lay 195'-2;610'-4in PE Main: Aurora: Lawrence 2270 East of Hwy 39</v>
          </cell>
          <cell r="K237" t="str">
            <v>Approved by: Galen Shoemaker on 10/24/2013,  To lay 610ft of 4in and 195ft of 2in Plastic Main to serve 11 new commercial customers. No deposit required after allowances. MOP=42# MAOP=45# SYSTEM=S-9 TEST=100#</v>
          </cell>
          <cell r="L237">
            <v>41845</v>
          </cell>
          <cell r="M237">
            <v>41882</v>
          </cell>
          <cell r="N237">
            <v>41978.593518518501</v>
          </cell>
          <cell r="O237">
            <v>41852</v>
          </cell>
          <cell r="P237" t="str">
            <v>0809-050003  LAWRENCE CTY/AURORA</v>
          </cell>
          <cell r="Q237">
            <v>17313.71</v>
          </cell>
          <cell r="R237">
            <v>-911</v>
          </cell>
        </row>
        <row r="238">
          <cell r="A238" t="str">
            <v>012564</v>
          </cell>
          <cell r="B238" t="str">
            <v>LDC 2</v>
          </cell>
          <cell r="D238" t="str">
            <v>no</v>
          </cell>
          <cell r="F238" t="str">
            <v>F0639</v>
          </cell>
          <cell r="G238" t="str">
            <v>EGM Equip-1st Time Installation</v>
          </cell>
          <cell r="H238" t="str">
            <v>EGM - Walmart (Ozark Marler)</v>
          </cell>
          <cell r="I238" t="str">
            <v>open</v>
          </cell>
          <cell r="J238" t="str">
            <v>Mini-Max AT-PT Corrector for Walmart at 2004 W Marler to monitor daily gas usage. Customer will reimburse company actual cost for EGM installation not to exceed $5,445.</v>
          </cell>
          <cell r="K238" t="str">
            <v>meter no 008001516</v>
          </cell>
          <cell r="P238" t="str">
            <v>0815-019006  CHRISTIAN CTY/OZARK</v>
          </cell>
          <cell r="Q238">
            <v>1971.95</v>
          </cell>
          <cell r="R238">
            <v>1</v>
          </cell>
        </row>
        <row r="239">
          <cell r="A239" t="str">
            <v>008540</v>
          </cell>
          <cell r="B239" t="str">
            <v>LDC 2</v>
          </cell>
          <cell r="D239" t="str">
            <v>no</v>
          </cell>
          <cell r="E239" t="str">
            <v>20609155354</v>
          </cell>
          <cell r="F239" t="str">
            <v>F0556</v>
          </cell>
          <cell r="G239" t="str">
            <v>Tools, instruments &amp; equipment</v>
          </cell>
          <cell r="H239" t="str">
            <v>Pur 1 Sensit Gold CGI for El Dorado</v>
          </cell>
          <cell r="I239" t="str">
            <v>posted to CPR</v>
          </cell>
          <cell r="J239" t="str">
            <v>Pur 1 Sensit Gold CGI for El Dorado I and S: El Dorado Springs: Purchase Tools, Instruments &amp; Equipment  3940 (37-366)</v>
          </cell>
          <cell r="K239" t="str">
            <v>Approved by: Michael Fornelli on 05/20/2015,  Purchase one new Sensit Gold CGI LEL% VOL, CO Model B for $1,519.20 for El Dorado I&amp;S</v>
          </cell>
          <cell r="L239">
            <v>42177</v>
          </cell>
          <cell r="M239">
            <v>42248</v>
          </cell>
          <cell r="N239">
            <v>42270.681180555599</v>
          </cell>
          <cell r="O239">
            <v>42156</v>
          </cell>
          <cell r="P239" t="str">
            <v>0609-017013  CEDAR CTY/ELDORADO SPRINGS</v>
          </cell>
          <cell r="Q239">
            <v>1591.68</v>
          </cell>
          <cell r="R239">
            <v>3</v>
          </cell>
        </row>
        <row r="240">
          <cell r="A240" t="str">
            <v>006599</v>
          </cell>
          <cell r="B240" t="str">
            <v>LDC 2</v>
          </cell>
          <cell r="D240" t="str">
            <v>no</v>
          </cell>
          <cell r="E240" t="str">
            <v>20932143809</v>
          </cell>
          <cell r="F240" t="str">
            <v>F0580</v>
          </cell>
          <cell r="G240" t="str">
            <v>Replace steel &amp; plastic main</v>
          </cell>
          <cell r="H240" t="str">
            <v>Replace 1in PCS HP main with 1.25in</v>
          </cell>
          <cell r="I240" t="str">
            <v>posted to CPR</v>
          </cell>
          <cell r="J240" t="str">
            <v>Replace 1in PCS HP main with 1.25in PE dist main: Raymore: Replace Coated Steel &amp; Plastic Main - 3760 (34-396)</v>
          </cell>
          <cell r="K240" t="str">
            <v>Approved by: Ray Wilson on 09/29/2014,  Replace 463' of 1" PCS high pressure main (WO# 05-8766) with 475' of 1-1/4" PE main on the C-001 distribution pressure system (MOP = 50 psig, MAOP = 58 psig). The existing main serves the three buildings at the South Metro Fire District at 611 Foxwood Dr. These three buildings all have steel service lines with first cuts and meter sets at the building. Replace the steel service lines with PE and remove the first cut regs. This WO should be installed in conjunction with WO# 14-3264.</v>
          </cell>
          <cell r="L240">
            <v>42356</v>
          </cell>
          <cell r="M240">
            <v>42460</v>
          </cell>
          <cell r="N240">
            <v>42557.552314814799</v>
          </cell>
          <cell r="O240">
            <v>42370</v>
          </cell>
          <cell r="P240" t="str">
            <v>0932-016022  CASS CTY/RAYMORE</v>
          </cell>
          <cell r="Q240">
            <v>20108.39</v>
          </cell>
          <cell r="R240">
            <v>-989</v>
          </cell>
        </row>
        <row r="241">
          <cell r="A241" t="str">
            <v>005185</v>
          </cell>
          <cell r="B241" t="str">
            <v>LDC 2</v>
          </cell>
          <cell r="D241" t="str">
            <v>no</v>
          </cell>
          <cell r="E241" t="str">
            <v>20902143542</v>
          </cell>
          <cell r="F241" t="str">
            <v>F0639</v>
          </cell>
          <cell r="G241" t="str">
            <v>EGM Equip-1st Time Installation</v>
          </cell>
          <cell r="H241" t="str">
            <v>EGM - Westridge Gardens Nursing and</v>
          </cell>
          <cell r="I241" t="str">
            <v>posted to CPR</v>
          </cell>
          <cell r="J241" t="str">
            <v>EGM - Westridge Gardens Nursing and Rehabilitation: Raytown: Install EGM Equipment - First Time Installation  3850 (32-403)</v>
          </cell>
          <cell r="K241" t="str">
            <v>Approved by: Rob Kitterman on 05/01/2014,  Install Mercury MiniMax-AT-T w/ Messenger Modem S/N: 13066406 on Rockwell 5000 meter no 00216698 to monitor daily gas usage of this transportation customer. Customer will reimburse company actual cost for EGM installation not to exceed $5,445.00, which should be coded to account 1072. ATTENTION: Plant &amp; Property Accounting, EGM work order, turn off A&amp;G indicator.</v>
          </cell>
          <cell r="L241">
            <v>42443</v>
          </cell>
          <cell r="M241">
            <v>42491</v>
          </cell>
          <cell r="N241">
            <v>42528.313182870399</v>
          </cell>
          <cell r="O241">
            <v>42430</v>
          </cell>
          <cell r="P241" t="str">
            <v>0902-043025  JACKSON CTY/RAYTOWN</v>
          </cell>
          <cell r="Q241">
            <v>-197.52</v>
          </cell>
          <cell r="R241">
            <v>9</v>
          </cell>
        </row>
        <row r="242">
          <cell r="A242" t="str">
            <v>004431</v>
          </cell>
          <cell r="B242" t="str">
            <v>LDC 2</v>
          </cell>
          <cell r="D242" t="str">
            <v>no</v>
          </cell>
          <cell r="E242" t="str">
            <v>20903121117</v>
          </cell>
          <cell r="F242" t="str">
            <v>F0507</v>
          </cell>
          <cell r="G242" t="str">
            <v>Rebuild Meter Install 2'' &amp; Lg (S)</v>
          </cell>
          <cell r="H242" t="str">
            <v>Rebuild 3M Rotary Meter</v>
          </cell>
          <cell r="I242" t="str">
            <v>posted to CPR</v>
          </cell>
          <cell r="J242" t="str">
            <v>Rebuild 3M Rotary Meter: Blue Springs: 930 NE Duncan Rd</v>
          </cell>
          <cell r="K242" t="str">
            <v>Approved by: Ralph Janes on 02/13/2012,  Rebuild and relocate the existing property line meter set (installed on WO# 824012) at the Shangri La Assisted Living facility due to the obsolete Springer Regulator leaking.  The existing service line is on the 20yr SLRP and will be replaced with a 1-1/4&amp;quot; pe service line on a BWO.</v>
          </cell>
          <cell r="L242">
            <v>41626</v>
          </cell>
          <cell r="M242">
            <v>41670</v>
          </cell>
          <cell r="N242">
            <v>41677.509803240697</v>
          </cell>
          <cell r="P242" t="str">
            <v>0903-043026  JACKSON CTY/BLUE SPRINGS</v>
          </cell>
          <cell r="Q242">
            <v>3366.29</v>
          </cell>
          <cell r="R242">
            <v>78</v>
          </cell>
        </row>
        <row r="243">
          <cell r="A243" t="str">
            <v>004185</v>
          </cell>
          <cell r="B243" t="str">
            <v>LDC 2</v>
          </cell>
          <cell r="D243" t="str">
            <v>no</v>
          </cell>
          <cell r="E243" t="str">
            <v>20904132597</v>
          </cell>
          <cell r="F243" t="str">
            <v>F0639</v>
          </cell>
          <cell r="G243" t="str">
            <v>EGM Equip-1st Time Installation</v>
          </cell>
          <cell r="H243" t="str">
            <v>EGM - Meadwestvaco Corp.</v>
          </cell>
          <cell r="I243" t="str">
            <v>posted to CPR</v>
          </cell>
          <cell r="J243" t="str">
            <v>EGM - Meadwestvaco Corp.: Grandview: 11951 Grandview Rd - Grandview, MO 64030</v>
          </cell>
          <cell r="K243" t="str">
            <v>Approved by: Rob Kitterman on 04/10/2013,  Install Mercury MiniMax-AT-T on Roots 11M meter # 08594895 to monitor daily gas usage of this transportation customer. Customer will reimburse company actual cost for EGM installation not to exceed $5,445.00, which should be coded to account 1072. ATTENTION: Plant &amp; Property Accounting, EGM work order, turn off A&amp;G indicator.</v>
          </cell>
          <cell r="L243">
            <v>41373</v>
          </cell>
          <cell r="M243">
            <v>41575</v>
          </cell>
          <cell r="N243">
            <v>41576.418599536999</v>
          </cell>
          <cell r="P243" t="str">
            <v>0904-043031  JACKSON CTY/GRANDVIEW</v>
          </cell>
          <cell r="Q243">
            <v>0</v>
          </cell>
          <cell r="R243">
            <v>4</v>
          </cell>
        </row>
        <row r="244">
          <cell r="A244" t="str">
            <v>012713</v>
          </cell>
          <cell r="B244" t="str">
            <v>LDC 2</v>
          </cell>
          <cell r="D244" t="str">
            <v>no</v>
          </cell>
          <cell r="F244" t="str">
            <v>F0644</v>
          </cell>
          <cell r="G244" t="str">
            <v>Meter &amp; Reg Settings 2" &amp; Lg (S)</v>
          </cell>
          <cell r="H244" t="str">
            <v>Carnegie Village 3M Rotary</v>
          </cell>
          <cell r="I244" t="str">
            <v>open</v>
          </cell>
          <cell r="J244" t="str">
            <v>Install a 3M Rotary Meter on the new Carnegie Village Addition -103 Bernard Dr.</v>
          </cell>
          <cell r="K244" t="str">
            <v>Maximo WO 15592562</v>
          </cell>
          <cell r="P244" t="str">
            <v>0906-016001  CASS CTY/BELTON W OF MULLIN RD</v>
          </cell>
          <cell r="Q244">
            <v>1918.13</v>
          </cell>
          <cell r="R244">
            <v>-67</v>
          </cell>
        </row>
        <row r="245">
          <cell r="A245" t="str">
            <v>800091</v>
          </cell>
          <cell r="B245" t="str">
            <v>LDC 2</v>
          </cell>
          <cell r="C245" t="str">
            <v>03 - Bare Steel Replacement</v>
          </cell>
          <cell r="D245" t="str">
            <v>yes</v>
          </cell>
          <cell r="F245" t="str">
            <v>F0604</v>
          </cell>
          <cell r="G245" t="str">
            <v>Main Replacement - ISRS (S)</v>
          </cell>
          <cell r="H245" t="str">
            <v>Repl w/ 2119F 2-4P Belton Ph1A</v>
          </cell>
          <cell r="I245" t="str">
            <v>open</v>
          </cell>
          <cell r="J245" t="str">
            <v>Install 688 Ft of 2 in PL and 1431 Ft of 4 in PL IP main for Belton Phase 1A. Abandon 5 Ft of 2 in PL, 390 Ft of 3 in PL, 766 Ft of 3 in ST, 317 Ft of 4 in ST and 115 Ft of 4 in PL LP main.</v>
          </cell>
          <cell r="K245" t="str">
            <v>This main is being replaced as part of FY16 Bare Steel Replacement Program&gt;
Uprate 1608 Ft of 2 in PL LP main and 180 Ft of 4 in PL LP main to IP main at above locations and Hackberry St 
Total Service Tie-over = 28; Total Service Replacement = 1; Total Service Abandoned = 4; Total Service Upgrade = 6</v>
          </cell>
          <cell r="P245" t="str">
            <v>0906-016001  CASS CTY/BELTON W OF MULLIN RD</v>
          </cell>
          <cell r="Q245">
            <v>0</v>
          </cell>
          <cell r="R245">
            <v>1593</v>
          </cell>
        </row>
        <row r="246">
          <cell r="A246" t="str">
            <v>800355</v>
          </cell>
          <cell r="B246" t="str">
            <v>LDC 2</v>
          </cell>
          <cell r="D246" t="str">
            <v>no</v>
          </cell>
          <cell r="F246" t="str">
            <v>F0673</v>
          </cell>
          <cell r="G246" t="str">
            <v>New Main Extensions (S)</v>
          </cell>
          <cell r="H246" t="str">
            <v>Main Ext - Loch Lloyd - The Reserve</v>
          </cell>
          <cell r="I246" t="str">
            <v>in service</v>
          </cell>
          <cell r="J246" t="str">
            <v>Install 2,805 feet of 4 inch plastic main and 3,205 feet of 2 inch plastic main to serve 45 new residential lots - Loch Lloyd -The Reserve &amp; Low Country.</v>
          </cell>
          <cell r="K246" t="str">
            <v>2 houses framing, 2 foundations in as of 1/21.</v>
          </cell>
          <cell r="L246">
            <v>42551</v>
          </cell>
          <cell r="O246">
            <v>42522</v>
          </cell>
          <cell r="P246" t="str">
            <v>0906-016001  CASS CTY/BELTON W OF MULLIN RD</v>
          </cell>
          <cell r="Q246">
            <v>131184.20000000001</v>
          </cell>
          <cell r="R246">
            <v>-14329</v>
          </cell>
        </row>
        <row r="247">
          <cell r="A247" t="str">
            <v>003893</v>
          </cell>
          <cell r="B247" t="str">
            <v>LDC 2</v>
          </cell>
          <cell r="D247" t="str">
            <v>no</v>
          </cell>
          <cell r="E247" t="str">
            <v>20830143409</v>
          </cell>
          <cell r="F247" t="str">
            <v>F0600</v>
          </cell>
          <cell r="G247" t="str">
            <v>Station Rebuild &amp; Repl ISRS (N)</v>
          </cell>
          <cell r="H247" t="str">
            <v>Repl TB Sta Reg w 2in Mooney</v>
          </cell>
          <cell r="I247" t="str">
            <v>posted to CPR</v>
          </cell>
          <cell r="J247" t="str">
            <v>Repl TB Sta Reg w 2in Mooney: Noel: Noel Town Border Hwy H and Mill Creek Rd</v>
          </cell>
          <cell r="K247" t="str">
            <v>Approved by: Galen Shoemaker on 03/07/2014,  WILL REPLACE EXISTING 441-57S OPERATOR AT NOEL TOWN BORDER WITH NEW 2" MOONEY AC 300# FG-120-100 REGULATOR &amp; SERIES 20 FP-8 PRV PILOT. REGULAOR QUOTED BY DEROSSETT COMPANY QUOTE #02241403N. CONTACT NUMBER FOR DEROSSETT IS 913-728-2500. EXISTING REGULATOR WAS UNDER WATER DURING FLOODING CONDITIONS DURING THE SUMMER OF 2013 AND HAS BEEN REBUILT SEVERAL TIMES SINCE. REGULATOR SWING IS TOO GREAT AND NEEDS TO BE REPLACED. INLET SYSTEM MAOP=275PSIG MOP=275PSIG OUTLET SYSTEM 0830-S-3 MAOP=167PSIG MOP=90PSIG. WORK ORDER WILL RETIRE 2" ROCKWELL 441-57S FROM WO 96-2167</v>
          </cell>
          <cell r="L247">
            <v>41766</v>
          </cell>
          <cell r="M247">
            <v>41852</v>
          </cell>
          <cell r="N247">
            <v>41887.6815740741</v>
          </cell>
          <cell r="O247">
            <v>41760</v>
          </cell>
          <cell r="P247" t="str">
            <v>0830-059009  MCDONALD CTY/NOEL</v>
          </cell>
          <cell r="Q247">
            <v>5075.87</v>
          </cell>
          <cell r="R247">
            <v>10</v>
          </cell>
        </row>
        <row r="248">
          <cell r="A248" t="str">
            <v>801167</v>
          </cell>
          <cell r="B248" t="str">
            <v>LDC 2</v>
          </cell>
          <cell r="C248" t="str">
            <v>06 - Other Legacy Main Material Replacement</v>
          </cell>
          <cell r="D248" t="str">
            <v>yes</v>
          </cell>
          <cell r="F248" t="str">
            <v>F0604</v>
          </cell>
          <cell r="G248" t="str">
            <v>Main Replacement - ISRS (S)</v>
          </cell>
          <cell r="H248" t="str">
            <v>Repl 925F 6P Jefferson St</v>
          </cell>
          <cell r="I248" t="str">
            <v>open</v>
          </cell>
          <cell r="J248" t="str">
            <v>Install ~925 Ft of 6 PL MP Main.</v>
          </cell>
          <cell r="K248" t="str">
            <v>Abandon ~ 904 Ft of 6 ST MP Main, ~10 Ft of 6 PL MP Main - Total Service Tie-over- 4, Total Service Replacements- 2  Project Type: Strategic Main Repl</v>
          </cell>
          <cell r="P248" t="str">
            <v>0901-043021  JACKSON CTY/LEE'S SUMMIT OFFIC</v>
          </cell>
          <cell r="Q248">
            <v>0</v>
          </cell>
          <cell r="R248">
            <v>914</v>
          </cell>
        </row>
        <row r="249">
          <cell r="A249" t="str">
            <v>800936</v>
          </cell>
          <cell r="B249" t="str">
            <v>LDC 2</v>
          </cell>
          <cell r="D249" t="str">
            <v>no</v>
          </cell>
          <cell r="F249" t="str">
            <v>F0673</v>
          </cell>
          <cell r="G249" t="str">
            <v>New Main Extensions (S)</v>
          </cell>
          <cell r="H249" t="str">
            <v>Install 160F 4P 4960 NW Canyon Rd</v>
          </cell>
          <cell r="I249" t="str">
            <v>in service</v>
          </cell>
          <cell r="J249" t="str">
            <v>Install ~160 Ft of 4" PL MP Main to serve 1 New Residential Lot - Fenton (Builder)</v>
          </cell>
          <cell r="K249" t="str">
            <v>Requires Main Extension and Service Line. (2) Furnaces - 240 cfh (2) 50 gal water heater - 100cfh (1) Cooktop - 100 cfh (2) fire places - 120 cfh Outdoor Kitchen -Gas Grill - 50 cfh -Cooktop - 100 cfh Total: 710 cfh/710,000 BTU Install 160' - " Main Extension to serve one new residential customer.</v>
          </cell>
          <cell r="L249">
            <v>42702</v>
          </cell>
          <cell r="O249">
            <v>42705</v>
          </cell>
          <cell r="P249" t="str">
            <v>0901-043021  JACKSON CTY/LEE'S SUMMIT OFFIC</v>
          </cell>
          <cell r="Q249">
            <v>34335.199999999997</v>
          </cell>
          <cell r="R249">
            <v>-397.5</v>
          </cell>
        </row>
        <row r="250">
          <cell r="A250" t="str">
            <v>005731</v>
          </cell>
          <cell r="B250" t="str">
            <v>LDC 2</v>
          </cell>
          <cell r="D250" t="str">
            <v>no</v>
          </cell>
          <cell r="E250" t="str">
            <v>20901143674</v>
          </cell>
          <cell r="F250" t="str">
            <v>F0642</v>
          </cell>
          <cell r="G250" t="str">
            <v>Tools, Instruments &amp; Other Equip</v>
          </cell>
          <cell r="H250" t="str">
            <v>Pur 3 Crystal Gauge</v>
          </cell>
          <cell r="I250" t="str">
            <v>posted to CPR</v>
          </cell>
          <cell r="J250" t="str">
            <v>Pur 3 Crystal Gauge: Lees Summit: Purchase Tools, Instruments &amp; Equipment  3940 (37-366)</v>
          </cell>
          <cell r="K250" t="str">
            <v>Approved by: Rob Kitterman on 07/15/2014,  Purchase three (3) Crystal XP2i-2K 2000 psig gauge with protective boot to be used by Lee's Summit P&amp;M department.  Crystal gauge with serial number 961404 will be retired on this work order due to being unrepairable (purchased on WO# 09-5431.  The other two new gauges are being purchased for the additional 2 employees added to the Lee's Summit P&amp;M department per the new union contract.  Retirement Unit 94535010 - Gauges.</v>
          </cell>
          <cell r="L250">
            <v>41890</v>
          </cell>
          <cell r="M250">
            <v>42491</v>
          </cell>
          <cell r="N250">
            <v>42527.510763888902</v>
          </cell>
          <cell r="O250">
            <v>41883</v>
          </cell>
          <cell r="P250" t="str">
            <v>0901-043021  JACKSON CTY/LEE'S SUMMIT OFFIC</v>
          </cell>
          <cell r="Q250">
            <v>4307.18</v>
          </cell>
          <cell r="R250">
            <v>7</v>
          </cell>
        </row>
        <row r="251">
          <cell r="A251" t="str">
            <v>004631</v>
          </cell>
          <cell r="B251" t="str">
            <v>LDC 2</v>
          </cell>
          <cell r="D251" t="str">
            <v>no</v>
          </cell>
          <cell r="E251" t="str">
            <v>20901132430</v>
          </cell>
          <cell r="F251" t="str">
            <v>F0554</v>
          </cell>
          <cell r="G251" t="str">
            <v>Tools, Instruments &amp; Equipment (S)</v>
          </cell>
          <cell r="H251" t="str">
            <v>Build 12 Flame Ionizations Units</v>
          </cell>
          <cell r="I251" t="str">
            <v>posted to CPR</v>
          </cell>
          <cell r="J251" t="str">
            <v>Build 12 Flame Ionizations Units: Lees Summit: 3025 SE Clover Drive</v>
          </cell>
          <cell r="K251" t="str">
            <v>Approved by: Ralph Janes on 02/14/2013,  Roger Harrison will order the parts and build 12 new Flame Ionization Units for the Lee's Summit I&amp;S Crews.  Retirement Unit 94485020 - Flame Ionization Meter.</v>
          </cell>
          <cell r="L251">
            <v>41376</v>
          </cell>
          <cell r="M251">
            <v>41600</v>
          </cell>
          <cell r="N251">
            <v>41612.300092592603</v>
          </cell>
          <cell r="P251" t="str">
            <v>0901-043021  JACKSON CTY/LEE'S SUMMIT OFFIC</v>
          </cell>
          <cell r="Q251">
            <v>88689.23</v>
          </cell>
          <cell r="R251">
            <v>16</v>
          </cell>
        </row>
        <row r="252">
          <cell r="A252" t="str">
            <v>004118</v>
          </cell>
          <cell r="B252" t="str">
            <v>LDC 2</v>
          </cell>
          <cell r="D252" t="str">
            <v>no</v>
          </cell>
          <cell r="E252" t="str">
            <v>20901133067</v>
          </cell>
          <cell r="F252" t="str">
            <v>F0672</v>
          </cell>
          <cell r="G252" t="str">
            <v>Main Repl - Sys Reinforcement (S)</v>
          </cell>
          <cell r="H252" t="str">
            <v>Pryor and Rt150 Reinforce w 2960'-6</v>
          </cell>
          <cell r="I252" t="str">
            <v>posted to CPR</v>
          </cell>
          <cell r="J252" t="str">
            <v>Pryor and Rt150 Reinforce w 2960'-6in PE Main: Lees Summit: Pryor Road and Route 150</v>
          </cell>
          <cell r="K252" t="str">
            <v>Approved by: Steve Holcomb on 11/05/2013,  Install 2,960' of 6in pe main to connect the dead end 6in pe main at Stoney Creek on Route 150 to the 6in pe main on Pryor Road on Route 150 to loop the single feed area served from Ward Road and Hook Road.  There are approximately 1,500 houses in 4 subdivisions and 2 schools served by the main on Hook Road. The single feed 6in pe main was hit by a third party last year but was not cut in two and fortunately no customers were lost.  We replaced a section of main to complete that repair.</v>
          </cell>
          <cell r="L252">
            <v>41639</v>
          </cell>
          <cell r="M252">
            <v>41697</v>
          </cell>
          <cell r="N252">
            <v>41698.505185185197</v>
          </cell>
          <cell r="O252">
            <v>41730</v>
          </cell>
          <cell r="P252" t="str">
            <v>0901-043021  JACKSON CTY/LEE'S SUMMIT OFFIC</v>
          </cell>
          <cell r="Q252">
            <v>96823.34</v>
          </cell>
          <cell r="R252">
            <v>6142</v>
          </cell>
        </row>
        <row r="253">
          <cell r="A253" t="str">
            <v>800897</v>
          </cell>
          <cell r="B253" t="str">
            <v>LDC 2</v>
          </cell>
          <cell r="C253" t="str">
            <v>03 - Bare Steel Replacement</v>
          </cell>
          <cell r="D253" t="str">
            <v>yes</v>
          </cell>
          <cell r="F253" t="str">
            <v>F0572</v>
          </cell>
          <cell r="G253" t="str">
            <v>Main Replacement - ISRS (SW)</v>
          </cell>
          <cell r="H253" t="str">
            <v>Repl w 2157F 2P Locust &amp; Balard</v>
          </cell>
          <cell r="I253" t="str">
            <v>in service</v>
          </cell>
          <cell r="J253" t="str">
            <v>Install 2157 Ft of 2 in PL LP Main on Locust St, Balard, Water St, and Skinner.</v>
          </cell>
          <cell r="K253" t="str">
            <v>Replace 2in LP BST in area of leak No. 09-0107. When leak was repaired it was noted Form 318-5D that main needed to be replaced due to a split seam and depth of main.  Abandon 10 Ft of 2 in PL LP Main, 3 Ft of 4 in PL LP Main, 207 Ft of 7/8 in PL LP Main, 60 Ft of 1 in ST LP Main and 2018 Ft of 2 in ST LP Main at the above location. Total Service Tie-over = 23; Total Service Abandoned = 8; This main is being abandoned as part of FY16 Bare Steel Replacement Program.</v>
          </cell>
          <cell r="L253">
            <v>42738</v>
          </cell>
          <cell r="O253">
            <v>42736</v>
          </cell>
          <cell r="P253" t="str">
            <v>0513-044020  JASPER CTY/CARL JUNCTION</v>
          </cell>
          <cell r="Q253">
            <v>129383.07</v>
          </cell>
          <cell r="R253">
            <v>-5743.5</v>
          </cell>
        </row>
        <row r="254">
          <cell r="A254" t="str">
            <v>006756</v>
          </cell>
          <cell r="B254" t="str">
            <v>LDC 2</v>
          </cell>
          <cell r="D254" t="str">
            <v>no</v>
          </cell>
          <cell r="E254" t="str">
            <v>20602143930</v>
          </cell>
          <cell r="F254" t="str">
            <v>F0639</v>
          </cell>
          <cell r="G254" t="str">
            <v>EGM Equip-1st Time Installation</v>
          </cell>
          <cell r="H254" t="str">
            <v>EGM - Bela Flor Nurseries Inc</v>
          </cell>
          <cell r="I254" t="str">
            <v>in service</v>
          </cell>
          <cell r="J254" t="str">
            <v>EGM - Bela Flor Nurseries Inc: Jasper: Install EGM Equipment - First Time Installation  3850 (32-403)</v>
          </cell>
          <cell r="K254" t="str">
            <v>Approved by: Rob Kitterman on 10/28/2014,  Install Mercury MiniAT-PT (S/N: 13093727) with CNI-2 (S/N: 13072634) on Roots 7M meter no 09948234 to monitor daily gas usage of this transportation customer. Customer will reimburse company actual cost for EGM installation not to exceed $5,445.00, which should be coded to account 1072. ATTENTION: Plant &amp; Property Accounting, EGM work order, turn off A&amp;G indicator.</v>
          </cell>
          <cell r="L254">
            <v>42443</v>
          </cell>
          <cell r="O254">
            <v>42461</v>
          </cell>
          <cell r="P254" t="str">
            <v>0602-044033  JASPER CTY/JASPER</v>
          </cell>
          <cell r="Q254">
            <v>-8.7899999999999991</v>
          </cell>
          <cell r="R254">
            <v>24</v>
          </cell>
        </row>
        <row r="255">
          <cell r="A255" t="str">
            <v>004337</v>
          </cell>
          <cell r="B255" t="str">
            <v>LDC 2</v>
          </cell>
          <cell r="D255" t="str">
            <v>yes</v>
          </cell>
          <cell r="E255" t="str">
            <v>20603133197</v>
          </cell>
          <cell r="F255" t="str">
            <v>F0664</v>
          </cell>
          <cell r="G255" t="str">
            <v>Street &amp; Hwy Relocates ISRS (SW)</v>
          </cell>
          <cell r="H255" t="str">
            <v>I-49 Overpass Reloc Main</v>
          </cell>
          <cell r="I255" t="str">
            <v>posted to CPR</v>
          </cell>
          <cell r="J255" t="str">
            <v>I-49 Overpass Reloc Main : Lamar: 1st St and I49</v>
          </cell>
          <cell r="K255" t="str">
            <v>Approved by: Steve Lindsey on 01/16/2014,  Abandon 669' - 2" PCS (WO#: NONE), 810' - 6" PCS (WO#: 62-2543), and 250' - 4" PE (WO#: 04-6356) in order to relocate for new I-49 overpass. Relocate with 1195' - 4" PE, 540' - 6" PE, and 805' - 6" Thinfilm. There are currently two services coming off of the existing 2" PCS on the West Outer Rd to the North that will need to be tied over. Main will lay along new right-of-way line, inside 30' utility easement purchased by MODOT. Project Location: I-49 and 1st St (NE 5th Rd); Pressure System: S-1; MOP: 35 psig; MAOP: 40 psig; Design: 58 psig; Test: 100 psig; ISRS $71.43/ft</v>
          </cell>
          <cell r="L255">
            <v>41775</v>
          </cell>
          <cell r="M255">
            <v>42063</v>
          </cell>
          <cell r="N255">
            <v>42160.551655092597</v>
          </cell>
          <cell r="O255">
            <v>41852</v>
          </cell>
          <cell r="P255" t="str">
            <v>0603-006001  BARTON CTY/LAMAR</v>
          </cell>
          <cell r="Q255">
            <v>65598.759999999995</v>
          </cell>
          <cell r="R255">
            <v>5115</v>
          </cell>
        </row>
        <row r="256">
          <cell r="A256" t="str">
            <v>008636</v>
          </cell>
          <cell r="B256" t="str">
            <v>LDC 2</v>
          </cell>
          <cell r="D256" t="str">
            <v>yes</v>
          </cell>
          <cell r="E256" t="str">
            <v>21001155322</v>
          </cell>
          <cell r="F256" t="str">
            <v>F0604</v>
          </cell>
          <cell r="G256" t="str">
            <v>Main Replacement - ISRS (S)</v>
          </cell>
          <cell r="H256" t="str">
            <v>Replace 2in PBS/PCS &amp; 6in P</v>
          </cell>
          <cell r="I256" t="str">
            <v>posted to CPR</v>
          </cell>
          <cell r="J256" t="str">
            <v>Replace 2in PBS/PCS &amp; 6in PBS Main: St Joseph: Replace Bare Steel Main - 3760 Safety Related (34-394)</v>
          </cell>
          <cell r="K256" t="str">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ell>
          <cell r="L256">
            <v>42278</v>
          </cell>
          <cell r="M256">
            <v>42429</v>
          </cell>
          <cell r="N256">
            <v>42496.560682870397</v>
          </cell>
          <cell r="O256">
            <v>42278</v>
          </cell>
          <cell r="P256" t="str">
            <v>1001-010001  ST. JOSEPH CITY/BUCHANAN</v>
          </cell>
          <cell r="Q256">
            <v>287136.89</v>
          </cell>
          <cell r="R256">
            <v>-5707.25</v>
          </cell>
        </row>
        <row r="257">
          <cell r="A257" t="str">
            <v>007480</v>
          </cell>
          <cell r="B257" t="str">
            <v>LDC 2</v>
          </cell>
          <cell r="D257" t="str">
            <v>yes</v>
          </cell>
          <cell r="E257" t="str">
            <v>21001155069</v>
          </cell>
          <cell r="F257" t="str">
            <v>F0678</v>
          </cell>
          <cell r="G257" t="str">
            <v>Replace bare steel main - safety re</v>
          </cell>
          <cell r="H257" t="str">
            <v>Repl  500ft of 3in &amp; 4in B.S. w/ 4i</v>
          </cell>
          <cell r="I257" t="str">
            <v>posted to CPR</v>
          </cell>
          <cell r="J257" t="str">
            <v>Repl  500ft of 3in &amp; 4in B.S. w/ 4in PE: St Joseph: Replace Bare Steel Main - 3760 Safety Related (34-394)</v>
          </cell>
          <cell r="K257" t="str">
            <v>Approved by: Gary Williams on 01/19/2015,  Replace 500ft of 3in &amp; 4in Bare Steel with 4in Plastic Pipe due to down project.</v>
          </cell>
          <cell r="L257">
            <v>42059</v>
          </cell>
          <cell r="M257">
            <v>42217</v>
          </cell>
          <cell r="N257">
            <v>42284.723090277803</v>
          </cell>
          <cell r="O257">
            <v>42036</v>
          </cell>
          <cell r="P257" t="str">
            <v>1001-010001  ST. JOSEPH CITY/BUCHANAN</v>
          </cell>
          <cell r="Q257">
            <v>6427.87</v>
          </cell>
          <cell r="R257">
            <v>-389</v>
          </cell>
        </row>
        <row r="258">
          <cell r="A258" t="str">
            <v>008367</v>
          </cell>
          <cell r="B258" t="str">
            <v>LDC 2</v>
          </cell>
          <cell r="D258" t="str">
            <v>yes</v>
          </cell>
          <cell r="E258" t="str">
            <v>20901144058</v>
          </cell>
          <cell r="F258" t="str">
            <v>F0578</v>
          </cell>
          <cell r="G258" t="str">
            <v>Street &amp; Highway Relocates ISRS (S)</v>
          </cell>
          <cell r="H258" t="str">
            <v>Rebuild DRS 58 Independence and Tow</v>
          </cell>
          <cell r="I258" t="str">
            <v>completed</v>
          </cell>
          <cell r="J258" t="str">
            <v>Rebuild DRS 58 Independence and Town Centre: Lees Summit: Relocate for Street &amp; Highway-Public Improvements (44-388)</v>
          </cell>
          <cell r="K258" t="str">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ell>
          <cell r="L258">
            <v>42283</v>
          </cell>
          <cell r="M258">
            <v>42283</v>
          </cell>
          <cell r="O258">
            <v>42278</v>
          </cell>
          <cell r="P258" t="str">
            <v>0901-043021  JACKSON CTY/LEE'S SUMMIT OFFIC</v>
          </cell>
          <cell r="Q258">
            <v>38770.339999999997</v>
          </cell>
          <cell r="R258">
            <v>72</v>
          </cell>
        </row>
        <row r="259">
          <cell r="A259" t="str">
            <v>005047</v>
          </cell>
          <cell r="B259" t="str">
            <v>LDC 2</v>
          </cell>
          <cell r="D259" t="str">
            <v>no</v>
          </cell>
          <cell r="E259" t="str">
            <v>20901143514</v>
          </cell>
          <cell r="F259" t="str">
            <v>F0554</v>
          </cell>
          <cell r="G259" t="str">
            <v>Tools, Instruments &amp; Equipment (S)</v>
          </cell>
          <cell r="H259" t="str">
            <v>Pur Tools - 5 Pipe Locators</v>
          </cell>
          <cell r="I259" t="str">
            <v>posted to CPR</v>
          </cell>
          <cell r="J259" t="str">
            <v>Pur Tools - 5 Pipe Locators: Lees Summit: Purchase Tools, Instruments &amp; Equipment  3940 (37-366)</v>
          </cell>
          <cell r="K259" t="str">
            <v>Approved by: Ralph Janes on 04/23/2014,  Purchase 5 - Rycom Pipe Locators Model 8879-CP.  4 are for the Lee's Summit I&amp;S Department for high profile main 3rd party excavation and 1 is for one of the Lee's Summit C&amp;M crews.  Retirement Unit 94667000 - Pipe Locator.  Retire 2 TW-6 Pipe Locators - Work Order 974598.  Retire 1 Metrotech 480B - Work Order 036093.  Retire 6 - Rycom Moddel 8850 - Work Order 998642. Retire 3 Utilocator LE833 - Work Order 046821.  Retire 1 Utilocator LE833 - Work Order 048034.  Retire 2 - Fisher Split Box Locator - Work Order 072026.</v>
          </cell>
          <cell r="L259">
            <v>41796</v>
          </cell>
          <cell r="M259">
            <v>41838</v>
          </cell>
          <cell r="N259">
            <v>41953.447534722203</v>
          </cell>
          <cell r="O259">
            <v>41791</v>
          </cell>
          <cell r="P259" t="str">
            <v>0901-043021  JACKSON CTY/LEE'S SUMMIT OFFIC</v>
          </cell>
          <cell r="Q259">
            <v>36315.089999999997</v>
          </cell>
          <cell r="R259">
            <v>20</v>
          </cell>
        </row>
        <row r="260">
          <cell r="A260" t="str">
            <v>006030</v>
          </cell>
          <cell r="B260" t="str">
            <v>LDC 2</v>
          </cell>
          <cell r="D260" t="str">
            <v>yes</v>
          </cell>
          <cell r="E260" t="str">
            <v>20925143738</v>
          </cell>
          <cell r="F260" t="str">
            <v>F0580</v>
          </cell>
          <cell r="G260" t="str">
            <v>Replace steel &amp; plastic main</v>
          </cell>
          <cell r="H260" t="str">
            <v>Replace 12in PCS Main I-70</v>
          </cell>
          <cell r="I260" t="str">
            <v>posted to CPR</v>
          </cell>
          <cell r="J260" t="str">
            <v>Replace 12in PCS Main: Grain Valley: Replace Coated Steel &amp; Plastic Main - 3760 (34-396)Lees Summit</v>
          </cell>
          <cell r="K260" t="str">
            <v>Approved by: Steve Holcomb on 08/19/2014,  Replace and retire 500' - 12" pcs main (work order 61-1515) for pipeline transmission integrity by installing 500' of 12" .250wt X-52 coated pipe.  We will be replacing the existing Grain Valley DRS #1 bridle valve setting on work order 14-3475 and wish to capitalize on the opportunity to replace the bore shot under I-70 and to replace the High Concequence Area (HCA) at the DRS caused by the proximity of a Day Care Center while the main is out of service.  A hydro-test of the existing main on the North side of I-70 West of Buckner Tarsney Route BB will occur at the same time on work order 14-????.</v>
          </cell>
          <cell r="L260">
            <v>41990</v>
          </cell>
          <cell r="M260">
            <v>42217</v>
          </cell>
          <cell r="N260">
            <v>42284.722106481502</v>
          </cell>
          <cell r="O260">
            <v>42064</v>
          </cell>
          <cell r="P260" t="str">
            <v>0925-043035  JACKSON CTY/GRAIN VALLEY</v>
          </cell>
          <cell r="Q260">
            <v>47986.3</v>
          </cell>
          <cell r="R260">
            <v>744</v>
          </cell>
        </row>
        <row r="261">
          <cell r="A261" t="str">
            <v>005491</v>
          </cell>
          <cell r="B261" t="str">
            <v>LDC 2</v>
          </cell>
          <cell r="D261" t="str">
            <v>no</v>
          </cell>
          <cell r="E261" t="str">
            <v>20925143593</v>
          </cell>
          <cell r="F261" t="str">
            <v>F0675</v>
          </cell>
          <cell r="G261" t="str">
            <v>Services -  2" &amp; larger</v>
          </cell>
          <cell r="H261" t="str">
            <v>Grain Valley HS Service Line</v>
          </cell>
          <cell r="I261" t="str">
            <v>posted to CPR</v>
          </cell>
          <cell r="J261" t="str">
            <v>Grain Valley HS Service Line: Grain Valley: New Services 2&amp;quot; &amp; Larger  3800 (33-381)</v>
          </cell>
          <cell r="K261" t="str">
            <v>Approved by: Ralph Janes on 06/05/2014,  Install 120' - 4" pe service line to serve the Grain Valley High School. They are constructing new additions and are adding 16,000 cfh to the existing 12,000 cfh for a total connected load of 28,000 cfh.  978' of 4" pe service line was already installed on work order 13-2434 on 04/01/13 to get past a proposed retaining wall (actual cost = $19,399.08).  The final 120' will be installed on this work order.  A 16M Rotary meter setting will be installed on work order 14-3603.</v>
          </cell>
          <cell r="L261">
            <v>41804</v>
          </cell>
          <cell r="M261">
            <v>42155</v>
          </cell>
          <cell r="N261">
            <v>42160.553090277797</v>
          </cell>
          <cell r="O261">
            <v>41791</v>
          </cell>
          <cell r="P261" t="str">
            <v>0925-043035  JACKSON CTY/GRAIN VALLEY</v>
          </cell>
          <cell r="Q261">
            <v>4204.6899999999996</v>
          </cell>
          <cell r="R261">
            <v>-178</v>
          </cell>
        </row>
        <row r="262">
          <cell r="A262" t="str">
            <v>004238</v>
          </cell>
          <cell r="B262" t="str">
            <v>LDC 2</v>
          </cell>
          <cell r="D262" t="str">
            <v>no</v>
          </cell>
          <cell r="E262" t="str">
            <v>20926132859</v>
          </cell>
          <cell r="F262" t="str">
            <v>F0507</v>
          </cell>
          <cell r="G262" t="str">
            <v>Rebuild Meter Install 2'' &amp; Lg (S)</v>
          </cell>
          <cell r="H262" t="str">
            <v>Oak Grove Manor 5M Meter Set</v>
          </cell>
          <cell r="I262" t="str">
            <v>posted to CPR</v>
          </cell>
          <cell r="J262" t="str">
            <v>Oak Grove Manor 5M Meter Set: Oak Grove: 1401 S Broadway St</v>
          </cell>
          <cell r="K262" t="str">
            <v>Approved by: Ralph Janes on 08/06/2013,  The AL 2300 meter (meter# 05437567) at 1401 S Broadway St (premise 327901) is due for change out on the 2013 Time Limit Program. The existing load was gathered: 3,500 cfh. Retire the AL 2300 meter set (original WO# 791132) and rebuild with 5M Rotary meter set on WO# 13-2859. Tie back into existing yard line(s).</v>
          </cell>
          <cell r="L262">
            <v>41536</v>
          </cell>
          <cell r="M262">
            <v>41600</v>
          </cell>
          <cell r="N262">
            <v>41612.300150463001</v>
          </cell>
          <cell r="P262" t="str">
            <v>0926-043037  JACKSON CTY/OAK GROVE</v>
          </cell>
          <cell r="Q262">
            <v>5062.66</v>
          </cell>
          <cell r="R262">
            <v>110</v>
          </cell>
        </row>
        <row r="263">
          <cell r="A263" t="str">
            <v>006202</v>
          </cell>
          <cell r="B263" t="str">
            <v>LDC 2</v>
          </cell>
          <cell r="D263" t="str">
            <v>no</v>
          </cell>
          <cell r="E263" t="str">
            <v>20101143775</v>
          </cell>
          <cell r="F263" t="str">
            <v>F0577</v>
          </cell>
          <cell r="G263" t="str">
            <v>ERT Purchases</v>
          </cell>
          <cell r="H263" t="str">
            <v>Purc Am and Rwk Commerical Erts 201</v>
          </cell>
          <cell r="I263" t="str">
            <v>posted to CPR</v>
          </cell>
          <cell r="J263" t="str">
            <v>Purc Am and Rwk Commerical Erts 2014: Kansas City CORP: Purchase ERT (Electronic Reading Transmitter)  3971 (32-312)</v>
          </cell>
          <cell r="K263" t="str">
            <v>Approved by: Steve Holcomb on 09/01/2014,  Purchase (400) American Commerical 5198400 and (100) Rockwell Commerical 5198500 Erts for the Ert Changeout Program 2014 and 2015.</v>
          </cell>
          <cell r="L263">
            <v>42051</v>
          </cell>
          <cell r="M263">
            <v>42461</v>
          </cell>
          <cell r="N263">
            <v>42496.559930555602</v>
          </cell>
          <cell r="O263">
            <v>42186</v>
          </cell>
          <cell r="P263" t="str">
            <v>1904-043050  JACKSON CTY/KC</v>
          </cell>
          <cell r="Q263">
            <v>33201</v>
          </cell>
          <cell r="R263">
            <v>2100</v>
          </cell>
        </row>
        <row r="264">
          <cell r="A264" t="str">
            <v>003880</v>
          </cell>
          <cell r="B264" t="str">
            <v>LDC 2</v>
          </cell>
          <cell r="D264" t="str">
            <v>no</v>
          </cell>
          <cell r="E264" t="str">
            <v>21904133081</v>
          </cell>
          <cell r="F264" t="str">
            <v>F0620</v>
          </cell>
          <cell r="G264" t="str">
            <v>32-399-420-METERS</v>
          </cell>
          <cell r="H264" t="str">
            <v>Pur 100 New Misc Rotary Mtrs 2014</v>
          </cell>
          <cell r="I264" t="str">
            <v>posted to CPR</v>
          </cell>
          <cell r="J264" t="str">
            <v>Pur 100 New Misc Rotary Mtrs 2014: Kansas City CORP: Central Plant Meter Shop</v>
          </cell>
          <cell r="K264" t="str">
            <v>Approved by: Steve Lindsey on 11/18/2013,  Replacement and new sets 3M 74012264 5M 74012266 7M 74012268 11M74012270 16m 74012272 23M 74012274 .</v>
          </cell>
          <cell r="L264">
            <v>41740</v>
          </cell>
          <cell r="M264">
            <v>41944</v>
          </cell>
          <cell r="N264">
            <v>41978.592499999999</v>
          </cell>
          <cell r="O264">
            <v>41730</v>
          </cell>
          <cell r="P264" t="str">
            <v>1904-043050  JACKSON CTY/KC</v>
          </cell>
          <cell r="Q264">
            <v>192082.71</v>
          </cell>
          <cell r="R264">
            <v>145</v>
          </cell>
        </row>
        <row r="265">
          <cell r="A265" t="str">
            <v>004061</v>
          </cell>
          <cell r="B265" t="str">
            <v>LDC 2</v>
          </cell>
          <cell r="D265" t="str">
            <v>no</v>
          </cell>
          <cell r="E265" t="str">
            <v>21904143396</v>
          </cell>
          <cell r="F265" t="str">
            <v>F0577</v>
          </cell>
          <cell r="G265" t="str">
            <v>ERT Purchases</v>
          </cell>
          <cell r="H265" t="str">
            <v>Pur 10000 100G Erts Repl Program Au</v>
          </cell>
          <cell r="I265" t="str">
            <v>posted to CPR</v>
          </cell>
          <cell r="J265" t="str">
            <v>Pur 10000 100G Erts Repl Program August 2014: Kansas City CORP: Central Plant Meter Shop</v>
          </cell>
          <cell r="K265" t="str">
            <v>Approved by: Steve Lindsey on 03/18/2014,  Purchase domestic 100G Am Erts 5198300 Rk Erts 5198310 for the Replacement Program.</v>
          </cell>
          <cell r="L265">
            <v>41733</v>
          </cell>
          <cell r="M265">
            <v>42156</v>
          </cell>
          <cell r="N265">
            <v>42185.728148148097</v>
          </cell>
          <cell r="O265">
            <v>41883</v>
          </cell>
          <cell r="P265" t="str">
            <v>1904-043050  JACKSON CTY/KC</v>
          </cell>
          <cell r="Q265">
            <v>222780</v>
          </cell>
          <cell r="R265">
            <v>5000</v>
          </cell>
        </row>
        <row r="266">
          <cell r="A266" t="str">
            <v>800364</v>
          </cell>
          <cell r="B266" t="str">
            <v>LDC 2</v>
          </cell>
          <cell r="D266" t="str">
            <v>no</v>
          </cell>
          <cell r="F266" t="str">
            <v>F0547</v>
          </cell>
          <cell r="G266" t="str">
            <v>Street &amp; Highway Relocates ISRS (N)</v>
          </cell>
          <cell r="H266" t="str">
            <v>Inst 3244F 2-4P Benson Place 6 NB</v>
          </cell>
          <cell r="I266" t="str">
            <v>in service</v>
          </cell>
          <cell r="J266" t="str">
            <v>  Install 2781 ft of 2 in IP PE main and 463 ft of 4 in IP PE main for new customers at Benson Place Fieldstone - Plat 6-IUI</v>
          </cell>
          <cell r="L266">
            <v>42751</v>
          </cell>
          <cell r="O266">
            <v>42736</v>
          </cell>
          <cell r="P266" t="str">
            <v>1271-020036  CLAY CTY/KANSAS CITY</v>
          </cell>
          <cell r="Q266">
            <v>89957.22</v>
          </cell>
          <cell r="R266">
            <v>-6836.5</v>
          </cell>
        </row>
        <row r="267">
          <cell r="A267" t="str">
            <v>007571</v>
          </cell>
          <cell r="B267" t="str">
            <v>LDC 2</v>
          </cell>
          <cell r="D267" t="str">
            <v>yes</v>
          </cell>
          <cell r="E267" t="str">
            <v>21271155077</v>
          </cell>
          <cell r="F267" t="str">
            <v>F0665</v>
          </cell>
          <cell r="G267" t="str">
            <v>Replace steel &amp; plastic main</v>
          </cell>
          <cell r="H267" t="str">
            <v>Main Replacement for DR 607 Inlet a</v>
          </cell>
          <cell r="I267" t="str">
            <v>posted to CPR</v>
          </cell>
          <cell r="J267" t="str">
            <v>Main Replacement for DR 607 Inlet and Outlet Pipin: Kansas City-Clay Co: Replace Coated Steel &amp; Plastic Main - 3760 (34-396)</v>
          </cell>
          <cell r="K267" t="str">
            <v>Approved by: Gary Williams on 02/03/2015,  Main replacement for the rebuild of DR 607 (WO # 155078). 70' of 4'' PCS to be installed. Tie in to 3'' PCS before outlet and inlet valves so that they may continue to be used as the valves for the station.</v>
          </cell>
          <cell r="L267">
            <v>42118</v>
          </cell>
          <cell r="M267">
            <v>42247</v>
          </cell>
          <cell r="N267">
            <v>42284.723229166702</v>
          </cell>
          <cell r="O267">
            <v>42156</v>
          </cell>
          <cell r="P267" t="str">
            <v>1271-020036  CLAY CTY/KANSAS CITY</v>
          </cell>
          <cell r="Q267">
            <v>12175.27</v>
          </cell>
          <cell r="R267">
            <v>1561</v>
          </cell>
        </row>
        <row r="268">
          <cell r="A268" t="str">
            <v>006077</v>
          </cell>
          <cell r="B268" t="str">
            <v>LDC 2</v>
          </cell>
          <cell r="D268" t="str">
            <v>no</v>
          </cell>
          <cell r="E268" t="str">
            <v>21271143438</v>
          </cell>
          <cell r="F268" t="str">
            <v>F0610</v>
          </cell>
          <cell r="G268" t="str">
            <v>New business</v>
          </cell>
          <cell r="H268" t="str">
            <v>BENSON FIELDSTONE-5 Main Ext</v>
          </cell>
          <cell r="I268" t="str">
            <v>posted to CPR</v>
          </cell>
          <cell r="J268" t="str">
            <v>BENSON FIELDSTONE-5: Kansas City-Clay Co: New Main Extension - Contractor Crews  3760 (33-380)</v>
          </cell>
          <cell r="K268" t="str">
            <v>Approved by: Gary Williams on 06/13/2014,  LAYING 370'-2" PE &amp; 2,187'-4" PE IN ORDER TO SERVE SUBDIVISION HAVING 58 LOTS.  LOTS 212-269.  ONE WAY FEED ALONG NE 99TH ST, NE 99TH TER &amp; NE 100TH ST.; AFTER TIE-INS ALONG N TULLIS DR.  2,557' x $8.50=$21,734.50  COST PER FOOT=$14.26  DEVELOPER TO CONTRIBUTE $21,734.50 BEFORE START OF PROJECT.  Per WOES, received check $21,734.50 8-20-14 - MEA #1271-4491.</v>
          </cell>
          <cell r="L268">
            <v>41978</v>
          </cell>
          <cell r="M268">
            <v>42155</v>
          </cell>
          <cell r="N268">
            <v>42256.668101851901</v>
          </cell>
          <cell r="O268">
            <v>41974</v>
          </cell>
          <cell r="P268" t="str">
            <v>1271-020036  CLAY CTY/KANSAS CITY</v>
          </cell>
          <cell r="Q268">
            <v>32045.29</v>
          </cell>
          <cell r="R268">
            <v>-5821.17</v>
          </cell>
        </row>
        <row r="269">
          <cell r="A269" t="str">
            <v>005772</v>
          </cell>
          <cell r="B269" t="str">
            <v>LDC 2</v>
          </cell>
          <cell r="D269" t="str">
            <v>yes</v>
          </cell>
          <cell r="E269" t="str">
            <v>21271143554</v>
          </cell>
          <cell r="F269" t="str">
            <v>F0497</v>
          </cell>
          <cell r="G269" t="str">
            <v>Street &amp; highway relocates - safety</v>
          </cell>
          <cell r="H269" t="str">
            <v>NE Kelsey Reloc PCS/PBS w 100'-4in</v>
          </cell>
          <cell r="I269" t="str">
            <v>posted to CPR</v>
          </cell>
          <cell r="J269" t="str">
            <v>NE Kelsey Reloc PCS/PBS w 100'-4in St;275'-2in PE: Kansas City-Clay Co: Relocate for Street &amp; Highway-Safety Related (44-389)</v>
          </cell>
          <cell r="K269" t="str">
            <v>Approved by: Gary Williams on 07/23/2014,  (ISRS)  Replace 100'-4in PBS with 4in thin film and 2" PCS with 275'-2in PE.  New 4in main needs to be 8' below existing grade due to new storm sewer.  Dead end 2" PE main at 2307 NE 44th Terr. Tie over 3 services.</v>
          </cell>
          <cell r="L269">
            <v>41936</v>
          </cell>
          <cell r="M269">
            <v>41973</v>
          </cell>
          <cell r="N269">
            <v>42072.434317129599</v>
          </cell>
          <cell r="O269">
            <v>41944</v>
          </cell>
          <cell r="P269" t="str">
            <v>1271-020036  CLAY CTY/KANSAS CITY</v>
          </cell>
          <cell r="Q269">
            <v>9057.1200000000008</v>
          </cell>
          <cell r="R269">
            <v>-565.5</v>
          </cell>
        </row>
        <row r="270">
          <cell r="A270" t="str">
            <v>004584</v>
          </cell>
          <cell r="B270" t="str">
            <v>LDC 2</v>
          </cell>
          <cell r="D270" t="str">
            <v>no</v>
          </cell>
          <cell r="E270" t="str">
            <v>21271133045</v>
          </cell>
          <cell r="F270" t="str">
            <v>F0660</v>
          </cell>
          <cell r="G270" t="str">
            <v>Meter &amp; Reg Settings 2" &amp; Lg (N)</v>
          </cell>
          <cell r="H270" t="str">
            <v>Adrian Steel-HMBC II 3M mtr set</v>
          </cell>
          <cell r="I270" t="str">
            <v>posted to CPR</v>
          </cell>
          <cell r="J270" t="str">
            <v>Adrian Steel-HMBC II 3M mtr set: Kansas City-Clay Co: 8650 NE Parvin rd</v>
          </cell>
          <cell r="K270" t="str">
            <v>Approved by: Mike Fornelli on 10/07/2013,  This work is necessary to install a 3M roots meter to serve one new commercial customer. We'll set a 2in CL-34-1 regulator at 2psig with a 1in 289h relief set at 3psig for a connected load of 1710cfh.</v>
          </cell>
          <cell r="L270">
            <v>41555</v>
          </cell>
          <cell r="M270">
            <v>41638</v>
          </cell>
          <cell r="N270">
            <v>41676.633391203701</v>
          </cell>
          <cell r="P270" t="str">
            <v>1271-020036  CLAY CTY/KANSAS CITY</v>
          </cell>
          <cell r="Q270">
            <v>3134.32</v>
          </cell>
          <cell r="R270">
            <v>59</v>
          </cell>
        </row>
        <row r="271">
          <cell r="A271" t="str">
            <v>800050</v>
          </cell>
          <cell r="B271" t="str">
            <v>LDC 2</v>
          </cell>
          <cell r="D271" t="str">
            <v>no</v>
          </cell>
          <cell r="F271" t="str">
            <v>F0647</v>
          </cell>
          <cell r="G271" t="str">
            <v>New Main Extensions (N)</v>
          </cell>
          <cell r="H271" t="str">
            <v>Chapel Ridge Main Ext- 22 lot subd</v>
          </cell>
          <cell r="I271" t="str">
            <v>in service</v>
          </cell>
          <cell r="J271" t="str">
            <v>Install 2,218' of 6'' PE. Install 1,418' of 2'' PE. In order to serve Chapel ridge subdivision (22 lots)</v>
          </cell>
          <cell r="K271" t="str">
            <v>The 6in pls is being oversized to integrate further north and eventually remove a surplus of reg stations.</v>
          </cell>
          <cell r="L271">
            <v>42422</v>
          </cell>
          <cell r="O271">
            <v>42461</v>
          </cell>
          <cell r="P271" t="str">
            <v>1261-075025  PLATTE CTY/??? TWP</v>
          </cell>
          <cell r="Q271">
            <v>77175.25</v>
          </cell>
          <cell r="R271">
            <v>-7158</v>
          </cell>
        </row>
        <row r="272">
          <cell r="A272" t="str">
            <v>800499</v>
          </cell>
          <cell r="B272" t="str">
            <v>LDC 2</v>
          </cell>
          <cell r="C272" t="str">
            <v>01 - Cast Iron Strategic Replacement</v>
          </cell>
          <cell r="D272" t="str">
            <v>yes</v>
          </cell>
          <cell r="F272" t="str">
            <v>F0599</v>
          </cell>
          <cell r="G272" t="str">
            <v>Main Replacement - ISRS (N)</v>
          </cell>
          <cell r="H272" t="str">
            <v>Repl w 7020F 2-12P 63rd &amp; 55th Ph1D</v>
          </cell>
          <cell r="I272" t="str">
            <v>open</v>
          </cell>
          <cell r="J272" t="str">
            <v>Install 4,225 Ft of 2 inch PL IP main on Locust St, Cherry St, and Kenwood Ave in between 61st Terrace and 62nd St and install 2,795 Ft of 12-inch PL IP main on 63rd St. - Phase 1D</v>
          </cell>
          <cell r="K272" t="str">
            <v>Abandon 845 Ft of 4-inch CI LP main, 2,910 Ft of 6-inch CI LP main, 28 FT of 8-inch CI LP main, 1,987 Ft of 16-inch CI LP main, 362 Ft of 3-inch ST LP main, 4 Ft of 4-inch Coated ST LP main, and 5 Ft of 6-inch Coated ST LP main at the above location.  Uprating approximately 102 Ft of 2-Inch Plastic LP main into IP.  Total Service Tie-over = 119; Total Service Replacement =17; Total Service Abandoned = 1; Total Service Upgrade =1.  This main is being abandoned as part of FY16 Bare Steel Replacement Program.</v>
          </cell>
          <cell r="P272" t="str">
            <v>0401-043050  JACKSON CTY/KC</v>
          </cell>
          <cell r="Q272">
            <v>0</v>
          </cell>
          <cell r="R272">
            <v>6189</v>
          </cell>
        </row>
        <row r="273">
          <cell r="A273" t="str">
            <v>800370</v>
          </cell>
          <cell r="B273" t="str">
            <v>LDC 2</v>
          </cell>
          <cell r="C273" t="str">
            <v>02 - Cast Iron AOR Replacement</v>
          </cell>
          <cell r="D273" t="str">
            <v>yes</v>
          </cell>
          <cell r="F273" t="str">
            <v>F0599</v>
          </cell>
          <cell r="G273" t="str">
            <v>Main Replacement - ISRS (N)</v>
          </cell>
          <cell r="H273" t="str">
            <v>AOR - Spruce and 41st - IUI</v>
          </cell>
          <cell r="I273" t="str">
            <v>in service</v>
          </cell>
          <cell r="J273" t="str">
            <v>Install 40' of 4'' PE. Abandon 30' of 6'' CI. Replacement due to AOR.</v>
          </cell>
          <cell r="L273">
            <v>42627</v>
          </cell>
          <cell r="O273">
            <v>42614</v>
          </cell>
          <cell r="P273" t="str">
            <v>0401-043050  JACKSON CTY/KC</v>
          </cell>
          <cell r="Q273">
            <v>39414.720000000001</v>
          </cell>
          <cell r="R273">
            <v>-591</v>
          </cell>
        </row>
        <row r="274">
          <cell r="A274" t="str">
            <v>800227</v>
          </cell>
          <cell r="B274" t="str">
            <v>LDC 2</v>
          </cell>
          <cell r="C274" t="str">
            <v>01 - Cast Iron Strategic Replacement</v>
          </cell>
          <cell r="D274" t="str">
            <v>yes</v>
          </cell>
          <cell r="F274" t="str">
            <v>F0599</v>
          </cell>
          <cell r="G274" t="str">
            <v>Main Replacement - ISRS (N)</v>
          </cell>
          <cell r="H274" t="str">
            <v>Valentine and Terrace St Replacemen</v>
          </cell>
          <cell r="I274" t="str">
            <v>in service</v>
          </cell>
          <cell r="J274" t="str">
            <v>Install 450' of 2'' PE. Abandon 500' of 6'' CI at Valentine &amp; Terrace St. This replacement is due to graphitization and the compliance date is 02/09/2016</v>
          </cell>
          <cell r="L274">
            <v>42404</v>
          </cell>
          <cell r="O274">
            <v>42401</v>
          </cell>
          <cell r="P274" t="str">
            <v>0401-043050  JACKSON CTY/KC</v>
          </cell>
          <cell r="Q274">
            <v>92503.55</v>
          </cell>
          <cell r="R274">
            <v>-237.48</v>
          </cell>
        </row>
        <row r="275">
          <cell r="A275" t="str">
            <v>008796</v>
          </cell>
          <cell r="B275" t="str">
            <v>LDC 2</v>
          </cell>
          <cell r="D275" t="str">
            <v>no</v>
          </cell>
          <cell r="F275" t="str">
            <v>F0950</v>
          </cell>
          <cell r="G275" t="str">
            <v>Power Operated Eq - MGE</v>
          </cell>
          <cell r="H275" t="str">
            <v>Purchase (3) portable comp. MGE*</v>
          </cell>
          <cell r="I275" t="str">
            <v>posted to CPR</v>
          </cell>
          <cell r="J275" t="str">
            <v>Purchase 3 portable compressors for new crews MGE*</v>
          </cell>
          <cell r="L275">
            <v>42338</v>
          </cell>
          <cell r="M275">
            <v>42400</v>
          </cell>
          <cell r="N275">
            <v>42467.490740740701</v>
          </cell>
          <cell r="O275">
            <v>42339</v>
          </cell>
          <cell r="P275" t="str">
            <v>0401-043050  JACKSON CTY/KC</v>
          </cell>
          <cell r="Q275">
            <v>69400.17</v>
          </cell>
          <cell r="R275">
            <v>3</v>
          </cell>
        </row>
        <row r="276">
          <cell r="A276" t="str">
            <v>008395</v>
          </cell>
          <cell r="B276" t="str">
            <v>LDC 2</v>
          </cell>
          <cell r="D276" t="str">
            <v>yes</v>
          </cell>
          <cell r="E276" t="str">
            <v>20401155317</v>
          </cell>
          <cell r="F276" t="str">
            <v>F0599</v>
          </cell>
          <cell r="G276" t="str">
            <v>Main Replacement - ISRS (N)</v>
          </cell>
          <cell r="H276" t="str">
            <v>Cast Iron Replacement Project Phase</v>
          </cell>
          <cell r="I276" t="str">
            <v>posted to CPR</v>
          </cell>
          <cell r="J276" t="str">
            <v>Cast Iron Replacement Project Phase 9: Kansas City-Jackson: Replace Cast Iron Main - 3760 Safety Related (34-412)</v>
          </cell>
          <cell r="K276" t="str">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ell>
          <cell r="L276">
            <v>42320</v>
          </cell>
          <cell r="M276">
            <v>42429</v>
          </cell>
          <cell r="N276">
            <v>42527.511967592603</v>
          </cell>
          <cell r="O276">
            <v>42309</v>
          </cell>
          <cell r="P276" t="str">
            <v>0401-043050  JACKSON CTY/KC</v>
          </cell>
          <cell r="Q276">
            <v>1208943.8400000001</v>
          </cell>
          <cell r="R276">
            <v>893744</v>
          </cell>
        </row>
        <row r="277">
          <cell r="A277" t="str">
            <v>008369</v>
          </cell>
          <cell r="B277" t="str">
            <v>LDC 2</v>
          </cell>
          <cell r="D277" t="str">
            <v>no</v>
          </cell>
          <cell r="E277" t="str">
            <v>20401155155</v>
          </cell>
          <cell r="F277" t="str">
            <v>F0638</v>
          </cell>
          <cell r="G277" t="str">
            <v>Meter &amp; regulator replacements - 2"</v>
          </cell>
          <cell r="H277" t="str">
            <v>Remove 2M Rotary Meter</v>
          </cell>
          <cell r="I277" t="str">
            <v>posted to CPR</v>
          </cell>
          <cell r="J277" t="str">
            <v>Remove 2M Rotary Meter: Kansas City-Jackson: Replace Meter &amp; Reg 2&amp;quot; &amp;  Larger - 3820/3830 (32-404)</v>
          </cell>
          <cell r="K277" t="str">
            <v>Approved by: Kevin Driskell on 04/16/2015,  Remove and dismantle the 2M rotary meter setting (meter #00951012, premise #139927, installed on WO# 096250) due to inactivity.</v>
          </cell>
          <cell r="L277">
            <v>42139</v>
          </cell>
          <cell r="M277">
            <v>42155</v>
          </cell>
          <cell r="N277">
            <v>42256.642083333303</v>
          </cell>
          <cell r="O277">
            <v>42217</v>
          </cell>
          <cell r="P277" t="str">
            <v>0401-043050  JACKSON CTY/KC</v>
          </cell>
          <cell r="Q277">
            <v>4684.03</v>
          </cell>
          <cell r="R277">
            <v>10</v>
          </cell>
        </row>
        <row r="278">
          <cell r="A278" t="str">
            <v>007156</v>
          </cell>
          <cell r="B278" t="str">
            <v>LDC 2</v>
          </cell>
          <cell r="D278" t="str">
            <v>no</v>
          </cell>
          <cell r="E278" t="str">
            <v>20401143994</v>
          </cell>
          <cell r="F278" t="str">
            <v>F0670</v>
          </cell>
          <cell r="G278" t="str">
            <v>Tools, Instruments &amp; Equipment (N)</v>
          </cell>
          <cell r="H278" t="str">
            <v>Tools Chicago Pneumatic 45LB 50LB C</v>
          </cell>
          <cell r="I278" t="str">
            <v>posted to CPR</v>
          </cell>
          <cell r="J278" t="str">
            <v>Tools Chicago Pneumatic 45LB 50LB Class Rock Drill: Kansas City-Jackson: Purchase Tools, Instruments &amp; Equipment  3940 (37-366)</v>
          </cell>
          <cell r="K278" t="str">
            <v>Approved by: Gary Williams on 12/15/2014,  This is not a replacement tool. Purchase to complete new crew truck.</v>
          </cell>
          <cell r="L278">
            <v>42005</v>
          </cell>
          <cell r="M278">
            <v>42248</v>
          </cell>
          <cell r="N278">
            <v>42496.618506944404</v>
          </cell>
          <cell r="O278">
            <v>42036</v>
          </cell>
          <cell r="P278" t="str">
            <v>0401-043050  JACKSON CTY/KC</v>
          </cell>
          <cell r="Q278">
            <v>1432</v>
          </cell>
          <cell r="R278">
            <v>17</v>
          </cell>
        </row>
        <row r="279">
          <cell r="A279" t="str">
            <v>007131</v>
          </cell>
          <cell r="B279" t="str">
            <v>LDC 2</v>
          </cell>
          <cell r="D279" t="str">
            <v>no</v>
          </cell>
          <cell r="F279" t="str">
            <v>F0588</v>
          </cell>
          <cell r="G279" t="str">
            <v>Transportation &amp; power operated equ</v>
          </cell>
          <cell r="H279" t="str">
            <v>Retire 1 Ford Escape</v>
          </cell>
          <cell r="I279" t="str">
            <v>posted to CPR</v>
          </cell>
          <cell r="J279" t="str">
            <v>Retire MGE Unit 12695. 2010 Ford Escape
VIN: 1FMCU9DG6AKC89299</v>
          </cell>
          <cell r="K279" t="str">
            <v>Complete per Sharon 6-30-15</v>
          </cell>
          <cell r="L279">
            <v>42156</v>
          </cell>
          <cell r="M279">
            <v>42156</v>
          </cell>
          <cell r="N279">
            <v>42193.495324074102</v>
          </cell>
          <cell r="P279" t="str">
            <v>0401-043050  JACKSON CTY/KC</v>
          </cell>
          <cell r="Q279">
            <v>12524.76</v>
          </cell>
          <cell r="R279">
            <v>1</v>
          </cell>
        </row>
        <row r="280">
          <cell r="A280" t="str">
            <v>005250</v>
          </cell>
          <cell r="B280" t="str">
            <v>LDC 2</v>
          </cell>
          <cell r="D280" t="str">
            <v>yes</v>
          </cell>
          <cell r="E280" t="str">
            <v>20401143422</v>
          </cell>
          <cell r="F280" t="str">
            <v>F0500</v>
          </cell>
          <cell r="G280" t="str">
            <v>Replace cast iron main - CPI / prio</v>
          </cell>
          <cell r="H280" t="str">
            <v>Wabash &amp; St John Repl CI w 190'-4in</v>
          </cell>
          <cell r="I280" t="str">
            <v>posted to CPR</v>
          </cell>
          <cell r="J280" t="str">
            <v>Wabash &amp; St John Repl CI w 190'-4in PE: Kansas City-Jackson: Replace Cast Iron Main - 3760 Safety Related (34-412)</v>
          </cell>
          <cell r="K280" t="str">
            <v>Approved by: Kevin Driskell on 03/28/2014,  Replace 4in CI w/ 190'-4in PE due to leak.  Tie-over 3 services and replace 1 service.</v>
          </cell>
          <cell r="L280">
            <v>42002</v>
          </cell>
          <cell r="M280">
            <v>42035</v>
          </cell>
          <cell r="N280">
            <v>42131.406944444403</v>
          </cell>
          <cell r="O280">
            <v>41974</v>
          </cell>
          <cell r="P280" t="str">
            <v>0401-043050  JACKSON CTY/KC</v>
          </cell>
          <cell r="Q280">
            <v>5056.4799999999996</v>
          </cell>
          <cell r="R280">
            <v>-509</v>
          </cell>
        </row>
        <row r="281">
          <cell r="A281" t="str">
            <v>005037</v>
          </cell>
          <cell r="B281" t="str">
            <v>LDC 2</v>
          </cell>
          <cell r="D281" t="str">
            <v>no</v>
          </cell>
          <cell r="E281" t="str">
            <v>20401143493</v>
          </cell>
          <cell r="F281" t="str">
            <v>F0670</v>
          </cell>
          <cell r="G281" t="str">
            <v>Tools, Instruments &amp; Equipment (N)</v>
          </cell>
          <cell r="H281" t="str">
            <v>PUR-AIR RECIPROCATING SAW</v>
          </cell>
          <cell r="I281" t="str">
            <v>posted to CPR</v>
          </cell>
          <cell r="J281" t="str">
            <v>PUR-AIR RECIPROCATING SAW: Kansas City-Jackson: Purchase Tools, Instruments &amp; Equipment  3940 (37-366)</v>
          </cell>
          <cell r="K281" t="str">
            <v>Approved by: Gary Williams on 04/22/2014,  PURCHASE-1 RECIPROCATING SAW (SIOUX 1300) FOR C&amp;M CREWS AT CENTRAL. USED FOR CUTTING PIPING. THIS IS A REPLACEMENT TOOL UNABLE TO REPAIR.</v>
          </cell>
          <cell r="L281">
            <v>41771</v>
          </cell>
          <cell r="M281">
            <v>41821</v>
          </cell>
          <cell r="N281">
            <v>41856.328900462999</v>
          </cell>
          <cell r="O281">
            <v>41760</v>
          </cell>
          <cell r="P281" t="str">
            <v>0401-043050  JACKSON CTY/KC</v>
          </cell>
          <cell r="Q281">
            <v>1792.17</v>
          </cell>
          <cell r="R281">
            <v>2</v>
          </cell>
        </row>
        <row r="282">
          <cell r="A282" t="str">
            <v>004538</v>
          </cell>
          <cell r="B282" t="str">
            <v>LDC 2</v>
          </cell>
          <cell r="D282" t="str">
            <v>yes</v>
          </cell>
          <cell r="E282" t="str">
            <v>20401121259</v>
          </cell>
          <cell r="F282" t="str">
            <v>F0600</v>
          </cell>
          <cell r="G282" t="str">
            <v>Station Rebuild &amp; Repl ISRS (N)</v>
          </cell>
          <cell r="H282" t="str">
            <v>107th &amp; Elm Rebuild DRS 746 Site</v>
          </cell>
          <cell r="I282" t="str">
            <v>posted to CPR</v>
          </cell>
          <cell r="J282" t="str">
            <v>107th &amp; Elm Rebuild DRS 357 Site: Kansas City-Jackson: 107th and Elm Chg 357 to 746</v>
          </cell>
          <cell r="K282" t="str">
            <v>Approved by: Rob Hack on 05/30/2012,  Retire and rebuild reg station 357 at 107th and Elm. This is in conjunction with the 20inch replacement project WO# 12-1206. Inlet 12in PCS system C-061, MOP 280 PSIG, MAOP 280 PSIG, TEST 420 PSIG. Outlet 12in PCS system C-100/KCLS, MOP 130 PSIG, MAOP 135 PSIG, TEST 203 PSIG. This DRS will utilize 2- 10in Fischer VBALL and 2- 10in FISHER EDISK Regulators. Retire 1- Fisher 10in-657, 2- Fisher 10in-8510/1052, 1- 8in FISHER V300 regulators.</v>
          </cell>
          <cell r="L282">
            <v>41219</v>
          </cell>
          <cell r="M282">
            <v>41333</v>
          </cell>
          <cell r="N282">
            <v>41612.300104166701</v>
          </cell>
          <cell r="O282">
            <v>41730</v>
          </cell>
          <cell r="P282" t="str">
            <v>0401-043050  JACKSON CTY/KC</v>
          </cell>
          <cell r="Q282">
            <v>571571.46</v>
          </cell>
          <cell r="R282">
            <v>872</v>
          </cell>
        </row>
        <row r="283">
          <cell r="A283" t="str">
            <v>004762</v>
          </cell>
          <cell r="B283" t="str">
            <v>LDC 2</v>
          </cell>
          <cell r="D283" t="str">
            <v>no</v>
          </cell>
          <cell r="E283" t="str">
            <v>21841411000</v>
          </cell>
          <cell r="F283" t="str">
            <v>F0732</v>
          </cell>
          <cell r="G283" t="str">
            <v>Transportation &amp; Eq Clrg MGE</v>
          </cell>
          <cell r="H283" t="str">
            <v>Fleet Clrg - 21841411000 MGE</v>
          </cell>
          <cell r="I283" t="str">
            <v>open</v>
          </cell>
          <cell r="J283" t="str">
            <v>Fleet Clrg - 21841411000 MGE</v>
          </cell>
          <cell r="P283" t="str">
            <v>Expense Only</v>
          </cell>
          <cell r="Q283">
            <v>47776.94</v>
          </cell>
          <cell r="R283">
            <v>0</v>
          </cell>
        </row>
        <row r="284">
          <cell r="A284" t="str">
            <v>004741</v>
          </cell>
          <cell r="B284" t="str">
            <v>LDC 2</v>
          </cell>
          <cell r="D284" t="str">
            <v>no</v>
          </cell>
          <cell r="E284" t="str">
            <v>28870800000</v>
          </cell>
          <cell r="F284" t="str">
            <v>F0700</v>
          </cell>
          <cell r="G284" t="str">
            <v>Maintenance of Mains - MGE</v>
          </cell>
          <cell r="H284" t="str">
            <v>Leak Rechecks (All Class) MGE</v>
          </cell>
          <cell r="I284" t="str">
            <v>open</v>
          </cell>
          <cell r="J284" t="str">
            <v>Leak Rechecks (All Class) MGE</v>
          </cell>
          <cell r="P284" t="str">
            <v>Expense Only</v>
          </cell>
          <cell r="Q284">
            <v>530368.54</v>
          </cell>
          <cell r="R284">
            <v>12636.89</v>
          </cell>
        </row>
        <row r="285">
          <cell r="A285" t="str">
            <v>004822</v>
          </cell>
          <cell r="B285" t="str">
            <v>LDC 2</v>
          </cell>
          <cell r="D285" t="str">
            <v>no</v>
          </cell>
          <cell r="E285" t="str">
            <v>222820JOMGP</v>
          </cell>
          <cell r="F285" t="str">
            <v>F0688</v>
          </cell>
          <cell r="G285" t="str">
            <v>Misc Cur &amp; Accr Liab-EPA MGE</v>
          </cell>
          <cell r="H285" t="str">
            <v>Prov Res-Joplin MGP Cleanup</v>
          </cell>
          <cell r="I285" t="str">
            <v>open</v>
          </cell>
          <cell r="J285" t="str">
            <v>Prov Res-Joplin MGP Cleanup</v>
          </cell>
          <cell r="P285" t="str">
            <v>Expense Only</v>
          </cell>
          <cell r="Q285">
            <v>148582.91</v>
          </cell>
          <cell r="R285">
            <v>132317</v>
          </cell>
        </row>
        <row r="286">
          <cell r="A286" t="str">
            <v>004813</v>
          </cell>
          <cell r="B286" t="str">
            <v>LDC 2</v>
          </cell>
          <cell r="D286" t="str">
            <v>no</v>
          </cell>
          <cell r="E286" t="str">
            <v>29260102000</v>
          </cell>
          <cell r="F286" t="str">
            <v>F0728</v>
          </cell>
          <cell r="G286" t="str">
            <v>Empl Benefits - Other MGE</v>
          </cell>
          <cell r="H286" t="str">
            <v>Empl Benefits - Other MGE</v>
          </cell>
          <cell r="I286" t="str">
            <v>open</v>
          </cell>
          <cell r="J286" t="str">
            <v>Empl Benefits - Other MGE</v>
          </cell>
          <cell r="P286" t="str">
            <v>Expense Only</v>
          </cell>
          <cell r="Q286">
            <v>313869.33</v>
          </cell>
          <cell r="R286">
            <v>250</v>
          </cell>
        </row>
        <row r="287">
          <cell r="A287" t="str">
            <v>800530</v>
          </cell>
          <cell r="B287" t="str">
            <v>LDC 2</v>
          </cell>
          <cell r="D287" t="str">
            <v>no</v>
          </cell>
          <cell r="F287" t="str">
            <v>F0523</v>
          </cell>
          <cell r="G287" t="str">
            <v>New Main Extensions (SW)</v>
          </cell>
          <cell r="H287" t="str">
            <v>Install 205F 2-4P On the Border</v>
          </cell>
          <cell r="I287" t="str">
            <v>open</v>
          </cell>
          <cell r="J287" t="str">
            <v>Install ~161 ft of 2 in MP PE and 44 ft of 4 in MP PE main to serve new commercial business.</v>
          </cell>
          <cell r="K287" t="str">
            <v>Main Extension necessary to serve a new OTB restaurant under construction at 31st and Rangeline in Joplin.  Install 96 ft of  1 1/4 in PE service.  Company elects to install 4 in PE as part of this design. Minimum cost to serve has been attached in Maximo.</v>
          </cell>
          <cell r="P287" t="str">
            <v>0501-044001  JASPER CTY/JOPLIN</v>
          </cell>
          <cell r="Q287">
            <v>27207.25</v>
          </cell>
          <cell r="R287">
            <v>-890.5</v>
          </cell>
        </row>
        <row r="288">
          <cell r="A288" t="str">
            <v>800604</v>
          </cell>
          <cell r="B288" t="str">
            <v>LDC 2</v>
          </cell>
          <cell r="C288" t="str">
            <v>07 - Cast Iron or Bare Steel Replacement - Corrosion</v>
          </cell>
          <cell r="D288" t="str">
            <v>yes</v>
          </cell>
          <cell r="F288" t="str">
            <v>F0572</v>
          </cell>
          <cell r="G288" t="str">
            <v>Main Replacement - ISRS (SW)</v>
          </cell>
          <cell r="H288" t="str">
            <v>Repl w/ 255F 2P 4th &amp; Rangeline</v>
          </cell>
          <cell r="I288" t="str">
            <v>open</v>
          </cell>
          <cell r="J288" t="str">
            <v>Install 255 Ft of 2 in PL IP Main on 4th St between Range Line and Geneva Ave.  Abandon 2 Ft of 2 in PL and 288 Ft of 2 in ST IP Main.</v>
          </cell>
          <cell r="K288" t="str">
            <v>This main is being replaced due to failed CP inspection and as part of the FY16 Bare Steel Replacement Program.</v>
          </cell>
          <cell r="P288" t="str">
            <v>0501-044001  JASPER CTY/JOPLIN</v>
          </cell>
          <cell r="Q288">
            <v>80453.87</v>
          </cell>
          <cell r="R288">
            <v>-5925</v>
          </cell>
        </row>
        <row r="289">
          <cell r="A289" t="str">
            <v>007607</v>
          </cell>
          <cell r="B289" t="str">
            <v>LDC 2</v>
          </cell>
          <cell r="D289" t="str">
            <v>no</v>
          </cell>
          <cell r="E289" t="str">
            <v>20501155112</v>
          </cell>
          <cell r="F289" t="str">
            <v>F0485</v>
          </cell>
          <cell r="G289" t="str">
            <v>Tools, Instruments &amp; Equipment (SW)</v>
          </cell>
          <cell r="H289" t="str">
            <v>Purchase 4 Sensit Golds - 4 Gas</v>
          </cell>
          <cell r="I289" t="str">
            <v>posted to CPR</v>
          </cell>
          <cell r="J289" t="str">
            <v>Purchase 4 Sensit Golds - 4 Gas: Joplin: Purchase Tools, Instruments &amp; Equipment  3940 (37-366)</v>
          </cell>
          <cell r="K289" t="str">
            <v>Approved by: Michael Fornelli on 02/05/2015,  To purchase from Groebner, four Sensit Gold CGI - 4 Gas H-Model, Item #91000000-H, to be used by Joplin and Monett P&amp;M Departments. Groebner Quote Number 026462 for two units is attached. Quoted price per unit is $2193.30 plus taxes and shipping.</v>
          </cell>
          <cell r="L289">
            <v>42100</v>
          </cell>
          <cell r="M289">
            <v>42491</v>
          </cell>
          <cell r="N289">
            <v>42527.511597222197</v>
          </cell>
          <cell r="O289">
            <v>42095</v>
          </cell>
          <cell r="P289" t="str">
            <v>0501-044001  JASPER CTY/JOPLIN</v>
          </cell>
          <cell r="Q289">
            <v>9510.17</v>
          </cell>
          <cell r="R289">
            <v>4</v>
          </cell>
        </row>
        <row r="290">
          <cell r="A290" t="str">
            <v>006760</v>
          </cell>
          <cell r="B290" t="str">
            <v>LDC 2</v>
          </cell>
          <cell r="D290" t="str">
            <v>no</v>
          </cell>
          <cell r="E290" t="str">
            <v>20501143923</v>
          </cell>
          <cell r="F290" t="str">
            <v>F0630</v>
          </cell>
          <cell r="G290" t="str">
            <v>Meter &amp; Reg Settings 2" &amp; Lg (SW)</v>
          </cell>
          <cell r="H290" t="str">
            <v>Inst 3-Inch Prefab Set For 5M Roots</v>
          </cell>
          <cell r="I290" t="str">
            <v>posted to CPR</v>
          </cell>
          <cell r="J290" t="str">
            <v>Inst 3-Inch Prefab Set For 5M Roots: Joplin: New Meter &amp; Reg Settings - 2in  Larger 3820/3830 (33-382)</v>
          </cell>
          <cell r="K290" t="str">
            <v>Approved by: Galen Shoemaker on 10/25/2014,  Install 3" prefab setting for 5M Roots meter to serve Cotts Beverage at 3502 Enterprise A in the Joplin/Webb City Industrial Park. Will use 2" flanged CL 34-1 regulator with orange closing spring, red/white pilot spring, &amp; 3/8" orifice with a set point of 2 psig to serve a total connected demand of 4520 cfh. Will use 2" Fisher 289H relief set at 4 psig for overpressure protection. There will be no charge to the customer. System 0501 S-119  MAOP=58 psig  MOP=58 psig</v>
          </cell>
          <cell r="L290">
            <v>41940</v>
          </cell>
          <cell r="M290">
            <v>41698</v>
          </cell>
          <cell r="N290">
            <v>42067.7635532407</v>
          </cell>
          <cell r="O290">
            <v>41974</v>
          </cell>
          <cell r="P290" t="str">
            <v>0501-044001  JASPER CTY/JOPLIN</v>
          </cell>
          <cell r="Q290">
            <v>4554.42</v>
          </cell>
          <cell r="R290">
            <v>4.75</v>
          </cell>
        </row>
        <row r="291">
          <cell r="A291" t="str">
            <v>004559</v>
          </cell>
          <cell r="B291" t="str">
            <v>LDC 2</v>
          </cell>
          <cell r="D291" t="str">
            <v>yes</v>
          </cell>
          <cell r="E291" t="str">
            <v>20501132745</v>
          </cell>
          <cell r="F291" t="str">
            <v>F0544</v>
          </cell>
          <cell r="G291" t="str">
            <v>Replace bare steel main - safety re</v>
          </cell>
          <cell r="H291" t="str">
            <v>7th &amp; Minnesota Repl PBS w 2350'-4;</v>
          </cell>
          <cell r="I291" t="str">
            <v>posted to CPR</v>
          </cell>
          <cell r="J291" t="str">
            <v>7th &amp; Minnesota Repl PBS w 2350'-4;375'-2in PE mai: Joplin: 7th and Minnesota</v>
          </cell>
          <cell r="K291" t="str">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ell>
          <cell r="L291">
            <v>41690</v>
          </cell>
          <cell r="M291">
            <v>41729</v>
          </cell>
          <cell r="N291">
            <v>41733.309884259303</v>
          </cell>
          <cell r="O291">
            <v>41730</v>
          </cell>
          <cell r="P291" t="str">
            <v>0501-044001  JASPER CTY/JOPLIN</v>
          </cell>
          <cell r="Q291">
            <v>195979.67</v>
          </cell>
          <cell r="R291">
            <v>15843.5</v>
          </cell>
        </row>
        <row r="292">
          <cell r="A292" t="str">
            <v>004200</v>
          </cell>
          <cell r="B292" t="str">
            <v>LDC 2</v>
          </cell>
          <cell r="D292" t="str">
            <v>no</v>
          </cell>
          <cell r="E292" t="str">
            <v>20501132944</v>
          </cell>
          <cell r="F292" t="str">
            <v>F0630</v>
          </cell>
          <cell r="G292" t="str">
            <v>Meter &amp; Reg Settings 2" &amp; Lg (SW)</v>
          </cell>
          <cell r="H292" t="str">
            <v>711 Picher 3M Meter set</v>
          </cell>
          <cell r="I292" t="str">
            <v>posted to CPR</v>
          </cell>
          <cell r="J292" t="str">
            <v>711 Picher 3M Meter set: Joplin: Childrens Haven 711 Picher</v>
          </cell>
          <cell r="K292" t="str">
            <v>Approved by: Galen Shoemaker on 09/03/2013,  WILL INSTALL 2in PREFAB SETTING FOR 3M ROOTS METER TO SERVE THE NEW CHILDRENS HAVEN LOCATED AT 711 PICHER IN JOPLIN. WILL USE 2in FLANGED AMERICAN RELIANCE 3000 REGULATOR WITH 7-14in SPRING TO DELIVER 7in WC TO THE CUSTOMER. TOTAL CONNECTED DEMAND IS 2199 CFH. WILL USE A 1in FISHER 289L RELIEF SET AT 1PSIG FOR OVERPRESSURE PROTECTION. THERE WILL BE NO CHARGE TO THE CUSTOEMR. SYSTEM 0501-C-2  MAOP=1.5 PSIG  MOP=1.5 PSIG</v>
          </cell>
          <cell r="L292">
            <v>41537</v>
          </cell>
          <cell r="M292">
            <v>41670</v>
          </cell>
          <cell r="N292">
            <v>41677.5097916667</v>
          </cell>
          <cell r="P292" t="str">
            <v>0501-044001  JASPER CTY/JOPLIN</v>
          </cell>
          <cell r="Q292">
            <v>4964.67</v>
          </cell>
          <cell r="R292">
            <v>11</v>
          </cell>
        </row>
        <row r="293">
          <cell r="A293" t="str">
            <v>004648</v>
          </cell>
          <cell r="B293" t="str">
            <v>LDC 2</v>
          </cell>
          <cell r="D293" t="str">
            <v>yes</v>
          </cell>
          <cell r="E293" t="str">
            <v>20501133143</v>
          </cell>
          <cell r="F293" t="str">
            <v>F0544</v>
          </cell>
          <cell r="G293" t="str">
            <v>Replace bare steel main - safety re</v>
          </cell>
          <cell r="H293" t="str">
            <v>Florida Ave Repl PBS w 588'-2in PE</v>
          </cell>
          <cell r="I293" t="str">
            <v>posted to CPR</v>
          </cell>
          <cell r="J293" t="str">
            <v>Florida Ave Repl PBS w 588'-2in PE: Joplin: Florida Ave between Yuma St and Windsor St</v>
          </cell>
          <cell r="K293" t="str">
            <v>Approved by: Galen Shoemaker on 12/03/2013,  Replace 588' 2" PBS &amp; 15' 2" PE with 645' of 2" PE due to leakage issues.  Project location: Florida Ave between Yuma St. &amp; Windsor St.  Pressure System: C-100.  MOP: 30 PSIG.  MAOP: 30 PSIG.  Design: 58 PSIG.  Test: 100 PSIG.  Price Per Foot: $38.35.</v>
          </cell>
          <cell r="L293">
            <v>41709</v>
          </cell>
          <cell r="M293">
            <v>41821</v>
          </cell>
          <cell r="N293">
            <v>41858.747581018499</v>
          </cell>
          <cell r="O293">
            <v>41730</v>
          </cell>
          <cell r="P293" t="str">
            <v>0501-044001  JASPER CTY/JOPLIN</v>
          </cell>
          <cell r="Q293">
            <v>35730.21</v>
          </cell>
          <cell r="R293">
            <v>2782</v>
          </cell>
        </row>
        <row r="294">
          <cell r="A294" t="str">
            <v>800163</v>
          </cell>
          <cell r="B294" t="str">
            <v>LDC 2</v>
          </cell>
          <cell r="C294" t="str">
            <v>03 - Bare Steel Replacement</v>
          </cell>
          <cell r="D294" t="str">
            <v>yes</v>
          </cell>
          <cell r="F294" t="str">
            <v>F0572</v>
          </cell>
          <cell r="G294" t="str">
            <v>Main Replacement - ISRS (SW)</v>
          </cell>
          <cell r="H294" t="str">
            <v>Webb City Phase 1D Bare Steel Repla</v>
          </cell>
          <cell r="I294" t="str">
            <v>in service</v>
          </cell>
          <cell r="J294" t="str">
            <v>Install 5455 Ft of 2 in PL IP main for Webb City Phase 1D. Abandon 97 Ft of 1-1/4 in and 262 Ft of 2 in PL, 785 Ft of 2 in and 748 Ft of 3 in PBS, 2227 Ft of 2 in, 1435 Ft of 3 in and 191 Ft of 4 in PCS (Majority poorly coated) LP</v>
          </cell>
          <cell r="K294" t="str">
            <v>Uprate ~525' of 2'' PL LP main on Mineral St to IP. Total Service Estimate: 71 Service Tie-Overs, 3 Service Replacements, 14 Service Upgrades and 7 Service Abandons.  Main is being replaced as part of the FY 2016 Bare Steel Main Replacement Program.</v>
          </cell>
          <cell r="L294">
            <v>42613</v>
          </cell>
          <cell r="O294">
            <v>42583</v>
          </cell>
          <cell r="P294" t="str">
            <v>0502-044006  JASPER CTY/WEBB CITY</v>
          </cell>
          <cell r="Q294">
            <v>693049.2</v>
          </cell>
          <cell r="R294">
            <v>-15662</v>
          </cell>
        </row>
        <row r="295">
          <cell r="A295" t="str">
            <v>006518</v>
          </cell>
          <cell r="B295" t="str">
            <v>LDC 2</v>
          </cell>
          <cell r="D295" t="str">
            <v>no</v>
          </cell>
          <cell r="E295" t="str">
            <v>20502143811</v>
          </cell>
          <cell r="F295" t="str">
            <v>F0536</v>
          </cell>
          <cell r="G295" t="str">
            <v>Services -  2" &amp; larger</v>
          </cell>
          <cell r="H295" t="str">
            <v>Install 4in PE Service</v>
          </cell>
          <cell r="I295" t="str">
            <v>posted to CPR</v>
          </cell>
          <cell r="J295" t="str">
            <v>Install 4in PE Service: Webb City: New Services 2inch &amp; Larger  3800 (33-381)</v>
          </cell>
          <cell r="K295" t="str">
            <v>Approved by: Galen Shoemaker on 09/22/2014,  Install 114' - 4" PE service to new strip mall at 5th and Ellis in Webb City. There is no customer contribution after economic evaluation. Pressure System: C-1; MOP: 1.75 psig; MAOP: 1.75 psig; Design: 58 psig; Test: 100 psig;</v>
          </cell>
          <cell r="L295">
            <v>41876</v>
          </cell>
          <cell r="M295">
            <v>42063</v>
          </cell>
          <cell r="N295">
            <v>42067.763472222199</v>
          </cell>
          <cell r="O295">
            <v>41974</v>
          </cell>
          <cell r="P295" t="str">
            <v>0502-044006  JASPER CTY/WEBB CITY</v>
          </cell>
          <cell r="Q295">
            <v>2964.02</v>
          </cell>
          <cell r="R295">
            <v>-621</v>
          </cell>
        </row>
        <row r="296">
          <cell r="A296" t="str">
            <v>005577</v>
          </cell>
          <cell r="B296" t="str">
            <v>LDC 2</v>
          </cell>
          <cell r="D296" t="str">
            <v>yes</v>
          </cell>
          <cell r="E296" t="str">
            <v>20506143648</v>
          </cell>
          <cell r="F296" t="str">
            <v>F0664</v>
          </cell>
          <cell r="G296" t="str">
            <v>Street &amp; Hwy Relocates ISRS (SW)</v>
          </cell>
          <cell r="H296" t="str">
            <v>So HWY 171 &amp; 43 Reloc PCS w 42'-4in</v>
          </cell>
          <cell r="I296" t="str">
            <v>posted to CPR</v>
          </cell>
          <cell r="J296" t="str">
            <v>So HWY 171 &amp; 43 Reloc PCS w 42'-4in TF steel main: Airport Drive: Relocate for Street &amp; Highway-Public Improvements (44-388)</v>
          </cell>
          <cell r="K296" t="str">
            <v>Approved by: Galen Shoemaker on 06/26/2014,  *MODOT Permit Required* Abandon 32' - 3" PCS (WO#: 69-2037) and relocate with 42' - 4" Thinfilm due to conflict with drop inlet box associated with new roundabout at 171 and HWY 43. There are no active or repaired leaks on this section of main. Main is on rectifier. Pressure System: S-1; MOP: 15 psig; MAOP: 15 psig; Design: 58 psig; Test: 100 psig; ISRS</v>
          </cell>
          <cell r="L296">
            <v>41781</v>
          </cell>
          <cell r="M296">
            <v>42248</v>
          </cell>
          <cell r="N296">
            <v>42377.3507060185</v>
          </cell>
          <cell r="O296">
            <v>41852</v>
          </cell>
          <cell r="P296" t="str">
            <v>0506-044008  JASPER CTY/AIRPORT DRIVE</v>
          </cell>
          <cell r="Q296">
            <v>4595.6099999999997</v>
          </cell>
          <cell r="R296">
            <v>-12</v>
          </cell>
        </row>
        <row r="297">
          <cell r="A297" t="str">
            <v>011158</v>
          </cell>
          <cell r="B297" t="str">
            <v>LDC 2</v>
          </cell>
          <cell r="D297" t="str">
            <v>no</v>
          </cell>
          <cell r="F297" t="str">
            <v>F1152</v>
          </cell>
          <cell r="G297" t="str">
            <v>Vehicle Purchases - MGE</v>
          </cell>
          <cell r="H297" t="str">
            <v>Retire 4 Escapes &amp; one Patriot MGE</v>
          </cell>
          <cell r="I297" t="str">
            <v>posted to CPR</v>
          </cell>
          <cell r="J297" t="str">
            <v>Retire MGE Units: 12629, 12635, 12637, 12662 and 12767</v>
          </cell>
          <cell r="L297">
            <v>42521</v>
          </cell>
          <cell r="M297">
            <v>42521</v>
          </cell>
          <cell r="N297">
            <v>42557.5531134259</v>
          </cell>
          <cell r="P297" t="str">
            <v>0101-043050  JACKSON CTY/KC</v>
          </cell>
          <cell r="Q297">
            <v>74309.55</v>
          </cell>
          <cell r="R297">
            <v>5</v>
          </cell>
        </row>
        <row r="298">
          <cell r="A298" t="str">
            <v>009035</v>
          </cell>
          <cell r="B298" t="str">
            <v>LDC 2</v>
          </cell>
          <cell r="D298" t="str">
            <v>no</v>
          </cell>
          <cell r="E298" t="str">
            <v>20101155445</v>
          </cell>
          <cell r="F298" t="str">
            <v>F0577</v>
          </cell>
          <cell r="G298" t="str">
            <v>ERT Purchases</v>
          </cell>
          <cell r="H298" t="str">
            <v>Purchase New 100G Am Comm Erts</v>
          </cell>
          <cell r="I298" t="str">
            <v>posted to CPR</v>
          </cell>
          <cell r="J298" t="str">
            <v>Purchase New 100G Am Comm Erts: Kansas City CORP: Purchase ERT (Electronic Reading Transmitter)  3971 (32-312)</v>
          </cell>
          <cell r="K298" t="str">
            <v>Approved by: John Jankovich on 07/14/2015,  Following purchase is for stock/Ert Changeout Program</v>
          </cell>
          <cell r="L298">
            <v>42460</v>
          </cell>
          <cell r="M298">
            <v>42461</v>
          </cell>
          <cell r="N298">
            <v>42496.560868055603</v>
          </cell>
          <cell r="O298">
            <v>42461</v>
          </cell>
          <cell r="P298" t="str">
            <v>0101-043050  JACKSON CTY/KC</v>
          </cell>
          <cell r="Q298">
            <v>33201</v>
          </cell>
          <cell r="R298">
            <v>500</v>
          </cell>
        </row>
        <row r="299">
          <cell r="A299" t="str">
            <v>006735</v>
          </cell>
          <cell r="B299" t="str">
            <v>LDC 2</v>
          </cell>
          <cell r="D299" t="str">
            <v>no</v>
          </cell>
          <cell r="E299" t="str">
            <v>20201143866</v>
          </cell>
          <cell r="F299" t="str">
            <v>F0606</v>
          </cell>
          <cell r="G299" t="str">
            <v>Station rebuild &amp; replacement</v>
          </cell>
          <cell r="H299" t="str">
            <v>Retire DRS 40 27th and Northern</v>
          </cell>
          <cell r="I299" t="str">
            <v>posted to CPR</v>
          </cell>
          <cell r="J299" t="str">
            <v>Retire DRS 40 27th and Northern: Independence: Rebuild District/TB Stations  3780/3790 (45-387)</v>
          </cell>
          <cell r="K299" t="str">
            <v>Approved by: Ralph Janes on 10/10/2014,  Remove and retire DRS 40 (WO# 90-6244) as it will not be needed after the completion of WO# 14-3851. The 2 - 2in Fisher 133L regulators will be reclaimed.</v>
          </cell>
          <cell r="L299">
            <v>42199</v>
          </cell>
          <cell r="M299">
            <v>42491</v>
          </cell>
          <cell r="N299">
            <v>42557.552326388897</v>
          </cell>
          <cell r="O299">
            <v>42522</v>
          </cell>
          <cell r="P299" t="str">
            <v>0201-043001  JACKSON CTY/INDEPENDENCE</v>
          </cell>
          <cell r="Q299">
            <v>3562.84</v>
          </cell>
          <cell r="R299">
            <v>11</v>
          </cell>
        </row>
        <row r="300">
          <cell r="A300" t="str">
            <v>004308</v>
          </cell>
          <cell r="B300" t="str">
            <v>LDC 2</v>
          </cell>
          <cell r="D300" t="str">
            <v>yes</v>
          </cell>
          <cell r="E300" t="str">
            <v>20201121758</v>
          </cell>
          <cell r="F300" t="str">
            <v>F0651</v>
          </cell>
          <cell r="G300" t="str">
            <v>Services - 2" &amp; larger</v>
          </cell>
          <cell r="H300" t="str">
            <v>Salvation Army Reloc Serv &amp; Convert</v>
          </cell>
          <cell r="I300" t="str">
            <v>posted to CPR</v>
          </cell>
          <cell r="J300" t="str">
            <v>Salvation Army Reloc Serv &amp; Convert Serv to Main: Independence: 14704 E Truman Rd</v>
          </cell>
          <cell r="K300" t="str">
            <v>Approved by: Ralph Janes on 09/25/2012,  Convert 50' 1-1/4in pe service line (BWO) to main on wo# 12-1758. Install 250' of 1-1/4in pe main on wo# 12-1758 to jog around new garage storage building. Also, install 50' of 1-1/4in pe service line on wo# 12-1758 to tie into existing service line (BWO).</v>
          </cell>
          <cell r="L300">
            <v>41529</v>
          </cell>
          <cell r="M300">
            <v>41626</v>
          </cell>
          <cell r="N300">
            <v>41634.480694444399</v>
          </cell>
          <cell r="P300" t="str">
            <v>0201-043001  JACKSON CTY/INDEPENDENCE</v>
          </cell>
          <cell r="Q300">
            <v>2306.89</v>
          </cell>
          <cell r="R300">
            <v>771.6</v>
          </cell>
        </row>
        <row r="301">
          <cell r="A301" t="str">
            <v>004587</v>
          </cell>
          <cell r="B301" t="str">
            <v>LDC 2</v>
          </cell>
          <cell r="D301" t="str">
            <v>yes</v>
          </cell>
          <cell r="E301" t="str">
            <v>20201143418</v>
          </cell>
          <cell r="F301" t="str">
            <v>F0578</v>
          </cell>
          <cell r="G301" t="str">
            <v>Street &amp; Highway Relocates ISRS (S)</v>
          </cell>
          <cell r="H301" t="str">
            <v>Grand &amp; South Reloc PBS w 4270'-2in</v>
          </cell>
          <cell r="I301" t="str">
            <v>posted to CPR</v>
          </cell>
          <cell r="J301" t="str">
            <v>Grand &amp; South Reloc PBS w 4270'-2in PE : Independence: Grand and South</v>
          </cell>
          <cell r="K301" t="str">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ell>
          <cell r="L301">
            <v>41764</v>
          </cell>
          <cell r="M301">
            <v>41882</v>
          </cell>
          <cell r="N301">
            <v>41936.625706018502</v>
          </cell>
          <cell r="O301">
            <v>41791</v>
          </cell>
          <cell r="P301" t="str">
            <v>0201-043001  JACKSON CTY/INDEPENDENCE</v>
          </cell>
          <cell r="Q301">
            <v>141717.12</v>
          </cell>
          <cell r="R301">
            <v>-4109</v>
          </cell>
        </row>
        <row r="302">
          <cell r="A302" t="str">
            <v>004276</v>
          </cell>
          <cell r="B302" t="str">
            <v>LDC 2</v>
          </cell>
          <cell r="D302" t="str">
            <v>no</v>
          </cell>
          <cell r="E302" t="str">
            <v>20201050320</v>
          </cell>
          <cell r="F302" t="str">
            <v>F0674</v>
          </cell>
          <cell r="G302" t="str">
            <v>New service installations - contrac</v>
          </cell>
          <cell r="H302" t="str">
            <v>BWO NEW SVC CONT</v>
          </cell>
          <cell r="I302" t="str">
            <v>posted to CPR</v>
          </cell>
          <cell r="J302" t="str">
            <v>BWO NEW SVC CONT</v>
          </cell>
          <cell r="K302" t="str">
            <v>Project Type:B</v>
          </cell>
          <cell r="L302">
            <v>41717</v>
          </cell>
          <cell r="M302">
            <v>41717</v>
          </cell>
          <cell r="N302">
            <v>41717</v>
          </cell>
          <cell r="P302" t="str">
            <v>0201-043001  JACKSON CTY/INDEPENDENCE</v>
          </cell>
          <cell r="Q302">
            <v>20180.13</v>
          </cell>
          <cell r="R302">
            <v>146</v>
          </cell>
        </row>
        <row r="303">
          <cell r="A303" t="str">
            <v>009701</v>
          </cell>
          <cell r="B303" t="str">
            <v>LDC 2</v>
          </cell>
          <cell r="D303" t="str">
            <v>yes</v>
          </cell>
          <cell r="F303" t="str">
            <v>F0507</v>
          </cell>
          <cell r="G303" t="str">
            <v>Rebuild Meter Install 2'' &amp; Lg (S)</v>
          </cell>
          <cell r="H303" t="str">
            <v>Rebuild 3M Meter Set - 4801 S Cliff</v>
          </cell>
          <cell r="I303" t="str">
            <v>in service</v>
          </cell>
          <cell r="J303" t="str">
            <v>The service line to 4801 S Cliff Ave in Independence is due for replacement on the SLRP program.  Rebuild a 3M rotary meter set at the building and retire the existing 3M rotary meter set.  Total Connected Load = 2,000 cfh @ 4 oz delivery pressure.</v>
          </cell>
          <cell r="K303" t="str">
            <v>Maximo WO 14514603</v>
          </cell>
          <cell r="L303">
            <v>42443</v>
          </cell>
          <cell r="O303">
            <v>42461</v>
          </cell>
          <cell r="P303" t="str">
            <v>0201-043001  JACKSON CTY/INDEPENDENCE</v>
          </cell>
          <cell r="Q303">
            <v>2754.53</v>
          </cell>
          <cell r="R303">
            <v>-17</v>
          </cell>
        </row>
        <row r="304">
          <cell r="A304" t="str">
            <v>009115</v>
          </cell>
          <cell r="B304" t="str">
            <v>LDC 2</v>
          </cell>
          <cell r="D304" t="str">
            <v>no</v>
          </cell>
          <cell r="F304" t="str">
            <v>F0852</v>
          </cell>
          <cell r="G304" t="str">
            <v>Security equipment - MGE</v>
          </cell>
          <cell r="H304" t="str">
            <v>Security System Conv. Independence</v>
          </cell>
          <cell r="I304" t="str">
            <v>in service</v>
          </cell>
          <cell r="J304" t="str">
            <v>Convert access control system to Genetec/Mercury hardware.</v>
          </cell>
          <cell r="L304">
            <v>42369</v>
          </cell>
          <cell r="O304">
            <v>42339</v>
          </cell>
          <cell r="P304" t="str">
            <v>0201-043001  JACKSON CTY/INDEPENDENCE</v>
          </cell>
          <cell r="Q304">
            <v>15967.02</v>
          </cell>
          <cell r="R304">
            <v>12770</v>
          </cell>
        </row>
        <row r="305">
          <cell r="A305" t="str">
            <v>003815</v>
          </cell>
          <cell r="B305" t="str">
            <v>LDC 2</v>
          </cell>
          <cell r="D305" t="str">
            <v>yes</v>
          </cell>
          <cell r="E305" t="str">
            <v>20201050360</v>
          </cell>
          <cell r="F305" t="str">
            <v>F0484</v>
          </cell>
          <cell r="G305" t="str">
            <v>SLRP - immediate response - company</v>
          </cell>
          <cell r="H305" t="str">
            <v>BWO SERVICE LINE LEAK RESPONSIVE CO</v>
          </cell>
          <cell r="I305" t="str">
            <v>posted to CPR</v>
          </cell>
          <cell r="J305" t="str">
            <v>BWO SERVICE LINE LEAK RESPONSIVE COMP</v>
          </cell>
          <cell r="K305" t="str">
            <v>Service/Yard Line Replacement (SLRP): Company Crew.  Immediate response - replacement single unprotected steel or copper  (Independence - East Region)</v>
          </cell>
          <cell r="L305">
            <v>41717</v>
          </cell>
          <cell r="M305">
            <v>41717</v>
          </cell>
          <cell r="N305">
            <v>41717</v>
          </cell>
          <cell r="O305">
            <v>41791</v>
          </cell>
          <cell r="P305" t="str">
            <v>0201-043001  JACKSON CTY/INDEPENDENCE</v>
          </cell>
          <cell r="Q305">
            <v>6463.8</v>
          </cell>
          <cell r="R305">
            <v>69</v>
          </cell>
        </row>
        <row r="306">
          <cell r="A306" t="str">
            <v>003991</v>
          </cell>
          <cell r="B306" t="str">
            <v>LDC 2</v>
          </cell>
          <cell r="D306" t="str">
            <v>yes</v>
          </cell>
          <cell r="E306" t="str">
            <v>20301132519</v>
          </cell>
          <cell r="F306" t="str">
            <v>F0604</v>
          </cell>
          <cell r="G306" t="str">
            <v>Main Replacement - ISRS (S)</v>
          </cell>
          <cell r="H306" t="str">
            <v>Ming St Repl PBS w 245'-2;1500'-4in</v>
          </cell>
          <cell r="I306" t="str">
            <v>posted to CPR</v>
          </cell>
          <cell r="J306" t="str">
            <v>Ming St Repl PBS w 245'-2;1500'-4in PE main: Warrensburg: Ming St and Holden St</v>
          </cell>
          <cell r="K306" t="str">
            <v>Approved by: Steve Holcomb on 04/05/2013,  Main to abandon: 70' of 4in PE from wo# 985718, 57' of 2in PCS from wo# 676388, 86' of 2in PCS from wo# none, 50' of 2in PCS from wo# 681971, 62' of 2in PE from wo# 761355, 781' of 6in BS from wo# none, 80' of 2in PE from wo# 013084, 25' of 4in PCS and 49' of 2in PCS from wo# 871543, and 1234' of 2in BS from wo# none. Replace with 245' of 2in PE and 1500' of 4in PE on wo# 13-2519.  The main on Ming Street has a history of leakage and has bare steel main on both sides of the street.  The 6in main is no longer needed since the DRS feeding this area was relocated when the new police station was built.  (ISRS)</v>
          </cell>
          <cell r="L306">
            <v>41404</v>
          </cell>
          <cell r="M306">
            <v>41638</v>
          </cell>
          <cell r="N306">
            <v>41643.435219907398</v>
          </cell>
          <cell r="O306">
            <v>41730</v>
          </cell>
          <cell r="P306" t="str">
            <v>0301-046001  JOHNSON CTY/WARRENSBURG</v>
          </cell>
          <cell r="Q306">
            <v>68071.89</v>
          </cell>
          <cell r="R306">
            <v>6036</v>
          </cell>
        </row>
        <row r="307">
          <cell r="A307" t="str">
            <v>004596</v>
          </cell>
          <cell r="B307" t="str">
            <v>LDC 2</v>
          </cell>
          <cell r="D307" t="str">
            <v>yes</v>
          </cell>
          <cell r="E307" t="str">
            <v>20301050360</v>
          </cell>
          <cell r="F307" t="str">
            <v>F0484</v>
          </cell>
          <cell r="G307" t="str">
            <v>SLRP - immediate response - company</v>
          </cell>
          <cell r="H307" t="str">
            <v>BWO SERVICE LINE LEAK RESPONSIVE CO</v>
          </cell>
          <cell r="I307" t="str">
            <v>posted to CPR</v>
          </cell>
          <cell r="J307" t="str">
            <v>BWO SERVICE LINE LEAK RESPONSIVE COMP</v>
          </cell>
          <cell r="K307" t="str">
            <v>Project Type:B</v>
          </cell>
          <cell r="L307">
            <v>41717</v>
          </cell>
          <cell r="M307">
            <v>41717</v>
          </cell>
          <cell r="N307">
            <v>41717</v>
          </cell>
          <cell r="P307" t="str">
            <v>0301-046001  JOHNSON CTY/WARRENSBURG</v>
          </cell>
          <cell r="Q307">
            <v>20168.41</v>
          </cell>
          <cell r="R307">
            <v>251</v>
          </cell>
        </row>
        <row r="308">
          <cell r="A308" t="str">
            <v>008677</v>
          </cell>
          <cell r="B308" t="str">
            <v>LDC 2</v>
          </cell>
          <cell r="D308" t="str">
            <v>yes</v>
          </cell>
          <cell r="E308" t="str">
            <v>20305155203</v>
          </cell>
          <cell r="F308" t="str">
            <v>F0604</v>
          </cell>
          <cell r="G308" t="str">
            <v>Main Replacement - ISRS (S)</v>
          </cell>
          <cell r="H308" t="str">
            <v>Replace pbs main</v>
          </cell>
          <cell r="I308" t="str">
            <v>posted to CPR</v>
          </cell>
          <cell r="J308" t="str">
            <v>Replace pbs main: Sweet Springs: Replace Bare Steel Main - 3760 Safety Related (34-394)</v>
          </cell>
          <cell r="K308" t="str">
            <v>Approved by: Joe Hampton on 06/01/2015,  Replace main on Main St, Parker St, Bridge St, Patrick St, and the alleyway between Main St and Ray St with 2" PE. (ISRS)</v>
          </cell>
          <cell r="L308">
            <v>42305</v>
          </cell>
          <cell r="M308">
            <v>42430</v>
          </cell>
          <cell r="N308">
            <v>42557.552662037</v>
          </cell>
          <cell r="O308">
            <v>42370</v>
          </cell>
          <cell r="P308" t="str">
            <v>0305-086001  SALINE CTY/SWEET SPRINGS</v>
          </cell>
          <cell r="Q308">
            <v>204961.13</v>
          </cell>
          <cell r="R308">
            <v>-5168</v>
          </cell>
        </row>
        <row r="309">
          <cell r="A309" t="str">
            <v>003925</v>
          </cell>
          <cell r="B309" t="str">
            <v>LDC 2</v>
          </cell>
          <cell r="D309" t="str">
            <v>no</v>
          </cell>
          <cell r="E309" t="str">
            <v>20317132730</v>
          </cell>
          <cell r="F309" t="str">
            <v>F0507</v>
          </cell>
          <cell r="G309" t="str">
            <v>Rebuild Meter Install 2'' &amp; Lg (S)</v>
          </cell>
          <cell r="H309" t="str">
            <v>Fayette School Dist 5M Meter Set</v>
          </cell>
          <cell r="I309" t="str">
            <v>posted to CPR</v>
          </cell>
          <cell r="J309" t="str">
            <v>Fayette School Dist 5M Meter Set: Fayette: 704 Lucky St</v>
          </cell>
          <cell r="K309" t="str">
            <v>Approved by: Ralph Janes on 07/25/2013,  Rebuild/Relocate the 5M Rotary meter set on wo# 13-2730 for premise 63806. The existing 5M meter set (meter# 9017202) was constructed on wo# 94-000433. Exisitng 5M meter set serves 7&amp;quot; wc to this school in the Fayette School district. There will be an addition to the school constructed soon that will affect the existing meter location and yard lines. Total connected load to the new 5M meter set will be 4,390 CFH.</v>
          </cell>
          <cell r="L309">
            <v>41628</v>
          </cell>
          <cell r="M309">
            <v>41697</v>
          </cell>
          <cell r="N309">
            <v>41698.505289351902</v>
          </cell>
          <cell r="P309" t="str">
            <v>0317-040001  HOWARD CTY/FAYETTE</v>
          </cell>
          <cell r="Q309">
            <v>5519.32</v>
          </cell>
          <cell r="R309">
            <v>79</v>
          </cell>
        </row>
        <row r="310">
          <cell r="A310" t="str">
            <v>004031</v>
          </cell>
          <cell r="B310" t="str">
            <v>LDC 2</v>
          </cell>
          <cell r="D310" t="str">
            <v>yes</v>
          </cell>
          <cell r="E310" t="str">
            <v>20322133096</v>
          </cell>
          <cell r="F310" t="str">
            <v>F0604</v>
          </cell>
          <cell r="G310" t="str">
            <v>Main Replacement - ISRS (S)</v>
          </cell>
          <cell r="H310" t="str">
            <v>806 S Main Repl PBS w 260'-2in PE m</v>
          </cell>
          <cell r="I310" t="str">
            <v>posted to CPR</v>
          </cell>
          <cell r="J310" t="str">
            <v>806 S Main Repl PBS w 260'-2in PE main: Windsor: 806 S Main Street</v>
          </cell>
          <cell r="K310" t="str">
            <v>Approved by: Ray Wilson on 10/23/2013,  Main to abandon: 130' of 4in PBS not installed on a work order. Replace with 260' of 2in PE on WO# 13-3096. Insert new 2" PE where possible. We would like to replace the old 4" BS main before the Dollar General's brand new concrete entrance is installed. (ISRS)  The service line and meter setting for Dollar General will be installed on a BWO.</v>
          </cell>
          <cell r="L310">
            <v>41592</v>
          </cell>
          <cell r="M310">
            <v>41653</v>
          </cell>
          <cell r="N310">
            <v>41654.604074074101</v>
          </cell>
          <cell r="O310">
            <v>41730</v>
          </cell>
          <cell r="P310" t="str">
            <v>0322-037001  HENRY CTY/WINDSOR</v>
          </cell>
          <cell r="Q310">
            <v>4838.03</v>
          </cell>
          <cell r="R310">
            <v>1122</v>
          </cell>
        </row>
        <row r="311">
          <cell r="A311" t="str">
            <v>006666</v>
          </cell>
          <cell r="B311" t="str">
            <v>LDC 2</v>
          </cell>
          <cell r="D311" t="str">
            <v>yes</v>
          </cell>
          <cell r="E311" t="str">
            <v>20801143783</v>
          </cell>
          <cell r="F311" t="str">
            <v>F0573</v>
          </cell>
          <cell r="G311" t="str">
            <v>Replace bare steel main - safety re</v>
          </cell>
          <cell r="H311" t="str">
            <v>Repl 177ft 2in BS with 180ft 2in Pl</v>
          </cell>
          <cell r="I311" t="str">
            <v>posted to CPR</v>
          </cell>
          <cell r="J311" t="str">
            <v>Repl 177ft 2in BS with 180ft 2in Plastic: Monett: Replace Bare Steel Main - 3760 Safety Related (34-394)</v>
          </cell>
          <cell r="K311" t="str">
            <v>Approved by: Galen Shoemaker on 10/09/2014,  Lay 180ft 2in Plastic Main to replace 177ft of 2in Protected Bare Steel from WO 21411. MOP=40# MAOP=44# TEST=100# SYSTEM=C-1</v>
          </cell>
          <cell r="L311">
            <v>41990</v>
          </cell>
          <cell r="M311">
            <v>42248</v>
          </cell>
          <cell r="N311">
            <v>42284.722569444399</v>
          </cell>
          <cell r="O311">
            <v>41974</v>
          </cell>
          <cell r="P311" t="str">
            <v>0801-005001  BARRY CTY/MONETT</v>
          </cell>
          <cell r="Q311">
            <v>2903.02</v>
          </cell>
          <cell r="R311">
            <v>-259</v>
          </cell>
        </row>
        <row r="312">
          <cell r="A312" t="str">
            <v>003897</v>
          </cell>
          <cell r="B312" t="str">
            <v>LDC 2</v>
          </cell>
          <cell r="D312" t="str">
            <v>no</v>
          </cell>
          <cell r="E312" t="str">
            <v>20804132780</v>
          </cell>
          <cell r="F312" t="str">
            <v>F0523</v>
          </cell>
          <cell r="G312" t="str">
            <v>New Main Extensions (SW)</v>
          </cell>
          <cell r="H312" t="str">
            <v>Tracy Ln Lay 705'- 4;2205'-2in PE M</v>
          </cell>
          <cell r="I312" t="str">
            <v>posted to CPR</v>
          </cell>
          <cell r="J312" t="str">
            <v>Tracy Ln Lay 705'- 4;2205'-2in PE Main: Mount Vernon: Tracy Ln and Oak Hill Dr</v>
          </cell>
          <cell r="K312" t="str">
            <v>Approved by: Galen Shoemaker on 07/15/2013,  To lay 705ft of 4in Plastic Main and 2205ft of 2in Plastic Main to serve sub-division which now has 29 LP homes and 12 all electric homes. There will be no customer contribution for this work. MOP=25# MAOP=25# SYSTEM=S-3 TEST=100#</v>
          </cell>
          <cell r="L312">
            <v>41558</v>
          </cell>
          <cell r="M312">
            <v>41626</v>
          </cell>
          <cell r="N312">
            <v>41627.582766203697</v>
          </cell>
          <cell r="O312">
            <v>41730</v>
          </cell>
          <cell r="P312" t="str">
            <v>0804-050005  LAWRENCE CTY/MT. VERNON</v>
          </cell>
          <cell r="Q312">
            <v>74525.75</v>
          </cell>
          <cell r="R312">
            <v>6475</v>
          </cell>
        </row>
        <row r="313">
          <cell r="A313" t="str">
            <v>800472</v>
          </cell>
          <cell r="B313" t="str">
            <v>LDC 2</v>
          </cell>
          <cell r="D313" t="str">
            <v>no</v>
          </cell>
          <cell r="F313" t="str">
            <v>F0523</v>
          </cell>
          <cell r="G313" t="str">
            <v>New Main Extensions (SW)</v>
          </cell>
          <cell r="H313" t="str">
            <v>150ft  Main Ext to serve Orscheln F</v>
          </cell>
          <cell r="I313" t="str">
            <v>completed</v>
          </cell>
          <cell r="J313" t="str">
            <v>Main Extension - Install 150ft 2in PL IP to serve Orschlen Farm at 16204 MO-59 Neosho, Mo. Town: 0806 Sector: D1816 Cost: $4,079.62 $27.20/ft</v>
          </cell>
          <cell r="L313">
            <v>42613</v>
          </cell>
          <cell r="M313">
            <v>42766</v>
          </cell>
          <cell r="O313">
            <v>42614</v>
          </cell>
          <cell r="P313" t="str">
            <v>0806-066010  NEWTON CTY/NEOSHO</v>
          </cell>
          <cell r="Q313">
            <v>523.65</v>
          </cell>
          <cell r="R313">
            <v>-464</v>
          </cell>
        </row>
        <row r="314">
          <cell r="A314" t="str">
            <v>003848</v>
          </cell>
          <cell r="B314" t="str">
            <v>LDC 2</v>
          </cell>
          <cell r="D314" t="str">
            <v>yes</v>
          </cell>
          <cell r="E314" t="str">
            <v>20806132655</v>
          </cell>
          <cell r="F314" t="str">
            <v>F0621</v>
          </cell>
          <cell r="G314" t="str">
            <v>Rectifier Initial Installation</v>
          </cell>
          <cell r="H314" t="str">
            <v>Peterson Road Rectifier &amp; Groundbed</v>
          </cell>
          <cell r="I314" t="str">
            <v>posted to CPR</v>
          </cell>
          <cell r="J314" t="str">
            <v>Peterson Road New Rectifier and Groundbed: Neosho: Peterson Road #677</v>
          </cell>
          <cell r="K314" t="str">
            <v>Approved by: Randy Spector on 04/29/2013,  This work order is necessary to install ten (10) 4in X 80in graphite anodes and an Universal 80Volt 40 Amp Rectifier in the same location. All installation will be performed by company crews except a contractor will drill the holes for anodes. Electrical work will be cordinated with Joplin Electric. This installation will begin approximately 680 feet north of Kenney Lane, between Fawn Street and Deer Run along the west right of way on Peterson Road. Basically this rectifier will protected most of the main on the west side of 71 Highway in Nesoho that the existing rectifier on the east side of 71 Highway cannot reach. Environmental Group has approved this installation site.</v>
          </cell>
          <cell r="L314">
            <v>41628</v>
          </cell>
          <cell r="M314">
            <v>41670</v>
          </cell>
          <cell r="N314">
            <v>41710.614606481497</v>
          </cell>
          <cell r="O314">
            <v>41730</v>
          </cell>
          <cell r="P314" t="str">
            <v>0806-066010  NEWTON CTY/NEOSHO</v>
          </cell>
          <cell r="Q314">
            <v>24135.77</v>
          </cell>
          <cell r="R314">
            <v>939</v>
          </cell>
        </row>
        <row r="315">
          <cell r="A315" t="str">
            <v>004334</v>
          </cell>
          <cell r="B315" t="str">
            <v>LDC 2</v>
          </cell>
          <cell r="D315" t="str">
            <v>no</v>
          </cell>
          <cell r="E315" t="str">
            <v>20809143372</v>
          </cell>
          <cell r="F315" t="str">
            <v>F0523</v>
          </cell>
          <cell r="G315" t="str">
            <v>New Main Extensions (SW)</v>
          </cell>
          <cell r="H315" t="str">
            <v>Pearl St Lay 105'- 2in PE Main ext</v>
          </cell>
          <cell r="I315" t="str">
            <v>posted to CPR</v>
          </cell>
          <cell r="J315" t="str">
            <v>Pearl St Lay 105'- 2in PE Main ext: Aurora: Pearl St West of Rinker</v>
          </cell>
          <cell r="K315" t="str">
            <v>Approved by: Galen Shoemaker on 02/25/2014,  Lay 105ft of 2in Plastic Main to serve one residential customer converting from electric to gas. MOP=1.125# MAOP=1.125# TEST=100# SYSTEM=C-1</v>
          </cell>
          <cell r="L315">
            <v>41722</v>
          </cell>
          <cell r="M315">
            <v>41821</v>
          </cell>
          <cell r="N315">
            <v>41953.447013888901</v>
          </cell>
          <cell r="O315">
            <v>41730</v>
          </cell>
          <cell r="P315" t="str">
            <v>0809-050003  LAWRENCE CTY/AURORA</v>
          </cell>
          <cell r="Q315">
            <v>2277.87</v>
          </cell>
          <cell r="R315">
            <v>776</v>
          </cell>
        </row>
        <row r="316">
          <cell r="A316" t="str">
            <v>005691</v>
          </cell>
          <cell r="B316" t="str">
            <v>LDC 2</v>
          </cell>
          <cell r="D316" t="str">
            <v>no</v>
          </cell>
          <cell r="F316" t="str">
            <v>F0495</v>
          </cell>
          <cell r="G316" t="str">
            <v>General structures</v>
          </cell>
          <cell r="H316" t="str">
            <v>Security Cameras - Republic</v>
          </cell>
          <cell r="I316" t="str">
            <v>posted to CPR</v>
          </cell>
          <cell r="J316" t="str">
            <v>Install Genetec 4TB archiver system</v>
          </cell>
          <cell r="K316" t="str">
            <v>Complete per Al Moore 9-18-14 - AMM</v>
          </cell>
          <cell r="L316">
            <v>41900</v>
          </cell>
          <cell r="M316">
            <v>42156</v>
          </cell>
          <cell r="N316">
            <v>42223.566006944398</v>
          </cell>
          <cell r="O316">
            <v>41883</v>
          </cell>
          <cell r="P316" t="str">
            <v>0812-034002  GREENE CTY/REPUBLIC</v>
          </cell>
          <cell r="Q316">
            <v>16257.24</v>
          </cell>
          <cell r="R316">
            <v>12792</v>
          </cell>
        </row>
        <row r="317">
          <cell r="A317" t="str">
            <v>800390</v>
          </cell>
          <cell r="B317" t="str">
            <v>LDC 2</v>
          </cell>
          <cell r="C317" t="str">
            <v>03 - Bare Steel Replacement</v>
          </cell>
          <cell r="D317" t="str">
            <v>yes</v>
          </cell>
          <cell r="F317" t="str">
            <v>F0572</v>
          </cell>
          <cell r="G317" t="str">
            <v>Main Replacement - ISRS (SW)</v>
          </cell>
          <cell r="H317" t="str">
            <v>Repl w/ 884F 2-4P HWY 60 to Pine</v>
          </cell>
          <cell r="I317" t="str">
            <v>open</v>
          </cell>
          <cell r="J317" t="str">
            <v> Install 621 ft of 2 in PE and 263 ft of 4 in PE main.  Abandon 26 ft of 2 in PE, Abandon 815 ft of 2 in BST main - Hwy 60 to NE Pine.  </v>
          </cell>
          <cell r="K317" t="str">
            <v>Main is being replaced due to isolated BST and leaks in Billings along HWY 60 and Pine.</v>
          </cell>
          <cell r="P317" t="str">
            <v>0813-019001  CHRISTIAN CTY/BILLING</v>
          </cell>
          <cell r="Q317">
            <v>0</v>
          </cell>
          <cell r="R317">
            <v>26</v>
          </cell>
        </row>
        <row r="318">
          <cell r="A318" t="str">
            <v>004320</v>
          </cell>
          <cell r="B318" t="str">
            <v>LDC 2</v>
          </cell>
          <cell r="D318" t="str">
            <v>yes</v>
          </cell>
          <cell r="E318" t="str">
            <v>20813132533</v>
          </cell>
          <cell r="F318" t="str">
            <v>F0634</v>
          </cell>
          <cell r="G318" t="str">
            <v>Replace bare steel main - safety re</v>
          </cell>
          <cell r="H318" t="str">
            <v>Pine &amp; Purdy Repl PBS w 2040'-2in P</v>
          </cell>
          <cell r="I318" t="str">
            <v>posted to CPR</v>
          </cell>
          <cell r="J318" t="str">
            <v>Pine &amp; Purdy Repl PBS w 2040'-2in PE main: Billings: Purdy and Pine</v>
          </cell>
          <cell r="K318" t="str">
            <v>Approved by: Ken Thomas on 04/23/2013,  Replace 1630' - 2&amp;quot; PBS (WO#'s: J010B, 34650), 4' - 3&amp;quot; PBS (WO#: 66-3786), 373' - 2&amp;quot; PCS (WO's: 66-4526, 66-6265, 76-2608) and 25' - 3&amp;quot; PCS (66-3786) with 2040' - 2&amp;quot; PE due to history of leakage. Project Location: Purdy and Pine; Pressure System: S-1; MOP: 20 psig; MAOP: 20 psig; Design: 58 psig; Test: 100 psig; ISRS $33.12/ft</v>
          </cell>
          <cell r="L318">
            <v>41472</v>
          </cell>
          <cell r="M318">
            <v>41578</v>
          </cell>
          <cell r="N318">
            <v>41627.582893518498</v>
          </cell>
          <cell r="O318">
            <v>41730</v>
          </cell>
          <cell r="P318" t="str">
            <v>0813-019001  CHRISTIAN CTY/BILLING</v>
          </cell>
          <cell r="Q318">
            <v>71678.649999999994</v>
          </cell>
          <cell r="R318">
            <v>6933.1</v>
          </cell>
        </row>
        <row r="319">
          <cell r="A319" t="str">
            <v>800424</v>
          </cell>
          <cell r="B319" t="str">
            <v>LDC 2</v>
          </cell>
          <cell r="D319" t="str">
            <v>no</v>
          </cell>
          <cell r="F319" t="str">
            <v>F0523</v>
          </cell>
          <cell r="G319" t="str">
            <v>New Main Extensions (SW)</v>
          </cell>
          <cell r="H319" t="str">
            <v>Install 371F 2P 12th and Dawn St</v>
          </cell>
          <cell r="I319" t="str">
            <v>in service</v>
          </cell>
          <cell r="J319" t="str">
            <v>Install 371 ft of 2 in MP PE main to relocate the two services for the school to relocate existing meters per School Improvement plans.</v>
          </cell>
          <cell r="K319" t="str">
            <v>Per Dustin Borland, being done at "company election" - no charge since it will allow us to remove two services off our feeder main</v>
          </cell>
          <cell r="L319">
            <v>42636</v>
          </cell>
          <cell r="O319">
            <v>42614</v>
          </cell>
          <cell r="P319" t="str">
            <v>0815-019006  CHRISTIAN CTY/OZARK</v>
          </cell>
          <cell r="Q319">
            <v>17367</v>
          </cell>
          <cell r="R319">
            <v>6084.17</v>
          </cell>
        </row>
        <row r="320">
          <cell r="A320" t="str">
            <v>005799</v>
          </cell>
          <cell r="B320" t="str">
            <v>LDC 2</v>
          </cell>
          <cell r="D320" t="str">
            <v>yes</v>
          </cell>
          <cell r="E320" t="str">
            <v>20324143615</v>
          </cell>
          <cell r="F320" t="str">
            <v>F0580</v>
          </cell>
          <cell r="G320" t="str">
            <v>Replace steel &amp; plastic main</v>
          </cell>
          <cell r="H320" t="str">
            <v>College Repl 2in PE w/1000'-4in PE</v>
          </cell>
          <cell r="I320" t="str">
            <v>posted to CPR</v>
          </cell>
          <cell r="J320" t="str">
            <v>College Repl 2in PE w/1000'-4in PE : Pilot Grove: Replace Coated Steel &amp; Plastic Main - 3760 (34-396)</v>
          </cell>
          <cell r="K320" t="str">
            <v>Approved by: Ralph Janes on 07/28/2014,  Replace 2" PE low pressure main with 1,000' of 4" PE main on PEPL town pressure (currently MOP = MAOP = 35 psig). This work order will boost the Pilot Grove system and increase volume to the SW corner of town for the Pilot Grove Co-op which is increasing their load significantly. This WO is to be worked in conjunction with 14-3614. Then we will target the rest of the basically one sector town for replacement on the 2015 Accelerated Main Replacement program. This will allow us to retire DRS 1 which cuts from the PEPL pressure to 1.13 psig and retire the rectifier. Main to retire: 500' - 2" PE (WO# 94-0586); 10' - 2" PE (WO# 96-1163); 145' - 2" PE (WO# 08-5032 - formerly 2" SL WO# 96-1165). Price per ft = $34.87. Contribution check for $16,715 rec'd 7-21-14 per WOES</v>
          </cell>
          <cell r="L320">
            <v>42115</v>
          </cell>
          <cell r="M320">
            <v>42216</v>
          </cell>
          <cell r="N320">
            <v>42256.641041666699</v>
          </cell>
          <cell r="O320">
            <v>42156</v>
          </cell>
          <cell r="P320" t="str">
            <v>0324-023001  COOPER CTY/PILOT GROVE</v>
          </cell>
          <cell r="Q320">
            <v>29622.86</v>
          </cell>
          <cell r="R320">
            <v>-1207</v>
          </cell>
        </row>
        <row r="321">
          <cell r="A321" t="str">
            <v>008637</v>
          </cell>
          <cell r="B321" t="str">
            <v>LDC 2</v>
          </cell>
          <cell r="D321" t="str">
            <v>no</v>
          </cell>
          <cell r="E321" t="str">
            <v>20808155324</v>
          </cell>
          <cell r="F321" t="str">
            <v>F0523</v>
          </cell>
          <cell r="G321" t="str">
            <v>New Main Extensions (SW)</v>
          </cell>
          <cell r="H321" t="str">
            <v>75ft  2in PE Main Extension Oakhill</v>
          </cell>
          <cell r="I321" t="str">
            <v>posted to CPR</v>
          </cell>
          <cell r="J321" t="str">
            <v>75ft  2in PE Main Extension Oakhill Drive : Seneca: New Main Extension - Company Crews  3760 (33-305)</v>
          </cell>
          <cell r="K321" t="str">
            <v>Approved by: Michael Fornelli on 05/28/2015,  Install 75' of 2" PE main on system S-0001 at 24 Oakhill Drive to accomodate customer.
Division: 08 Town: 08 Sector: A1714 System: S-0001 MAOP: 30 psig MOP: 30 psig TEST: 100 psig</v>
          </cell>
          <cell r="L321">
            <v>42129</v>
          </cell>
          <cell r="M321">
            <v>42522</v>
          </cell>
          <cell r="N321">
            <v>42586.569583333301</v>
          </cell>
          <cell r="O321">
            <v>42430</v>
          </cell>
          <cell r="P321" t="str">
            <v>0808-066013  NEWTON CTY/SENECA</v>
          </cell>
          <cell r="Q321">
            <v>1645.68</v>
          </cell>
          <cell r="R321">
            <v>-607</v>
          </cell>
        </row>
        <row r="322">
          <cell r="A322" t="str">
            <v>005793</v>
          </cell>
          <cell r="B322" t="str">
            <v>LDC 2</v>
          </cell>
          <cell r="D322" t="str">
            <v>no</v>
          </cell>
          <cell r="E322" t="str">
            <v>20816143644</v>
          </cell>
          <cell r="F322" t="str">
            <v>F0537</v>
          </cell>
          <cell r="G322" t="str">
            <v>Services -  2" &amp; larger</v>
          </cell>
          <cell r="H322" t="str">
            <v>Texas Dr Install 175'-2in PE Servic</v>
          </cell>
          <cell r="I322" t="str">
            <v>posted to CPR</v>
          </cell>
          <cell r="J322" t="str">
            <v>Texas Dr Install 175'-2in PE Service : Nixa: New Services 2&amp;quot; &amp; Larger  3800 (33-381)</v>
          </cell>
          <cell r="K322" t="str">
            <v>Approved by: Galen Shoemaker on 07/28/2014,  Install 175' of 2" PE Service for Nixa Early Development Center.  Customer contribution of $270.00.  Project Location: Texas Dr. N of South St.  System: C-1.  MOP: 44 PSIG.  MAOP: 44 PSIG.  Design: 58 PSIG.  Test: 100 PSIG.  Price Per Foot: $10.17.</v>
          </cell>
          <cell r="L322">
            <v>41820</v>
          </cell>
          <cell r="M322">
            <v>41883</v>
          </cell>
          <cell r="N322">
            <v>41918.570185185199</v>
          </cell>
          <cell r="O322">
            <v>41852</v>
          </cell>
          <cell r="P322" t="str">
            <v>0816-019004  CHRISTIAN CTY/NIXA</v>
          </cell>
          <cell r="Q322">
            <v>2228.1999999999998</v>
          </cell>
          <cell r="R322">
            <v>-599</v>
          </cell>
        </row>
        <row r="323">
          <cell r="A323" t="str">
            <v>800368</v>
          </cell>
          <cell r="B323" t="str">
            <v>LDC 2</v>
          </cell>
          <cell r="D323" t="str">
            <v>no</v>
          </cell>
          <cell r="F323" t="str">
            <v>F0578</v>
          </cell>
          <cell r="G323" t="str">
            <v>Street &amp; Highway Relocates ISRS (S)</v>
          </cell>
          <cell r="H323" t="str">
            <v>Relocate 2in PE Main - Quiktrip CJ</v>
          </cell>
          <cell r="I323" t="str">
            <v>in service</v>
          </cell>
          <cell r="J323" t="str">
            <v>Relocate and abandon 350' of 2" plastic main (1988 Vintage) at Quiktrip 350 S. Gregory in Raytown, by installing 350' of 2" plastic main to allow Private Developer to change grade as they improve their property. Reimbursable.</v>
          </cell>
          <cell r="K323" t="str">
            <v>Check Number 02422212 for $6,366.17 on Contract to Relocate has been received and forwarded to Corporate.</v>
          </cell>
          <cell r="L323">
            <v>42620</v>
          </cell>
          <cell r="O323">
            <v>42614</v>
          </cell>
          <cell r="P323" t="str">
            <v>0902-043025  JACKSON CTY/RAYTOWN</v>
          </cell>
          <cell r="Q323">
            <v>7184.14</v>
          </cell>
          <cell r="R323">
            <v>-496.75</v>
          </cell>
        </row>
        <row r="324">
          <cell r="A324" t="str">
            <v>006971</v>
          </cell>
          <cell r="B324" t="str">
            <v>LDC 2</v>
          </cell>
          <cell r="D324" t="str">
            <v>yes</v>
          </cell>
          <cell r="E324" t="str">
            <v>20902143921</v>
          </cell>
          <cell r="F324" t="str">
            <v>F0604</v>
          </cell>
          <cell r="G324" t="str">
            <v>Main Replacement - ISRS (S)</v>
          </cell>
          <cell r="H324" t="str">
            <v>Replace PBS 0401</v>
          </cell>
          <cell r="I324" t="str">
            <v>posted to CPR</v>
          </cell>
          <cell r="J324" t="str">
            <v>Replace PBS 0401: Raytown: Replace Bare Steel Main - 3760 Safety Related (34-394)</v>
          </cell>
          <cell r="K324" t="str">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ell>
          <cell r="L324">
            <v>42314</v>
          </cell>
          <cell r="M324">
            <v>42429</v>
          </cell>
          <cell r="N324">
            <v>42527.511145833298</v>
          </cell>
          <cell r="O324">
            <v>42370</v>
          </cell>
          <cell r="P324" t="str">
            <v>0902-043025  JACKSON CTY/RAYTOWN</v>
          </cell>
          <cell r="Q324">
            <v>473915.4</v>
          </cell>
          <cell r="R324">
            <v>-49720</v>
          </cell>
        </row>
        <row r="325">
          <cell r="A325" t="str">
            <v>800790</v>
          </cell>
          <cell r="B325" t="str">
            <v>LDC 2</v>
          </cell>
          <cell r="D325" t="str">
            <v>no</v>
          </cell>
          <cell r="F325" t="str">
            <v>F0604</v>
          </cell>
          <cell r="G325" t="str">
            <v>Main Replacement - ISRS (S)</v>
          </cell>
          <cell r="H325" t="str">
            <v>Aband 750F 2P Sunset &amp; Littrell</v>
          </cell>
          <cell r="I325" t="str">
            <v>in service</v>
          </cell>
          <cell r="J325" t="str">
            <v>Abandon ~750 Ft of 2" PL IP Main</v>
          </cell>
          <cell r="K325" t="str">
            <v>Abandon 750' - 2" plastic main installed on work order 772230. Shopping Center is being re-purposed and all of the service lines will be abandoned on separate work orders. New Price Chopper planned - will run new service to it when it is built.</v>
          </cell>
          <cell r="L325">
            <v>42719</v>
          </cell>
          <cell r="P325" t="str">
            <v>0903-043026  JACKSON CTY/BLUE SPRINGS</v>
          </cell>
          <cell r="Q325">
            <v>262.19</v>
          </cell>
          <cell r="R325">
            <v>750</v>
          </cell>
        </row>
        <row r="326">
          <cell r="A326" t="str">
            <v>006831</v>
          </cell>
          <cell r="B326" t="str">
            <v>LDC 2</v>
          </cell>
          <cell r="D326" t="str">
            <v>no</v>
          </cell>
          <cell r="E326" t="str">
            <v>20903143875</v>
          </cell>
          <cell r="F326" t="str">
            <v>F0672</v>
          </cell>
          <cell r="G326" t="str">
            <v>Main Repl - Sys Reinforcement (S)</v>
          </cell>
          <cell r="H326" t="str">
            <v>Reinforce Woods Chappel Rd West of</v>
          </cell>
          <cell r="I326" t="str">
            <v>posted to CPR</v>
          </cell>
          <cell r="J326" t="str">
            <v>Reinforce Woods Chappel Rd West of Liggett Road: Blue Springs: Replace Steel &amp; Plastic Main - System Reinforcement (43-419)</v>
          </cell>
          <cell r="K326" t="str">
            <v>Approved by: Steve Holcomb on 11/05/2014,  Install 2,425' - 4" pe main extension to connect Lee's Summit Pressure System C-013 to Blue Springs Pressure System S-029.  Note:  This Work Order 14-3875 is for the portion of this reinforcement project that lies in the City of Blue Springs and Work Order 14-3874 is for the portion of this reinforcement project that lies in the City of Lee's Summit.  LS work order 14-3874 is estimated at $42,914.44, BS work order 14-3845 is estimated at $64,110.94.  The total project estimated cost is $107,025.38.  This is the Eastern most dead end of Lee's Summit Pressure System C-013 which continues to grow to the East.  The tie in point for this work order is approximately 8,000' from our nearest chart which recorded a drop from the MOP of 25 psig to 10 psig on 01/06/14.</v>
          </cell>
          <cell r="L326">
            <v>42024</v>
          </cell>
          <cell r="M326">
            <v>42063</v>
          </cell>
          <cell r="N326">
            <v>42160.553946759297</v>
          </cell>
          <cell r="O326">
            <v>42005</v>
          </cell>
          <cell r="P326" t="str">
            <v>0903-043026  JACKSON CTY/BLUE SPRINGS</v>
          </cell>
          <cell r="Q326">
            <v>9567.6200000000008</v>
          </cell>
          <cell r="R326">
            <v>-3636</v>
          </cell>
        </row>
        <row r="327">
          <cell r="A327" t="str">
            <v>012814</v>
          </cell>
          <cell r="B327" t="str">
            <v>LDC 2</v>
          </cell>
          <cell r="D327" t="str">
            <v>no</v>
          </cell>
          <cell r="F327" t="str">
            <v>F0644</v>
          </cell>
          <cell r="G327" t="str">
            <v>Meter &amp; Reg Settings 2" &amp; Lg (S)</v>
          </cell>
          <cell r="H327" t="str">
            <v>Brewbakers 3M Rotary Meter Set</v>
          </cell>
          <cell r="I327" t="str">
            <v>open</v>
          </cell>
          <cell r="J327" t="str">
            <v>Install a 3M Rotary meter set for a new commercial customer who moved into an existing premise at 140 Cedar Tree Square - retail strip mall.</v>
          </cell>
          <cell r="P327" t="str">
            <v>0906-016001  CASS CTY/BELTON W OF MULLIN RD</v>
          </cell>
          <cell r="Q327">
            <v>476.66</v>
          </cell>
          <cell r="R327">
            <v>15.9</v>
          </cell>
        </row>
        <row r="328">
          <cell r="A328" t="str">
            <v>008240</v>
          </cell>
          <cell r="B328" t="str">
            <v>LDC 2</v>
          </cell>
          <cell r="D328" t="str">
            <v>no</v>
          </cell>
          <cell r="E328" t="str">
            <v>20903155304</v>
          </cell>
          <cell r="F328" t="str">
            <v>F0507</v>
          </cell>
          <cell r="G328" t="str">
            <v>Rebuild Meter Install 2'' &amp; Lg (S)</v>
          </cell>
          <cell r="H328" t="str">
            <v>Remove 1.5M Rotary Meter SLRP</v>
          </cell>
          <cell r="I328" t="str">
            <v>posted to CPR</v>
          </cell>
          <cell r="J328" t="str">
            <v>Remove 1.5M Rotary Meter SLRP: Blue Springs: Replace Meter &amp; Reg 2&amp;quot; &amp;  Larger - 3820/3830 (32-404)</v>
          </cell>
          <cell r="K328" t="str">
            <v>Approved by: Kevin Driskell on 04/20/2015,  Remove and dismantle the 1.5M rotary meter set (meter #08059349, installed on WO# 80-1175, premise #315945) at the US Post Office - 200 NW 11th Street.  The service line is being replaced on the SLRP program.  The total connected load is 790 cfh so a 800 class diaphragm meter will be set on a BWO.</v>
          </cell>
          <cell r="L328">
            <v>42129</v>
          </cell>
          <cell r="M328">
            <v>42155</v>
          </cell>
          <cell r="N328">
            <v>42256.642071759299</v>
          </cell>
          <cell r="O328">
            <v>42217</v>
          </cell>
          <cell r="P328" t="str">
            <v>0903-043026  JACKSON CTY/BLUE SPRINGS</v>
          </cell>
          <cell r="Q328">
            <v>441.14</v>
          </cell>
          <cell r="R328">
            <v>3</v>
          </cell>
        </row>
        <row r="329">
          <cell r="A329" t="str">
            <v>009273</v>
          </cell>
          <cell r="B329" t="str">
            <v>LDC 2</v>
          </cell>
          <cell r="D329" t="str">
            <v>no</v>
          </cell>
          <cell r="E329" t="str">
            <v>20834155528</v>
          </cell>
          <cell r="F329" t="str">
            <v>F0523</v>
          </cell>
          <cell r="G329" t="str">
            <v>New Main Extensions (SW)</v>
          </cell>
          <cell r="H329" t="str">
            <v>Clear Creek Estates Main ext</v>
          </cell>
          <cell r="I329" t="str">
            <v>posted to CPR</v>
          </cell>
          <cell r="J329" t="str">
            <v>Clear Creek Estates Main ext: Willard: New Main Extension - Company Crews  3760 (33-305)</v>
          </cell>
          <cell r="K329" t="str">
            <v>Approved by: Michael Fornelli on 08/31/2015,  Install 200' 4" PE main extension for new customer.  Project Location: Raintree Dr S of Persimmion Ct. Division:08 Town: 34 Sector:A1815  System: C-0001.  MOP: 33 PSIG.  MAOP: 33 PSIG.  Design: 66 PSIG.  Test: 100 PSIG.  Cost: $38.78/ft ($7,755.33). Reimbursable amount: $6,380.33</v>
          </cell>
          <cell r="L329">
            <v>42307</v>
          </cell>
          <cell r="M329">
            <v>42369</v>
          </cell>
          <cell r="N329">
            <v>42467.490983796299</v>
          </cell>
          <cell r="O329">
            <v>42309</v>
          </cell>
          <cell r="P329" t="str">
            <v>0834-034009  GREENE CTY/WILLARD</v>
          </cell>
          <cell r="Q329">
            <v>11381.01</v>
          </cell>
          <cell r="R329">
            <v>376</v>
          </cell>
        </row>
        <row r="330">
          <cell r="A330" t="str">
            <v>800838</v>
          </cell>
          <cell r="B330" t="str">
            <v>LDC 2</v>
          </cell>
          <cell r="D330" t="str">
            <v>no</v>
          </cell>
          <cell r="F330" t="str">
            <v>F0578</v>
          </cell>
          <cell r="G330" t="str">
            <v>Street &amp; Highway Relocates ISRS (S)</v>
          </cell>
          <cell r="H330" t="str">
            <v>Aband 175F 4P SW Flintrock Drive</v>
          </cell>
          <cell r="I330" t="str">
            <v>in service</v>
          </cell>
          <cell r="J330" t="str">
            <v>Abandon ~175 Ft of 4" PL IP Main.</v>
          </cell>
          <cell r="K330" t="str">
            <v>City of Lee's Summit is vacating a portion of SW Flintrock Dr.</v>
          </cell>
          <cell r="L330">
            <v>42716</v>
          </cell>
          <cell r="P330" t="str">
            <v>0901-043021  JACKSON CTY/LEE'S SUMMIT OFFIC</v>
          </cell>
          <cell r="Q330">
            <v>5759.59</v>
          </cell>
          <cell r="R330">
            <v>226.5</v>
          </cell>
        </row>
        <row r="331">
          <cell r="A331" t="str">
            <v>800793</v>
          </cell>
          <cell r="B331" t="str">
            <v>LDC 2</v>
          </cell>
          <cell r="D331" t="str">
            <v>no</v>
          </cell>
          <cell r="F331" t="str">
            <v>F0673</v>
          </cell>
          <cell r="G331" t="str">
            <v>New Main Extensions (S)</v>
          </cell>
          <cell r="H331" t="str">
            <v>Install 2720F 2-4-6P Monticello -1</v>
          </cell>
          <cell r="I331" t="str">
            <v>in service</v>
          </cell>
          <cell r="J331" t="str">
            <v>Install ~340 Ft of 2" PL MP Main, ~2230 Ft of 4" PL MP Main, ~150 Ft of 6" PL MP Main.</v>
          </cell>
          <cell r="K331" t="str">
            <v>32 lot subdivision.  Single, family detached. Lee's Summit.  Heat Pump with Gas back up, gas water heater, fireplace.  Completion date by 1st week of August is critical for Developer, Troy Bellah. This is a new business project.</v>
          </cell>
          <cell r="L331">
            <v>42616</v>
          </cell>
          <cell r="O331">
            <v>42614</v>
          </cell>
          <cell r="P331" t="str">
            <v>0901-043021  JACKSON CTY/LEE'S SUMMIT OFFIC</v>
          </cell>
          <cell r="Q331">
            <v>40238.07</v>
          </cell>
          <cell r="R331">
            <v>-5436.5</v>
          </cell>
        </row>
        <row r="332">
          <cell r="A332" t="str">
            <v>800314</v>
          </cell>
          <cell r="B332" t="str">
            <v>LDC 2</v>
          </cell>
          <cell r="D332" t="str">
            <v>no</v>
          </cell>
          <cell r="F332" t="str">
            <v>F0673</v>
          </cell>
          <cell r="G332" t="str">
            <v>New Main Extensions (S)</v>
          </cell>
          <cell r="H332" t="str">
            <v>Inst 2795F 2P Kessler Ridge NB</v>
          </cell>
          <cell r="I332" t="str">
            <v>in service</v>
          </cell>
          <cell r="J332" t="str">
            <v>Install 2,795' 2P main to serve 55 new residential lots at Kessler Ridge @ New Longview.</v>
          </cell>
          <cell r="L332">
            <v>42604</v>
          </cell>
          <cell r="O332">
            <v>42583</v>
          </cell>
          <cell r="P332" t="str">
            <v>0901-043021  JACKSON CTY/LEE'S SUMMIT OFFIC</v>
          </cell>
          <cell r="Q332">
            <v>53678.42</v>
          </cell>
          <cell r="R332">
            <v>-6500</v>
          </cell>
        </row>
        <row r="333">
          <cell r="A333" t="str">
            <v>010875</v>
          </cell>
          <cell r="B333" t="str">
            <v>LDC 2</v>
          </cell>
          <cell r="D333" t="str">
            <v>no</v>
          </cell>
          <cell r="F333" t="str">
            <v>F1171</v>
          </cell>
          <cell r="G333" t="str">
            <v>Tools For MGE Operation Services</v>
          </cell>
          <cell r="H333" t="str">
            <v>Purch 1 Crystal 300 psi XP2i</v>
          </cell>
          <cell r="I333" t="str">
            <v>posted to CPR</v>
          </cell>
          <cell r="J333" t="str">
            <v>Purchase 1 Crystal 300 psi XP2i digital gauge with protective boot for the Lee's Summit region. Requested by Mike Butts</v>
          </cell>
          <cell r="L333">
            <v>42522</v>
          </cell>
          <cell r="M333">
            <v>42522</v>
          </cell>
          <cell r="N333">
            <v>42557.553032407399</v>
          </cell>
          <cell r="O333">
            <v>42522</v>
          </cell>
          <cell r="P333" t="str">
            <v>0901-043021  JACKSON CTY/LEE'S SUMMIT OFFIC</v>
          </cell>
          <cell r="Q333">
            <v>1170.92</v>
          </cell>
          <cell r="R333">
            <v>2</v>
          </cell>
        </row>
        <row r="334">
          <cell r="A334" t="str">
            <v>009799</v>
          </cell>
          <cell r="B334" t="str">
            <v>LDC 2</v>
          </cell>
          <cell r="D334" t="str">
            <v>no</v>
          </cell>
          <cell r="F334" t="str">
            <v>F0644</v>
          </cell>
          <cell r="G334" t="str">
            <v>Meter &amp; Reg Settings 2" &amp; Lg (S)</v>
          </cell>
          <cell r="H334" t="str">
            <v>513 NE Promised View Dr -Res 3M Mtr</v>
          </cell>
          <cell r="I334" t="str">
            <v>in service</v>
          </cell>
          <cell r="J334" t="str">
            <v>Install a 3M Rotary Meter on a new Residence in Lee's Summit</v>
          </cell>
          <cell r="L334">
            <v>42443</v>
          </cell>
          <cell r="O334">
            <v>42461</v>
          </cell>
          <cell r="P334" t="str">
            <v>0901-043021  JACKSON CTY/LEE'S SUMMIT OFFIC</v>
          </cell>
          <cell r="Q334">
            <v>3343.77</v>
          </cell>
          <cell r="R334">
            <v>-26</v>
          </cell>
        </row>
        <row r="335">
          <cell r="A335" t="str">
            <v>006592</v>
          </cell>
          <cell r="B335" t="str">
            <v>LDC 2</v>
          </cell>
          <cell r="D335" t="str">
            <v>no</v>
          </cell>
          <cell r="E335" t="str">
            <v>20901143844</v>
          </cell>
          <cell r="F335" t="str">
            <v>F0676</v>
          </cell>
          <cell r="G335" t="str">
            <v>Meter &amp; regulator settings - 2" &amp; l</v>
          </cell>
          <cell r="H335" t="str">
            <v>Abundant Life Baptist Church 5M Mtr</v>
          </cell>
          <cell r="I335" t="str">
            <v>posted to CPR</v>
          </cell>
          <cell r="J335" t="str">
            <v>Abundant Life Baptist Church: Lees Summit: New Meter &amp; Reg Settings - 2&amp;quot; &amp; Larger 3820/3830 (33-382)</v>
          </cell>
          <cell r="K335" t="str">
            <v>Approved by: Ray Wilson on 09/29/2014,  Install a 5M Rotary meter setting to serve one new commercial customer.  280' - 1-1/4" pe service line installed on BWO.</v>
          </cell>
          <cell r="L335">
            <v>42306</v>
          </cell>
          <cell r="M335">
            <v>42430</v>
          </cell>
          <cell r="N335">
            <v>42459.672662037003</v>
          </cell>
          <cell r="O335">
            <v>42278</v>
          </cell>
          <cell r="P335" t="str">
            <v>0901-043021  JACKSON CTY/LEE'S SUMMIT OFFIC</v>
          </cell>
          <cell r="Q335">
            <v>4073.36</v>
          </cell>
          <cell r="R335">
            <v>-15.5</v>
          </cell>
        </row>
        <row r="336">
          <cell r="A336" t="str">
            <v>004243</v>
          </cell>
          <cell r="B336" t="str">
            <v>LDC 2</v>
          </cell>
          <cell r="D336" t="str">
            <v>yes</v>
          </cell>
          <cell r="E336" t="str">
            <v>20901132990</v>
          </cell>
          <cell r="F336" t="str">
            <v>F0514</v>
          </cell>
          <cell r="G336" t="str">
            <v>Other relocates</v>
          </cell>
          <cell r="H336" t="str">
            <v>Reloc 665'- 2in PE Braeside Park St</v>
          </cell>
          <cell r="I336" t="str">
            <v>posted to CPR</v>
          </cell>
          <cell r="J336" t="str">
            <v>Reloc 665'- 2in PE Braeside Park Stormwater: Lees Summit: Hillcrest north of 2nd</v>
          </cell>
          <cell r="K336" t="str">
            <v>Approved by: Ralph Janes on 09/19/2013,  Public Improvement Project: Braeside Park Stormwater Improvements. Relocate 610' of 2" PE to east side of Hillcrest Ln to allow new storm sewer installation on west side. Main to retire: 600' - 2" PE (WO# 86-3055). Main is in existing 50' easement, so the project is reimbursable. Price per ft = $32.74</v>
          </cell>
          <cell r="L336">
            <v>41605</v>
          </cell>
          <cell r="M336">
            <v>41697</v>
          </cell>
          <cell r="N336">
            <v>41698.505231481497</v>
          </cell>
          <cell r="P336" t="str">
            <v>0901-043021  JACKSON CTY/LEE'S SUMMIT OFFIC</v>
          </cell>
          <cell r="Q336">
            <v>2503.33</v>
          </cell>
          <cell r="R336">
            <v>2266</v>
          </cell>
        </row>
        <row r="337">
          <cell r="A337" t="str">
            <v>004400</v>
          </cell>
          <cell r="B337" t="str">
            <v>LDC 2</v>
          </cell>
          <cell r="D337" t="str">
            <v>no</v>
          </cell>
          <cell r="E337" t="str">
            <v>20901050309</v>
          </cell>
          <cell r="F337" t="str">
            <v>F0648</v>
          </cell>
          <cell r="G337" t="str">
            <v>Service line locates</v>
          </cell>
          <cell r="H337" t="str">
            <v>BWO LINE LOCATES-REPL SERVICES ONLY</v>
          </cell>
          <cell r="I337" t="str">
            <v>posted to CPR</v>
          </cell>
          <cell r="J337" t="str">
            <v>BWO LINE LOCATES-REPL SERVICES ONLY</v>
          </cell>
          <cell r="K337" t="str">
            <v>Line Locates - Service Line Replacements Only (Lee's Summit - South Region)</v>
          </cell>
          <cell r="L337">
            <v>41717</v>
          </cell>
          <cell r="M337">
            <v>41717</v>
          </cell>
          <cell r="N337">
            <v>41717</v>
          </cell>
          <cell r="O337">
            <v>41974</v>
          </cell>
          <cell r="P337" t="str">
            <v>0901-043021  JACKSON CTY/LEE'S SUMMIT OFFIC</v>
          </cell>
          <cell r="Q337">
            <v>144.81</v>
          </cell>
          <cell r="R337">
            <v>3.5</v>
          </cell>
        </row>
        <row r="338">
          <cell r="A338" t="str">
            <v>005737</v>
          </cell>
          <cell r="B338" t="str">
            <v>LDC 2</v>
          </cell>
          <cell r="D338" t="str">
            <v>yes</v>
          </cell>
          <cell r="E338" t="str">
            <v>20513143661</v>
          </cell>
          <cell r="F338" t="str">
            <v>F0546</v>
          </cell>
          <cell r="G338" t="str">
            <v>Street &amp; highway relocates - safety</v>
          </cell>
          <cell r="H338" t="str">
            <v>Pennel &amp; Summit Reloc BS/CS w 485'-</v>
          </cell>
          <cell r="I338" t="str">
            <v>posted to CPR</v>
          </cell>
          <cell r="J338" t="str">
            <v>Pennel &amp; Summit Reloc BS/CS w 485'-2in PE main: Carl Junction: Relocate for Street &amp; Highway-Safety Related (44-389)</v>
          </cell>
          <cell r="K338" t="str">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ell>
          <cell r="L338">
            <v>41874</v>
          </cell>
          <cell r="M338">
            <v>42063</v>
          </cell>
          <cell r="N338">
            <v>42160.553321759297</v>
          </cell>
          <cell r="O338">
            <v>41944</v>
          </cell>
          <cell r="P338" t="str">
            <v>0513-044020  JASPER CTY/CARL JUNCTION</v>
          </cell>
          <cell r="Q338">
            <v>21847.24</v>
          </cell>
          <cell r="R338">
            <v>-3129.5</v>
          </cell>
        </row>
        <row r="339">
          <cell r="A339" t="str">
            <v>011818</v>
          </cell>
          <cell r="B339" t="str">
            <v>LDC 2</v>
          </cell>
          <cell r="D339" t="str">
            <v>no</v>
          </cell>
          <cell r="F339" t="str">
            <v>F0639</v>
          </cell>
          <cell r="G339" t="str">
            <v>EGM Equip-1st Time Installation</v>
          </cell>
          <cell r="H339" t="str">
            <v>EGM - Gen Dynamics Munitions Svcs</v>
          </cell>
          <cell r="I339" t="str">
            <v>open</v>
          </cell>
          <cell r="J339" t="str">
            <v>Mini Max AT-PT Corrector for Gen Dynamics Munitions at 4174 County Rd 180 to monitor daily gas usage. Customer will reimburse company actual cost for EGM installation not to exceed $5,445.</v>
          </cell>
          <cell r="P339" t="str">
            <v>0601-044025  JASPER CTY/CARTHAGE</v>
          </cell>
          <cell r="Q339">
            <v>2629.09</v>
          </cell>
          <cell r="R339">
            <v>9</v>
          </cell>
        </row>
        <row r="340">
          <cell r="A340" t="str">
            <v>004342</v>
          </cell>
          <cell r="B340" t="str">
            <v>LDC 2</v>
          </cell>
          <cell r="D340" t="str">
            <v>no</v>
          </cell>
          <cell r="E340" t="str">
            <v>20602132891</v>
          </cell>
          <cell r="F340" t="str">
            <v>F0630</v>
          </cell>
          <cell r="G340" t="str">
            <v>Meter &amp; Reg Settings 2" &amp; Lg (SW)</v>
          </cell>
          <cell r="H340" t="str">
            <v>Jasper Stone 16M mtr prefab setting</v>
          </cell>
          <cell r="I340" t="str">
            <v>posted to CPR</v>
          </cell>
          <cell r="J340" t="str">
            <v>Jasper Stone 16M mtr prefab setting: Jasper: Jasper Stone 13275 Thorn Rd</v>
          </cell>
          <cell r="K340" t="str">
            <v>Approved by: Galen Shoemaker on 10/16/2013,  INSTALL PREFAB SETTING FOR 16M ROOTS METER TO PROVIDE SERVICE TO ROCK DRYING OPERATION AT JASPER STONE. TOTAL CONNECTED DEMAND IS 20,000 CFH. THERE WILL BE NO CHARGE TO THE CUSTOMER FOR THE SETTING. WILL USE ITRON 2in FLANGED CL38-2 REGULATOR WITH 1 3/8in ORIFICE, BROWN CLOSING SPRING AND GREEN PILOT SPRING SET AT 5 PSIG. (REGULATOR IS A NON STOCK ITEM AND WILL BE ORDERED FROM ITRON) WILL USE FISHER 2in 289H SET AT 7 PSIG FOR OVERPRESSURE PROTECTION. SYSTEM 0602-S-1, MOP=15 PSIG, MAOP=20 PSIG</v>
          </cell>
          <cell r="L340">
            <v>41578</v>
          </cell>
          <cell r="M340">
            <v>41652</v>
          </cell>
          <cell r="N340">
            <v>41654.604131944398</v>
          </cell>
          <cell r="P340" t="str">
            <v>0602-044033  JASPER CTY/JASPER</v>
          </cell>
          <cell r="Q340">
            <v>0</v>
          </cell>
          <cell r="R340">
            <v>6</v>
          </cell>
        </row>
        <row r="341">
          <cell r="A341" t="str">
            <v>012560</v>
          </cell>
          <cell r="B341" t="str">
            <v>LDC 2</v>
          </cell>
          <cell r="D341" t="str">
            <v>no</v>
          </cell>
          <cell r="F341" t="str">
            <v>F0639</v>
          </cell>
          <cell r="G341" t="str">
            <v>EGM Equip-1st Time Installation</v>
          </cell>
          <cell r="H341" t="str">
            <v>EGM - Walmart (Lamar 1st Lane)</v>
          </cell>
          <cell r="I341" t="str">
            <v>open</v>
          </cell>
          <cell r="J341" t="str">
            <v>Mini-Max AT-PT Corrector for Walmart at 29 SW 1st Lane to monitor daily gas usage. Customer will reimburse company actual cost for EGM installation not to exceed $5,445.</v>
          </cell>
          <cell r="K341" t="str">
            <v>meter no 000242897</v>
          </cell>
          <cell r="P341" t="str">
            <v>0603-006001  BARTON CTY/LAMAR</v>
          </cell>
          <cell r="Q341">
            <v>1971.95</v>
          </cell>
          <cell r="R341">
            <v>1</v>
          </cell>
        </row>
        <row r="342">
          <cell r="A342" t="str">
            <v>003896</v>
          </cell>
          <cell r="B342" t="str">
            <v>LDC 2</v>
          </cell>
          <cell r="D342" t="str">
            <v>no</v>
          </cell>
          <cell r="E342" t="str">
            <v>20607132740</v>
          </cell>
          <cell r="F342" t="str">
            <v>F0537</v>
          </cell>
          <cell r="G342" t="str">
            <v>Services -  2" &amp; larger</v>
          </cell>
          <cell r="H342" t="str">
            <v>4th &amp; Grand Lay 4in TF Service Penn</v>
          </cell>
          <cell r="I342" t="str">
            <v>posted to CPR</v>
          </cell>
          <cell r="J342" t="str">
            <v>4th &amp; Grand Lay 4in TF Service Pennington Seed: Greenfield: Grand and 4th</v>
          </cell>
          <cell r="K342" t="str">
            <v>Approved by: Galen Shoemaker on 07/15/2013,  Lay 475' - 4in Thinfilm to provide service to Pennington Seed. There will be a BNSF Railroad crossing on this work order. Company will lay thinfilm to avoid a railroad casing and due to rectifier.  There will be no customer contribution after economic evaluation. Project Location: Grand Ave South of 4th St; Pressure System: S-1; MOP: 12 psig; MAOP: 12 psig; Design: 58 psig; Test: 100 psig; $93.25/ft</v>
          </cell>
          <cell r="L342">
            <v>41550</v>
          </cell>
          <cell r="M342">
            <v>41626</v>
          </cell>
          <cell r="N342">
            <v>41630.722106481502</v>
          </cell>
          <cell r="O342">
            <v>41730</v>
          </cell>
          <cell r="P342" t="str">
            <v>0607-025005  DADE CTY/GREENFIELD</v>
          </cell>
          <cell r="Q342">
            <v>52657.8</v>
          </cell>
          <cell r="R342">
            <v>1682</v>
          </cell>
        </row>
        <row r="343">
          <cell r="A343" t="str">
            <v>007320</v>
          </cell>
          <cell r="B343" t="str">
            <v>LDC 2</v>
          </cell>
          <cell r="D343" t="str">
            <v>no</v>
          </cell>
          <cell r="E343" t="str">
            <v>21257143490</v>
          </cell>
          <cell r="F343" t="str">
            <v>F0610</v>
          </cell>
          <cell r="G343" t="str">
            <v>New business</v>
          </cell>
          <cell r="H343" t="str">
            <v>TIFFANY LAKES-3</v>
          </cell>
          <cell r="I343" t="str">
            <v>posted to CPR</v>
          </cell>
          <cell r="J343" t="str">
            <v>TIFFANY LAKES-3: Platte Woods: New Main Extension - Contractor Crews  3760 (33-380)</v>
          </cell>
          <cell r="K343" t="str">
            <v>Approved by: Gary Williams on 01/05/2015,  Laying 870' of 2" PE main and 947' of 4" PE main to serve Tiffany Lakes 3rd Plat with 28 lots. Lots 62-89. 1,817'x$8.50 = $15,444.50</v>
          </cell>
          <cell r="L343">
            <v>42250</v>
          </cell>
          <cell r="M343">
            <v>42370</v>
          </cell>
          <cell r="N343">
            <v>42496.560196759303</v>
          </cell>
          <cell r="O343">
            <v>42248</v>
          </cell>
          <cell r="P343" t="str">
            <v>1257-075016  PLATTE CTY/PLATTE WOODS</v>
          </cell>
          <cell r="Q343">
            <v>32217.9</v>
          </cell>
          <cell r="R343">
            <v>-3781</v>
          </cell>
        </row>
        <row r="344">
          <cell r="A344" t="str">
            <v>800335</v>
          </cell>
          <cell r="B344" t="str">
            <v>LDC 2</v>
          </cell>
          <cell r="C344" t="str">
            <v>03 - Bare Steel Replacement</v>
          </cell>
          <cell r="D344" t="str">
            <v>yes</v>
          </cell>
          <cell r="F344" t="str">
            <v>F0599</v>
          </cell>
          <cell r="G344" t="str">
            <v>Main Replacement - ISRS (N)</v>
          </cell>
          <cell r="H344" t="str">
            <v>St. Joe's South Grid Phase 2A - MGE</v>
          </cell>
          <cell r="I344" t="str">
            <v>open</v>
          </cell>
          <cell r="J344" t="str">
            <v>Install 1970 Ft of 6 in and 1561 Ft of 2 in PL IP main for St. Joseph Phase 2A. Abandon 20 Ft of 2 in PL, 687 Ft of 4 in PL, 1239 Ft of 2 in ST and 1146 Ft of 4 in ST main.</v>
          </cell>
          <cell r="K344" t="str">
            <v>Uprate ~2896 Ft of 2 in PL MP main and ~487 Ft of 4 in PL LP main on King Hill Ave, Elizabeth St, Mack St, and Carnegie St. 
Total Service Tie-over = 54; Total Service Abandoned = 2; Total Service Replace = 0; Total Service Upgrade = 83. 
This main is being abandoned as part of FY16 Bare Steel Replacement Program</v>
          </cell>
          <cell r="P344" t="str">
            <v>1001-010001  ST. JOSEPH CITY/BUCHANAN</v>
          </cell>
          <cell r="Q344">
            <v>187111.09</v>
          </cell>
          <cell r="R344">
            <v>-1577.73</v>
          </cell>
        </row>
        <row r="345">
          <cell r="A345" t="str">
            <v>008205</v>
          </cell>
          <cell r="B345" t="str">
            <v>LDC 2</v>
          </cell>
          <cell r="D345" t="str">
            <v>yes</v>
          </cell>
          <cell r="E345" t="str">
            <v>21001155243</v>
          </cell>
          <cell r="F345" t="str">
            <v>F0678</v>
          </cell>
          <cell r="G345" t="str">
            <v>Replace bare steel main - safety re</v>
          </cell>
          <cell r="H345" t="str">
            <v>Repl 203ft of 2in PBS with 2in PE</v>
          </cell>
          <cell r="I345" t="str">
            <v>posted to CPR</v>
          </cell>
          <cell r="J345" t="str">
            <v>Repl 203ft of 2in PBS with 2in PE: St Joseph: Replace Bare Steel Main - 3760 Safety Related (34-394)</v>
          </cell>
          <cell r="K345" t="str">
            <v>Approved by: Gary Williams on 04/16/2015,  Replace 203' of 2" PBS with 2" PE due to down project.</v>
          </cell>
          <cell r="L345">
            <v>42312</v>
          </cell>
          <cell r="M345">
            <v>42369</v>
          </cell>
          <cell r="N345">
            <v>42467.490578703699</v>
          </cell>
          <cell r="O345">
            <v>42309</v>
          </cell>
          <cell r="P345" t="str">
            <v>1001-010001  ST. JOSEPH CITY/BUCHANAN</v>
          </cell>
          <cell r="Q345">
            <v>24947.759999999998</v>
          </cell>
          <cell r="R345">
            <v>-298</v>
          </cell>
        </row>
        <row r="346">
          <cell r="A346" t="str">
            <v>800210</v>
          </cell>
          <cell r="B346" t="str">
            <v>LDC 2</v>
          </cell>
          <cell r="D346" t="str">
            <v>no</v>
          </cell>
          <cell r="F346" t="str">
            <v>F0523</v>
          </cell>
          <cell r="G346" t="str">
            <v>New Main Extensions (SW)</v>
          </cell>
          <cell r="H346" t="str">
            <v>Main Ext. Carthage Intermediate Cen</v>
          </cell>
          <cell r="I346" t="str">
            <v>in service</v>
          </cell>
          <cell r="J346" t="str">
            <v>Install 740' of 6" PE to serve Carthage R-9 Intermediate School. Project Location: Fir and Chapel Rd. System: C-1. MOP: 50 PSIG. MAOP: 58 PSIG. Design: 66 PSIG. Test: 100 PSIG. Price Per Foot: $64.66/ft ($47,847.00)</v>
          </cell>
          <cell r="L346">
            <v>42418</v>
          </cell>
          <cell r="O346">
            <v>42461</v>
          </cell>
          <cell r="P346" t="str">
            <v>0601-044025  JASPER CTY/CARTHAGE</v>
          </cell>
          <cell r="Q346">
            <v>126508.02</v>
          </cell>
          <cell r="R346">
            <v>-2714</v>
          </cell>
        </row>
        <row r="347">
          <cell r="A347" t="str">
            <v>005071</v>
          </cell>
          <cell r="B347" t="str">
            <v>LDC 2</v>
          </cell>
          <cell r="D347" t="str">
            <v>no</v>
          </cell>
          <cell r="E347" t="str">
            <v>20601133097</v>
          </cell>
          <cell r="F347" t="str">
            <v>F0677</v>
          </cell>
          <cell r="G347" t="str">
            <v>New business</v>
          </cell>
          <cell r="H347" t="str">
            <v>Caroline Dr Lay 725'-4in PE main ex</v>
          </cell>
          <cell r="I347" t="str">
            <v>posted to CPR</v>
          </cell>
          <cell r="J347" t="str">
            <v>Caroline Dr Lay 725'-4in PE main ext: Carthage: New Main Extension - Contractor Crews  3760 (33-380)</v>
          </cell>
          <cell r="K347" t="str">
            <v>Approved by: Galen Shoemaker on 04/15/2014,  Install 725' of 4" PE main for new subdivision.  Customer will contribute $19,030 towards this work order as well as work order 13-2350.  Project Location: Rebekah St S of Wendy Ln and Caroline Dr W of Rebekah St.  System: C-4.  MOP: 10 PSIG.  MAOP: 10.5 PSIG.  Design: 58 PSIG.  Test: 100 PSIG.  Price Per Foot:  $27.02.</v>
          </cell>
          <cell r="L347">
            <v>41810</v>
          </cell>
          <cell r="M347">
            <v>42216</v>
          </cell>
          <cell r="N347">
            <v>42256.640277777798</v>
          </cell>
          <cell r="O347">
            <v>41913</v>
          </cell>
          <cell r="P347" t="str">
            <v>0601-044025  JASPER CTY/CARTHAGE</v>
          </cell>
          <cell r="Q347">
            <v>14840.25</v>
          </cell>
          <cell r="R347">
            <v>-1709</v>
          </cell>
        </row>
        <row r="348">
          <cell r="A348" t="str">
            <v>006115</v>
          </cell>
          <cell r="B348" t="str">
            <v>LDC 2</v>
          </cell>
          <cell r="D348" t="str">
            <v>no</v>
          </cell>
          <cell r="E348" t="str">
            <v>21258143736</v>
          </cell>
          <cell r="F348" t="str">
            <v>F0660</v>
          </cell>
          <cell r="G348" t="str">
            <v>Meter &amp; Reg Settings 2" &amp; Lg (N)</v>
          </cell>
          <cell r="H348" t="str">
            <v>Horizon Spec IV 5M Mtr Set</v>
          </cell>
          <cell r="I348" t="str">
            <v>posted to CPR</v>
          </cell>
          <cell r="J348" t="str">
            <v>Horizon Spec IV: Riverside: New Meter &amp; Reg Settings - 2in &amp; Larger 3820/3830 (33-382)</v>
          </cell>
          <cell r="K348" t="str">
            <v>Approved by: Rob Kitterman on 08/25/2014,  This work is necessary to install a 5M Roots meter to serve one new commercial customer. We'll set a 2in CL-34-2 regulator at 2psig and a 1in 289H relief set at 3psig for a connected load of 5000cfh.</v>
          </cell>
          <cell r="L348">
            <v>41866</v>
          </cell>
          <cell r="M348">
            <v>41913</v>
          </cell>
          <cell r="N348">
            <v>41950</v>
          </cell>
          <cell r="O348">
            <v>41944</v>
          </cell>
          <cell r="P348" t="str">
            <v>1258-075017  PLATTE CTY/RIVERSIDE</v>
          </cell>
          <cell r="Q348">
            <v>1092.06</v>
          </cell>
          <cell r="R348">
            <v>-36</v>
          </cell>
        </row>
        <row r="349">
          <cell r="A349" t="str">
            <v>004239</v>
          </cell>
          <cell r="B349" t="str">
            <v>LDC 2</v>
          </cell>
          <cell r="D349" t="str">
            <v>no</v>
          </cell>
          <cell r="E349" t="str">
            <v>21002132751</v>
          </cell>
          <cell r="F349" t="str">
            <v>F0647</v>
          </cell>
          <cell r="G349" t="str">
            <v>New Main Extensions (N)</v>
          </cell>
          <cell r="H349" t="str">
            <v>301 E Main Lay 300'-2in PE main ext</v>
          </cell>
          <cell r="I349" t="str">
            <v>posted to CPR</v>
          </cell>
          <cell r="J349" t="str">
            <v>301 E Main Lay 300'-2in PE main ext: Savannah: 301 E MAIN ST DOLLAR GENERAL</v>
          </cell>
          <cell r="K349" t="str">
            <v>Approved by: Gary Williams on 06/21/2013,  Laying 300ft-2in pe main extension to service 1 commercial building. Tie-in 4in pcs main. Load (600cfh). Maop &amp; Mop 16psig. Pressure System S S-1. Customer will need to contribute before start of project $5,358.69. Cost per foot $17.87.</v>
          </cell>
          <cell r="L349">
            <v>41471</v>
          </cell>
          <cell r="M349">
            <v>41564</v>
          </cell>
          <cell r="N349">
            <v>41564.624768518501</v>
          </cell>
          <cell r="P349" t="str">
            <v>1002-002001  ANDREW CTY/SAVANNAH</v>
          </cell>
          <cell r="Q349">
            <v>0</v>
          </cell>
          <cell r="R349">
            <v>940</v>
          </cell>
        </row>
        <row r="350">
          <cell r="A350" t="str">
            <v>800920</v>
          </cell>
          <cell r="B350" t="str">
            <v>LDC 2</v>
          </cell>
          <cell r="D350" t="str">
            <v>no</v>
          </cell>
          <cell r="F350" t="str">
            <v>F0547</v>
          </cell>
          <cell r="G350" t="str">
            <v>Street &amp; Highway Relocates ISRS (N)</v>
          </cell>
          <cell r="H350" t="str">
            <v>Reloc 1560F 4P Forest @ Hwy 291 CJ</v>
          </cell>
          <cell r="I350" t="str">
            <v>cancelled</v>
          </cell>
          <cell r="J350" t="str">
            <v>#800920 canceled and replaced by #801066.  Install ~1560 ft of 4 in PL IP main along Forest Ave, north of Highway 291. Reimbursable - see attached contract.</v>
          </cell>
          <cell r="K350" t="str">
            <v>#800920 canceled and replaced by #801066.  Retire ~1503 ft of 4 in ST IP main at above location.  Total Service Tie-over = 3.  This relocation is being done due to private development.</v>
          </cell>
          <cell r="N350">
            <v>42692.598078703697</v>
          </cell>
          <cell r="P350" t="str">
            <v>1207-020001  CLAY CTY/LIBERTY</v>
          </cell>
          <cell r="Q350">
            <v>0</v>
          </cell>
          <cell r="R350">
            <v>1503</v>
          </cell>
        </row>
        <row r="351">
          <cell r="A351" t="str">
            <v>008399</v>
          </cell>
          <cell r="B351" t="str">
            <v>LDC 2</v>
          </cell>
          <cell r="D351" t="str">
            <v>yes</v>
          </cell>
          <cell r="E351" t="str">
            <v>21207155346</v>
          </cell>
          <cell r="F351" t="str">
            <v>F0613</v>
          </cell>
          <cell r="G351" t="str">
            <v>Replace bare steel main - safety re</v>
          </cell>
          <cell r="H351" t="str">
            <v>4in PBS Replacement -3rd pty damage</v>
          </cell>
          <cell r="I351" t="str">
            <v>posted to CPR</v>
          </cell>
          <cell r="J351" t="str">
            <v>4in PBS Replacement: Liberty: Replace Bare Steel Main - 3760 Safety Related (34-394)</v>
          </cell>
          <cell r="K351" t="str">
            <v>Approved by: Gary Williams on 05/11/2015,  Replaced 16' of 4'' PBS with PE due to third party damage. Pressure system C-001.</v>
          </cell>
          <cell r="L351">
            <v>41920</v>
          </cell>
          <cell r="M351">
            <v>42248</v>
          </cell>
          <cell r="N351">
            <v>42284.723622685196</v>
          </cell>
          <cell r="O351">
            <v>42125</v>
          </cell>
          <cell r="P351" t="str">
            <v>1207-020001  CLAY CTY/LIBERTY</v>
          </cell>
          <cell r="Q351">
            <v>4771.6400000000003</v>
          </cell>
          <cell r="R351">
            <v>66</v>
          </cell>
        </row>
        <row r="352">
          <cell r="A352" t="str">
            <v>006111</v>
          </cell>
          <cell r="B352" t="str">
            <v>LDC 2</v>
          </cell>
          <cell r="D352" t="str">
            <v>yes</v>
          </cell>
          <cell r="E352" t="str">
            <v>21207143744</v>
          </cell>
          <cell r="F352" t="str">
            <v>F0621</v>
          </cell>
          <cell r="G352" t="str">
            <v>Rectifier Initial Installation</v>
          </cell>
          <cell r="H352" t="str">
            <v>Northwyck Park Rectifier and Ground</v>
          </cell>
          <cell r="I352" t="str">
            <v>posted to CPR</v>
          </cell>
          <cell r="J352" t="str">
            <v>Northwyck Park Rectifier and Ground Bed: Liberty: Install Rectifier/Groundbed - First Time Installation  3760 (46-392)Central</v>
          </cell>
          <cell r="K352" t="str">
            <v>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v>
          </cell>
          <cell r="L352">
            <v>41985</v>
          </cell>
          <cell r="M352">
            <v>42217</v>
          </cell>
          <cell r="N352">
            <v>42256.536111111098</v>
          </cell>
          <cell r="O352">
            <v>41974</v>
          </cell>
          <cell r="P352" t="str">
            <v>1207-020001  CLAY CTY/LIBERTY</v>
          </cell>
          <cell r="Q352">
            <v>27958.05</v>
          </cell>
          <cell r="R352">
            <v>2093.67</v>
          </cell>
        </row>
        <row r="353">
          <cell r="A353" t="str">
            <v>800927</v>
          </cell>
          <cell r="B353" t="str">
            <v>LDC 2</v>
          </cell>
          <cell r="D353" t="str">
            <v>no</v>
          </cell>
          <cell r="F353" t="str">
            <v>F0647</v>
          </cell>
          <cell r="G353" t="str">
            <v>New Main Extensions (N)</v>
          </cell>
          <cell r="H353" t="str">
            <v>Install 1570F 2P Westwood Plat 4</v>
          </cell>
          <cell r="I353" t="str">
            <v>open</v>
          </cell>
          <cell r="J353" t="str">
            <v>Install approximately 1570ft of 2in IP PL to serve new residential customers.</v>
          </cell>
          <cell r="K353" t="str">
            <v>35 Lot Residential Single Family Detached Subdivision.</v>
          </cell>
          <cell r="P353" t="str">
            <v>1215-020023  CLAY CTY/KEARNEY</v>
          </cell>
          <cell r="Q353">
            <v>3531.14</v>
          </cell>
          <cell r="R353">
            <v>-3987.5</v>
          </cell>
        </row>
        <row r="354">
          <cell r="A354" t="str">
            <v>004236</v>
          </cell>
          <cell r="B354" t="str">
            <v>LDC 2</v>
          </cell>
          <cell r="D354" t="str">
            <v>no</v>
          </cell>
          <cell r="E354" t="str">
            <v>20927133167</v>
          </cell>
          <cell r="F354" t="str">
            <v>F0507</v>
          </cell>
          <cell r="G354" t="str">
            <v>Rebuild Meter Install 2'' &amp; Lg (S)</v>
          </cell>
          <cell r="H354" t="str">
            <v>Trail Boss Conversion, Inc. 2M mtr</v>
          </cell>
          <cell r="I354" t="str">
            <v>posted to CPR</v>
          </cell>
          <cell r="J354" t="str">
            <v>Trail Boss Conversion, Inc. 2M mtr set: Bates City: 306 E US Hwy 40 B</v>
          </cell>
          <cell r="K354" t="str">
            <v>Approved by: Ralph Janes on 11/18/2013,  Trail Boss Conversion, Inc. is more than doubling their gas load. The existing 1/2" PE service line (premise 600042004) and 2M rotary meter set (meter# 00429077) will not be sufficient for the new load of  7,649 CFH. On a BWO, replace existing 190' of 1/2" PE service line with 190' of 1-1/4" PE service line, a 2" x 1-1/4" PE reducer, 2" flanged riser w/ 2" bypass, 2" flanged balon ball valve, and a 2" stop cock 175 GTO w/ a 2" plug square head-cored. Also install Fisher 627R first cut regulator w/ 3/8" orifice set at 30 psig at the property line. We will need a 1" Fisher 289H for external relief protection on the first cut regulator. Also, Rebuild and replace existing 2M rotary meter set (meter wo# 04-7571: regulator wo# 07-2391) with 5M Rotary Meter set on WO# 13-3167. Trail Boss Conversion will still require 10 psig of delivery pressure.</v>
          </cell>
          <cell r="L354">
            <v>41596</v>
          </cell>
          <cell r="M354">
            <v>42491</v>
          </cell>
          <cell r="N354">
            <v>42527.354398148098</v>
          </cell>
          <cell r="O354">
            <v>42186</v>
          </cell>
          <cell r="P354" t="str">
            <v>0927-049013  LAFAYETTE CTY/BATES CITY</v>
          </cell>
          <cell r="Q354">
            <v>1803.74</v>
          </cell>
          <cell r="R354">
            <v>-43.5</v>
          </cell>
        </row>
        <row r="355">
          <cell r="A355" t="str">
            <v>003908</v>
          </cell>
          <cell r="B355" t="str">
            <v>LDC 2</v>
          </cell>
          <cell r="D355" t="str">
            <v>no</v>
          </cell>
          <cell r="E355" t="str">
            <v>21904143401</v>
          </cell>
          <cell r="F355" t="str">
            <v>F0529</v>
          </cell>
          <cell r="G355" t="str">
            <v>Meter Purchases - MGE</v>
          </cell>
          <cell r="H355" t="str">
            <v>Pur 2000 I-250 Spg Mtr / Ert Septem</v>
          </cell>
          <cell r="I355" t="str">
            <v>posted to CPR</v>
          </cell>
          <cell r="J355" t="str">
            <v>Pur 2000 I-250 Spg Mtr / Ert September 2014: Kansas City CORP: Central Plant Meter Shop</v>
          </cell>
          <cell r="K355" t="str">
            <v>Approved by: Steve Lindsey on 03/18/2014,  Purchase 2000 I-250 Non TC Sprague/Itron Meter 0940605 with Sprague Ert attached 5198320 for stock and Time Limit Program.</v>
          </cell>
          <cell r="L355">
            <v>41912</v>
          </cell>
          <cell r="M355">
            <v>41944</v>
          </cell>
          <cell r="N355">
            <v>41978.592569444401</v>
          </cell>
          <cell r="O355">
            <v>41883</v>
          </cell>
          <cell r="P355" t="str">
            <v>1904-043050  JACKSON CTY/KC</v>
          </cell>
          <cell r="Q355">
            <v>185133.06</v>
          </cell>
          <cell r="R355">
            <v>2000</v>
          </cell>
        </row>
        <row r="356">
          <cell r="A356" t="str">
            <v>008194</v>
          </cell>
          <cell r="B356" t="str">
            <v>LDC 2</v>
          </cell>
          <cell r="D356" t="str">
            <v>no</v>
          </cell>
          <cell r="E356" t="str">
            <v>21271155197</v>
          </cell>
          <cell r="F356" t="str">
            <v>F0609</v>
          </cell>
          <cell r="G356" t="str">
            <v>New service installations - contrac</v>
          </cell>
          <cell r="H356" t="str">
            <v>Northview Meadows 3rd Plat Main Ext</v>
          </cell>
          <cell r="I356" t="str">
            <v>posted to CPR</v>
          </cell>
          <cell r="J356" t="str">
            <v>Northview Meadows 3rd Plat: Kansas City-Clay Co: New Main Extension - Contractor Crews  3760 (33-380)</v>
          </cell>
          <cell r="K356" t="str">
            <v>Approved by: Gary Williams on 03/23/2015,  Northview Meadows 3rd Plat. Install 1073' of 2'' PE to serve 20 new residential customers lots 86 - 105. 10' Easement throughout the project. System S-685. customer to contribute $9,120.50 before start of project.</v>
          </cell>
          <cell r="L356">
            <v>42219</v>
          </cell>
          <cell r="M356">
            <v>42309</v>
          </cell>
          <cell r="N356">
            <v>42436.430578703701</v>
          </cell>
          <cell r="O356">
            <v>42217</v>
          </cell>
          <cell r="P356" t="str">
            <v>1271-020036  CLAY CTY/KANSAS CITY</v>
          </cell>
          <cell r="Q356">
            <v>13771.37</v>
          </cell>
          <cell r="R356">
            <v>-2343</v>
          </cell>
        </row>
        <row r="357">
          <cell r="A357" t="str">
            <v>007179</v>
          </cell>
          <cell r="B357" t="str">
            <v>LDC 2</v>
          </cell>
          <cell r="D357" t="str">
            <v>no</v>
          </cell>
          <cell r="E357" t="str">
            <v>21271143988</v>
          </cell>
          <cell r="F357" t="str">
            <v>F0610</v>
          </cell>
          <cell r="G357" t="str">
            <v>New business</v>
          </cell>
          <cell r="H357" t="str">
            <v>Industrial Drive Main Extension</v>
          </cell>
          <cell r="I357" t="str">
            <v>posted to CPR</v>
          </cell>
          <cell r="J357" t="str">
            <v>Industrial Drive Main Extension: Kansas City-Clay Co: New Main Extension - Contractor Crews  3760 (33-380)</v>
          </cell>
          <cell r="K357" t="str">
            <v>Approved by: Kevin Driskell on 12/10/2014,  Extend 2'' PE main (965') in order to serve a warehouse building. Economic evaluation covers the cost of the project.</v>
          </cell>
          <cell r="L357">
            <v>42020</v>
          </cell>
          <cell r="M357">
            <v>42063</v>
          </cell>
          <cell r="N357">
            <v>42160.554097222201</v>
          </cell>
          <cell r="O357">
            <v>42036</v>
          </cell>
          <cell r="P357" t="str">
            <v>1271-020036  CLAY CTY/KANSAS CITY</v>
          </cell>
          <cell r="Q357">
            <v>14261.94</v>
          </cell>
          <cell r="R357">
            <v>-2020</v>
          </cell>
        </row>
        <row r="358">
          <cell r="A358" t="str">
            <v>003923</v>
          </cell>
          <cell r="B358" t="str">
            <v>LDC 2</v>
          </cell>
          <cell r="D358" t="str">
            <v>no</v>
          </cell>
          <cell r="E358" t="str">
            <v>21271133046</v>
          </cell>
          <cell r="F358" t="str">
            <v>F0660</v>
          </cell>
          <cell r="G358" t="str">
            <v>Meter &amp; Reg Settings 2" &amp; Lg (N)</v>
          </cell>
          <cell r="H358" t="str">
            <v>Cheddars Casual Cafe 3M mtr set</v>
          </cell>
          <cell r="I358" t="str">
            <v>posted to CPR</v>
          </cell>
          <cell r="J358" t="str">
            <v>Cheddars Casual Cafe 3M mtr set: Kansas City-Clay Co: 8380 N Booth</v>
          </cell>
          <cell r="K358" t="str">
            <v>Approved by: Mike Fornelli on 10/07/2013,  This work is necessary to install a 3M Roots meter to serve one new commercial customer. We'll set a 2in CL-34-1 regulator at 2psig with a 1in 289H relief set at 3psig for a connected load of 3252cfh.</v>
          </cell>
          <cell r="L358">
            <v>41605</v>
          </cell>
          <cell r="M358">
            <v>41670</v>
          </cell>
          <cell r="N358">
            <v>41677.5097916667</v>
          </cell>
          <cell r="P358" t="str">
            <v>1271-020036  CLAY CTY/KANSAS CITY</v>
          </cell>
          <cell r="Q358">
            <v>4203.72</v>
          </cell>
          <cell r="R358">
            <v>18</v>
          </cell>
        </row>
        <row r="359">
          <cell r="A359" t="str">
            <v>004353</v>
          </cell>
          <cell r="B359" t="str">
            <v>LDC 2</v>
          </cell>
          <cell r="D359" t="str">
            <v>no</v>
          </cell>
          <cell r="E359" t="str">
            <v>21271132936</v>
          </cell>
          <cell r="F359" t="str">
            <v>F0610</v>
          </cell>
          <cell r="G359" t="str">
            <v>New business</v>
          </cell>
          <cell r="H359" t="str">
            <v>NE 103rd Ter Lay 145'-2in PE main e</v>
          </cell>
          <cell r="I359" t="str">
            <v>posted to CPR</v>
          </cell>
          <cell r="J359" t="str">
            <v>NE 103rd Ter Lay 145'-2in PE main ext: Kansas City-Clay Co: NE 103RD TER &amp; N MARSH AVE Benson PL</v>
          </cell>
          <cell r="K359" t="str">
            <v>Approved by: Kevin Driskell on 09/05/2013,  LAY 145'-2in PE TO SERVE 3 LOTS IN SUBDIVISION. LOTS 134,133 &amp; 132. NO STANDIN HOMES WHEN W.O.#12-1309 WAS LAID; HENCE NO SERVICES TO THESE 3 LOTS.  (BENSON PLACE FIELDSTONE-3 w.o.#12-1309)  ALLOWED 75' PER LOT; HENCE NO CHARGE TO CUSTOMER.  COST PER FOOT=$33.95</v>
          </cell>
          <cell r="L359">
            <v>41496</v>
          </cell>
          <cell r="M359">
            <v>41638</v>
          </cell>
          <cell r="N359">
            <v>41676.633391203701</v>
          </cell>
          <cell r="O359">
            <v>41730</v>
          </cell>
          <cell r="P359" t="str">
            <v>1271-020036  CLAY CTY/KANSAS CITY</v>
          </cell>
          <cell r="Q359">
            <v>1272.1600000000001</v>
          </cell>
          <cell r="R359">
            <v>450</v>
          </cell>
        </row>
        <row r="360">
          <cell r="A360" t="str">
            <v>005113</v>
          </cell>
          <cell r="B360" t="str">
            <v>LDC 2</v>
          </cell>
          <cell r="D360" t="str">
            <v>yes</v>
          </cell>
          <cell r="E360" t="str">
            <v>21001143463</v>
          </cell>
          <cell r="F360" t="str">
            <v>F0504</v>
          </cell>
          <cell r="G360" t="str">
            <v>Replace bare steel main - safety re</v>
          </cell>
          <cell r="H360" t="str">
            <v>14th &amp; Scaramento Repl PBS w 150'-4</v>
          </cell>
          <cell r="I360" t="str">
            <v>posted to CPR</v>
          </cell>
          <cell r="J360" t="str">
            <v>14th &amp; Scaramento Repl PBS w 150'-4in PE main: St Joseph: Replace Bare Steel Main - 3760 Safety Related (34-394)</v>
          </cell>
          <cell r="K360" t="str">
            <v>Approved by: Gary Williams on 04/28/2014,  To lay 150' of 4"PE main to replace 150' of 4" bare steel main due to down project. System: C-O1: MOP :14oz MAOP : .88oz Design MAOP : .88oz Pressure Test: 100 PSIG.</v>
          </cell>
          <cell r="L360">
            <v>41794</v>
          </cell>
          <cell r="M360">
            <v>41882</v>
          </cell>
          <cell r="N360">
            <v>41918.7640046296</v>
          </cell>
          <cell r="O360">
            <v>41791</v>
          </cell>
          <cell r="P360" t="str">
            <v>1001-010001  ST. JOSEPH CITY/BUCHANAN</v>
          </cell>
          <cell r="Q360">
            <v>2205.2800000000002</v>
          </cell>
          <cell r="R360">
            <v>65</v>
          </cell>
        </row>
        <row r="361">
          <cell r="A361" t="str">
            <v>800426</v>
          </cell>
          <cell r="B361" t="str">
            <v>LDC 2</v>
          </cell>
          <cell r="D361" t="str">
            <v>no</v>
          </cell>
          <cell r="F361" t="str">
            <v>F0647</v>
          </cell>
          <cell r="G361" t="str">
            <v>New Main Extensions (N)</v>
          </cell>
          <cell r="H361" t="str">
            <v>LIBERTY COMMONS-MAIN EXTENSION</v>
          </cell>
          <cell r="I361" t="str">
            <v>in service</v>
          </cell>
          <cell r="J361" t="str">
            <v> Install 269 ft of 4 in IP PE main and 1772 ft of 6 in IP PE main for new customers.</v>
          </cell>
          <cell r="L361">
            <v>42572</v>
          </cell>
          <cell r="O361">
            <v>42583</v>
          </cell>
          <cell r="P361" t="str">
            <v>1207-020001  CLAY CTY/LIBERTY</v>
          </cell>
          <cell r="Q361">
            <v>48696.44</v>
          </cell>
          <cell r="R361">
            <v>-2703</v>
          </cell>
        </row>
        <row r="362">
          <cell r="A362" t="str">
            <v>012955</v>
          </cell>
          <cell r="B362" t="str">
            <v>LDC 2</v>
          </cell>
          <cell r="D362" t="str">
            <v>no</v>
          </cell>
          <cell r="F362" t="str">
            <v>F0639</v>
          </cell>
          <cell r="G362" t="str">
            <v>EGM Equip-1st Time Installation</v>
          </cell>
          <cell r="H362" t="str">
            <v>Purch 200 Honeywell EC350 CloudLink</v>
          </cell>
          <cell r="I362" t="str">
            <v>open</v>
          </cell>
          <cell r="J362" t="str">
            <v>Purchase 200 Honeywell EC350 Correctors with CloudLink modem for MGE.  These instruments are to replace the CNI2 devices and old EC-AT correctors.</v>
          </cell>
          <cell r="P362" t="str">
            <v>0401-043050  JACKSON CTY/KC</v>
          </cell>
          <cell r="Q362">
            <v>62179.05</v>
          </cell>
          <cell r="R362">
            <v>25</v>
          </cell>
        </row>
        <row r="363">
          <cell r="A363" t="str">
            <v>012120</v>
          </cell>
          <cell r="B363" t="str">
            <v>LDC 2</v>
          </cell>
          <cell r="D363" t="str">
            <v>no</v>
          </cell>
          <cell r="F363" t="str">
            <v>F0670</v>
          </cell>
          <cell r="G363" t="str">
            <v>Tools, Instruments &amp; Equipment (N)</v>
          </cell>
          <cell r="H363" t="str">
            <v>Purch Misc Tools &amp; Eqpt MGE</v>
          </cell>
          <cell r="I363" t="str">
            <v>in service</v>
          </cell>
          <cell r="J363" t="str">
            <v>Purchase capital tools &amp; eqpt for MGE including 3 Sensit G2 detectors, 2 Fusion Machines and 2 squeeze off tools.</v>
          </cell>
          <cell r="K363" t="str">
            <v>Note: this is capital equipment that was charged to non-capital work orders in error and will be transferred.  Req Nos 97742, 98141 and 97881, 100689, 102003</v>
          </cell>
          <cell r="L363">
            <v>42644</v>
          </cell>
          <cell r="O363">
            <v>42705</v>
          </cell>
          <cell r="P363" t="str">
            <v>0401-043050  JACKSON CTY/KC</v>
          </cell>
          <cell r="Q363">
            <v>14396.47</v>
          </cell>
          <cell r="R363">
            <v>16</v>
          </cell>
        </row>
        <row r="364">
          <cell r="A364" t="str">
            <v>011115</v>
          </cell>
          <cell r="B364" t="str">
            <v>LDC 2</v>
          </cell>
          <cell r="D364" t="str">
            <v>no</v>
          </cell>
          <cell r="F364" t="str">
            <v>F0670</v>
          </cell>
          <cell r="G364" t="str">
            <v>Tools, Instruments &amp; Equipment (N)</v>
          </cell>
          <cell r="H364" t="str">
            <v>Grundomat 3.00" Basic Package</v>
          </cell>
          <cell r="I364" t="str">
            <v>posted to CPR</v>
          </cell>
          <cell r="J364" t="str">
            <v>Grundomat 3" Basic Package</v>
          </cell>
          <cell r="L364">
            <v>42522</v>
          </cell>
          <cell r="M364">
            <v>42522</v>
          </cell>
          <cell r="N364">
            <v>42557.553043981497</v>
          </cell>
          <cell r="O364">
            <v>42522</v>
          </cell>
          <cell r="P364" t="str">
            <v>0401-043050  JACKSON CTY/KC</v>
          </cell>
          <cell r="Q364">
            <v>4886.67</v>
          </cell>
          <cell r="R364">
            <v>1</v>
          </cell>
        </row>
        <row r="365">
          <cell r="A365" t="str">
            <v>800153</v>
          </cell>
          <cell r="B365" t="str">
            <v>LDC 2</v>
          </cell>
          <cell r="C365" t="str">
            <v>01 - Cast Iron Strategic Replacement</v>
          </cell>
          <cell r="D365" t="str">
            <v>yes</v>
          </cell>
          <cell r="F365" t="str">
            <v>F0599</v>
          </cell>
          <cell r="G365" t="str">
            <v>Main Replacement - ISRS (N)</v>
          </cell>
          <cell r="H365" t="str">
            <v>N Budd Park CI Grid Repl Phase 1B</v>
          </cell>
          <cell r="I365" t="str">
            <v>open</v>
          </cell>
          <cell r="J365" t="str">
            <v>Inst 1758Ft 4in PL IP main and 3615Ft  2in PL IP main on Gladstone Blvd, Chelsea Ave, Quincy Ave, and Hardesty Ave. Abandon 1135Ft 3in PBS LP main, 343Ft 4in PBS LP main, 2752Ft 4in CI LP main, and 1160Ft of 6in CI LP main at above locations.</v>
          </cell>
          <cell r="K365" t="str">
            <v>Total Service Tie-over = 131; Total Service Abandoned = 7; Total Service Replace = 18; Total Service Upgrade = 0.  This main is being replaced as part of FY16 Cast Iron Replacement Program.</v>
          </cell>
          <cell r="P365" t="str">
            <v>0401-043050  JACKSON CTY/KC</v>
          </cell>
          <cell r="Q365">
            <v>264468.34000000003</v>
          </cell>
          <cell r="R365">
            <v>-5654.5</v>
          </cell>
        </row>
        <row r="366">
          <cell r="A366" t="str">
            <v>009251</v>
          </cell>
          <cell r="B366" t="str">
            <v>LDC 2</v>
          </cell>
          <cell r="D366" t="str">
            <v>yes</v>
          </cell>
          <cell r="E366" t="str">
            <v>20401155484</v>
          </cell>
          <cell r="F366" t="str">
            <v>F0599</v>
          </cell>
          <cell r="G366" t="str">
            <v>Main Replacement - ISRS (N)</v>
          </cell>
          <cell r="H366" t="str">
            <v>AOR - 6in CI Replacement</v>
          </cell>
          <cell r="I366" t="str">
            <v>completed</v>
          </cell>
          <cell r="J366" t="str">
            <v>AOR - 6in CI Replacement: Kansas City-Jackson: Replace Cast Iron Main - 3760 Safety Related (34-412)</v>
          </cell>
          <cell r="K366" t="str">
            <v>Approved by: Gary Williams on 08/26/2015,  AOR - due 10/01/2015 - Replace 70' of 6'' CI and 37' of 6'' PBS with 4'' PE. Pressure system C-001.  No main installed or retired - found replaced already - steel (not cast iron) here. - per completion reports - AMM</v>
          </cell>
          <cell r="L366">
            <v>42276</v>
          </cell>
          <cell r="M366">
            <v>42309</v>
          </cell>
          <cell r="O366">
            <v>42278</v>
          </cell>
          <cell r="P366" t="str">
            <v>0401-043050  JACKSON CTY/KC</v>
          </cell>
          <cell r="Q366">
            <v>-660.07</v>
          </cell>
          <cell r="R366">
            <v>67</v>
          </cell>
        </row>
        <row r="367">
          <cell r="A367" t="str">
            <v>008547</v>
          </cell>
          <cell r="B367" t="str">
            <v>LDC 2</v>
          </cell>
          <cell r="D367" t="str">
            <v>yes</v>
          </cell>
          <cell r="E367" t="str">
            <v>20401155229</v>
          </cell>
          <cell r="F367" t="str">
            <v>F0501</v>
          </cell>
          <cell r="G367" t="str">
            <v>Station rebuild &amp; replacement</v>
          </cell>
          <cell r="H367" t="str">
            <v>Retire DRS 86</v>
          </cell>
          <cell r="I367" t="str">
            <v>posted to CPR</v>
          </cell>
          <cell r="J367" t="str">
            <v>Retire DRS 86: Kansas City-Jackson: Rebuild District/TB Stations  3780/3790 (45-387)</v>
          </cell>
          <cell r="K367" t="str">
            <v>Approved by: Ray Wilson on 05/19/2015,  Retire 2 -4'' Axial Flow regulators. DR 86 will no longer be needed due to cast iron main replacement project.</v>
          </cell>
          <cell r="L367">
            <v>42298</v>
          </cell>
          <cell r="M367">
            <v>42614</v>
          </cell>
          <cell r="N367">
            <v>42649.699895833299</v>
          </cell>
          <cell r="O367">
            <v>42614</v>
          </cell>
          <cell r="P367" t="str">
            <v>0401-043050  JACKSON CTY/KC</v>
          </cell>
          <cell r="Q367">
            <v>7741.14</v>
          </cell>
          <cell r="R367">
            <v>9</v>
          </cell>
        </row>
        <row r="368">
          <cell r="A368" t="str">
            <v>008541</v>
          </cell>
          <cell r="B368" t="str">
            <v>LDC 2</v>
          </cell>
          <cell r="D368" t="str">
            <v>yes</v>
          </cell>
          <cell r="E368" t="str">
            <v>20401155320</v>
          </cell>
          <cell r="F368" t="str">
            <v>F0599</v>
          </cell>
          <cell r="G368" t="str">
            <v>Main Replacement - ISRS (N)</v>
          </cell>
          <cell r="H368" t="str">
            <v>AOR - 6in CI Replacement</v>
          </cell>
          <cell r="I368" t="str">
            <v>posted to CPR</v>
          </cell>
          <cell r="J368" t="str">
            <v>AOR - 6in CI Replacement: Kansas City-Jackson: Replace Cast Iron Main - 3760 Safety Related (34-412)</v>
          </cell>
          <cell r="K368" t="str">
            <v>Approved by: Joe Hampton on 05/20/2015,  Replace 1400' of 6" CI due to AOR. On 01/26/15 and excavation was performed and exposed 120'-125' of CI prompting a need to replace this segment of pipe. In an effort to remove CI from the system additional replacement S of 32nd ST is needed for a tie-in to PE.
Pressure System: C-001 MAOP: 2.2 psig MOP: 1.1 psig   
NOTE: 24" Intermediate Pressure System: C175 KL parallels the proposed replacement segment. Verify crews have located and determined the proper line.</v>
          </cell>
          <cell r="L368">
            <v>42214</v>
          </cell>
          <cell r="M368">
            <v>42309</v>
          </cell>
          <cell r="N368">
            <v>42436.430682870399</v>
          </cell>
          <cell r="O368">
            <v>42186</v>
          </cell>
          <cell r="P368" t="str">
            <v>0401-043050  JACKSON CTY/KC</v>
          </cell>
          <cell r="Q368">
            <v>82581.06</v>
          </cell>
          <cell r="R368">
            <v>-838</v>
          </cell>
        </row>
        <row r="369">
          <cell r="A369" t="str">
            <v>008393</v>
          </cell>
          <cell r="B369" t="str">
            <v>LDC 2</v>
          </cell>
          <cell r="D369" t="str">
            <v>yes</v>
          </cell>
          <cell r="E369" t="str">
            <v>20401155343</v>
          </cell>
          <cell r="F369" t="str">
            <v>F0665</v>
          </cell>
          <cell r="G369" t="str">
            <v>Replace steel &amp; plastic main</v>
          </cell>
          <cell r="H369" t="str">
            <v>3in PCS Replacement</v>
          </cell>
          <cell r="I369" t="str">
            <v>posted to CPR</v>
          </cell>
          <cell r="J369" t="str">
            <v>3in PCS Replacement: Kansas City-Jackson: Replace Coated Steel &amp; Plastic Main - 3760 (34-396)</v>
          </cell>
          <cell r="K369" t="str">
            <v>Approved by: Gary Williams on 05/11/2015,  Replaced 5' of 3'' PCS and removed a valve due to leak. Installed 5' of 3'' PCS. Pressure system C-026. Valve not replaced.</v>
          </cell>
          <cell r="L369">
            <v>42145</v>
          </cell>
          <cell r="M369">
            <v>42248</v>
          </cell>
          <cell r="N369">
            <v>42284.723599536999</v>
          </cell>
          <cell r="O369">
            <v>42217</v>
          </cell>
          <cell r="P369" t="str">
            <v>0401-043050  JACKSON CTY/KC</v>
          </cell>
          <cell r="Q369">
            <v>2112.13</v>
          </cell>
          <cell r="R369">
            <v>9</v>
          </cell>
        </row>
        <row r="370">
          <cell r="A370" t="str">
            <v>008391</v>
          </cell>
          <cell r="B370" t="str">
            <v>LDC 2</v>
          </cell>
          <cell r="D370" t="str">
            <v>yes</v>
          </cell>
          <cell r="E370" t="str">
            <v>20401155340</v>
          </cell>
          <cell r="F370" t="str">
            <v>F0665</v>
          </cell>
          <cell r="G370" t="str">
            <v>Replace steel &amp; plastic main</v>
          </cell>
          <cell r="H370" t="str">
            <v>2in PCS Replacement</v>
          </cell>
          <cell r="I370" t="str">
            <v>posted to CPR</v>
          </cell>
          <cell r="J370" t="str">
            <v>2in PCS Replacement: Kansas City-Jackson: Replace Coated Steel &amp; Plastic Main - 3760 (34-396)</v>
          </cell>
          <cell r="K370" t="str">
            <v>Approved by: Gary Williams on 05/11/2015,  Replace 4' of 2'' PCS with 8' of 2'' PCS due to leak. Pressure system C-200KCLS.</v>
          </cell>
          <cell r="L370">
            <v>41935</v>
          </cell>
          <cell r="M370">
            <v>42248</v>
          </cell>
          <cell r="N370">
            <v>42284.723587963003</v>
          </cell>
          <cell r="O370">
            <v>42125</v>
          </cell>
          <cell r="P370" t="str">
            <v>0401-043050  JACKSON CTY/KC</v>
          </cell>
          <cell r="Q370">
            <v>2496.38</v>
          </cell>
          <cell r="R370">
            <v>16</v>
          </cell>
        </row>
        <row r="371">
          <cell r="A371" t="str">
            <v>007826</v>
          </cell>
          <cell r="B371" t="str">
            <v>LDC 2</v>
          </cell>
          <cell r="D371" t="str">
            <v>yes</v>
          </cell>
          <cell r="E371" t="str">
            <v>20401155219</v>
          </cell>
          <cell r="F371" t="str">
            <v>F0599</v>
          </cell>
          <cell r="G371" t="str">
            <v>Main Replacement - ISRS (N)</v>
          </cell>
          <cell r="H371" t="str">
            <v>AOR - 8in CI Replacement</v>
          </cell>
          <cell r="I371" t="str">
            <v>posted to CPR</v>
          </cell>
          <cell r="J371" t="str">
            <v>AOR - 8in CI Replacement: Kansas City-Jackson: Replace Cast Iron Main - 3760 Safety Related (34-412)</v>
          </cell>
          <cell r="K371" t="str">
            <v>Approved by: Ray Wilson on 03/12/2015,  Replace 50' of 8'' CI in AOR with 6'' PE (main is located in parkway). Due 06/09/2015. Pressure system C-001. Tie in points to existing CI should be 55' NNC of 58th and 100' NNC of 58th. Loop feed with no services in the CI being replaced.</v>
          </cell>
          <cell r="L371">
            <v>42108</v>
          </cell>
          <cell r="M371">
            <v>42217</v>
          </cell>
          <cell r="N371">
            <v>42284.723391203697</v>
          </cell>
          <cell r="O371">
            <v>42095</v>
          </cell>
          <cell r="P371" t="str">
            <v>0401-043050  JACKSON CTY/KC</v>
          </cell>
          <cell r="Q371">
            <v>25878.74</v>
          </cell>
          <cell r="R371">
            <v>30</v>
          </cell>
        </row>
        <row r="372">
          <cell r="A372" t="str">
            <v>005014</v>
          </cell>
          <cell r="B372" t="str">
            <v>LDC 2</v>
          </cell>
          <cell r="D372" t="str">
            <v>no</v>
          </cell>
          <cell r="E372" t="str">
            <v>20401143495</v>
          </cell>
          <cell r="F372" t="str">
            <v>F0670</v>
          </cell>
          <cell r="G372" t="str">
            <v>Tools, Instruments &amp; Equipment (N)</v>
          </cell>
          <cell r="H372" t="str">
            <v>PUR-2 RAM-PAC HP Tapping Equip</v>
          </cell>
          <cell r="I372" t="str">
            <v>posted to CPR</v>
          </cell>
          <cell r="J372" t="str">
            <v>PUR-2 RAM-PAC HP Tapping Equip: Kansas City-Jackson: Purchase Tools, Instruments &amp; Equipment  3940 (37-366)</v>
          </cell>
          <cell r="K372" t="str">
            <v>Approved by: Gary Williams on 04/16/2014,  PURCHASE-2 RAM-PAC HP-520-3. THESE WILL BE USED BY THE C&amp;M AND TAPPING CREWS AT CENTRAL. USED TO PUT POSI HOLD COUPLINGS OR FITTINGS IN THE SYSTEM USING HYDRAULIC PRESSURE TO SEAT THE RINGS ON THE COUPLINGS. USED MAINLY DURING MAIN REPLACEMENTS JOBS. THESE ARE REPLACEMENTS.</v>
          </cell>
          <cell r="L372">
            <v>41771</v>
          </cell>
          <cell r="M372">
            <v>41851</v>
          </cell>
          <cell r="N372">
            <v>42221.758055555598</v>
          </cell>
          <cell r="O372">
            <v>41760</v>
          </cell>
          <cell r="P372" t="str">
            <v>0401-043050  JACKSON CTY/KC</v>
          </cell>
          <cell r="Q372">
            <v>3644.91</v>
          </cell>
          <cell r="R372">
            <v>6</v>
          </cell>
        </row>
        <row r="373">
          <cell r="A373" t="str">
            <v>004218</v>
          </cell>
          <cell r="B373" t="str">
            <v>LDC 2</v>
          </cell>
          <cell r="D373" t="str">
            <v>no</v>
          </cell>
          <cell r="E373" t="str">
            <v>20401133104</v>
          </cell>
          <cell r="F373" t="str">
            <v>F0658</v>
          </cell>
          <cell r="G373" t="str">
            <v>Services -  2" &amp; larger</v>
          </cell>
          <cell r="H373" t="str">
            <v>KC BIER CO 2in SERVICE LINE</v>
          </cell>
          <cell r="I373" t="str">
            <v>posted to CPR</v>
          </cell>
          <cell r="J373" t="str">
            <v>KC BIER CO 2in SERVICE LINE: Kansas City-Jackson: 310 W 79TH ST</v>
          </cell>
          <cell r="K373" t="str">
            <v>Approved by: Kevin Driskell on 10/29/2013,  Laying 64ft-2in pe service line to service 1 commercial building adding new equipment load. LOAD (2,025cfh).</v>
          </cell>
          <cell r="L373">
            <v>41585</v>
          </cell>
          <cell r="M373">
            <v>41662</v>
          </cell>
          <cell r="N373">
            <v>41666.581203703703</v>
          </cell>
          <cell r="P373" t="str">
            <v>0401-043050  JACKSON CTY/KC</v>
          </cell>
          <cell r="Q373">
            <v>910.59</v>
          </cell>
          <cell r="R373">
            <v>604</v>
          </cell>
        </row>
        <row r="374">
          <cell r="A374" t="str">
            <v>004084</v>
          </cell>
          <cell r="B374" t="str">
            <v>LDC 2</v>
          </cell>
          <cell r="D374" t="str">
            <v>no</v>
          </cell>
          <cell r="E374" t="str">
            <v>20401121818</v>
          </cell>
          <cell r="F374" t="str">
            <v>F0639</v>
          </cell>
          <cell r="G374" t="str">
            <v>EGM Equip-1st Time Installation</v>
          </cell>
          <cell r="H374" t="str">
            <v>EGM - Senior Star Management Co</v>
          </cell>
          <cell r="I374" t="str">
            <v>posted to CPR</v>
          </cell>
          <cell r="J374" t="str">
            <v>EGM - Senior Star Management Co: Kansas City-Jackson: 12100 Wornal Road, Kansas City, Mo. 64145</v>
          </cell>
          <cell r="K374" t="str">
            <v>Approved by: Rob Kitterman on 10/12/2012,  Install Mercury MiniMax-AT-T on Roots 11M meter no 00548845 to monitor daily gas usage of this transportation customer. Customer will reimburse company actual cost for EGM installation not to exceed $5,445.00, which should be coded to account 1072. ATTENTION: Plant &amp; Property Accounting, EGM work order, turn off A&amp;G indicator.</v>
          </cell>
          <cell r="L374">
            <v>41305</v>
          </cell>
          <cell r="M374">
            <v>41670</v>
          </cell>
          <cell r="N374">
            <v>41677.509849536997</v>
          </cell>
          <cell r="P374" t="str">
            <v>0401-043050  JACKSON CTY/KC</v>
          </cell>
          <cell r="Q374">
            <v>0</v>
          </cell>
          <cell r="R374">
            <v>4</v>
          </cell>
        </row>
        <row r="375">
          <cell r="A375" t="str">
            <v>004445</v>
          </cell>
          <cell r="B375" t="str">
            <v>LDC 2</v>
          </cell>
          <cell r="D375" t="str">
            <v>yes</v>
          </cell>
          <cell r="E375" t="str">
            <v>20401133206</v>
          </cell>
          <cell r="F375" t="str">
            <v>F0663</v>
          </cell>
          <cell r="G375" t="str">
            <v>Replace bare steel main - safety re</v>
          </cell>
          <cell r="H375" t="str">
            <v>17th &amp; McGee Abandon 6in &amp; 8in PBS</v>
          </cell>
          <cell r="I375" t="str">
            <v>posted to CPR</v>
          </cell>
          <cell r="J375" t="str">
            <v>17th &amp; McGee Abandonment 6in &amp; 8in PBS main: Kansas City-Jackson: 17th and McGee</v>
          </cell>
          <cell r="K375" t="str">
            <v>Approved by: Kevin Driskell on 12/06/2013,  This work order is necessary due to leak. This gas main is no longer needed, new service installed to Kansas City Star on work order 13-3204. Abandon 185' of 6" PBS (WO# 2159) and 160' of 8" PBS (WO# 2158). Pressure System= C-49, MOP= 13PSIG, MAOP= 13PSIG.</v>
          </cell>
          <cell r="L375">
            <v>41619</v>
          </cell>
          <cell r="M375">
            <v>41697</v>
          </cell>
          <cell r="N375">
            <v>41698.505300925899</v>
          </cell>
          <cell r="P375" t="str">
            <v>0401-043050  JACKSON CTY/KC</v>
          </cell>
          <cell r="Q375">
            <v>14144.88</v>
          </cell>
          <cell r="R375">
            <v>399</v>
          </cell>
        </row>
        <row r="376">
          <cell r="A376" t="str">
            <v>004410</v>
          </cell>
          <cell r="B376" t="str">
            <v>LDC 2</v>
          </cell>
          <cell r="D376" t="str">
            <v>no</v>
          </cell>
          <cell r="E376" t="str">
            <v>20401050300</v>
          </cell>
          <cell r="F376" t="str">
            <v>F0539</v>
          </cell>
          <cell r="G376" t="str">
            <v>BWO New Service Line Install (N)</v>
          </cell>
          <cell r="H376" t="str">
            <v>BWO-New Svc-Plastic(North Reg)</v>
          </cell>
          <cell r="I376" t="str">
            <v>open</v>
          </cell>
          <cell r="J376" t="str">
            <v>BWO-New Services-Plastic (North Region)</v>
          </cell>
          <cell r="K376" t="str">
            <v>Project Type:B</v>
          </cell>
          <cell r="O376">
            <v>41730</v>
          </cell>
          <cell r="P376" t="str">
            <v>0401-043050  JACKSON CTY/KC</v>
          </cell>
          <cell r="Q376">
            <v>10379676.119999999</v>
          </cell>
          <cell r="R376">
            <v>-21980.2003</v>
          </cell>
        </row>
        <row r="377">
          <cell r="A377" t="str">
            <v>008990</v>
          </cell>
          <cell r="B377" t="str">
            <v>LDC 2</v>
          </cell>
          <cell r="D377" t="str">
            <v>no</v>
          </cell>
          <cell r="F377" t="str">
            <v>F0738</v>
          </cell>
          <cell r="G377" t="str">
            <v>A&amp;G Salaries - MGE</v>
          </cell>
          <cell r="H377" t="str">
            <v>A&amp;G SALARIES MGE DOLLAR HELP</v>
          </cell>
          <cell r="I377" t="str">
            <v>open</v>
          </cell>
          <cell r="J377" t="str">
            <v>A&amp;G SALARIES MGE DOLLAR HELP</v>
          </cell>
          <cell r="P377" t="str">
            <v>Expense Only</v>
          </cell>
          <cell r="Q377">
            <v>4052.94</v>
          </cell>
          <cell r="R377">
            <v>96</v>
          </cell>
        </row>
        <row r="378">
          <cell r="A378" t="str">
            <v>004784</v>
          </cell>
          <cell r="B378" t="str">
            <v>LDC 2</v>
          </cell>
          <cell r="D378" t="str">
            <v>no</v>
          </cell>
          <cell r="E378" t="str">
            <v>21860100000</v>
          </cell>
          <cell r="F378" t="str">
            <v>F0687</v>
          </cell>
          <cell r="G378" t="str">
            <v>Misc Deferred Debits-Oth MGE</v>
          </cell>
          <cell r="H378" t="str">
            <v>Misc Def Db 21860201300 MGE</v>
          </cell>
          <cell r="I378" t="str">
            <v>open</v>
          </cell>
          <cell r="J378" t="str">
            <v>Misc Def Db 21860201300 MGE</v>
          </cell>
          <cell r="P378" t="str">
            <v>Expense Only</v>
          </cell>
          <cell r="Q378">
            <v>-925.14</v>
          </cell>
          <cell r="R378">
            <v>-716</v>
          </cell>
        </row>
        <row r="379">
          <cell r="A379" t="str">
            <v>004783</v>
          </cell>
          <cell r="B379" t="str">
            <v>LDC 2</v>
          </cell>
          <cell r="D379" t="str">
            <v>no</v>
          </cell>
          <cell r="E379" t="str">
            <v>21860000100</v>
          </cell>
          <cell r="F379" t="str">
            <v>F0687</v>
          </cell>
          <cell r="G379" t="str">
            <v>Misc Deferred Debits-Oth MGE</v>
          </cell>
          <cell r="H379" t="str">
            <v>Misc Deferred Debits-Oth MGE</v>
          </cell>
          <cell r="I379" t="str">
            <v>open</v>
          </cell>
          <cell r="J379" t="str">
            <v>Misc Deferred Debits-Oth MGE</v>
          </cell>
          <cell r="P379" t="str">
            <v>Expense Only</v>
          </cell>
          <cell r="Q379">
            <v>263.85000000000002</v>
          </cell>
          <cell r="R379">
            <v>-6.5</v>
          </cell>
        </row>
        <row r="380">
          <cell r="A380" t="str">
            <v>004851</v>
          </cell>
          <cell r="B380" t="str">
            <v>LDC 2</v>
          </cell>
          <cell r="D380" t="str">
            <v>no</v>
          </cell>
          <cell r="E380" t="str">
            <v>29310900000</v>
          </cell>
          <cell r="F380" t="str">
            <v>F0730</v>
          </cell>
          <cell r="G380" t="str">
            <v>Admin &amp; Gen - Rent  MGE</v>
          </cell>
          <cell r="H380" t="str">
            <v>Rents Furn/Equip Leases MGE</v>
          </cell>
          <cell r="I380" t="str">
            <v>open</v>
          </cell>
          <cell r="J380" t="str">
            <v>Rents Furn/Equip Leases MGE</v>
          </cell>
          <cell r="P380" t="str">
            <v>Expense Only</v>
          </cell>
          <cell r="Q380">
            <v>596595.89</v>
          </cell>
          <cell r="R380">
            <v>296033</v>
          </cell>
        </row>
        <row r="381">
          <cell r="A381" t="str">
            <v>004714</v>
          </cell>
          <cell r="B381" t="str">
            <v>LDC 2</v>
          </cell>
          <cell r="D381" t="str">
            <v>no</v>
          </cell>
          <cell r="E381" t="str">
            <v>28710000000</v>
          </cell>
          <cell r="F381" t="str">
            <v>F0696</v>
          </cell>
          <cell r="G381" t="str">
            <v>Distrib Load Dispatching MGE</v>
          </cell>
          <cell r="H381" t="str">
            <v>Distrib Load Dispatching MGE</v>
          </cell>
          <cell r="I381" t="str">
            <v>open</v>
          </cell>
          <cell r="J381" t="str">
            <v>Distrib Load Dispatching MGE</v>
          </cell>
          <cell r="P381" t="str">
            <v>Expense Only</v>
          </cell>
          <cell r="Q381">
            <v>43067.56</v>
          </cell>
          <cell r="R381">
            <v>18122.669999999998</v>
          </cell>
        </row>
        <row r="382">
          <cell r="A382" t="str">
            <v>004690</v>
          </cell>
          <cell r="B382" t="str">
            <v>LDC 2</v>
          </cell>
          <cell r="D382" t="str">
            <v>no</v>
          </cell>
          <cell r="E382" t="str">
            <v>21841103000</v>
          </cell>
          <cell r="F382" t="str">
            <v>F0732</v>
          </cell>
          <cell r="G382" t="str">
            <v>Transportation &amp; Eq Clrg MGE</v>
          </cell>
          <cell r="H382" t="str">
            <v>Fleet Clrg - 21841103000 MGE</v>
          </cell>
          <cell r="I382" t="str">
            <v>open</v>
          </cell>
          <cell r="J382" t="str">
            <v>Fleet Clrg - 21841103000 MGE</v>
          </cell>
          <cell r="P382" t="str">
            <v>Expense Only</v>
          </cell>
          <cell r="Q382">
            <v>2392.83</v>
          </cell>
          <cell r="R382">
            <v>0</v>
          </cell>
        </row>
        <row r="383">
          <cell r="A383" t="str">
            <v>006424</v>
          </cell>
          <cell r="B383" t="str">
            <v>LDC 2</v>
          </cell>
          <cell r="D383" t="str">
            <v>no</v>
          </cell>
          <cell r="E383" t="str">
            <v>20501143768</v>
          </cell>
          <cell r="F383" t="str">
            <v>F0677</v>
          </cell>
          <cell r="G383" t="str">
            <v>New business</v>
          </cell>
          <cell r="H383" t="str">
            <v>Extend Main to 3510 Red Iron Dr</v>
          </cell>
          <cell r="I383" t="str">
            <v>posted to CPR</v>
          </cell>
          <cell r="J383" t="str">
            <v>Extend Main to 3510 Red Iron Dr: Joplin: New Main Extension - Contractor Crews  3760 (33-380)</v>
          </cell>
          <cell r="K383" t="str">
            <v>Approved by: Galen Shoemaker on 09/11/2014,  Install 75' 6" PE &amp; 525' 4" PE to extend main to two new properties on Red Iron Loop. Customer will contribute $4,950 prior to construction after allowances. Project Location: Red Iron and Enterprise; Pressure System: S-119; MOP: 58 psig; MAOP: 58 psig; Design: 58 psig; Test: 100 psig; Price Per Foor: $49.58.</v>
          </cell>
          <cell r="L383">
            <v>41950</v>
          </cell>
          <cell r="M383">
            <v>42063</v>
          </cell>
          <cell r="N383">
            <v>42160.553622685198</v>
          </cell>
          <cell r="O383">
            <v>41944</v>
          </cell>
          <cell r="P383" t="str">
            <v>0501-044001  JASPER CTY/JOPLIN</v>
          </cell>
          <cell r="Q383">
            <v>17544.87</v>
          </cell>
          <cell r="R383">
            <v>-1688</v>
          </cell>
        </row>
        <row r="384">
          <cell r="A384" t="str">
            <v>003952</v>
          </cell>
          <cell r="B384" t="str">
            <v>LDC 2</v>
          </cell>
          <cell r="D384" t="str">
            <v>no</v>
          </cell>
          <cell r="E384" t="str">
            <v>20501132591</v>
          </cell>
          <cell r="F384" t="str">
            <v>F0588</v>
          </cell>
          <cell r="G384" t="str">
            <v>Transportation &amp; power operated equ</v>
          </cell>
          <cell r="H384" t="str">
            <v>Pur 2013 Ford Transit Connect w bin</v>
          </cell>
          <cell r="I384" t="str">
            <v>posted to CPR</v>
          </cell>
          <cell r="J384" t="str">
            <v>Pur 2013 Ford Transit Connect w bins 4 cyl: Joplin: Joplin FOP</v>
          </cell>
          <cell r="K384" t="str">
            <v>Approved by: Ken Thomas on 04/09/2013,  Pur 2013 Ford Transit Connect w bins 4 cyl</v>
          </cell>
          <cell r="L384">
            <v>41548</v>
          </cell>
          <cell r="M384">
            <v>41564</v>
          </cell>
          <cell r="N384">
            <v>41612.300196759301</v>
          </cell>
          <cell r="P384" t="str">
            <v>0501-044001  JASPER CTY/JOPLIN</v>
          </cell>
          <cell r="Q384">
            <v>24454.3</v>
          </cell>
          <cell r="R384">
            <v>0</v>
          </cell>
        </row>
        <row r="385">
          <cell r="A385" t="str">
            <v>004175</v>
          </cell>
          <cell r="B385" t="str">
            <v>LDC 2</v>
          </cell>
          <cell r="D385" t="str">
            <v>no</v>
          </cell>
          <cell r="E385" t="str">
            <v>20501121641</v>
          </cell>
          <cell r="F385" t="str">
            <v>F0639</v>
          </cell>
          <cell r="G385" t="str">
            <v>EGM Equip-1st Time Installation</v>
          </cell>
          <cell r="H385" t="str">
            <v>EGM Mid America Precision Products</v>
          </cell>
          <cell r="I385" t="str">
            <v>posted to CPR</v>
          </cell>
          <cell r="J385" t="str">
            <v>EGM Mid America Precision Products LLC 1: Joplin: 1927 West 4th Street, Joplin, MO 64801</v>
          </cell>
          <cell r="K385" t="str">
            <v>Approved by: Rob Kitterman on 08/29/2012,  Install Mercury MiniMax-AT-T on Roots 16M meter no 09641015 to monitor daily gas usage of this transportation customer. Customer will reimburse company actual cost for EGM installation not to exceed $5,445.00, which should be coded to account 1072. ATTENTION: Plant &amp; Property Accounting, EGM work order, turn off A&amp;G indicator.</v>
          </cell>
          <cell r="L385">
            <v>41548</v>
          </cell>
          <cell r="M385">
            <v>41575</v>
          </cell>
          <cell r="N385">
            <v>41576.418611111098</v>
          </cell>
          <cell r="P385" t="str">
            <v>0501-044001  JASPER CTY/JOPLIN</v>
          </cell>
          <cell r="Q385">
            <v>0</v>
          </cell>
          <cell r="R385">
            <v>4</v>
          </cell>
        </row>
        <row r="386">
          <cell r="A386" t="str">
            <v>005555</v>
          </cell>
          <cell r="B386" t="str">
            <v>LDC 2</v>
          </cell>
          <cell r="D386" t="str">
            <v>yes</v>
          </cell>
          <cell r="E386" t="str">
            <v>20501143622</v>
          </cell>
          <cell r="F386" t="str">
            <v>F0664</v>
          </cell>
          <cell r="G386" t="str">
            <v>Street &amp; Hwy Relocates ISRS (SW)</v>
          </cell>
          <cell r="H386" t="str">
            <v>Rolla &amp; Brownell Reloc PBS w 1185'-</v>
          </cell>
          <cell r="I386" t="str">
            <v>posted to CPR</v>
          </cell>
          <cell r="J386" t="str">
            <v>Rolla &amp; Brownell Reloc PBS w 1185'-2in PE : Joplin: Relocate for Street &amp; Highway-Public Improvements (44-388)</v>
          </cell>
          <cell r="K386" t="str">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ell>
          <cell r="L386">
            <v>41932</v>
          </cell>
          <cell r="M386">
            <v>42063</v>
          </cell>
          <cell r="N386">
            <v>42160.553194444401</v>
          </cell>
          <cell r="O386">
            <v>41974</v>
          </cell>
          <cell r="P386" t="str">
            <v>0501-044001  JASPER CTY/JOPLIN</v>
          </cell>
          <cell r="Q386">
            <v>49659.61</v>
          </cell>
          <cell r="R386">
            <v>-2712.5</v>
          </cell>
        </row>
        <row r="387">
          <cell r="A387" t="str">
            <v>004419</v>
          </cell>
          <cell r="B387" t="str">
            <v>LDC 2</v>
          </cell>
          <cell r="D387" t="str">
            <v>no</v>
          </cell>
          <cell r="E387" t="str">
            <v>20502132455</v>
          </cell>
          <cell r="F387" t="str">
            <v>F0611</v>
          </cell>
          <cell r="G387" t="str">
            <v>Meter &amp; regulator replacements - 2"</v>
          </cell>
          <cell r="H387" t="str">
            <v>Crowder College 600 Ellis Reloc 3M</v>
          </cell>
          <cell r="I387" t="str">
            <v>posted to CPR</v>
          </cell>
          <cell r="J387" t="str">
            <v>Crowder College 600 Ellis Reloc 3M meter set: Webb City: Crowder College 600 Ellis Webb City</v>
          </cell>
          <cell r="K387" t="str">
            <v>Approved by: Galen Shoemaker on 02/28/2013,  THIS WORK IS NECESSARY DUE TO BUILDING EXPANSION. WILL INSTALL 2in PREFAB SETTING FOR 3M ROOTS METER. TOTAL CONNECTED DEMAND FOR NEW SETTING WILL BE 2050 CFH. WILL USE 2in FLANGED AMERICAN RELIANCE 3000 REGULATOR TO DELIVER 7in WC. WILL USE 1in FISHER 289L RELIEF SET AT 1PSIG FOR OVERPRESSURE PORTECTION. THIS WORK ORDER WILL RETIRE WORK ORDER 81-0324. SYSTEM WEBB CITY 0502 C-1  MAOP=1.75 PSIG  MOP=1.75 PSIG</v>
          </cell>
          <cell r="L387">
            <v>41512</v>
          </cell>
          <cell r="M387">
            <v>41600</v>
          </cell>
          <cell r="N387">
            <v>41612.300162036998</v>
          </cell>
          <cell r="P387" t="str">
            <v>0502-044006  JASPER CTY/WEBB CITY</v>
          </cell>
          <cell r="Q387">
            <v>5098.88</v>
          </cell>
          <cell r="R387">
            <v>14</v>
          </cell>
        </row>
        <row r="388">
          <cell r="A388" t="str">
            <v>800939</v>
          </cell>
          <cell r="B388" t="str">
            <v>LDC 2</v>
          </cell>
          <cell r="D388" t="str">
            <v>no</v>
          </cell>
          <cell r="F388" t="str">
            <v>F0673</v>
          </cell>
          <cell r="G388" t="str">
            <v>New Main Extensions (S)</v>
          </cell>
          <cell r="H388" t="str">
            <v>Install 120F 4P 19532 E 14th</v>
          </cell>
          <cell r="I388" t="str">
            <v>in service</v>
          </cell>
          <cell r="J388" t="str">
            <v>Install 120' of 4" plastic IP main to serve 1 new residential lot.</v>
          </cell>
          <cell r="K388" t="str">
            <v>Main extension required to serve 19532 E 14th, North at edge of subdivision. This needs to be tied to the SINSR WO: 15163623.</v>
          </cell>
          <cell r="L388">
            <v>42660</v>
          </cell>
          <cell r="O388">
            <v>42644</v>
          </cell>
          <cell r="P388" t="str">
            <v>0201-043001  JACKSON CTY/INDEPENDENCE</v>
          </cell>
          <cell r="Q388">
            <v>430.99</v>
          </cell>
          <cell r="R388">
            <v>-211</v>
          </cell>
        </row>
        <row r="389">
          <cell r="A389" t="str">
            <v>800622</v>
          </cell>
          <cell r="B389" t="str">
            <v>LDC 2</v>
          </cell>
          <cell r="C389" t="str">
            <v>03 - Bare Steel Replacement</v>
          </cell>
          <cell r="D389" t="str">
            <v>yes</v>
          </cell>
          <cell r="F389" t="str">
            <v>F0604</v>
          </cell>
          <cell r="G389" t="str">
            <v>Main Replacement - ISRS (S)</v>
          </cell>
          <cell r="H389" t="str">
            <v>Repl w/ 5785F 2P 29th &amp; Northern</v>
          </cell>
          <cell r="I389" t="str">
            <v>in service</v>
          </cell>
          <cell r="J389" t="str">
            <v>Install 5785 Ft of 2PL IP Main - 29th &amp; Northern Blvd. Abandon 3193 ft of 4LP ST Main,  2019 Ft of 2'' LP ST Main,  238 Ft of 4LP PL Main, 105 Ft of 2LP PL Main.</v>
          </cell>
          <cell r="K389" t="str">
            <v>This Main is being replaced as part of the bare steel main strategic replacement. Uprate is required as we will tie in to an IP system.</v>
          </cell>
          <cell r="L389">
            <v>42713</v>
          </cell>
          <cell r="O389">
            <v>42705</v>
          </cell>
          <cell r="P389" t="str">
            <v>0201-043001  JACKSON CTY/INDEPENDENCE</v>
          </cell>
          <cell r="Q389">
            <v>457020.3</v>
          </cell>
          <cell r="R389">
            <v>-4146</v>
          </cell>
        </row>
        <row r="390">
          <cell r="A390" t="str">
            <v>008907</v>
          </cell>
          <cell r="B390" t="str">
            <v>LDC 2</v>
          </cell>
          <cell r="D390" t="str">
            <v>yes</v>
          </cell>
          <cell r="E390" t="str">
            <v>20201155414</v>
          </cell>
          <cell r="F390" t="str">
            <v>F0646</v>
          </cell>
          <cell r="G390" t="str">
            <v>Replace bare steel main - safety re</v>
          </cell>
          <cell r="H390" t="str">
            <v>Replace 4in PBS</v>
          </cell>
          <cell r="I390" t="str">
            <v>posted to CPR</v>
          </cell>
          <cell r="J390" t="str">
            <v>Replace 4in PBS: Independence: Replace Bare Steel Main - 3760 Safety Related (34-394)</v>
          </cell>
          <cell r="K390" t="str">
            <v>Approved by: Kevin Driskell on 07/06/2015,  This Work Order is necessary to clear CP 15-47 by replacing 172' of 4" PBS that had a reading of -940 mV. Abandon 172' of 4" PBS. Install 180' of 4" PE.  ISRS.</v>
          </cell>
          <cell r="L390">
            <v>42423</v>
          </cell>
          <cell r="M390">
            <v>42430</v>
          </cell>
          <cell r="N390">
            <v>42557.552789351903</v>
          </cell>
          <cell r="O390">
            <v>42401</v>
          </cell>
          <cell r="P390" t="str">
            <v>0201-043001  JACKSON CTY/INDEPENDENCE</v>
          </cell>
          <cell r="Q390">
            <v>71593.37</v>
          </cell>
          <cell r="R390">
            <v>-147.5</v>
          </cell>
        </row>
        <row r="391">
          <cell r="A391" t="str">
            <v>004521</v>
          </cell>
          <cell r="B391" t="str">
            <v>LDC 2</v>
          </cell>
          <cell r="D391" t="str">
            <v>no</v>
          </cell>
          <cell r="E391" t="str">
            <v>20201132528</v>
          </cell>
          <cell r="F391" t="str">
            <v>F0597</v>
          </cell>
          <cell r="G391" t="str">
            <v>Other</v>
          </cell>
          <cell r="H391" t="str">
            <v>EGM Replace - Alliant Lake City</v>
          </cell>
          <cell r="I391" t="str">
            <v>posted to CPR</v>
          </cell>
          <cell r="J391" t="str">
            <v>EGM Replace - Alliant Lake City: Independence: Hwy 7 &amp; Hwy 74 - Independence</v>
          </cell>
          <cell r="K391" t="str">
            <v>Approved by: Rob Kitterman on 04/04/2013,  Replace EGM equipment at Alliant Lake City with a new Mini-AT-PT. Existing meter is a 750 Rockwell Diaphragm meter# 02201954. The existing equipment was damaged beyond repair. Retire the damaged MiniPT SN: 9501431on this WO as well.</v>
          </cell>
          <cell r="L391">
            <v>41469</v>
          </cell>
          <cell r="M391">
            <v>41575</v>
          </cell>
          <cell r="N391">
            <v>41576.418553240699</v>
          </cell>
          <cell r="P391" t="str">
            <v>0201-043001  JACKSON CTY/INDEPENDENCE</v>
          </cell>
          <cell r="Q391">
            <v>3253.57</v>
          </cell>
          <cell r="R391">
            <v>5</v>
          </cell>
        </row>
        <row r="392">
          <cell r="A392" t="str">
            <v>004189</v>
          </cell>
          <cell r="B392" t="str">
            <v>LDC 2</v>
          </cell>
          <cell r="D392" t="str">
            <v>no</v>
          </cell>
          <cell r="E392" t="str">
            <v>20201133150</v>
          </cell>
          <cell r="F392" t="str">
            <v>F0602</v>
          </cell>
          <cell r="G392" t="str">
            <v>New business</v>
          </cell>
          <cell r="H392" t="str">
            <v>4660 BassPro Dr Lay 415'-4in PE mai</v>
          </cell>
          <cell r="I392" t="str">
            <v>posted to CPR</v>
          </cell>
          <cell r="J392" t="str">
            <v>4660 BassPro Dr Lay 415'-4in PE main ext: Independence: 4660 Bass Pro Dr Pizza Ranch</v>
          </cell>
          <cell r="K392" t="str">
            <v>Approved by: Ralph Janes on 11/13/2013,  Main extension: 415' of 4" PE main on WO# 13-3150 to serve new commercial customer Pizza Ranch. It will be beneficial to MGE to run this main extension due to other commerical development in the this area. Also, install 175' of 1" CTS with an AL 1000 TC on blanket work orders to serve Pizza Ranch. An EFV will NOT be required due to the load size.</v>
          </cell>
          <cell r="L392">
            <v>41628</v>
          </cell>
          <cell r="M392">
            <v>41697</v>
          </cell>
          <cell r="N392">
            <v>41698.505196759303</v>
          </cell>
          <cell r="O392">
            <v>41730</v>
          </cell>
          <cell r="P392" t="str">
            <v>0201-043001  JACKSON CTY/INDEPENDENCE</v>
          </cell>
          <cell r="Q392">
            <v>34752.04</v>
          </cell>
          <cell r="R392">
            <v>1017</v>
          </cell>
        </row>
        <row r="393">
          <cell r="A393" t="str">
            <v>004097</v>
          </cell>
          <cell r="B393" t="str">
            <v>LDC 2</v>
          </cell>
          <cell r="D393" t="str">
            <v>yes</v>
          </cell>
          <cell r="E393" t="str">
            <v>20201133048</v>
          </cell>
          <cell r="F393" t="str">
            <v>F0503</v>
          </cell>
          <cell r="G393" t="str">
            <v>Rectifier New/Repl ISRS (N)</v>
          </cell>
          <cell r="H393" t="str">
            <v>Kentucky Rectifier &amp; GroundBed I-03</v>
          </cell>
          <cell r="I393" t="str">
            <v>posted to CPR</v>
          </cell>
          <cell r="J393" t="str">
            <v>Kentucky Rectifier &amp; GroundBed I-0324: Independence: 15202 Kentucky Road</v>
          </cell>
          <cell r="K393" t="str">
            <v>Approved by: Randy Spector on 10/23/2013,  This work order is necessary to replace the existing ground bed and rectifier originally installed on work order 77-2403. The ground bed is depleted to where there are serveral P/S readings below criteria. The new ground will have 10 3" X 60" anodes spaced at 15' intervals in a priviate easement acquired in 1977. No electrical work will be required. Anodes will be drilled in by contractor and MGE crews will complete installation. This rectifier is designed to protect the 20" PCS on Kentucky and going north to Missouri River on 291 Hwy and thence; south to 51st and Lees Summit &amp; 51st Street.</v>
          </cell>
          <cell r="L393">
            <v>41593</v>
          </cell>
          <cell r="M393">
            <v>41670</v>
          </cell>
          <cell r="N393">
            <v>41677.5097453704</v>
          </cell>
          <cell r="O393">
            <v>41730</v>
          </cell>
          <cell r="P393" t="str">
            <v>0201-043001  JACKSON CTY/INDEPENDENCE</v>
          </cell>
          <cell r="Q393">
            <v>23262.21</v>
          </cell>
          <cell r="R393">
            <v>1218</v>
          </cell>
        </row>
        <row r="394">
          <cell r="A394" t="str">
            <v>800249</v>
          </cell>
          <cell r="B394" t="str">
            <v>LDC 2</v>
          </cell>
          <cell r="C394" t="str">
            <v>03 - Bare Steel Replacement</v>
          </cell>
          <cell r="D394" t="str">
            <v>yes</v>
          </cell>
          <cell r="F394" t="str">
            <v>F0604</v>
          </cell>
          <cell r="G394" t="str">
            <v>Main Replacement - ISRS (S)</v>
          </cell>
          <cell r="H394" t="str">
            <v>Replace 2" Main-Savage &amp; Pacific</v>
          </cell>
          <cell r="I394" t="str">
            <v>completed</v>
          </cell>
          <cell r="J394" t="str">
            <v>Install 2,005 ft of 2 in pl main - Savage &amp; Pacific. Abandon 105 ft of 2 in bs main 1949, 797 ft of 2 in bs main 1950, 346 ft of 2 in bs main 1952, 307 ft of 2 in bs main 1955, 165 ft of 2 in pl main 1974 and 199 ft of 2 in pl main 1987.</v>
          </cell>
          <cell r="K394" t="str">
            <v>Work is to  to clear leak number 417915 which has allowed water in the main due to the 22 ounce pressure system. The new 2 inch plastic main will tie into the 44 psig maop pressure system.</v>
          </cell>
          <cell r="L394">
            <v>42503</v>
          </cell>
          <cell r="M394">
            <v>42704</v>
          </cell>
          <cell r="O394">
            <v>42491</v>
          </cell>
          <cell r="P394" t="str">
            <v>0201-043001  JACKSON CTY/INDEPENDENCE</v>
          </cell>
          <cell r="Q394">
            <v>115742.51</v>
          </cell>
          <cell r="R394">
            <v>-210</v>
          </cell>
        </row>
        <row r="395">
          <cell r="A395" t="str">
            <v>007601</v>
          </cell>
          <cell r="B395" t="str">
            <v>LDC 2</v>
          </cell>
          <cell r="D395" t="str">
            <v>yes</v>
          </cell>
          <cell r="E395" t="str">
            <v>20301155111</v>
          </cell>
          <cell r="F395" t="str">
            <v>F0604</v>
          </cell>
          <cell r="G395" t="str">
            <v>Main Replacement - ISRS (S)</v>
          </cell>
          <cell r="H395" t="str">
            <v>Replace PBS main to eliminate DRS 9</v>
          </cell>
          <cell r="I395" t="str">
            <v>posted to CPR</v>
          </cell>
          <cell r="J395" t="str">
            <v>Replace PBS main to eliminate DRS 9: Warrensburg: Replace Bare Steel Main - 3760 Safety Related (34-394)</v>
          </cell>
          <cell r="K395" t="str">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ell>
          <cell r="L395">
            <v>42251</v>
          </cell>
          <cell r="M395">
            <v>42278</v>
          </cell>
          <cell r="N395">
            <v>42405.4510532407</v>
          </cell>
          <cell r="O395">
            <v>42278</v>
          </cell>
          <cell r="P395" t="str">
            <v>0301-046001  JOHNSON CTY/WARRENSBURG</v>
          </cell>
          <cell r="Q395">
            <v>299465.25</v>
          </cell>
          <cell r="R395">
            <v>-5830.5</v>
          </cell>
        </row>
        <row r="396">
          <cell r="A396" t="str">
            <v>800285</v>
          </cell>
          <cell r="B396" t="str">
            <v>LDC 2</v>
          </cell>
          <cell r="C396" t="str">
            <v>03 - Bare Steel Replacement</v>
          </cell>
          <cell r="D396" t="str">
            <v>yes</v>
          </cell>
          <cell r="F396" t="str">
            <v>F0604</v>
          </cell>
          <cell r="G396" t="str">
            <v>Main Replacement - ISRS (S)</v>
          </cell>
          <cell r="H396" t="str">
            <v>Repl 2470F 2P Carrollton Phase H</v>
          </cell>
          <cell r="I396" t="str">
            <v>open</v>
          </cell>
          <cell r="J396" t="str">
            <v>Install 2470 Ft of 2in PL IP main and abandon 2936 Ft of 2 in ST IP main in Carrollton, MO.</v>
          </cell>
          <cell r="K396" t="str">
            <v>Abandon -2,936 Ft of 2 in ST IP main at the above locations.  Total Service Tie-over = 43; Total Service Replacement = 3; Total Service Abandon = 3.  This main is being  abandoned as part of FY16 Bare Steel Replacement Program</v>
          </cell>
          <cell r="P396" t="str">
            <v>0312-014001  CARROLL CTY/CARROLLTON</v>
          </cell>
          <cell r="Q396">
            <v>73907.73</v>
          </cell>
          <cell r="R396">
            <v>-3635</v>
          </cell>
        </row>
        <row r="397">
          <cell r="A397" t="str">
            <v>800274</v>
          </cell>
          <cell r="B397" t="str">
            <v>LDC 2</v>
          </cell>
          <cell r="C397" t="str">
            <v>03 - Bare Steel Replacement</v>
          </cell>
          <cell r="D397" t="str">
            <v>yes</v>
          </cell>
          <cell r="F397" t="str">
            <v>F0604</v>
          </cell>
          <cell r="G397" t="str">
            <v>Main Replacement - ISRS (S)</v>
          </cell>
          <cell r="H397" t="str">
            <v>Repl w/ 7005F 2-4P Carrollton PhA</v>
          </cell>
          <cell r="I397" t="str">
            <v>open</v>
          </cell>
          <cell r="J397" t="str">
            <v>Install 4762 Ft of 2in PL IP, 2243 Ft of 4in PL IP, &amp; Abandon 210 Ft of 1.25in PL IP, 98 Ft of 4in PL LP, 2004 Ft of 2in ST LP, 902 Ft of 2in ST IP, 2654 Ft of 4in ST LP, 881 Ft of 6in ST LP, &amp; Uprate 1354 Ft of 2in PL LP main - Carrollton PhA.</v>
          </cell>
          <cell r="K397" t="str">
            <v>Total Service Tie-over = 71; Total Service Abandoned = 11; Total Service Upgrade = 19
This main is being abandoned as part of FY16 Bare Steel Replacement Program</v>
          </cell>
          <cell r="P397" t="str">
            <v>0312-014001  CARROLL CTY/CARROLLTON</v>
          </cell>
          <cell r="Q397">
            <v>327651.12</v>
          </cell>
          <cell r="R397">
            <v>-9993</v>
          </cell>
        </row>
        <row r="398">
          <cell r="A398" t="str">
            <v>011901</v>
          </cell>
          <cell r="B398" t="str">
            <v>LDC 2</v>
          </cell>
          <cell r="D398" t="str">
            <v>no</v>
          </cell>
          <cell r="F398" t="str">
            <v>F0644</v>
          </cell>
          <cell r="G398" t="str">
            <v>Meter &amp; Reg Settings 2" &amp; Lg (S)</v>
          </cell>
          <cell r="H398" t="str">
            <v>3M Rotary Meter Set Fairview Mills</v>
          </cell>
          <cell r="I398" t="str">
            <v>in service</v>
          </cell>
          <cell r="J398" t="str">
            <v>Insttall a new 3M Rotary Meter set to serve one new commercial customer - Fairview Mills Pellet Mill - 200 North F Todd St.</v>
          </cell>
          <cell r="K398" t="str">
            <v>Maximo WO 15314347</v>
          </cell>
          <cell r="L398">
            <v>42647</v>
          </cell>
          <cell r="O398">
            <v>42736</v>
          </cell>
          <cell r="P398" t="str">
            <v>0321-046009  JOHNSON CTY/CENTERVIEW</v>
          </cell>
          <cell r="Q398">
            <v>431.54</v>
          </cell>
          <cell r="R398">
            <v>16</v>
          </cell>
        </row>
        <row r="399">
          <cell r="A399" t="str">
            <v>003834</v>
          </cell>
          <cell r="B399" t="str">
            <v>LDC 2</v>
          </cell>
          <cell r="D399" t="str">
            <v>no</v>
          </cell>
          <cell r="E399" t="str">
            <v>20609132450</v>
          </cell>
          <cell r="F399" t="str">
            <v>F0523</v>
          </cell>
          <cell r="G399" t="str">
            <v>New Main Extensions (SW)</v>
          </cell>
          <cell r="H399" t="str">
            <v>High St Lay 320'-2in PE main</v>
          </cell>
          <cell r="I399" t="str">
            <v>posted to CPR</v>
          </cell>
          <cell r="J399" t="str">
            <v>High St Lay 320'-2in PE main: El Dorado Springs: High St South of Hightower St</v>
          </cell>
          <cell r="K399" t="str">
            <v>Approved by: Galen Shoemaker on 03/04/2013,  To lay 320' - 2&amp;quot; PE Main to serve two residential services where current services run across neighboring properties and loop the C-1 Pressure System. No Customer Deposit required due to MGE electing to install Main. MOP=10# MAOP=10# TEST=100# SYSTEM=C-1</v>
          </cell>
          <cell r="L399">
            <v>41653</v>
          </cell>
          <cell r="M399">
            <v>41716</v>
          </cell>
          <cell r="N399">
            <v>41719.593124999999</v>
          </cell>
          <cell r="O399">
            <v>41730</v>
          </cell>
          <cell r="P399" t="str">
            <v>0609-017013  CEDAR CTY/ELDORADO SPRINGS</v>
          </cell>
          <cell r="Q399">
            <v>10889.64</v>
          </cell>
          <cell r="R399">
            <v>792</v>
          </cell>
        </row>
        <row r="400">
          <cell r="A400" t="str">
            <v>004260</v>
          </cell>
          <cell r="B400" t="str">
            <v>LDC 2</v>
          </cell>
          <cell r="D400" t="str">
            <v>no</v>
          </cell>
          <cell r="E400" t="str">
            <v>20801143337</v>
          </cell>
          <cell r="F400" t="str">
            <v>F0556</v>
          </cell>
          <cell r="G400" t="str">
            <v>Tools, instruments &amp; equipment</v>
          </cell>
          <cell r="H400" t="str">
            <v>Pur 3 Sensit Gold CGIs - Republic</v>
          </cell>
          <cell r="I400" t="str">
            <v>posted to CPR</v>
          </cell>
          <cell r="J400" t="str">
            <v>Pur 3 Sensit Gold CGIs - Republic: Monett: 207 Pine</v>
          </cell>
          <cell r="K400" t="str">
            <v>Approved by: Galen Shoemaker on 02/05/2014,  Purchase two new Sensit Gold CGIs Model B EX-CO, $1,519.20 each, and one new Sensit Gold CGI Model E, $1,856.70 for Republic. Total cost $4,895.10. No units will be retired with this purchase.</v>
          </cell>
          <cell r="L400">
            <v>41799</v>
          </cell>
          <cell r="M400">
            <v>41821</v>
          </cell>
          <cell r="N400">
            <v>41858.522430555597</v>
          </cell>
          <cell r="O400">
            <v>41791</v>
          </cell>
          <cell r="P400" t="str">
            <v>0801-005001  BARRY CTY/MONETT</v>
          </cell>
          <cell r="Q400">
            <v>5125.04</v>
          </cell>
          <cell r="R400">
            <v>3</v>
          </cell>
        </row>
        <row r="401">
          <cell r="A401" t="str">
            <v>004235</v>
          </cell>
          <cell r="B401" t="str">
            <v>LDC 2</v>
          </cell>
          <cell r="D401" t="str">
            <v>no</v>
          </cell>
          <cell r="E401" t="str">
            <v>20801143339</v>
          </cell>
          <cell r="F401" t="str">
            <v>F0556</v>
          </cell>
          <cell r="G401" t="str">
            <v>Tools, instruments &amp; equipment</v>
          </cell>
          <cell r="H401" t="str">
            <v>Pur two Pipe Scrapers - Republic FO</v>
          </cell>
          <cell r="I401" t="str">
            <v>posted to CPR</v>
          </cell>
          <cell r="J401" t="str">
            <v>Pur two Pipe Scrapers - Republic FOP: Monett: 207 Pine</v>
          </cell>
          <cell r="K401" t="str">
            <v>Approved by: Galen Shoemaker on 02/03/2014,  Purchase two 2in ($529.37 each)and one 4in Pipe Scrapers ($578.48 each) (Split Peeler) plus $83.50 tax for Republic.</v>
          </cell>
          <cell r="L401">
            <v>41705</v>
          </cell>
          <cell r="M401">
            <v>41722</v>
          </cell>
          <cell r="N401">
            <v>41723.306469907402</v>
          </cell>
          <cell r="P401" t="str">
            <v>0801-005001  BARRY CTY/MONETT</v>
          </cell>
          <cell r="Q401">
            <v>1140.1400000000001</v>
          </cell>
          <cell r="R401">
            <v>0</v>
          </cell>
        </row>
        <row r="402">
          <cell r="A402" t="str">
            <v>004283</v>
          </cell>
          <cell r="B402" t="str">
            <v>LDC 2</v>
          </cell>
          <cell r="D402" t="str">
            <v>no</v>
          </cell>
          <cell r="E402" t="str">
            <v>20801050300</v>
          </cell>
          <cell r="F402" t="str">
            <v>F0661</v>
          </cell>
          <cell r="G402" t="str">
            <v>BWO - new services</v>
          </cell>
          <cell r="H402" t="str">
            <v>BWO-NEW SERVICES</v>
          </cell>
          <cell r="I402" t="str">
            <v>open</v>
          </cell>
          <cell r="J402" t="str">
            <v>BWO-NEW SERVICES</v>
          </cell>
          <cell r="K402" t="str">
            <v>Project Type:B</v>
          </cell>
          <cell r="O402">
            <v>41730</v>
          </cell>
          <cell r="P402" t="str">
            <v>0801-005001  BARRY CTY/MONETT</v>
          </cell>
          <cell r="Q402">
            <v>6927572.0099999998</v>
          </cell>
          <cell r="R402">
            <v>827019.58</v>
          </cell>
        </row>
        <row r="403">
          <cell r="A403" t="str">
            <v>800043</v>
          </cell>
          <cell r="B403" t="str">
            <v>LDC 2</v>
          </cell>
          <cell r="C403" t="str">
            <v>09 - Facility Relocation due to Civic Improvement</v>
          </cell>
          <cell r="D403" t="str">
            <v>yes</v>
          </cell>
          <cell r="F403" t="str">
            <v>F0578</v>
          </cell>
          <cell r="G403" t="str">
            <v>Street &amp; Highway Relocates ISRS (S)</v>
          </cell>
          <cell r="H403" t="str">
            <v>6" PE Main Relocation 197th-Raymore</v>
          </cell>
          <cell r="I403" t="str">
            <v>posted to CPR</v>
          </cell>
          <cell r="J403" t="str">
            <v>Relocate and abandon 300ft 6in pe main at 197th &amp; School Rd to allow Cass County to install storm and rebuild road.  340ft 6in plastic main to be installed.</v>
          </cell>
          <cell r="K403" t="str">
            <v>Follow up on As-Built estimate to make sure town code is corrected in PowerPlan - Maximo sent 0923 and should be 0932 - Raymore - AMM</v>
          </cell>
          <cell r="L403">
            <v>42306</v>
          </cell>
          <cell r="M403">
            <v>42551</v>
          </cell>
          <cell r="N403">
            <v>42587.4633217593</v>
          </cell>
          <cell r="O403">
            <v>42461</v>
          </cell>
          <cell r="P403" t="str">
            <v>0932-016022  CASS CTY/RAYMORE</v>
          </cell>
          <cell r="Q403">
            <v>86161.27</v>
          </cell>
          <cell r="R403">
            <v>163</v>
          </cell>
        </row>
        <row r="404">
          <cell r="A404" t="str">
            <v>004325</v>
          </cell>
          <cell r="B404" t="str">
            <v>LDC 2</v>
          </cell>
          <cell r="D404" t="str">
            <v>yes</v>
          </cell>
          <cell r="E404" t="str">
            <v>20933132713</v>
          </cell>
          <cell r="F404" t="str">
            <v>F0621</v>
          </cell>
          <cell r="G404" t="str">
            <v>Rectifier Initial Installation</v>
          </cell>
          <cell r="H404" t="str">
            <v>Drexel Rectifier/Ground Bed #0061</v>
          </cell>
          <cell r="I404" t="str">
            <v>posted to CPR</v>
          </cell>
          <cell r="J404" t="str">
            <v>Drexel Rectifier/Ground Bed #0061: Drexel: 289th Street west of D Highway</v>
          </cell>
          <cell r="K404" t="str">
            <v>Approved by: Randy Spector on 05/29/2013,  This work order is necessary to install a new rectifier and ground bed west of &amp;quot;D&amp;quot; Highway on 289th Street to provide adequate cathodic protection on the 4&amp;quot; line to the town of Drexel. This will be a Universal 20 Volt 10 Amp rectifer with five 3&amp;quot; X 60&amp;quot; graphite anodes. The existing rectifier for Drexel is not capable of pushing current the 8-9 miles north to this area. Test has proven that additional current is needed. Shaw Electric will install all electrical and company crews will install the anodes and wire.</v>
          </cell>
          <cell r="L404">
            <v>41547</v>
          </cell>
          <cell r="M404">
            <v>41638</v>
          </cell>
          <cell r="N404">
            <v>41676.633368055598</v>
          </cell>
          <cell r="O404">
            <v>41730</v>
          </cell>
          <cell r="P404" t="str">
            <v>0933-007001  BATES CTY/DREXEL</v>
          </cell>
          <cell r="Q404">
            <v>18313.939999999999</v>
          </cell>
          <cell r="R404">
            <v>675</v>
          </cell>
        </row>
        <row r="405">
          <cell r="A405" t="str">
            <v>003799</v>
          </cell>
          <cell r="B405" t="str">
            <v>LDC 2</v>
          </cell>
          <cell r="D405" t="str">
            <v>no</v>
          </cell>
          <cell r="E405" t="str">
            <v>20802143275</v>
          </cell>
          <cell r="F405" t="str">
            <v>F0537</v>
          </cell>
          <cell r="G405" t="str">
            <v>Services -  2" &amp; larger</v>
          </cell>
          <cell r="H405" t="str">
            <v>Chicken Houses 2in Service Hwy 97</v>
          </cell>
          <cell r="I405" t="str">
            <v>posted to CPR</v>
          </cell>
          <cell r="J405" t="str">
            <v>Chicken Houses 2in Service Hwy 97: Pierce City: HWY 97 and Co Rd 2210</v>
          </cell>
          <cell r="K405" t="str">
            <v>Approved by: Galen Shoemaker on 02/11/2014,  Lay 1000' - 2" PE service to 21016 Hwy 97 for new chicken houses. Customer contribution is included in main extension price on WO#: 14-3274. 7M meter to be installed on WO#: 14-3276. Project Location: HWY 97 and CR 2110; Pressure System: S-6; MOP: 30 psig; MAOP: 31 psig; Design: 58 psig; Test: 100 psig; $33.66/ft</v>
          </cell>
          <cell r="L405">
            <v>41713</v>
          </cell>
          <cell r="M405">
            <v>42217</v>
          </cell>
          <cell r="N405">
            <v>42243.332060185203</v>
          </cell>
          <cell r="O405">
            <v>41883</v>
          </cell>
          <cell r="P405" t="str">
            <v>0802-050010  LAWRENCE CTY/PIERCE</v>
          </cell>
          <cell r="Q405">
            <v>0</v>
          </cell>
          <cell r="R405">
            <v>1776</v>
          </cell>
        </row>
        <row r="406">
          <cell r="A406" t="str">
            <v>005578</v>
          </cell>
          <cell r="B406" t="str">
            <v>LDC 2</v>
          </cell>
          <cell r="D406" t="str">
            <v>no</v>
          </cell>
          <cell r="E406" t="str">
            <v>20804143637</v>
          </cell>
          <cell r="F406" t="str">
            <v>F0579</v>
          </cell>
          <cell r="G406" t="str">
            <v>New business</v>
          </cell>
          <cell r="H406" t="str">
            <v>Install New 2in Service to Walmart</v>
          </cell>
          <cell r="I406" t="str">
            <v>posted to CPR</v>
          </cell>
          <cell r="J406" t="str">
            <v>Install New 2in Service to Walmart: Mount Vernon: New Services 2in &amp; Larger  3800 (33-381)</v>
          </cell>
          <cell r="K406" t="str">
            <v>Approved by: Galen Shoemaker on 06/25/2014,  Install 550' - 2" PE service to new Walmart. Customer will not contribute anything due to economic evaluation. Project Location: Mt Vernon Blvd and HWY 39; Pressure System: S-3; MOP: 25 psig; MAOP: 25 psig; Design: 58 psig; Test: 100 psig; $13.60/ft</v>
          </cell>
          <cell r="L406">
            <v>41800</v>
          </cell>
          <cell r="M406">
            <v>41883</v>
          </cell>
          <cell r="N406">
            <v>41918.570162037002</v>
          </cell>
          <cell r="O406">
            <v>41821</v>
          </cell>
          <cell r="P406" t="str">
            <v>0804-050005  LAWRENCE CTY/MT. VERNON</v>
          </cell>
          <cell r="Q406">
            <v>9722.0400000000009</v>
          </cell>
          <cell r="R406">
            <v>-791</v>
          </cell>
        </row>
        <row r="407">
          <cell r="A407" t="str">
            <v>004100</v>
          </cell>
          <cell r="B407" t="str">
            <v>LDC 2</v>
          </cell>
          <cell r="D407" t="str">
            <v>yes</v>
          </cell>
          <cell r="E407" t="str">
            <v>20806133205</v>
          </cell>
          <cell r="F407" t="str">
            <v>F0592</v>
          </cell>
          <cell r="G407" t="str">
            <v>Replace bare steel main - safety re</v>
          </cell>
          <cell r="H407" t="str">
            <v>Alley at Hickory Repl PBS w 190'-2i</v>
          </cell>
          <cell r="I407" t="str">
            <v>posted to CPR</v>
          </cell>
          <cell r="J407" t="str">
            <v>Alley at Hickory Repl PBS w 190'-2in PE main: Neosho: Alley S of Hickory bw Wash and Lafayette</v>
          </cell>
          <cell r="K407" t="str">
            <v>Approved by: Galen Shoemaker on 01/20/2014,  Abandon 299' - 2" PBS (WO#'s: J04800, 20653) and replace with 300' - 2" PE to clear one CP and remove isolated bare steel. Project Location: Alley South of Hickory between Washington and Lafayette; Pressure System: C-1; MOP: 42 psig; MAOP: 42 psig; Design: 58 psig; Test: 100 psig; ISRS $49.09/ft</v>
          </cell>
          <cell r="L407">
            <v>41725</v>
          </cell>
          <cell r="M407">
            <v>41821</v>
          </cell>
          <cell r="N407">
            <v>41858.746446759302</v>
          </cell>
          <cell r="O407">
            <v>41730</v>
          </cell>
          <cell r="P407" t="str">
            <v>0806-066010  NEWTON CTY/NEOSHO</v>
          </cell>
          <cell r="Q407">
            <v>15758.61</v>
          </cell>
          <cell r="R407">
            <v>5013.5</v>
          </cell>
        </row>
        <row r="408">
          <cell r="A408" t="str">
            <v>004163</v>
          </cell>
          <cell r="B408" t="str">
            <v>LDC 2</v>
          </cell>
          <cell r="D408" t="str">
            <v>no</v>
          </cell>
          <cell r="E408" t="str">
            <v>20812121854</v>
          </cell>
          <cell r="F408" t="str">
            <v>F0523</v>
          </cell>
          <cell r="G408" t="str">
            <v>New Main Extensions (SW)</v>
          </cell>
          <cell r="H408" t="str">
            <v>FR 170 Lay 1035'-4in PE Main</v>
          </cell>
          <cell r="I408" t="str">
            <v>posted to CPR</v>
          </cell>
          <cell r="J408" t="str">
            <v>FR 170 Lay 1035'-4in PE Main: Republic: Farm Rd 170 East of Hwy 60</v>
          </cell>
          <cell r="K408" t="str">
            <v>Approved by: Galen Shoemaker on 10/24/2012,  TO INSTALL 1035ft OF 4in PLASTIC MAIN TO SERVE NEW BODY SHOP FOR KIRK CUSTOMS AND COLLISION REPAIR. THE CUSTOMER WILL PAY $10,560.00 REFUNDABLE DEPOSIT WITH EACH CONNECTION TO BE REFUNDED AT $825.00 AFTER AN INITIAL ALLOWANCE OF 75ft. MOP=58# MOP=58# TEST=100# SYSTEM=S2311</v>
          </cell>
          <cell r="L408">
            <v>41422</v>
          </cell>
          <cell r="M408">
            <v>41475</v>
          </cell>
          <cell r="N408">
            <v>41710.614606481497</v>
          </cell>
          <cell r="O408">
            <v>41730</v>
          </cell>
          <cell r="P408" t="str">
            <v>0812-034004  GREENE CTY/Republic</v>
          </cell>
          <cell r="Q408">
            <v>19807.71</v>
          </cell>
          <cell r="R408">
            <v>2141</v>
          </cell>
        </row>
        <row r="409">
          <cell r="A409" t="str">
            <v>800302</v>
          </cell>
          <cell r="B409" t="str">
            <v>LDC 2</v>
          </cell>
          <cell r="D409" t="str">
            <v>no</v>
          </cell>
          <cell r="F409" t="str">
            <v>F0523</v>
          </cell>
          <cell r="G409" t="str">
            <v>New Main Extensions (SW)</v>
          </cell>
          <cell r="H409" t="str">
            <v>175' Main Ext for 804 W Waverly - M</v>
          </cell>
          <cell r="I409" t="str">
            <v>in service</v>
          </cell>
          <cell r="J409" t="str">
            <v>175FT Main Extension to serve 804 W Waverly (Residential). Town: 0815 Sector: A1313 System: S-0002 MAOP: 56 MOP: 56 Cost: $6,037.72  ($34.50/ft)</v>
          </cell>
          <cell r="L409">
            <v>42551</v>
          </cell>
          <cell r="O409">
            <v>42522</v>
          </cell>
          <cell r="P409" t="str">
            <v>0815-019006  CHRISTIAN CTY/OZARK</v>
          </cell>
          <cell r="Q409">
            <v>552.69000000000005</v>
          </cell>
          <cell r="R409">
            <v>-351</v>
          </cell>
        </row>
        <row r="410">
          <cell r="A410" t="str">
            <v>007788</v>
          </cell>
          <cell r="B410" t="str">
            <v>LDC 2</v>
          </cell>
          <cell r="D410" t="str">
            <v>no</v>
          </cell>
          <cell r="E410" t="str">
            <v>20312155179</v>
          </cell>
          <cell r="F410" t="str">
            <v>F0507</v>
          </cell>
          <cell r="G410" t="str">
            <v>Rebuild Meter Install 2'' &amp; Lg (S)</v>
          </cell>
          <cell r="H410" t="str">
            <v>Continental Fabrication Rebuild Mtr</v>
          </cell>
          <cell r="I410" t="str">
            <v>posted to CPR</v>
          </cell>
          <cell r="J410" t="str">
            <v>Continental Fabrication Serv. - 2: Carrollton: Replace Meter &amp; Reg 2&amp;quot; &amp;  Larger - 3820/3830 (32-404)</v>
          </cell>
          <cell r="K410" t="str">
            <v>Approved by: Kevin Driskell on 02/26/2015,  Rebuild and retire existing 3M Rotary meter installed on work order 07-2247 by installing a new 16M Rotary meter due to additional load.</v>
          </cell>
          <cell r="L410">
            <v>42278</v>
          </cell>
          <cell r="M410">
            <v>42278</v>
          </cell>
          <cell r="N410">
            <v>42314.376423611102</v>
          </cell>
          <cell r="O410">
            <v>42278</v>
          </cell>
          <cell r="P410" t="str">
            <v>0312-014001  CARROLL CTY/CARROLLTON</v>
          </cell>
          <cell r="Q410">
            <v>6185.07</v>
          </cell>
          <cell r="R410">
            <v>-42</v>
          </cell>
        </row>
        <row r="411">
          <cell r="A411" t="str">
            <v>008368</v>
          </cell>
          <cell r="B411" t="str">
            <v>LDC 2</v>
          </cell>
          <cell r="D411" t="str">
            <v>no</v>
          </cell>
          <cell r="E411" t="str">
            <v>20932155302</v>
          </cell>
          <cell r="F411" t="str">
            <v>F0578</v>
          </cell>
          <cell r="G411" t="str">
            <v>Street &amp; Highway Relocates ISRS (S)</v>
          </cell>
          <cell r="H411" t="str">
            <v>Abandon 2in PCS Main</v>
          </cell>
          <cell r="I411" t="str">
            <v>posted to CPR</v>
          </cell>
          <cell r="J411" t="str">
            <v>Abandon 2in PCS Main: Raymore: Relocate for Street &amp; Highway-Public Improvements (44-388)</v>
          </cell>
          <cell r="K411" t="str">
            <v>Approved by: Kevin Driskell on 04/30/2015,  Abandon 320' of 2" PCS (WO#63-1042). Existing main is in conflict with    City of Raymore Public Improvement.  Contact: Phil Becker Office (816) 331-1852, Cell (816)868-6785.</v>
          </cell>
          <cell r="L411">
            <v>42122</v>
          </cell>
          <cell r="M411">
            <v>42460</v>
          </cell>
          <cell r="N411">
            <v>42557.552488425899</v>
          </cell>
          <cell r="O411">
            <v>42522</v>
          </cell>
          <cell r="P411" t="str">
            <v>0932-016022  CASS CTY/RAYMORE</v>
          </cell>
          <cell r="Q411">
            <v>647.66999999999996</v>
          </cell>
          <cell r="R411">
            <v>448</v>
          </cell>
        </row>
        <row r="412">
          <cell r="A412" t="str">
            <v>006356</v>
          </cell>
          <cell r="B412" t="str">
            <v>LDC 2</v>
          </cell>
          <cell r="D412" t="str">
            <v>yes</v>
          </cell>
          <cell r="E412" t="str">
            <v>20806143791</v>
          </cell>
          <cell r="F412" t="str">
            <v>F0634</v>
          </cell>
          <cell r="G412" t="str">
            <v>Replace bare steel main - safety re</v>
          </cell>
          <cell r="H412" t="str">
            <v>Repl 288ft PBS with 295ft 2in Plast</v>
          </cell>
          <cell r="I412" t="str">
            <v>posted to CPR</v>
          </cell>
          <cell r="J412" t="str">
            <v>Repl 288ft PBS with 295ft 2in Plastic Main: Neosho: Replace Bare Steel Main - 3760 Safety Related (34-394)</v>
          </cell>
          <cell r="K412" t="str">
            <v>Approved by: Galen Shoemaker on 09/08/2014,  Lay 295ft 2in Plastic Main to replace 269ft 2in Bare Steel from 48852 and 19ft of 2in Bare Steel from 45505 due to isolated bare steel had started having multiple leaks. MOP=42# MAOP=42# TEST=100# SYSTEM=C-1 ISRS</v>
          </cell>
          <cell r="L412">
            <v>41865</v>
          </cell>
          <cell r="M412">
            <v>41913</v>
          </cell>
          <cell r="N412">
            <v>42012.317025463002</v>
          </cell>
          <cell r="O412">
            <v>41883</v>
          </cell>
          <cell r="P412" t="str">
            <v>0806-066010  NEWTON CTY/NEOSHO</v>
          </cell>
          <cell r="Q412">
            <v>5107.4399999999996</v>
          </cell>
          <cell r="R412">
            <v>154</v>
          </cell>
        </row>
        <row r="413">
          <cell r="A413" t="str">
            <v>800062</v>
          </cell>
          <cell r="B413" t="str">
            <v>LDC 2</v>
          </cell>
          <cell r="D413" t="str">
            <v>no</v>
          </cell>
          <cell r="F413" t="str">
            <v>F0523</v>
          </cell>
          <cell r="G413" t="str">
            <v>New Main Extensions (SW)</v>
          </cell>
          <cell r="H413" t="str">
            <v>Whispering Heights 1005ft 2in PE Ma</v>
          </cell>
          <cell r="I413" t="str">
            <v>in service</v>
          </cell>
          <cell r="J413" t="str">
            <v>Install 1005ft of 2in main extension to serve new customer. Billings, MO. Division: 08 Town: 13 Sector: A1513 Pressure System: C-1 MAOP: 58 psig MOP: 58 psig Design Pressure: 66 psig Test Pressure: 100 psig Total: $27.43/ft (27,573.35)</v>
          </cell>
          <cell r="L413">
            <v>42297</v>
          </cell>
          <cell r="O413">
            <v>42339</v>
          </cell>
          <cell r="P413" t="str">
            <v>0816-019004  CHRISTIAN CTY/NIXA</v>
          </cell>
          <cell r="Q413">
            <v>31739.279999999999</v>
          </cell>
          <cell r="R413">
            <v>-2024.5</v>
          </cell>
        </row>
        <row r="414">
          <cell r="A414" t="str">
            <v>800315</v>
          </cell>
          <cell r="B414" t="str">
            <v>LDC 2</v>
          </cell>
          <cell r="D414" t="str">
            <v>no</v>
          </cell>
          <cell r="F414" t="str">
            <v>F0673</v>
          </cell>
          <cell r="G414" t="str">
            <v>New Main Extensions (S)</v>
          </cell>
          <cell r="H414" t="str">
            <v>Inst 498F 2P Parkway Estates NB</v>
          </cell>
          <cell r="I414" t="str">
            <v>in service</v>
          </cell>
          <cell r="J414" t="str">
            <v> Install 498 ft of 2 in IP PE main to serve 12 new residential customers.</v>
          </cell>
          <cell r="L414">
            <v>42551</v>
          </cell>
          <cell r="O414">
            <v>42522</v>
          </cell>
          <cell r="P414" t="str">
            <v>0903-043026  JACKSON CTY/BLUE SPRINGS</v>
          </cell>
          <cell r="Q414">
            <v>3647.16</v>
          </cell>
          <cell r="R414">
            <v>-958</v>
          </cell>
        </row>
        <row r="415">
          <cell r="A415" t="str">
            <v>005335</v>
          </cell>
          <cell r="B415" t="str">
            <v>LDC 2</v>
          </cell>
          <cell r="D415" t="str">
            <v>yes</v>
          </cell>
          <cell r="E415" t="str">
            <v>20903143580</v>
          </cell>
          <cell r="F415" t="str">
            <v>F0578</v>
          </cell>
          <cell r="G415" t="str">
            <v>Street &amp; Highway Relocates ISRS (S)</v>
          </cell>
          <cell r="H415" t="str">
            <v>12th and Smith Abandon 300'-4in pe</v>
          </cell>
          <cell r="I415" t="str">
            <v>posted to CPR</v>
          </cell>
          <cell r="J415" t="str">
            <v>12th and Smith Abandon 300'-4in pe main: Blue Springs: Relocate for Street &amp; Highway-Public Improvements (44-388)</v>
          </cell>
          <cell r="K415" t="str">
            <v>Approved by: Ralph Janes on 05/16/2014,  Retire and abandon 300' - 4" pe main (86-0572) for the City of Blue Springs.  The City is rebuilding the Public Safety Building (Police Dept.) and this section of 12th Street.  They are requesting we relocate the main, however we intend to just abandon it South of their service line.  This main no longer feeds anything to the south and the City claims they own all of the property to the south including the park on the south side of Walnut Street and have no plans to ever build anything that would require gas.</v>
          </cell>
          <cell r="L415">
            <v>41779</v>
          </cell>
          <cell r="M415">
            <v>42248</v>
          </cell>
          <cell r="N415">
            <v>42377.350648148102</v>
          </cell>
          <cell r="O415">
            <v>42339</v>
          </cell>
          <cell r="P415" t="str">
            <v>0903-043026  JACKSON CTY/BLUE SPRINGS</v>
          </cell>
          <cell r="Q415">
            <v>4620.57</v>
          </cell>
          <cell r="R415">
            <v>314</v>
          </cell>
        </row>
        <row r="416">
          <cell r="A416" t="str">
            <v>004572</v>
          </cell>
          <cell r="B416" t="str">
            <v>LDC 2</v>
          </cell>
          <cell r="D416" t="str">
            <v>no</v>
          </cell>
          <cell r="E416" t="str">
            <v>20903133239</v>
          </cell>
          <cell r="F416" t="str">
            <v>F0507</v>
          </cell>
          <cell r="G416" t="str">
            <v>Rebuild Meter Install 2'' &amp; Lg (S)</v>
          </cell>
          <cell r="H416" t="str">
            <v>321 AA Hwy Retire 2M Mtr Set</v>
          </cell>
          <cell r="I416" t="str">
            <v>posted to CPR</v>
          </cell>
          <cell r="J416" t="str">
            <v>321 AA Hwy Retire 2M Mtr Set: Blue Springs: 321 AA Highway</v>
          </cell>
          <cell r="K416" t="str">
            <v>Approved by: Ralph Janes on 12/23/2013,  Retire the existing 2M rotary meter set (installed on WO# 99-0554) due to the tenant dividing the space into two units.  The load in each unit will only require 2-AL800 meters.</v>
          </cell>
          <cell r="L416">
            <v>41646</v>
          </cell>
          <cell r="M416">
            <v>41718</v>
          </cell>
          <cell r="N416">
            <v>41719.593194444402</v>
          </cell>
          <cell r="P416" t="str">
            <v>0903-043026  JACKSON CTY/BLUE SPRINGS</v>
          </cell>
          <cell r="Q416">
            <v>1329.2</v>
          </cell>
          <cell r="R416">
            <v>4</v>
          </cell>
        </row>
        <row r="417">
          <cell r="A417" t="str">
            <v>004001</v>
          </cell>
          <cell r="B417" t="str">
            <v>LDC 2</v>
          </cell>
          <cell r="D417" t="str">
            <v>no</v>
          </cell>
          <cell r="E417" t="str">
            <v>20904132760</v>
          </cell>
          <cell r="F417" t="str">
            <v>F0514</v>
          </cell>
          <cell r="G417" t="str">
            <v>Other relocates</v>
          </cell>
          <cell r="H417" t="str">
            <v>Harry Truman Dr Reloc CS w 59'-4in</v>
          </cell>
          <cell r="I417" t="str">
            <v>posted to CPR</v>
          </cell>
          <cell r="J417" t="str">
            <v>Harry Truman Dr Reloc CS w 59'-4in TF Steel: Grandview: 7800 Harry Truman Drive Southview Park</v>
          </cell>
          <cell r="K417" t="str">
            <v>Approved by: Ralph Janes on 06/20/2013,  Grandview Park and Recreation has a park off Harry Truman Drive called Southview Park. It is approximately 78oo Harry Truman Drive.  It is currently an undeveloped park.  This summer we are going out to bid on the first phase of this development which will include a playground area, concrete patio, shade area, sidewalk and landscaping.  The 2nd phase would call for a small bathroom to be installed with a small parking area with a drive entrance off Harry Truman Drive. The existing 4in PCS main in private easement was potholed 6/19/13 and found to be 32in deep. The grading sheet shows cuts at the driveway up to 1.5' so we will need to lower the main for the driveway installation. Lower a 55' span 2' deep (59' of 4in thin film total) and retire 55' - 4in PCS (WO# 76-4316). Project is reimbursable.</v>
          </cell>
          <cell r="L417">
            <v>41508</v>
          </cell>
          <cell r="M417">
            <v>41604</v>
          </cell>
          <cell r="N417">
            <v>41604.605740740699</v>
          </cell>
          <cell r="P417" t="str">
            <v>0904-043031  JACKSON CTY/GRANDVIEW</v>
          </cell>
          <cell r="Q417">
            <v>510.59</v>
          </cell>
          <cell r="R417">
            <v>199.1</v>
          </cell>
        </row>
        <row r="418">
          <cell r="A418" t="str">
            <v>800098</v>
          </cell>
          <cell r="B418" t="str">
            <v>LDC 2</v>
          </cell>
          <cell r="D418" t="str">
            <v>no</v>
          </cell>
          <cell r="F418" t="str">
            <v>F0673</v>
          </cell>
          <cell r="G418" t="str">
            <v>New Main Extensions (S)</v>
          </cell>
          <cell r="H418" t="str">
            <v>630 Markey-Heartlnd Dental Main Ext</v>
          </cell>
          <cell r="I418" t="str">
            <v>in service</v>
          </cell>
          <cell r="J418" t="str">
            <v>Install 1,505 feet of 6 inch pe main extension to serve one new commercial customer - Heartland Dental at 630 Markey Pkwy. 2 in pe main is minimum to serve. Install 85 feet of 1-1/4 inch pe service line.</v>
          </cell>
          <cell r="L418">
            <v>42551</v>
          </cell>
          <cell r="O418">
            <v>42522</v>
          </cell>
          <cell r="P418" t="str">
            <v>0906-016001  CASS CTY/BELTON W OF MULLIN RD</v>
          </cell>
          <cell r="Q418">
            <v>99972.5</v>
          </cell>
          <cell r="R418">
            <v>-3081</v>
          </cell>
        </row>
        <row r="419">
          <cell r="A419" t="str">
            <v>006076</v>
          </cell>
          <cell r="B419" t="str">
            <v>LDC 2</v>
          </cell>
          <cell r="D419" t="str">
            <v>no</v>
          </cell>
          <cell r="E419" t="str">
            <v>20903143715</v>
          </cell>
          <cell r="F419" t="str">
            <v>F0673</v>
          </cell>
          <cell r="G419" t="str">
            <v>New Main Extensions (S)</v>
          </cell>
          <cell r="H419" t="str">
            <v>Parkway Estates 21st Plat Main Ext</v>
          </cell>
          <cell r="I419" t="str">
            <v>posted to CPR</v>
          </cell>
          <cell r="J419" t="str">
            <v>Parkway Estates 21st Plat: Blue Springs: New Main Extension - Company Crews  3760 (33-305)</v>
          </cell>
          <cell r="K419" t="str">
            <v>Approved by: Ralph Janes on 08/06/2014,  Install 1,400' - 2" pe main to serve 36 new residential lots.  Per WOES - MEA - received check for $11,900 from RL Sallee Real Estate Investment 8-19-14</v>
          </cell>
          <cell r="L419">
            <v>41908</v>
          </cell>
          <cell r="M419">
            <v>42004</v>
          </cell>
          <cell r="N419">
            <v>42100.702013888898</v>
          </cell>
          <cell r="O419">
            <v>41974</v>
          </cell>
          <cell r="P419" t="str">
            <v>0903-043026  JACKSON CTY/BLUE SPRINGS</v>
          </cell>
          <cell r="Q419">
            <v>16521.150000000001</v>
          </cell>
          <cell r="R419">
            <v>-2905</v>
          </cell>
        </row>
        <row r="420">
          <cell r="A420" t="str">
            <v>005973</v>
          </cell>
          <cell r="B420" t="str">
            <v>LDC 2</v>
          </cell>
          <cell r="D420" t="str">
            <v>no</v>
          </cell>
          <cell r="E420" t="str">
            <v>20903143612</v>
          </cell>
          <cell r="F420" t="str">
            <v>F0676</v>
          </cell>
          <cell r="G420" t="str">
            <v>Meter &amp; regulator settings - 2" &amp; l</v>
          </cell>
          <cell r="H420" t="str">
            <v>Public Safety Center Bldg 5M Meter</v>
          </cell>
          <cell r="I420" t="str">
            <v>posted to CPR</v>
          </cell>
          <cell r="J420" t="str">
            <v>Public Safety Center Building 5M Meter Set: Blue Springs: New Meter &amp; Reg Settings - 2&amp;quot; &amp; Larger 3820/3830 (33-382)</v>
          </cell>
          <cell r="K420" t="str">
            <v>Approved by: Ralph Janes on 08/06/2014,  Install a 5M Rotary meter setting for the rebuilt Public Safety Center Building.</v>
          </cell>
          <cell r="L420">
            <v>41954</v>
          </cell>
          <cell r="M420">
            <v>42004</v>
          </cell>
          <cell r="N420">
            <v>42012.551226851901</v>
          </cell>
          <cell r="O420">
            <v>41944</v>
          </cell>
          <cell r="P420" t="str">
            <v>0903-043026  JACKSON CTY/BLUE SPRINGS</v>
          </cell>
          <cell r="Q420">
            <v>2533.2199999999998</v>
          </cell>
          <cell r="R420">
            <v>-26.5</v>
          </cell>
        </row>
        <row r="421">
          <cell r="A421" t="str">
            <v>800811</v>
          </cell>
          <cell r="B421" t="str">
            <v>LDC 2</v>
          </cell>
          <cell r="D421" t="str">
            <v>no</v>
          </cell>
          <cell r="F421" t="str">
            <v>F0673</v>
          </cell>
          <cell r="G421" t="str">
            <v>New Main Extensions (S)</v>
          </cell>
          <cell r="H421" t="str">
            <v>Install 2910F 2P Mill Creek  4 &amp; 5</v>
          </cell>
          <cell r="I421" t="str">
            <v>in service</v>
          </cell>
          <cell r="J421" t="str">
            <v>Install ~2910 Ft of 2" PL IP Main at Mill Creek of Summit Mill 4&amp;5</v>
          </cell>
          <cell r="K421" t="str">
            <v>Single family, detached homes.  (Plat 4 = 47 lots, Plat 5 = 5 lots)  Gas furnace, gas water heaters and fireplace.  This is a new business project to serve 52 lots in a new subdivision.</v>
          </cell>
          <cell r="L421">
            <v>42684</v>
          </cell>
          <cell r="O421">
            <v>42705</v>
          </cell>
          <cell r="P421" t="str">
            <v>0901-043021  JACKSON CTY/LEE'S SUMMIT OFFIC</v>
          </cell>
          <cell r="Q421">
            <v>31328.48</v>
          </cell>
          <cell r="R421">
            <v>-5827</v>
          </cell>
        </row>
        <row r="422">
          <cell r="A422" t="str">
            <v>800060</v>
          </cell>
          <cell r="B422" t="str">
            <v>LDC 2</v>
          </cell>
          <cell r="D422" t="str">
            <v>no</v>
          </cell>
          <cell r="F422" t="str">
            <v>F0673</v>
          </cell>
          <cell r="G422" t="str">
            <v>New Main Extensions (S)</v>
          </cell>
          <cell r="H422" t="str">
            <v>Install 1295F 2P Trails Park Ridge</v>
          </cell>
          <cell r="I422" t="str">
            <v>in service</v>
          </cell>
          <cell r="J422" t="str">
            <v>Install ~1295 Ft of 2" PL MP Main to serve a new residential 28 lot subdivision.</v>
          </cell>
          <cell r="K422" t="str">
            <v>This is a new 28 lot subdivision.  This is a new business project.</v>
          </cell>
          <cell r="L422">
            <v>42643</v>
          </cell>
          <cell r="O422">
            <v>42614</v>
          </cell>
          <cell r="P422" t="str">
            <v>0901-043021  JACKSON CTY/LEE'S SUMMIT OFFIC</v>
          </cell>
          <cell r="Q422">
            <v>22746.39</v>
          </cell>
          <cell r="R422">
            <v>-2816</v>
          </cell>
        </row>
        <row r="423">
          <cell r="A423" t="str">
            <v>800540</v>
          </cell>
          <cell r="B423" t="str">
            <v>LDC 2</v>
          </cell>
          <cell r="D423" t="str">
            <v>no</v>
          </cell>
          <cell r="F423" t="str">
            <v>F0673</v>
          </cell>
          <cell r="G423" t="str">
            <v>New Main Extensions (S)</v>
          </cell>
          <cell r="H423" t="str">
            <v>Inst 695F 4P Eagle Creek NB</v>
          </cell>
          <cell r="I423" t="str">
            <v>in service</v>
          </cell>
          <cell r="J423" t="str">
            <v>Install 695' 4P main and 2090' 2P main to serve 44 new residential lots.</v>
          </cell>
          <cell r="L423">
            <v>42585</v>
          </cell>
          <cell r="O423">
            <v>42583</v>
          </cell>
          <cell r="P423" t="str">
            <v>0901-043021  JACKSON CTY/LEE'S SUMMIT OFFIC</v>
          </cell>
          <cell r="Q423">
            <v>32890.699999999997</v>
          </cell>
          <cell r="R423">
            <v>-7723</v>
          </cell>
        </row>
        <row r="424">
          <cell r="A424" t="str">
            <v>011138</v>
          </cell>
          <cell r="B424" t="str">
            <v>LDC 2</v>
          </cell>
          <cell r="D424" t="str">
            <v>no</v>
          </cell>
          <cell r="F424" t="str">
            <v>F0644</v>
          </cell>
          <cell r="G424" t="str">
            <v>Meter &amp; Reg Settings 2" &amp; Lg (S)</v>
          </cell>
          <cell r="H424" t="str">
            <v>MO Innovation Center 7M Meter Set</v>
          </cell>
          <cell r="I424" t="str">
            <v>open</v>
          </cell>
          <cell r="J424" t="str">
            <v>Install one new 7M Rotary Meter set to serve one new commercial customer - MO Innovation Center.</v>
          </cell>
          <cell r="P424" t="str">
            <v>0901-043021  JACKSON CTY/LEE'S SUMMIT OFFIC</v>
          </cell>
          <cell r="Q424">
            <v>1463.75</v>
          </cell>
          <cell r="R424">
            <v>-65</v>
          </cell>
        </row>
        <row r="425">
          <cell r="A425" t="str">
            <v>011137</v>
          </cell>
          <cell r="B425" t="str">
            <v>LDC 2</v>
          </cell>
          <cell r="D425" t="str">
            <v>no</v>
          </cell>
          <cell r="F425" t="str">
            <v>F1171</v>
          </cell>
          <cell r="G425" t="str">
            <v>Tools For MGE Operation Services</v>
          </cell>
          <cell r="H425" t="str">
            <v>Purch 3 Rycom Pipe Locators</v>
          </cell>
          <cell r="I425" t="str">
            <v>posted to CPR</v>
          </cell>
          <cell r="J425" t="str">
            <v>Purchase 3 Rycom cable/pipe locators for Lee's Summit I&amp;S Dept.  These are additional, not replacement items.</v>
          </cell>
          <cell r="K425" t="str">
            <v>Per Kelly Gaw - I&amp;S Supervisor 4-26-16
Note - On Quote, $600 is for replacement/upgrade of 3 units - to be charged to tool clearing project.</v>
          </cell>
          <cell r="L425">
            <v>42522</v>
          </cell>
          <cell r="M425">
            <v>42522</v>
          </cell>
          <cell r="N425">
            <v>42557.553055555603</v>
          </cell>
          <cell r="O425">
            <v>42522</v>
          </cell>
          <cell r="P425" t="str">
            <v>0901-043021  JACKSON CTY/LEE'S SUMMIT OFFIC</v>
          </cell>
          <cell r="Q425">
            <v>7975.96</v>
          </cell>
          <cell r="R425">
            <v>3</v>
          </cell>
        </row>
        <row r="426">
          <cell r="A426" t="str">
            <v>007712</v>
          </cell>
          <cell r="B426" t="str">
            <v>LDC 2</v>
          </cell>
          <cell r="C426" t="str">
            <v>09 - Facility Relocation due to Civic Improvement</v>
          </cell>
          <cell r="D426" t="str">
            <v>no</v>
          </cell>
          <cell r="E426" t="str">
            <v>20901143348</v>
          </cell>
          <cell r="F426" t="str">
            <v>F0623</v>
          </cell>
          <cell r="G426" t="str">
            <v>Street &amp; highway relocates</v>
          </cell>
          <cell r="H426" t="str">
            <v>Relocate 2in PE &amp; PCS 2400 LSRD CJ</v>
          </cell>
          <cell r="I426" t="str">
            <v>posted to CPR</v>
          </cell>
          <cell r="J426" t="str">
            <v>Relocate 2in PE and PCS 2400 LSRD: Lees Summit: Relocate for Street &amp; Highway-Public Improvements (44-388)</v>
          </cell>
          <cell r="K426" t="str">
            <v>Approved by: Joe Hampton on 02/26/2015,  ISRS Public Improvement Project - Lee's Summit Rd from Colbern to Gregory. Relocate 4" PCS, 4" PE, and 2" PE for road improvement project. LSRD is being widened to the east with new storm structures/culverts being installed and sidewalks. There will be major grade cuts at our existing DRS 45 and over existing long side service lines to 2651-2727 LSRD. Install 15' - 4" thin film on inlet to DRS (tap valve off 8" is UI), 30' - 4" thin film on outlet of DRS with new 4" UO gate valve, 235' - 4" PE, and 540' - 2" PE. Total footage: 820'. The DRS, IO piping, and 2" PE are in private easements - 585' of relocation. Reimbusable percentage is 585/820 = 71.3%. Main to abandon: 250' - 2" PCS (WO# 79-0755); 550' - 2" PE (WO# 89-9408). Rebuild DRS 45 on WO# 14-3347. Ck for $44956.75 rec'd 2-19-15</v>
          </cell>
          <cell r="L426">
            <v>42123</v>
          </cell>
          <cell r="M426">
            <v>42185</v>
          </cell>
          <cell r="N426">
            <v>42285.422754629602</v>
          </cell>
          <cell r="O426">
            <v>42125</v>
          </cell>
          <cell r="P426" t="str">
            <v>0901-043021  JACKSON CTY/LEE'S SUMMIT OFFIC</v>
          </cell>
          <cell r="Q426">
            <v>-11589.42</v>
          </cell>
          <cell r="R426">
            <v>-985.75</v>
          </cell>
        </row>
        <row r="427">
          <cell r="A427" t="str">
            <v>006736</v>
          </cell>
          <cell r="B427" t="str">
            <v>LDC 2</v>
          </cell>
          <cell r="D427" t="str">
            <v>no</v>
          </cell>
          <cell r="E427" t="str">
            <v>20901143886</v>
          </cell>
          <cell r="F427" t="str">
            <v>F0507</v>
          </cell>
          <cell r="G427" t="str">
            <v>Rebuild Meter Install 2'' &amp; Lg (S)</v>
          </cell>
          <cell r="H427" t="str">
            <v>Rebuild 3M Rotary Meter Set C K Ent</v>
          </cell>
          <cell r="I427" t="str">
            <v>posted to CPR</v>
          </cell>
          <cell r="J427" t="str">
            <v>Rebuild 3M Rotary Meter Set C K Enterprises: Lees Summit: Replace Meter &amp; Reg 2&amp;quot; &amp;  Larger - 3820/3830 (32-404)</v>
          </cell>
          <cell r="K427" t="str">
            <v>Approved by: Ralph Janes on 10/21/2014,  The RK 5000 meter at C K Enterprises at 1204 SW Jefferson St, premise# 371246, (installed on WO# 950577) with meter #06018054, is due for change out on the 2014 Time Limit Program.  Existing Load: 2,500 cfh.  Rebuild a 3M rotary meter setting and retire the existing RK 5000 meter set.</v>
          </cell>
          <cell r="L427">
            <v>42024</v>
          </cell>
          <cell r="M427">
            <v>42063</v>
          </cell>
          <cell r="N427">
            <v>42067.763518518499</v>
          </cell>
          <cell r="O427">
            <v>42005</v>
          </cell>
          <cell r="P427" t="str">
            <v>0901-043021  JACKSON CTY/LEE'S SUMMIT OFFIC</v>
          </cell>
          <cell r="Q427">
            <v>5217.53</v>
          </cell>
          <cell r="R427">
            <v>-45.5</v>
          </cell>
        </row>
        <row r="428">
          <cell r="A428" t="str">
            <v>006713</v>
          </cell>
          <cell r="B428" t="str">
            <v>LDC 2</v>
          </cell>
          <cell r="D428" t="str">
            <v>no</v>
          </cell>
          <cell r="E428" t="str">
            <v>20901143859</v>
          </cell>
          <cell r="F428" t="str">
            <v>F0676</v>
          </cell>
          <cell r="G428" t="str">
            <v>Meter &amp; regulator settings - 2" &amp; l</v>
          </cell>
          <cell r="H428" t="str">
            <v>Jack Stack Barbeque Inst 5M Mtr</v>
          </cell>
          <cell r="I428" t="str">
            <v>posted to CPR</v>
          </cell>
          <cell r="J428" t="str">
            <v>Jack Stack Barbeque : Lees Summit: New Meter &amp; Reg Settings - 2&amp;quot; &amp; Larger 3820/3830 (33-382)</v>
          </cell>
          <cell r="K428" t="str">
            <v>Approved by: Ralph Janes on 10/07/2014,  Install a 5M Rotary meter setting to serve one new commercial customer.  Note:  435' - 1-1/4" pe service line to be installed on BWO.</v>
          </cell>
          <cell r="L428">
            <v>42087</v>
          </cell>
          <cell r="M428">
            <v>42094</v>
          </cell>
          <cell r="N428">
            <v>42100.335231481498</v>
          </cell>
          <cell r="O428">
            <v>42064</v>
          </cell>
          <cell r="P428" t="str">
            <v>0901-043021  JACKSON CTY/LEE'S SUMMIT OFFIC</v>
          </cell>
          <cell r="Q428">
            <v>3505.59</v>
          </cell>
          <cell r="R428">
            <v>-36.5</v>
          </cell>
        </row>
        <row r="429">
          <cell r="A429" t="str">
            <v>006553</v>
          </cell>
          <cell r="B429" t="str">
            <v>LDC 2</v>
          </cell>
          <cell r="D429" t="str">
            <v>no</v>
          </cell>
          <cell r="E429" t="str">
            <v>20901143810</v>
          </cell>
          <cell r="F429" t="str">
            <v>F0602</v>
          </cell>
          <cell r="G429" t="str">
            <v>New business</v>
          </cell>
          <cell r="H429" t="str">
            <v>Todd George Mktplace-Strip Ctr Main</v>
          </cell>
          <cell r="I429" t="str">
            <v>posted to CPR</v>
          </cell>
          <cell r="J429" t="str">
            <v>Todd George Marketplace - Strip Center: Lees Summit: New Main Extension - Contractor Crews  3760 (33-380)</v>
          </cell>
          <cell r="K429" t="str">
            <v>Approved by: Ralph Janes on 09/22/2014,  Install 1,340' - 4" pe main extension to serve a new retail strip center.  2 - 1-1/4" pe service lines to be installed on BWO - 1 = 395' long with an 11 meter header and 1 = 550' long with a 12 meter header.</v>
          </cell>
          <cell r="L429">
            <v>41973</v>
          </cell>
          <cell r="M429">
            <v>41973</v>
          </cell>
          <cell r="N429">
            <v>42072.429664351897</v>
          </cell>
          <cell r="O429">
            <v>41944</v>
          </cell>
          <cell r="P429" t="str">
            <v>0901-043021  JACKSON CTY/LEE'S SUMMIT OFFIC</v>
          </cell>
          <cell r="Q429">
            <v>36637.379999999997</v>
          </cell>
          <cell r="R429">
            <v>-2904</v>
          </cell>
        </row>
        <row r="430">
          <cell r="A430" t="str">
            <v>006474</v>
          </cell>
          <cell r="B430" t="str">
            <v>LDC 2</v>
          </cell>
          <cell r="D430" t="str">
            <v>no</v>
          </cell>
          <cell r="E430" t="str">
            <v>20901143800</v>
          </cell>
          <cell r="F430" t="str">
            <v>F0602</v>
          </cell>
          <cell r="G430" t="str">
            <v>New business</v>
          </cell>
          <cell r="H430" t="str">
            <v>Residences @ New Longview Clubhouse</v>
          </cell>
          <cell r="I430" t="str">
            <v>posted to CPR</v>
          </cell>
          <cell r="J430" t="str">
            <v>Residences @ New Longview Clubhouse Main Extension: Lees Summit: New Main Extension - Contractor Crews  3760 (33-380)</v>
          </cell>
          <cell r="K430" t="str">
            <v>Approved by: Ray Wilson on 09/15/2014,  Install 635' - 6" pe main extension to serve one new commercial customer. Note 1:  We plan to install 6in main because this is a huge planned commercial development that is growing from several directions and we want to end up with a looped 6in main line system through the project. Minimum to serve the clubhouse is 2in plastic main for a total project estimated cost of $6,384.38.
Note 2:  20' - 1/2" pe service line and 1,000 diaphragm meter set to be installed on BWOs.</v>
          </cell>
          <cell r="L430">
            <v>41990</v>
          </cell>
          <cell r="M430">
            <v>42063</v>
          </cell>
          <cell r="N430">
            <v>42160.553645833301</v>
          </cell>
          <cell r="O430">
            <v>42005</v>
          </cell>
          <cell r="P430" t="str">
            <v>0901-043021  JACKSON CTY/LEE'S SUMMIT OFFIC</v>
          </cell>
          <cell r="Q430">
            <v>26987.09</v>
          </cell>
          <cell r="R430">
            <v>-1648</v>
          </cell>
        </row>
        <row r="431">
          <cell r="A431" t="str">
            <v>005151</v>
          </cell>
          <cell r="B431" t="str">
            <v>LDC 2</v>
          </cell>
          <cell r="D431" t="str">
            <v>no</v>
          </cell>
          <cell r="E431" t="str">
            <v>20901143512</v>
          </cell>
          <cell r="F431" t="str">
            <v>F0538</v>
          </cell>
          <cell r="G431" t="str">
            <v>Other Communication Costs</v>
          </cell>
          <cell r="H431" t="str">
            <v>SCADA Repl Chipman and Ward DRS 11</v>
          </cell>
          <cell r="I431" t="str">
            <v>in service</v>
          </cell>
          <cell r="J431" t="str">
            <v>SCADA Repl Chipman and Ward DRS 11: Lees Summit: Other Capital Communications  3970 (41-415)</v>
          </cell>
          <cell r="K431" t="str">
            <v>Approved by: Rob Kitterman on 04/30/2014,  Replacement of ALL SCADA electronic equipment is necessary due to a high voltage electrical power surge causing damage beyond repair.  A 3rd party vehicle damaged a street light pole causing the power surge.  All expenses are to be billed back to the 3rd party (Lee's Summit Police Report on file)Located with District Regulator Station #11, Chipman &amp; Ward.</v>
          </cell>
          <cell r="L431">
            <v>42522</v>
          </cell>
          <cell r="O431">
            <v>42522</v>
          </cell>
          <cell r="P431" t="str">
            <v>0901-043021  JACKSON CTY/LEE'S SUMMIT OFFIC</v>
          </cell>
          <cell r="Q431">
            <v>15937.33</v>
          </cell>
          <cell r="R431">
            <v>4</v>
          </cell>
        </row>
        <row r="432">
          <cell r="A432" t="str">
            <v>004887</v>
          </cell>
          <cell r="B432" t="str">
            <v>LDC 2</v>
          </cell>
          <cell r="D432" t="str">
            <v>no</v>
          </cell>
          <cell r="E432" t="str">
            <v>20901143305</v>
          </cell>
          <cell r="F432" t="str">
            <v>F0602</v>
          </cell>
          <cell r="G432" t="str">
            <v>New business</v>
          </cell>
          <cell r="H432" t="str">
            <v>NE Lakewood Lay 1195'-2in PE main e</v>
          </cell>
          <cell r="I432" t="str">
            <v>posted to CPR</v>
          </cell>
          <cell r="J432" t="str">
            <v>NE Lakewood Lay 1195'-2in PE main ext: Lees Summit: New Main Extension - Contractor Crews  3760 (33-380)</v>
          </cell>
          <cell r="K432" t="str">
            <v>Approved by: Ralph Janes on 01/20/2014,  Install 1,195' - 2" pe main extension to serve one new commercial customer.  Note:  110' - 1-1/4" pe service line to be installed on bwo - evf not required as load is over 1,000 cfh. Jackson County Sheriff Office Generator.  Per WOES, customer contribution is $11,582 - Non-Refundable.</v>
          </cell>
          <cell r="L432">
            <v>41758</v>
          </cell>
          <cell r="M432">
            <v>41821</v>
          </cell>
          <cell r="N432">
            <v>41953.447500000002</v>
          </cell>
          <cell r="O432">
            <v>41760</v>
          </cell>
          <cell r="P432" t="str">
            <v>0901-043021  JACKSON CTY/LEE'S SUMMIT OFFIC</v>
          </cell>
          <cell r="Q432">
            <v>5728.97</v>
          </cell>
          <cell r="R432">
            <v>-2719</v>
          </cell>
        </row>
        <row r="433">
          <cell r="A433" t="str">
            <v>004894</v>
          </cell>
          <cell r="B433" t="str">
            <v>LDC 2</v>
          </cell>
          <cell r="D433" t="str">
            <v>no</v>
          </cell>
          <cell r="E433" t="str">
            <v>20901143453</v>
          </cell>
          <cell r="F433" t="str">
            <v>F0507</v>
          </cell>
          <cell r="G433" t="str">
            <v>Rebuild Meter Install 2'' &amp; Lg (S)</v>
          </cell>
          <cell r="H433" t="str">
            <v>905 NW Chipman Retire 2M Meter</v>
          </cell>
          <cell r="I433" t="str">
            <v>posted to CPR</v>
          </cell>
          <cell r="J433" t="str">
            <v>905 NW Chipman Retire 2M Meter: Lees Summit: Replace Meter &amp; Reg 2&amp;quot; &amp;  Larger - 3820/3830 (32-404)</v>
          </cell>
          <cell r="K433" t="str">
            <v>Approved by: Ralph Janes on 03/28/2014,  Remove and dismantle the 2M rotary meter setting (meter# 09921253, installed on WO# 99-8709) at Original Pizza in Lee's Summit due to the building is being demolished.</v>
          </cell>
          <cell r="L433">
            <v>41747</v>
          </cell>
          <cell r="M433">
            <v>41881</v>
          </cell>
          <cell r="N433">
            <v>41890.702789351897</v>
          </cell>
          <cell r="P433" t="str">
            <v>0901-043021  JACKSON CTY/LEE'S SUMMIT OFFIC</v>
          </cell>
          <cell r="Q433">
            <v>968.73</v>
          </cell>
          <cell r="R433">
            <v>1</v>
          </cell>
        </row>
        <row r="434">
          <cell r="A434" t="str">
            <v>004028</v>
          </cell>
          <cell r="B434" t="str">
            <v>LDC 2</v>
          </cell>
          <cell r="D434" t="str">
            <v>yes</v>
          </cell>
          <cell r="E434" t="str">
            <v>20901132945</v>
          </cell>
          <cell r="F434" t="str">
            <v>F0578</v>
          </cell>
          <cell r="G434" t="str">
            <v>Street &amp; Highway Relocates ISRS (S)</v>
          </cell>
          <cell r="H434" t="str">
            <v>Country Ln Reloc 30'-2in PE main</v>
          </cell>
          <cell r="I434" t="str">
            <v>posted to CPR</v>
          </cell>
          <cell r="J434" t="str">
            <v>Country Ln Reloc 30'-2in PE main: Lees Summit: Country Lane and Country Place</v>
          </cell>
          <cell r="K434" t="str">
            <v>Approved by: Ralph Janes on 09/05/2013,  Public Improvement Project: Country Lane Storm. Install a 20' x 5' dogleg for a new storm inlet at Country Lane and Country Place. Install 30' of 2in PE and retire 20' of 3in PE (WO# 78-3836). ISRS</v>
          </cell>
          <cell r="L434">
            <v>41530</v>
          </cell>
          <cell r="M434">
            <v>41599</v>
          </cell>
          <cell r="N434">
            <v>41603.384722222203</v>
          </cell>
          <cell r="O434">
            <v>41730</v>
          </cell>
          <cell r="P434" t="str">
            <v>0901-043021  JACKSON CTY/LEE'S SUMMIT OFFIC</v>
          </cell>
          <cell r="Q434">
            <v>2357.29</v>
          </cell>
          <cell r="R434">
            <v>124</v>
          </cell>
        </row>
        <row r="435">
          <cell r="A435" t="str">
            <v>003994</v>
          </cell>
          <cell r="B435" t="str">
            <v>LDC 2</v>
          </cell>
          <cell r="D435" t="str">
            <v>no</v>
          </cell>
          <cell r="E435" t="str">
            <v>20515132638</v>
          </cell>
          <cell r="F435" t="str">
            <v>F0657</v>
          </cell>
          <cell r="G435" t="str">
            <v>Services - 2" &amp; larger</v>
          </cell>
          <cell r="H435" t="str">
            <v>Joplin E Middle School Repl 2in Ser</v>
          </cell>
          <cell r="I435" t="str">
            <v>posted to CPR</v>
          </cell>
          <cell r="J435" t="str">
            <v>Joplin E Middle School Repl 2in Service: Duquesne: 4592 E 20th</v>
          </cell>
          <cell r="K435" t="str">
            <v>Approved by: Galen Shoemaker on 04/23/2013,  JOPLIN TORNADO. Replace 465' - 2in PE service to Joplin East Middle School. Service was abandoned on WO#12-1169 after Joplin Tornado. 16M meter set will be installed on WO#13-2641. Project Location: 4592 E 20th; Pressure System: C-1; MOP: 58 psig; MAOP: 58 psig; Design: 58 psig; Test: 100 psig; $29.31/ft</v>
          </cell>
          <cell r="L435">
            <v>41401</v>
          </cell>
          <cell r="M435">
            <v>41575</v>
          </cell>
          <cell r="N435">
            <v>41576.418506944399</v>
          </cell>
          <cell r="P435" t="str">
            <v>0515-044022  JASPER CTY/VILLAGE OF DUQUESNE</v>
          </cell>
          <cell r="Q435">
            <v>0</v>
          </cell>
          <cell r="R435">
            <v>1021</v>
          </cell>
        </row>
        <row r="436">
          <cell r="A436" t="str">
            <v>007197</v>
          </cell>
          <cell r="B436" t="str">
            <v>LDC 2</v>
          </cell>
          <cell r="D436" t="str">
            <v>yes</v>
          </cell>
          <cell r="E436" t="str">
            <v>21251144040</v>
          </cell>
          <cell r="F436" t="str">
            <v>F0636</v>
          </cell>
          <cell r="G436" t="str">
            <v>Replace steel &amp; plastic main</v>
          </cell>
          <cell r="H436" t="str">
            <v>2in PCS replacement</v>
          </cell>
          <cell r="I436" t="str">
            <v>posted to CPR</v>
          </cell>
          <cell r="J436" t="str">
            <v>2in PCS replacement: Kansas City-Platte Co: Replace Coated Steel &amp; Plastic Main - 3760 (34-396)</v>
          </cell>
          <cell r="K436" t="str">
            <v>Approved by: Kevin Driskell on 12/16/2014,  Replace 4' of 2'' PCS due to leak.</v>
          </cell>
          <cell r="L436">
            <v>41778</v>
          </cell>
          <cell r="M436">
            <v>42063</v>
          </cell>
          <cell r="N436">
            <v>42160.554108796299</v>
          </cell>
          <cell r="O436">
            <v>42005</v>
          </cell>
          <cell r="P436" t="str">
            <v>1251-075010  PLATTE CTY/KANSAS CITY NORTH</v>
          </cell>
          <cell r="Q436">
            <v>1703.59</v>
          </cell>
          <cell r="R436">
            <v>33.4</v>
          </cell>
        </row>
        <row r="437">
          <cell r="A437" t="str">
            <v>005394</v>
          </cell>
          <cell r="B437" t="str">
            <v>LDC 2</v>
          </cell>
          <cell r="D437" t="str">
            <v>yes</v>
          </cell>
          <cell r="E437" t="str">
            <v>21251143578</v>
          </cell>
          <cell r="F437" t="str">
            <v>F0665</v>
          </cell>
          <cell r="G437" t="str">
            <v>Replace steel &amp; plastic main</v>
          </cell>
          <cell r="H437" t="str">
            <v>N Overland Dr Repl 16'-8in CS main</v>
          </cell>
          <cell r="I437" t="str">
            <v>posted to CPR</v>
          </cell>
          <cell r="J437" t="str">
            <v>N Overland Dr Repl 16'-8in CS main: Kansas City-Platte Co: Replace Coated Steel &amp; Plastic Main - 3760 (34-396)</v>
          </cell>
          <cell r="K437" t="str">
            <v>Approved by: Kevin Driskell on 05/28/2014,  Replace 16ft of 8'' PCS due to 3rd party damage. Pressure system C-041 Ret 16'-8in coated steel, year 1967, wo 67-1440.</v>
          </cell>
          <cell r="L437">
            <v>41772</v>
          </cell>
          <cell r="M437">
            <v>41821</v>
          </cell>
          <cell r="N437">
            <v>41953.4476041667</v>
          </cell>
          <cell r="O437">
            <v>41821</v>
          </cell>
          <cell r="P437" t="str">
            <v>1251-075010  PLATTE CTY/KANSAS CITY NORTH</v>
          </cell>
          <cell r="Q437">
            <v>3219.73</v>
          </cell>
          <cell r="R437">
            <v>-36</v>
          </cell>
        </row>
        <row r="438">
          <cell r="A438" t="str">
            <v>008674</v>
          </cell>
          <cell r="B438" t="str">
            <v>LDC 2</v>
          </cell>
          <cell r="D438" t="str">
            <v>yes</v>
          </cell>
          <cell r="E438" t="str">
            <v>20901155368</v>
          </cell>
          <cell r="F438" t="str">
            <v>F0578</v>
          </cell>
          <cell r="G438" t="str">
            <v>Street &amp; Highway Relocates ISRS (S)</v>
          </cell>
          <cell r="H438" t="str">
            <v>Manhattan Dr.- 4in PE Relocatio</v>
          </cell>
          <cell r="I438" t="str">
            <v>posted to CPR</v>
          </cell>
          <cell r="J438" t="str">
            <v>Manhattan Dr.- 4in PE Relocation: Lees Summit: Relocate for Street &amp; Highway-Public Improvements (44-388)</v>
          </cell>
          <cell r="K438" t="str">
            <v>Approved by: Kevin Driskell on 06/01/2015,  This work order is necessary to relocate 4" PE main in conflict with a Public Works Project.  Abandon 46' of 4" PE.  Install 54' of 4" PE.</v>
          </cell>
          <cell r="L438">
            <v>42237</v>
          </cell>
          <cell r="M438">
            <v>42247</v>
          </cell>
          <cell r="N438">
            <v>42345.490416666697</v>
          </cell>
          <cell r="O438">
            <v>42217</v>
          </cell>
          <cell r="P438" t="str">
            <v>0901-043021  JACKSON CTY/LEE'S SUMMIT OFFIC</v>
          </cell>
          <cell r="Q438">
            <v>880.12</v>
          </cell>
          <cell r="R438">
            <v>-14</v>
          </cell>
        </row>
        <row r="439">
          <cell r="A439" t="str">
            <v>009196</v>
          </cell>
          <cell r="B439" t="str">
            <v>LDC 2</v>
          </cell>
          <cell r="D439" t="str">
            <v>no</v>
          </cell>
          <cell r="E439" t="str">
            <v>20605155350</v>
          </cell>
          <cell r="F439" t="str">
            <v>F0630</v>
          </cell>
          <cell r="G439" t="str">
            <v>Meter &amp; Reg Settings 2" &amp; Lg (SW)</v>
          </cell>
          <cell r="H439" t="str">
            <v>Inst. Prefab Setting For 7M Rotary</v>
          </cell>
          <cell r="I439" t="str">
            <v>posted to CPR</v>
          </cell>
          <cell r="J439" t="str">
            <v>Inst. Prefab Setting For 7M Rotary
: Golden City: New Meter &amp; Reg Settings - 2in &amp; Larger 3820/3830 (33-382)</v>
          </cell>
          <cell r="K439" t="str">
            <v>Approved by: Michael Fornelli on 07/24/2015,  This job is necessary to serve a new irrigation operation in Golden City. Will install prefab setting for 7M rotary meter. Customer installing 5 turbocharged Cat 3406 engines with a demand of 1800 cfh each. Will deliver 35 psig. Will use 2" flanged CL34-2 reg with 1/2" orifice, orange closing spring and silver pilot spring. Wiill use 1" Fisher relief set at 40 psig. System 0605-S-2 MAOP=58 PSIG  MOP=55 PSIG</v>
          </cell>
          <cell r="L439">
            <v>42216</v>
          </cell>
          <cell r="M439">
            <v>42491</v>
          </cell>
          <cell r="N439">
            <v>42528.313333333303</v>
          </cell>
          <cell r="O439">
            <v>42248</v>
          </cell>
          <cell r="P439" t="str">
            <v>0605-006007  BARTON CTY/GOLDEN CITY</v>
          </cell>
          <cell r="Q439">
            <v>6765.59</v>
          </cell>
          <cell r="R439">
            <v>-35</v>
          </cell>
        </row>
        <row r="440">
          <cell r="A440" t="str">
            <v>007591</v>
          </cell>
          <cell r="B440" t="str">
            <v>LDC 2</v>
          </cell>
          <cell r="D440" t="str">
            <v>yes</v>
          </cell>
          <cell r="E440" t="str">
            <v>21001155065</v>
          </cell>
          <cell r="F440" t="str">
            <v>F0678</v>
          </cell>
          <cell r="G440" t="str">
            <v>Replace bare steel main - safety re</v>
          </cell>
          <cell r="H440" t="str">
            <v>Repl 255ft of 6in BS w/ 4in PE.</v>
          </cell>
          <cell r="I440" t="str">
            <v>posted to CPR</v>
          </cell>
          <cell r="J440" t="str">
            <v>Repl 255ft of 6in BS w/ 4in PE.: St Joseph: Replace Bare Steel Main - 3760 Safety Related (34-394)</v>
          </cell>
          <cell r="K440" t="str">
            <v>Approved by: Gary Williams on 02/06/2015,  Replace 255' of 6in Bare Steel with 4in Plastic pipe due to down CP project. ISRS</v>
          </cell>
          <cell r="L440">
            <v>42094</v>
          </cell>
          <cell r="M440">
            <v>42217</v>
          </cell>
          <cell r="N440">
            <v>42284.723275463002</v>
          </cell>
          <cell r="O440">
            <v>42095</v>
          </cell>
          <cell r="P440" t="str">
            <v>1001-010001  ST. JOSEPH CITY/BUCHANAN</v>
          </cell>
          <cell r="Q440">
            <v>23543.39</v>
          </cell>
          <cell r="R440">
            <v>-502</v>
          </cell>
        </row>
        <row r="441">
          <cell r="A441" t="str">
            <v>004487</v>
          </cell>
          <cell r="B441" t="str">
            <v>LDC 2</v>
          </cell>
          <cell r="D441" t="str">
            <v>no</v>
          </cell>
          <cell r="E441" t="str">
            <v>21001132941</v>
          </cell>
          <cell r="F441" t="str">
            <v>F0560</v>
          </cell>
          <cell r="G441" t="str">
            <v>Tools, instruments &amp; equipment</v>
          </cell>
          <cell r="H441" t="str">
            <v>PUR-2- Radiodetection RD7000</v>
          </cell>
          <cell r="I441" t="str">
            <v>posted to CPR</v>
          </cell>
          <cell r="J441" t="str">
            <v>PUR-2- Radiodetection RD7000: St Joseph: 402 CEDAR</v>
          </cell>
          <cell r="K441" t="str">
            <v>Approved by: Gary Williams on 08/28/2013,  The RD7000 is to replace the other locators that are obsolete.The RD7000 is only carried by Subsurface Solutions.</v>
          </cell>
          <cell r="L441">
            <v>41520</v>
          </cell>
          <cell r="M441">
            <v>41578</v>
          </cell>
          <cell r="N441">
            <v>41584.396388888897</v>
          </cell>
          <cell r="P441" t="str">
            <v>1001-010001  ST. JOSEPH CITY/BUCHANAN</v>
          </cell>
          <cell r="Q441">
            <v>8519.48</v>
          </cell>
          <cell r="R441">
            <v>13920</v>
          </cell>
        </row>
        <row r="442">
          <cell r="A442" t="str">
            <v>004483</v>
          </cell>
          <cell r="B442" t="str">
            <v>LDC 2</v>
          </cell>
          <cell r="D442" t="str">
            <v>yes</v>
          </cell>
          <cell r="E442" t="str">
            <v>21213132956</v>
          </cell>
          <cell r="F442" t="str">
            <v>F0665</v>
          </cell>
          <cell r="G442" t="str">
            <v>Replace steel &amp; plastic main</v>
          </cell>
          <cell r="H442" t="str">
            <v>1026 Fredericksburg Repl PCS w 21'-</v>
          </cell>
          <cell r="I442" t="str">
            <v>posted to CPR</v>
          </cell>
          <cell r="J442" t="str">
            <v>1026 Fredericksburg Repl PCS w 21'-2in TF: Excelsior Sprgs-Clay Co: 1026 Fredericksburg</v>
          </cell>
          <cell r="K442" t="str">
            <v>Approved by: Kevin Driskell on 09/23/2013,  Repalce 21' of 2'' PCS (WO # 64-5275) due to leak.</v>
          </cell>
          <cell r="L442">
            <v>41404</v>
          </cell>
          <cell r="M442">
            <v>41626</v>
          </cell>
          <cell r="N442">
            <v>41627.5828819444</v>
          </cell>
          <cell r="O442">
            <v>41730</v>
          </cell>
          <cell r="P442" t="str">
            <v>1213-020018  CLAY CTY/EXCEL SPRINGS</v>
          </cell>
          <cell r="Q442">
            <v>3908.88</v>
          </cell>
          <cell r="R442">
            <v>86</v>
          </cell>
        </row>
        <row r="443">
          <cell r="A443" t="str">
            <v>801129</v>
          </cell>
          <cell r="B443" t="str">
            <v>LDC 2</v>
          </cell>
          <cell r="D443" t="str">
            <v>no</v>
          </cell>
          <cell r="F443" t="str">
            <v>F0673</v>
          </cell>
          <cell r="G443" t="str">
            <v>New Main Extensions (S)</v>
          </cell>
          <cell r="H443" t="str">
            <v>Inst 200F 2P C&amp;M Builders Shop Bldg</v>
          </cell>
          <cell r="I443" t="str">
            <v>open</v>
          </cell>
          <cell r="J443" t="str">
            <v>Install ~ 200' of 2'' PE IP Main.  Install ~ 215' of 1/2'' PE IP Service.</v>
          </cell>
          <cell r="K443" t="str">
            <v>To serve new commercial customer. 2 meter header.  Total Load 454 CFH, 2 Unit Heaters.</v>
          </cell>
          <cell r="P443" t="str">
            <v>0923-016020  CASS CTY/PECULIAR</v>
          </cell>
          <cell r="Q443">
            <v>512.46</v>
          </cell>
          <cell r="R443">
            <v>-724</v>
          </cell>
        </row>
        <row r="444">
          <cell r="A444" t="str">
            <v>004522</v>
          </cell>
          <cell r="B444" t="str">
            <v>LDC 2</v>
          </cell>
          <cell r="D444" t="str">
            <v>no</v>
          </cell>
          <cell r="E444" t="str">
            <v>20925132530</v>
          </cell>
          <cell r="F444" t="str">
            <v>F0597</v>
          </cell>
          <cell r="G444" t="str">
            <v>Other</v>
          </cell>
          <cell r="H444" t="str">
            <v>EGM Replace - Kohls Distribution Wa</v>
          </cell>
          <cell r="I444" t="str">
            <v>posted to CPR</v>
          </cell>
          <cell r="J444" t="str">
            <v>EGM Replace - Kohls Distribution Warehouse: Grain Valley: 2015 NE Jefferson Rd - Grain Valley</v>
          </cell>
          <cell r="K444" t="str">
            <v>Approved by: Rob Kitterman on 04/08/2013,  Replace EGM equipment at Kohls Dist WH with a new Mini-AT-PT, S/N: 13001489, &amp; Messenger Modem. Existing meter is a Roots 23M rotary meter# 09836357. The existing equipment was damaged beyond repair. Retire the damaged ECAT, S/N: 9711350 on this WO as well.</v>
          </cell>
          <cell r="L444">
            <v>41469</v>
          </cell>
          <cell r="M444">
            <v>41575</v>
          </cell>
          <cell r="N444">
            <v>41576.418541666702</v>
          </cell>
          <cell r="P444" t="str">
            <v>0925-043035  JACKSON CTY/GRAIN VALLEY</v>
          </cell>
          <cell r="Q444">
            <v>3260.9</v>
          </cell>
          <cell r="R444">
            <v>5</v>
          </cell>
        </row>
        <row r="445">
          <cell r="A445" t="str">
            <v>008953</v>
          </cell>
          <cell r="B445" t="str">
            <v>LDC 2</v>
          </cell>
          <cell r="D445" t="str">
            <v>no</v>
          </cell>
          <cell r="E445" t="str">
            <v>20101155441</v>
          </cell>
          <cell r="F445" t="str">
            <v>F0577</v>
          </cell>
          <cell r="G445" t="str">
            <v>ERT Purchases</v>
          </cell>
          <cell r="H445" t="str">
            <v>Purchase New 100G National Erts</v>
          </cell>
          <cell r="I445" t="str">
            <v>posted to CPR</v>
          </cell>
          <cell r="J445" t="str">
            <v>Purchase New 100G National Erts: Kansas City CORP: Purchase ERT (Electronic Reading Transmitter)  3971 (32-312)</v>
          </cell>
          <cell r="K445" t="str">
            <v>Approved by: John Jankovich on 07/14/2015,  Following purchase is for stock / Ert Changeout Program</v>
          </cell>
          <cell r="L445">
            <v>42460</v>
          </cell>
          <cell r="M445">
            <v>42461</v>
          </cell>
          <cell r="N445">
            <v>42496.560798611099</v>
          </cell>
          <cell r="O445">
            <v>42461</v>
          </cell>
          <cell r="P445" t="str">
            <v>1904-043050  JACKSON CTY/KC</v>
          </cell>
          <cell r="Q445">
            <v>123379.2</v>
          </cell>
          <cell r="R445">
            <v>3200</v>
          </cell>
        </row>
        <row r="446">
          <cell r="A446" t="str">
            <v>007188</v>
          </cell>
          <cell r="B446" t="str">
            <v>LDC 2</v>
          </cell>
          <cell r="D446" t="str">
            <v>no</v>
          </cell>
          <cell r="E446" t="str">
            <v>20101144023</v>
          </cell>
          <cell r="F446" t="str">
            <v>F0529</v>
          </cell>
          <cell r="G446" t="str">
            <v>Meter Purchases - MGE</v>
          </cell>
          <cell r="H446" t="str">
            <v>Pur 400,800 and 1000 Class Mtrs Jun</v>
          </cell>
          <cell r="I446" t="str">
            <v>posted to CPR</v>
          </cell>
          <cell r="J446" t="str">
            <v>Pur 400,800 and 1000 Class Mtrs June 2015   : Kansas City CORP: Purchase Domestic Diaphragm  Meters - 3810 (32-398)</v>
          </cell>
          <cell r="K446" t="str">
            <v>Approved by: Steve Holcomb on 12/08/2014,  Replacements and new sets.</v>
          </cell>
          <cell r="L446">
            <v>42083</v>
          </cell>
          <cell r="M446">
            <v>42461</v>
          </cell>
          <cell r="N446">
            <v>42496.560138888897</v>
          </cell>
          <cell r="O446">
            <v>42186</v>
          </cell>
          <cell r="P446" t="str">
            <v>1904-043050  JACKSON CTY/KC</v>
          </cell>
          <cell r="Q446">
            <v>142740.23000000001</v>
          </cell>
          <cell r="R446">
            <v>444</v>
          </cell>
        </row>
        <row r="447">
          <cell r="A447" t="str">
            <v>004171</v>
          </cell>
          <cell r="B447" t="str">
            <v>LDC 2</v>
          </cell>
          <cell r="D447" t="str">
            <v>no</v>
          </cell>
          <cell r="E447" t="str">
            <v>21904121925</v>
          </cell>
          <cell r="F447" t="str">
            <v>F0577</v>
          </cell>
          <cell r="G447" t="str">
            <v>ERT Purchases</v>
          </cell>
          <cell r="H447" t="str">
            <v>Pur 10000 100G Dom Erts Repl Progra</v>
          </cell>
          <cell r="I447" t="str">
            <v>posted to CPR</v>
          </cell>
          <cell r="J447" t="str">
            <v>Pur 10000 100G Dom Erts Repl Program Mar: Kansas City CORP: Central Plant Meter Shop</v>
          </cell>
          <cell r="K447" t="str">
            <v>Approved by: Rob Hack on 11/14/2012,  Purchase domestic 100G Am Erts 5198300 Rk Erts 5198310 for the Replacement Program</v>
          </cell>
          <cell r="L447">
            <v>41353</v>
          </cell>
          <cell r="M447">
            <v>41353</v>
          </cell>
          <cell r="N447">
            <v>41562.537280092598</v>
          </cell>
          <cell r="P447" t="str">
            <v>1904-043050  JACKSON CTY/KC</v>
          </cell>
          <cell r="Q447">
            <v>502427.2</v>
          </cell>
          <cell r="R447">
            <v>0</v>
          </cell>
        </row>
        <row r="448">
          <cell r="A448" t="str">
            <v>800869</v>
          </cell>
          <cell r="B448" t="str">
            <v>LDC 2</v>
          </cell>
          <cell r="D448" t="str">
            <v>no</v>
          </cell>
          <cell r="F448" t="str">
            <v>F0647</v>
          </cell>
          <cell r="G448" t="str">
            <v>New Main Extensions (N)</v>
          </cell>
          <cell r="H448" t="str">
            <v>Install 3300F 2-4P 9501 Parvin Rd</v>
          </cell>
          <cell r="I448" t="str">
            <v>open</v>
          </cell>
          <cell r="J448" t="str">
            <v>Install approximately 3300ft of 4in IP PL and 200ft of 2in IP PL (Service) to service new commercial customer.</v>
          </cell>
          <cell r="K448" t="str">
            <v>LOAD (3,500 CFH)-9501 NE PARVIN RD + FUTURE LOAD (7,500 CFH) = 11,000 CFH.</v>
          </cell>
          <cell r="P448" t="str">
            <v>1271-020036  CLAY CTY/KANSAS CITY</v>
          </cell>
          <cell r="Q448">
            <v>13651.38</v>
          </cell>
          <cell r="R448">
            <v>-7705</v>
          </cell>
        </row>
        <row r="449">
          <cell r="A449" t="str">
            <v>004528</v>
          </cell>
          <cell r="B449" t="str">
            <v>LDC 2</v>
          </cell>
          <cell r="D449" t="str">
            <v>no</v>
          </cell>
          <cell r="E449" t="str">
            <v>21271132393</v>
          </cell>
          <cell r="F449" t="str">
            <v>F0597</v>
          </cell>
          <cell r="G449" t="str">
            <v>Other</v>
          </cell>
          <cell r="H449" t="str">
            <v>Replace EGM KC Water Dept - Briarcl</v>
          </cell>
          <cell r="I449" t="str">
            <v>posted to CPR</v>
          </cell>
          <cell r="J449" t="str">
            <v>Replace EGM KC Water Dept - Briarcliff: Kansas City-Clay Co: 1 NW Briarcliff, Kansas City, MO</v>
          </cell>
          <cell r="K449" t="str">
            <v>Approved by: Rob Kitterman on 04/04/2013,  Replace and retire EGM equipment at KC Water - Briarcliff with a new Mini-AT-PT on WO# 12-2393. Existing meter is a Roots 16M meter# 00146827. The existing EGM equipment (WO# 08704-000794) has been damaged beyond repair. Retirement info: Mini-PT w/SIP-2CH S/N: 9402900, 0-60# transducer.</v>
          </cell>
          <cell r="L449">
            <v>41469</v>
          </cell>
          <cell r="M449">
            <v>41575</v>
          </cell>
          <cell r="N449">
            <v>41576.418553240699</v>
          </cell>
          <cell r="P449" t="str">
            <v>1271-020036  CLAY CTY/KANSAS CITY</v>
          </cell>
          <cell r="Q449">
            <v>5093.3999999999996</v>
          </cell>
          <cell r="R449">
            <v>5</v>
          </cell>
        </row>
        <row r="450">
          <cell r="A450" t="str">
            <v>004653</v>
          </cell>
          <cell r="B450" t="str">
            <v>LDC 2</v>
          </cell>
          <cell r="D450" t="str">
            <v>no</v>
          </cell>
          <cell r="E450" t="str">
            <v>21271132989</v>
          </cell>
          <cell r="F450" t="str">
            <v>F0610</v>
          </cell>
          <cell r="G450" t="str">
            <v>New business</v>
          </cell>
          <cell r="H450" t="str">
            <v>N Walrond Lay 377'-2in PE main ext</v>
          </cell>
          <cell r="I450" t="str">
            <v>posted to CPR</v>
          </cell>
          <cell r="J450" t="str">
            <v>N Walrond Lay 377'-2in PE main ext: Kansas City-Clay Co: N WALROND AVE &amp; NE 78TH TER</v>
          </cell>
          <cell r="K450" t="str">
            <v>Approved by: Kevin Driskell on 10/17/2013,  EXTENDING 377 FT-2 IN PE DUE TO STREET NOW READY &amp; HOUSES BUILT.  MGE GIVE 75' PER 8 LOTS=600'.  ONE WAY FEED.  DEVELOPER ALREADY PAID FOR THIS FOOTAGE ON W.O.#04-5428; BUT STREET WASN'T FINISHED.  NO CHARGE TO DEVELOPER.  COST PER FOOT=$19.28.</v>
          </cell>
          <cell r="L450">
            <v>41530</v>
          </cell>
          <cell r="M450">
            <v>41670</v>
          </cell>
          <cell r="N450">
            <v>41677.509803240697</v>
          </cell>
          <cell r="O450">
            <v>41730</v>
          </cell>
          <cell r="P450" t="str">
            <v>1271-020036  CLAY CTY/KANSAS CITY</v>
          </cell>
          <cell r="Q450">
            <v>3051.65</v>
          </cell>
          <cell r="R450">
            <v>524</v>
          </cell>
        </row>
        <row r="451">
          <cell r="A451" t="str">
            <v>004416</v>
          </cell>
          <cell r="B451" t="str">
            <v>LDC 2</v>
          </cell>
          <cell r="D451" t="str">
            <v>yes</v>
          </cell>
          <cell r="E451" t="str">
            <v>21001050301</v>
          </cell>
          <cell r="F451" t="str">
            <v>F0561</v>
          </cell>
          <cell r="G451" t="str">
            <v>Replace existing protected steel, p</v>
          </cell>
          <cell r="H451" t="str">
            <v>BWO-REPLACE SERVICE</v>
          </cell>
          <cell r="I451" t="str">
            <v>open</v>
          </cell>
          <cell r="J451" t="str">
            <v>BWO-REPLACE SERVICE</v>
          </cell>
          <cell r="K451" t="str">
            <v>Replacement and/or removal of existing protected steel or plastic (St. Joseph)</v>
          </cell>
          <cell r="O451">
            <v>41730</v>
          </cell>
          <cell r="P451" t="str">
            <v>1001-010001  ST. JOSEPH CITY/BUCHANAN</v>
          </cell>
          <cell r="Q451">
            <v>919790.97</v>
          </cell>
          <cell r="R451">
            <v>15850.5</v>
          </cell>
        </row>
        <row r="452">
          <cell r="A452" t="str">
            <v>005792</v>
          </cell>
          <cell r="B452" t="str">
            <v>LDC 2</v>
          </cell>
          <cell r="D452" t="str">
            <v>no</v>
          </cell>
          <cell r="E452" t="str">
            <v>21271143268</v>
          </cell>
          <cell r="F452" t="str">
            <v>F0610</v>
          </cell>
          <cell r="G452" t="str">
            <v>New business</v>
          </cell>
          <cell r="H452" t="str">
            <v>N Bell &amp; NW 95th Lay 2128'-2;1293'-</v>
          </cell>
          <cell r="I452" t="str">
            <v>posted to CPR</v>
          </cell>
          <cell r="J452" t="str">
            <v>N Bell &amp; NW 95th Lay 2128'-2;1293'-4in PE main ext: Kansas City-Clay Co: New Main Extension - Contractor Crews  3760 (33-380)</v>
          </cell>
          <cell r="K452" t="str">
            <v>Approved by: Gary Williams on 04/22/2014,  LAY 1,293'-4" PE &amp; 2,128'-2" PE TO SERVE 57 LOTS IN SUBDIVISION.  LOTS 1-57.  PDS SECTOR 12.51 3007 IN PLATTE CO. &amp; 12.71 3007 IN CLAY CO.  3,421' x $8.50=$29,078.50  DEVELOPER TO CONTRIBUTE $29,078.50 BEFORE START OF PROJECT.  COST PER FT=$10.21</v>
          </cell>
          <cell r="L452">
            <v>42131</v>
          </cell>
          <cell r="M452">
            <v>42216</v>
          </cell>
          <cell r="N452">
            <v>42285.465312499997</v>
          </cell>
          <cell r="O452">
            <v>42125</v>
          </cell>
          <cell r="P452" t="str">
            <v>1271-020036  CLAY CTY/KANSAS CITY</v>
          </cell>
          <cell r="Q452">
            <v>77663.27</v>
          </cell>
          <cell r="R452">
            <v>-6874.5</v>
          </cell>
        </row>
        <row r="453">
          <cell r="A453" t="str">
            <v>800432</v>
          </cell>
          <cell r="B453" t="str">
            <v>LDC 2</v>
          </cell>
          <cell r="C453" t="str">
            <v>03 - Bare Steel Replacement</v>
          </cell>
          <cell r="D453" t="str">
            <v>yes</v>
          </cell>
          <cell r="F453" t="str">
            <v>F0599</v>
          </cell>
          <cell r="G453" t="str">
            <v>Main Replacement - ISRS (N)</v>
          </cell>
          <cell r="H453" t="str">
            <v>Repl w 11324F 2-4P Marlborough Ph 2</v>
          </cell>
          <cell r="I453" t="str">
            <v>open</v>
          </cell>
          <cell r="J453" t="str">
            <v>Install ~8015 ft of 2 in PL IP main and ~3309 ft of 4 in PL IP main on 79th, 80th, 81st, 81st Ter, 82nd, Virginia, Flora, Wayne, Highland, Tracy, &amp; Forest.</v>
          </cell>
          <cell r="K453" t="str">
            <v>Abandon ~49 ft of 2 in PL MP main, ~7719 ft of 2 in ST MP main, ~1793 ft of 3 in ST MP main, ~50 ft of 4 in PL MP main, ~604 ft of 4 in ST MP main, and 797 ft of 6 in ST MP main at above locations. Uprate ~1774 ft of 2 in PL MP to IP on Lydia Street and ~709 ft of 4 in PL MP to IP on 81st Street. Total Service Tie-over = 228; Total Service Replace = 4; Total Service Uprate = 37.</v>
          </cell>
          <cell r="P453" t="str">
            <v>0401-043050  JACKSON CTY/KC</v>
          </cell>
          <cell r="Q453">
            <v>86887.03</v>
          </cell>
          <cell r="R453">
            <v>10862.5</v>
          </cell>
        </row>
        <row r="454">
          <cell r="A454" t="str">
            <v>011939</v>
          </cell>
          <cell r="B454" t="str">
            <v>LDC 2</v>
          </cell>
          <cell r="D454" t="str">
            <v>no</v>
          </cell>
          <cell r="F454" t="str">
            <v>F1071</v>
          </cell>
          <cell r="G454" t="str">
            <v>MGE Misc Capital</v>
          </cell>
          <cell r="H454" t="str">
            <v>Purchase 79 Task Chairs MGE</v>
          </cell>
          <cell r="I454" t="str">
            <v>in service</v>
          </cell>
          <cell r="J454" t="str">
            <v>Purchase 79 Mirra 2 Task Chairs - MGE</v>
          </cell>
          <cell r="K454" t="str">
            <v>Revised 8-5-16</v>
          </cell>
          <cell r="L454">
            <v>42643</v>
          </cell>
          <cell r="O454">
            <v>42614</v>
          </cell>
          <cell r="P454" t="str">
            <v>0401-043050  JACKSON CTY/KC</v>
          </cell>
          <cell r="Q454">
            <v>49574.26</v>
          </cell>
          <cell r="R454">
            <v>79</v>
          </cell>
        </row>
        <row r="455">
          <cell r="A455" t="str">
            <v>011377</v>
          </cell>
          <cell r="B455" t="str">
            <v>LDC 2</v>
          </cell>
          <cell r="D455" t="str">
            <v>no</v>
          </cell>
          <cell r="F455" t="str">
            <v>F1153</v>
          </cell>
          <cell r="G455" t="str">
            <v>Power Operated Equip - MGE</v>
          </cell>
          <cell r="H455" t="str">
            <v>Purchase (1) HD Forkllift MGE</v>
          </cell>
          <cell r="I455" t="str">
            <v>open</v>
          </cell>
          <cell r="J455" t="str">
            <v>Purchase (1) HD Forkllift for MGE</v>
          </cell>
          <cell r="P455" t="str">
            <v>0401-043050  JACKSON CTY/KC</v>
          </cell>
          <cell r="Q455">
            <v>95597.51</v>
          </cell>
          <cell r="R455">
            <v>1</v>
          </cell>
        </row>
        <row r="456">
          <cell r="A456" t="str">
            <v>800481</v>
          </cell>
          <cell r="B456" t="str">
            <v>LDC 2</v>
          </cell>
          <cell r="C456" t="str">
            <v>02 - Cast Iron AOR Replacement</v>
          </cell>
          <cell r="D456" t="str">
            <v>yes</v>
          </cell>
          <cell r="F456" t="str">
            <v>F0599</v>
          </cell>
          <cell r="G456" t="str">
            <v>Main Replacement - ISRS (N)</v>
          </cell>
          <cell r="H456" t="str">
            <v>Repl w/ 1317F 2&amp;4P 56th&amp; Norton AOR</v>
          </cell>
          <cell r="I456" t="str">
            <v>in service</v>
          </cell>
          <cell r="J456" t="str">
            <v>Install 752ft of 4in PE IP and 565ft of 2in PE IP at 56th and Norton. Abandon 591ft of 4in steel LP and 776ft of 6in cast iron LP pipe.  Total services to tie-over = 15. </v>
          </cell>
          <cell r="K456" t="str">
            <v>This pipe is being replaced due to AOR. </v>
          </cell>
          <cell r="L456">
            <v>42516</v>
          </cell>
          <cell r="O456">
            <v>42644</v>
          </cell>
          <cell r="P456" t="str">
            <v>0401-043050  JACKSON CTY/KC</v>
          </cell>
          <cell r="Q456">
            <v>119260.99</v>
          </cell>
          <cell r="R456">
            <v>793.75</v>
          </cell>
        </row>
        <row r="457">
          <cell r="A457" t="str">
            <v>800441</v>
          </cell>
          <cell r="B457" t="str">
            <v>LDC 2</v>
          </cell>
          <cell r="C457" t="str">
            <v>01 - Cast Iron Strategic Replacement</v>
          </cell>
          <cell r="D457" t="str">
            <v>yes</v>
          </cell>
          <cell r="F457" t="str">
            <v>F0599</v>
          </cell>
          <cell r="G457" t="str">
            <v>Main Replacement - ISRS (N)</v>
          </cell>
          <cell r="H457" t="str">
            <v>KC-39th &amp; State Line Cast Iron PhA</v>
          </cell>
          <cell r="I457" t="str">
            <v>open</v>
          </cell>
          <cell r="J457" t="str">
            <v>Install 5620 Ft of 2 in and 2529 Ft of 4 in PL IP main for 39th and State Line Phase A. Abandon 130 Ft of 2 in PL, 10 Ft of 3 in PL,1288 Ft of 4 in ST, 3529 Ft of 4 in CI, 1916 Ft of 6 in CI and 1276 Ft of 8 in CI LP main.</v>
          </cell>
          <cell r="K457" t="str">
            <v>Uprate ~80 Ft of 3 in PL LP main on State Line Rd.  Total Service Tie-over = 124; Total Service Abandoned = 4; Total Service Replace = 31; Total Service Uprate = 1.  This main is being abandoned as part of FY16 Cast Iron Replacement Program</v>
          </cell>
          <cell r="P457" t="str">
            <v>0401-043050  JACKSON CTY/KC</v>
          </cell>
          <cell r="Q457">
            <v>1040526.75</v>
          </cell>
          <cell r="R457">
            <v>-9944.75</v>
          </cell>
        </row>
        <row r="458">
          <cell r="A458" t="str">
            <v>010533</v>
          </cell>
          <cell r="B458" t="str">
            <v>LDC 2</v>
          </cell>
          <cell r="D458" t="str">
            <v>no</v>
          </cell>
          <cell r="F458" t="str">
            <v>F0850</v>
          </cell>
          <cell r="G458" t="str">
            <v>Facilities - MGE - Remodel Svc Cen</v>
          </cell>
          <cell r="H458" t="str">
            <v>MGE Central- Exterior Windows</v>
          </cell>
          <cell r="I458" t="str">
            <v>in service</v>
          </cell>
          <cell r="J458" t="str">
            <v>Cut out concrete &amp; remove 7 windows, replace frames and glass with thermal bronze storefront aluminum frames &amp; 1" std tinted insulated glass, frame &amp; shreetrock interior - Central Plant - 7500 E 35th Terr.</v>
          </cell>
          <cell r="L458">
            <v>42643</v>
          </cell>
          <cell r="O458">
            <v>42614</v>
          </cell>
          <cell r="P458" t="str">
            <v>0401-043050  JACKSON CTY/KC</v>
          </cell>
          <cell r="Q458">
            <v>35442.050000000003</v>
          </cell>
          <cell r="R458">
            <v>32970</v>
          </cell>
        </row>
        <row r="459">
          <cell r="A459" t="str">
            <v>009217</v>
          </cell>
          <cell r="B459" t="str">
            <v>LDC 2</v>
          </cell>
          <cell r="D459" t="str">
            <v>yes</v>
          </cell>
          <cell r="F459" t="str">
            <v>F0608</v>
          </cell>
          <cell r="G459" t="str">
            <v>BWO Service Line Repl - ISRS (N)</v>
          </cell>
          <cell r="H459" t="str">
            <v>BWO-Replace Svc w/ Steel (North)</v>
          </cell>
          <cell r="I459" t="str">
            <v>open</v>
          </cell>
          <cell r="J459" t="str">
            <v>BWO- Replace Service with Steel (North Region)</v>
          </cell>
          <cell r="K459" t="str">
            <v>Replace service lines with steel - North Region</v>
          </cell>
          <cell r="O459">
            <v>42248</v>
          </cell>
          <cell r="P459" t="str">
            <v>0401-043050  JACKSON CTY/KC</v>
          </cell>
          <cell r="Q459">
            <v>51506.52</v>
          </cell>
          <cell r="R459">
            <v>938.1232</v>
          </cell>
        </row>
        <row r="460">
          <cell r="A460" t="str">
            <v>007901</v>
          </cell>
          <cell r="B460" t="str">
            <v>LDC 2</v>
          </cell>
          <cell r="D460" t="str">
            <v>yes</v>
          </cell>
          <cell r="E460" t="str">
            <v>20401155121</v>
          </cell>
          <cell r="F460" t="str">
            <v>F0599</v>
          </cell>
          <cell r="G460" t="str">
            <v>Main Replacement - ISRS (N)</v>
          </cell>
          <cell r="H460" t="str">
            <v>AOR 6in CI Replacement</v>
          </cell>
          <cell r="I460" t="str">
            <v>posted to CPR</v>
          </cell>
          <cell r="J460" t="str">
            <v>AOR 6in CI Replacement: Kansas City-Jackson: Replace Cast Iron Main - 3760 Safety Related (34-412)</v>
          </cell>
          <cell r="K460" t="str">
            <v>Approved by: Joe Hampton on 03/18/2015,  AOR (8' to 14' SSCB of 34th st) - due 5/20/2015. Replace 571' OF  6'' CI and 163' of 4'' CI with 585' of 6'' PE and 70' of 4'' PE. Pressure System C-001. 3441 Main st. is a replacement service.</v>
          </cell>
          <cell r="L460">
            <v>42142</v>
          </cell>
          <cell r="M460">
            <v>42247</v>
          </cell>
          <cell r="N460">
            <v>42284.723449074103</v>
          </cell>
          <cell r="O460">
            <v>42125</v>
          </cell>
          <cell r="P460" t="str">
            <v>0401-043050  JACKSON CTY/KC</v>
          </cell>
          <cell r="Q460">
            <v>153346.85999999999</v>
          </cell>
          <cell r="R460">
            <v>92656</v>
          </cell>
        </row>
        <row r="461">
          <cell r="A461" t="str">
            <v>007925</v>
          </cell>
          <cell r="B461" t="str">
            <v>LDC 2</v>
          </cell>
          <cell r="D461" t="str">
            <v>no</v>
          </cell>
          <cell r="E461" t="str">
            <v>20401155235</v>
          </cell>
          <cell r="F461" t="str">
            <v>F0538</v>
          </cell>
          <cell r="G461" t="str">
            <v>Other Communication Costs</v>
          </cell>
          <cell r="H461" t="str">
            <v>TallGrass TB Station - KCMO</v>
          </cell>
          <cell r="I461" t="str">
            <v>in service</v>
          </cell>
          <cell r="J461" t="str">
            <v>TallGrass TB Station - KCMO: Kansas City-Jackson: Install RTU Equipment - First Time Installation  3970 (41-414)</v>
          </cell>
          <cell r="K461" t="str">
            <v>Approved by: Gary Williams on 03/19/2015,  Experitec Quote #JDM-150219-140773 - Install new measurement transmitters on the 4) orifice runs and the DRS onsite.
Labor:  No labor is necessary on this W.O. as it will be incorporated into a later project onsite.</v>
          </cell>
          <cell r="L461">
            <v>42443</v>
          </cell>
          <cell r="O461">
            <v>42461</v>
          </cell>
          <cell r="P461" t="str">
            <v>0401-043050  JACKSON CTY/KC</v>
          </cell>
          <cell r="Q461">
            <v>18600.38</v>
          </cell>
          <cell r="R461">
            <v>14</v>
          </cell>
        </row>
        <row r="462">
          <cell r="A462" t="str">
            <v>007144</v>
          </cell>
          <cell r="B462" t="str">
            <v>LDC 2</v>
          </cell>
          <cell r="D462" t="str">
            <v>no</v>
          </cell>
          <cell r="E462" t="str">
            <v>20401143971</v>
          </cell>
          <cell r="F462" t="str">
            <v>F0660</v>
          </cell>
          <cell r="G462" t="str">
            <v>Meter &amp; Reg Settings 2" &amp; Lg (N)</v>
          </cell>
          <cell r="H462" t="str">
            <v>Rockhurst-Arrupe Hall 5M Roots</v>
          </cell>
          <cell r="I462" t="str">
            <v>posted to CPR</v>
          </cell>
          <cell r="J462" t="str">
            <v>Rockhurst-Arrupe Hall 5M Roots: Kansas City-Jackson: New Meter &amp; Reg Settings - 2in &amp; Larger 3820/3830 (33-382)</v>
          </cell>
          <cell r="K462" t="str">
            <v>Approved by: Rob Kitterman on 12/04/2014,  This work is necessary to install a 5M Roots meter to serve one new commercial customer. We'll install a 2in Reliance 3000 regulator at 14in WC with a 1in 289L relief set at 17in WC for a connected load of 4500cfh.</v>
          </cell>
          <cell r="L462">
            <v>41985</v>
          </cell>
          <cell r="M462">
            <v>42004</v>
          </cell>
          <cell r="N462">
            <v>42013.442685185197</v>
          </cell>
          <cell r="O462">
            <v>41974</v>
          </cell>
          <cell r="P462" t="str">
            <v>0401-043050  JACKSON CTY/KC</v>
          </cell>
          <cell r="Q462">
            <v>1365.45</v>
          </cell>
          <cell r="R462">
            <v>-48</v>
          </cell>
        </row>
        <row r="463">
          <cell r="A463" t="str">
            <v>005464</v>
          </cell>
          <cell r="B463" t="str">
            <v>LDC 2</v>
          </cell>
          <cell r="D463" t="str">
            <v>yes</v>
          </cell>
          <cell r="E463" t="str">
            <v>20401143430</v>
          </cell>
          <cell r="F463" t="str">
            <v>F0587</v>
          </cell>
          <cell r="G463" t="str">
            <v>Services - 2" &amp; larger</v>
          </cell>
          <cell r="H463" t="str">
            <v>THE KAUFFMAN CTR- 2in SERVICE LINE</v>
          </cell>
          <cell r="I463" t="str">
            <v>posted to CPR</v>
          </cell>
          <cell r="J463" t="str">
            <v>THE KAUFFMAN CTR- 2in SERVICE LINE: Kansas City-Jackson: Replace Services 2&amp;quot; &amp; Larger - 3800 (42-385)</v>
          </cell>
          <cell r="K463" t="str">
            <v>Approved by: Kevin Driskell on 06/10/2014,  Laying 180ft-2in pe service line for Kauffman Center of Performing Arts. OLD SERVICE LINE(9ft-2in service line abandon with relocation of main (WO#06-0593). Tie-in 4" pe main (WO#88-1759). Customer to contribute $6,046.93 before start of project.</v>
          </cell>
          <cell r="L463">
            <v>41894</v>
          </cell>
          <cell r="M463">
            <v>41943</v>
          </cell>
          <cell r="N463">
            <v>41950.576226851903</v>
          </cell>
          <cell r="O463">
            <v>41913</v>
          </cell>
          <cell r="P463" t="str">
            <v>0401-043050  JACKSON CTY/KC</v>
          </cell>
          <cell r="Q463">
            <v>5830.26</v>
          </cell>
          <cell r="R463">
            <v>-688.6</v>
          </cell>
        </row>
        <row r="464">
          <cell r="A464" t="str">
            <v>004973</v>
          </cell>
          <cell r="B464" t="str">
            <v>LDC 2</v>
          </cell>
          <cell r="D464" t="str">
            <v>yes</v>
          </cell>
          <cell r="E464" t="str">
            <v>20401143477</v>
          </cell>
          <cell r="F464" t="str">
            <v>F0663</v>
          </cell>
          <cell r="G464" t="str">
            <v>Replace bare steel main - safety re</v>
          </cell>
          <cell r="H464" t="str">
            <v>84th &amp; Tracy Repl PBS w 24'-TF Stee</v>
          </cell>
          <cell r="I464" t="str">
            <v>posted to CPR</v>
          </cell>
          <cell r="J464" t="str">
            <v>84th &amp; Tracy Repl PBS w 24'-TF Steel: Kansas City-Jackson: Replace Bare Steel Main - 3760 Safety Related (34-394)</v>
          </cell>
          <cell r="K464" t="str">
            <v>Approved by: Kevin Driskell on 04/07/2014,  Replace 3in and 2in PBS due to leak.  Lay 10'-3in thin film and 14'-2in thin film.  Work done by MGE crew.Original JO 7740C &amp; 7740B, year 1949</v>
          </cell>
          <cell r="L464">
            <v>41712</v>
          </cell>
          <cell r="M464">
            <v>41821</v>
          </cell>
          <cell r="N464">
            <v>42010.616157407399</v>
          </cell>
          <cell r="O464">
            <v>41852</v>
          </cell>
          <cell r="P464" t="str">
            <v>0401-043050  JACKSON CTY/KC</v>
          </cell>
          <cell r="Q464">
            <v>3755.11</v>
          </cell>
          <cell r="R464">
            <v>102.9</v>
          </cell>
        </row>
        <row r="465">
          <cell r="A465" t="str">
            <v>003785</v>
          </cell>
          <cell r="B465" t="str">
            <v>LDC 2</v>
          </cell>
          <cell r="D465" t="str">
            <v>yes</v>
          </cell>
          <cell r="E465" t="str">
            <v>20401132662</v>
          </cell>
          <cell r="F465" t="str">
            <v>F0547</v>
          </cell>
          <cell r="G465" t="str">
            <v>Street &amp; Highway Relocates ISRS (N)</v>
          </cell>
          <cell r="H465" t="str">
            <v>Volker &amp; Oak Abandon 460'-2in PCS m</v>
          </cell>
          <cell r="I465" t="str">
            <v>posted to CPR</v>
          </cell>
          <cell r="J465" t="str">
            <v>Volker &amp; Oak Abandon 460'-2in PCS main: Kansas City-Jackson: Volker and Oak</v>
          </cell>
          <cell r="K465" t="str">
            <v>Approved by: Kevin Driskell on 06/27/2013,  (ISRS).  Abandon 460 feet of 2in PCS due to public improvement project.  Abandon main east of the existing storm boxes on Volker.  Map shows that 2in PCS is a one way feed.  Replace service for Russell Stover (4900 Oak Street) to the 6in PCS across the street.</v>
          </cell>
          <cell r="L465">
            <v>41495</v>
          </cell>
          <cell r="M465">
            <v>41564</v>
          </cell>
          <cell r="N465">
            <v>41612.300219907404</v>
          </cell>
          <cell r="P465" t="str">
            <v>0401-043050  JACKSON CTY/KC</v>
          </cell>
          <cell r="Q465">
            <v>14074.59</v>
          </cell>
          <cell r="R465">
            <v>445.5</v>
          </cell>
        </row>
        <row r="466">
          <cell r="A466" t="str">
            <v>004488</v>
          </cell>
          <cell r="B466" t="str">
            <v>LDC 2</v>
          </cell>
          <cell r="D466" t="str">
            <v>yes</v>
          </cell>
          <cell r="E466" t="str">
            <v>20401132756</v>
          </cell>
          <cell r="F466" t="str">
            <v>F0663</v>
          </cell>
          <cell r="G466" t="str">
            <v>Replace bare steel main - safety re</v>
          </cell>
          <cell r="H466" t="str">
            <v>48th &amp; Oak Repl PBS w 45'-12in TF S</v>
          </cell>
          <cell r="I466" t="str">
            <v>posted to CPR</v>
          </cell>
          <cell r="J466" t="str">
            <v>48th &amp; Oak Repl PBS w 45'-12in TF Steel: Kansas City-Jackson: 48th and Oak st</v>
          </cell>
          <cell r="K466" t="str">
            <v>Approved by: Ken Thomas on 07/01/2013,  Replace 45' of 12in PBS wo unknown with 36' of 12in PCS due to leak on the gate valve. Pressure system C-175KCLS. Job was completed on 3-15-2013.</v>
          </cell>
          <cell r="L466">
            <v>41348</v>
          </cell>
          <cell r="M466">
            <v>41485</v>
          </cell>
          <cell r="N466">
            <v>41627.582847222198</v>
          </cell>
          <cell r="O466">
            <v>41730</v>
          </cell>
          <cell r="P466" t="str">
            <v>0401-043050  JACKSON CTY/KC</v>
          </cell>
          <cell r="Q466">
            <v>53959.48</v>
          </cell>
          <cell r="R466">
            <v>517.5</v>
          </cell>
        </row>
        <row r="467">
          <cell r="A467" t="str">
            <v>004152</v>
          </cell>
          <cell r="B467" t="str">
            <v>LDC 2</v>
          </cell>
          <cell r="D467" t="str">
            <v>yes</v>
          </cell>
          <cell r="E467" t="str">
            <v>20401050301</v>
          </cell>
          <cell r="F467" t="str">
            <v>F0608</v>
          </cell>
          <cell r="G467" t="str">
            <v>BWO Service Line Repl - ISRS (N)</v>
          </cell>
          <cell r="H467" t="str">
            <v>BWO-Repl Svc w/ Pls (North Reg)</v>
          </cell>
          <cell r="I467" t="str">
            <v>open</v>
          </cell>
          <cell r="J467" t="str">
            <v>BWO-Replace Service w/ Plastic (North Region)</v>
          </cell>
          <cell r="K467" t="str">
            <v>Project Type:B</v>
          </cell>
          <cell r="O467">
            <v>41730</v>
          </cell>
          <cell r="P467" t="str">
            <v>0401-043050  JACKSON CTY/KC</v>
          </cell>
          <cell r="Q467">
            <v>13148889.949999999</v>
          </cell>
          <cell r="R467">
            <v>82921.650099999999</v>
          </cell>
        </row>
        <row r="468">
          <cell r="A468" t="str">
            <v>004611</v>
          </cell>
          <cell r="B468" t="str">
            <v>LDC 2</v>
          </cell>
          <cell r="D468" t="str">
            <v>no</v>
          </cell>
          <cell r="E468" t="str">
            <v>20401132642</v>
          </cell>
          <cell r="F468" t="str">
            <v>F0670</v>
          </cell>
          <cell r="G468" t="str">
            <v>Tools, Instruments &amp; Equipment (N)</v>
          </cell>
          <cell r="H468" t="str">
            <v>PUR 2- LED LIGHT FIXTURES W STANDS</v>
          </cell>
          <cell r="I468" t="str">
            <v>posted to CPR</v>
          </cell>
          <cell r="J468" t="str">
            <v>PUR 2- LED LIGHT FIXTURES W STANDS C&amp;M Dept: Kansas City-Jackson: 7500 E 35TH TERR</v>
          </cell>
          <cell r="K468" t="str">
            <v>Approved by: Gary Williams on 04/30/2013,  PURCHASE 2- LED LIGHT FIXTURES/ WITH STANDS. ALUMINUM SHROUD W/LEXIAN LENS PROTECTION 70W 120V CL1 DIV1 GRP C &amp; D EXPLOSION.100 FT 16/3 SOW CORD /ECP 1523 CL1 DIV1 EXPLOSION PROOF STRAIGHT PLUG 4-LEG ALUMINUM QUADPOD STAND 7FT TO 12FT HEIGHT. WILL BE USED BY THE C&amp;M night crews at Central. THESE LIGHTS ARE CERTIFIED FOR HAZARDOUS ENVIRONMENT. RECEIVED A QUOTE FROM GROEBNER FOR $4,022.00 EACH AND WESTERN TECHNOLOGY FOR $3,830.00 EACH. PURCHASE FROM WORKSITE LIGHTING $1,844.50. THESE ARE NOT REPLACEMENT EQUIPMENT.</v>
          </cell>
          <cell r="L468">
            <v>41428</v>
          </cell>
          <cell r="M468">
            <v>41475</v>
          </cell>
          <cell r="N468">
            <v>41584.396412037</v>
          </cell>
          <cell r="P468" t="str">
            <v>0401-043050  JACKSON CTY/KC</v>
          </cell>
          <cell r="Q468">
            <v>8437.3799999999992</v>
          </cell>
          <cell r="R468">
            <v>3</v>
          </cell>
        </row>
        <row r="469">
          <cell r="A469" t="str">
            <v>004311</v>
          </cell>
          <cell r="B469" t="str">
            <v>LDC 2</v>
          </cell>
          <cell r="D469" t="str">
            <v>yes</v>
          </cell>
          <cell r="E469" t="str">
            <v>20401132458</v>
          </cell>
          <cell r="F469" t="str">
            <v>F0580</v>
          </cell>
          <cell r="G469" t="str">
            <v>Replace steel &amp; plastic main</v>
          </cell>
          <cell r="H469" t="str">
            <v>Leslie Ave DRS 308 I/O Piping</v>
          </cell>
          <cell r="I469" t="str">
            <v>posted to CPR</v>
          </cell>
          <cell r="J469" t="str">
            <v>Leslie Ave DRS 308 I/O Piping: Kansas City-Jackson: Leslie Ave</v>
          </cell>
          <cell r="K469" t="str">
            <v>Approved by: Ralph Janes on 04/09/2013,  Rebuild/Relocate DRS 308 on WO# 13-2456. The station will be relocated from a pit at the end of Canyon Drive, to just outside the West ROW of Leslie Ave. in our 66' wide easement. The existing inlet (wo# 690358) and outlet (wo# BD28) piping will be cut and capped on wo# 13-2457.  The proposed inlet  and outlet  piping will be placed on WO# 13-2458. The inlet system C-100 has a MOP = 125 psig and a MAOP = 155 psig. The outlet system S-308 has a MOP and MAOP of 15psig.</v>
          </cell>
          <cell r="L469">
            <v>41590</v>
          </cell>
          <cell r="M469">
            <v>41653</v>
          </cell>
          <cell r="N469">
            <v>41654.604027777801</v>
          </cell>
          <cell r="O469">
            <v>41730</v>
          </cell>
          <cell r="P469" t="str">
            <v>0401-043050  JACKSON CTY/KC</v>
          </cell>
          <cell r="Q469">
            <v>10625.1</v>
          </cell>
          <cell r="R469">
            <v>153.69999999999999</v>
          </cell>
        </row>
        <row r="470">
          <cell r="A470" t="str">
            <v>004671</v>
          </cell>
          <cell r="B470" t="str">
            <v>LDC 2</v>
          </cell>
          <cell r="D470" t="str">
            <v>yes</v>
          </cell>
          <cell r="E470" t="str">
            <v>20401133121</v>
          </cell>
          <cell r="F470" t="str">
            <v>F0636</v>
          </cell>
          <cell r="G470" t="str">
            <v>Replace steel &amp; plastic main</v>
          </cell>
          <cell r="H470" t="str">
            <v>Palmer Repl PCS w 15'-2in PE main</v>
          </cell>
          <cell r="I470" t="str">
            <v>posted to CPR</v>
          </cell>
          <cell r="J470" t="str">
            <v>Palmer Repl PCS w 15'-2in PE main: Kansas City-Jackson: 11501 Palmer</v>
          </cell>
          <cell r="K470" t="str">
            <v>Approved by: Kevin Driskell on 10/31/2013,  Replace 2in PCS with 15'-2in PE due to hit main.  Work done by MGE crew.</v>
          </cell>
          <cell r="L470">
            <v>41505</v>
          </cell>
          <cell r="M470">
            <v>41638</v>
          </cell>
          <cell r="N470">
            <v>41643.435312499998</v>
          </cell>
          <cell r="O470">
            <v>41730</v>
          </cell>
          <cell r="P470" t="str">
            <v>0401-043050  JACKSON CTY/KC</v>
          </cell>
          <cell r="Q470">
            <v>7569.35</v>
          </cell>
          <cell r="R470">
            <v>132</v>
          </cell>
        </row>
        <row r="471">
          <cell r="A471" t="str">
            <v>004563</v>
          </cell>
          <cell r="B471" t="str">
            <v>LDC 2</v>
          </cell>
          <cell r="D471" t="str">
            <v>yes</v>
          </cell>
          <cell r="E471" t="str">
            <v>20401133221</v>
          </cell>
          <cell r="F471" t="str">
            <v>F0500</v>
          </cell>
          <cell r="G471" t="str">
            <v>Replace cast iron main - CPI / prio</v>
          </cell>
          <cell r="H471" t="str">
            <v>30th &amp; Highland Abandon 182'-6in CI</v>
          </cell>
          <cell r="I471" t="str">
            <v>posted to CPR</v>
          </cell>
          <cell r="J471" t="str">
            <v>30th &amp; Highland Abandon 182'-6in CI: Kansas City-Jackson: 30th and Highland</v>
          </cell>
          <cell r="K471" t="str">
            <v>Approved by: Kevin Driskell on 12/19/2013,  Abandon 182'-6in CI due to leak.  Retire 32'-6in CI, WO A1583; 150'-6in CI, WO BK28P16. Main no longer needed.</v>
          </cell>
          <cell r="L471">
            <v>41603</v>
          </cell>
          <cell r="M471">
            <v>41729</v>
          </cell>
          <cell r="N471">
            <v>41733.495636574102</v>
          </cell>
          <cell r="P471" t="str">
            <v>0401-043050  JACKSON CTY/KC</v>
          </cell>
          <cell r="Q471">
            <v>3551.41</v>
          </cell>
          <cell r="R471">
            <v>220.8</v>
          </cell>
        </row>
        <row r="472">
          <cell r="A472" t="str">
            <v>004562</v>
          </cell>
          <cell r="B472" t="str">
            <v>LDC 2</v>
          </cell>
          <cell r="D472" t="str">
            <v>no</v>
          </cell>
          <cell r="E472" t="str">
            <v>20401133009</v>
          </cell>
          <cell r="F472" t="str">
            <v>F0639</v>
          </cell>
          <cell r="G472" t="str">
            <v>EGM Equip-1st Time Installation</v>
          </cell>
          <cell r="H472" t="str">
            <v>EGM - Walkers Food Products</v>
          </cell>
          <cell r="I472" t="str">
            <v>posted to CPR</v>
          </cell>
          <cell r="J472" t="str">
            <v>EGM - Walkers Food Products: Kansas City-Jackson: 506 E 12th Ave - KC, MO</v>
          </cell>
          <cell r="K472" t="str">
            <v>Approved by: Rob Kitterman on 09/24/2013,  Install Mercury MiniMax-AT-T w/ Messenger Modem S/N:12046190 on Roots 7M meter no 08463786 to monitor daily gas usage of this transportation customer. Customer will reimburse company actual cost for EGM installation not to exceed $5,445.00, which should be coded to account 1072. ATTENTION: Plant &amp; Property Accounting, EGM work order, turn off A&amp;G indicator.</v>
          </cell>
          <cell r="L472">
            <v>41516</v>
          </cell>
          <cell r="M472">
            <v>41670</v>
          </cell>
          <cell r="N472">
            <v>41677.509814814803</v>
          </cell>
          <cell r="P472" t="str">
            <v>0401-043050  JACKSON CTY/KC</v>
          </cell>
          <cell r="Q472">
            <v>297.56</v>
          </cell>
          <cell r="R472">
            <v>212</v>
          </cell>
        </row>
        <row r="473">
          <cell r="A473" t="str">
            <v>004460</v>
          </cell>
          <cell r="B473" t="str">
            <v>LDC 2</v>
          </cell>
          <cell r="D473" t="str">
            <v>yes</v>
          </cell>
          <cell r="E473" t="str">
            <v>20401132399</v>
          </cell>
          <cell r="F473" t="str">
            <v>F0497</v>
          </cell>
          <cell r="G473" t="str">
            <v>Street &amp; highway relocates - safety</v>
          </cell>
          <cell r="H473" t="str">
            <v>KC Street Car Ph 1 Reloc CI w 2815'</v>
          </cell>
          <cell r="I473" t="str">
            <v>posted to CPR</v>
          </cell>
          <cell r="J473" t="str">
            <v>KC Street Car Ph 1 Reloc CI w 2815'-PE main: Kansas City-Jackson: Main Street from 21st to I-670</v>
          </cell>
          <cell r="K473" t="str">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ell>
          <cell r="L473">
            <v>41717</v>
          </cell>
          <cell r="M473">
            <v>41820</v>
          </cell>
          <cell r="N473">
            <v>41918.7631481481</v>
          </cell>
          <cell r="O473">
            <v>41730</v>
          </cell>
          <cell r="P473" t="str">
            <v>0401-043050  JACKSON CTY/KC</v>
          </cell>
          <cell r="Q473">
            <v>772223.79</v>
          </cell>
          <cell r="R473">
            <v>9310.7999999999993</v>
          </cell>
        </row>
        <row r="474">
          <cell r="A474" t="str">
            <v>004343</v>
          </cell>
          <cell r="B474" t="str">
            <v>LDC 2</v>
          </cell>
          <cell r="D474" t="str">
            <v>yes</v>
          </cell>
          <cell r="E474" t="str">
            <v>20401133036</v>
          </cell>
          <cell r="F474" t="str">
            <v>F0599</v>
          </cell>
          <cell r="G474" t="str">
            <v>Main Replacement - ISRS (N)</v>
          </cell>
          <cell r="H474" t="str">
            <v>AOR 6111 Forest Repl CI w 30'-4in P</v>
          </cell>
          <cell r="I474" t="str">
            <v>posted to CPR</v>
          </cell>
          <cell r="J474" t="str">
            <v>AOR 6111 Forest Repl CI w 30'-4in PE main : Kansas City-Jackson: 6111 Forest</v>
          </cell>
          <cell r="K474" t="str">
            <v>Approved by: Kevin Driskell on 10/17/2013,  Replace 4in CI with 30' of 4in PE due to Angle of Repose.  Five feet of CI was exposed at 6111 Forest at 168' to 173' SSC of E. 61st.  Work must be completed by Dec 14, 2013.  Tie-over one service at 6111 Forest.  COST PER FOOT $697.00 Retire 30'-4in CI, 1925, JO1232; install 30'-4in PE main</v>
          </cell>
          <cell r="L474">
            <v>41596</v>
          </cell>
          <cell r="M474">
            <v>41654</v>
          </cell>
          <cell r="N474">
            <v>41676.633414351803</v>
          </cell>
          <cell r="O474">
            <v>41730</v>
          </cell>
          <cell r="P474" t="str">
            <v>0401-043050  JACKSON CTY/KC</v>
          </cell>
          <cell r="Q474">
            <v>19672.03</v>
          </cell>
          <cell r="R474">
            <v>610</v>
          </cell>
        </row>
        <row r="475">
          <cell r="A475" t="str">
            <v>004221</v>
          </cell>
          <cell r="B475" t="str">
            <v>LDC 2</v>
          </cell>
          <cell r="D475" t="str">
            <v>yes</v>
          </cell>
          <cell r="E475" t="str">
            <v>20401133129</v>
          </cell>
          <cell r="F475" t="str">
            <v>F0599</v>
          </cell>
          <cell r="G475" t="str">
            <v>Main Replacement - ISRS (N)</v>
          </cell>
          <cell r="H475" t="str">
            <v>63rd Repl CI Main w 16078'-PE main</v>
          </cell>
          <cell r="I475" t="str">
            <v>posted to CPR</v>
          </cell>
          <cell r="J475" t="str">
            <v>63rd Repl CI Main w 16078'-PE main: Kansas City-Jackson: E 63rd and Indiana Ave Phase 2</v>
          </cell>
          <cell r="K475" t="str">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ell>
          <cell r="L475">
            <v>41793</v>
          </cell>
          <cell r="M475">
            <v>41882</v>
          </cell>
          <cell r="N475">
            <v>41936.625613425902</v>
          </cell>
          <cell r="O475">
            <v>41791</v>
          </cell>
          <cell r="P475" t="str">
            <v>0401-043050  JACKSON CTY/KC</v>
          </cell>
          <cell r="Q475">
            <v>837556.86</v>
          </cell>
          <cell r="R475">
            <v>14131.2</v>
          </cell>
        </row>
        <row r="476">
          <cell r="A476" t="str">
            <v>004036</v>
          </cell>
          <cell r="B476" t="str">
            <v>LDC 2</v>
          </cell>
          <cell r="D476" t="str">
            <v>yes</v>
          </cell>
          <cell r="E476" t="str">
            <v>20401143311</v>
          </cell>
          <cell r="F476" t="str">
            <v>F0547</v>
          </cell>
          <cell r="G476" t="str">
            <v>Street &amp; Highway Relocates ISRS (N)</v>
          </cell>
          <cell r="H476" t="str">
            <v>107 Ter &amp; Hillcrest Reloc PBS w450'</v>
          </cell>
          <cell r="I476" t="str">
            <v>posted to CPR</v>
          </cell>
          <cell r="J476" t="str">
            <v>107 Ter &amp; Hilcrest Reloc PBS w 450'-2in PE main: Kansas City-Jackson: 107TH TERR AND HILLCREST City Project 80001302</v>
          </cell>
          <cell r="K476" t="str">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ell>
          <cell r="L476">
            <v>41739</v>
          </cell>
          <cell r="M476">
            <v>41821</v>
          </cell>
          <cell r="N476">
            <v>41858.746388888903</v>
          </cell>
          <cell r="O476">
            <v>41730</v>
          </cell>
          <cell r="P476" t="str">
            <v>0401-043050  JACKSON CTY/KC</v>
          </cell>
          <cell r="Q476">
            <v>60056.53</v>
          </cell>
          <cell r="R476">
            <v>1085.7</v>
          </cell>
        </row>
        <row r="477">
          <cell r="A477" t="str">
            <v>005034</v>
          </cell>
          <cell r="B477" t="str">
            <v>LDC 2</v>
          </cell>
          <cell r="D477" t="str">
            <v>no</v>
          </cell>
          <cell r="F477" t="str">
            <v>F0686</v>
          </cell>
          <cell r="G477" t="str">
            <v>Misc Def Debits - WIP MGE</v>
          </cell>
          <cell r="H477" t="str">
            <v>Legal Reimbursement - Insurance</v>
          </cell>
          <cell r="I477" t="str">
            <v>open</v>
          </cell>
          <cell r="J477" t="str">
            <v>Legal Reimbursement - Aegis Insurance Policy</v>
          </cell>
          <cell r="P477" t="str">
            <v>Expense Only</v>
          </cell>
          <cell r="Q477">
            <v>89865309.340000004</v>
          </cell>
          <cell r="R477">
            <v>0</v>
          </cell>
        </row>
        <row r="478">
          <cell r="A478" t="str">
            <v>004773</v>
          </cell>
          <cell r="B478" t="str">
            <v>LDC 2</v>
          </cell>
          <cell r="D478" t="str">
            <v>no</v>
          </cell>
          <cell r="E478" t="str">
            <v>21846400000</v>
          </cell>
          <cell r="F478" t="str">
            <v>F0734</v>
          </cell>
          <cell r="G478" t="str">
            <v>Allowed Time Ops MGE</v>
          </cell>
          <cell r="H478" t="str">
            <v>Allowed Time - Other MGE</v>
          </cell>
          <cell r="I478" t="str">
            <v>open</v>
          </cell>
          <cell r="J478" t="str">
            <v>Allowed Time - Other MGE</v>
          </cell>
          <cell r="P478" t="str">
            <v>Expense Only</v>
          </cell>
          <cell r="Q478">
            <v>5649129.3799999999</v>
          </cell>
          <cell r="R478">
            <v>155265.76</v>
          </cell>
        </row>
        <row r="479">
          <cell r="A479" t="str">
            <v>004803</v>
          </cell>
          <cell r="B479" t="str">
            <v>LDC 2</v>
          </cell>
          <cell r="D479" t="str">
            <v>no</v>
          </cell>
          <cell r="E479" t="str">
            <v>29130000000</v>
          </cell>
          <cell r="F479" t="str">
            <v>F0721</v>
          </cell>
          <cell r="G479" t="str">
            <v>General Advertising MGE</v>
          </cell>
          <cell r="H479" t="str">
            <v>General Advertising MGE</v>
          </cell>
          <cell r="I479" t="str">
            <v>open</v>
          </cell>
          <cell r="J479" t="str">
            <v>General Advertising MGE</v>
          </cell>
          <cell r="P479" t="str">
            <v>Expense Only</v>
          </cell>
          <cell r="Q479">
            <v>93317.42</v>
          </cell>
          <cell r="R479">
            <v>221982</v>
          </cell>
        </row>
        <row r="480">
          <cell r="A480" t="str">
            <v>004850</v>
          </cell>
          <cell r="B480" t="str">
            <v>LDC 2</v>
          </cell>
          <cell r="D480" t="str">
            <v>no</v>
          </cell>
          <cell r="E480" t="str">
            <v>29310000000</v>
          </cell>
          <cell r="F480" t="str">
            <v>F0730</v>
          </cell>
          <cell r="G480" t="str">
            <v>Admin &amp; Gen - Rent  MGE</v>
          </cell>
          <cell r="H480" t="str">
            <v>Rents and Leases Misc MGE</v>
          </cell>
          <cell r="I480" t="str">
            <v>open</v>
          </cell>
          <cell r="J480" t="str">
            <v>Rents and Leases Misc MGE</v>
          </cell>
          <cell r="P480" t="str">
            <v>Expense Only</v>
          </cell>
          <cell r="Q480">
            <v>350637.96</v>
          </cell>
          <cell r="R480">
            <v>1270</v>
          </cell>
        </row>
        <row r="481">
          <cell r="A481" t="str">
            <v>004744</v>
          </cell>
          <cell r="B481" t="str">
            <v>LDC 2</v>
          </cell>
          <cell r="D481" t="str">
            <v>no</v>
          </cell>
          <cell r="E481" t="str">
            <v>28870300000</v>
          </cell>
          <cell r="F481" t="str">
            <v>F0700</v>
          </cell>
          <cell r="G481" t="str">
            <v>Maintenance of Mains - MGE</v>
          </cell>
          <cell r="H481" t="str">
            <v>Third Party Dmg Repair MGE</v>
          </cell>
          <cell r="I481" t="str">
            <v>open</v>
          </cell>
          <cell r="J481" t="str">
            <v>Third Party Dmg Repair MGE</v>
          </cell>
          <cell r="P481" t="str">
            <v>Expense Only</v>
          </cell>
          <cell r="Q481">
            <v>820962.81</v>
          </cell>
          <cell r="R481">
            <v>10603.333199999999</v>
          </cell>
        </row>
        <row r="482">
          <cell r="A482" t="str">
            <v>004742</v>
          </cell>
          <cell r="B482" t="str">
            <v>LDC 2</v>
          </cell>
          <cell r="D482" t="str">
            <v>no</v>
          </cell>
          <cell r="E482" t="str">
            <v>28870400000</v>
          </cell>
          <cell r="F482" t="str">
            <v>F0700</v>
          </cell>
          <cell r="G482" t="str">
            <v>Maintenance of Mains - MGE</v>
          </cell>
          <cell r="H482" t="str">
            <v>Leak Survey &amp; Testing MGE</v>
          </cell>
          <cell r="I482" t="str">
            <v>open</v>
          </cell>
          <cell r="J482" t="str">
            <v>Leak Survey &amp; Testing MGE</v>
          </cell>
          <cell r="P482" t="str">
            <v>Expense Only</v>
          </cell>
          <cell r="Q482">
            <v>3787083.48</v>
          </cell>
          <cell r="R482">
            <v>217592.48</v>
          </cell>
        </row>
        <row r="483">
          <cell r="A483" t="str">
            <v>004835</v>
          </cell>
          <cell r="B483" t="str">
            <v>LDC 2</v>
          </cell>
          <cell r="D483" t="str">
            <v>no</v>
          </cell>
          <cell r="E483" t="str">
            <v>29210310000</v>
          </cell>
          <cell r="F483" t="str">
            <v>F0723</v>
          </cell>
          <cell r="G483" t="str">
            <v>Gen Office Sup&amp; Exp MGE</v>
          </cell>
          <cell r="H483" t="str">
            <v>Comm/Phone 292103100 MGE</v>
          </cell>
          <cell r="I483" t="str">
            <v>open</v>
          </cell>
          <cell r="J483" t="str">
            <v>Comm/Phone 292103100 MGE</v>
          </cell>
          <cell r="P483" t="str">
            <v>Expense Only</v>
          </cell>
          <cell r="Q483">
            <v>2082160.7</v>
          </cell>
          <cell r="R483">
            <v>561</v>
          </cell>
        </row>
        <row r="484">
          <cell r="A484" t="str">
            <v>004812</v>
          </cell>
          <cell r="B484" t="str">
            <v>LDC 2</v>
          </cell>
          <cell r="D484" t="str">
            <v>no</v>
          </cell>
          <cell r="E484" t="str">
            <v>29260100321</v>
          </cell>
          <cell r="F484" t="str">
            <v>F0727</v>
          </cell>
          <cell r="G484" t="str">
            <v>Group Insurance MGE</v>
          </cell>
          <cell r="H484" t="str">
            <v>Group Insurance MGE</v>
          </cell>
          <cell r="I484" t="str">
            <v>open</v>
          </cell>
          <cell r="J484" t="str">
            <v>Group Insurance MGE</v>
          </cell>
          <cell r="P484" t="str">
            <v>Expense Only</v>
          </cell>
          <cell r="Q484">
            <v>10909156.060000001</v>
          </cell>
          <cell r="R484">
            <v>3</v>
          </cell>
        </row>
        <row r="485">
          <cell r="A485" t="str">
            <v>004809</v>
          </cell>
          <cell r="B485" t="str">
            <v>LDC 2</v>
          </cell>
          <cell r="D485" t="str">
            <v>no</v>
          </cell>
          <cell r="E485" t="str">
            <v>29250100000</v>
          </cell>
          <cell r="F485" t="str">
            <v>F0725</v>
          </cell>
          <cell r="G485" t="str">
            <v>Injuries and Damages MGE</v>
          </cell>
          <cell r="H485" t="str">
            <v>Injuries and Damages MGE</v>
          </cell>
          <cell r="I485" t="str">
            <v>open</v>
          </cell>
          <cell r="J485" t="str">
            <v>Injuries and Damages MGE</v>
          </cell>
          <cell r="P485" t="str">
            <v>Expense Only</v>
          </cell>
          <cell r="Q485">
            <v>3981.67</v>
          </cell>
          <cell r="R485">
            <v>0</v>
          </cell>
        </row>
        <row r="486">
          <cell r="A486" t="str">
            <v>800510</v>
          </cell>
          <cell r="B486" t="str">
            <v>LDC 2</v>
          </cell>
          <cell r="D486" t="str">
            <v>no</v>
          </cell>
          <cell r="F486" t="str">
            <v>F0523</v>
          </cell>
          <cell r="G486" t="str">
            <v>New Main Extensions (SW)</v>
          </cell>
          <cell r="H486" t="str">
            <v>Inst 450F 4P Kesner Rd NB</v>
          </cell>
          <cell r="I486" t="str">
            <v>open</v>
          </cell>
          <cell r="J486" t="str">
            <v>Main Extension - Install 450' of 4" PL IP to serve William Kessler at 1400 S Kenser Road. TownCode: 0501 Sector: 0198 System: C-1 MOP: 58 MAOP: 58 Cost: $20,868.98 $46.37/ft</v>
          </cell>
          <cell r="P486" t="str">
            <v>0501-044001  JASPER CTY/JOPLIN</v>
          </cell>
          <cell r="Q486">
            <v>62579.66</v>
          </cell>
          <cell r="R486">
            <v>-1910.0633</v>
          </cell>
        </row>
        <row r="487">
          <cell r="A487" t="str">
            <v>008753</v>
          </cell>
          <cell r="B487" t="str">
            <v>LDC 2</v>
          </cell>
          <cell r="D487" t="str">
            <v>no</v>
          </cell>
          <cell r="E487" t="str">
            <v>20501155386</v>
          </cell>
          <cell r="F487" t="str">
            <v>F0544</v>
          </cell>
          <cell r="G487" t="str">
            <v>Replace bare steel main - safety re</v>
          </cell>
          <cell r="H487" t="str">
            <v>Tools Purchase Ska Pak Respirator</v>
          </cell>
          <cell r="I487" t="str">
            <v>posted to CPR</v>
          </cell>
          <cell r="J487" t="str">
            <v>Tools Purchase Ska Pak Respirator: Joplin: Purchase Tools, Instruments &amp; Equipment  3940 (37-366)</v>
          </cell>
          <cell r="K487" t="str">
            <v>Approved by: Michael Fornelli on 06/17/2015,  Purchase 2 Ska Pak Repsirators for Joplin C&amp;M.</v>
          </cell>
          <cell r="L487">
            <v>42308</v>
          </cell>
          <cell r="M487">
            <v>42614</v>
          </cell>
          <cell r="N487">
            <v>42649.7</v>
          </cell>
          <cell r="O487">
            <v>42461</v>
          </cell>
          <cell r="P487" t="str">
            <v>0501-044001  JASPER CTY/JOPLIN</v>
          </cell>
          <cell r="Q487">
            <v>3835.48</v>
          </cell>
          <cell r="R487">
            <v>2</v>
          </cell>
        </row>
        <row r="488">
          <cell r="A488" t="str">
            <v>800042</v>
          </cell>
          <cell r="B488" t="str">
            <v>LDC 2</v>
          </cell>
          <cell r="D488" t="str">
            <v>no</v>
          </cell>
          <cell r="F488" t="str">
            <v>F0523</v>
          </cell>
          <cell r="G488" t="str">
            <v>New Main Extensions (SW)</v>
          </cell>
          <cell r="H488" t="str">
            <v>KDH 191 South of Alliance Pkwy</v>
          </cell>
          <cell r="I488" t="str">
            <v>in service</v>
          </cell>
          <cell r="J488" t="str">
            <v>Install 560ft of 4in PE main extension S of Alliance Pkwy to serve new customer (KDH Expansion). Pressure System: S-121 MAOP: 58 psig MOP: 60 psig Design Pressure: 66 psig Test Pressure: 100 psig Total: $40.02/ft (22,411.79)</v>
          </cell>
          <cell r="K488" t="str">
            <v>See attached MEA contract and contribution for $3,805</v>
          </cell>
          <cell r="L488">
            <v>42289</v>
          </cell>
          <cell r="O488">
            <v>42339</v>
          </cell>
          <cell r="P488" t="str">
            <v>0501-044001  JASPER CTY/JOPLIN</v>
          </cell>
          <cell r="Q488">
            <v>42719.39</v>
          </cell>
          <cell r="R488">
            <v>-3576</v>
          </cell>
        </row>
        <row r="489">
          <cell r="A489" t="str">
            <v>007605</v>
          </cell>
          <cell r="B489" t="str">
            <v>LDC 2</v>
          </cell>
          <cell r="D489" t="str">
            <v>no</v>
          </cell>
          <cell r="E489" t="str">
            <v>20501155129</v>
          </cell>
          <cell r="F489" t="str">
            <v>F0485</v>
          </cell>
          <cell r="G489" t="str">
            <v>Tools, Instruments &amp; Equipment (SW)</v>
          </cell>
          <cell r="H489" t="str">
            <v>Pur Smart-Cal Auto Calibration Stat</v>
          </cell>
          <cell r="I489" t="str">
            <v>posted to CPR</v>
          </cell>
          <cell r="J489" t="str">
            <v>Purchase Smart-Cal Auto Calibration Station: Joplin: Purchase Tools, Instruments &amp; Equipment  3940 (37-366)</v>
          </cell>
          <cell r="K489" t="str">
            <v>Approved by: Michael Fornelli on 02/05/2015,  To purchase Smart-Cal Auto Calibration Station, Item Number 914-00000-01, from Groebner. Groebner Quote Number 026177. Price per qoute is $4,200 including set up and training. Unit will be used in Joplin for calibration of Sensit Gold CGI's and will be purchased from P&amp;M budget. Quote attached.</v>
          </cell>
          <cell r="L489">
            <v>42100</v>
          </cell>
          <cell r="M489">
            <v>42491</v>
          </cell>
          <cell r="N489">
            <v>42527.511585648201</v>
          </cell>
          <cell r="O489">
            <v>42095</v>
          </cell>
          <cell r="P489" t="str">
            <v>0501-044001  JASPER CTY/JOPLIN</v>
          </cell>
          <cell r="Q489">
            <v>5107.83</v>
          </cell>
          <cell r="R489">
            <v>1</v>
          </cell>
        </row>
        <row r="490">
          <cell r="A490" t="str">
            <v>005551</v>
          </cell>
          <cell r="B490" t="str">
            <v>LDC 2</v>
          </cell>
          <cell r="D490" t="str">
            <v>yes</v>
          </cell>
          <cell r="E490" t="str">
            <v>20501143621</v>
          </cell>
          <cell r="F490" t="str">
            <v>F0546</v>
          </cell>
          <cell r="G490" t="str">
            <v>Street &amp; highway relocates - safety</v>
          </cell>
          <cell r="H490" t="str">
            <v>11th &amp; Highview Reloc PBS w 1245'-2</v>
          </cell>
          <cell r="I490" t="str">
            <v>posted to CPR</v>
          </cell>
          <cell r="J490" t="str">
            <v>11th &amp; Highview Reloc PBS w 1245'-2in PE main: Joplin: Relocate for Street &amp; Highway-Safety Related (44-389)</v>
          </cell>
          <cell r="K490" t="str">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ell>
          <cell r="L490">
            <v>41894</v>
          </cell>
          <cell r="M490">
            <v>42248</v>
          </cell>
          <cell r="N490">
            <v>42284.7218055556</v>
          </cell>
          <cell r="O490">
            <v>41944</v>
          </cell>
          <cell r="P490" t="str">
            <v>0501-044001  JASPER CTY/JOPLIN</v>
          </cell>
          <cell r="Q490">
            <v>16616.09</v>
          </cell>
          <cell r="R490">
            <v>-2462.5</v>
          </cell>
        </row>
        <row r="491">
          <cell r="A491" t="str">
            <v>004621</v>
          </cell>
          <cell r="B491" t="str">
            <v>LDC 2</v>
          </cell>
          <cell r="D491" t="str">
            <v>no</v>
          </cell>
          <cell r="E491" t="str">
            <v>20501132697</v>
          </cell>
          <cell r="F491" t="str">
            <v>F0630</v>
          </cell>
          <cell r="G491" t="str">
            <v>Meter &amp; Reg Settings 2" &amp; Lg (SW)</v>
          </cell>
          <cell r="H491" t="str">
            <v>2901 McClelland Prefab 3M meter Set</v>
          </cell>
          <cell r="I491" t="str">
            <v>posted to CPR</v>
          </cell>
          <cell r="J491" t="str">
            <v>2901 McClelland Prefab 3M meter Set: Joplin: 2901 McClelland Irving Elem</v>
          </cell>
          <cell r="K491" t="str">
            <v>Approved by: Galen Shoemaker on 05/15/2013,  WILL INSTALL 2in PREFAB SETTING FOR 3M ROOTS METER TO SERVE THE NEW IRVING ELEMENTARY. WILL USE 2in FLANGED B34 IMRV REGULATOR WITH 3/8in ORIFICE AND GREEN SPRING TO DELIVER 7in WC TO THE CUSTOMER. TOTAL CONNECTED DEMAND IS 3214 CFH. THERE WILL BE NO CHARGE TO THE CUSTOMER. SYSTEM JOPLIN C-1  MAOP=58 PSIG MOP=58 PSIG</v>
          </cell>
          <cell r="L491">
            <v>41502</v>
          </cell>
          <cell r="M491">
            <v>41600</v>
          </cell>
          <cell r="N491">
            <v>41612.300138888902</v>
          </cell>
          <cell r="P491" t="str">
            <v>0501-044001  JASPER CTY/JOPLIN</v>
          </cell>
          <cell r="Q491">
            <v>5800.58</v>
          </cell>
          <cell r="R491">
            <v>13</v>
          </cell>
        </row>
        <row r="492">
          <cell r="A492" t="str">
            <v>800373</v>
          </cell>
          <cell r="B492" t="str">
            <v>LDC 2</v>
          </cell>
          <cell r="D492" t="str">
            <v>no</v>
          </cell>
          <cell r="F492" t="str">
            <v>F0523</v>
          </cell>
          <cell r="G492" t="str">
            <v>New Main Extensions (SW)</v>
          </cell>
          <cell r="H492" t="str">
            <v>Main Extension for Stadium View - I</v>
          </cell>
          <cell r="I492" t="str">
            <v>posted to CPR</v>
          </cell>
          <cell r="J492" t="str">
            <v>1,810ft main extension to serve Stadium View Subdivision in Webb City. Town Code: 0502 Sector: 0001A System: C-100 MOP: 30 MAOP: 30  Cost: $50,206.25 ($27.73/ft).
Per System Planning request, an additional 130' of 2in PE is</v>
          </cell>
          <cell r="K492" t="str">
            <v>Per Alison Spalding the Estimate and the As Built are properly reflected with a difference in footage of 555 Feet.</v>
          </cell>
          <cell r="L492">
            <v>42551</v>
          </cell>
          <cell r="M492">
            <v>42674</v>
          </cell>
          <cell r="N492">
            <v>42742.625289351803</v>
          </cell>
          <cell r="O492">
            <v>42522</v>
          </cell>
          <cell r="P492" t="str">
            <v>0502-044006  JASPER CTY/WEBB CITY</v>
          </cell>
          <cell r="Q492">
            <v>71773.960000000006</v>
          </cell>
          <cell r="R492">
            <v>-6785</v>
          </cell>
        </row>
        <row r="493">
          <cell r="A493" t="str">
            <v>008543</v>
          </cell>
          <cell r="B493" t="str">
            <v>LDC 2</v>
          </cell>
          <cell r="D493" t="str">
            <v>yes</v>
          </cell>
          <cell r="E493" t="str">
            <v>20502155309</v>
          </cell>
          <cell r="F493" t="str">
            <v>F0544</v>
          </cell>
          <cell r="G493" t="str">
            <v>Replace bare steel main - safety re</v>
          </cell>
          <cell r="H493" t="str">
            <v>3in and 2in PBS Main Replacement</v>
          </cell>
          <cell r="I493" t="str">
            <v>posted to CPR</v>
          </cell>
          <cell r="J493" t="str">
            <v>3in and 2in PBS Main Replacement: Webb City: Replace Bare Steel Main - 3760 Safety Related (34-394)</v>
          </cell>
          <cell r="K493" t="str">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ell>
          <cell r="L493">
            <v>42278</v>
          </cell>
          <cell r="M493">
            <v>42429</v>
          </cell>
          <cell r="N493">
            <v>42527.512152777803</v>
          </cell>
          <cell r="O493">
            <v>42278</v>
          </cell>
          <cell r="P493" t="str">
            <v>0502-044006  JASPER CTY/WEBB CITY</v>
          </cell>
          <cell r="Q493">
            <v>28378.59</v>
          </cell>
          <cell r="R493">
            <v>-702.5</v>
          </cell>
        </row>
        <row r="494">
          <cell r="A494" t="str">
            <v>004388</v>
          </cell>
          <cell r="B494" t="str">
            <v>LDC 2</v>
          </cell>
          <cell r="D494" t="str">
            <v>no</v>
          </cell>
          <cell r="E494" t="str">
            <v>20502143374</v>
          </cell>
          <cell r="F494" t="str">
            <v>F0667</v>
          </cell>
          <cell r="G494" t="str">
            <v>Other relocates</v>
          </cell>
          <cell r="H494" t="str">
            <v>Webb &amp; Vine Reloc 390' - 2in PE</v>
          </cell>
          <cell r="I494" t="str">
            <v>posted to CPR</v>
          </cell>
          <cell r="J494" t="str">
            <v>Webb &amp; Vine Reloc 390' - 2" PE : Webb City: Webb and Aylor Webster Elem</v>
          </cell>
          <cell r="K494" t="str">
            <v>Approved by: Galen Shoemaker on 02/24/2014,  Relocate 155' - 2" PE (WO#:96-2042) and 235' - 4" PE (WO#:96-2042) with 390' - 2" PE due to new FEMA shelter being built over existing main for Webster Elementary School. The school has purchased all of the lots that we are relocating around. If we were to lose this loop we would create a five block dead end feed on a low pressure main. There is no new load being added due to this expansion. Customer will contribute $8,426.25 prior to construction. Project Location: Webb and Aylor; Pressure System: C-2; MOP: 1.5 psig; MAOP: 1.5 psig; Design: 58 psig; Test: 100 psig; $22.29/ft</v>
          </cell>
          <cell r="L494">
            <v>41712</v>
          </cell>
          <cell r="M494">
            <v>41912</v>
          </cell>
          <cell r="N494">
            <v>42012.721388888902</v>
          </cell>
          <cell r="O494">
            <v>41760</v>
          </cell>
          <cell r="P494" t="str">
            <v>0502-044006  JASPER CTY/WEBB CITY</v>
          </cell>
          <cell r="Q494">
            <v>-1660.32</v>
          </cell>
          <cell r="R494">
            <v>1689</v>
          </cell>
        </row>
        <row r="495">
          <cell r="A495" t="str">
            <v>004499</v>
          </cell>
          <cell r="B495" t="str">
            <v>LDC 2</v>
          </cell>
          <cell r="D495" t="str">
            <v>yes</v>
          </cell>
          <cell r="E495" t="str">
            <v>20501050367</v>
          </cell>
          <cell r="F495" t="str">
            <v>F0526</v>
          </cell>
          <cell r="G495" t="str">
            <v>SLRP - materials - company crews</v>
          </cell>
          <cell r="H495" t="str">
            <v>BWO MATERIAL SERV LINE REPL COMP</v>
          </cell>
          <cell r="I495" t="str">
            <v>open</v>
          </cell>
          <cell r="J495" t="str">
            <v>BWO MATERIAL SERV LINE REPL COMP</v>
          </cell>
          <cell r="K495" t="str">
            <v>Service/Yard Line Replacement (SLRP): Company Crew.  Service/yard line replacement - Material Charges Only  (Joplin - South Region)</v>
          </cell>
          <cell r="O495">
            <v>41821</v>
          </cell>
          <cell r="P495" t="str">
            <v>0501-044001  JASPER CTY/JOPLIN</v>
          </cell>
          <cell r="Q495">
            <v>48084.88</v>
          </cell>
          <cell r="R495">
            <v>14723.25</v>
          </cell>
        </row>
        <row r="496">
          <cell r="A496" t="str">
            <v>004493</v>
          </cell>
          <cell r="B496" t="str">
            <v>LDC 2</v>
          </cell>
          <cell r="D496" t="str">
            <v>no</v>
          </cell>
          <cell r="E496" t="str">
            <v>20501050320</v>
          </cell>
          <cell r="F496" t="str">
            <v>F0635</v>
          </cell>
          <cell r="G496" t="str">
            <v>New service installations - contrac</v>
          </cell>
          <cell r="H496" t="str">
            <v>BWO NEW SVC CONT</v>
          </cell>
          <cell r="I496" t="str">
            <v>open</v>
          </cell>
          <cell r="J496" t="str">
            <v>BWO NEW SVC CONT</v>
          </cell>
          <cell r="K496" t="str">
            <v>Project Type:B</v>
          </cell>
          <cell r="O496">
            <v>41730</v>
          </cell>
          <cell r="P496" t="str">
            <v>0501-044001  JASPER CTY/JOPLIN</v>
          </cell>
          <cell r="Q496">
            <v>1920943.45</v>
          </cell>
          <cell r="R496">
            <v>263576</v>
          </cell>
        </row>
        <row r="497">
          <cell r="A497" t="str">
            <v>007940</v>
          </cell>
          <cell r="B497" t="str">
            <v>LDC 2</v>
          </cell>
          <cell r="D497" t="str">
            <v>no</v>
          </cell>
          <cell r="E497" t="str">
            <v>20501155249</v>
          </cell>
          <cell r="F497" t="str">
            <v>F0630</v>
          </cell>
          <cell r="G497" t="str">
            <v>Meter &amp; Reg Settings 2" &amp; Lg (SW)</v>
          </cell>
          <cell r="H497" t="str">
            <v>Iinstall Prefab Setting For 5M Root</v>
          </cell>
          <cell r="I497" t="str">
            <v>posted to CPR</v>
          </cell>
          <cell r="J497" t="str">
            <v>Iinstall Prefab Setting For 5M Roots Meter: Joplin(S. of 32ND): New Meter &amp; Reg Settings - 2&amp;quot; &amp; Larger 3820/3830 (33-382)</v>
          </cell>
          <cell r="K497" t="str">
            <v>Approved by: Michael Fornelli on 03/25/2015,  Will install a 3" prefab meter setting for 5M Roots meter to serve the new Texas Roadhouse at 3333 S. Range Line Rd in Joplin. Will use 2" flanged B34 IMRV regulator with 3/8" orifice and green/white spring to deliver 7" wc. The total connected demand is 4,462 cfh. Based on the economic evaluation, there will be no charge to the customer. System 0501-C-1  MAOP=58PSIG  MOP=58PSIG</v>
          </cell>
          <cell r="L497">
            <v>42207</v>
          </cell>
          <cell r="M497">
            <v>42491</v>
          </cell>
          <cell r="N497">
            <v>42528.3132175926</v>
          </cell>
          <cell r="O497">
            <v>42186</v>
          </cell>
          <cell r="P497" t="str">
            <v>0501-066001  NEWTON CTY/JOPLIN</v>
          </cell>
          <cell r="Q497">
            <v>3327.9</v>
          </cell>
          <cell r="R497">
            <v>-2</v>
          </cell>
        </row>
        <row r="498">
          <cell r="A498" t="str">
            <v>007191</v>
          </cell>
          <cell r="B498" t="str">
            <v>LDC 2</v>
          </cell>
          <cell r="D498" t="str">
            <v>yes</v>
          </cell>
          <cell r="E498" t="str">
            <v>20502144034</v>
          </cell>
          <cell r="F498" t="str">
            <v>F0544</v>
          </cell>
          <cell r="G498" t="str">
            <v>Replace bare steel main - safety re</v>
          </cell>
          <cell r="H498" t="str">
            <v>Repl w 725ft of 4in PE 13th and Mad</v>
          </cell>
          <cell r="I498" t="str">
            <v>posted to CPR</v>
          </cell>
          <cell r="J498" t="str">
            <v>Repl w 725ft of 4in PE 13th and Madison due to CP: Webb City: Replace Bare Steel Main - 3760 Safety Related (34-394)</v>
          </cell>
          <cell r="K498" t="str">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ell>
          <cell r="L498">
            <v>42261</v>
          </cell>
          <cell r="M498">
            <v>42429</v>
          </cell>
          <cell r="N498">
            <v>42527.511377314797</v>
          </cell>
          <cell r="O498">
            <v>42278</v>
          </cell>
          <cell r="P498" t="str">
            <v>0502-044006  JASPER CTY/WEBB CITY</v>
          </cell>
          <cell r="Q498">
            <v>54221.98</v>
          </cell>
          <cell r="R498">
            <v>-904.5</v>
          </cell>
        </row>
        <row r="499">
          <cell r="A499" t="str">
            <v>010214</v>
          </cell>
          <cell r="B499" t="str">
            <v>LDC 2</v>
          </cell>
          <cell r="D499" t="str">
            <v>no</v>
          </cell>
          <cell r="F499" t="str">
            <v>F1153</v>
          </cell>
          <cell r="G499" t="str">
            <v>Power Operated Equip - MGE</v>
          </cell>
          <cell r="H499" t="str">
            <v>Purchase (2) Service Trucks. MGE</v>
          </cell>
          <cell r="I499" t="str">
            <v>open</v>
          </cell>
          <cell r="J499" t="str">
            <v>Purchase two service trucks for MGE - replacing units 35302 &amp; 35402</v>
          </cell>
          <cell r="K499" t="str">
            <v>Note - unit 35302 = old #21315, unit 35402 = old #21316</v>
          </cell>
          <cell r="P499" t="str">
            <v>0101-043050  JACKSON CTY/KC</v>
          </cell>
          <cell r="Q499">
            <v>270993.3</v>
          </cell>
          <cell r="R499">
            <v>7</v>
          </cell>
        </row>
        <row r="500">
          <cell r="A500" t="str">
            <v>004014</v>
          </cell>
          <cell r="B500" t="str">
            <v>LDC 2</v>
          </cell>
          <cell r="D500" t="str">
            <v>no</v>
          </cell>
          <cell r="E500" t="str">
            <v>20101121476</v>
          </cell>
          <cell r="F500" t="str">
            <v>F0492</v>
          </cell>
          <cell r="G500" t="str">
            <v>Special projects</v>
          </cell>
          <cell r="H500" t="str">
            <v>CANCEL - Redesign MGE Website</v>
          </cell>
          <cell r="I500" t="str">
            <v>cancelled</v>
          </cell>
          <cell r="J500" t="str">
            <v>Redesign MGE Website: Kansas City CORP: 3420 Broadway  CANCELLED DUE TO LACLEDE GAS TO SETUP NEW PROJECT. 3/20/2014 Approved by Sondra Brown</v>
          </cell>
          <cell r="K500" t="str">
            <v>Approved by: Rob Hack on 06/25/2012,  Missouri Gas Energy is seeking to redevelop their website in order to better represent their key services and improve overall customer satisfaction with the website. The goal of this effort is make the website a more relevant resource for customers to manage their accounts and interact with MGE.   This replacement will upgrade the site¿s technical architecture, functionality, and usability.    The current website will be decommissioned.</v>
          </cell>
          <cell r="N500">
            <v>41719</v>
          </cell>
          <cell r="P500" t="str">
            <v>0101-043050  JACKSON CTY/KC</v>
          </cell>
          <cell r="Q500">
            <v>0</v>
          </cell>
          <cell r="R500">
            <v>0</v>
          </cell>
        </row>
        <row r="501">
          <cell r="A501" t="str">
            <v>007327</v>
          </cell>
          <cell r="B501" t="str">
            <v>LDC 2</v>
          </cell>
          <cell r="D501" t="str">
            <v>yes</v>
          </cell>
          <cell r="E501" t="str">
            <v>20201144057</v>
          </cell>
          <cell r="F501" t="str">
            <v>F0604</v>
          </cell>
          <cell r="G501" t="str">
            <v>Main Replacement - ISRS (S)</v>
          </cell>
          <cell r="H501" t="str">
            <v>Replace  2in &amp; 4in PBS Main</v>
          </cell>
          <cell r="I501" t="str">
            <v>posted to CPR</v>
          </cell>
          <cell r="J501" t="str">
            <v>Replace  2in &amp; 4in PBS Main: Independence: Replace Bare Steel Main - 3760 Safety Related (34-394)</v>
          </cell>
          <cell r="K501" t="str">
            <v>Approved by: Ralph Janes on 12/23/2014,  Replace and abandon 802' - 4" pbs main (work order 147), 202' - 2" pbs main (work order 21557) and 145' - 2" pcs main (work order 615237) by installing 1,250' - 2" pe main.  The existing bare main recently had a #2 leak and the main was recommended for replacement. (ISRS)</v>
          </cell>
          <cell r="L501">
            <v>42075</v>
          </cell>
          <cell r="M501">
            <v>42094</v>
          </cell>
          <cell r="N501">
            <v>42193.495393518497</v>
          </cell>
          <cell r="O501">
            <v>42064</v>
          </cell>
          <cell r="P501" t="str">
            <v>0201-043001  JACKSON CTY/INDEPENDENCE</v>
          </cell>
          <cell r="Q501">
            <v>12232.47</v>
          </cell>
          <cell r="R501">
            <v>-1665</v>
          </cell>
        </row>
        <row r="502">
          <cell r="A502" t="str">
            <v>006979</v>
          </cell>
          <cell r="B502" t="str">
            <v>LDC 2</v>
          </cell>
          <cell r="D502" t="str">
            <v>no</v>
          </cell>
          <cell r="E502" t="str">
            <v>20201143918</v>
          </cell>
          <cell r="F502" t="str">
            <v>F0507</v>
          </cell>
          <cell r="G502" t="str">
            <v>Rebuild Meter Install 2'' &amp; Lg (S)</v>
          </cell>
          <cell r="H502" t="str">
            <v>Rebuild 2M Rotary Meter Set</v>
          </cell>
          <cell r="I502" t="str">
            <v>posted to CPR</v>
          </cell>
          <cell r="J502" t="str">
            <v>Rebuild 2M Rotary Meter Set : Independence: Replace Meter &amp; Reg 2in &amp;  Larger - 3820/3830 (32-404)</v>
          </cell>
          <cell r="K502" t="str">
            <v>Approved by: Ralph Janes on 11/20/2014,  The RK 3000 meter at 2500 E RD Mize Rd, premise# 5613 (installed on WO# 774322), with meter #00011554, is due for change out on the 2014 Time Limit Program.  Existing Load: 2,000 cfh.  Rebuild a 2M rotary meter setting and retire the existing RK 5000 meter.  A new flanged inlet riser to be installed by C&amp;M.</v>
          </cell>
          <cell r="L502">
            <v>42132</v>
          </cell>
          <cell r="M502">
            <v>42248</v>
          </cell>
          <cell r="N502">
            <v>42270.486469907402</v>
          </cell>
          <cell r="O502">
            <v>42125</v>
          </cell>
          <cell r="P502" t="str">
            <v>0201-043001  JACKSON CTY/INDEPENDENCE</v>
          </cell>
          <cell r="Q502">
            <v>2112.09</v>
          </cell>
          <cell r="R502">
            <v>-45.5</v>
          </cell>
        </row>
        <row r="503">
          <cell r="A503" t="str">
            <v>003940</v>
          </cell>
          <cell r="B503" t="str">
            <v>LDC 2</v>
          </cell>
          <cell r="D503" t="str">
            <v>yes</v>
          </cell>
          <cell r="E503" t="str">
            <v>20201122001</v>
          </cell>
          <cell r="F503" t="str">
            <v>F0604</v>
          </cell>
          <cell r="G503" t="str">
            <v>Main Replacement - ISRS (S)</v>
          </cell>
          <cell r="H503" t="str">
            <v>Overton Ave Repl PBS w 400'-4in PE</v>
          </cell>
          <cell r="I503" t="str">
            <v>posted to CPR</v>
          </cell>
          <cell r="J503" t="str">
            <v>Overton Ave Repl PBS w 400'-4in PE main: Independence: Overton Ave Between Independence Ave and 24 Hwy</v>
          </cell>
          <cell r="K503" t="str">
            <v>Approved by: Ralph Janes on 12/17/2012,  Main to abandon: 372' of 4in PBS (from wo# 38) AND 7' of 4in PCS (from wo# 701116). Replace with 400' of 4in PE along Overton Avenue between Independence Avenue and US Hwy 24 on wo# 12-2001. We have had numerous class 3 leaks that have been clamped at the SE corner of Overton Ave and Independence Ave.</v>
          </cell>
          <cell r="L503">
            <v>41355</v>
          </cell>
          <cell r="M503">
            <v>41410</v>
          </cell>
          <cell r="N503">
            <v>41562.537280092598</v>
          </cell>
          <cell r="P503" t="str">
            <v>0201-043001  JACKSON CTY/INDEPENDENCE</v>
          </cell>
          <cell r="Q503">
            <v>35801.370000000003</v>
          </cell>
          <cell r="R503">
            <v>1803</v>
          </cell>
        </row>
        <row r="504">
          <cell r="A504" t="str">
            <v>004672</v>
          </cell>
          <cell r="B504" t="str">
            <v>LDC 2</v>
          </cell>
          <cell r="D504" t="str">
            <v>no</v>
          </cell>
          <cell r="E504" t="str">
            <v>20201133006</v>
          </cell>
          <cell r="F504" t="str">
            <v>F0639</v>
          </cell>
          <cell r="G504" t="str">
            <v>EGM Equip-1st Time Installation</v>
          </cell>
          <cell r="H504" t="str">
            <v>EGM - RCFC of Missouri 882, LLC</v>
          </cell>
          <cell r="I504" t="str">
            <v>posted to CPR</v>
          </cell>
          <cell r="J504" t="str">
            <v>EGM - RCFC of Missouri 882, LLC: Independence: 19750 E Valley View Pkwy - Independence, MO 64057</v>
          </cell>
          <cell r="K504" t="str">
            <v>Approved by: Rob Kitterman on 09/24/2013,  Install Mercury MiniMax-AT-T w/ Messenger Modem S/N:13012211 on Roots 3M meter no 00441331 to monitor daily gas usage of this transportation customer. Customer will reimburse company actual cost for EGM installation not to exceed $5,445.00, which should be coded to account 1072. ATTENTION: Plant &amp; Property Accounting, EGM work order, turn off A&amp;G indicator.</v>
          </cell>
          <cell r="L504">
            <v>41547</v>
          </cell>
          <cell r="M504">
            <v>41670</v>
          </cell>
          <cell r="N504">
            <v>41677.509826388901</v>
          </cell>
          <cell r="P504" t="str">
            <v>0201-043001  JACKSON CTY/INDEPENDENCE</v>
          </cell>
          <cell r="Q504">
            <v>272.83999999999997</v>
          </cell>
          <cell r="R504">
            <v>4</v>
          </cell>
        </row>
        <row r="505">
          <cell r="A505" t="str">
            <v>004382</v>
          </cell>
          <cell r="B505" t="str">
            <v>LDC 2</v>
          </cell>
          <cell r="D505" t="str">
            <v>yes</v>
          </cell>
          <cell r="E505" t="str">
            <v>20201133049</v>
          </cell>
          <cell r="F505" t="str">
            <v>F0503</v>
          </cell>
          <cell r="G505" t="str">
            <v>Rectifier New/Repl ISRS (N)</v>
          </cell>
          <cell r="H505" t="str">
            <v>33rd &amp; Vermont Rectifier/GroundBed</v>
          </cell>
          <cell r="I505" t="str">
            <v>posted to CPR</v>
          </cell>
          <cell r="J505" t="str">
            <v>33rd &amp; Vermont Rectifier/GroundBed Repl I-0429: Independence: 33rd and Vermont</v>
          </cell>
          <cell r="K505" t="str">
            <v>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v>
          </cell>
          <cell r="L505">
            <v>41598</v>
          </cell>
          <cell r="M505">
            <v>41670</v>
          </cell>
          <cell r="N505">
            <v>41677.509780092601</v>
          </cell>
          <cell r="O505">
            <v>41730</v>
          </cell>
          <cell r="P505" t="str">
            <v>0201-043001  JACKSON CTY/INDEPENDENCE</v>
          </cell>
          <cell r="Q505">
            <v>9821.98</v>
          </cell>
          <cell r="R505">
            <v>23.5</v>
          </cell>
        </row>
        <row r="506">
          <cell r="A506" t="str">
            <v>008930</v>
          </cell>
          <cell r="B506" t="str">
            <v>LDC 2</v>
          </cell>
          <cell r="D506" t="str">
            <v>no</v>
          </cell>
          <cell r="F506" t="str">
            <v>F0850</v>
          </cell>
          <cell r="G506" t="str">
            <v>Facilities - MGE - Remodel Svc Cen</v>
          </cell>
          <cell r="H506" t="str">
            <v>Independence-Parking Lot Renovation</v>
          </cell>
          <cell r="I506" t="str">
            <v>posted to CPR</v>
          </cell>
          <cell r="J506" t="str">
            <v>Remove exitsing asphalt &amp; rock.  Install new drain pipe.  Regrade to create positive drainage.  Install 4" new asphalt &amp; compact.  Strip parking stalls.</v>
          </cell>
          <cell r="L506">
            <v>42277</v>
          </cell>
          <cell r="M506">
            <v>42278</v>
          </cell>
          <cell r="N506">
            <v>42345.382488425901</v>
          </cell>
          <cell r="O506">
            <v>42248</v>
          </cell>
          <cell r="P506" t="str">
            <v>0201-043003  JACKSON CTY/INDEPENDENCE</v>
          </cell>
          <cell r="Q506">
            <v>78796.009999999995</v>
          </cell>
          <cell r="R506">
            <v>69553</v>
          </cell>
        </row>
        <row r="507">
          <cell r="A507" t="str">
            <v>009252</v>
          </cell>
          <cell r="B507" t="str">
            <v>LDC 2</v>
          </cell>
          <cell r="D507" t="str">
            <v>yes</v>
          </cell>
          <cell r="E507" t="str">
            <v>20301155498</v>
          </cell>
          <cell r="F507" t="str">
            <v>F0604</v>
          </cell>
          <cell r="G507" t="str">
            <v>Main Replacement - ISRS (S)</v>
          </cell>
          <cell r="H507" t="str">
            <v>Replace  2in &amp; 4in PBS Main</v>
          </cell>
          <cell r="I507" t="str">
            <v>posted to CPR</v>
          </cell>
          <cell r="J507" t="str">
            <v>Replace  2in &amp; 4in PBS Main: Warrensburg: Replace Bare Steel Main - 3760 Safety Related (34-394)</v>
          </cell>
          <cell r="K507" t="str">
            <v>Approved by: Kevin Driskell on 08/25/2015,  Replace 2" and 4" pbs main in alley (ISRS)</v>
          </cell>
          <cell r="L507">
            <v>42342</v>
          </cell>
          <cell r="M507">
            <v>42430</v>
          </cell>
          <cell r="N507">
            <v>42557.552870370397</v>
          </cell>
          <cell r="O507">
            <v>42401</v>
          </cell>
          <cell r="P507" t="str">
            <v>0301-046001  JOHNSON CTY/WARRENSBURG</v>
          </cell>
          <cell r="Q507">
            <v>99754.36</v>
          </cell>
          <cell r="R507">
            <v>-960.5</v>
          </cell>
        </row>
        <row r="508">
          <cell r="A508" t="str">
            <v>008890</v>
          </cell>
          <cell r="B508" t="str">
            <v>LDC 2</v>
          </cell>
          <cell r="D508" t="str">
            <v>yes</v>
          </cell>
          <cell r="E508" t="str">
            <v>20201155425</v>
          </cell>
          <cell r="F508" t="str">
            <v>F0646</v>
          </cell>
          <cell r="G508" t="str">
            <v>Replace bare steel main - safety re</v>
          </cell>
          <cell r="H508" t="str">
            <v>Replace Bare Steel-Waldo Ave</v>
          </cell>
          <cell r="I508" t="str">
            <v>posted to CPR</v>
          </cell>
          <cell r="J508" t="str">
            <v>Replace Bare Steel-Waldo Ave: Independence: Replace Bare Steel Main - 3760 Safety Related (34-394)</v>
          </cell>
          <cell r="K508" t="str">
            <v>Approved by: Kevin Driskell on 07/06/2015,  This Work Order is necessary to clear CP 15-45 by replacing 369' of 3" PCS, 126' of 2" PCS and 178' of 2" PBS. Install 495' of 4" PE and 175' of 2" PE.  ISRS.</v>
          </cell>
          <cell r="L508">
            <v>42268</v>
          </cell>
          <cell r="M508">
            <v>42429</v>
          </cell>
          <cell r="N508">
            <v>42527.512546296297</v>
          </cell>
          <cell r="O508">
            <v>42248</v>
          </cell>
          <cell r="P508" t="str">
            <v>0201-043001  JACKSON CTY/INDEPENDENCE</v>
          </cell>
          <cell r="Q508">
            <v>65842.27</v>
          </cell>
          <cell r="R508">
            <v>-611.5</v>
          </cell>
        </row>
        <row r="509">
          <cell r="A509" t="str">
            <v>009697</v>
          </cell>
          <cell r="B509" t="str">
            <v>LDC 2</v>
          </cell>
          <cell r="D509" t="str">
            <v>no</v>
          </cell>
          <cell r="F509" t="str">
            <v>F0644</v>
          </cell>
          <cell r="G509" t="str">
            <v>Meter &amp; Reg Settings 2" &amp; Lg (S)</v>
          </cell>
          <cell r="H509" t="str">
            <v>Retire 5M Rotary Meter Set-Dietmer</v>
          </cell>
          <cell r="I509" t="str">
            <v>posted to CPR</v>
          </cell>
          <cell r="J509" t="str">
            <v>Retire 5M Rotary Meter Set - 503 S Maguire - Diemer Hall</v>
          </cell>
          <cell r="L509">
            <v>42443</v>
          </cell>
          <cell r="M509">
            <v>42614</v>
          </cell>
          <cell r="N509">
            <v>42651.656689814801</v>
          </cell>
          <cell r="O509">
            <v>42614</v>
          </cell>
          <cell r="P509" t="str">
            <v>0301-046001  JOHNSON CTY/WARRENSBURG</v>
          </cell>
          <cell r="Q509">
            <v>3450.28</v>
          </cell>
          <cell r="R509">
            <v>4</v>
          </cell>
        </row>
        <row r="510">
          <cell r="A510" t="str">
            <v>004430</v>
          </cell>
          <cell r="B510" t="str">
            <v>LDC 2</v>
          </cell>
          <cell r="D510" t="str">
            <v>no</v>
          </cell>
          <cell r="E510" t="str">
            <v>20301118253</v>
          </cell>
          <cell r="F510" t="str">
            <v>F0503</v>
          </cell>
          <cell r="G510" t="str">
            <v>Rectifier New/Repl ISRS (N)</v>
          </cell>
          <cell r="H510" t="str">
            <v>W0137 Rectifier Groundbed Replaceme</v>
          </cell>
          <cell r="I510" t="str">
            <v>posted to CPR</v>
          </cell>
          <cell r="J510" t="str">
            <v>W0137 Rectifier Groundbed Replacement: Warrensburg: Pertle Drive and Hale Lake Road</v>
          </cell>
          <cell r="K510" t="str">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ell>
          <cell r="L510">
            <v>41831</v>
          </cell>
          <cell r="M510">
            <v>41913</v>
          </cell>
          <cell r="N510">
            <v>41950.725173611099</v>
          </cell>
          <cell r="O510">
            <v>41821</v>
          </cell>
          <cell r="P510" t="str">
            <v>0301-046001  JOHNSON CTY/WARRENSBURG</v>
          </cell>
          <cell r="Q510">
            <v>31289.32</v>
          </cell>
          <cell r="R510">
            <v>-680</v>
          </cell>
        </row>
        <row r="511">
          <cell r="A511" t="str">
            <v>005090</v>
          </cell>
          <cell r="B511" t="str">
            <v>LDC 2</v>
          </cell>
          <cell r="D511" t="str">
            <v>yes</v>
          </cell>
          <cell r="E511" t="str">
            <v>20301143518</v>
          </cell>
          <cell r="F511" t="str">
            <v>F0514</v>
          </cell>
          <cell r="G511" t="str">
            <v>Other relocates</v>
          </cell>
          <cell r="H511" t="str">
            <v>Washington Ave Reloc 14'-2in pcs ma</v>
          </cell>
          <cell r="I511" t="str">
            <v>posted to CPR</v>
          </cell>
          <cell r="J511" t="str">
            <v>Washington Ave Reloc 14'-2in pcs main: Warrensburg: Other Relocates - Per Customer Request - Contribution (44-390)</v>
          </cell>
          <cell r="K511" t="str">
            <v>Approved by: Ralph Janes on 04/25/2014,  Relocate and abandon 8' - 2" pcs main (683382) by installing 14' - 2" pcs main to allow Central Missouri University to install new storm structures in conjumction with building new dorm buildings. Work is reimbursable - check for $1874 received 4-28 per WOES.</v>
          </cell>
          <cell r="L511">
            <v>41764</v>
          </cell>
          <cell r="M511">
            <v>42217</v>
          </cell>
          <cell r="N511">
            <v>42345.490046296298</v>
          </cell>
          <cell r="O511">
            <v>41821</v>
          </cell>
          <cell r="P511" t="str">
            <v>0301-046001  JOHNSON CTY/WARRENSBURG</v>
          </cell>
          <cell r="Q511">
            <v>-538.57000000000005</v>
          </cell>
          <cell r="R511">
            <v>14</v>
          </cell>
        </row>
        <row r="512">
          <cell r="A512" t="str">
            <v>008897</v>
          </cell>
          <cell r="B512" t="str">
            <v>LDC 2</v>
          </cell>
          <cell r="D512" t="str">
            <v>yes</v>
          </cell>
          <cell r="E512" t="str">
            <v>20305155119</v>
          </cell>
          <cell r="F512" t="str">
            <v>F0604</v>
          </cell>
          <cell r="G512" t="str">
            <v>Main Replacement - ISRS (S)</v>
          </cell>
          <cell r="H512" t="str">
            <v>Replace 2in PE/PBS/PCS main</v>
          </cell>
          <cell r="I512" t="str">
            <v>posted to CPR</v>
          </cell>
          <cell r="J512" t="str">
            <v>Replace 2in PE/PBS/PCS main: Sweet Springs: Replace Bare Steel Main - 3760 Safety Related (34-394)</v>
          </cell>
          <cell r="K512" t="str">
            <v>Approved by: Joe Hampton on 07/07/2015,  Replace and Abandon 2" PBS, PCS and PE main by installing 3,900' - 2" pe main as part of the whole town main replacement.  (ISRS)</v>
          </cell>
          <cell r="L512">
            <v>42305</v>
          </cell>
          <cell r="M512">
            <v>42429</v>
          </cell>
          <cell r="N512">
            <v>42527.512581018498</v>
          </cell>
          <cell r="O512">
            <v>42370</v>
          </cell>
          <cell r="P512" t="str">
            <v>0305-086001  SALINE CTY/SWEET SPRINGS</v>
          </cell>
          <cell r="Q512">
            <v>103458.4</v>
          </cell>
          <cell r="R512">
            <v>-3193</v>
          </cell>
        </row>
        <row r="513">
          <cell r="A513" t="str">
            <v>008808</v>
          </cell>
          <cell r="B513" t="str">
            <v>LDC 2</v>
          </cell>
          <cell r="D513" t="str">
            <v>yes</v>
          </cell>
          <cell r="E513" t="str">
            <v>20305155178</v>
          </cell>
          <cell r="F513" t="str">
            <v>F0604</v>
          </cell>
          <cell r="G513" t="str">
            <v>Main Replacement - ISRS (S)</v>
          </cell>
          <cell r="H513" t="str">
            <v>Replace 2in PBS and PCS</v>
          </cell>
          <cell r="I513" t="str">
            <v>posted to CPR</v>
          </cell>
          <cell r="J513" t="str">
            <v>Replace 2in PBS and PCS: Sweet Springs: Replace Bare Steel Main - 3760 Safety Related (34-394)</v>
          </cell>
          <cell r="K513" t="str">
            <v>Approved by: Joe Hampton on 06/29/2015,  Install 2,620' - 2" pe main to replace 2" pbs and 2" pcs main as part of the total town main replacement project.  (ISRS)</v>
          </cell>
          <cell r="L513">
            <v>42286</v>
          </cell>
          <cell r="M513">
            <v>42583</v>
          </cell>
          <cell r="N513">
            <v>42620.419976851903</v>
          </cell>
          <cell r="O513">
            <v>42370</v>
          </cell>
          <cell r="P513" t="str">
            <v>0305-086001  SALINE CTY/SWEET SPRINGS</v>
          </cell>
          <cell r="Q513">
            <v>70066.61</v>
          </cell>
          <cell r="R513">
            <v>-4191</v>
          </cell>
        </row>
        <row r="514">
          <cell r="A514" t="str">
            <v>008683</v>
          </cell>
          <cell r="B514" t="str">
            <v>LDC 2</v>
          </cell>
          <cell r="D514" t="str">
            <v>yes</v>
          </cell>
          <cell r="E514" t="str">
            <v>20305155158</v>
          </cell>
          <cell r="F514" t="str">
            <v>F0604</v>
          </cell>
          <cell r="G514" t="str">
            <v>Main Replacement - ISRS (S)</v>
          </cell>
          <cell r="H514" t="str">
            <v>Replace 4in &amp; 6in pbs and p</v>
          </cell>
          <cell r="I514" t="str">
            <v>posted to CPR</v>
          </cell>
          <cell r="J514" t="str">
            <v>Replace 4in &amp; 6in pbs and pcs main: Sweet Springs: Replace Bare Steel Main - 3760 Safety Related (34-394)</v>
          </cell>
          <cell r="K514" t="str">
            <v>Approved by: Joe Hampton on 06/01/2015,  Retire and abandon 1,739' - 4" pbs, 264' - 6" pbs, 1,610' - 4" pcs main by installing 3,090" - 4" PE along Miller St, Virginia Ave and N. Locust St. (ISRS)</v>
          </cell>
          <cell r="L514">
            <v>42305</v>
          </cell>
          <cell r="M514">
            <v>42675</v>
          </cell>
          <cell r="N514">
            <v>42710.599872685198</v>
          </cell>
          <cell r="O514">
            <v>42370</v>
          </cell>
          <cell r="P514" t="str">
            <v>0305-086001  SALINE CTY/SWEET SPRINGS</v>
          </cell>
          <cell r="Q514">
            <v>131441.31</v>
          </cell>
          <cell r="R514">
            <v>-3070</v>
          </cell>
        </row>
        <row r="515">
          <cell r="A515" t="str">
            <v>004364</v>
          </cell>
          <cell r="B515" t="str">
            <v>LDC 2</v>
          </cell>
          <cell r="D515" t="str">
            <v>yes</v>
          </cell>
          <cell r="E515" t="str">
            <v>20317143417</v>
          </cell>
          <cell r="F515" t="str">
            <v>F0604</v>
          </cell>
          <cell r="G515" t="str">
            <v>Main Replacement - ISRS (S)</v>
          </cell>
          <cell r="H515" t="str">
            <v>Davis St Repl PBS w 730'-2in PE mai</v>
          </cell>
          <cell r="I515" t="str">
            <v>posted to CPR</v>
          </cell>
          <cell r="J515" t="str">
            <v>Davis St Repl PBS w 730'-2in PE main: Fayette: Alley S of Davis St W of Howard St</v>
          </cell>
          <cell r="K515" t="str">
            <v>Approved by: Ralph Janes on 03/11/2014,  Replace and abandon 732' - 2" pbs main (Unknown) by installing 730' - 2" pe main due to leakage under pavement. (ISRS)</v>
          </cell>
          <cell r="L515">
            <v>41906</v>
          </cell>
          <cell r="M515">
            <v>41973</v>
          </cell>
          <cell r="N515">
            <v>42071.592025462996</v>
          </cell>
          <cell r="O515">
            <v>41944</v>
          </cell>
          <cell r="P515" t="str">
            <v>0317-040001  HOWARD CTY/FAYETTE</v>
          </cell>
          <cell r="Q515">
            <v>8500.6</v>
          </cell>
          <cell r="R515">
            <v>-519</v>
          </cell>
        </row>
        <row r="516">
          <cell r="A516" t="str">
            <v>007939</v>
          </cell>
          <cell r="B516" t="str">
            <v>LDC 2</v>
          </cell>
          <cell r="D516" t="str">
            <v>yes</v>
          </cell>
          <cell r="E516" t="str">
            <v>20801155198</v>
          </cell>
          <cell r="F516" t="str">
            <v>F0573</v>
          </cell>
          <cell r="G516" t="str">
            <v>Replace bare steel main - safety re</v>
          </cell>
          <cell r="H516" t="str">
            <v>Repl 2in PBS with 1045 ft  2in Plas</v>
          </cell>
          <cell r="I516" t="str">
            <v>in service</v>
          </cell>
          <cell r="J516" t="str">
            <v>Repl 2in PBS with 1045 ft  2in Plastic: Monett: Replace Bare Steel Main - 3760 Safety Related (34-394)</v>
          </cell>
          <cell r="K516" t="str">
            <v>Approved by: Michael Fornelli on 03/25/2015,  To lay 1045ft 2in Plastic Main to replace 2in PBS Main as follows 259ft on (WO 43277) and 336ft (WO 45004) and 176ft (WO 52727). MOP=4# MAOP=4# SYSTEM=C-3 ISRS $28.80/ft
FCOMP 8-31-16 per Maximo</v>
          </cell>
          <cell r="L516">
            <v>42613</v>
          </cell>
          <cell r="O516">
            <v>42614</v>
          </cell>
          <cell r="P516" t="str">
            <v>0801-005001  BARRY CTY/MONETT</v>
          </cell>
          <cell r="Q516">
            <v>418738.1</v>
          </cell>
          <cell r="R516">
            <v>-20928.5</v>
          </cell>
        </row>
        <row r="517">
          <cell r="A517" t="str">
            <v>006595</v>
          </cell>
          <cell r="B517" t="str">
            <v>LDC 2</v>
          </cell>
          <cell r="D517" t="str">
            <v>no</v>
          </cell>
          <cell r="E517" t="str">
            <v>20801143662</v>
          </cell>
          <cell r="F517" t="str">
            <v>F0556</v>
          </cell>
          <cell r="G517" t="str">
            <v>Tools, instruments &amp; equipment</v>
          </cell>
          <cell r="H517" t="str">
            <v>Pur Autofuse Electrofusion Processo</v>
          </cell>
          <cell r="I517" t="str">
            <v>posted to CPR</v>
          </cell>
          <cell r="J517" t="str">
            <v>Pur Autofuse Electrofusion Processor El Dorado: Monett: Purchase Tools, Instruments &amp; Equipment  3940 (37-366)</v>
          </cell>
          <cell r="K517" t="str">
            <v>Approved by: Galen Shoemaker on 09/29/2014,  Purchase one Autofuse Base Universal Processor 120V with quick disconnect, 25 ft leads with MTD universal tips (4.7, 4.0 MM) autoscan barcode reader and carry case from M. T. Deason Company. Part number TRIPAFUAS0001 for $3,000.00 to be used in ElDorado Springs.</v>
          </cell>
          <cell r="L517">
            <v>41968</v>
          </cell>
          <cell r="M517">
            <v>42216</v>
          </cell>
          <cell r="N517">
            <v>42221.758101851803</v>
          </cell>
          <cell r="O517">
            <v>42036</v>
          </cell>
          <cell r="P517" t="str">
            <v>0801-005001  BARRY CTY/MONETT</v>
          </cell>
          <cell r="Q517">
            <v>3153.67</v>
          </cell>
          <cell r="R517">
            <v>9</v>
          </cell>
        </row>
        <row r="518">
          <cell r="A518" t="str">
            <v>004615</v>
          </cell>
          <cell r="B518" t="str">
            <v>LDC 2</v>
          </cell>
          <cell r="D518" t="str">
            <v>no</v>
          </cell>
          <cell r="E518" t="str">
            <v>20801050304</v>
          </cell>
          <cell r="F518" t="str">
            <v>F0530</v>
          </cell>
          <cell r="G518" t="str">
            <v>Regulators - 2" &amp; smaller</v>
          </cell>
          <cell r="H518" t="str">
            <v>BWO-HOUSE REGULATORS</v>
          </cell>
          <cell r="I518" t="str">
            <v>posted to CPR</v>
          </cell>
          <cell r="J518" t="str">
            <v>BWO-HOUSE REGULATORS</v>
          </cell>
          <cell r="K518" t="str">
            <v>Changed to Non-Payroll class code 7-1-15 - should not charge labor here - AMM
Closed this WO - use Wo 003946 for SouthWest Region House Regulators.</v>
          </cell>
          <cell r="L518">
            <v>42369</v>
          </cell>
          <cell r="M518">
            <v>42369</v>
          </cell>
          <cell r="N518">
            <v>42401</v>
          </cell>
          <cell r="O518">
            <v>41730</v>
          </cell>
          <cell r="P518" t="str">
            <v>0801-005001  BARRY CTY/MONETT</v>
          </cell>
          <cell r="Q518">
            <v>367503.3</v>
          </cell>
          <cell r="R518">
            <v>9771</v>
          </cell>
        </row>
        <row r="519">
          <cell r="A519" t="str">
            <v>004340</v>
          </cell>
          <cell r="B519" t="str">
            <v>LDC 2</v>
          </cell>
          <cell r="D519" t="str">
            <v>no</v>
          </cell>
          <cell r="E519" t="str">
            <v>20808132919</v>
          </cell>
          <cell r="F519" t="str">
            <v>F0523</v>
          </cell>
          <cell r="G519" t="str">
            <v>New Main Extensions (SW)</v>
          </cell>
          <cell r="H519" t="str">
            <v>2314 Cherokee Lay 2215'-2in PE main</v>
          </cell>
          <cell r="I519" t="str">
            <v>posted to CPR</v>
          </cell>
          <cell r="J519" t="str">
            <v>2314 Cherokee Lay 2215'-2in PE main ext: Seneca: 2314 Cherokee Ave Sonic</v>
          </cell>
          <cell r="K519" t="str">
            <v>Approved by: Galen Shoemaker on 08/27/2013,  Extend main with 2215' - 2in PE to provide service to new Sonic Drive-in at 2314 Cherokee Ave. Customer will contribute $24,149 prior to work. Project Location: Fawn Trail and Oak Hill Dr; Pressure System: S-0001; MOP: 30 psig; MAOP: 30 psig; Design: 58 psig; Test: 100 psig;</v>
          </cell>
          <cell r="L519">
            <v>41569</v>
          </cell>
          <cell r="M519">
            <v>41626</v>
          </cell>
          <cell r="N519">
            <v>41627.582777777803</v>
          </cell>
          <cell r="O519">
            <v>41730</v>
          </cell>
          <cell r="P519" t="str">
            <v>0808-066013  NEWTON CTY/SENECA</v>
          </cell>
          <cell r="Q519">
            <v>40962.11</v>
          </cell>
          <cell r="R519">
            <v>4785</v>
          </cell>
        </row>
        <row r="520">
          <cell r="A520" t="str">
            <v>800303</v>
          </cell>
          <cell r="B520" t="str">
            <v>LDC 2</v>
          </cell>
          <cell r="D520" t="str">
            <v>no</v>
          </cell>
          <cell r="F520" t="str">
            <v>F0523</v>
          </cell>
          <cell r="G520" t="str">
            <v>New Main Extensions (SW)</v>
          </cell>
          <cell r="H520" t="str">
            <v>Main Ext for 836 Lynn Residence - M</v>
          </cell>
          <cell r="I520" t="str">
            <v>posted to CPR</v>
          </cell>
          <cell r="J520" t="str">
            <v>240ft Main Extension to serve residence at 836 Lynn. Company opts to install additional 65ft to bore under road so new main can be on east side of road. $25.40/ft ($6096.55) C-0001 MOP: 39.5 MAOP: 39.5 Town Code: 0812 Sector: A1414</v>
          </cell>
          <cell r="L520">
            <v>42551</v>
          </cell>
          <cell r="M520">
            <v>42643</v>
          </cell>
          <cell r="N520">
            <v>42742.625289351803</v>
          </cell>
          <cell r="O520">
            <v>42522</v>
          </cell>
          <cell r="P520" t="str">
            <v>0812-034002  GREENE CTY/REPUBLIC</v>
          </cell>
          <cell r="Q520">
            <v>20706.330000000002</v>
          </cell>
          <cell r="R520">
            <v>-277.25</v>
          </cell>
        </row>
        <row r="521">
          <cell r="A521" t="str">
            <v>800106</v>
          </cell>
          <cell r="B521" t="str">
            <v>LDC 2</v>
          </cell>
          <cell r="C521" t="str">
            <v>03 - Bare Steel Replacement</v>
          </cell>
          <cell r="D521" t="str">
            <v>yes</v>
          </cell>
          <cell r="F521" t="str">
            <v>F0604</v>
          </cell>
          <cell r="G521" t="str">
            <v>Main Replacement - ISRS (S)</v>
          </cell>
          <cell r="H521" t="str">
            <v>Centerview Grid Replacement Phase 3</v>
          </cell>
          <cell r="I521" t="str">
            <v>in service</v>
          </cell>
          <cell r="J521" t="str">
            <v>Install 1831 Ft of 4 in and 668 Ft of 2 in PL MP main for Centerview Grid Replacement Phase 3. Abandon 2339 Ft of 2 in PBS, 42 Ft of 2 in PCS, 30 Ft of 2 in PL MP 
main at above locations. Total Services are 24.</v>
          </cell>
          <cell r="K521" t="str">
            <v>This main is being replaced as part of FY16 Bare Steel Replacement Program</v>
          </cell>
          <cell r="L521">
            <v>42591</v>
          </cell>
          <cell r="O521">
            <v>42583</v>
          </cell>
          <cell r="P521" t="str">
            <v>0321-046009  JOHNSON CTY/CENTERVIEW</v>
          </cell>
          <cell r="Q521">
            <v>106727.23</v>
          </cell>
          <cell r="R521">
            <v>-3012.5</v>
          </cell>
        </row>
        <row r="522">
          <cell r="A522" t="str">
            <v>005397</v>
          </cell>
          <cell r="B522" t="str">
            <v>LDC 2</v>
          </cell>
          <cell r="D522" t="str">
            <v>no</v>
          </cell>
          <cell r="E522" t="str">
            <v>20932143442</v>
          </cell>
          <cell r="F522" t="str">
            <v>F0673</v>
          </cell>
          <cell r="G522" t="str">
            <v>New Main Extensions (S)</v>
          </cell>
          <cell r="H522" t="str">
            <v>Becket Cir Lay 750'-2in PE main ext</v>
          </cell>
          <cell r="I522" t="str">
            <v>posted to CPR</v>
          </cell>
          <cell r="J522" t="str">
            <v>Becket Cir Lay 750'-2in PE main ext: Raymore: New Main Extension - Company Crews  3760 (33-305)</v>
          </cell>
          <cell r="K522" t="str">
            <v>Approved by: Ralph Janes on 05/02/2014,  Install 750' - 2" pe main extension to serve 15 new residential lots (Lots 30 thru 44).</v>
          </cell>
          <cell r="L522">
            <v>41822</v>
          </cell>
          <cell r="M522">
            <v>41913</v>
          </cell>
          <cell r="N522">
            <v>42041.669120370403</v>
          </cell>
          <cell r="O522">
            <v>41821</v>
          </cell>
          <cell r="P522" t="str">
            <v>0932-016022  CASS CTY/RAYMORE</v>
          </cell>
          <cell r="Q522">
            <v>6755.89</v>
          </cell>
          <cell r="R522">
            <v>-1767.25</v>
          </cell>
        </row>
        <row r="523">
          <cell r="A523" t="str">
            <v>003949</v>
          </cell>
          <cell r="B523" t="str">
            <v>LDC 2</v>
          </cell>
          <cell r="D523" t="str">
            <v>no</v>
          </cell>
          <cell r="E523" t="str">
            <v>20816132338</v>
          </cell>
          <cell r="F523" t="str">
            <v>F0528</v>
          </cell>
          <cell r="G523" t="str">
            <v>Rebuild Meter Install 2'' &amp; Lg (SW)</v>
          </cell>
          <cell r="H523" t="str">
            <v>1338 N Kelly 3M meter set</v>
          </cell>
          <cell r="I523" t="str">
            <v>posted to CPR</v>
          </cell>
          <cell r="J523" t="str">
            <v>1338 N Kelly 3M meter set: Nixa: Blasters - 1338 N Kelly Nixa</v>
          </cell>
          <cell r="K523" t="str">
            <v>Approved by: Galen Shoemaker on 01/15/2013,  WILL INSTALL 2&amp;quot; PREFAB SETTING FOR 3M ROOTS METER. CUSTOMER WAS PREVIOUSLY SERVED WITH 1&amp;quot; DOMESTIC METER. ADDITIONAL NATURAL GAS EQUIPMENT IS BEING INSTALLED AND THE TOTAL CONNECTTED DEMAND WILL BE 2500 CFH. WILL USE 2&amp;quot; FLANGED ITRON B34 IMRV REGULATOR WITH 3/8&amp;quot; ORIFICE AND GREEN/WHITE SPRING TO DELIVER 7&amp;quot; WC. REGULATOR HAS INTERNAL RELIEF.THERE WILL BE NO CHARGE TO THE CUSTOMER. SYST 0816 C-1-4  MAOP=44PSIG  MOP=44PSIG</v>
          </cell>
          <cell r="L523">
            <v>41479</v>
          </cell>
          <cell r="M523">
            <v>41575</v>
          </cell>
          <cell r="N523">
            <v>41576.418530092596</v>
          </cell>
          <cell r="P523" t="str">
            <v>0816-019004  CHRISTIAN CTY/NIXA</v>
          </cell>
          <cell r="Q523">
            <v>3765.33</v>
          </cell>
          <cell r="R523">
            <v>6</v>
          </cell>
        </row>
        <row r="524">
          <cell r="A524" t="str">
            <v>008731</v>
          </cell>
          <cell r="B524" t="str">
            <v>LDC 2</v>
          </cell>
          <cell r="D524" t="str">
            <v>yes</v>
          </cell>
          <cell r="E524" t="str">
            <v>20902155383</v>
          </cell>
          <cell r="F524" t="str">
            <v>F0604</v>
          </cell>
          <cell r="G524" t="str">
            <v>Main Replacement - ISRS (S)</v>
          </cell>
          <cell r="H524" t="str">
            <v>Replace 4in PBS- 83rd St</v>
          </cell>
          <cell r="I524" t="str">
            <v>posted to CPR</v>
          </cell>
          <cell r="J524" t="str">
            <v>Replace 4in PBS- 83rd St: Raytown: Replace Bare Steel Main - 3760 Safety Related (34-394)</v>
          </cell>
          <cell r="K524" t="str">
            <v>Approved by: Kevin Driskell on 06/10/2015,  This job is necessary to replace 340' of 4" PBS on 83rd St west of 350 Highway in Raytown.  Install 355' of 4" PE.  ISRS</v>
          </cell>
          <cell r="L524">
            <v>42230</v>
          </cell>
          <cell r="M524">
            <v>42247</v>
          </cell>
          <cell r="N524">
            <v>42345.490428240701</v>
          </cell>
          <cell r="O524">
            <v>42217</v>
          </cell>
          <cell r="P524" t="str">
            <v>0902-043025  JACKSON CTY/RAYTOWN</v>
          </cell>
          <cell r="Q524">
            <v>29046.65</v>
          </cell>
          <cell r="R524">
            <v>-506.5</v>
          </cell>
        </row>
        <row r="525">
          <cell r="A525" t="str">
            <v>003874</v>
          </cell>
          <cell r="B525" t="str">
            <v>LDC 2</v>
          </cell>
          <cell r="D525" t="str">
            <v>yes</v>
          </cell>
          <cell r="E525" t="str">
            <v>20902133172</v>
          </cell>
          <cell r="F525" t="str">
            <v>F0604</v>
          </cell>
          <cell r="G525" t="str">
            <v>Main Replacement - ISRS (S)</v>
          </cell>
          <cell r="H525" t="str">
            <v>Gregory Heights Repl PBS main</v>
          </cell>
          <cell r="I525" t="str">
            <v>posted to CPR</v>
          </cell>
          <cell r="J525" t="str">
            <v>Gregory Heights Repl PBS main: Raytown: Gregory Heights Subdivision</v>
          </cell>
          <cell r="K525" t="str">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ell>
          <cell r="L525">
            <v>41927</v>
          </cell>
          <cell r="M525">
            <v>41973</v>
          </cell>
          <cell r="N525">
            <v>42072.424155092602</v>
          </cell>
          <cell r="O525">
            <v>41944</v>
          </cell>
          <cell r="P525" t="str">
            <v>0902-043025  JACKSON CTY/RAYTOWN</v>
          </cell>
          <cell r="Q525">
            <v>433554.59</v>
          </cell>
          <cell r="R525">
            <v>76768.63</v>
          </cell>
        </row>
        <row r="526">
          <cell r="A526" t="str">
            <v>006973</v>
          </cell>
          <cell r="B526" t="str">
            <v>LDC 2</v>
          </cell>
          <cell r="D526" t="str">
            <v>yes</v>
          </cell>
          <cell r="E526" t="str">
            <v>20902143922</v>
          </cell>
          <cell r="F526" t="str">
            <v>F0604</v>
          </cell>
          <cell r="G526" t="str">
            <v>Main Replacement - ISRS (S)</v>
          </cell>
          <cell r="H526" t="str">
            <v>Replace PBS 0401 69th to Gregory</v>
          </cell>
          <cell r="I526" t="str">
            <v>posted to CPR</v>
          </cell>
          <cell r="J526" t="str">
            <v>Replace PBS 0401 69th to Gregory: Raytown: Replace Bare Steel Main - 3760 Safety Related (34-394)</v>
          </cell>
          <cell r="K526" t="str">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ell>
          <cell r="L526">
            <v>42314</v>
          </cell>
          <cell r="M526">
            <v>42429</v>
          </cell>
          <cell r="N526">
            <v>42527.511250000003</v>
          </cell>
          <cell r="O526">
            <v>42370</v>
          </cell>
          <cell r="P526" t="str">
            <v>0902-043025  JACKSON CTY/RAYTOWN</v>
          </cell>
          <cell r="Q526">
            <v>610015.72</v>
          </cell>
          <cell r="R526">
            <v>-13827.5</v>
          </cell>
        </row>
        <row r="527">
          <cell r="A527" t="str">
            <v>800421</v>
          </cell>
          <cell r="B527" t="str">
            <v>LDC 2</v>
          </cell>
          <cell r="D527" t="str">
            <v>no</v>
          </cell>
          <cell r="F527" t="str">
            <v>F0673</v>
          </cell>
          <cell r="G527" t="str">
            <v>New Main Extensions (S)</v>
          </cell>
          <cell r="H527" t="str">
            <v>Adams Dairy Rd Main Extension - Con</v>
          </cell>
          <cell r="I527" t="str">
            <v>in service</v>
          </cell>
          <cell r="J527" t="str">
            <v>This is to serve 5 currently propane homes from Jefferson St to the creek. Install 800ft of 2in plastic main. 520ft is minimum to serve - System Planning wants to install 800 feet to create a looped system</v>
          </cell>
          <cell r="L527">
            <v>42514</v>
          </cell>
          <cell r="O527">
            <v>42491</v>
          </cell>
          <cell r="P527" t="str">
            <v>0903-043026  JACKSON CTY/BLUE SPRINGS</v>
          </cell>
          <cell r="Q527">
            <v>52936.37</v>
          </cell>
          <cell r="R527">
            <v>-1854.96</v>
          </cell>
        </row>
        <row r="528">
          <cell r="A528" t="str">
            <v>004661</v>
          </cell>
          <cell r="B528" t="str">
            <v>LDC 2</v>
          </cell>
          <cell r="D528" t="str">
            <v>no</v>
          </cell>
          <cell r="E528" t="str">
            <v>20903132888</v>
          </cell>
          <cell r="F528" t="str">
            <v>F0602</v>
          </cell>
          <cell r="G528" t="str">
            <v>New business</v>
          </cell>
          <cell r="H528" t="str">
            <v>SW Lakeside lay 2570'-2in PE main e</v>
          </cell>
          <cell r="I528" t="str">
            <v>posted to CPR</v>
          </cell>
          <cell r="J528" t="str">
            <v>SW Lakeside lay 2570'-2in PE main ext: Blue Springs: SW 4th Street Lake Side @ Chapman Farms - 2nd Plat</v>
          </cell>
          <cell r="K528" t="str">
            <v>Approved by: Ralph Janes on 08/14/2013,  Install 2570' of 2in PE main to serve the 2nd Plat of Lakeside @ Chapman Farms. Pressure system is S-043 with a MOP of 45 psig and a MAOP of 58 psig.</v>
          </cell>
          <cell r="L528">
            <v>41589</v>
          </cell>
          <cell r="M528">
            <v>41696</v>
          </cell>
          <cell r="N528">
            <v>41698.505254629599</v>
          </cell>
          <cell r="O528">
            <v>41730</v>
          </cell>
          <cell r="P528" t="str">
            <v>0903-043026  JACKSON CTY/BLUE SPRINGS</v>
          </cell>
          <cell r="Q528">
            <v>11210.31</v>
          </cell>
          <cell r="R528">
            <v>6010</v>
          </cell>
        </row>
        <row r="529">
          <cell r="A529" t="str">
            <v>004591</v>
          </cell>
          <cell r="B529" t="str">
            <v>LDC 2</v>
          </cell>
          <cell r="D529" t="str">
            <v>yes</v>
          </cell>
          <cell r="E529" t="str">
            <v>20903047455</v>
          </cell>
          <cell r="F529" t="str">
            <v>F0578</v>
          </cell>
          <cell r="G529" t="str">
            <v>Street &amp; Highway Relocates ISRS (S)</v>
          </cell>
          <cell r="H529" t="str">
            <v>RELOC 100'-6"PL MAIN RET PL</v>
          </cell>
          <cell r="I529" t="str">
            <v>posted to CPR</v>
          </cell>
          <cell r="J529" t="str">
            <v>RELOC 100'-6"PL MAIN RET PL; Project Address = AA HWY &amp; ADAMS DAIRY PKWY</v>
          </cell>
          <cell r="K529" t="str">
            <v>Project Type:S</v>
          </cell>
          <cell r="L529">
            <v>38323</v>
          </cell>
          <cell r="M529">
            <v>403684</v>
          </cell>
          <cell r="N529">
            <v>38456.725324074097</v>
          </cell>
          <cell r="P529" t="str">
            <v>0903-043026  JACKSON CTY/BLUE SPRINGS</v>
          </cell>
          <cell r="Q529">
            <v>27105.89</v>
          </cell>
          <cell r="R529">
            <v>158</v>
          </cell>
        </row>
        <row r="530">
          <cell r="A530" t="str">
            <v>009248</v>
          </cell>
          <cell r="B530" t="str">
            <v>LDC 2</v>
          </cell>
          <cell r="D530" t="str">
            <v>yes</v>
          </cell>
          <cell r="E530" t="str">
            <v>20904155457</v>
          </cell>
          <cell r="F530" t="str">
            <v>F0613</v>
          </cell>
          <cell r="G530" t="str">
            <v>Replace bare steel main - safety re</v>
          </cell>
          <cell r="H530" t="str">
            <v>Grandview Repl Phase 4</v>
          </cell>
          <cell r="I530" t="str">
            <v>posted to CPR</v>
          </cell>
          <cell r="J530" t="str">
            <v>Grandview Repl Phase 4: Grandview: Replace Bare Steel Main - 3760 Safety Related (34-394)</v>
          </cell>
          <cell r="K530" t="str">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ell>
          <cell r="L530">
            <v>42508</v>
          </cell>
          <cell r="M530">
            <v>42643</v>
          </cell>
          <cell r="N530">
            <v>42710.600092592598</v>
          </cell>
          <cell r="O530">
            <v>42491</v>
          </cell>
          <cell r="P530" t="str">
            <v>0904-043030  JACKSON CTY/GRANDVIEW</v>
          </cell>
          <cell r="Q530">
            <v>571903.68000000005</v>
          </cell>
          <cell r="R530">
            <v>-9579.5</v>
          </cell>
        </row>
        <row r="531">
          <cell r="A531" t="str">
            <v>007576</v>
          </cell>
          <cell r="B531" t="str">
            <v>LDC 2</v>
          </cell>
          <cell r="D531" t="str">
            <v>yes</v>
          </cell>
          <cell r="E531" t="str">
            <v>20904155109</v>
          </cell>
          <cell r="F531" t="str">
            <v>F0604</v>
          </cell>
          <cell r="G531" t="str">
            <v>Main Replacement - ISRS (S)</v>
          </cell>
          <cell r="H531" t="str">
            <v>Replace 2in PBS White and 148th Ter</v>
          </cell>
          <cell r="I531" t="str">
            <v>posted to CPR</v>
          </cell>
          <cell r="J531" t="str">
            <v>Replace 2in PBS White and 148th Terr: Grandview: Replace Bare Steel Main - 3760 Safety Related (34-394)</v>
          </cell>
          <cell r="K531" t="str">
            <v>Approved by: Kevin Driskell on 01/27/2015,  The City of Grandview will pave 148th Terr between White and 147th Terr this summer. Replace 433' of 2" PBS (WO# A3717) with 435' - 2" PE. ISRS Price per ft = $46.46</v>
          </cell>
          <cell r="L531">
            <v>42125</v>
          </cell>
          <cell r="M531">
            <v>42155</v>
          </cell>
          <cell r="N531">
            <v>42256.641990740703</v>
          </cell>
          <cell r="O531">
            <v>42125</v>
          </cell>
          <cell r="P531" t="str">
            <v>0904-043030  JACKSON CTY/GRANDVIEW</v>
          </cell>
          <cell r="Q531">
            <v>2446.4899999999998</v>
          </cell>
          <cell r="R531">
            <v>-496</v>
          </cell>
        </row>
        <row r="532">
          <cell r="A532" t="str">
            <v>004620</v>
          </cell>
          <cell r="B532" t="str">
            <v>LDC 2</v>
          </cell>
          <cell r="D532" t="str">
            <v>no</v>
          </cell>
          <cell r="E532" t="str">
            <v>20828132335</v>
          </cell>
          <cell r="F532" t="str">
            <v>F0523</v>
          </cell>
          <cell r="G532" t="str">
            <v>New Main Extensions (SW)</v>
          </cell>
          <cell r="H532" t="str">
            <v>Mountain Ridge Lay 610'-4in PE   Ma</v>
          </cell>
          <cell r="I532" t="str">
            <v>posted to CPR</v>
          </cell>
          <cell r="J532" t="str">
            <v>Mountain Ridge Lay 610'-4in PE   Main: Pineville: Mountain Ridge West of Barbara Ct</v>
          </cell>
          <cell r="K532" t="str">
            <v>Approved by: Galen Shoemaker on 01/24/2013,  To lay 610ft 4in Plastic Main to serve residential lot. Customer deposit required Scott Goldstein $5,885.00 with refunds in the amount of $825 after one allowance. MOP=58# MAOP=58# TEST=105# SYSTEM S-2303 $20.71/ft</v>
          </cell>
          <cell r="L532">
            <v>41471</v>
          </cell>
          <cell r="M532">
            <v>41533</v>
          </cell>
          <cell r="N532">
            <v>41603.384733796302</v>
          </cell>
          <cell r="O532">
            <v>41730</v>
          </cell>
          <cell r="P532" t="str">
            <v>0828-059005  MCDONALD CTY/PINEVILLE</v>
          </cell>
          <cell r="Q532">
            <v>13529.64</v>
          </cell>
          <cell r="R532">
            <v>2030</v>
          </cell>
        </row>
        <row r="533">
          <cell r="A533" t="str">
            <v>013619</v>
          </cell>
          <cell r="B533" t="str">
            <v>LDC 2</v>
          </cell>
          <cell r="D533" t="str">
            <v>no</v>
          </cell>
          <cell r="F533" t="str">
            <v>F0644</v>
          </cell>
          <cell r="G533" t="str">
            <v>Meter &amp; Reg Settings 2" &amp; Lg (S)</v>
          </cell>
          <cell r="H533" t="str">
            <v>Dicks Sporting Goods Meter Set</v>
          </cell>
          <cell r="I533" t="str">
            <v>open</v>
          </cell>
          <cell r="J533" t="str">
            <v>Install a new 3M rotary meter set to serve one new commercial customer - Dicks Sporting Goods.</v>
          </cell>
          <cell r="K533" t="str">
            <v>Maximo WO 15784282</v>
          </cell>
          <cell r="P533" t="str">
            <v>0901-043021  JACKSON CTY/LEE'S SUMMIT OFFIC</v>
          </cell>
          <cell r="Q533">
            <v>1309.07</v>
          </cell>
          <cell r="R533">
            <v>-55</v>
          </cell>
        </row>
        <row r="534">
          <cell r="A534" t="str">
            <v>800641</v>
          </cell>
          <cell r="B534" t="str">
            <v>LDC 2</v>
          </cell>
          <cell r="C534" t="str">
            <v>03 - Bare Steel Replacement</v>
          </cell>
          <cell r="D534" t="str">
            <v>yes</v>
          </cell>
          <cell r="F534" t="str">
            <v>F0604</v>
          </cell>
          <cell r="G534" t="str">
            <v>Main Replacement - ISRS (S)</v>
          </cell>
          <cell r="H534" t="str">
            <v>Repl w 5209F 2-4P E Downtown Ph 4</v>
          </cell>
          <cell r="I534" t="str">
            <v>open</v>
          </cell>
          <cell r="J534" t="str">
            <v>Install 384 Ft of 4 in PL IP Main and 4825 Ft of 2 in PL IP Main along 3rd St., Independence Ave., 3rd St Terrace, Morningside Dr., 4th St. Terrace, and 6th St.</v>
          </cell>
          <cell r="K534" t="str">
            <v>Abandon 29 Ft of 6in ST Main, 1748 Ft of 5in ST Main, 1178 Ft of 4in ST Main, 4134.3 Ft of 2in ST Main, 79 Ft of 4in PL Main, 25 Ft of 2in PL Main at the above location.  Uprate 307 Ft of 4in PL MP Main and 4220 Ft of 2" PL MP Main at the above location.  Total Service Tie-over = 79; Total Service Replacement = 6; Total Service Abandoned = 3; Total Service Upgrade = 73;  This main is being abandoned as part of FY16 Bare Steel Replacement Program.</v>
          </cell>
          <cell r="P534" t="str">
            <v>0901-043021  JACKSON CTY/LEE'S SUMMIT OFFIC</v>
          </cell>
          <cell r="Q534">
            <v>0</v>
          </cell>
          <cell r="R534">
            <v>7194</v>
          </cell>
        </row>
        <row r="535">
          <cell r="A535" t="str">
            <v>800905</v>
          </cell>
          <cell r="B535" t="str">
            <v>LDC 2</v>
          </cell>
          <cell r="D535" t="str">
            <v>no</v>
          </cell>
          <cell r="F535" t="str">
            <v>F0673</v>
          </cell>
          <cell r="G535" t="str">
            <v>New Main Extensions (S)</v>
          </cell>
          <cell r="H535" t="str">
            <v>Install 350F 2P 1201 SE Oldham Rd</v>
          </cell>
          <cell r="I535" t="str">
            <v>in service</v>
          </cell>
          <cell r="J535" t="str">
            <v>Install ~350 Ft of 2" PL IP Main.</v>
          </cell>
          <cell r="K535" t="str">
            <v>The existing service line to Creative World - 1201 SE Oldham Road in Lee's Summit was installed on a portion of another lot that is being developed for a new multi tenent strip mall. This work order will install main in R-o-W to get off of the private lot. We will then tie the service over to the new main and abandon that portion of the existing service line that encroached. This new main will also then be available to extend behind the proposed strip mall to pick up several new commercial customers once the building has been constructed. Install ~350 Ft of 2" PL IP Main. Tie-over 1 existing commercial service to new main.</v>
          </cell>
          <cell r="L535">
            <v>42675</v>
          </cell>
          <cell r="O535">
            <v>42705</v>
          </cell>
          <cell r="P535" t="str">
            <v>0901-043021  JACKSON CTY/LEE'S SUMMIT OFFIC</v>
          </cell>
          <cell r="Q535">
            <v>6436.69</v>
          </cell>
          <cell r="R535">
            <v>-784</v>
          </cell>
        </row>
        <row r="536">
          <cell r="A536" t="str">
            <v>012338</v>
          </cell>
          <cell r="B536" t="str">
            <v>LDC 2</v>
          </cell>
          <cell r="D536" t="str">
            <v>no</v>
          </cell>
          <cell r="F536" t="str">
            <v>F0644</v>
          </cell>
          <cell r="G536" t="str">
            <v>Meter &amp; Reg Settings 2" &amp; Lg (S)</v>
          </cell>
          <cell r="H536" t="str">
            <v>HyVee 11M Rotary Meter Set</v>
          </cell>
          <cell r="I536" t="str">
            <v>open</v>
          </cell>
          <cell r="J536" t="str">
            <v>New addition on HyVee increased load - Existing 2M Rotary Meter set will be retired and a new 11M Rotary meter set will be installed 301 NE Rice Rd</v>
          </cell>
          <cell r="K536" t="str">
            <v>Maximo WO 15464419, Per Jon H 10-26-16 - related new maximo WO 15581474 to this project since there was a problem in Maximo with 15464419 - AMM</v>
          </cell>
          <cell r="P536" t="str">
            <v>0901-043021  JACKSON CTY/LEE'S SUMMIT OFFIC</v>
          </cell>
          <cell r="Q536">
            <v>1880.18</v>
          </cell>
          <cell r="R536">
            <v>-50</v>
          </cell>
        </row>
        <row r="537">
          <cell r="A537" t="str">
            <v>010180</v>
          </cell>
          <cell r="B537" t="str">
            <v>LDC 2</v>
          </cell>
          <cell r="D537" t="str">
            <v>no</v>
          </cell>
          <cell r="F537" t="str">
            <v>F0554</v>
          </cell>
          <cell r="G537" t="str">
            <v>Tools, Instruments &amp; Equipment (S)</v>
          </cell>
          <cell r="H537" t="str">
            <v>Purch Various Construction Eqpt</v>
          </cell>
          <cell r="I537" t="str">
            <v>in service</v>
          </cell>
          <cell r="J537" t="str">
            <v>Purchase 1 Trak-It 3A TC Monitor LEL 0% Gas from Groebner (Warrensburg). 13 2in Lyco Machines LHP-200-KIT-01 from Ryan Lyall &amp; Co.for various locations, and 1 001-00460-00-8879 V4 Transmitter Rechargeable from Rycom (Lee's Summit).</v>
          </cell>
          <cell r="K537" t="str">
            <v>Requested by Brandon Kavanaugh - see attachment regarding details.  The Trak-It and transmitter are replacements.  Lyco machines are additional. NOTE: estimated amount should be $32,222</v>
          </cell>
          <cell r="L537">
            <v>42522</v>
          </cell>
          <cell r="O537">
            <v>42522</v>
          </cell>
          <cell r="P537" t="str">
            <v>0901-043021  JACKSON CTY/LEE'S SUMMIT OFFIC</v>
          </cell>
          <cell r="Q537">
            <v>34259.519999999997</v>
          </cell>
          <cell r="R537">
            <v>22</v>
          </cell>
        </row>
        <row r="538">
          <cell r="A538" t="str">
            <v>008406</v>
          </cell>
          <cell r="B538" t="str">
            <v>LDC 2</v>
          </cell>
          <cell r="C538" t="str">
            <v>03 - Bare Steel Replacement</v>
          </cell>
          <cell r="D538" t="str">
            <v>yes</v>
          </cell>
          <cell r="E538" t="str">
            <v>20901155079</v>
          </cell>
          <cell r="F538" t="str">
            <v>F0604</v>
          </cell>
          <cell r="G538" t="str">
            <v>Main Replacement - ISRS (S)</v>
          </cell>
          <cell r="H538" t="str">
            <v>Lees Summit Rd 85th - Gregory</v>
          </cell>
          <cell r="I538" t="str">
            <v>posted to CPR</v>
          </cell>
          <cell r="J538" t="str">
            <v>Lees Summit Road 85th to Gregory 8in: Lees Summit: Replace Bare Steel Main - 3760 Safety Related (34-394)  Not reimbursable per J Harrell. Part of the Bare Steel Replacement project.</v>
          </cell>
          <cell r="K538" t="str">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ell>
          <cell r="L538">
            <v>42410</v>
          </cell>
          <cell r="M538">
            <v>42615</v>
          </cell>
          <cell r="N538">
            <v>42651.655277777798</v>
          </cell>
          <cell r="O538">
            <v>42401</v>
          </cell>
          <cell r="P538" t="str">
            <v>0901-043021  JACKSON CTY/LEE'S SUMMIT OFFIC</v>
          </cell>
          <cell r="Q538">
            <v>806168.47</v>
          </cell>
          <cell r="R538">
            <v>5790.5</v>
          </cell>
        </row>
        <row r="539">
          <cell r="A539" t="str">
            <v>008214</v>
          </cell>
          <cell r="B539" t="str">
            <v>LDC 2</v>
          </cell>
          <cell r="D539" t="str">
            <v>no</v>
          </cell>
          <cell r="E539" t="str">
            <v>20901155299</v>
          </cell>
          <cell r="F539" t="str">
            <v>F0507</v>
          </cell>
          <cell r="G539" t="str">
            <v>Rebuild Meter Install 2'' &amp; Lg (S)</v>
          </cell>
          <cell r="H539" t="str">
            <v>First Assembly of God 3M Rotary Reb</v>
          </cell>
          <cell r="I539" t="str">
            <v>posted to CPR</v>
          </cell>
          <cell r="J539" t="str">
            <v>First Assembly of God 3M Rotary Rebuild SLRP: Lees Summit: Replace Meter &amp; Reg 2&amp;quot; &amp;  Larger - 3820/3830 (32-404)</v>
          </cell>
          <cell r="K539" t="str">
            <v>Approved by: Kevin Driskell on 04/17/2015,  20 Year SLRP at First Assembly of God - 425 SW Oldham Pkwy (meter #08826251, installed on WO# 89-9356, premise #371702).  Rebuild a 3M rotary meter set at the building.  Total connected load = 3,000 cfh.</v>
          </cell>
          <cell r="L539">
            <v>42194</v>
          </cell>
          <cell r="M539">
            <v>42429</v>
          </cell>
          <cell r="N539">
            <v>42434.533715277801</v>
          </cell>
          <cell r="O539">
            <v>42248</v>
          </cell>
          <cell r="P539" t="str">
            <v>0901-043021  JACKSON CTY/LEE'S SUMMIT OFFIC</v>
          </cell>
          <cell r="Q539">
            <v>2151.64</v>
          </cell>
          <cell r="R539">
            <v>-44</v>
          </cell>
        </row>
        <row r="540">
          <cell r="A540" t="str">
            <v>004893</v>
          </cell>
          <cell r="B540" t="str">
            <v>LDC 2</v>
          </cell>
          <cell r="D540" t="str">
            <v>yes</v>
          </cell>
          <cell r="E540" t="str">
            <v>20901132732</v>
          </cell>
          <cell r="F540" t="str">
            <v>F0514</v>
          </cell>
          <cell r="G540" t="str">
            <v>Other relocates</v>
          </cell>
          <cell r="H540" t="str">
            <v>Colbern &amp; Unity Way Reloc PBS w 550</v>
          </cell>
          <cell r="I540" t="str">
            <v>posted to CPR</v>
          </cell>
          <cell r="J540" t="str">
            <v>Colbern &amp; Unity Way Reloc PBS w 550'-10in CS main : Lees Summit: Other Relocates - Per Customer Request - Contribution (44-390) -56% Reimbursable</v>
          </cell>
          <cell r="K540" t="str">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ell>
          <cell r="L540">
            <v>41818</v>
          </cell>
          <cell r="M540">
            <v>41882</v>
          </cell>
          <cell r="N540">
            <v>41936.6257175926</v>
          </cell>
          <cell r="O540">
            <v>41852</v>
          </cell>
          <cell r="P540" t="str">
            <v>0901-043021  JACKSON CTY/LEE'S SUMMIT OFFIC</v>
          </cell>
          <cell r="Q540">
            <v>-19925.84</v>
          </cell>
          <cell r="R540">
            <v>52.5</v>
          </cell>
        </row>
        <row r="541">
          <cell r="A541" t="str">
            <v>004673</v>
          </cell>
          <cell r="B541" t="str">
            <v>LDC 2</v>
          </cell>
          <cell r="D541" t="str">
            <v>yes</v>
          </cell>
          <cell r="E541" t="str">
            <v>20901143327</v>
          </cell>
          <cell r="F541" t="str">
            <v>F0578</v>
          </cell>
          <cell r="G541" t="str">
            <v>Street &amp; Highway Relocates ISRS (S)</v>
          </cell>
          <cell r="H541" t="str">
            <v>16th &amp; Decker Reloc CS w 250'-4in P</v>
          </cell>
          <cell r="I541" t="str">
            <v>posted to CPR</v>
          </cell>
          <cell r="J541" t="str">
            <v>16th &amp; Decker Reloc CS w 250'-4in PE main: Lees Summit: 16th St  E of Decker</v>
          </cell>
          <cell r="K541" t="str">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ell>
          <cell r="L541">
            <v>41718</v>
          </cell>
          <cell r="M541">
            <v>41820</v>
          </cell>
          <cell r="N541">
            <v>41918.763923611099</v>
          </cell>
          <cell r="O541">
            <v>41730</v>
          </cell>
          <cell r="P541" t="str">
            <v>0901-043021  JACKSON CTY/LEE'S SUMMIT OFFIC</v>
          </cell>
          <cell r="Q541">
            <v>26018.81</v>
          </cell>
          <cell r="R541">
            <v>1109</v>
          </cell>
        </row>
        <row r="542">
          <cell r="A542" t="str">
            <v>004368</v>
          </cell>
          <cell r="B542" t="str">
            <v>LDC 2</v>
          </cell>
          <cell r="D542" t="str">
            <v>no</v>
          </cell>
          <cell r="E542" t="str">
            <v>20901132767</v>
          </cell>
          <cell r="F542" t="str">
            <v>F0554</v>
          </cell>
          <cell r="G542" t="str">
            <v>Tools, Instruments &amp; Equipment (S)</v>
          </cell>
          <cell r="H542" t="str">
            <v>Pur Tools - Tapping Equipment</v>
          </cell>
          <cell r="I542" t="str">
            <v>posted to CPR</v>
          </cell>
          <cell r="J542" t="str">
            <v>Pur Tools - Tapping Equipment: Lees Summit: 3025 SE Clover Drive</v>
          </cell>
          <cell r="K542" t="str">
            <v>Approved by: Ralph Janes on 06/21/2013,  Purchase 1 TDW 1-1/4&amp;quot; Drilling Machine Model TD-112 Retirement Unit 94760006, 1 - TDW 3&amp;quot; Drilling Machine Model T101XL Retirement Unit 94760006, 2 - TDW 3&amp;quot; Plug Holder Retirement Unit 94760000, 1 - TDW 3&amp;quot; Threaded Valve Adapter Retirement Unit 94760000 and 2 - TDW 3&amp;quot; Shortstop Plugging Head Retirement Unit 94760000. Retire all parts and equipment purchased on work order 0901 024128 except 1 - TDW Drilling Machjine #T101-B.</v>
          </cell>
          <cell r="L542">
            <v>41493</v>
          </cell>
          <cell r="M542">
            <v>41534</v>
          </cell>
          <cell r="N542">
            <v>41627.582870370403</v>
          </cell>
          <cell r="P542" t="str">
            <v>0901-043021  JACKSON CTY/LEE'S SUMMIT OFFIC</v>
          </cell>
          <cell r="Q542">
            <v>34775.1</v>
          </cell>
          <cell r="R542">
            <v>3901</v>
          </cell>
        </row>
        <row r="543">
          <cell r="A543" t="str">
            <v>004339</v>
          </cell>
          <cell r="B543" t="str">
            <v>LDC 2</v>
          </cell>
          <cell r="D543" t="str">
            <v>no</v>
          </cell>
          <cell r="E543" t="str">
            <v>20901132814</v>
          </cell>
          <cell r="F543" t="str">
            <v>F0675</v>
          </cell>
          <cell r="G543" t="str">
            <v>Services -  2" &amp; larger</v>
          </cell>
          <cell r="H543" t="str">
            <v>CNG Fueling Station 6in Service Lin</v>
          </cell>
          <cell r="I543" t="str">
            <v>posted to CPR</v>
          </cell>
          <cell r="J543" t="str">
            <v>CNG Fueling Station 6in Service Line: Lees Summit: 500 A SE Transport Dr</v>
          </cell>
          <cell r="K543" t="str">
            <v>Approved by: Ralph Janes on 07/25/2013,  Install 40' of 6in PE service line and construct meter riser from 6in PE EL, in transition fitting, WxF FF Flange, and a 6in ballon ball valve on WO# 13-2814. Tie service line to new 6in PE main that will be installed on wo# 13-2813. 23M Rotary meter set to be built on wo# 13-2816. Service line will serve new CNG Fueling Station for Lee's Summit School District.</v>
          </cell>
          <cell r="L543">
            <v>41499</v>
          </cell>
          <cell r="M543">
            <v>41575</v>
          </cell>
          <cell r="N543">
            <v>41576.418495370403</v>
          </cell>
          <cell r="P543" t="str">
            <v>0901-043021  JACKSON CTY/LEE'S SUMMIT OFFIC</v>
          </cell>
          <cell r="Q543">
            <v>7530.97</v>
          </cell>
          <cell r="R543">
            <v>596</v>
          </cell>
        </row>
        <row r="544">
          <cell r="A544" t="str">
            <v>004598</v>
          </cell>
          <cell r="B544" t="str">
            <v>LDC 2</v>
          </cell>
          <cell r="D544" t="str">
            <v>yes</v>
          </cell>
          <cell r="E544" t="str">
            <v>20901050360</v>
          </cell>
          <cell r="F544" t="str">
            <v>F0484</v>
          </cell>
          <cell r="G544" t="str">
            <v>SLRP - immediate response - company</v>
          </cell>
          <cell r="H544" t="str">
            <v>BWO SERVICE LINE LEAK RESPONSIVE CO</v>
          </cell>
          <cell r="I544" t="str">
            <v>open</v>
          </cell>
          <cell r="J544" t="str">
            <v>BWO SERVICE LINE LEAK RESPONSIVE COMP</v>
          </cell>
          <cell r="K544" t="str">
            <v>Service/Yard Line Replacement (SLRP): Company Crew.  Immediate response - replacement single unprotected steel or copper  (Lee's Summit - East Region)</v>
          </cell>
          <cell r="O544">
            <v>41730</v>
          </cell>
          <cell r="P544" t="str">
            <v>0901-043021  JACKSON CTY/LEE'S SUMMIT OFFIC</v>
          </cell>
          <cell r="Q544">
            <v>1234889.99</v>
          </cell>
          <cell r="R544">
            <v>11949.55</v>
          </cell>
        </row>
        <row r="545">
          <cell r="A545" t="str">
            <v>009140</v>
          </cell>
          <cell r="B545" t="str">
            <v>LDC 2</v>
          </cell>
          <cell r="D545" t="str">
            <v>yes</v>
          </cell>
          <cell r="E545" t="str">
            <v>20601155410</v>
          </cell>
          <cell r="F545" t="str">
            <v>F0572</v>
          </cell>
          <cell r="G545" t="str">
            <v>Main Replacement - ISRS (SW)</v>
          </cell>
          <cell r="H545" t="str">
            <v>Carthage Overlay  Grant to River Re</v>
          </cell>
          <cell r="I545" t="str">
            <v>in service</v>
          </cell>
          <cell r="J545" t="str">
            <v>Carthage Overlay  Grant to River Replacement: Carthage: Purchase of Orifice Meters  3810 (32-401)</v>
          </cell>
          <cell r="K545" t="str">
            <v>Approved by: Joe Hampton on 07/31/2015,  Abandon 633' - 4" PBS (WO#'s: UNKNOW), 250' - 2" PCS (WO#: UNKNOWN), and replace with 1005' - 4" PE due to the City of Carthage Overlay Project. This work will also count toward our bare steel safety replacement program. This work will also create 1 new loops in the C-002 pressure system. Project Location: 3rd and Boise De Arc Street. Pressure System: C-002; MOP: 1.1 psig; MAOP: 1.1 psig; Design: 66 psig; Test: 100 psig; Leaks: 0  Services: 14  $59.32/ft ISRS
FCOMP 8-31-16 per Maximo</v>
          </cell>
          <cell r="L545">
            <v>42613</v>
          </cell>
          <cell r="O545">
            <v>42614</v>
          </cell>
          <cell r="P545" t="str">
            <v>0601-044025  JASPER CTY/CARTHAGE</v>
          </cell>
          <cell r="Q545">
            <v>104580.4</v>
          </cell>
          <cell r="R545">
            <v>-2824.3</v>
          </cell>
        </row>
        <row r="546">
          <cell r="A546" t="str">
            <v>800341</v>
          </cell>
          <cell r="B546" t="str">
            <v>LDC 2</v>
          </cell>
          <cell r="C546" t="str">
            <v>03 - Bare Steel Replacement</v>
          </cell>
          <cell r="D546" t="str">
            <v>yes</v>
          </cell>
          <cell r="F546" t="str">
            <v>F0599</v>
          </cell>
          <cell r="G546" t="str">
            <v>Main Replacement - ISRS (N)</v>
          </cell>
          <cell r="H546" t="str">
            <v>Repl w/ 4794F 2-6P St Joe's Ph2E</v>
          </cell>
          <cell r="I546" t="str">
            <v>open</v>
          </cell>
          <cell r="J546" t="str">
            <v>Install 2871 Ft of 2 in, 623 Ft of 4 in and 1300 Ft of 6 in PL IP main for St Joe Phase 2E. Abandon 142 Ft of 2 in PL, 62 Ft of 4 in PL, 1446 Ft of 2 in ST, 563 Ft of 4 in ST and 2341 Ft of 6 in ST main.</v>
          </cell>
          <cell r="K546" t="str">
            <v>This main is being replaced as part of FY16 Bare Steel Replacement Program</v>
          </cell>
          <cell r="P546" t="str">
            <v>1001-010001  ST. JOSEPH CITY/BUCHANAN</v>
          </cell>
          <cell r="Q546">
            <v>0</v>
          </cell>
          <cell r="R546">
            <v>4554</v>
          </cell>
        </row>
        <row r="547">
          <cell r="A547" t="str">
            <v>010476</v>
          </cell>
          <cell r="B547" t="str">
            <v>LDC 2</v>
          </cell>
          <cell r="D547" t="str">
            <v>no</v>
          </cell>
          <cell r="F547" t="str">
            <v>F0644</v>
          </cell>
          <cell r="G547" t="str">
            <v>Meter &amp; Reg Settings 2" &amp; Lg (S)</v>
          </cell>
          <cell r="H547" t="str">
            <v>3rd Street Social - Rebuild Meter S</v>
          </cell>
          <cell r="I547" t="str">
            <v>open</v>
          </cell>
          <cell r="J547" t="str">
            <v>Rebuild existing 400 diaphragm meter loop to install a new 3M rotary meter due to additional load</v>
          </cell>
          <cell r="P547" t="str">
            <v>0901-043021  JACKSON CTY/LEE'S SUMMIT OFFIC</v>
          </cell>
          <cell r="Q547">
            <v>729.6</v>
          </cell>
          <cell r="R547">
            <v>-57</v>
          </cell>
        </row>
        <row r="548">
          <cell r="A548" t="str">
            <v>008398</v>
          </cell>
          <cell r="B548" t="str">
            <v>LDC 2</v>
          </cell>
          <cell r="D548" t="str">
            <v>yes</v>
          </cell>
          <cell r="E548" t="str">
            <v>20601155110</v>
          </cell>
          <cell r="F548" t="str">
            <v>F0544</v>
          </cell>
          <cell r="G548" t="str">
            <v>Replace bare steel main - safety re</v>
          </cell>
          <cell r="H548" t="str">
            <v>Replace 2in Valve due to Leakage 90</v>
          </cell>
          <cell r="I548" t="str">
            <v>posted to CPR</v>
          </cell>
          <cell r="J548" t="str">
            <v>Replace 2in Valve due to Leakage 90lb Line: Carthage: Replace Bare Steel Main - 3760 Safety Related (34-394)</v>
          </cell>
          <cell r="K548" t="str">
            <v>Approved by: Michael Fornelli on 05/04/2015,  Replace 6' of 2" PCS (WO#: A9284) with 9' - 2" Thinfilm due to leaking valve. Project Location: Mockingbird and River; Pressure System: S-31; MOP: 90 psig; MAOP: 90 psig; Design: 90 psig; Test: 135 psig;</v>
          </cell>
          <cell r="L548">
            <v>42090</v>
          </cell>
          <cell r="M548">
            <v>42429</v>
          </cell>
          <cell r="N548">
            <v>42559.483530092599</v>
          </cell>
          <cell r="O548">
            <v>42156</v>
          </cell>
          <cell r="P548" t="str">
            <v>0601-044025  JASPER CTY/CARTHAGE</v>
          </cell>
          <cell r="Q548">
            <v>5487.88</v>
          </cell>
          <cell r="R548">
            <v>24</v>
          </cell>
        </row>
        <row r="549">
          <cell r="A549" t="str">
            <v>007182</v>
          </cell>
          <cell r="B549" t="str">
            <v>LDC 2</v>
          </cell>
          <cell r="D549" t="str">
            <v>yes</v>
          </cell>
          <cell r="E549" t="str">
            <v>21001143957</v>
          </cell>
          <cell r="F549" t="str">
            <v>F0504</v>
          </cell>
          <cell r="G549" t="str">
            <v>Replace bare steel main - safety re</v>
          </cell>
          <cell r="H549" t="str">
            <v>Relocate Inlet and Outlet Piping DR</v>
          </cell>
          <cell r="I549" t="str">
            <v>posted to CPR</v>
          </cell>
          <cell r="J549" t="str">
            <v>Relocate Inlet and Outlet Piping DR 58: St Joseph: Replace Bare Steel Main - 3760 Safety Related (34-394)</v>
          </cell>
          <cell r="K549" t="str">
            <v>Approved by: Gary Williams on 12/15/2014,  Relocate inlet and outlet piping to DR 58 from 12th and Atchinson to 14th and Atchinson due to down project. Reg station WO (14-3958).</v>
          </cell>
          <cell r="L549">
            <v>42082</v>
          </cell>
          <cell r="M549">
            <v>42217</v>
          </cell>
          <cell r="N549">
            <v>42284.722951388903</v>
          </cell>
          <cell r="O549">
            <v>42064</v>
          </cell>
          <cell r="P549" t="str">
            <v>1001-010001  ST. JOSEPH CITY/BUCHANAN</v>
          </cell>
          <cell r="Q549">
            <v>5231.25</v>
          </cell>
          <cell r="R549">
            <v>-129</v>
          </cell>
        </row>
        <row r="550">
          <cell r="A550" t="str">
            <v>008400</v>
          </cell>
          <cell r="B550" t="str">
            <v>LDC 2</v>
          </cell>
          <cell r="D550" t="str">
            <v>yes</v>
          </cell>
          <cell r="E550" t="str">
            <v>21258155347</v>
          </cell>
          <cell r="F550" t="str">
            <v>F0665</v>
          </cell>
          <cell r="G550" t="str">
            <v>Replace steel &amp; plastic main</v>
          </cell>
          <cell r="H550" t="str">
            <v>2in PCS and Valve replacement</v>
          </cell>
          <cell r="I550" t="str">
            <v>posted to CPR</v>
          </cell>
          <cell r="J550" t="str">
            <v>2in PCS and Valve replacement: Riverside: Replace Coated Steel &amp; Plastic Main - 3760 (34-396)</v>
          </cell>
          <cell r="K550" t="str">
            <v>Approved by: Gary Williams on 05/11/2015,  Replace 2'' valve. Pressure system C-039 135psig.</v>
          </cell>
          <cell r="L550">
            <v>42047</v>
          </cell>
          <cell r="M550">
            <v>42247</v>
          </cell>
          <cell r="N550">
            <v>42284.723622685196</v>
          </cell>
          <cell r="O550">
            <v>42125</v>
          </cell>
          <cell r="P550" t="str">
            <v>1258-075017  PLATTE CTY/RIVERSIDE</v>
          </cell>
          <cell r="Q550">
            <v>6033.77</v>
          </cell>
          <cell r="R550">
            <v>43</v>
          </cell>
        </row>
        <row r="551">
          <cell r="A551" t="str">
            <v>005331</v>
          </cell>
          <cell r="B551" t="str">
            <v>LDC 2</v>
          </cell>
          <cell r="D551" t="str">
            <v>yes</v>
          </cell>
          <cell r="E551" t="str">
            <v>21001143363</v>
          </cell>
          <cell r="F551" t="str">
            <v>F0617</v>
          </cell>
          <cell r="G551" t="str">
            <v>Street &amp; highway relocates</v>
          </cell>
          <cell r="H551" t="str">
            <v>Frederick &amp; Kemper Reloc 20'-2in PE</v>
          </cell>
          <cell r="I551" t="str">
            <v>posted to CPR</v>
          </cell>
          <cell r="J551" t="str">
            <v>Frederick &amp; Kemper Reloc 20'-2in PE Main: St Joseph: Relocate for Street &amp; Highway-Public Improvements (44-388)</v>
          </cell>
          <cell r="K551" t="str">
            <v>Approved by: Gary Williams on 05/19/2014,  Relocate 20ft - 2in pe main and install 30ft-2in pe main due to storm sewer structure in conflict.</v>
          </cell>
          <cell r="L551">
            <v>42129</v>
          </cell>
          <cell r="M551">
            <v>42217</v>
          </cell>
          <cell r="N551">
            <v>42284.721458333297</v>
          </cell>
          <cell r="O551">
            <v>42125</v>
          </cell>
          <cell r="P551" t="str">
            <v>1001-010001  ST. JOSEPH CITY/BUCHANAN</v>
          </cell>
          <cell r="Q551">
            <v>1620.84</v>
          </cell>
          <cell r="R551">
            <v>28</v>
          </cell>
        </row>
        <row r="552">
          <cell r="A552" t="str">
            <v>800121</v>
          </cell>
          <cell r="B552" t="str">
            <v>LDC 2</v>
          </cell>
          <cell r="C552" t="str">
            <v>03 - Bare Steel Replacement</v>
          </cell>
          <cell r="D552" t="str">
            <v>yes</v>
          </cell>
          <cell r="F552" t="str">
            <v>F0599</v>
          </cell>
          <cell r="G552" t="str">
            <v>Main Replacement - ISRS (N)</v>
          </cell>
          <cell r="H552" t="str">
            <v>Liberty - Grid Phase D</v>
          </cell>
          <cell r="I552" t="str">
            <v>open</v>
          </cell>
          <cell r="J552" t="str">
            <v>Install 1860 ft of 2 in PL and 20 ft of 3 ft PL IP main on N Leonard St, N Missouri St, and E Mississippi St. Abandon 631 ft of PL and 4244 ft of ST LP. Uprate 475ft of 2in PL and 628ft of 3in PL LP main to IP.</v>
          </cell>
          <cell r="K552" t="str">
            <v>Main is being replaced as part of 2016 Main Replacement Program</v>
          </cell>
          <cell r="P552" t="str">
            <v>1207-020001  CLAY CTY/LIBERTY</v>
          </cell>
          <cell r="Q552">
            <v>140930.43</v>
          </cell>
          <cell r="R552">
            <v>1607.17</v>
          </cell>
        </row>
        <row r="553">
          <cell r="A553" t="str">
            <v>003922</v>
          </cell>
          <cell r="B553" t="str">
            <v>LDC 2</v>
          </cell>
          <cell r="D553" t="str">
            <v>no</v>
          </cell>
          <cell r="E553" t="str">
            <v>21207133059</v>
          </cell>
          <cell r="F553" t="str">
            <v>F0610</v>
          </cell>
          <cell r="G553" t="str">
            <v>New business</v>
          </cell>
          <cell r="H553" t="str">
            <v>Ruby Ln &amp; White Tail Lay 444'-2in P</v>
          </cell>
          <cell r="I553" t="str">
            <v>posted to CPR</v>
          </cell>
          <cell r="J553" t="str">
            <v>Ruby Ln &amp; White Tail Lay 444'-2in PE main ext: Liberty: RUBY LANE &amp; WHITE TAIL LANE DEER VALLEY</v>
          </cell>
          <cell r="K553" t="str">
            <v>Approved by: Kevin Driskell on 12/02/2013,  LAY 444'-2" PLEXCO IN ORDER TO SERVE 10 LOTS. LOTS 1-10.  TIE INTO EXIST. 2" PE-(04-5430)  444' X $8.50=$3,774.00  COST PER FOOT=$21.84  DEVELOPER TO CONTRIBUTE $3,774.00 BEFORE START OF PROJECT.</v>
          </cell>
          <cell r="L553">
            <v>41647</v>
          </cell>
          <cell r="M553">
            <v>41698</v>
          </cell>
          <cell r="N553">
            <v>41704.711678240703</v>
          </cell>
          <cell r="O553">
            <v>41730</v>
          </cell>
          <cell r="P553" t="str">
            <v>1207-020001  CLAY CTY/LIBERTY</v>
          </cell>
          <cell r="Q553">
            <v>4046.06</v>
          </cell>
          <cell r="R553">
            <v>1044</v>
          </cell>
        </row>
        <row r="554">
          <cell r="A554" t="str">
            <v>004549</v>
          </cell>
          <cell r="B554" t="str">
            <v>LDC 2</v>
          </cell>
          <cell r="D554" t="str">
            <v>no</v>
          </cell>
          <cell r="E554" t="str">
            <v>21207143267</v>
          </cell>
          <cell r="F554" t="str">
            <v>F0610</v>
          </cell>
          <cell r="G554" t="str">
            <v>New business</v>
          </cell>
          <cell r="H554" t="str">
            <v>Camelot Dr Lay 505'-2in PE main ext</v>
          </cell>
          <cell r="I554" t="str">
            <v>posted to CPR</v>
          </cell>
          <cell r="J554" t="str">
            <v>Camelot Dr Lay 505'-2in PE main ext: Liberty: CAMELOT DR &amp; PERCIVAL CRT Comelot Commons</v>
          </cell>
          <cell r="K554" t="str">
            <v>Approved by: Kevin Driskell on 01/21/2014,  LAY 505'-2" PLEXCO TO SERVE 12 LOTS IN SUBDIVISION.  LOTS 1-12.  ONE WAY FEED.  CALL 811 FOR MARKING OF PIPELINE RUNNING THRU AREA.  COST PER FOOT=$27.24  505FT X $8.50=$4,292.50  DEVELOPER TO CONTRIBUTE $4,292.50 BEFORE START OF PROJECT.</v>
          </cell>
          <cell r="L554">
            <v>41767</v>
          </cell>
          <cell r="M554">
            <v>42217</v>
          </cell>
          <cell r="N554">
            <v>42256.639884259297</v>
          </cell>
          <cell r="O554">
            <v>41760</v>
          </cell>
          <cell r="P554" t="str">
            <v>1207-020001  CLAY CTY/LIBERTY</v>
          </cell>
          <cell r="Q554">
            <v>10484.370000000001</v>
          </cell>
          <cell r="R554">
            <v>1811</v>
          </cell>
        </row>
        <row r="555">
          <cell r="A555" t="str">
            <v>800455</v>
          </cell>
          <cell r="B555" t="str">
            <v>LDC 2</v>
          </cell>
          <cell r="D555" t="str">
            <v>no</v>
          </cell>
          <cell r="F555" t="str">
            <v>F0647</v>
          </cell>
          <cell r="G555" t="str">
            <v>New Main Extensions (N)</v>
          </cell>
          <cell r="H555" t="str">
            <v>Inst 2487F 2P Brooke Haven NB</v>
          </cell>
          <cell r="I555" t="str">
            <v>in service</v>
          </cell>
          <cell r="J555" t="str">
            <v> Install 2487 ft of 2 in IP PE main to serve 52 new residential customers - Brook Haven.</v>
          </cell>
          <cell r="L555">
            <v>42649</v>
          </cell>
          <cell r="O555">
            <v>42644</v>
          </cell>
          <cell r="P555" t="str">
            <v>1215-020023  CLAY CTY/KEARNEY</v>
          </cell>
          <cell r="Q555">
            <v>50102.14</v>
          </cell>
          <cell r="R555">
            <v>-4433.5</v>
          </cell>
        </row>
        <row r="556">
          <cell r="A556" t="str">
            <v>800437</v>
          </cell>
          <cell r="B556" t="str">
            <v>LDC 2</v>
          </cell>
          <cell r="D556" t="str">
            <v>no</v>
          </cell>
          <cell r="F556" t="str">
            <v>F0547</v>
          </cell>
          <cell r="G556" t="str">
            <v>Street &amp; Highway Relocates ISRS (N)</v>
          </cell>
          <cell r="H556" t="str">
            <v>Aband 654F 2S Quicktrip 2590NE 72nd</v>
          </cell>
          <cell r="I556" t="str">
            <v>in service</v>
          </cell>
          <cell r="J556" t="str">
            <v>Abandon 654 ft of 1968 2 in MP  Coated ST.</v>
          </cell>
          <cell r="K556" t="str">
            <v>Abandon 2'' STL main it is no longer needed, do not charge customer.  7300 &amp; 7302 Prospect Ave are abandoned services and 2590 NE 72nd St(Quick Trip) will go dead with the main, quick trip will convert to Propane.  Abandon 654 ft of 1968 2 in MP  Coated ST.  1 Abandoned Service.  CANCELLED REPLACED BY WO  15628592.  Recreated because it cannot be a BWO.</v>
          </cell>
          <cell r="L556">
            <v>42744</v>
          </cell>
          <cell r="P556" t="str">
            <v>1274-020045  CLAY CTY/GLADSTONE</v>
          </cell>
          <cell r="Q556">
            <v>6711.12</v>
          </cell>
          <cell r="R556">
            <v>745</v>
          </cell>
        </row>
        <row r="557">
          <cell r="A557" t="str">
            <v>003794</v>
          </cell>
          <cell r="B557" t="str">
            <v>LDC 2</v>
          </cell>
          <cell r="D557" t="str">
            <v>no</v>
          </cell>
          <cell r="E557" t="str">
            <v>21904133083</v>
          </cell>
          <cell r="F557" t="str">
            <v>F0577</v>
          </cell>
          <cell r="G557" t="str">
            <v>ERT Purchases</v>
          </cell>
          <cell r="H557" t="str">
            <v>Pur 2020 Am Res 100G Erts Feb  2014</v>
          </cell>
          <cell r="I557" t="str">
            <v>posted to CPR</v>
          </cell>
          <cell r="J557" t="str">
            <v>Pur 2020 Am Res 100G Erts Feb  2014: Kansas City CORP: Central Plant Meter Shop</v>
          </cell>
          <cell r="K557" t="str">
            <v>Approved by: Steve Holcomb on 11/11/2013,  Purchase 2020 American Erts 95198300 These Erts ship to American Meter in February for meters March 2014.</v>
          </cell>
          <cell r="L557">
            <v>41740</v>
          </cell>
          <cell r="M557">
            <v>41944</v>
          </cell>
          <cell r="N557">
            <v>41978.592199074097</v>
          </cell>
          <cell r="O557">
            <v>41852</v>
          </cell>
          <cell r="P557" t="str">
            <v>1904-043050  JACKSON CTY/KC</v>
          </cell>
          <cell r="Q557">
            <v>89065.63</v>
          </cell>
          <cell r="R557">
            <v>2000</v>
          </cell>
        </row>
        <row r="558">
          <cell r="A558" t="str">
            <v>012340</v>
          </cell>
          <cell r="B558" t="str">
            <v>LDC 2</v>
          </cell>
          <cell r="D558" t="str">
            <v>no</v>
          </cell>
          <cell r="F558" t="str">
            <v>F0538</v>
          </cell>
          <cell r="G558" t="str">
            <v>Other Communication Costs</v>
          </cell>
          <cell r="H558" t="str">
            <v>SCADA Controller E Leavenworth TB</v>
          </cell>
          <cell r="I558" t="str">
            <v>open</v>
          </cell>
          <cell r="J558" t="str">
            <v>Install Kiscell Controller (Rotork CMA Actuator) for remote pressure raise/lower control at E Leavenworth TBS</v>
          </cell>
          <cell r="K558" t="str">
            <v>Per Matt Taylor - this is not a replacement</v>
          </cell>
          <cell r="P558" t="str">
            <v>1261-075025  PLATTE CTY/??? TWP</v>
          </cell>
          <cell r="Q558">
            <v>6057.3</v>
          </cell>
          <cell r="R558">
            <v>2</v>
          </cell>
        </row>
        <row r="559">
          <cell r="A559" t="str">
            <v>800688</v>
          </cell>
          <cell r="B559" t="str">
            <v>LDC 2</v>
          </cell>
          <cell r="D559" t="str">
            <v>no</v>
          </cell>
          <cell r="F559" t="str">
            <v>F0547</v>
          </cell>
          <cell r="G559" t="str">
            <v>Street &amp; Highway Relocates ISRS (N)</v>
          </cell>
          <cell r="H559" t="str">
            <v>Reloc 1505F 6P Hwy 152 at N Booth</v>
          </cell>
          <cell r="I559" t="str">
            <v>open</v>
          </cell>
          <cell r="J559" t="str">
            <v>Install ~1,505 ft of 6 in PL IP main along Highway 152 at Booth Street (Preserve at Shoal Creek) Abandon ~1,450 ft of 6 in PL IP main.</v>
          </cell>
          <cell r="K559" t="str">
            <v>No services to tie-over. This relocation is customer generated and covered by sales analysis. Related to new business project 800691 (15223379)</v>
          </cell>
          <cell r="P559" t="str">
            <v>1271-020036  CLAY CTY/KANSAS CITY</v>
          </cell>
          <cell r="Q559">
            <v>0</v>
          </cell>
          <cell r="R559">
            <v>1450</v>
          </cell>
        </row>
        <row r="560">
          <cell r="A560" t="str">
            <v>008394</v>
          </cell>
          <cell r="B560" t="str">
            <v>LDC 2</v>
          </cell>
          <cell r="D560" t="str">
            <v>yes</v>
          </cell>
          <cell r="E560" t="str">
            <v>21271155344</v>
          </cell>
          <cell r="F560" t="str">
            <v>F0665</v>
          </cell>
          <cell r="G560" t="str">
            <v>Replace steel &amp; plastic main</v>
          </cell>
          <cell r="H560" t="str">
            <v>2in PCS Replacement</v>
          </cell>
          <cell r="I560" t="str">
            <v>posted to CPR</v>
          </cell>
          <cell r="J560" t="str">
            <v>2in PCS Replacement: Kansas City-Clay Co: Replace Coated Steel &amp; Plastic Main - 3760 (34-396)</v>
          </cell>
          <cell r="K560" t="str">
            <v>Approved by: Gary Williams on 05/11/2015,  Replace 6' of 2'' PCS due to leak. Install 6' of 2'' PCS. Pressure system C-006.</v>
          </cell>
          <cell r="L560">
            <v>42039</v>
          </cell>
          <cell r="M560">
            <v>42247</v>
          </cell>
          <cell r="N560">
            <v>42284.723611111098</v>
          </cell>
          <cell r="O560">
            <v>42125</v>
          </cell>
          <cell r="P560" t="str">
            <v>1271-020036  CLAY CTY/KANSAS CITY</v>
          </cell>
          <cell r="Q560">
            <v>5134.68</v>
          </cell>
          <cell r="R560">
            <v>46</v>
          </cell>
        </row>
        <row r="561">
          <cell r="A561" t="str">
            <v>008358</v>
          </cell>
          <cell r="B561" t="str">
            <v>LDC 2</v>
          </cell>
          <cell r="D561" t="str">
            <v>no</v>
          </cell>
          <cell r="E561" t="str">
            <v>21271143579</v>
          </cell>
          <cell r="F561" t="str">
            <v>F0610</v>
          </cell>
          <cell r="G561" t="str">
            <v>New business</v>
          </cell>
          <cell r="H561" t="str">
            <v>PINE GROVE MEADOWS - 3</v>
          </cell>
          <cell r="I561" t="str">
            <v>posted to CPR</v>
          </cell>
          <cell r="J561" t="str">
            <v>PINE GROVE MEADOWS - 3: Kansas City-Clay Co: New Main Extension - Contractor Crews  3760 (33-380)</v>
          </cell>
          <cell r="K561" t="str">
            <v>Approved by: Gary Williams on 04/30/2015,  LAYING 2,542'-2" PLEXCO TO SERVE 49 LOTS.  LOTS 193-241.  2,542' x $8.50=$21,607.00 DEVELOPER TO CONTRIBUTE $21,607.00 BEFORE START OF PROJECT.</v>
          </cell>
          <cell r="L561">
            <v>42199</v>
          </cell>
          <cell r="M561">
            <v>42309</v>
          </cell>
          <cell r="N561">
            <v>42436.430613425902</v>
          </cell>
          <cell r="O561">
            <v>42186</v>
          </cell>
          <cell r="P561" t="str">
            <v>1271-020036  CLAY CTY/KANSAS CITY</v>
          </cell>
          <cell r="Q561">
            <v>69125.31</v>
          </cell>
          <cell r="R561">
            <v>-5058</v>
          </cell>
        </row>
        <row r="562">
          <cell r="A562" t="str">
            <v>004576</v>
          </cell>
          <cell r="B562" t="str">
            <v>LDC 2</v>
          </cell>
          <cell r="D562" t="str">
            <v>yes</v>
          </cell>
          <cell r="E562" t="str">
            <v>21271133028</v>
          </cell>
          <cell r="F562" t="str">
            <v>F0547</v>
          </cell>
          <cell r="G562" t="str">
            <v>Street &amp; Highway Relocates ISRS (N)</v>
          </cell>
          <cell r="H562" t="str">
            <v>N Jackson Reloc PBS/PCS w 995'-4;1,</v>
          </cell>
          <cell r="I562" t="str">
            <v>posted to CPR</v>
          </cell>
          <cell r="J562" t="str">
            <v>N Jackson Reloc PBS/PCS w 995'-4;1,820-2in PE: Kansas City-Clay Co: N Jackson from Vivion to NE 57th Ter</v>
          </cell>
          <cell r="K562" t="str">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ell>
          <cell r="L562">
            <v>41786</v>
          </cell>
          <cell r="M562">
            <v>41821</v>
          </cell>
          <cell r="N562">
            <v>41936.625682870399</v>
          </cell>
          <cell r="O562">
            <v>41791</v>
          </cell>
          <cell r="P562" t="str">
            <v>1271-020036  CLAY CTY/KANSAS CITY</v>
          </cell>
          <cell r="Q562">
            <v>203761.96</v>
          </cell>
          <cell r="R562">
            <v>9846</v>
          </cell>
        </row>
        <row r="563">
          <cell r="A563" t="str">
            <v>800960</v>
          </cell>
          <cell r="B563" t="str">
            <v>LDC 2</v>
          </cell>
          <cell r="C563" t="str">
            <v>09 - Facility Relocation due to Civic Improvement</v>
          </cell>
          <cell r="D563" t="str">
            <v>yes</v>
          </cell>
          <cell r="F563" t="str">
            <v>F0599</v>
          </cell>
          <cell r="G563" t="str">
            <v>Main Replacement - ISRS (N)</v>
          </cell>
          <cell r="H563" t="str">
            <v>Repl 12179F 2-4P Wornall &amp; 85th Ph2</v>
          </cell>
          <cell r="I563" t="str">
            <v>open</v>
          </cell>
          <cell r="J563" t="str">
            <v>Install 9625 ft of 2 in PL IP main and 2554 ft of 4 in PL IP main on Main St, Walnut, 79th Ter, 80th St, 80th Ter, 81st St, 81st Ter, 82nd St, 82nd Ter, and 83rd St.</v>
          </cell>
          <cell r="K563" t="str">
            <v>Retire 44 ft of 1 1/4 in PL MP main, 666 ft of 2 in PL MP main, 158 ft of 3 in PL MP main, 46 ft of 4 in PL MP main, 7340 ft of 2 in ST MP main, 3588 ft of 3 in ST MP main, 712 ft of 4 in ST MP main, and 3115 ft of 6 in MP main at above locations and along 79th St and Grand Ave. Total Service Tie-over = 119; Total Service Replace = 14.</v>
          </cell>
          <cell r="P563" t="str">
            <v>0401-043050  JACKSON CTY/KC</v>
          </cell>
          <cell r="Q563">
            <v>0</v>
          </cell>
          <cell r="R563">
            <v>15669</v>
          </cell>
        </row>
        <row r="564">
          <cell r="A564" t="str">
            <v>011094</v>
          </cell>
          <cell r="B564" t="str">
            <v>LDC 2</v>
          </cell>
          <cell r="D564" t="str">
            <v>no</v>
          </cell>
          <cell r="F564" t="str">
            <v>F0670</v>
          </cell>
          <cell r="G564" t="str">
            <v>Tools, Instruments &amp; Equipment (N)</v>
          </cell>
          <cell r="H564" t="str">
            <v>Purch Var Capital Tool/Eqpt - North</v>
          </cell>
          <cell r="I564" t="str">
            <v>in service</v>
          </cell>
          <cell r="J564" t="str">
            <v>Purchase various capital tools and equipment for MGE North Region - see attached list.</v>
          </cell>
          <cell r="K564" t="str">
            <v>This is to capitalize various tools/equipment charged to clearing/expense accounts in error.</v>
          </cell>
          <cell r="L564">
            <v>42522</v>
          </cell>
          <cell r="O564">
            <v>42522</v>
          </cell>
          <cell r="P564" t="str">
            <v>0401-043050  JACKSON CTY/KC</v>
          </cell>
          <cell r="Q564">
            <v>283036.58</v>
          </cell>
          <cell r="R564">
            <v>0</v>
          </cell>
        </row>
        <row r="565">
          <cell r="A565" t="str">
            <v>800467</v>
          </cell>
          <cell r="B565" t="str">
            <v>LDC 2</v>
          </cell>
          <cell r="C565" t="str">
            <v>02 - Cast Iron AOR Replacement</v>
          </cell>
          <cell r="D565" t="str">
            <v>yes</v>
          </cell>
          <cell r="F565" t="str">
            <v>F0599</v>
          </cell>
          <cell r="G565" t="str">
            <v>Main Replacement - ISRS (N)</v>
          </cell>
          <cell r="H565" t="str">
            <v>Rel w/ 50F 6P 54th Terrace AOR</v>
          </cell>
          <cell r="I565" t="str">
            <v>in service</v>
          </cell>
          <cell r="J565" t="str">
            <v>Install - 50' - 6" PE. Abandon- 50' - 6" Cast Iron - 54th Terrace &amp; Jackson Ave. Tie-over 1 PE service. Replace 1 steel service.</v>
          </cell>
          <cell r="K565" t="str">
            <v>This project is being done due to cast iron being in an angle of repose.</v>
          </cell>
          <cell r="L565">
            <v>42577</v>
          </cell>
          <cell r="O565">
            <v>42552</v>
          </cell>
          <cell r="P565" t="str">
            <v>0401-043050  JACKSON CTY/KC</v>
          </cell>
          <cell r="Q565">
            <v>41637.4</v>
          </cell>
          <cell r="R565">
            <v>-2121</v>
          </cell>
        </row>
        <row r="566">
          <cell r="A566" t="str">
            <v>800155</v>
          </cell>
          <cell r="B566" t="str">
            <v>LDC 2</v>
          </cell>
          <cell r="C566" t="str">
            <v>01 - Cast Iron Strategic Replacement</v>
          </cell>
          <cell r="D566" t="str">
            <v>yes</v>
          </cell>
          <cell r="F566" t="str">
            <v>F0599</v>
          </cell>
          <cell r="G566" t="str">
            <v>Main Replacement - ISRS (N)</v>
          </cell>
          <cell r="H566" t="str">
            <v>N Budd Park CI Grid Repl Phase 1D</v>
          </cell>
          <cell r="I566" t="str">
            <v>open</v>
          </cell>
          <cell r="J566" t="str">
            <v>Install 2526 Ft 4in PL and 4560 Ft of 2 in PL IP for Budd Park Phase 1D.  Abandon 43 Ft of 8 in PBS LP main, 5016 Ft of 6 in and 2319 Ft of 8 in CI LP main.  This main is being abandoned as part of FY16 Cast Iron Replacement Program.</v>
          </cell>
          <cell r="P566" t="str">
            <v>0401-043050  JACKSON CTY/KC</v>
          </cell>
          <cell r="Q566">
            <v>406683.19</v>
          </cell>
          <cell r="R566">
            <v>-7361.25</v>
          </cell>
        </row>
        <row r="567">
          <cell r="A567" t="str">
            <v>800362</v>
          </cell>
          <cell r="B567" t="str">
            <v>LDC 2</v>
          </cell>
          <cell r="D567" t="str">
            <v>no</v>
          </cell>
          <cell r="F567" t="str">
            <v>F0647</v>
          </cell>
          <cell r="G567" t="str">
            <v>New Main Extensions (N)</v>
          </cell>
          <cell r="H567" t="str">
            <v>CALL2ALL CHAPEL/YWAM-MAIN EXT &amp; SER</v>
          </cell>
          <cell r="I567" t="str">
            <v>in service</v>
          </cell>
          <cell r="J567" t="str">
            <v>Install 515' of 2" PE for new service at Call2All Chapel at 10121 Grandview Road, Kansas City,</v>
          </cell>
          <cell r="L567">
            <v>42465</v>
          </cell>
          <cell r="O567">
            <v>42461</v>
          </cell>
          <cell r="P567" t="str">
            <v>0401-043050  JACKSON CTY/KC</v>
          </cell>
          <cell r="Q567">
            <v>7793.75</v>
          </cell>
          <cell r="R567">
            <v>136</v>
          </cell>
        </row>
        <row r="568">
          <cell r="A568" t="str">
            <v>009249</v>
          </cell>
          <cell r="B568" t="str">
            <v>LDC 2</v>
          </cell>
          <cell r="D568" t="str">
            <v>yes</v>
          </cell>
          <cell r="E568" t="str">
            <v>20401155483</v>
          </cell>
          <cell r="F568" t="str">
            <v>F0599</v>
          </cell>
          <cell r="G568" t="str">
            <v>Main Replacement - ISRS (N)</v>
          </cell>
          <cell r="H568" t="str">
            <v>AOR - 8in CI Replacement</v>
          </cell>
          <cell r="I568" t="str">
            <v>posted to CPR</v>
          </cell>
          <cell r="J568" t="str">
            <v>AOR - 8in CI Replacement: Kansas City-Jackson: Replace Cast Iron Main - 3760 Safety Related (34-412)</v>
          </cell>
          <cell r="K568" t="str">
            <v>Approved by: Gary Williams on 08/26/2015,  AOR - Replace 40' of 8'' CI with 8'' PE. Due 09/23/2015 Pressure system C-001.</v>
          </cell>
          <cell r="L568">
            <v>42268</v>
          </cell>
          <cell r="M568">
            <v>42309</v>
          </cell>
          <cell r="N568">
            <v>42436.488460648099</v>
          </cell>
          <cell r="O568">
            <v>42278</v>
          </cell>
          <cell r="P568" t="str">
            <v>0401-043050  JACKSON CTY/KC</v>
          </cell>
          <cell r="Q568">
            <v>28686.76</v>
          </cell>
          <cell r="R568">
            <v>4.25</v>
          </cell>
        </row>
        <row r="569">
          <cell r="A569" t="str">
            <v>008229</v>
          </cell>
          <cell r="B569" t="str">
            <v>LDC 2</v>
          </cell>
          <cell r="D569" t="str">
            <v>no</v>
          </cell>
          <cell r="F569" t="str">
            <v>F0850</v>
          </cell>
          <cell r="G569" t="str">
            <v>Facilities - MGE - Remodel Svc Cen</v>
          </cell>
          <cell r="H569" t="str">
            <v>MGE Central Architectural Services</v>
          </cell>
          <cell r="I569" t="str">
            <v>in service</v>
          </cell>
          <cell r="J569" t="str">
            <v>Architectural services for MGE Central Plant remodel.</v>
          </cell>
          <cell r="L569">
            <v>42308</v>
          </cell>
          <cell r="O569">
            <v>42339</v>
          </cell>
          <cell r="P569" t="str">
            <v>0401-043050  JACKSON CTY/KC</v>
          </cell>
          <cell r="Q569">
            <v>18022.009999999998</v>
          </cell>
          <cell r="R569">
            <v>15907</v>
          </cell>
        </row>
        <row r="570">
          <cell r="A570" t="str">
            <v>007718</v>
          </cell>
          <cell r="B570" t="str">
            <v>LDC 2</v>
          </cell>
          <cell r="D570" t="str">
            <v>no</v>
          </cell>
          <cell r="E570" t="str">
            <v>20401155127</v>
          </cell>
          <cell r="F570" t="str">
            <v>F0670</v>
          </cell>
          <cell r="G570" t="str">
            <v>Tools, Instruments &amp; Equipment (N)</v>
          </cell>
          <cell r="H570" t="str">
            <v>Tools-Clamp Inserts/Pitbull Unit</v>
          </cell>
          <cell r="I570" t="str">
            <v>posted to CPR</v>
          </cell>
          <cell r="J570" t="str">
            <v>Tools-Clamp Inserts Various sizes and pitbull unit: Kansas City-Jackson: Purchase Tools, Instruments &amp; Equipment  3940 (37-366)</v>
          </cell>
          <cell r="K570" t="str">
            <v>Approved by: Gary Williams on 02/26/2015,  Tools-Clamp Inserts Various sizes and pitbull unit for field base work force. These are not replacement tools.</v>
          </cell>
          <cell r="L570">
            <v>42138</v>
          </cell>
          <cell r="M570">
            <v>42491</v>
          </cell>
          <cell r="N570">
            <v>42527.511655092603</v>
          </cell>
          <cell r="O570">
            <v>42125</v>
          </cell>
          <cell r="P570" t="str">
            <v>0401-043050  JACKSON CTY/KC</v>
          </cell>
          <cell r="Q570">
            <v>23340</v>
          </cell>
          <cell r="R570">
            <v>24</v>
          </cell>
        </row>
        <row r="571">
          <cell r="A571" t="str">
            <v>007782</v>
          </cell>
          <cell r="B571" t="str">
            <v>LDC 2</v>
          </cell>
          <cell r="D571" t="str">
            <v>no</v>
          </cell>
          <cell r="E571" t="str">
            <v>20401155171</v>
          </cell>
          <cell r="F571" t="str">
            <v>F0639</v>
          </cell>
          <cell r="G571" t="str">
            <v>EGM Equip-1st Time Installation</v>
          </cell>
          <cell r="H571" t="str">
            <v>EGM - Mizkan Americas Inc</v>
          </cell>
          <cell r="I571" t="str">
            <v>in service</v>
          </cell>
          <cell r="J571" t="str">
            <v>EGM - Mizkan Americas Inc : Kansas City-Jackson: Install EGM Equipment - First Time Installation  3850 (32-403)</v>
          </cell>
          <cell r="K571" t="str">
            <v>Approved by: Gary Williams on 03/03/2015,  Install Mercury Mini AT-PT (S/N:                   ) with CNI-2 (S/N:                 ) on Roots Rotary 16M-175 meter no 00322388 to monitor daily gas usage of this transportation customer. Customer will reimburse company actual cost for EGM installation not to exceed $5,445.00, which should be coded to account 1072. ATTENTION: Plant &amp; Property Accounting, EGM work order, turn off A&amp;G indicator.</v>
          </cell>
          <cell r="L571">
            <v>42460</v>
          </cell>
          <cell r="O571">
            <v>42461</v>
          </cell>
          <cell r="P571" t="str">
            <v>0401-043050  JACKSON CTY/KC</v>
          </cell>
          <cell r="Q571">
            <v>3465.48</v>
          </cell>
          <cell r="R571">
            <v>49</v>
          </cell>
        </row>
        <row r="572">
          <cell r="A572" t="str">
            <v>006916</v>
          </cell>
          <cell r="B572" t="str">
            <v>LDC 2</v>
          </cell>
          <cell r="D572" t="str">
            <v>yes</v>
          </cell>
          <cell r="E572" t="str">
            <v>20401143742</v>
          </cell>
          <cell r="F572" t="str">
            <v>F0500</v>
          </cell>
          <cell r="G572" t="str">
            <v>Replace cast iron main - CPI / prio</v>
          </cell>
          <cell r="H572" t="str">
            <v>51st and Woodland CI Replacement</v>
          </cell>
          <cell r="I572" t="str">
            <v>posted to CPR</v>
          </cell>
          <cell r="J572" t="str">
            <v>51st and Woodland CI Replacement: Kansas City-Jackson: Replace Cast Iron Main - 3760 Safety Related (34-412)</v>
          </cell>
          <cell r="K572" t="str">
            <v>Approved by: Steve Holcomb on 11/13/2014,  ISRS Replace 8'' and 6'' CI main due to leaks in the area (severe graphitization). Pressure System C-001 for the CI being abandoned. Pressure system C-175KCLS for the new pipe being installed. 1 replacement service at 5107 Highland (charge to BWO). 20 service tie overs.</v>
          </cell>
          <cell r="L572">
            <v>42041</v>
          </cell>
          <cell r="M572">
            <v>42248</v>
          </cell>
          <cell r="N572">
            <v>42284.722835648099</v>
          </cell>
          <cell r="O572">
            <v>42036</v>
          </cell>
          <cell r="P572" t="str">
            <v>0401-043050  JACKSON CTY/KC</v>
          </cell>
          <cell r="Q572">
            <v>70327.22</v>
          </cell>
          <cell r="R572">
            <v>-1917</v>
          </cell>
        </row>
        <row r="573">
          <cell r="A573" t="str">
            <v>005018</v>
          </cell>
          <cell r="B573" t="str">
            <v>LDC 2</v>
          </cell>
          <cell r="D573" t="str">
            <v>no</v>
          </cell>
          <cell r="E573" t="str">
            <v>20401143492</v>
          </cell>
          <cell r="F573" t="str">
            <v>F0670</v>
          </cell>
          <cell r="G573" t="str">
            <v>Tools, Instruments &amp; Equipment (N)</v>
          </cell>
          <cell r="H573" t="str">
            <v>PUR-60LB AIR PAVING BREAKER</v>
          </cell>
          <cell r="I573" t="str">
            <v>posted to CPR</v>
          </cell>
          <cell r="J573" t="str">
            <v>PUR-60LB AIR PAVING BREAKER: Kansas City-Jackson: Purchase Tools, Instruments &amp; Equipment  3940 (37-366)</v>
          </cell>
          <cell r="K573" t="str">
            <v>Approved by: Gary Williams on 04/17/2014,  PURCHASE-1 60LB AIR PAVING BREAKER. THIS WILL BE USED BY THE C&amp;M CREWS AT CENTRAL TO BREAK PAVING. THIS IS NOT A REPLACEMENT TOOL.</v>
          </cell>
          <cell r="L573">
            <v>41771</v>
          </cell>
          <cell r="M573">
            <v>41821</v>
          </cell>
          <cell r="N573">
            <v>41856.3288888889</v>
          </cell>
          <cell r="O573">
            <v>41760</v>
          </cell>
          <cell r="P573" t="str">
            <v>0401-043050  JACKSON CTY/KC</v>
          </cell>
          <cell r="Q573">
            <v>1033.67</v>
          </cell>
          <cell r="R573">
            <v>1</v>
          </cell>
        </row>
        <row r="574">
          <cell r="A574" t="str">
            <v>005536</v>
          </cell>
          <cell r="B574" t="str">
            <v>LDC 2</v>
          </cell>
          <cell r="D574" t="str">
            <v>no</v>
          </cell>
          <cell r="E574" t="str">
            <v>20401143630</v>
          </cell>
          <cell r="F574" t="str">
            <v>F0639</v>
          </cell>
          <cell r="G574" t="str">
            <v>EGM Equip-1st Time Installation</v>
          </cell>
          <cell r="H574" t="str">
            <v>EGM - Cal-Vent Group LTD LP</v>
          </cell>
          <cell r="I574" t="str">
            <v>posted to CPR</v>
          </cell>
          <cell r="J574" t="str">
            <v>EGM - Cal-Vent Group LTD LP: Kansas City-Jackson: Install EGM Equipment - First Time Installation  3850 (32-403)</v>
          </cell>
          <cell r="K574" t="str">
            <v>Approved by: Rob Kitterman on 06/17/2014,  Install Mercury MiniMax-AT-PT w/ Messenger Modem S/N:13066410 on Romet 16000 ID meter no 00873053 to monitor daily gas usage of this transportation customer. Customer will reimburse company actual cost for EGM installation not to exceed $5,445.00, which should be coded to account 1072. ATTENTION: Plant &amp; Property Accounting, EGM work order, turn off A&amp;G indicator.</v>
          </cell>
          <cell r="L574">
            <v>42443</v>
          </cell>
          <cell r="M574">
            <v>42491</v>
          </cell>
          <cell r="N574">
            <v>42528.313206018502</v>
          </cell>
          <cell r="O574">
            <v>42430</v>
          </cell>
          <cell r="P574" t="str">
            <v>0401-043050  JACKSON CTY/KC</v>
          </cell>
          <cell r="Q574">
            <v>-199.43</v>
          </cell>
          <cell r="R574">
            <v>9</v>
          </cell>
        </row>
        <row r="575">
          <cell r="A575" t="str">
            <v>005233</v>
          </cell>
          <cell r="B575" t="str">
            <v>LDC 2</v>
          </cell>
          <cell r="D575" t="str">
            <v>no</v>
          </cell>
          <cell r="F575" t="str">
            <v>F0588</v>
          </cell>
          <cell r="G575" t="str">
            <v>Transportation &amp; power operated equ</v>
          </cell>
          <cell r="H575" t="str">
            <v>Purchase 5 Dump Trucks MGE</v>
          </cell>
          <cell r="I575" t="str">
            <v>posted to CPR</v>
          </cell>
          <cell r="J575" t="str">
            <v>Purchase 5 dumps replacing 21286, 21230, 21270, 21297, 21298</v>
          </cell>
          <cell r="L575">
            <v>42063</v>
          </cell>
          <cell r="M575">
            <v>42278</v>
          </cell>
          <cell r="N575">
            <v>42317.483148148101</v>
          </cell>
          <cell r="O575">
            <v>42064</v>
          </cell>
          <cell r="P575" t="str">
            <v>0401-043050  JACKSON CTY/KC</v>
          </cell>
          <cell r="Q575">
            <v>456145.21</v>
          </cell>
          <cell r="R575">
            <v>10</v>
          </cell>
        </row>
        <row r="576">
          <cell r="A576" t="str">
            <v>005041</v>
          </cell>
          <cell r="B576" t="str">
            <v>LDC 2</v>
          </cell>
          <cell r="D576" t="str">
            <v>no</v>
          </cell>
          <cell r="E576" t="str">
            <v>20401143494</v>
          </cell>
          <cell r="F576" t="str">
            <v>F0670</v>
          </cell>
          <cell r="G576" t="str">
            <v>Tools, Instruments &amp; Equipment (N)</v>
          </cell>
          <cell r="H576" t="str">
            <v>PUR- 4IN &amp; 6IN  PIPE CUTTERS</v>
          </cell>
          <cell r="I576" t="str">
            <v>posted to CPR</v>
          </cell>
          <cell r="J576" t="str">
            <v>PUR- 4IN &amp; 6IN  PIPE CUTTERS: Kansas City-Jackson: Purchase Tools, Instruments &amp; Equipment  3940 (37-366)</v>
          </cell>
          <cell r="K576" t="str">
            <v>Approved by: Gary Williams on 04/22/2014,  PURCHASE-2 TC6QP WHL CUTTER-4IN-6 5/8IN FOR C&amp;M CREWS AT NORTH/CENTRAL PLANT. 2 TC8QP CUTTER-6 1/4IN-10IN FOR C&amp;M CREWS AT NORTH/CENTRAL PLANT. USED TO CUT PIPE. THESE ARE NOT REPLACEMENT TOOLS.</v>
          </cell>
          <cell r="L576">
            <v>41780</v>
          </cell>
          <cell r="M576">
            <v>41821</v>
          </cell>
          <cell r="N576">
            <v>41858.522453703699</v>
          </cell>
          <cell r="O576">
            <v>41760</v>
          </cell>
          <cell r="P576" t="str">
            <v>0401-043050  JACKSON CTY/KC</v>
          </cell>
          <cell r="Q576">
            <v>1317.5</v>
          </cell>
          <cell r="R576">
            <v>4</v>
          </cell>
        </row>
        <row r="577">
          <cell r="A577" t="str">
            <v>004986</v>
          </cell>
          <cell r="B577" t="str">
            <v>LDC 2</v>
          </cell>
          <cell r="D577" t="str">
            <v>yes</v>
          </cell>
          <cell r="E577" t="str">
            <v>20401143313</v>
          </cell>
          <cell r="F577" t="str">
            <v>F0599</v>
          </cell>
          <cell r="G577" t="str">
            <v>Main Replacement - ISRS (N)</v>
          </cell>
          <cell r="H577" t="str">
            <v>Cast Iron Repl Proj Ph I Sec0306 KC</v>
          </cell>
          <cell r="I577" t="str">
            <v>posted to CPR</v>
          </cell>
          <cell r="J577" t="str">
            <v>Cast Iron Repl Project Phase I  Sector 0306: Kansas City-Jackson: Replace Cast Iron Main - 3760 Safety Related (34-412)</v>
          </cell>
          <cell r="K577" t="str">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ell>
          <cell r="L577">
            <v>41884</v>
          </cell>
          <cell r="M577">
            <v>41912</v>
          </cell>
          <cell r="N577">
            <v>42013.406574074099</v>
          </cell>
          <cell r="O577">
            <v>41883</v>
          </cell>
          <cell r="P577" t="str">
            <v>0401-043050  JACKSON CTY/KC</v>
          </cell>
          <cell r="Q577">
            <v>1518200.55</v>
          </cell>
          <cell r="R577">
            <v>-31085.9</v>
          </cell>
        </row>
        <row r="578">
          <cell r="A578" t="str">
            <v>004318</v>
          </cell>
          <cell r="B578" t="str">
            <v>LDC 2</v>
          </cell>
          <cell r="D578" t="str">
            <v>no</v>
          </cell>
          <cell r="E578" t="str">
            <v>20401132633</v>
          </cell>
          <cell r="F578" t="str">
            <v>F0588</v>
          </cell>
          <cell r="G578" t="str">
            <v>Transportation &amp; power operated equ</v>
          </cell>
          <cell r="H578" t="str">
            <v>Retire Backhoes 2013 Disposals</v>
          </cell>
          <cell r="I578" t="str">
            <v>posted to CPR</v>
          </cell>
          <cell r="J578" t="str">
            <v>Retire Backhoes 2013 Disposals: Kansas City-Jackson: Fleet Dept</v>
          </cell>
          <cell r="K578" t="str">
            <v>Approved by: Ken Thomas on 04/17/2013,  Retirement of Backhoes 2013 Disposals being replaced by new fleet backhoes on separate work orders.  This work order will capture salvage along with retirements of units as determined by Fleet Dept.</v>
          </cell>
          <cell r="L578">
            <v>41586</v>
          </cell>
          <cell r="M578">
            <v>41729</v>
          </cell>
          <cell r="N578">
            <v>41732.346215277801</v>
          </cell>
          <cell r="P578" t="str">
            <v>0401-043050  JACKSON CTY/KC</v>
          </cell>
          <cell r="Q578">
            <v>130723.43</v>
          </cell>
          <cell r="R578">
            <v>23</v>
          </cell>
        </row>
        <row r="579">
          <cell r="A579" t="str">
            <v>004309</v>
          </cell>
          <cell r="B579" t="str">
            <v>LDC 2</v>
          </cell>
          <cell r="D579" t="str">
            <v>no</v>
          </cell>
          <cell r="E579" t="str">
            <v>20401132682</v>
          </cell>
          <cell r="F579" t="str">
            <v>F0542</v>
          </cell>
          <cell r="G579" t="str">
            <v>New District Regulator Stations (N)</v>
          </cell>
          <cell r="H579" t="str">
            <v>114th &amp; Grandview Install DRS 751</v>
          </cell>
          <cell r="I579" t="str">
            <v>posted to CPR</v>
          </cell>
          <cell r="J579" t="str">
            <v>114th &amp; Grandview Install DRS 751: Kansas City-Jackson: Grandview &amp; 114th Ter</v>
          </cell>
          <cell r="K579" t="str">
            <v>Approved by: Gary Williams on 05/17/2013,  New reg station 751 will be placed in 40' easement along Grandview Rd near 114th Terr. Coordinate all work with Tom McGill of P&amp;M. WO goes with WO 13-2681. Inlet 2in PCS system C-250KCLS, MOP 30 PSIG, MAOP 36 PSIG, DESIGN 66 PSIG, TEST 100 PSIG. Outlet 4in PCS system C-026, MOP 15 PSIG, MAOP 15 PSIG, DESIGN 66 PSIG, TEST 100 PSIG. This DRS will utilize 2 Rockwell Regulators 441-57S 125LB FL Body 2in.</v>
          </cell>
          <cell r="L579">
            <v>41437</v>
          </cell>
          <cell r="M579">
            <v>41604</v>
          </cell>
          <cell r="N579">
            <v>41604.605740740699</v>
          </cell>
          <cell r="P579" t="str">
            <v>0401-043050  JACKSON CTY/KC</v>
          </cell>
          <cell r="Q579">
            <v>17773.45</v>
          </cell>
          <cell r="R579">
            <v>236.6</v>
          </cell>
        </row>
        <row r="580">
          <cell r="A580" t="str">
            <v>004372</v>
          </cell>
          <cell r="B580" t="str">
            <v>LDC 2</v>
          </cell>
          <cell r="D580" t="str">
            <v>no</v>
          </cell>
          <cell r="E580" t="str">
            <v>20401132903</v>
          </cell>
          <cell r="F580" t="str">
            <v>F0498</v>
          </cell>
          <cell r="G580" t="str">
            <v>Other relocates</v>
          </cell>
          <cell r="H580" t="str">
            <v>11700 Grandview Reloc PCS w 170'-2i</v>
          </cell>
          <cell r="I580" t="str">
            <v>posted to CPR</v>
          </cell>
          <cell r="J580" t="str">
            <v>11700 Grandview Reloc PCS w 170'-2in PE main: Kansas City-Jackson: 11700 Grandview Rd IHOP KC</v>
          </cell>
          <cell r="K580" t="str">
            <v>Approved by: Kevin Driskell on 09/10/2013,  Abandon 164' of 2in steel gas main (WO# M3X464), install 170' of 2in PE main due to private development (installing new structures and cutting grade). Coordinate a pre construction meeting with Richard Frock before the start of project.</v>
          </cell>
          <cell r="L580">
            <v>41562</v>
          </cell>
          <cell r="M580">
            <v>41626</v>
          </cell>
          <cell r="N580">
            <v>41627.582824074103</v>
          </cell>
          <cell r="P580" t="str">
            <v>0401-043050  JACKSON CTY/KC</v>
          </cell>
          <cell r="Q580">
            <v>52.9</v>
          </cell>
          <cell r="R580">
            <v>286</v>
          </cell>
        </row>
        <row r="581">
          <cell r="A581" t="str">
            <v>003789</v>
          </cell>
          <cell r="B581" t="str">
            <v>LDC 2</v>
          </cell>
          <cell r="D581" t="str">
            <v>yes</v>
          </cell>
          <cell r="E581" t="str">
            <v>20401132881</v>
          </cell>
          <cell r="F581" t="str">
            <v>F0599</v>
          </cell>
          <cell r="G581" t="str">
            <v>Main Replacement - ISRS (N)</v>
          </cell>
          <cell r="H581" t="str">
            <v>18th &amp; Locust Repl CI w 500'-4in PE</v>
          </cell>
          <cell r="I581" t="str">
            <v>posted to CPR</v>
          </cell>
          <cell r="J581" t="str">
            <v>18th &amp; Locust Repl CI w 500'-4in PE: Kansas City-Jackson: E. 18th and Locust</v>
          </cell>
          <cell r="K581" t="str">
            <v>Approved by: Gary Williams on 01/03/2014,  Replace 500 feet of 4" CI (work order unknown) with 500'-4" PE due to two cast iron breaks being within 500 feet of each other.  See tie-in procedure. Tie-over 8 services.</v>
          </cell>
          <cell r="L581">
            <v>42227</v>
          </cell>
          <cell r="M581">
            <v>42248</v>
          </cell>
          <cell r="N581">
            <v>42377.349872685198</v>
          </cell>
          <cell r="O581">
            <v>42217</v>
          </cell>
          <cell r="P581" t="str">
            <v>0401-043050  JACKSON CTY/KC</v>
          </cell>
          <cell r="Q581">
            <v>17580.830000000002</v>
          </cell>
          <cell r="R581">
            <v>-422.5</v>
          </cell>
        </row>
        <row r="582">
          <cell r="A582" t="str">
            <v>004585</v>
          </cell>
          <cell r="B582" t="str">
            <v>LDC 2</v>
          </cell>
          <cell r="D582" t="str">
            <v>yes</v>
          </cell>
          <cell r="E582" t="str">
            <v>20401133190</v>
          </cell>
          <cell r="F582" t="str">
            <v>F0599</v>
          </cell>
          <cell r="G582" t="str">
            <v>Main Replacement - ISRS (N)</v>
          </cell>
          <cell r="H582" t="str">
            <v>AOR 425 N Denver Repl CI w 35'-6in</v>
          </cell>
          <cell r="I582" t="str">
            <v>posted to CPR</v>
          </cell>
          <cell r="J582" t="str">
            <v>AOR 425 N Denver Repl CI w 35'-6in PE main: Kansas City-Jackson: 425 N Denver</v>
          </cell>
          <cell r="K582" t="str">
            <v>Approved by: Gary Williams on 01/06/2014,  AOR.  Replace 6in CI with 35'-6in PE due to parallel excavation.  Angle of Repose location: 4' WECB Denver, 5' NNLH to 16' NNLH of 425 N Denver.  This job must be completed by Mar. 18, 2014.  Retire 35'-6in CI, WO BK15P76.  Install 35'-6in PE.</v>
          </cell>
          <cell r="L582">
            <v>41695</v>
          </cell>
          <cell r="M582">
            <v>41729</v>
          </cell>
          <cell r="N582">
            <v>41733.309942129599</v>
          </cell>
          <cell r="O582">
            <v>41730</v>
          </cell>
          <cell r="P582" t="str">
            <v>0401-043050  JACKSON CTY/KC</v>
          </cell>
          <cell r="Q582">
            <v>26925.77</v>
          </cell>
          <cell r="R582">
            <v>83</v>
          </cell>
        </row>
        <row r="583">
          <cell r="A583" t="str">
            <v>005007</v>
          </cell>
          <cell r="B583" t="str">
            <v>LDC 2</v>
          </cell>
          <cell r="D583" t="str">
            <v>no</v>
          </cell>
          <cell r="E583" t="str">
            <v>21823003200</v>
          </cell>
          <cell r="F583" t="str">
            <v>F0680</v>
          </cell>
          <cell r="G583" t="str">
            <v>Regulatory Assets MGE</v>
          </cell>
          <cell r="H583" t="str">
            <v>Reg Assets En Eff - MGE Salaries</v>
          </cell>
          <cell r="I583" t="str">
            <v>open</v>
          </cell>
          <cell r="J583" t="str">
            <v>Regulatory Assets - MGE - Energy Efficiency - Salaries</v>
          </cell>
          <cell r="P583" t="str">
            <v>Expense Only</v>
          </cell>
          <cell r="Q583">
            <v>229440.42</v>
          </cell>
          <cell r="R583">
            <v>4815</v>
          </cell>
        </row>
        <row r="584">
          <cell r="A584" t="str">
            <v>004793</v>
          </cell>
          <cell r="B584" t="str">
            <v>LDC 2</v>
          </cell>
          <cell r="D584" t="str">
            <v>no</v>
          </cell>
          <cell r="E584" t="str">
            <v>29020100000</v>
          </cell>
          <cell r="F584" t="str">
            <v>F0715</v>
          </cell>
          <cell r="G584" t="str">
            <v>Meter Reading MGE</v>
          </cell>
          <cell r="H584" t="str">
            <v>Meter Read Exp &amp; Labor MGE</v>
          </cell>
          <cell r="I584" t="str">
            <v>open</v>
          </cell>
          <cell r="J584" t="str">
            <v>Meter Read Exp &amp; Labor MGE</v>
          </cell>
          <cell r="P584" t="str">
            <v>Expense Only</v>
          </cell>
          <cell r="Q584">
            <v>3095459.95</v>
          </cell>
          <cell r="R584">
            <v>64521.21</v>
          </cell>
        </row>
        <row r="585">
          <cell r="A585" t="str">
            <v>004725</v>
          </cell>
          <cell r="B585" t="str">
            <v>LDC 2</v>
          </cell>
          <cell r="D585" t="str">
            <v>no</v>
          </cell>
          <cell r="E585" t="str">
            <v>28790250000</v>
          </cell>
          <cell r="F585" t="str">
            <v>F0703</v>
          </cell>
          <cell r="G585" t="str">
            <v>Customer Service Work MGE</v>
          </cell>
          <cell r="H585" t="str">
            <v>CIE Gas Inv Ord High Bill MGE</v>
          </cell>
          <cell r="I585" t="str">
            <v>open</v>
          </cell>
          <cell r="J585" t="str">
            <v>CIE Gas Inv Ord High Bill MGE</v>
          </cell>
          <cell r="P585" t="str">
            <v>Expense Only</v>
          </cell>
          <cell r="Q585">
            <v>204455.67999999999</v>
          </cell>
          <cell r="R585">
            <v>3618.81</v>
          </cell>
        </row>
        <row r="586">
          <cell r="A586" t="str">
            <v>004702</v>
          </cell>
          <cell r="B586" t="str">
            <v>LDC 2</v>
          </cell>
          <cell r="D586" t="str">
            <v>no</v>
          </cell>
          <cell r="E586" t="str">
            <v>21841401000</v>
          </cell>
          <cell r="F586" t="str">
            <v>F0732</v>
          </cell>
          <cell r="G586" t="str">
            <v>Transportation &amp; Eq Clrg MGE</v>
          </cell>
          <cell r="H586" t="str">
            <v>Fleet Clrg - 21841401000 MGE</v>
          </cell>
          <cell r="I586" t="str">
            <v>open</v>
          </cell>
          <cell r="J586" t="str">
            <v>Fleet Clrg - 21841401000 MGE</v>
          </cell>
          <cell r="P586" t="str">
            <v>Expense Only</v>
          </cell>
          <cell r="Q586">
            <v>23179.29</v>
          </cell>
          <cell r="R586">
            <v>0</v>
          </cell>
        </row>
        <row r="587">
          <cell r="A587" t="str">
            <v>004701</v>
          </cell>
          <cell r="B587" t="str">
            <v>LDC 2</v>
          </cell>
          <cell r="D587" t="str">
            <v>no</v>
          </cell>
          <cell r="E587" t="str">
            <v>21841400000</v>
          </cell>
          <cell r="F587" t="str">
            <v>F0732</v>
          </cell>
          <cell r="G587" t="str">
            <v>Transportation &amp; Eq Clrg MGE</v>
          </cell>
          <cell r="H587" t="str">
            <v>Fleet Clrg - 21841400000 MGE</v>
          </cell>
          <cell r="I587" t="str">
            <v>open</v>
          </cell>
          <cell r="J587" t="str">
            <v>Fleet Clrg - 21841400000 MGE</v>
          </cell>
          <cell r="P587" t="str">
            <v>Expense Only</v>
          </cell>
          <cell r="Q587">
            <v>17764.57</v>
          </cell>
          <cell r="R587">
            <v>-179.5</v>
          </cell>
        </row>
        <row r="588">
          <cell r="A588" t="str">
            <v>004694</v>
          </cell>
          <cell r="B588" t="str">
            <v>LDC 2</v>
          </cell>
          <cell r="D588" t="str">
            <v>no</v>
          </cell>
          <cell r="E588" t="str">
            <v>21841204000</v>
          </cell>
          <cell r="F588" t="str">
            <v>F0732</v>
          </cell>
          <cell r="G588" t="str">
            <v>Transportation &amp; Eq Clrg MGE</v>
          </cell>
          <cell r="H588" t="str">
            <v>Fleet Clrg - 21841204000 MGE</v>
          </cell>
          <cell r="I588" t="str">
            <v>open</v>
          </cell>
          <cell r="J588" t="str">
            <v>Fleet Clrg - 21841204000 MGE</v>
          </cell>
          <cell r="P588" t="str">
            <v>Expense Only</v>
          </cell>
          <cell r="Q588">
            <v>70627.66</v>
          </cell>
          <cell r="R588">
            <v>-592</v>
          </cell>
        </row>
        <row r="589">
          <cell r="A589" t="str">
            <v>004831</v>
          </cell>
          <cell r="B589" t="str">
            <v>LDC 2</v>
          </cell>
          <cell r="D589" t="str">
            <v>no</v>
          </cell>
          <cell r="E589" t="str">
            <v>24171200000</v>
          </cell>
          <cell r="F589" t="str">
            <v>F0737</v>
          </cell>
          <cell r="G589" t="str">
            <v>Rental Exp Nonutility MGE</v>
          </cell>
          <cell r="H589" t="str">
            <v>Nonutility Oper Exp-Gillis MGE</v>
          </cell>
          <cell r="I589" t="str">
            <v>open</v>
          </cell>
          <cell r="J589" t="str">
            <v>Nonutility Oper Exp-Gillis MGE</v>
          </cell>
          <cell r="P589" t="str">
            <v>Expense Only</v>
          </cell>
          <cell r="Q589">
            <v>15949.07</v>
          </cell>
          <cell r="R589">
            <v>0</v>
          </cell>
        </row>
        <row r="590">
          <cell r="A590" t="str">
            <v>004830</v>
          </cell>
          <cell r="B590" t="str">
            <v>LDC 2</v>
          </cell>
          <cell r="D590" t="str">
            <v>no</v>
          </cell>
          <cell r="E590" t="str">
            <v>21650300000</v>
          </cell>
          <cell r="F590" t="str">
            <v>F0736</v>
          </cell>
          <cell r="G590" t="str">
            <v>Prepayments MGE</v>
          </cell>
          <cell r="H590" t="str">
            <v>Prepayments - Postage MGE</v>
          </cell>
          <cell r="I590" t="str">
            <v>open</v>
          </cell>
          <cell r="J590" t="str">
            <v>Prepayments - Postage MGE</v>
          </cell>
          <cell r="P590" t="str">
            <v>Expense Only</v>
          </cell>
          <cell r="Q590">
            <v>4150012.94</v>
          </cell>
          <cell r="R590">
            <v>0</v>
          </cell>
        </row>
        <row r="591">
          <cell r="A591" t="str">
            <v>800957</v>
          </cell>
          <cell r="B591" t="str">
            <v>LDC 2</v>
          </cell>
          <cell r="C591" t="str">
            <v>09 - Facility Relocation due to Civic Improvement</v>
          </cell>
          <cell r="D591" t="str">
            <v>yes</v>
          </cell>
          <cell r="F591" t="str">
            <v>F0664</v>
          </cell>
          <cell r="G591" t="str">
            <v>Street &amp; Hwy Relocates ISRS (SW)</v>
          </cell>
          <cell r="H591" t="str">
            <v>Reloc 1782F 2-4P 27th-31st Phase 1</v>
          </cell>
          <cell r="I591" t="str">
            <v>open</v>
          </cell>
          <cell r="J591" t="str">
            <v>Install 1,495 Ft of 2 in PL LP main and 287 Ft of 4 in PL LP main on Main St, 29th St and 30th St.</v>
          </cell>
          <cell r="K591" t="str">
            <v>Abandon 1,369 Ft of 2 in ST LP main, 36 Ft of 2in PL LP main and 273 Ft of 4 in PL LP main at the above locations.  Total Service Tie-over = 25.  Main being relocated due to Civic Improvements.</v>
          </cell>
          <cell r="P591" t="str">
            <v>0501-044001  JASPER CTY/JOPLIN</v>
          </cell>
          <cell r="Q591">
            <v>114447.81</v>
          </cell>
          <cell r="R591">
            <v>-4679.5</v>
          </cell>
        </row>
        <row r="592">
          <cell r="A592" t="str">
            <v>800950</v>
          </cell>
          <cell r="B592" t="str">
            <v>LDC 2</v>
          </cell>
          <cell r="C592" t="str">
            <v>09 - Facility Relocation due to Civic Improvement</v>
          </cell>
          <cell r="D592" t="str">
            <v>yes</v>
          </cell>
          <cell r="F592" t="str">
            <v>F0664</v>
          </cell>
          <cell r="G592" t="str">
            <v>Street &amp; Hwy Relocates ISRS (SW)</v>
          </cell>
          <cell r="H592" t="str">
            <v>Reloc 1170F 2-4P 4th &amp; School Ph 1</v>
          </cell>
          <cell r="I592" t="str">
            <v>open</v>
          </cell>
          <cell r="J592" t="str">
            <v>Install 1043 Ft of 2 in PL LP, 37 Ft of 4 in PL LP and 90 Ft of 4 in PL IP main near  Central St, Commingo Ave, 2nd St, and Jasper St in Joplin, MO.</v>
          </cell>
          <cell r="K592" t="str">
            <v>Abandon 927 Ft of 2 in ST LP, 126 Ft of 3 in ST LP, 313 Ft of PL LP and 90 Ft of 4 in PL IP main at the above locations.  Total Service Tie-Overs = 17.  Main being replaced due to planned Public Improvements.</v>
          </cell>
          <cell r="P592" t="str">
            <v>0501-044001  JASPER CTY/JOPLIN</v>
          </cell>
          <cell r="Q592">
            <v>5018.22</v>
          </cell>
          <cell r="R592">
            <v>-2681</v>
          </cell>
        </row>
        <row r="593">
          <cell r="A593" t="str">
            <v>800409</v>
          </cell>
          <cell r="B593" t="str">
            <v>LDC 2</v>
          </cell>
          <cell r="C593" t="str">
            <v>07 - Cast Iron or Bare Steel Replacement - Corrosion</v>
          </cell>
          <cell r="D593" t="str">
            <v>yes</v>
          </cell>
          <cell r="F593" t="str">
            <v>F0572</v>
          </cell>
          <cell r="G593" t="str">
            <v>Main Replacement - ISRS (SW)</v>
          </cell>
          <cell r="H593" t="str">
            <v>Repl w 2470F 2P Mina Ave &amp; A St</v>
          </cell>
          <cell r="I593" t="str">
            <v>open</v>
          </cell>
          <cell r="J593" t="str">
            <v>Install ~2470 Ft of 2 In PL LP Main at Mina Ave &amp; A St.</v>
          </cell>
          <cell r="K593" t="str">
            <v>Abandon~2425 Ft of 2 In ST LP Main at above locations. Replacement due to CP 15-070 and bare steel. Total Service Tie-Overs = 26.</v>
          </cell>
          <cell r="P593" t="str">
            <v>0501-044001  JASPER CTY/JOPLIN</v>
          </cell>
          <cell r="Q593">
            <v>71988.98</v>
          </cell>
          <cell r="R593">
            <v>-5001.5</v>
          </cell>
        </row>
        <row r="594">
          <cell r="A594" t="str">
            <v>800934</v>
          </cell>
          <cell r="B594" t="str">
            <v>LDC 2</v>
          </cell>
          <cell r="D594" t="str">
            <v>no</v>
          </cell>
          <cell r="F594" t="str">
            <v>F0523</v>
          </cell>
          <cell r="G594" t="str">
            <v>New Main Extensions (SW)</v>
          </cell>
          <cell r="H594" t="str">
            <v>Install 750F 2P Joplin Public Cntr</v>
          </cell>
          <cell r="I594" t="str">
            <v>in service</v>
          </cell>
          <cell r="J594" t="str">
            <v>Install ~ 750 Ft of 2 in PL MP Main in easement S of Hwy 171, W of Swede Ln for new service in Joplin MO.</v>
          </cell>
          <cell r="K594" t="str">
            <v>Total load for service is 1898 CFH.</v>
          </cell>
          <cell r="L594">
            <v>42769</v>
          </cell>
          <cell r="P594" t="str">
            <v>0501-044001  JASPER CTY/JOPLIN</v>
          </cell>
          <cell r="Q594">
            <v>7277.07</v>
          </cell>
          <cell r="R594">
            <v>-3993</v>
          </cell>
        </row>
        <row r="595">
          <cell r="A595" t="str">
            <v>007937</v>
          </cell>
          <cell r="B595" t="str">
            <v>LDC 2</v>
          </cell>
          <cell r="D595" t="str">
            <v>no</v>
          </cell>
          <cell r="E595" t="str">
            <v>20501155242</v>
          </cell>
          <cell r="F595" t="str">
            <v>F0664</v>
          </cell>
          <cell r="G595" t="str">
            <v>Street &amp; Hwy Relocates ISRS (SW)</v>
          </cell>
          <cell r="H595" t="str">
            <v>Relocate 2in &amp;4in PE due to Storm</v>
          </cell>
          <cell r="I595" t="str">
            <v>cancelled</v>
          </cell>
          <cell r="J595" t="str">
            <v>Relocate 2in and 4in PE due to Storm Improvements: Joplin: Relocate for Street &amp; Highway-Public Improvements (44-388) CANCEL PER JON HARRELL 9-23-16</v>
          </cell>
          <cell r="K595" t="str">
            <v>Approved by: Michael Fornelli on 03/25/2015,  Abandon 68' - 2" PE (WO#'s: 11-7800, 11-7932, 11-8149) and 35' - 4" PE (WO#'s: 11-7800, 11-7987) and relocate with 98' - 2" PE and 63' - 4" PE due to conflicts with proposed storm water improvements along 16th St. Project Location: 16th and Highview; Pressure System: C-1; MOP: 58 psig; MAOP: 58 psig; Design: 58 psig; Test: 100 psig; ISRS $65.08/ft</v>
          </cell>
          <cell r="N595">
            <v>42638.486643518503</v>
          </cell>
          <cell r="P595" t="str">
            <v>0501-044001  JASPER CTY/JOPLIN</v>
          </cell>
          <cell r="Q595">
            <v>0</v>
          </cell>
          <cell r="R595">
            <v>-711</v>
          </cell>
        </row>
        <row r="596">
          <cell r="A596" t="str">
            <v>007250</v>
          </cell>
          <cell r="B596" t="str">
            <v>LDC 2</v>
          </cell>
          <cell r="D596" t="str">
            <v>no</v>
          </cell>
          <cell r="E596" t="str">
            <v>20501144055</v>
          </cell>
          <cell r="F596" t="str">
            <v>F0485</v>
          </cell>
          <cell r="G596" t="str">
            <v>Tools, Instruments &amp; Equipment (SW)</v>
          </cell>
          <cell r="H596" t="str">
            <v>Tools Purchase 10in PE Equipment</v>
          </cell>
          <cell r="I596" t="str">
            <v>posted to CPR</v>
          </cell>
          <cell r="J596" t="str">
            <v>Tools Purchase 10in PE Equipment : Joplin: Purchase Tools, Instruments &amp; Equipment  3940 (37-366)</v>
          </cell>
          <cell r="K596" t="str">
            <v>Approved by: Galen Shoemaker on 12/22/2014,  Purchase one (1) Large Diameter Pipe Scraper, one (1) Top Load Clamp Assembly Kit, and one (1) Mega-Clamp Kit from Central Plastics for Joplin C&amp;M to enable work on existing 10" PE main in Joplin. This equipment will also enable work on other large diameter pipe in the Joplin Division.</v>
          </cell>
          <cell r="L596">
            <v>42017</v>
          </cell>
          <cell r="M596">
            <v>42063</v>
          </cell>
          <cell r="N596">
            <v>42067.763564814799</v>
          </cell>
          <cell r="O596">
            <v>42005</v>
          </cell>
          <cell r="P596" t="str">
            <v>0501-044001  JASPER CTY/JOPLIN</v>
          </cell>
          <cell r="Q596">
            <v>4539.92</v>
          </cell>
          <cell r="R596">
            <v>3</v>
          </cell>
        </row>
        <row r="597">
          <cell r="A597" t="str">
            <v>006513</v>
          </cell>
          <cell r="B597" t="str">
            <v>LDC 2</v>
          </cell>
          <cell r="D597" t="str">
            <v>yes</v>
          </cell>
          <cell r="E597" t="str">
            <v>20501143824</v>
          </cell>
          <cell r="F597" t="str">
            <v>F0575</v>
          </cell>
          <cell r="G597" t="str">
            <v>Replace steel &amp; plastic main</v>
          </cell>
          <cell r="H597" t="str">
            <v>Repl 12ft of 6in PE due to 3rd Part</v>
          </cell>
          <cell r="I597" t="str">
            <v>posted to CPR</v>
          </cell>
          <cell r="J597" t="str">
            <v>Repl 12ft of 6in PE due to 3rd Party Damage: Joplin: Replace Coated Steel &amp; Plastic Main - 3760 (34-396)</v>
          </cell>
          <cell r="K597" t="str">
            <v>Approved by: Galen Shoemaker on 09/22/2014,  3rd Party Contractor (Branco Construction) pulled an existing 6"x2" high volume tee off of the top of existing 6" PE main. The main was marked accurately and Branco did not hand dig around the locates. Being a one way feed to some industrial customers and two district regulator stations we had to run 132' of 2" PE bypass to keep everyone in gas. Branco will be charged for the damage. We replaced 12' - 6" PE (WO#'s: 00-0811, 11-7333) with 12' - 6" pretested PE. Project Location: 13th (Junge) and Maiden Ln; Pressure System: C-1; MOP: 58 psig; MAOP: 58 psig; Design: 58 psig; Test: 100 psig;</v>
          </cell>
          <cell r="L597">
            <v>41877</v>
          </cell>
          <cell r="M597">
            <v>42063</v>
          </cell>
          <cell r="N597">
            <v>42223.688032407401</v>
          </cell>
          <cell r="O597">
            <v>42005</v>
          </cell>
          <cell r="P597" t="str">
            <v>0501-044001  JASPER CTY/JOPLIN</v>
          </cell>
          <cell r="Q597">
            <v>4287.2</v>
          </cell>
          <cell r="R597">
            <v>-133</v>
          </cell>
        </row>
        <row r="598">
          <cell r="A598" t="str">
            <v>005175</v>
          </cell>
          <cell r="B598" t="str">
            <v>LDC 2</v>
          </cell>
          <cell r="D598" t="str">
            <v>no</v>
          </cell>
          <cell r="E598" t="str">
            <v>20501143548</v>
          </cell>
          <cell r="F598" t="str">
            <v>F0639</v>
          </cell>
          <cell r="G598" t="str">
            <v>EGM Equip-1st Time Installation</v>
          </cell>
          <cell r="H598" t="str">
            <v>EGM - Dominium Mgmt - Joplin Leased</v>
          </cell>
          <cell r="I598" t="str">
            <v>in service</v>
          </cell>
          <cell r="J598" t="str">
            <v>EGM - Dominium Mgmt - Joplin Leased Housing: Joplin: Install EGM Equipment - First Time Installation  3850 (32-403)</v>
          </cell>
          <cell r="K598" t="str">
            <v>Approved by: Rob Kitterman on 05/01/2014,  Install Mercury MiniMax-AT-PT w/ Messenger Modem S/N: 13038771 on American AL5000 meter no 05342461 to monitor daily gas usage of this transportation customer. Customer will reimburse company actual cost for EGM installation not to exceed $5,445.00, which should be coded to account 1072. ATTENTION: Plant &amp; Property Accounting, EGM work order, turn off A&amp;G indicator.</v>
          </cell>
          <cell r="L598">
            <v>42443</v>
          </cell>
          <cell r="O598">
            <v>42430</v>
          </cell>
          <cell r="P598" t="str">
            <v>0501-044001  JASPER CTY/JOPLIN</v>
          </cell>
          <cell r="Q598">
            <v>2629.16</v>
          </cell>
          <cell r="R598">
            <v>8</v>
          </cell>
        </row>
        <row r="599">
          <cell r="A599" t="str">
            <v>004553</v>
          </cell>
          <cell r="B599" t="str">
            <v>LDC 2</v>
          </cell>
          <cell r="D599" t="str">
            <v>no</v>
          </cell>
          <cell r="E599" t="str">
            <v>20501133117</v>
          </cell>
          <cell r="F599" t="str">
            <v>F0677</v>
          </cell>
          <cell r="G599" t="str">
            <v>New business</v>
          </cell>
          <cell r="H599" t="str">
            <v>7th &amp; New Hampshire Lay 380'-4in PE</v>
          </cell>
          <cell r="I599" t="str">
            <v>posted to CPR</v>
          </cell>
          <cell r="J599" t="str">
            <v>7th &amp; New Hampshire Lay 380'-4in PE main: Joplin: 7th and New Hampshire Walmart</v>
          </cell>
          <cell r="K599" t="str">
            <v>Approved by: Galen Shoemaker on 10/28/2013,  Install 380' - 4" PE to provide service to new Walmart Neighborhood Market. Building could be served off of 7th St., but Company elects to lay new main and provide service off of 8th St. due to multiple conflicts with onsite utilities, storm sewer, and parking lot that would create a long winding service line. This work will also loop the C-2 (1.50#) system. Project Location: 8th and Vermont; Pressure System: C-2; MOP: 1.50 psig; MAOP: 1.50 psig; Design: 58 psig; Test; 100 psig; $40.83/ft</v>
          </cell>
          <cell r="L599">
            <v>41634</v>
          </cell>
          <cell r="M599">
            <v>41717</v>
          </cell>
          <cell r="N599">
            <v>41719.593113425901</v>
          </cell>
          <cell r="O599">
            <v>41730</v>
          </cell>
          <cell r="P599" t="str">
            <v>0501-044001  JASPER CTY/JOPLIN</v>
          </cell>
          <cell r="Q599">
            <v>16790.05</v>
          </cell>
          <cell r="R599">
            <v>1420</v>
          </cell>
        </row>
        <row r="600">
          <cell r="A600" t="str">
            <v>004498</v>
          </cell>
          <cell r="B600" t="str">
            <v>LDC 2</v>
          </cell>
          <cell r="D600" t="str">
            <v>yes</v>
          </cell>
          <cell r="E600" t="str">
            <v>20501050363</v>
          </cell>
          <cell r="F600" t="str">
            <v>F0596</v>
          </cell>
          <cell r="G600" t="str">
            <v>SLRP - meter &amp; regulator replacemen</v>
          </cell>
          <cell r="H600" t="str">
            <v>BWO SLRP MTR/REG REPL COMPANY</v>
          </cell>
          <cell r="I600" t="str">
            <v>open</v>
          </cell>
          <cell r="J600" t="str">
            <v>BWO SLRP MTR/REG REPL COMPANY</v>
          </cell>
          <cell r="K600" t="str">
            <v>Service/Yard Line Replacement (SLRP): Company Crew.  Rebuild meter/regulator setting (exclude regulator) (Joplin - South Region).</v>
          </cell>
          <cell r="O600">
            <v>41730</v>
          </cell>
          <cell r="P600" t="str">
            <v>0501-044001  JASPER CTY/JOPLIN</v>
          </cell>
          <cell r="Q600">
            <v>7675.53</v>
          </cell>
          <cell r="R600">
            <v>-2756</v>
          </cell>
        </row>
        <row r="601">
          <cell r="A601" t="str">
            <v>010374</v>
          </cell>
          <cell r="B601" t="str">
            <v>LDC 2</v>
          </cell>
          <cell r="D601" t="str">
            <v>no</v>
          </cell>
          <cell r="F601" t="str">
            <v>F1152</v>
          </cell>
          <cell r="G601" t="str">
            <v>Vehicle Purchases - MGE</v>
          </cell>
          <cell r="H601" t="str">
            <v>Retire 1 Jeep, 8 Pickups,1 crew</v>
          </cell>
          <cell r="I601" t="str">
            <v>posted to CPR</v>
          </cell>
          <cell r="J601" t="str">
            <v>Retire MGE Units, 12858,12472,12571,12580,12575,12653,12515,12610,12132, and 21233</v>
          </cell>
          <cell r="L601">
            <v>42521</v>
          </cell>
          <cell r="M601">
            <v>42521</v>
          </cell>
          <cell r="N601">
            <v>42620.420150462996</v>
          </cell>
          <cell r="P601" t="str">
            <v>0101-043050  JACKSON CTY/KC</v>
          </cell>
          <cell r="Q601">
            <v>126757.55</v>
          </cell>
          <cell r="R601">
            <v>15</v>
          </cell>
        </row>
        <row r="602">
          <cell r="A602" t="str">
            <v>800428</v>
          </cell>
          <cell r="B602" t="str">
            <v>LDC 2</v>
          </cell>
          <cell r="C602" t="str">
            <v>03 - Bare Steel Replacement</v>
          </cell>
          <cell r="D602" t="str">
            <v>yes</v>
          </cell>
          <cell r="F602" t="str">
            <v>F0604</v>
          </cell>
          <cell r="G602" t="str">
            <v>Main Replacement - ISRS (S)</v>
          </cell>
          <cell r="H602" t="str">
            <v>Aber and MorrelRepl Bare Steel Main</v>
          </cell>
          <cell r="I602" t="str">
            <v>completed</v>
          </cell>
          <cell r="J602" t="str">
            <v>Replace and abandon 2,339ft of 4in bare steel main - 1925 vintage by installing 2,380ft of 2in plastic main at Aber and Morrell, in Independence</v>
          </cell>
          <cell r="L602">
            <v>42551</v>
          </cell>
          <cell r="M602">
            <v>42704</v>
          </cell>
          <cell r="O602">
            <v>42522</v>
          </cell>
          <cell r="P602" t="str">
            <v>0201-043001  JACKSON CTY/INDEPENDENCE</v>
          </cell>
          <cell r="Q602">
            <v>257589.02</v>
          </cell>
          <cell r="R602">
            <v>79.5</v>
          </cell>
        </row>
        <row r="603">
          <cell r="A603" t="str">
            <v>005918</v>
          </cell>
          <cell r="B603" t="str">
            <v>LDC 2</v>
          </cell>
          <cell r="D603" t="str">
            <v>yes</v>
          </cell>
          <cell r="E603" t="str">
            <v>20201143567</v>
          </cell>
          <cell r="F603" t="str">
            <v>F0600</v>
          </cell>
          <cell r="G603" t="str">
            <v>Station Rebuild &amp; Repl ISRS (N)</v>
          </cell>
          <cell r="H603" t="str">
            <v>Retire DRS 33 at 36th Terr and Blue</v>
          </cell>
          <cell r="I603" t="str">
            <v>posted to CPR</v>
          </cell>
          <cell r="J603" t="str">
            <v>Retire DRS 33 at 36th Terr and Blue Ridge Blvd: Independence: Rebuild District/TB Stations  3780/3790 (45-387)</v>
          </cell>
          <cell r="K603" t="str">
            <v>Approved by: Ralph Janes on 08/06/2014,  Remove and retire DRS 33 (WO# 90-0685) as it will not be needed after the completion of WO# 14-3515. The 2 - 2in Rockwell 461-S regulators will be junked.</v>
          </cell>
          <cell r="L603">
            <v>42055</v>
          </cell>
          <cell r="M603">
            <v>42094</v>
          </cell>
          <cell r="N603">
            <v>42193.494895833297</v>
          </cell>
          <cell r="O603">
            <v>42156</v>
          </cell>
          <cell r="P603" t="str">
            <v>0201-043001  JACKSON CTY/INDEPENDENCE</v>
          </cell>
          <cell r="Q603">
            <v>5662.35</v>
          </cell>
          <cell r="R603">
            <v>11</v>
          </cell>
        </row>
        <row r="604">
          <cell r="A604" t="str">
            <v>004057</v>
          </cell>
          <cell r="B604" t="str">
            <v>LDC 2</v>
          </cell>
          <cell r="D604" t="str">
            <v>no</v>
          </cell>
          <cell r="E604" t="str">
            <v>20201132880</v>
          </cell>
          <cell r="F604" t="str">
            <v>F0507</v>
          </cell>
          <cell r="G604" t="str">
            <v>Rebuild Meter Install 2'' &amp; Lg (S)</v>
          </cell>
          <cell r="H604" t="str">
            <v>Remove 3M Rotary Meter Setting</v>
          </cell>
          <cell r="I604" t="str">
            <v>posted to CPR</v>
          </cell>
          <cell r="J604" t="str">
            <v>Remove 3M Rotary Meter Setting: Independence: 11220 Hwy 24</v>
          </cell>
          <cell r="K604" t="str">
            <v>Approved by: Ralph Janes on 08/13/2013,  Remove and dismantle the 3M rotary meter setting (meter #01022679, installed on WO# 79-0495) due to inactivity.</v>
          </cell>
          <cell r="L604">
            <v>41513</v>
          </cell>
          <cell r="M604">
            <v>41575</v>
          </cell>
          <cell r="N604">
            <v>41576.418587963002</v>
          </cell>
          <cell r="P604" t="str">
            <v>0201-043001  JACKSON CTY/INDEPENDENCE</v>
          </cell>
          <cell r="Q604">
            <v>431.89</v>
          </cell>
          <cell r="R604">
            <v>5</v>
          </cell>
        </row>
        <row r="605">
          <cell r="A605" t="str">
            <v>004438</v>
          </cell>
          <cell r="B605" t="str">
            <v>LDC 2</v>
          </cell>
          <cell r="D605" t="str">
            <v>no</v>
          </cell>
          <cell r="E605" t="str">
            <v>20201143341</v>
          </cell>
          <cell r="F605" t="str">
            <v>F0507</v>
          </cell>
          <cell r="G605" t="str">
            <v>Rebuild Meter Install 2'' &amp; Lg (S)</v>
          </cell>
          <cell r="H605" t="str">
            <v>Laundromat 3M Rotary Meter Set</v>
          </cell>
          <cell r="I605" t="str">
            <v>posted to CPR</v>
          </cell>
          <cell r="J605" t="str">
            <v>Laundromat 3M Rotary Meter Set: Independence: 10215 E Truman</v>
          </cell>
          <cell r="K605" t="str">
            <v>Approved by: Ralph Janes on 02/04/2014,  A laundromat is going into existing building at Truman and Ash - 10215 E Truman. Premise 12407. The existing meter is 03700969 - a RK 275. There are three existing furnaces, one new large water heater, and 23 new dryers for a new total load of 3,434 cfh. New gas piping has been sized for load of 3,268 cfh at 7" wc. Build a 3M rotary meter set for this new load. Customer paid $1889 invoiced amount, received 2/25/2014.</v>
          </cell>
          <cell r="L605">
            <v>41697</v>
          </cell>
          <cell r="M605">
            <v>41729</v>
          </cell>
          <cell r="N605">
            <v>41733.495613425897</v>
          </cell>
          <cell r="P605" t="str">
            <v>0201-043001  JACKSON CTY/INDEPENDENCE</v>
          </cell>
          <cell r="Q605">
            <v>2057.9499999999998</v>
          </cell>
          <cell r="R605">
            <v>79</v>
          </cell>
        </row>
        <row r="606">
          <cell r="A606" t="str">
            <v>004280</v>
          </cell>
          <cell r="B606" t="str">
            <v>LDC 2</v>
          </cell>
          <cell r="D606" t="str">
            <v>yes</v>
          </cell>
          <cell r="E606" t="str">
            <v>20201050361</v>
          </cell>
          <cell r="F606" t="str">
            <v>F0515</v>
          </cell>
          <cell r="G606" t="str">
            <v>SLRP - modified block by block - co</v>
          </cell>
          <cell r="H606" t="str">
            <v>BWO SERVICE REPL MODIFIED BLOCK COM</v>
          </cell>
          <cell r="I606" t="str">
            <v>posted to CPR</v>
          </cell>
          <cell r="J606" t="str">
            <v>BWO SERVICE REPL MODIFIED BLOCK COMP-SLRP</v>
          </cell>
          <cell r="K606" t="str">
            <v>Project Type:B</v>
          </cell>
          <cell r="L606">
            <v>41717</v>
          </cell>
          <cell r="M606">
            <v>41717</v>
          </cell>
          <cell r="N606">
            <v>41717</v>
          </cell>
          <cell r="P606" t="str">
            <v>0201-043001  JACKSON CTY/INDEPENDENCE</v>
          </cell>
          <cell r="Q606">
            <v>1766.79</v>
          </cell>
          <cell r="R606">
            <v>16.7</v>
          </cell>
        </row>
        <row r="607">
          <cell r="A607" t="str">
            <v>010419</v>
          </cell>
          <cell r="B607" t="str">
            <v>LDC 2</v>
          </cell>
          <cell r="D607" t="str">
            <v>no</v>
          </cell>
          <cell r="F607" t="str">
            <v>F1071</v>
          </cell>
          <cell r="G607" t="str">
            <v>MGE Misc Capital</v>
          </cell>
          <cell r="H607" t="str">
            <v>Warrensburg- Ventilation/Water Htr</v>
          </cell>
          <cell r="I607" t="str">
            <v>in service</v>
          </cell>
          <cell r="J607" t="str">
            <v>IT Room ventilation system, including electrical, and Rinnai Tankless water heater with scale sheild, at the Warrensburg facility. 1530 Corporate Drive, Warrensburg, MO 64093</v>
          </cell>
          <cell r="L607">
            <v>42490</v>
          </cell>
          <cell r="O607">
            <v>42522</v>
          </cell>
          <cell r="P607" t="str">
            <v>0301-046001  JOHNSON CTY/WARRENSBURG</v>
          </cell>
          <cell r="Q607">
            <v>7256.11</v>
          </cell>
          <cell r="R607">
            <v>6750</v>
          </cell>
        </row>
        <row r="608">
          <cell r="A608" t="str">
            <v>004491</v>
          </cell>
          <cell r="B608" t="str">
            <v>LDC 2</v>
          </cell>
          <cell r="D608" t="str">
            <v>no</v>
          </cell>
          <cell r="E608" t="str">
            <v>20307143260</v>
          </cell>
          <cell r="F608" t="str">
            <v>F0507</v>
          </cell>
          <cell r="G608" t="str">
            <v>Rebuild Meter Install 2'' &amp; Lg (S)</v>
          </cell>
          <cell r="H608" t="str">
            <v>101 NE Davis Rebuild 3M mtr set</v>
          </cell>
          <cell r="I608" t="str">
            <v>posted to CPR</v>
          </cell>
          <cell r="J608" t="str">
            <v>101 NE Davis Rebuild 3M mtr set: Concordia: 101 NE Davis Old World Spices</v>
          </cell>
          <cell r="K608" t="str">
            <v>Approved by: Ralph Janes on 01/10/2014,  Rebuild a 3M rotary meter setting due to a non-registering meter.  The original 16M rotary meter (meter #00142061, original WO# 035676) is also oversized for the existing load.  The total connected load is 3,200 cfh.  It is proposed to rebuild to a 3M rotary set.  The 2 existing 2" Mooney Regulators will be salvaged for future reuse.</v>
          </cell>
          <cell r="L608">
            <v>41711</v>
          </cell>
          <cell r="M608">
            <v>41719</v>
          </cell>
          <cell r="N608">
            <v>41719.593182870398</v>
          </cell>
          <cell r="P608" t="str">
            <v>0307-049001  LAFAYETTE CTY/CONCORDIA</v>
          </cell>
          <cell r="Q608">
            <v>8155.27</v>
          </cell>
          <cell r="R608">
            <v>53</v>
          </cell>
        </row>
        <row r="609">
          <cell r="A609" t="str">
            <v>800855</v>
          </cell>
          <cell r="B609" t="str">
            <v>LDC 2</v>
          </cell>
          <cell r="C609" t="str">
            <v>03 - Bare Steel Replacement</v>
          </cell>
          <cell r="D609" t="str">
            <v>yes</v>
          </cell>
          <cell r="F609" t="str">
            <v>F0604</v>
          </cell>
          <cell r="G609" t="str">
            <v>Main Replacement - ISRS (S)</v>
          </cell>
          <cell r="H609" t="str">
            <v>Repl 8660F 2-4P Carrolton Grid Ph L</v>
          </cell>
          <cell r="I609" t="str">
            <v>open</v>
          </cell>
          <cell r="J609" t="str">
            <v>Install 4649 ft of 2 in PL IP main and 4011 Ft of 4 in PL IP main on W Bolen Ave, E Bolen Ave, S Main St, US HWY 24, Brand St, Stonewall St, Wabash Rd, and S Mason St.</v>
          </cell>
          <cell r="K609" t="str">
            <v>Abandon 10 Ft of 2 in PL IP main, 5 Ft of 4 in PL IP main, 6175 Ft of 2 in ST IP main, and 4791 Ft of 4 ST IP main at the above locations.  Total Service Tie-over = 28; Total Service Abandonments = 12.  This main is being abandoned as part of FY16 Bare Steel Replacement Program.</v>
          </cell>
          <cell r="P609" t="str">
            <v>0312-014001  CARROLL CTY/CARROLLTON</v>
          </cell>
          <cell r="Q609">
            <v>0</v>
          </cell>
          <cell r="R609">
            <v>11111</v>
          </cell>
        </row>
        <row r="610">
          <cell r="A610" t="str">
            <v>011614</v>
          </cell>
          <cell r="B610" t="str">
            <v>LDC 2</v>
          </cell>
          <cell r="D610" t="str">
            <v>no</v>
          </cell>
          <cell r="F610" t="str">
            <v>F0741</v>
          </cell>
          <cell r="G610" t="str">
            <v>New District Regulator Stations (S)</v>
          </cell>
          <cell r="H610" t="str">
            <v>New Tipton Take Point DRS</v>
          </cell>
          <cell r="I610" t="str">
            <v>in service</v>
          </cell>
          <cell r="J610" t="str">
            <v>Install one new takepoint DRS to serve the town of Tipton at 50 psig.  The existing DRS stations in town will be removed on separate work orders.</v>
          </cell>
          <cell r="L610">
            <v>42753</v>
          </cell>
          <cell r="O610">
            <v>42736</v>
          </cell>
          <cell r="P610" t="str">
            <v>0318-062001  MONITEAU CTY/TIPTON</v>
          </cell>
          <cell r="Q610">
            <v>19637.73</v>
          </cell>
          <cell r="R610">
            <v>62.6</v>
          </cell>
        </row>
        <row r="611">
          <cell r="A611" t="str">
            <v>009121</v>
          </cell>
          <cell r="B611" t="str">
            <v>LDC 2</v>
          </cell>
          <cell r="D611" t="str">
            <v>no</v>
          </cell>
          <cell r="F611" t="str">
            <v>F0852</v>
          </cell>
          <cell r="G611" t="str">
            <v>Security equipment - MGE</v>
          </cell>
          <cell r="H611" t="str">
            <v>Security System Conv. Monett</v>
          </cell>
          <cell r="I611" t="str">
            <v>in service</v>
          </cell>
          <cell r="J611" t="str">
            <v>Convert access control system to Genetec/Mercury hardware at Monett</v>
          </cell>
          <cell r="L611">
            <v>42369</v>
          </cell>
          <cell r="O611">
            <v>42522</v>
          </cell>
          <cell r="P611" t="str">
            <v>0801-005001  BARRY CTY/MONETT</v>
          </cell>
          <cell r="Q611">
            <v>13434.11</v>
          </cell>
          <cell r="R611">
            <v>12087</v>
          </cell>
        </row>
        <row r="612">
          <cell r="A612" t="str">
            <v>004348</v>
          </cell>
          <cell r="B612" t="str">
            <v>LDC 2</v>
          </cell>
          <cell r="D612" t="str">
            <v>no</v>
          </cell>
          <cell r="E612" t="str">
            <v>20801143428</v>
          </cell>
          <cell r="F612" t="str">
            <v>F0556</v>
          </cell>
          <cell r="G612" t="str">
            <v>Tools, instruments &amp; equipment</v>
          </cell>
          <cell r="H612" t="str">
            <v>Pur 5 Sensit Gold CGIs</v>
          </cell>
          <cell r="I612" t="str">
            <v>posted to CPR</v>
          </cell>
          <cell r="J612" t="str">
            <v>Pur 5 Sensit Gold CGIs : Monett: 207 Pine</v>
          </cell>
          <cell r="K612" t="str">
            <v>Approved by: Galen Shoemaker on 03/20/2014,  To purchase four Sensit Gold CGI LEL% VOL, CO Model B for $1,519.20 each and one Sensit Gold CGI LEL% VOL, CO &amp; O2, Model E for $1,856.70 all for use in Monett</v>
          </cell>
          <cell r="L612">
            <v>41761</v>
          </cell>
          <cell r="M612">
            <v>41821</v>
          </cell>
          <cell r="N612">
            <v>41858.522442129601</v>
          </cell>
          <cell r="O612">
            <v>41760</v>
          </cell>
          <cell r="P612" t="str">
            <v>0801-005001  BARRY CTY/MONETT</v>
          </cell>
          <cell r="Q612">
            <v>8296.4500000000007</v>
          </cell>
          <cell r="R612">
            <v>5</v>
          </cell>
        </row>
        <row r="613">
          <cell r="A613" t="str">
            <v>004544</v>
          </cell>
          <cell r="B613" t="str">
            <v>LDC 2</v>
          </cell>
          <cell r="D613" t="str">
            <v>yes</v>
          </cell>
          <cell r="E613" t="str">
            <v>20802132900</v>
          </cell>
          <cell r="F613" t="str">
            <v>F0598</v>
          </cell>
          <cell r="G613" t="str">
            <v>Replace steel &amp; plastic main</v>
          </cell>
          <cell r="H613" t="str">
            <v>Elm St Retire 508'- 2in Plastic Mai</v>
          </cell>
          <cell r="I613" t="str">
            <v>posted to CPR</v>
          </cell>
          <cell r="J613" t="str">
            <v>Elm St Retire 508'- 2in Plastic Main: Pierce City: Elm St Morrow Trlr Park S of Front St</v>
          </cell>
          <cell r="K613" t="str">
            <v>Approved by: Galen Shoemaker on 08/29/2013,  To retire 508ft of 2in Plastic Main from WO 73-5283 to Morrow Trailer Park which is no longer in use. MOP=30# MAOP=31# SYSTEM=S-6</v>
          </cell>
          <cell r="L613">
            <v>41611</v>
          </cell>
          <cell r="M613">
            <v>41654</v>
          </cell>
          <cell r="N613">
            <v>41654.604120370401</v>
          </cell>
          <cell r="P613" t="str">
            <v>0802-050010  LAWRENCE CTY/PIERCE</v>
          </cell>
          <cell r="Q613">
            <v>2412.0500000000002</v>
          </cell>
          <cell r="R613">
            <v>526</v>
          </cell>
        </row>
        <row r="614">
          <cell r="A614" t="str">
            <v>800291</v>
          </cell>
          <cell r="B614" t="str">
            <v>LDC 2</v>
          </cell>
          <cell r="D614" t="str">
            <v>no</v>
          </cell>
          <cell r="F614" t="str">
            <v>F0664</v>
          </cell>
          <cell r="G614" t="str">
            <v>Street &amp; Hwy Relocates ISRS (SW)</v>
          </cell>
          <cell r="H614" t="str">
            <v>230ft Main Relocation-Carnation CJ</v>
          </cell>
          <cell r="I614" t="str">
            <v>posted to CPR</v>
          </cell>
          <cell r="J614" t="str">
            <v>230ft of 2in PL Main Relocation to accommodate new storage buildings. Landowner has asked us to abandon 120ft of existing 2in main to allow them to expand their proposed building. Reimbursable.</v>
          </cell>
          <cell r="K614" t="str">
            <v>The existing main along Trailer Park Road will now be fed from the south at the intersection of Carnation and Trailer Park. Town Code:0808 Sector: D1414 Region: South System: S-0009 MOP: 42 psig MAOP: 45 psig Design: 66 psig Test: 100 psig - $8,699.56 ($37.82/ft) Customer has agreed to reimburse company.</v>
          </cell>
          <cell r="L614">
            <v>42551</v>
          </cell>
          <cell r="M614">
            <v>42674</v>
          </cell>
          <cell r="N614">
            <v>42742.625277777799</v>
          </cell>
          <cell r="O614">
            <v>42522</v>
          </cell>
          <cell r="P614" t="str">
            <v>0809-050003  LAWRENCE CTY/AURORA</v>
          </cell>
          <cell r="Q614">
            <v>2082.0500000000002</v>
          </cell>
          <cell r="R614">
            <v>-314</v>
          </cell>
        </row>
        <row r="615">
          <cell r="A615" t="str">
            <v>800388</v>
          </cell>
          <cell r="B615" t="str">
            <v>LDC 2</v>
          </cell>
          <cell r="C615" t="str">
            <v>08 - Cast Iron or Bare Steel Replacement - Leaks</v>
          </cell>
          <cell r="D615" t="str">
            <v>yes</v>
          </cell>
          <cell r="F615" t="str">
            <v>F0572</v>
          </cell>
          <cell r="G615" t="str">
            <v>Main Replacement - ISRS (SW)</v>
          </cell>
          <cell r="H615" t="str">
            <v>Repl w/ 800F 2P Carnation Dr</v>
          </cell>
          <cell r="I615" t="str">
            <v>posted to CPR</v>
          </cell>
          <cell r="J615" t="str">
            <v>Install 800 Ft of 2 in PL IP main on Carnation Dr. Abandon 778 Ft of 2 in ST IP Main at the above location.</v>
          </cell>
          <cell r="K615" t="str">
            <v>This main is being abandoned as part of FY16 Bare Steel Replacement Program and will clear class 3 leak at 507 Carnation.</v>
          </cell>
          <cell r="L615">
            <v>42551</v>
          </cell>
          <cell r="M615">
            <v>42643</v>
          </cell>
          <cell r="N615">
            <v>42742.625300925902</v>
          </cell>
          <cell r="O615">
            <v>42522</v>
          </cell>
          <cell r="P615" t="str">
            <v>0809-050003  LAWRENCE CTY/AURORA</v>
          </cell>
          <cell r="Q615">
            <v>32755.75</v>
          </cell>
          <cell r="R615">
            <v>-284</v>
          </cell>
        </row>
        <row r="616">
          <cell r="A616" t="str">
            <v>800841</v>
          </cell>
          <cell r="B616" t="str">
            <v>LDC 2</v>
          </cell>
          <cell r="D616" t="str">
            <v>no</v>
          </cell>
          <cell r="F616" t="str">
            <v>F0523</v>
          </cell>
          <cell r="G616" t="str">
            <v>New Main Extensions (SW)</v>
          </cell>
          <cell r="H616" t="str">
            <v>Install 935F 2P Kings Mead Cir</v>
          </cell>
          <cell r="I616" t="str">
            <v>in service</v>
          </cell>
          <cell r="J616" t="str">
            <v>Install ~ 935 Ft of 2 in PL IP Main on Kings Mead Cir W of Old Castle Rd in Nixa MO.</v>
          </cell>
          <cell r="K616" t="str">
            <v>48 units at 250 CFH for a total load of 12,000 CFH</v>
          </cell>
          <cell r="L616">
            <v>42695</v>
          </cell>
          <cell r="O616">
            <v>42705</v>
          </cell>
          <cell r="P616" t="str">
            <v>0816-019004  CHRISTIAN CTY/NIXA</v>
          </cell>
          <cell r="Q616">
            <v>12185.27</v>
          </cell>
          <cell r="R616">
            <v>-2004.75</v>
          </cell>
        </row>
        <row r="617">
          <cell r="A617" t="str">
            <v>004571</v>
          </cell>
          <cell r="B617" t="str">
            <v>LDC 2</v>
          </cell>
          <cell r="D617" t="str">
            <v>no</v>
          </cell>
          <cell r="E617" t="str">
            <v>20902132892</v>
          </cell>
          <cell r="F617" t="str">
            <v>F0672</v>
          </cell>
          <cell r="G617" t="str">
            <v>Main Repl - Sys Reinforcement (S)</v>
          </cell>
          <cell r="H617" t="str">
            <v>83rd &amp; Raytown Rd Tie 2in PE</v>
          </cell>
          <cell r="I617" t="str">
            <v>posted to CPR</v>
          </cell>
          <cell r="J617" t="str">
            <v>83rd &amp; Raytown Rd Tie 2in PE: Raytown: 83rd and Raytown Rd</v>
          </cell>
          <cell r="K617" t="str">
            <v>Approved by: Ralph Janes on 08/13/2013,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90' of 2&amp;quot; PE main and retire 82' of 2&amp;quot; PCS (WO# 82-0411) and 5' of 2&amp;quot; PE (WO# 82-0412). DRS 23 to be retired on WO# 13-2893.</v>
          </cell>
          <cell r="L617">
            <v>41597</v>
          </cell>
          <cell r="M617">
            <v>41654</v>
          </cell>
          <cell r="N617">
            <v>41676.633368055598</v>
          </cell>
          <cell r="O617">
            <v>41730</v>
          </cell>
          <cell r="P617" t="str">
            <v>0902-043025  JACKSON CTY/RAYTOWN</v>
          </cell>
          <cell r="Q617">
            <v>15523.9</v>
          </cell>
          <cell r="R617">
            <v>1213</v>
          </cell>
        </row>
        <row r="618">
          <cell r="A618" t="str">
            <v>006428</v>
          </cell>
          <cell r="B618" t="str">
            <v>LDC 2</v>
          </cell>
          <cell r="D618" t="str">
            <v>no</v>
          </cell>
          <cell r="E618" t="str">
            <v>20821143762</v>
          </cell>
          <cell r="F618" t="str">
            <v>F0523</v>
          </cell>
          <cell r="G618" t="str">
            <v>New Main Extensions (SW)</v>
          </cell>
          <cell r="H618" t="str">
            <v>Lay 265 ft 2in Plastic Main</v>
          </cell>
          <cell r="I618" t="str">
            <v>posted to CPR</v>
          </cell>
          <cell r="J618" t="str">
            <v>Lay 265 ft 2in Plastic Main: Cassville: New Main Extension - Company Crews  3760 (33-305)</v>
          </cell>
          <cell r="K618" t="str">
            <v>Approved by: Galen Shoemaker on 08/28/2014,  To lay 265ft of 2in Plastic Main to serve one new residential customer.  Customer will pay a refundable deposit of $2,090.00 after one allowance.  MOP=20# MAOP=23# TEST=100# SYSTEM=S-2</v>
          </cell>
          <cell r="L618">
            <v>41913</v>
          </cell>
          <cell r="M618">
            <v>42248</v>
          </cell>
          <cell r="N618">
            <v>42284.722268518497</v>
          </cell>
          <cell r="O618">
            <v>41913</v>
          </cell>
          <cell r="P618" t="str">
            <v>0821-005011  BARRY CTY/CASSVILLE</v>
          </cell>
          <cell r="Q618">
            <v>2800.55</v>
          </cell>
          <cell r="R618">
            <v>-560.5</v>
          </cell>
        </row>
        <row r="619">
          <cell r="A619" t="str">
            <v>800222</v>
          </cell>
          <cell r="B619" t="str">
            <v>LDC 2</v>
          </cell>
          <cell r="D619" t="str">
            <v>no</v>
          </cell>
          <cell r="F619" t="str">
            <v>F0673</v>
          </cell>
          <cell r="G619" t="str">
            <v>New Main Extensions (S)</v>
          </cell>
          <cell r="H619" t="str">
            <v>Menards - Main Ext</v>
          </cell>
          <cell r="I619" t="str">
            <v>in service</v>
          </cell>
          <cell r="J619" t="str">
            <v>Install 1,785 feet of 6 inch plastic main to serve one new commercial customer - Menards 800 E Markey Pkwy. 2 inch main is minimum to serve but this is a brand new commercial development.</v>
          </cell>
          <cell r="K619" t="str">
            <v>PROJECT REQUESTING 2 PSIG OF ELEVATED PRESSURE; GAS LOAD IS 6,932 CFH. 12 RTU'S, WATER HEATER, AND BACK-UP GENERATOR. PROJECT SITE PLANS SENT TO ENGINEERING.</v>
          </cell>
          <cell r="L619">
            <v>42551</v>
          </cell>
          <cell r="O619">
            <v>42522</v>
          </cell>
          <cell r="P619" t="str">
            <v>0906-016001  CASS CTY/BELTON W OF MULLIN RD</v>
          </cell>
          <cell r="Q619">
            <v>124300.13</v>
          </cell>
          <cell r="R619">
            <v>-3855</v>
          </cell>
        </row>
        <row r="620">
          <cell r="A620" t="str">
            <v>009221</v>
          </cell>
          <cell r="B620" t="str">
            <v>LDC 2</v>
          </cell>
          <cell r="D620" t="str">
            <v>yes</v>
          </cell>
          <cell r="F620" t="str">
            <v>F0513</v>
          </cell>
          <cell r="G620" t="str">
            <v>BWO Service Line Repl - ISRS (S)</v>
          </cell>
          <cell r="H620" t="str">
            <v>BWO-Abandon Service (South Region)</v>
          </cell>
          <cell r="I620" t="str">
            <v>open</v>
          </cell>
          <cell r="J620" t="str">
            <v>BWO-Abandon Service (South Region)</v>
          </cell>
          <cell r="O620">
            <v>42339</v>
          </cell>
          <cell r="P620" t="str">
            <v>0901-043021  JACKSON CTY/LEE'S SUMMIT OFFIC</v>
          </cell>
          <cell r="Q620">
            <v>1108976.2</v>
          </cell>
          <cell r="R620">
            <v>50906</v>
          </cell>
        </row>
        <row r="621">
          <cell r="A621" t="str">
            <v>008799</v>
          </cell>
          <cell r="B621" t="str">
            <v>LDC 2</v>
          </cell>
          <cell r="D621" t="str">
            <v>yes</v>
          </cell>
          <cell r="E621" t="str">
            <v>20901155415</v>
          </cell>
          <cell r="F621" t="str">
            <v>F0507</v>
          </cell>
          <cell r="G621" t="str">
            <v>Rebuild Meter Install 2'' &amp; Lg (S)</v>
          </cell>
          <cell r="H621" t="str">
            <v>RLDS Church 3M Rebuild SLRP</v>
          </cell>
          <cell r="I621" t="str">
            <v>posted to CPR</v>
          </cell>
          <cell r="J621" t="str">
            <v>RLDS Church 3M Rebuild SLRP: Lees Summit: Replace Meter &amp; Reg 2in &amp;  Larger - 3820/3830 (32-404)</v>
          </cell>
          <cell r="K621" t="str">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ell>
          <cell r="L621">
            <v>42290</v>
          </cell>
          <cell r="M621">
            <v>42308</v>
          </cell>
          <cell r="N621">
            <v>42314.376469907402</v>
          </cell>
          <cell r="O621">
            <v>42278</v>
          </cell>
          <cell r="P621" t="str">
            <v>0901-043021  JACKSON CTY/LEE'S SUMMIT OFFIC</v>
          </cell>
          <cell r="Q621">
            <v>3270.42</v>
          </cell>
          <cell r="R621">
            <v>11.5</v>
          </cell>
        </row>
        <row r="622">
          <cell r="A622" t="str">
            <v>007672</v>
          </cell>
          <cell r="B622" t="str">
            <v>LDC 2</v>
          </cell>
          <cell r="D622" t="str">
            <v>yes</v>
          </cell>
          <cell r="E622" t="str">
            <v>20901155097</v>
          </cell>
          <cell r="F622" t="str">
            <v>F0604</v>
          </cell>
          <cell r="G622" t="str">
            <v>Main Replacement - ISRS (S)</v>
          </cell>
          <cell r="H622" t="str">
            <v>Replace 2in PBS alley E of Walnut f</v>
          </cell>
          <cell r="I622" t="str">
            <v>posted to CPR</v>
          </cell>
          <cell r="J622" t="str">
            <v>Replace 2in PBS alley E of Walnut from 3rd to Blue: Lees Summit: Replace Bare Steel Main - 3760 Safety Related (34-394)</v>
          </cell>
          <cell r="K622" t="str">
            <v>Approved by: Kevin Driskell on 02/15/2015,  ARP: Replace and abandon 2" PBS main in the alley between Walnut and Highland from 3rd St to Blue Parkway with 1400' - 2" PE and 5' - 4" PE. On 1/16/15 Google Fiber hit this dead end feed main on the south side of 3rd and the leak was cleared with a handi-band. See pipe tab for details on main to abandon. ISRS  Price per ft = $37.13</v>
          </cell>
          <cell r="L622">
            <v>42171</v>
          </cell>
          <cell r="M622">
            <v>42216</v>
          </cell>
          <cell r="N622">
            <v>42284.723321759302</v>
          </cell>
          <cell r="O622">
            <v>42186</v>
          </cell>
          <cell r="P622" t="str">
            <v>0901-043021  JACKSON CTY/LEE'S SUMMIT OFFIC</v>
          </cell>
          <cell r="Q622">
            <v>15488.65</v>
          </cell>
          <cell r="R622">
            <v>-1558.5</v>
          </cell>
        </row>
        <row r="623">
          <cell r="A623" t="str">
            <v>004252</v>
          </cell>
          <cell r="B623" t="str">
            <v>LDC 2</v>
          </cell>
          <cell r="D623" t="str">
            <v>no</v>
          </cell>
          <cell r="E623" t="str">
            <v>20901133217</v>
          </cell>
          <cell r="F623" t="str">
            <v>F0606</v>
          </cell>
          <cell r="G623" t="str">
            <v>Station rebuild &amp; replacement</v>
          </cell>
          <cell r="H623" t="str">
            <v>Pur Spare YZ Odorizer Pumps</v>
          </cell>
          <cell r="I623" t="str">
            <v>posted to CPR</v>
          </cell>
          <cell r="J623" t="str">
            <v>Pur Spare YZ Odorizer Pumps: Lees Summit: Lees Summit P&amp;M</v>
          </cell>
          <cell r="K623" t="str">
            <v>Approved by: Ralph Janes on 12/23/2013,  Purchase spare YZ Odorizer pumps for 6000, 7000, and 8000 model YZ odorizers.</v>
          </cell>
          <cell r="L623">
            <v>41702</v>
          </cell>
          <cell r="M623">
            <v>41729</v>
          </cell>
          <cell r="N623">
            <v>41733.495590277802</v>
          </cell>
          <cell r="P623" t="str">
            <v>0901-043021  JACKSON CTY/LEE'S SUMMIT OFFIC</v>
          </cell>
          <cell r="Q623">
            <v>8676.73</v>
          </cell>
          <cell r="R623">
            <v>0</v>
          </cell>
        </row>
        <row r="624">
          <cell r="A624" t="str">
            <v>800843</v>
          </cell>
          <cell r="B624" t="str">
            <v>LDC 2</v>
          </cell>
          <cell r="D624" t="str">
            <v>no</v>
          </cell>
          <cell r="F624" t="str">
            <v>F0523</v>
          </cell>
          <cell r="G624" t="str">
            <v>New Main Extensions (SW)</v>
          </cell>
          <cell r="H624" t="str">
            <v>Install 560F 2-4P 4625 N Lone Elm</v>
          </cell>
          <cell r="I624" t="str">
            <v>in service</v>
          </cell>
          <cell r="J624" t="str">
            <v>Install ~ 505 Ft of 4 in MP PL Main &amp; 55 Ft of 2 in MP PL Main for new service at 4625 N Lone Elm Carl Junction MO.</v>
          </cell>
          <cell r="K624" t="str">
            <v>1 new ~1600 ft residential service included in this extension. 2 in service will be required.  1 Residence: Total Load: 1875 CFH.</v>
          </cell>
          <cell r="L624">
            <v>42753</v>
          </cell>
          <cell r="O624">
            <v>42736</v>
          </cell>
          <cell r="P624" t="str">
            <v>0513-044020  JASPER CTY/CARL JUNCTION</v>
          </cell>
          <cell r="Q624">
            <v>92563.35</v>
          </cell>
          <cell r="R624">
            <v>-7195.5</v>
          </cell>
        </row>
        <row r="625">
          <cell r="A625" t="str">
            <v>008960</v>
          </cell>
          <cell r="B625" t="str">
            <v>LDC 2</v>
          </cell>
          <cell r="D625" t="str">
            <v>no</v>
          </cell>
          <cell r="E625" t="str">
            <v>205013155449</v>
          </cell>
          <cell r="F625" t="str">
            <v>F0630</v>
          </cell>
          <cell r="G625" t="str">
            <v>Meter &amp; Reg Settings 2" &amp; Lg (SW)</v>
          </cell>
          <cell r="H625" t="str">
            <v>Inst Prefab Setting For 11M Rotary</v>
          </cell>
          <cell r="I625" t="str">
            <v>posted to CPR</v>
          </cell>
          <cell r="J625" t="str">
            <v>Inst Prefab Setting For 11M Rotary Meter: Carl Junction: New Meter &amp; Reg Settings - 2in &amp; Larger 3820/3830 (33-382)</v>
          </cell>
          <cell r="K625" t="str">
            <v>Approved by: Michael Fornelli on 07/15/2015,  This job is necessary due to the construction of a new multi-purpose facility at the Carl Junction High School. Will install a prefab setting for an 11M rotary meter setting. Will use an Itron 2" flanged CL34-2 regulator to deliver 5 psig to a total connected demand of 9620 cfh. System 0813 S-1 MAOP=60PSIG MOP=40PSIG</v>
          </cell>
          <cell r="L625">
            <v>42209</v>
          </cell>
          <cell r="M625">
            <v>42491</v>
          </cell>
          <cell r="N625">
            <v>42528.313298611101</v>
          </cell>
          <cell r="O625">
            <v>42217</v>
          </cell>
          <cell r="P625" t="str">
            <v>0513-044020  JASPER CTY/CARL JUNCTION</v>
          </cell>
          <cell r="Q625">
            <v>6091.42</v>
          </cell>
          <cell r="R625">
            <v>-3</v>
          </cell>
        </row>
        <row r="626">
          <cell r="A626" t="str">
            <v>800342</v>
          </cell>
          <cell r="B626" t="str">
            <v>LDC 2</v>
          </cell>
          <cell r="C626" t="str">
            <v>03 - Bare Steel Replacement</v>
          </cell>
          <cell r="D626" t="str">
            <v>yes</v>
          </cell>
          <cell r="F626" t="str">
            <v>F0599</v>
          </cell>
          <cell r="G626" t="str">
            <v>Main Replacement - ISRS (N)</v>
          </cell>
          <cell r="H626" t="str">
            <v>Repl w/ 6935F 2-P St Joe South - 2F</v>
          </cell>
          <cell r="I626" t="str">
            <v>open</v>
          </cell>
          <cell r="J626" t="str">
            <v>Install 4505 Ft of 2 in and 2430 Ft of 4 in PL IP main for St Joe South Phase 2F.  Abandon 168 Ft of 2 in PL, 3011 Ft of 2 in ST, 3030 Ft of 4 in ST and 107 Ft of 6 in ST LP main.</v>
          </cell>
          <cell r="K626" t="str">
            <v>This main is being replaced as part of FY16 Bare Steel Replacement Program.</v>
          </cell>
          <cell r="P626" t="str">
            <v>1001-010001  ST. JOSEPH CITY/BUCHANAN</v>
          </cell>
          <cell r="Q626">
            <v>0</v>
          </cell>
          <cell r="R626">
            <v>6316</v>
          </cell>
        </row>
        <row r="627">
          <cell r="A627" t="str">
            <v>004158</v>
          </cell>
          <cell r="B627" t="str">
            <v>LDC 2</v>
          </cell>
          <cell r="D627" t="str">
            <v>no</v>
          </cell>
          <cell r="E627" t="str">
            <v>21001050304</v>
          </cell>
          <cell r="F627" t="str">
            <v>F0509</v>
          </cell>
          <cell r="G627" t="str">
            <v>Regulators - 2" &amp; smaller</v>
          </cell>
          <cell r="H627" t="str">
            <v>BWO-HOUSE REGULATORS</v>
          </cell>
          <cell r="I627" t="str">
            <v>posted to CPR</v>
          </cell>
          <cell r="J627" t="str">
            <v>BWO-HOUSE REGULATORS</v>
          </cell>
          <cell r="K627" t="str">
            <v>Project Type:B
Changed to Non-Payroll class code 7-1-15 - should not charge labor here - AMM
This WO not used anymore - See WO 003946 for House Regulators - SouthWest Region.</v>
          </cell>
          <cell r="L627">
            <v>42369</v>
          </cell>
          <cell r="M627">
            <v>42369</v>
          </cell>
          <cell r="N627">
            <v>42401</v>
          </cell>
          <cell r="O627">
            <v>41730</v>
          </cell>
          <cell r="P627" t="str">
            <v>1001-010001  ST. JOSEPH CITY/BUCHANAN</v>
          </cell>
          <cell r="Q627">
            <v>116334.8</v>
          </cell>
          <cell r="R627">
            <v>2834</v>
          </cell>
        </row>
        <row r="628">
          <cell r="A628" t="str">
            <v>008372</v>
          </cell>
          <cell r="B628" t="str">
            <v>LDC 2</v>
          </cell>
          <cell r="D628" t="str">
            <v>yes</v>
          </cell>
          <cell r="E628" t="str">
            <v>21001155327</v>
          </cell>
          <cell r="F628" t="str">
            <v>F0504</v>
          </cell>
          <cell r="G628" t="str">
            <v>Replace bare steel main - safety re</v>
          </cell>
          <cell r="H628" t="str">
            <v>Hilltop Road Replacement</v>
          </cell>
          <cell r="I628" t="str">
            <v>posted to CPR</v>
          </cell>
          <cell r="J628" t="str">
            <v>Hilltop Road Replacement: St Joseph: Replace Bare Steel Main - 3760 Safety Related (34-394)</v>
          </cell>
          <cell r="K628" t="str">
            <v>Approved by: Joe Hampton on 05/07/2015,  ISRS Main Replacement project: Replace and abandon existing mains on C-01 pressure system with 5796' - 2" of PE on C-04 intermediate pressure on Hilltop Rd., Walnut St., Winterwood Ln., Valley Brook Ln., Bryce Rd., Castle Ln., and Strader Terr. Summary of main to abandon (see pipe tab for details). Note: DRS #107 to be retired on separate work order. (ISRS)</v>
          </cell>
          <cell r="L628">
            <v>42227</v>
          </cell>
          <cell r="M628">
            <v>42429</v>
          </cell>
          <cell r="N628">
            <v>42496.560543981497</v>
          </cell>
          <cell r="O628">
            <v>42370</v>
          </cell>
          <cell r="P628" t="str">
            <v>1001-010001  ST. JOSEPH CITY/BUCHANAN</v>
          </cell>
          <cell r="Q628">
            <v>121469.96</v>
          </cell>
          <cell r="R628">
            <v>-5631</v>
          </cell>
        </row>
        <row r="629">
          <cell r="A629" t="str">
            <v>008760</v>
          </cell>
          <cell r="B629" t="str">
            <v>LDC 2</v>
          </cell>
          <cell r="D629" t="str">
            <v>no</v>
          </cell>
          <cell r="E629" t="str">
            <v>20834155361</v>
          </cell>
          <cell r="F629" t="str">
            <v>F0523</v>
          </cell>
          <cell r="G629" t="str">
            <v>New Main Extensions (SW)</v>
          </cell>
          <cell r="H629" t="str">
            <v>New Main Extension 75 ft of 2in Pla</v>
          </cell>
          <cell r="I629" t="str">
            <v>posted to CPR</v>
          </cell>
          <cell r="J629" t="str">
            <v>New Main Extension 75 ft of 2in Plastic: Willard: New Main Extension - Company Crews  3760 (33-305)</v>
          </cell>
          <cell r="K629" t="str">
            <v>Approved by: Michael Fornelli on 06/11/2015,  Install 75' of 2" PE Main to serve one new residential customer. No deposit required after one allowance. MAOP:33 psig MOP:33 psig Design: 66 psig SYSTEM: C-0001 Division: 08 Town: 34 Sector: A1815</v>
          </cell>
          <cell r="L629">
            <v>42202</v>
          </cell>
          <cell r="M629">
            <v>42461</v>
          </cell>
          <cell r="N629">
            <v>42496.560775462996</v>
          </cell>
          <cell r="O629">
            <v>42186</v>
          </cell>
          <cell r="P629" t="str">
            <v>0834-034009  GREENE CTY/WILLARD</v>
          </cell>
          <cell r="Q629">
            <v>3184.74</v>
          </cell>
          <cell r="R629">
            <v>-56</v>
          </cell>
        </row>
        <row r="630">
          <cell r="A630" t="str">
            <v>004104</v>
          </cell>
          <cell r="B630" t="str">
            <v>LDC 2</v>
          </cell>
          <cell r="D630" t="str">
            <v>no</v>
          </cell>
          <cell r="E630" t="str">
            <v>21001133209</v>
          </cell>
          <cell r="F630" t="str">
            <v>F0510</v>
          </cell>
          <cell r="G630" t="str">
            <v>Meter &amp; regulator replacements - 2"</v>
          </cell>
          <cell r="H630" t="str">
            <v>3915 S 48th Bayer Reloc 11M Meter S</v>
          </cell>
          <cell r="I630" t="str">
            <v>posted to CPR</v>
          </cell>
          <cell r="J630" t="str">
            <v>3915 S 48th Bayer Reloc 11M Meter Set : St Joseph: 3915 S 48th St</v>
          </cell>
          <cell r="K630" t="str">
            <v>Approved by: Gary Williams on 12/12/2013,  This work order is neccesary to relocate 11m meter set per customer request.  This is due to old meter set will be in conflict with new addition to customer facilities. Old meter set reg will be retired. Install 11m meter and Cl34-2 reg in prefab meter set. Customer requires 2# delivery.</v>
          </cell>
          <cell r="L630">
            <v>41622</v>
          </cell>
          <cell r="M630">
            <v>41697</v>
          </cell>
          <cell r="N630">
            <v>41698.505266203698</v>
          </cell>
          <cell r="P630" t="str">
            <v>1001-010001  ST. JOSEPH CITY/BUCHANAN</v>
          </cell>
          <cell r="Q630">
            <v>8485.94</v>
          </cell>
          <cell r="R630">
            <v>34</v>
          </cell>
        </row>
        <row r="631">
          <cell r="A631" t="str">
            <v>004354</v>
          </cell>
          <cell r="B631" t="str">
            <v>LDC 2</v>
          </cell>
          <cell r="D631" t="str">
            <v>yes</v>
          </cell>
          <cell r="E631" t="str">
            <v>21235133051</v>
          </cell>
          <cell r="F631" t="str">
            <v>F0626</v>
          </cell>
          <cell r="G631" t="str">
            <v>Rectifier initial installations</v>
          </cell>
          <cell r="H631" t="str">
            <v>Lathrop NEW Rectifier &amp; Groundbed</v>
          </cell>
          <cell r="I631" t="str">
            <v>posted to CPR</v>
          </cell>
          <cell r="J631" t="str">
            <v>Lathrop NEW Rectifier &amp; Groundbed: Lathrop: South Street east of Mark Street</v>
          </cell>
          <cell r="K631" t="str">
            <v>Approved by: Randy Spector on 10/23/2013,  This work order is necessary to install a new ground bed and rectifier in the town of Lathrop to protect all steel main in the town. The sacrificial anodes are depleted to where there are serveral P/S readings below criteria. The new ground will have 5 3" X 60" anodes spaced at 15' intervals along South Street east of Mark Street in the bar ditch. Electrical work will be required by Shaw Electric. All installation will be drilled in by contractor and MGE crews will perform balancing and adjustements. This rectifier is designed to protect approximately 43,151' of 2" PCS, 11.989' of 3" PCS, 1,979' of 4" PCS and 1,690' of 6" PCS  . Calculated current demand is 1.94 amps. This project will also require an Environmental Phase 1 desktop review.</v>
          </cell>
          <cell r="L631">
            <v>41803</v>
          </cell>
          <cell r="M631">
            <v>42216</v>
          </cell>
          <cell r="N631">
            <v>42221.757893518501</v>
          </cell>
          <cell r="O631">
            <v>41791</v>
          </cell>
          <cell r="P631" t="str">
            <v>1235-021004  CLINTON CTY/LATHROP</v>
          </cell>
          <cell r="Q631">
            <v>28149.57</v>
          </cell>
          <cell r="R631">
            <v>1087</v>
          </cell>
        </row>
        <row r="632">
          <cell r="A632" t="str">
            <v>007927</v>
          </cell>
          <cell r="B632" t="str">
            <v>LDC 2</v>
          </cell>
          <cell r="D632" t="str">
            <v>yes</v>
          </cell>
          <cell r="E632" t="str">
            <v>21240155217</v>
          </cell>
          <cell r="F632" t="str">
            <v>F0547</v>
          </cell>
          <cell r="G632" t="str">
            <v>Street &amp; Highway Relocates ISRS (N)</v>
          </cell>
          <cell r="H632" t="str">
            <v>2in Repl Clark Avenue Bridge Repl O</v>
          </cell>
          <cell r="I632" t="str">
            <v>posted to CPR</v>
          </cell>
          <cell r="J632" t="str">
            <v>2in Repl Clark Avenue Bridge Repl Over Grove Creek: Edgerton-Platte County: Relocate for Street &amp; Highway-Public Improvements (44-388)</v>
          </cell>
          <cell r="K632" t="str">
            <v>Approved by: Gary Williams on 03/24/2015,  ISRS Abandon 385' of 1" coated steel main and install 400' of 2" PE main. This is necessary for Platte County to tear down the existing Clark Avenue Bridge and reconstruct a new bridge. Laclede/MGE will not replace the existing main within the bridge limits. Laclede/MGE will install a new 2" PE main from the north to serve the trailor park. Laclede/MGE will need to fill out the proper permitting paperwork before start of project. I sent this paperwork to Adam, Rick and Otto.</v>
          </cell>
          <cell r="L632">
            <v>42165</v>
          </cell>
          <cell r="M632">
            <v>42248</v>
          </cell>
          <cell r="N632">
            <v>42345.627824074101</v>
          </cell>
          <cell r="O632">
            <v>42186</v>
          </cell>
          <cell r="P632" t="str">
            <v>1240-075001  PLATTE CTY/EDGERTON</v>
          </cell>
          <cell r="Q632">
            <v>21118.17</v>
          </cell>
          <cell r="R632">
            <v>12411.5</v>
          </cell>
        </row>
        <row r="633">
          <cell r="A633" t="str">
            <v>801105</v>
          </cell>
          <cell r="B633" t="str">
            <v>LDC 2</v>
          </cell>
          <cell r="D633" t="str">
            <v>no</v>
          </cell>
          <cell r="F633" t="str">
            <v>F0599</v>
          </cell>
          <cell r="G633" t="str">
            <v>Main Replacement - ISRS (N)</v>
          </cell>
          <cell r="H633" t="str">
            <v>Aband 159F 4P 1433 &amp; 1501 Duncan</v>
          </cell>
          <cell r="I633" t="str">
            <v>open</v>
          </cell>
          <cell r="J633" t="str">
            <v>Abandon 159ft of 4in PE main that is exposed.  Exposed 4in main no longer needed.</v>
          </cell>
          <cell r="P633" t="str">
            <v>1207-020001  CLAY CTY/LIBERTY</v>
          </cell>
          <cell r="Q633">
            <v>0</v>
          </cell>
          <cell r="R633">
            <v>160</v>
          </cell>
        </row>
        <row r="634">
          <cell r="A634" t="str">
            <v>800886</v>
          </cell>
          <cell r="B634" t="str">
            <v>LDC 2</v>
          </cell>
          <cell r="D634" t="str">
            <v>no</v>
          </cell>
          <cell r="F634" t="str">
            <v>F0647</v>
          </cell>
          <cell r="G634" t="str">
            <v>New Main Extensions (N)</v>
          </cell>
          <cell r="H634" t="str">
            <v>Install 732F 2P Riverwood</v>
          </cell>
          <cell r="I634" t="str">
            <v>open</v>
          </cell>
          <cell r="J634" t="str">
            <v>Install approximately 732ft of 2in IP PE to serve new residential customers.</v>
          </cell>
          <cell r="K634" t="str">
            <v>Riverwood, City of Liberty, Clay County
22 Lot Residential Single Family Subdivision
Homes range from 1600-3000 sq ft
Gas Furnace
Gas Fireplace, Gas Range
Gas Tankless Water heaters are OPTIONAL</v>
          </cell>
          <cell r="P634" t="str">
            <v>1207-020001  CLAY CTY/LIBERTY</v>
          </cell>
          <cell r="Q634">
            <v>1311.61</v>
          </cell>
          <cell r="R634">
            <v>-1512</v>
          </cell>
        </row>
        <row r="635">
          <cell r="A635" t="str">
            <v>004512</v>
          </cell>
          <cell r="B635" t="str">
            <v>LDC 2</v>
          </cell>
          <cell r="D635" t="str">
            <v>no</v>
          </cell>
          <cell r="E635" t="str">
            <v>21207132626</v>
          </cell>
          <cell r="F635" t="str">
            <v>F0610</v>
          </cell>
          <cell r="G635" t="str">
            <v>New business</v>
          </cell>
          <cell r="H635" t="str">
            <v>100 Rush Creek Pkwy Lay 1925'-4in P</v>
          </cell>
          <cell r="I635" t="str">
            <v>posted to CPR</v>
          </cell>
          <cell r="J635" t="str">
            <v>100 Rush Creek Pkwy Lay 1925'-4in PE main ext: Liberty: LIBERTY UNITED METHODIST CHURCH</v>
          </cell>
          <cell r="K635" t="str">
            <v>Approved by: Gary Williams on 05/16/2013,  LAYING 1,925-4in PE &amp; 55'-2in TF STEEL - TO SERVE NEW CHURCH.  ONE WAY FEED.  W.O.#13-2667 FOR DRS 750 GOES WITH THIS.  COST PER FOOT=$24.81  CUSTOMER TO CONTRIBUTE COST OF RUNNING 2&amp;quot; PE = $36,460.17 BEFORE START OF PROJECT.</v>
          </cell>
          <cell r="L635">
            <v>41625</v>
          </cell>
          <cell r="M635">
            <v>41670</v>
          </cell>
          <cell r="N635">
            <v>41677.509710648097</v>
          </cell>
          <cell r="O635">
            <v>41730</v>
          </cell>
          <cell r="P635" t="str">
            <v>1207-020001  CLAY CTY/LIBERTY</v>
          </cell>
          <cell r="Q635">
            <v>38959.86</v>
          </cell>
          <cell r="R635">
            <v>4137.6000000000004</v>
          </cell>
        </row>
        <row r="636">
          <cell r="A636" t="str">
            <v>004164</v>
          </cell>
          <cell r="B636" t="str">
            <v>LDC 2</v>
          </cell>
          <cell r="D636" t="str">
            <v>no</v>
          </cell>
          <cell r="E636" t="str">
            <v>21207132705</v>
          </cell>
          <cell r="F636" t="str">
            <v>F0610</v>
          </cell>
          <cell r="G636" t="str">
            <v>New business</v>
          </cell>
          <cell r="H636" t="str">
            <v>Middlebrook DR Lay 449'-2in PE main</v>
          </cell>
          <cell r="I636" t="str">
            <v>posted to CPR</v>
          </cell>
          <cell r="J636" t="str">
            <v>1000, 1004 MIDDLEBROOK DR OAK PLAZA OFFICE/RETAIL: Liberty: 1000, 1004 MIDDLEBROOK DR</v>
          </cell>
          <cell r="K636" t="str">
            <v>Approved by: Kevin Driskell on 06/11/2013,  LAY 449'-2 in PLEXCO TO SERVE 2 CURRENT RETAIL/OFFICE BLDGS. &amp; 3 FUTURE BLDS.  ONE WAY FEED.  COST PER FOOT=$29.89  ECONOMIC EVALUATION COVERS COST PER SUSAN MARX.</v>
          </cell>
          <cell r="L636">
            <v>41466</v>
          </cell>
          <cell r="M636">
            <v>41533</v>
          </cell>
          <cell r="N636">
            <v>41562.537256944401</v>
          </cell>
          <cell r="P636" t="str">
            <v>1207-020001  CLAY CTY/LIBERTY</v>
          </cell>
          <cell r="Q636">
            <v>8088.93</v>
          </cell>
          <cell r="R636">
            <v>1027</v>
          </cell>
        </row>
        <row r="637">
          <cell r="A637" t="str">
            <v>003914</v>
          </cell>
          <cell r="B637" t="str">
            <v>LDC 2</v>
          </cell>
          <cell r="D637" t="str">
            <v>yes</v>
          </cell>
          <cell r="E637" t="str">
            <v>21207133243</v>
          </cell>
          <cell r="F637" t="str">
            <v>F0636</v>
          </cell>
          <cell r="G637" t="str">
            <v>Replace steel &amp; plastic main</v>
          </cell>
          <cell r="H637" t="str">
            <v>205 N Forest Repl PCS w 26'-4IN TF</v>
          </cell>
          <cell r="I637" t="str">
            <v>posted to CPR</v>
          </cell>
          <cell r="J637" t="str">
            <v>205 N Forest Repl PCS w 26'-4IN TF STEEL main: Liberty: 205 N FOREST</v>
          </cell>
          <cell r="K637" t="str">
            <v>Approved by: Kevin Driskell on 01/03/2014,  LAY 26'-4" TF STEEL DUE TO EXISTING GAS MAIN EXPOSED ON HILL.  ABANDONED 18FT-4" PCS(B1476A).</v>
          </cell>
          <cell r="L637">
            <v>41542</v>
          </cell>
          <cell r="M637">
            <v>41718</v>
          </cell>
          <cell r="N637">
            <v>41719.593136574098</v>
          </cell>
          <cell r="O637">
            <v>41730</v>
          </cell>
          <cell r="P637" t="str">
            <v>1207-020001  CLAY CTY/LIBERTY</v>
          </cell>
          <cell r="Q637">
            <v>10942.01</v>
          </cell>
          <cell r="R637">
            <v>107</v>
          </cell>
        </row>
        <row r="638">
          <cell r="A638" t="str">
            <v>006423</v>
          </cell>
          <cell r="B638" t="str">
            <v>LDC 2</v>
          </cell>
          <cell r="D638" t="str">
            <v>yes</v>
          </cell>
          <cell r="E638" t="str">
            <v>20925143728</v>
          </cell>
          <cell r="F638" t="str">
            <v>F0578</v>
          </cell>
          <cell r="G638" t="str">
            <v>Street &amp; Highway Relocates ISRS (S)</v>
          </cell>
          <cell r="H638" t="str">
            <v>Relocate 6in PE MoDOT Walnut to AA</v>
          </cell>
          <cell r="I638" t="str">
            <v>posted to CPR</v>
          </cell>
          <cell r="J638" t="str">
            <v>Relocate 6in PE MoDOT Walnut to AA: Grain Valley: Relocate for Street &amp; Highway-Public Improvements (44-388)</v>
          </cell>
          <cell r="K638" t="str">
            <v>Approved by: Steve Holcomb on 09/10/2014,  MoDOT Project J4S2029B - Improvements to BB (Main St / Buckner Tarnsey) from Walnut to AA. Relocate 1,900' - 6" PE, 270' - 4" PE, 1,955' - 2" PE, and 225' - 10" thin film at KCS RR for road improvements. Main to abandon: 1977' - 6" PCS (WO# 61-1498 - original town piping); 1098' - 2" PCS (WO# 61-1500 - original town piping); 240' - 6" PCS (WO# 62-4105); 294' - 2" PCS (WO# 62-4132); 140' - 2" PCS (WO# 66-1932); 108' - 2" PE (WO# 84-3718); 40' - 2" PE (WO# 87-3529); 100' - 4" PE (WO# 91-3034); 21' - 4" PCS (WO# E319481); 11' - 6" PE (WO# 09-5395); 3' - 6" PCS and 3' - 2" PCS (WO# 12-1025). (ISRS)</v>
          </cell>
          <cell r="L638">
            <v>42110</v>
          </cell>
          <cell r="M638">
            <v>42400</v>
          </cell>
          <cell r="N638">
            <v>42436.430208333302</v>
          </cell>
          <cell r="O638">
            <v>42125</v>
          </cell>
          <cell r="P638" t="str">
            <v>0925-043035  JACKSON CTY/GRAIN VALLEY</v>
          </cell>
          <cell r="Q638">
            <v>291496.15999999997</v>
          </cell>
          <cell r="R638">
            <v>-4841.25</v>
          </cell>
        </row>
        <row r="639">
          <cell r="A639" t="str">
            <v>006730</v>
          </cell>
          <cell r="B639" t="str">
            <v>LDC 2</v>
          </cell>
          <cell r="D639" t="str">
            <v>no</v>
          </cell>
          <cell r="E639" t="str">
            <v>20101143888</v>
          </cell>
          <cell r="F639" t="str">
            <v>F0529</v>
          </cell>
          <cell r="G639" t="str">
            <v>Meter Purchases - MGE</v>
          </cell>
          <cell r="H639" t="str">
            <v>Pur 2000 I-250 Itron Mtrs Dec 2014</v>
          </cell>
          <cell r="I639" t="str">
            <v>posted to CPR</v>
          </cell>
          <cell r="J639" t="str">
            <v>Pur 2000 I-250 Itron Mtrs Dec 2014 : Kansas City CORP: Purchase Domestic Diaphragm  Meters - 3810 (32-398)</v>
          </cell>
          <cell r="K639" t="str">
            <v>Approved by: Steve Holcomb on 10/17/2014,  Purchase 2000 I-250 Itron Meters  0940605 with Sprauge Ert attached for Time Limit Program. 
Complete per 2-15 meter report - AMM</v>
          </cell>
          <cell r="L639">
            <v>42078</v>
          </cell>
          <cell r="M639">
            <v>42186</v>
          </cell>
          <cell r="N639">
            <v>42223.566527777803</v>
          </cell>
          <cell r="O639">
            <v>42125</v>
          </cell>
          <cell r="P639" t="str">
            <v>1904-043050  JACKSON CTY/KC</v>
          </cell>
          <cell r="Q639">
            <v>187936.94</v>
          </cell>
          <cell r="R639">
            <v>2000</v>
          </cell>
        </row>
        <row r="640">
          <cell r="A640" t="str">
            <v>003840</v>
          </cell>
          <cell r="B640" t="str">
            <v>LDC 2</v>
          </cell>
          <cell r="D640" t="str">
            <v>no</v>
          </cell>
          <cell r="E640" t="str">
            <v>21904132755</v>
          </cell>
          <cell r="F640" t="str">
            <v>F0577</v>
          </cell>
          <cell r="G640" t="str">
            <v>ERT Purchases</v>
          </cell>
          <cell r="H640" t="str">
            <v>Pur 2020 Am Res 100G Erts November</v>
          </cell>
          <cell r="I640" t="str">
            <v>posted to CPR</v>
          </cell>
          <cell r="J640" t="str">
            <v>Pur 2020 Am Res 100G Erts November 2013: Kansas City CORP: Central Plant Meter Shop</v>
          </cell>
          <cell r="K640" t="str">
            <v>Approved by: Rob Hack on 06/20/2013,  Purchase 2020 American Erts (95198300) These Erts ship to American Meter in November for Meters December 2013.</v>
          </cell>
          <cell r="L640">
            <v>41572</v>
          </cell>
          <cell r="M640">
            <v>41608</v>
          </cell>
          <cell r="N640">
            <v>41612.300092592603</v>
          </cell>
          <cell r="P640" t="str">
            <v>1904-043050  JACKSON CTY/KC</v>
          </cell>
          <cell r="Q640">
            <v>92144.320000000007</v>
          </cell>
          <cell r="R640">
            <v>0</v>
          </cell>
        </row>
        <row r="641">
          <cell r="A641" t="str">
            <v>004300</v>
          </cell>
          <cell r="B641" t="str">
            <v>LDC 2</v>
          </cell>
          <cell r="D641" t="str">
            <v>no</v>
          </cell>
          <cell r="E641" t="str">
            <v>21904132343</v>
          </cell>
          <cell r="F641" t="str">
            <v>F0601</v>
          </cell>
          <cell r="G641" t="str">
            <v>Electronic Reading Transmitters-ERT</v>
          </cell>
          <cell r="H641" t="str">
            <v>ERTS Labor Install - Blanket Only</v>
          </cell>
          <cell r="I641" t="str">
            <v>in service</v>
          </cell>
          <cell r="J641" t="str">
            <v>ERTS Labor Installations Blanket Only: Kansas City-Jackson: Central Meter Shop</v>
          </cell>
          <cell r="K641" t="str">
            <v>Approved by: Steve Holcomb on 01/16/2013,  This blanket work order is to capture ERT installations only.  Average cost of $7.06 is being based on combining company labor and contractors.  Labor will be allocated to specific work orders based on the number of ERTS being received for purchase.</v>
          </cell>
          <cell r="L641">
            <v>41309</v>
          </cell>
          <cell r="O641">
            <v>41944</v>
          </cell>
          <cell r="P641" t="str">
            <v>1904-043050  JACKSON CTY/KC</v>
          </cell>
          <cell r="Q641">
            <v>1011367.52</v>
          </cell>
          <cell r="R641">
            <v>5950948.2800000003</v>
          </cell>
        </row>
        <row r="642">
          <cell r="A642" t="str">
            <v>003907</v>
          </cell>
          <cell r="B642" t="str">
            <v>LDC 2</v>
          </cell>
          <cell r="D642" t="str">
            <v>no</v>
          </cell>
          <cell r="E642" t="str">
            <v>21904143399</v>
          </cell>
          <cell r="F642" t="str">
            <v>F0529</v>
          </cell>
          <cell r="G642" t="str">
            <v>Meter Purchases - MGE</v>
          </cell>
          <cell r="H642" t="str">
            <v>Pur 2000 I-250 Spg Mtr / with  Ert</v>
          </cell>
          <cell r="I642" t="str">
            <v>posted to CPR</v>
          </cell>
          <cell r="J642" t="str">
            <v>Pur 2000 I-250 Spg Mtr / with  Ert June 2014  : Kansas City CORP: Central Plant Meter Shop</v>
          </cell>
          <cell r="K642" t="str">
            <v>Approved by: Steve Lindsey on 03/18/2014,  Purchase 2000 I-250 Non TC Sprague / Itron Meter  0940605 with Sprague Ert attached 5198320 for stock and Time Limit Program.</v>
          </cell>
          <cell r="L642">
            <v>41733</v>
          </cell>
          <cell r="M642">
            <v>41944</v>
          </cell>
          <cell r="N642">
            <v>41978.592557870397</v>
          </cell>
          <cell r="O642">
            <v>41883</v>
          </cell>
          <cell r="P642" t="str">
            <v>1904-043050  JACKSON CTY/KC</v>
          </cell>
          <cell r="Q642">
            <v>187733.06</v>
          </cell>
          <cell r="R642">
            <v>2000</v>
          </cell>
        </row>
        <row r="643">
          <cell r="A643" t="str">
            <v>800547</v>
          </cell>
          <cell r="B643" t="str">
            <v>LDC 2</v>
          </cell>
          <cell r="D643" t="str">
            <v>no</v>
          </cell>
          <cell r="F643" t="str">
            <v>F0647</v>
          </cell>
          <cell r="G643" t="str">
            <v>New Main Extensions (N)</v>
          </cell>
          <cell r="H643" t="str">
            <v>Inst 1656F 4P NW River Rd NB</v>
          </cell>
          <cell r="I643" t="str">
            <v>open</v>
          </cell>
          <cell r="J643" t="str">
            <v> Install 1656 ft of 4 in IP PE main to serve new residential customers - NW River Rd to serve 6 buildings.</v>
          </cell>
          <cell r="P643" t="str">
            <v>1261-075025  PLATTE CTY/??? TWP</v>
          </cell>
          <cell r="Q643">
            <v>7601</v>
          </cell>
          <cell r="R643">
            <v>-3825</v>
          </cell>
        </row>
        <row r="644">
          <cell r="A644" t="str">
            <v>801048</v>
          </cell>
          <cell r="B644" t="str">
            <v>LDC 2</v>
          </cell>
          <cell r="C644" t="str">
            <v>09 - Facility Relocation due to Civic Improvement</v>
          </cell>
          <cell r="D644" t="str">
            <v>yes</v>
          </cell>
          <cell r="F644" t="str">
            <v>F0547</v>
          </cell>
          <cell r="G644" t="str">
            <v>Street &amp; Highway Relocates ISRS (N)</v>
          </cell>
          <cell r="H644" t="str">
            <v>Reloc 1147F 2-6P Winn &amp; Belfontaine</v>
          </cell>
          <cell r="I644" t="str">
            <v>open</v>
          </cell>
          <cell r="J644" t="str">
            <v>Install ~1071 ft of 6 in PL IP main and ~76 ft of 2 in PL IP main along NE Winn Rd.</v>
          </cell>
          <cell r="K644" t="str">
            <v>Abandon ~10 ft of 2 in PL IP main, ~20 ft of 2 in ST IP main, ~8 ft of 4 in PL IP main, ~34 ft of 4 in ST IP main, ~788 ft of 5 in ST IP main, and ~229 ft of 6 in ST IP main along NE Winn Rd. This work is being done to civic improvement project.</v>
          </cell>
          <cell r="P644" t="str">
            <v>1271-020036  CLAY CTY/KANSAS CITY</v>
          </cell>
          <cell r="Q644">
            <v>8340.4599999999991</v>
          </cell>
          <cell r="R644">
            <v>-1954</v>
          </cell>
        </row>
        <row r="645">
          <cell r="A645" t="str">
            <v>011557</v>
          </cell>
          <cell r="B645" t="str">
            <v>LDC 2</v>
          </cell>
          <cell r="D645" t="str">
            <v>no</v>
          </cell>
          <cell r="F645" t="str">
            <v>F0660</v>
          </cell>
          <cell r="G645" t="str">
            <v>Meter &amp; Reg Settings 2" &amp; Lg (N)</v>
          </cell>
          <cell r="H645" t="str">
            <v>Inst 23M Mtr - NKC School CNG</v>
          </cell>
          <cell r="I645" t="str">
            <v>in service</v>
          </cell>
          <cell r="J645" t="str">
            <v>Install 23M meter assembly for NKC School CNG at 2000 NE 46th St.</v>
          </cell>
          <cell r="K645" t="str">
            <v>Maximo WO 15215881</v>
          </cell>
          <cell r="L645">
            <v>42591</v>
          </cell>
          <cell r="O645">
            <v>42614</v>
          </cell>
          <cell r="P645" t="str">
            <v>1271-020036  CLAY CTY/KANSAS CITY</v>
          </cell>
          <cell r="Q645">
            <v>10330.98</v>
          </cell>
          <cell r="R645">
            <v>70</v>
          </cell>
        </row>
        <row r="646">
          <cell r="A646" t="str">
            <v>005556</v>
          </cell>
          <cell r="B646" t="str">
            <v>LDC 2</v>
          </cell>
          <cell r="D646" t="str">
            <v>yes</v>
          </cell>
          <cell r="E646" t="str">
            <v>21272143478</v>
          </cell>
          <cell r="F646" t="str">
            <v>F0595</v>
          </cell>
          <cell r="G646" t="str">
            <v>Street &amp; highway relocates</v>
          </cell>
          <cell r="H646" t="str">
            <v>24th &amp; Vernon Repl PBS w/ 410'-8in</v>
          </cell>
          <cell r="I646" t="str">
            <v>posted to CPR</v>
          </cell>
          <cell r="J646" t="str">
            <v>24th &amp; Vernon Repl PBS w/ 410'-8in PCS: North Kansas City: Relocate for Street &amp; Highway-Public Improvements (44-388)</v>
          </cell>
          <cell r="K646" t="str">
            <v>Approved by: Steve Holcomb on 06/25/2014,  (ISRS).  Relocate 8in PBS &amp; PCS with 410'-8in PCS due to public improvement project. City is cutting in a new street on an old vacant right of way. Tie over 3 services.  MODOT permit needed for project.</v>
          </cell>
          <cell r="L646">
            <v>41874</v>
          </cell>
          <cell r="M646">
            <v>41912</v>
          </cell>
          <cell r="N646">
            <v>42012.316898148099</v>
          </cell>
          <cell r="O646">
            <v>41883</v>
          </cell>
          <cell r="P646" t="str">
            <v>1272-020043  CLAY CTY/NORTH KANSAS CITY</v>
          </cell>
          <cell r="Q646">
            <v>39401.24</v>
          </cell>
          <cell r="R646">
            <v>448.8</v>
          </cell>
        </row>
        <row r="647">
          <cell r="A647" t="str">
            <v>007821</v>
          </cell>
          <cell r="B647" t="str">
            <v>LDC 2</v>
          </cell>
          <cell r="D647" t="str">
            <v>no</v>
          </cell>
          <cell r="E647" t="str">
            <v>21215155144</v>
          </cell>
          <cell r="F647" t="str">
            <v>F0610</v>
          </cell>
          <cell r="G647" t="str">
            <v>New business</v>
          </cell>
          <cell r="H647" t="str">
            <v>4in PE Main Extension</v>
          </cell>
          <cell r="I647" t="str">
            <v>posted to CPR</v>
          </cell>
          <cell r="J647" t="str">
            <v>4in PE Main Extension : Kearney: New Main Extension - Contractor Crews  3760 (33-380)</v>
          </cell>
          <cell r="K647" t="str">
            <v>Approved by: Ray Wilson on 03/10/2015,  Extend main 275'(2'' PE) in order to serve new commercial customer  Maintenance Transport Building - 1011 N. Jefferson St. Pressure system C-007. This will need a Highway Permit.</v>
          </cell>
          <cell r="L647">
            <v>42100</v>
          </cell>
          <cell r="M647">
            <v>42248</v>
          </cell>
          <cell r="N647">
            <v>42284.723379629599</v>
          </cell>
          <cell r="O647">
            <v>42125</v>
          </cell>
          <cell r="P647" t="str">
            <v>1215-020023  CLAY CTY/KEARNEY</v>
          </cell>
          <cell r="Q647">
            <v>17984.07</v>
          </cell>
          <cell r="R647">
            <v>-834</v>
          </cell>
        </row>
        <row r="648">
          <cell r="A648" t="str">
            <v>007153</v>
          </cell>
          <cell r="B648" t="str">
            <v>LDC 2</v>
          </cell>
          <cell r="D648" t="str">
            <v>yes</v>
          </cell>
          <cell r="E648" t="str">
            <v>20925143983</v>
          </cell>
          <cell r="F648" t="str">
            <v>F0580</v>
          </cell>
          <cell r="G648" t="str">
            <v>Replace steel &amp; plastic main</v>
          </cell>
          <cell r="H648" t="str">
            <v>Relocate 2in PCS IO DRS 10 BB and P</v>
          </cell>
          <cell r="I648" t="str">
            <v>posted to CPR</v>
          </cell>
          <cell r="J648" t="str">
            <v>Relocate 2in PCS IO DRS 10 BB and Perry: Grain Valley: Replace Coated Steel &amp; Plastic Main - 3760 (34-396)</v>
          </cell>
          <cell r="K648" t="str">
            <v>Approved by: Ralph Janes on 12/08/2014,  Replace 121' of 2" PCS main (WO# 79-1096) with 100' of 2" thin film to relocate DRS 10 at BB Hwy and Perry. The existing reg station was hit by a car because of its location. Replace all inlet piping and tie back into outlet piping of reg station on WO# 14-3983. Rebuild DRS 10 on WO# 14-3982.</v>
          </cell>
          <cell r="L648">
            <v>42122</v>
          </cell>
          <cell r="M648">
            <v>42185</v>
          </cell>
          <cell r="N648">
            <v>42256.641863425903</v>
          </cell>
          <cell r="O648">
            <v>42125</v>
          </cell>
          <cell r="P648" t="str">
            <v>0925-043035  JACKSON CTY/GRAIN VALLEY</v>
          </cell>
          <cell r="Q648">
            <v>6628.56</v>
          </cell>
          <cell r="R648">
            <v>-58</v>
          </cell>
        </row>
        <row r="649">
          <cell r="A649" t="str">
            <v>800826</v>
          </cell>
          <cell r="B649" t="str">
            <v>LDC 2</v>
          </cell>
          <cell r="C649" t="str">
            <v>01 - Cast Iron Strategic Replacement</v>
          </cell>
          <cell r="D649" t="str">
            <v>yes</v>
          </cell>
          <cell r="F649" t="str">
            <v>F0599</v>
          </cell>
          <cell r="G649" t="str">
            <v>Main Replacement - ISRS (N)</v>
          </cell>
          <cell r="H649" t="str">
            <v>Repl 670F 2-4-6P 10th &amp; Benton</v>
          </cell>
          <cell r="I649" t="str">
            <v>open</v>
          </cell>
          <cell r="J649" t="str">
            <v>Install ~10 ft of 2 in PL LP main, ~640 ft of 4 in PL LP main, and ~20 ft of 6 in PL LP main on 10th Street from Benton to Indiana.</v>
          </cell>
          <cell r="K649" t="str">
            <v>Retire ~635 ft of 4 in CI LP main, and ~20 ft of  6 in CI LP main at above location. Total Service Tie-overs = 11; Total Service Replace = 1. This is being done due to graphitization of cast iron pipe.  This has a compliance date of 3/4/2017.</v>
          </cell>
          <cell r="P649" t="str">
            <v>0401-043050  JACKSON CTY/KC</v>
          </cell>
          <cell r="Q649">
            <v>0</v>
          </cell>
          <cell r="R649">
            <v>655</v>
          </cell>
        </row>
        <row r="650">
          <cell r="A650" t="str">
            <v>008713</v>
          </cell>
          <cell r="B650" t="str">
            <v>LDC 2</v>
          </cell>
          <cell r="D650" t="str">
            <v>no</v>
          </cell>
          <cell r="F650" t="str">
            <v>F0950</v>
          </cell>
          <cell r="G650" t="str">
            <v>Power Operated Eq - MGE</v>
          </cell>
          <cell r="H650" t="str">
            <v>Purchase 4 service trucks MGE</v>
          </cell>
          <cell r="I650" t="str">
            <v>posted to CPR</v>
          </cell>
          <cell r="J650" t="str">
            <v>Purchase 4 service trucks - this is additional equipment for new crews at MGE.</v>
          </cell>
          <cell r="L650">
            <v>42551</v>
          </cell>
          <cell r="M650">
            <v>42552</v>
          </cell>
          <cell r="N650">
            <v>42586.569606481498</v>
          </cell>
          <cell r="O650">
            <v>42552</v>
          </cell>
          <cell r="P650" t="str">
            <v>0401-043050  JACKSON CTY/KC</v>
          </cell>
          <cell r="Q650">
            <v>536005.21</v>
          </cell>
          <cell r="R650">
            <v>37</v>
          </cell>
        </row>
        <row r="651">
          <cell r="A651" t="str">
            <v>012119</v>
          </cell>
          <cell r="B651" t="str">
            <v>LDC 2</v>
          </cell>
          <cell r="D651" t="str">
            <v>no</v>
          </cell>
          <cell r="F651" t="str">
            <v>F1071</v>
          </cell>
          <cell r="G651" t="str">
            <v>MGE Misc Capital</v>
          </cell>
          <cell r="H651" t="str">
            <v>MGE Central- Storage Room</v>
          </cell>
          <cell r="I651" t="str">
            <v>in service</v>
          </cell>
          <cell r="J651" t="str">
            <v>Build 6'x10' storage room with door, in records retrention area at MGE Central</v>
          </cell>
          <cell r="L651">
            <v>42582</v>
          </cell>
          <cell r="O651">
            <v>42614</v>
          </cell>
          <cell r="P651" t="str">
            <v>0401-043050  JACKSON CTY/KC</v>
          </cell>
          <cell r="Q651">
            <v>1934.96</v>
          </cell>
          <cell r="R651">
            <v>0</v>
          </cell>
        </row>
        <row r="652">
          <cell r="A652" t="str">
            <v>800569</v>
          </cell>
          <cell r="B652" t="str">
            <v>LDC 2</v>
          </cell>
          <cell r="C652" t="str">
            <v>02 - Cast Iron AOR Replacement</v>
          </cell>
          <cell r="D652" t="str">
            <v>yes</v>
          </cell>
          <cell r="F652" t="str">
            <v>F0599</v>
          </cell>
          <cell r="G652" t="str">
            <v>Main Replacement - ISRS (N)</v>
          </cell>
          <cell r="H652" t="str">
            <v>Repl w/ 30F 4P Troost AOR</v>
          </cell>
          <cell r="I652" t="str">
            <v>in service</v>
          </cell>
          <cell r="J652" t="str">
            <v>Install 30 ft of 4 in PL LP main on Troost between Missouri and Pacific Street.  Retire 30 ft of 4 in CI LP main.Total Service Tie-over = 3.</v>
          </cell>
          <cell r="K652" t="str">
            <v>This is being replaced as part of the FY16 cast iron replacement program.</v>
          </cell>
          <cell r="L652">
            <v>42636</v>
          </cell>
          <cell r="O652">
            <v>42644</v>
          </cell>
          <cell r="P652" t="str">
            <v>0401-043050  JACKSON CTY/KC</v>
          </cell>
          <cell r="Q652">
            <v>20104.23</v>
          </cell>
          <cell r="R652">
            <v>-523</v>
          </cell>
        </row>
        <row r="653">
          <cell r="A653" t="str">
            <v>800447</v>
          </cell>
          <cell r="B653" t="str">
            <v>LDC 2</v>
          </cell>
          <cell r="D653" t="str">
            <v>no</v>
          </cell>
          <cell r="F653" t="str">
            <v>F0547</v>
          </cell>
          <cell r="G653" t="str">
            <v>Street &amp; Highway Relocates ISRS (N)</v>
          </cell>
          <cell r="H653" t="str">
            <v>Rel w/ 674F 4P Coleman Crest</v>
          </cell>
          <cell r="I653" t="str">
            <v>in service</v>
          </cell>
          <cell r="J653" t="str">
            <v> Install 674 ft of 4 in LP PE main and Abandon 266 ft of 4 in LP PE main.  </v>
          </cell>
          <cell r="K653" t="str">
            <v>This main relocation is the result of the a conflict between the existing main and a new development. Not ISRS recoverable.</v>
          </cell>
          <cell r="L653">
            <v>42563</v>
          </cell>
          <cell r="O653">
            <v>42614</v>
          </cell>
          <cell r="P653" t="str">
            <v>0401-043050  JACKSON CTY/KC</v>
          </cell>
          <cell r="Q653">
            <v>33050.53</v>
          </cell>
          <cell r="R653">
            <v>-761</v>
          </cell>
        </row>
        <row r="654">
          <cell r="A654" t="str">
            <v>800037</v>
          </cell>
          <cell r="B654" t="str">
            <v>LDC 2</v>
          </cell>
          <cell r="D654" t="str">
            <v>no</v>
          </cell>
          <cell r="F654" t="str">
            <v>F0599</v>
          </cell>
          <cell r="G654" t="str">
            <v>Main Replacement - ISRS (N)</v>
          </cell>
          <cell r="H654" t="str">
            <v>Woodbridge Ln 2'' PCS Replacement</v>
          </cell>
          <cell r="I654" t="str">
            <v>in service</v>
          </cell>
          <cell r="J654" t="str">
            <v>Install approximately 225' of 2'' PE on Woodbridge Ln.  Abandon 222' of 2'' STL due to part of it currently sitting above grade.</v>
          </cell>
          <cell r="L654">
            <v>42485</v>
          </cell>
          <cell r="O654">
            <v>42552</v>
          </cell>
          <cell r="P654" t="str">
            <v>0401-043050  JACKSON CTY/KC</v>
          </cell>
          <cell r="Q654">
            <v>35005.040000000001</v>
          </cell>
          <cell r="R654">
            <v>-472</v>
          </cell>
        </row>
        <row r="655">
          <cell r="A655" t="str">
            <v>010888</v>
          </cell>
          <cell r="B655" t="str">
            <v>LDC 2</v>
          </cell>
          <cell r="D655" t="str">
            <v>no</v>
          </cell>
          <cell r="F655" t="str">
            <v>F0639</v>
          </cell>
          <cell r="G655" t="str">
            <v>EGM Equip-1st Time Installation</v>
          </cell>
          <cell r="H655" t="str">
            <v>EGM - Purch New Equip Cheddars KC</v>
          </cell>
          <cell r="I655" t="str">
            <v>open</v>
          </cell>
          <cell r="J655" t="str">
            <v>Purchase 1 Mini-Max-AT-PT for Cheddar's Kansas City Joint Venture, LLC, 8380 N. Booth Ave, KCMO 64158.  This is new equipment. Customer will reimburse company actual cost for EGM installation not to exceed $5,445.00.</v>
          </cell>
          <cell r="P655" t="str">
            <v>0401-043050  JACKSON CTY/KC</v>
          </cell>
          <cell r="Q655">
            <v>1945.32</v>
          </cell>
          <cell r="R655">
            <v>9</v>
          </cell>
        </row>
        <row r="656">
          <cell r="A656" t="str">
            <v>800253</v>
          </cell>
          <cell r="B656" t="str">
            <v>LDC 2</v>
          </cell>
          <cell r="C656" t="str">
            <v>02 - Cast Iron AOR Replacement</v>
          </cell>
          <cell r="D656" t="str">
            <v>yes</v>
          </cell>
          <cell r="F656" t="str">
            <v>F0599</v>
          </cell>
          <cell r="G656" t="str">
            <v>Main Replacement - ISRS (N)</v>
          </cell>
          <cell r="H656" t="str">
            <v>AOR - W 20th ST &amp; Broadway</v>
          </cell>
          <cell r="I656" t="str">
            <v>completed</v>
          </cell>
          <cell r="J656" t="str">
            <v>This replacement is needed due to AOR -W20th &amp; Broadway. Install 55ft  8in PL &amp; 20ft - 6in; PL. Abandon 50ft - 8in CI, 20ft - 6in CI, and 5ft - 6in ST (less than 20% of total abandonment.) Pressure system C-001 MOP 1.1# MAOP 2.2#.</v>
          </cell>
          <cell r="L656">
            <v>42551</v>
          </cell>
          <cell r="M656">
            <v>42766</v>
          </cell>
          <cell r="O656">
            <v>42522</v>
          </cell>
          <cell r="P656" t="str">
            <v>0401-043050  JACKSON CTY/KC</v>
          </cell>
          <cell r="Q656">
            <v>105363.15</v>
          </cell>
          <cell r="R656">
            <v>341</v>
          </cell>
        </row>
        <row r="657">
          <cell r="A657" t="str">
            <v>009812</v>
          </cell>
          <cell r="B657" t="str">
            <v>LDC 2</v>
          </cell>
          <cell r="D657" t="str">
            <v>no</v>
          </cell>
          <cell r="F657" t="str">
            <v>F0639</v>
          </cell>
          <cell r="G657" t="str">
            <v>EGM Equip-1st Time Installation</v>
          </cell>
          <cell r="H657" t="str">
            <v>EGM - Hoover Universal Inc.</v>
          </cell>
          <cell r="I657" t="str">
            <v>in service</v>
          </cell>
          <cell r="J657" t="str">
            <v>Install MiniMax-AT-PT for Hoover Universal at 4101 North Mattox Rd, Kansas City, MO to monitor daily gas usage of this transportation customer. Customer will reimburse company actual cost for EGM installation not to exceed $5,445.00.</v>
          </cell>
          <cell r="L657">
            <v>42443</v>
          </cell>
          <cell r="O657">
            <v>42461</v>
          </cell>
          <cell r="P657" t="str">
            <v>0401-043050  JACKSON CTY/KC</v>
          </cell>
          <cell r="Q657">
            <v>1936.42</v>
          </cell>
          <cell r="R657">
            <v>9</v>
          </cell>
        </row>
        <row r="658">
          <cell r="A658" t="str">
            <v>009245</v>
          </cell>
          <cell r="B658" t="str">
            <v>LDC 2</v>
          </cell>
          <cell r="D658" t="str">
            <v>no</v>
          </cell>
          <cell r="E658" t="str">
            <v>20401155504</v>
          </cell>
          <cell r="F658" t="str">
            <v>F0597</v>
          </cell>
          <cell r="G658" t="str">
            <v>Other</v>
          </cell>
          <cell r="H658" t="str">
            <v>Blue River Rd DRS 752 New Mayfair</v>
          </cell>
          <cell r="I658" t="str">
            <v>posted to CPR</v>
          </cell>
          <cell r="J658" t="str">
            <v>Blue River Rd DRS 752 New Mayfair: Kansas City-Jackson: Purchase P&amp;M Equipment  3780/3790/3850 (32-397)</v>
          </cell>
          <cell r="K658" t="str">
            <v>Approved by: Gary Williams on 08/14/2015,  Purchase qty 2) new controllers for raise lower of the 2) DRS Operator regulators at the newly relocated DRS site.  Previous controllers are no longer functional or repairable.</v>
          </cell>
          <cell r="L658">
            <v>42443</v>
          </cell>
          <cell r="M658">
            <v>42675</v>
          </cell>
          <cell r="N658">
            <v>42742.624837962998</v>
          </cell>
          <cell r="O658">
            <v>42461</v>
          </cell>
          <cell r="P658" t="str">
            <v>0401-043050  JACKSON CTY/KC</v>
          </cell>
          <cell r="Q658">
            <v>4717.1499999999996</v>
          </cell>
          <cell r="R658">
            <v>6</v>
          </cell>
        </row>
        <row r="659">
          <cell r="A659" t="str">
            <v>008794</v>
          </cell>
          <cell r="B659" t="str">
            <v>LDC 2</v>
          </cell>
          <cell r="D659" t="str">
            <v>no</v>
          </cell>
          <cell r="F659" t="str">
            <v>F0950</v>
          </cell>
          <cell r="G659" t="str">
            <v>Power Operated Eq - MGE</v>
          </cell>
          <cell r="H659" t="str">
            <v>Purchase (3) welders. MGE*</v>
          </cell>
          <cell r="I659" t="str">
            <v>posted to CPR</v>
          </cell>
          <cell r="J659" t="str">
            <v>Purchase 3 welders for new crews MGE</v>
          </cell>
          <cell r="L659">
            <v>42277</v>
          </cell>
          <cell r="M659">
            <v>42400</v>
          </cell>
          <cell r="N659">
            <v>42467.490740740701</v>
          </cell>
          <cell r="O659">
            <v>42339</v>
          </cell>
          <cell r="P659" t="str">
            <v>0401-043050  JACKSON CTY/KC</v>
          </cell>
          <cell r="Q659">
            <v>47436.18</v>
          </cell>
          <cell r="R659">
            <v>9</v>
          </cell>
        </row>
        <row r="660">
          <cell r="A660" t="str">
            <v>008810</v>
          </cell>
          <cell r="B660" t="str">
            <v>LDC 2</v>
          </cell>
          <cell r="D660" t="str">
            <v>no</v>
          </cell>
          <cell r="F660" t="str">
            <v>F0950</v>
          </cell>
          <cell r="G660" t="str">
            <v>Power Operated Eq - MGE</v>
          </cell>
          <cell r="H660" t="str">
            <v>Purchase (2) heavy trucks. MGE*</v>
          </cell>
          <cell r="I660" t="str">
            <v>posted to CPR</v>
          </cell>
          <cell r="J660" t="str">
            <v>Purchase 2 trucks to pull bore rigs for additional crews MGE*</v>
          </cell>
          <cell r="K660" t="str">
            <v>Revised 8-6-15</v>
          </cell>
          <cell r="L660">
            <v>42338</v>
          </cell>
          <cell r="M660">
            <v>42400</v>
          </cell>
          <cell r="N660">
            <v>42467.490763888898</v>
          </cell>
          <cell r="O660">
            <v>42339</v>
          </cell>
          <cell r="P660" t="str">
            <v>0401-043050  JACKSON CTY/KC</v>
          </cell>
          <cell r="Q660">
            <v>188775.92</v>
          </cell>
          <cell r="R660">
            <v>2</v>
          </cell>
        </row>
        <row r="661">
          <cell r="A661" t="str">
            <v>008968</v>
          </cell>
          <cell r="B661" t="str">
            <v>LDC 2</v>
          </cell>
          <cell r="D661" t="str">
            <v>no</v>
          </cell>
          <cell r="E661" t="str">
            <v>20401155435</v>
          </cell>
          <cell r="F661" t="str">
            <v>F0658</v>
          </cell>
          <cell r="G661" t="str">
            <v>Services -  2" &amp; larger</v>
          </cell>
          <cell r="H661" t="str">
            <v>1012 Bales Service</v>
          </cell>
          <cell r="I661" t="str">
            <v>posted to CPR</v>
          </cell>
          <cell r="J661" t="str">
            <v>1012 Bales Service: Kansas City-Jackson: New Services 2in &amp; Larger  3800 (33-381)</v>
          </cell>
          <cell r="K661" t="str">
            <v>Approved by: Ray Wilson on 07/20/2015,  Leaks. Meter needs to be moved to building. Add 40' of 3'' PE to service line.</v>
          </cell>
          <cell r="L661">
            <v>42233</v>
          </cell>
          <cell r="M661">
            <v>42460</v>
          </cell>
          <cell r="N661">
            <v>42467.399375000001</v>
          </cell>
          <cell r="O661">
            <v>42217</v>
          </cell>
          <cell r="P661" t="str">
            <v>0401-043050  JACKSON CTY/KC</v>
          </cell>
          <cell r="Q661">
            <v>103210.04</v>
          </cell>
          <cell r="R661">
            <v>-54.75</v>
          </cell>
        </row>
        <row r="662">
          <cell r="A662" t="str">
            <v>005517</v>
          </cell>
          <cell r="B662" t="str">
            <v>LDC 2</v>
          </cell>
          <cell r="D662" t="str">
            <v>yes</v>
          </cell>
          <cell r="E662" t="str">
            <v>20401143560</v>
          </cell>
          <cell r="F662" t="str">
            <v>F0599</v>
          </cell>
          <cell r="G662" t="str">
            <v>Main Replacement - ISRS (N)</v>
          </cell>
          <cell r="H662" t="str">
            <v>20th &amp; Monroe Repl CI w 1122'-2in P</v>
          </cell>
          <cell r="I662" t="str">
            <v>posted to CPR</v>
          </cell>
          <cell r="J662" t="str">
            <v>20th &amp; Monroe Repl CI w 1122'-2in PE main: Kansas City-Jackson: Replace Cast Iron Main - 3760 Safety Related (34-412)</v>
          </cell>
          <cell r="K662" t="str">
            <v>Approved by: Gary Williams on 06/13/2014,  ISRS Replace 1124' of 4'' CI with 2'' PE (due to graphitization). Current CI is tied onto pressure system: C-1 . New 2'' PE tie in will be on 16'' CS. Service tie overs 14. Pressure system:C-3. Be sure to abandon east of CI break 12-1014.</v>
          </cell>
          <cell r="L662">
            <v>41841</v>
          </cell>
          <cell r="M662">
            <v>41912</v>
          </cell>
          <cell r="N662">
            <v>42006.327638888899</v>
          </cell>
          <cell r="O662">
            <v>41821</v>
          </cell>
          <cell r="P662" t="str">
            <v>0401-043050  JACKSON CTY/KC</v>
          </cell>
          <cell r="Q662">
            <v>11837.31</v>
          </cell>
          <cell r="R662">
            <v>-925</v>
          </cell>
        </row>
        <row r="663">
          <cell r="A663" t="str">
            <v>005013</v>
          </cell>
          <cell r="B663" t="str">
            <v>LDC 2</v>
          </cell>
          <cell r="D663" t="str">
            <v>no</v>
          </cell>
          <cell r="E663" t="str">
            <v>20401143486</v>
          </cell>
          <cell r="F663" t="str">
            <v>F0660</v>
          </cell>
          <cell r="G663" t="str">
            <v>Meter &amp; Reg Settings 2" &amp; Lg (N)</v>
          </cell>
          <cell r="H663" t="str">
            <v>Food Service 3M Mtr Facility KC Zoo</v>
          </cell>
          <cell r="I663" t="str">
            <v>posted to CPR</v>
          </cell>
          <cell r="J663" t="str">
            <v>Food Service 3M Mtr Facility KC Zoo: Kansas City-Jackson: New Meter &amp; Reg Settings - 2in &amp; Larger 3820/3830 (33-382)</v>
          </cell>
          <cell r="K663" t="str">
            <v>Approved by: Michael Fornelli on 04/14/2014,  This work is necessary to install a 3M Roots meter for one new commercial customer. We'll install a 2in B34 IMRV regulator at 14in WC for a connected load of 3679cfh.</v>
          </cell>
          <cell r="L663">
            <v>41746</v>
          </cell>
          <cell r="M663">
            <v>41883</v>
          </cell>
          <cell r="N663">
            <v>41918.570150462998</v>
          </cell>
          <cell r="O663">
            <v>41852</v>
          </cell>
          <cell r="P663" t="str">
            <v>0401-043050  JACKSON CTY/KC</v>
          </cell>
          <cell r="Q663">
            <v>1199.77</v>
          </cell>
          <cell r="R663">
            <v>-32</v>
          </cell>
        </row>
        <row r="664">
          <cell r="A664" t="str">
            <v>004971</v>
          </cell>
          <cell r="B664" t="str">
            <v>LDC 2</v>
          </cell>
          <cell r="D664" t="str">
            <v>yes</v>
          </cell>
          <cell r="E664" t="str">
            <v>20401143390</v>
          </cell>
          <cell r="F664" t="str">
            <v>F0613</v>
          </cell>
          <cell r="G664" t="str">
            <v>Replace bare steel main - safety re</v>
          </cell>
          <cell r="H664" t="str">
            <v>AOR 1837 E 48th Ter Repl CI w 500'-</v>
          </cell>
          <cell r="I664" t="str">
            <v>posted to CPR</v>
          </cell>
          <cell r="J664" t="str">
            <v>AOR 1837 E 48th Ter Repl CI w 500'-6in PE main: Kansas City-Jackson: Replace Cast Iron Main - 3760 Safety Related (34-412)</v>
          </cell>
          <cell r="K664" t="str">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ell>
          <cell r="L664">
            <v>41778</v>
          </cell>
          <cell r="M664">
            <v>41882</v>
          </cell>
          <cell r="N664">
            <v>41936.625752314802</v>
          </cell>
          <cell r="O664">
            <v>41791</v>
          </cell>
          <cell r="P664" t="str">
            <v>0401-043050  JACKSON CTY/KC</v>
          </cell>
          <cell r="Q664">
            <v>15710.63</v>
          </cell>
          <cell r="R664">
            <v>-940.4</v>
          </cell>
        </row>
        <row r="665">
          <cell r="A665" t="str">
            <v>003974</v>
          </cell>
          <cell r="B665" t="str">
            <v>LDC 2</v>
          </cell>
          <cell r="D665" t="str">
            <v>no</v>
          </cell>
          <cell r="E665" t="str">
            <v>20401050373</v>
          </cell>
          <cell r="F665" t="str">
            <v>F0543</v>
          </cell>
          <cell r="G665" t="str">
            <v>BWO Mtr/Reg Repl - SLRP ISRS (N)</v>
          </cell>
          <cell r="H665" t="str">
            <v>BWO-Repl Mtr Set (SLRP) - North</v>
          </cell>
          <cell r="I665" t="str">
            <v>open</v>
          </cell>
          <cell r="J665" t="str">
            <v>BWO-Replace Meter Set (SLRP) - North Region</v>
          </cell>
          <cell r="K665" t="str">
            <v>Service/Yard Line Replacement (SLRP): Company or Contract Crew.  Rebuild meter/regulator setting (exclude regulator) - North Region</v>
          </cell>
          <cell r="O665">
            <v>41730</v>
          </cell>
          <cell r="P665" t="str">
            <v>0401-043050  JACKSON CTY/KC</v>
          </cell>
          <cell r="Q665">
            <v>2272254.4700000002</v>
          </cell>
          <cell r="R665">
            <v>317007.28000000003</v>
          </cell>
        </row>
        <row r="666">
          <cell r="A666" t="str">
            <v>004670</v>
          </cell>
          <cell r="B666" t="str">
            <v>LDC 2</v>
          </cell>
          <cell r="D666" t="str">
            <v>yes</v>
          </cell>
          <cell r="E666" t="str">
            <v>20401133038</v>
          </cell>
          <cell r="F666" t="str">
            <v>F0599</v>
          </cell>
          <cell r="G666" t="str">
            <v>Main Replacement - ISRS (N)</v>
          </cell>
          <cell r="H666" t="str">
            <v>AOR Repl CI w 125'-6in PE main</v>
          </cell>
          <cell r="I666" t="str">
            <v>posted to CPR</v>
          </cell>
          <cell r="J666" t="str">
            <v>AOR Repl CI w 125'-6in PE main: Kansas City-Jackson: 1448 E. 66th Ter</v>
          </cell>
          <cell r="K666" t="str">
            <v>Approved by: Kevin Driskell on 10/31/2013,  AOR.  Replace 6" CI with 125'-6in PE due to angle of repose.  Six feet of 6" CI main was exposed 140' to 146' WCL of Wayne.  This job must be completed by Dec. 24, 2013.  Tie-over 3 services.  COST PER FOOT $153.88.  Retire 120'-6in CI, year unknown, 2201; 5'-6in PE, 2011, 11-8030; install 125'-6in PE main.</v>
          </cell>
          <cell r="L666">
            <v>41611</v>
          </cell>
          <cell r="M666">
            <v>41697</v>
          </cell>
          <cell r="N666">
            <v>41698.505208333299</v>
          </cell>
          <cell r="O666">
            <v>41730</v>
          </cell>
          <cell r="P666" t="str">
            <v>0401-043050  JACKSON CTY/KC</v>
          </cell>
          <cell r="Q666">
            <v>30169.4</v>
          </cell>
          <cell r="R666">
            <v>1340</v>
          </cell>
        </row>
        <row r="667">
          <cell r="A667" t="str">
            <v>004468</v>
          </cell>
          <cell r="B667" t="str">
            <v>LDC 2</v>
          </cell>
          <cell r="D667" t="str">
            <v>yes</v>
          </cell>
          <cell r="E667" t="str">
            <v>20401132966</v>
          </cell>
          <cell r="F667" t="str">
            <v>F0599</v>
          </cell>
          <cell r="G667" t="str">
            <v>Main Replacement - ISRS (N)</v>
          </cell>
          <cell r="H667" t="str">
            <v>AOR 33rd &amp; Wayne Repl CI w 120'-4in</v>
          </cell>
          <cell r="I667" t="str">
            <v>posted to CPR</v>
          </cell>
          <cell r="J667" t="str">
            <v>AOR 33rd &amp; Wayne Repl CI w 120'-4in TF Steel main: Kansas City-Jackson: E 33rd and Wayne</v>
          </cell>
          <cell r="K667" t="str">
            <v>Approved by: Gary Williams on 09/27/2013,  AOR.  Replace 120 feet of 4IN CI with 120'-4IN PE due to angle of repose.  Main is in angle of repose due to parallel excavation of water line.  AOR occured on the NW corner of Wayne and E 33rd.  Exact location not noted in Dig Track.  NOTE: 20" PCS HIGH PRESSURE MAIN IS AREA.  JOB MUST BE COMPLETED BY NOV, 20, 2013.  COST PER FOOT $278.58 RETIRE 120'-4IN CAST IRON, YEAR 1922</v>
          </cell>
          <cell r="L667">
            <v>41589</v>
          </cell>
          <cell r="M667">
            <v>41670</v>
          </cell>
          <cell r="N667">
            <v>41710.614594907398</v>
          </cell>
          <cell r="O667">
            <v>41730</v>
          </cell>
          <cell r="P667" t="str">
            <v>0401-043050  JACKSON CTY/KC</v>
          </cell>
          <cell r="Q667">
            <v>37778.550000000003</v>
          </cell>
          <cell r="R667">
            <v>279</v>
          </cell>
        </row>
        <row r="668">
          <cell r="A668" t="str">
            <v>004004</v>
          </cell>
          <cell r="B668" t="str">
            <v>LDC 2</v>
          </cell>
          <cell r="D668" t="str">
            <v>yes</v>
          </cell>
          <cell r="E668" t="str">
            <v>20401132624</v>
          </cell>
          <cell r="F668" t="str">
            <v>F0599</v>
          </cell>
          <cell r="G668" t="str">
            <v>Main Replacement - ISRS (N)</v>
          </cell>
          <cell r="H668" t="str">
            <v>AOR 56th &amp; Chestnut Repl CI w 1055'</v>
          </cell>
          <cell r="I668" t="str">
            <v>posted to CPR</v>
          </cell>
          <cell r="J668" t="str">
            <v>AOR 56th &amp; Chestnut Repl CI w 1055'-4in PE main: Kansas City-Jackson: Chestnut ave and 56th</v>
          </cell>
          <cell r="K668" t="str">
            <v>Approved by: Gary Williams on 07/09/2013,  Replace 6in CI (WO B39P61) with 4in PE due to AOR and 2 CI Breaks. Total length will be 1055' from 57TH St. past 56TH St. on Chestnut Ave until the last service at 5521 Chestnut Ave. A 2in Bypass will be required since it is a one-way feed. Due 8/7/13. AOR #130170842. CI BREAK 1- 10-959, CI BREAK 2- 13-1036</v>
          </cell>
          <cell r="L668">
            <v>41481</v>
          </cell>
          <cell r="M668">
            <v>41575</v>
          </cell>
          <cell r="N668">
            <v>41576.418449074103</v>
          </cell>
          <cell r="P668" t="str">
            <v>0401-043050  JACKSON CTY/KC</v>
          </cell>
          <cell r="Q668">
            <v>71743.14</v>
          </cell>
          <cell r="R668">
            <v>3868.3</v>
          </cell>
        </row>
        <row r="669">
          <cell r="A669" t="str">
            <v>003978</v>
          </cell>
          <cell r="B669" t="str">
            <v>LDC 2</v>
          </cell>
          <cell r="D669" t="str">
            <v>yes</v>
          </cell>
          <cell r="E669" t="str">
            <v>20401050362</v>
          </cell>
          <cell r="F669" t="str">
            <v>F0582</v>
          </cell>
          <cell r="G669" t="str">
            <v>SLRP - block by block - company cre</v>
          </cell>
          <cell r="H669" t="str">
            <v>BWO SERVICE REPL BLOCK COMPANY</v>
          </cell>
          <cell r="I669" t="str">
            <v>open</v>
          </cell>
          <cell r="J669" t="str">
            <v>BWO SERVICE REPL BLOCK COMPANY</v>
          </cell>
          <cell r="K669" t="str">
            <v>Service/Yard Line Replacement (SLRP): Company Crew.  Block by Block - Planned replacement of all unprotected steel or copper in a single block.  (Kansas City)</v>
          </cell>
          <cell r="O669">
            <v>42461</v>
          </cell>
          <cell r="P669" t="str">
            <v>0401-043050  JACKSON CTY/KC</v>
          </cell>
          <cell r="Q669">
            <v>10698.82</v>
          </cell>
          <cell r="R669">
            <v>55.7</v>
          </cell>
        </row>
        <row r="670">
          <cell r="A670" t="str">
            <v>005546</v>
          </cell>
          <cell r="B670" t="str">
            <v>LDC 2</v>
          </cell>
          <cell r="D670" t="str">
            <v>no</v>
          </cell>
          <cell r="F670" t="str">
            <v>F0680</v>
          </cell>
          <cell r="G670" t="str">
            <v>Regulatory Assets MGE</v>
          </cell>
          <cell r="H670" t="str">
            <v>Reg Assets - Energy Eff - MGE</v>
          </cell>
          <cell r="I670" t="str">
            <v>open</v>
          </cell>
          <cell r="J670" t="str">
            <v>Regulatory Assets - Energy Efficiency Program - MGE (LDC2)</v>
          </cell>
          <cell r="P670" t="str">
            <v>Expense Only</v>
          </cell>
          <cell r="Q670">
            <v>4313055.37</v>
          </cell>
          <cell r="R670">
            <v>2938499</v>
          </cell>
        </row>
        <row r="671">
          <cell r="A671" t="str">
            <v>004769</v>
          </cell>
          <cell r="B671" t="str">
            <v>LDC 2</v>
          </cell>
          <cell r="D671" t="str">
            <v>no</v>
          </cell>
          <cell r="E671" t="str">
            <v>21841710000</v>
          </cell>
          <cell r="F671" t="str">
            <v>F0732</v>
          </cell>
          <cell r="G671" t="str">
            <v>Transportation &amp; Eq Clrg MGE</v>
          </cell>
          <cell r="H671" t="str">
            <v>Fleet Clrg - 21841710000 MGE</v>
          </cell>
          <cell r="I671" t="str">
            <v>open</v>
          </cell>
          <cell r="J671" t="str">
            <v>Fleet Clrg - 21841710000 MGE</v>
          </cell>
          <cell r="P671" t="str">
            <v>Expense Only</v>
          </cell>
          <cell r="Q671">
            <v>13696.43</v>
          </cell>
          <cell r="R671">
            <v>16.5</v>
          </cell>
        </row>
        <row r="672">
          <cell r="A672" t="str">
            <v>004766</v>
          </cell>
          <cell r="B672" t="str">
            <v>LDC 2</v>
          </cell>
          <cell r="D672" t="str">
            <v>no</v>
          </cell>
          <cell r="E672" t="str">
            <v>21841503000</v>
          </cell>
          <cell r="F672" t="str">
            <v>F0732</v>
          </cell>
          <cell r="G672" t="str">
            <v>Transportation &amp; Eq Clrg MGE</v>
          </cell>
          <cell r="H672" t="str">
            <v>Fleet Clrg - 21841503000 MGE</v>
          </cell>
          <cell r="I672" t="str">
            <v>open</v>
          </cell>
          <cell r="J672" t="str">
            <v>Fleet Clrg - 21841503000 MGE</v>
          </cell>
          <cell r="P672" t="str">
            <v>Expense Only</v>
          </cell>
          <cell r="Q672">
            <v>758.38</v>
          </cell>
          <cell r="R672">
            <v>21</v>
          </cell>
        </row>
        <row r="673">
          <cell r="A673" t="str">
            <v>004845</v>
          </cell>
          <cell r="B673" t="str">
            <v>LDC 2</v>
          </cell>
          <cell r="D673" t="str">
            <v>no</v>
          </cell>
          <cell r="E673" t="str">
            <v>29260300000</v>
          </cell>
          <cell r="F673" t="str">
            <v>F0728</v>
          </cell>
          <cell r="G673" t="str">
            <v>Empl Benefits - Other MGE</v>
          </cell>
          <cell r="H673" t="str">
            <v>EAP MGE</v>
          </cell>
          <cell r="I673" t="str">
            <v>open</v>
          </cell>
          <cell r="J673" t="str">
            <v>EAP MGE</v>
          </cell>
          <cell r="P673" t="str">
            <v>Expense Only</v>
          </cell>
          <cell r="Q673">
            <v>0</v>
          </cell>
          <cell r="R673">
            <v>0</v>
          </cell>
        </row>
        <row r="674">
          <cell r="A674" t="str">
            <v>004843</v>
          </cell>
          <cell r="B674" t="str">
            <v>LDC 2</v>
          </cell>
          <cell r="D674" t="str">
            <v>no</v>
          </cell>
          <cell r="E674" t="str">
            <v>29260100324</v>
          </cell>
          <cell r="F674" t="str">
            <v>F0728</v>
          </cell>
          <cell r="G674" t="str">
            <v>Empl Benefits - Other MGE</v>
          </cell>
          <cell r="H674" t="str">
            <v>Life Insurance MGE</v>
          </cell>
          <cell r="I674" t="str">
            <v>open</v>
          </cell>
          <cell r="J674" t="str">
            <v>Life Insurance MGE</v>
          </cell>
          <cell r="P674" t="str">
            <v>Expense Only</v>
          </cell>
          <cell r="Q674">
            <v>489747.53</v>
          </cell>
          <cell r="R674">
            <v>0</v>
          </cell>
        </row>
        <row r="675">
          <cell r="A675" t="str">
            <v>004729</v>
          </cell>
          <cell r="B675" t="str">
            <v>LDC 2</v>
          </cell>
          <cell r="D675" t="str">
            <v>no</v>
          </cell>
          <cell r="E675" t="str">
            <v>28800000000</v>
          </cell>
          <cell r="F675" t="str">
            <v>F0704</v>
          </cell>
          <cell r="G675" t="str">
            <v>Other Distribution Exp MGE</v>
          </cell>
          <cell r="H675" t="str">
            <v>Other Distribution Exp MGE</v>
          </cell>
          <cell r="I675" t="str">
            <v>open</v>
          </cell>
          <cell r="J675" t="str">
            <v>Other Distribution Exp MGE</v>
          </cell>
          <cell r="P675" t="str">
            <v>Expense Only</v>
          </cell>
          <cell r="Q675">
            <v>12053029.939999999</v>
          </cell>
          <cell r="R675">
            <v>1889759.28</v>
          </cell>
        </row>
        <row r="676">
          <cell r="A676" t="str">
            <v>004710</v>
          </cell>
          <cell r="B676" t="str">
            <v>LDC 2</v>
          </cell>
          <cell r="D676" t="str">
            <v>no</v>
          </cell>
          <cell r="F676" t="str">
            <v>F0692</v>
          </cell>
          <cell r="G676" t="str">
            <v>Inc Deductions Life Ins MGE</v>
          </cell>
          <cell r="H676" t="str">
            <v>Inc Deductions Life Ins MGE</v>
          </cell>
          <cell r="I676" t="str">
            <v>open</v>
          </cell>
          <cell r="J676" t="str">
            <v>Inc Deductions Life Ins MGE</v>
          </cell>
          <cell r="P676" t="str">
            <v>Expense Only</v>
          </cell>
          <cell r="Q676">
            <v>366.29</v>
          </cell>
          <cell r="R676">
            <v>2.5</v>
          </cell>
        </row>
        <row r="677">
          <cell r="A677" t="str">
            <v>004705</v>
          </cell>
          <cell r="B677" t="str">
            <v>LDC 2</v>
          </cell>
          <cell r="D677" t="str">
            <v>no</v>
          </cell>
          <cell r="E677" t="str">
            <v>21841404000</v>
          </cell>
          <cell r="F677" t="str">
            <v>F0732</v>
          </cell>
          <cell r="G677" t="str">
            <v>Transportation &amp; Eq Clrg MGE</v>
          </cell>
          <cell r="H677" t="str">
            <v>Fleet Clrg - 21841404000 MGE</v>
          </cell>
          <cell r="I677" t="str">
            <v>open</v>
          </cell>
          <cell r="J677" t="str">
            <v>Fleet Clrg - 21841404000 MGE</v>
          </cell>
          <cell r="P677" t="str">
            <v>Expense Only</v>
          </cell>
          <cell r="Q677">
            <v>26840.44</v>
          </cell>
          <cell r="R677">
            <v>2009</v>
          </cell>
        </row>
        <row r="678">
          <cell r="A678" t="str">
            <v>004692</v>
          </cell>
          <cell r="B678" t="str">
            <v>LDC 2</v>
          </cell>
          <cell r="D678" t="str">
            <v>no</v>
          </cell>
          <cell r="E678" t="str">
            <v>21841202000</v>
          </cell>
          <cell r="F678" t="str">
            <v>F0732</v>
          </cell>
          <cell r="G678" t="str">
            <v>Transportation &amp; Eq Clrg MGE</v>
          </cell>
          <cell r="H678" t="str">
            <v>Fleet Clrg - 21841202000 MGE</v>
          </cell>
          <cell r="I678" t="str">
            <v>open</v>
          </cell>
          <cell r="J678" t="str">
            <v>Fleet Clrg - 21841202000 MGE</v>
          </cell>
          <cell r="P678" t="str">
            <v>Expense Only</v>
          </cell>
          <cell r="Q678">
            <v>177034.02</v>
          </cell>
          <cell r="R678">
            <v>3600</v>
          </cell>
        </row>
        <row r="679">
          <cell r="A679" t="str">
            <v>004824</v>
          </cell>
          <cell r="B679" t="str">
            <v>LDC 2</v>
          </cell>
          <cell r="D679" t="str">
            <v>no</v>
          </cell>
          <cell r="E679" t="str">
            <v>222820GILBC</v>
          </cell>
          <cell r="F679" t="str">
            <v>F0688</v>
          </cell>
          <cell r="G679" t="str">
            <v>Misc Cur &amp; Accr Liab-EPA MGE</v>
          </cell>
          <cell r="H679" t="str">
            <v>Prov Res-Env Gilis Courtny Rdg</v>
          </cell>
          <cell r="I679" t="str">
            <v>open</v>
          </cell>
          <cell r="J679" t="str">
            <v>Prov Res-Env Gilis Courtny Rdg</v>
          </cell>
          <cell r="P679" t="str">
            <v>Expense Only</v>
          </cell>
          <cell r="Q679">
            <v>216.03</v>
          </cell>
          <cell r="R679">
            <v>-49</v>
          </cell>
        </row>
        <row r="680">
          <cell r="A680" t="str">
            <v>009835</v>
          </cell>
          <cell r="B680" t="str">
            <v>LDC 2</v>
          </cell>
          <cell r="D680" t="str">
            <v>no</v>
          </cell>
          <cell r="F680" t="str">
            <v>F1172</v>
          </cell>
          <cell r="G680" t="str">
            <v>Right-Of-Way - MGE</v>
          </cell>
          <cell r="H680" t="str">
            <v>BWO-Right of Way-MGE Southwest Reg</v>
          </cell>
          <cell r="I680" t="str">
            <v>open</v>
          </cell>
          <cell r="J680" t="str">
            <v>BWO-Right of Way-MGE Southwest Region</v>
          </cell>
          <cell r="K680" t="str">
            <v>Requested per Tod Fagan 11-25-15</v>
          </cell>
          <cell r="O680">
            <v>42461</v>
          </cell>
          <cell r="P680" t="str">
            <v>0501-044001  JASPER CTY/JOPLIN</v>
          </cell>
          <cell r="Q680">
            <v>4125</v>
          </cell>
          <cell r="R680">
            <v>0</v>
          </cell>
        </row>
        <row r="681">
          <cell r="A681" t="str">
            <v>800023</v>
          </cell>
          <cell r="B681" t="str">
            <v>LDC 2</v>
          </cell>
          <cell r="C681" t="str">
            <v>09 - Facility Relocation due to Civic Improvement</v>
          </cell>
          <cell r="D681" t="str">
            <v>yes</v>
          </cell>
          <cell r="F681" t="str">
            <v>F0664</v>
          </cell>
          <cell r="G681" t="str">
            <v>Street &amp; Hwy Relocates ISRS (SW)</v>
          </cell>
          <cell r="H681" t="str">
            <v>13th and Maiden Lane Relocation</v>
          </cell>
          <cell r="I681" t="str">
            <v>in service</v>
          </cell>
          <cell r="J681" t="str">
            <v>Replace 4in BS, 4in CS, 6in PE and 6in CS with 1425ft of 4in PE and 80ft 4in CST due to isolated bare steel and proposed city improvements. Project Location: 13th and Maiden Lane/Junge Blvd.</v>
          </cell>
          <cell r="K681" t="str">
            <v>System: C-1. MOP: 58 PSIG. MAOP: 58 PSIG. Design: 66 PSIG. Test: 100 PSIG. Services: 1 Leaks: 0 Price: $44.79/ft ($67,414.22) ISRS</v>
          </cell>
          <cell r="L681">
            <v>42613</v>
          </cell>
          <cell r="O681">
            <v>42583</v>
          </cell>
          <cell r="P681" t="str">
            <v>0501-044001  JASPER CTY/JOPLIN</v>
          </cell>
          <cell r="Q681">
            <v>135411.20000000001</v>
          </cell>
          <cell r="R681">
            <v>-3678</v>
          </cell>
        </row>
        <row r="682">
          <cell r="A682" t="str">
            <v>008402</v>
          </cell>
          <cell r="B682" t="str">
            <v>LDC 2</v>
          </cell>
          <cell r="D682" t="str">
            <v>no</v>
          </cell>
          <cell r="E682" t="str">
            <v>20501155291</v>
          </cell>
          <cell r="F682" t="str">
            <v>F0485</v>
          </cell>
          <cell r="G682" t="str">
            <v>Tools, Instruments &amp; Equipment (SW)</v>
          </cell>
          <cell r="H682" t="str">
            <v>Tools Purchase Pipe Scrapers-Joplin</v>
          </cell>
          <cell r="I682" t="str">
            <v>posted to CPR</v>
          </cell>
          <cell r="J682" t="str">
            <v>Tools Purchase Pipe Scrapers for Joplin C and M: Joplin: Purchase Tools, Instruments &amp; Equipment  3940 (37-366)</v>
          </cell>
          <cell r="K682" t="str">
            <v>Approved by: Michael Fornelli on 05/04/2015,  Purchase 3 - 1 1/4", 3 - 2", 2 - 3" and 2 - 4" pipe scrapers for Joplin C&amp;M.</v>
          </cell>
          <cell r="L682">
            <v>42235</v>
          </cell>
          <cell r="M682">
            <v>42491</v>
          </cell>
          <cell r="N682">
            <v>42527.512083333299</v>
          </cell>
          <cell r="O682">
            <v>42217</v>
          </cell>
          <cell r="P682" t="str">
            <v>0501-044001  JASPER CTY/JOPLIN</v>
          </cell>
          <cell r="Q682">
            <v>4901.72</v>
          </cell>
          <cell r="R682">
            <v>10</v>
          </cell>
        </row>
        <row r="683">
          <cell r="A683" t="str">
            <v>007507</v>
          </cell>
          <cell r="B683" t="str">
            <v>LDC 2</v>
          </cell>
          <cell r="D683" t="str">
            <v>yes</v>
          </cell>
          <cell r="E683" t="str">
            <v>20501144063</v>
          </cell>
          <cell r="F683" t="str">
            <v>F0664</v>
          </cell>
          <cell r="G683" t="str">
            <v>Street &amp; Hwy Relocates ISRS (SW)</v>
          </cell>
          <cell r="H683" t="str">
            <v>Relocate 10in PE Main due to Storm</v>
          </cell>
          <cell r="I683" t="str">
            <v>posted to CPR</v>
          </cell>
          <cell r="J683" t="str">
            <v>Relocate 10in PE Main due to Storm Improvements: Joplin: Relocate for Street &amp; Highway-Public Improvements (44-388)</v>
          </cell>
          <cell r="K683" t="str">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ell>
          <cell r="L683">
            <v>42200</v>
          </cell>
          <cell r="M683">
            <v>42429</v>
          </cell>
          <cell r="N683">
            <v>42527.511458333298</v>
          </cell>
          <cell r="O683">
            <v>42278</v>
          </cell>
          <cell r="P683" t="str">
            <v>0501-044001  JASPER CTY/JOPLIN</v>
          </cell>
          <cell r="Q683">
            <v>174080.97</v>
          </cell>
          <cell r="R683">
            <v>-1477.5</v>
          </cell>
        </row>
        <row r="684">
          <cell r="A684" t="str">
            <v>006738</v>
          </cell>
          <cell r="B684" t="str">
            <v>LDC 2</v>
          </cell>
          <cell r="D684" t="str">
            <v>yes</v>
          </cell>
          <cell r="E684" t="str">
            <v>2050143908</v>
          </cell>
          <cell r="F684" t="str">
            <v>F0544</v>
          </cell>
          <cell r="G684" t="str">
            <v>Replace bare steel main - safety re</v>
          </cell>
          <cell r="H684" t="str">
            <v>Replace with 975ft of 2in due to CP</v>
          </cell>
          <cell r="I684" t="str">
            <v>posted to CPR</v>
          </cell>
          <cell r="J684" t="str">
            <v>Replace with 975ft of 2in due to CP : Joplin: Replace Bare Steel Main - 3760 Safety Related (34-394)</v>
          </cell>
          <cell r="K684" t="str">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ell>
          <cell r="L684">
            <v>42199</v>
          </cell>
          <cell r="M684">
            <v>42370</v>
          </cell>
          <cell r="N684">
            <v>42496.560034722199</v>
          </cell>
          <cell r="O684">
            <v>42339</v>
          </cell>
          <cell r="P684" t="str">
            <v>0501-044001  JASPER CTY/JOPLIN</v>
          </cell>
          <cell r="Q684">
            <v>43243.97</v>
          </cell>
          <cell r="R684">
            <v>-508.45</v>
          </cell>
        </row>
        <row r="685">
          <cell r="A685" t="str">
            <v>006431</v>
          </cell>
          <cell r="B685" t="str">
            <v>LDC 2</v>
          </cell>
          <cell r="D685" t="str">
            <v>yes</v>
          </cell>
          <cell r="E685" t="str">
            <v>20501143693</v>
          </cell>
          <cell r="F685" t="str">
            <v>F0664</v>
          </cell>
          <cell r="G685" t="str">
            <v>Street &amp; Hwy Relocates ISRS (SW)</v>
          </cell>
          <cell r="H685" t="str">
            <v>Relocate Main Due to Sidewalk Proje</v>
          </cell>
          <cell r="I685" t="str">
            <v>posted to CPR</v>
          </cell>
          <cell r="J685" t="str">
            <v>Relocate Main Due to Sidewalk Project 28th: Joplin: Relocate for Street &amp; Highway-Public Improvements (44-388)</v>
          </cell>
          <cell r="K685" t="str">
            <v>Approved by: Galen Shoemaker on 09/15/2014,  Abandon 744' - 3" PCS (WO's: 57149, 58800, 62-3215, 64-3282, 73-3480) and replace with 740' - 2" PE due to City of Joplin sidewalk project requiring main to be lowered. One block will be lowered by the company crews due to a quick turn around needed. City of Joplin had originally spotted the main and said it would be clear, but contractor doing work uncovered main and it was too shallow. Project Location: 28th and Michigan; Pressure System: C-3; MOP: 8.00 psig; MAOP: 8.50 psig; Design: 58 psig; Test: 100 psig; $67.38/ft *Due to having to work here two different times to meet schedule and weld on so many fittings* ISRS</v>
          </cell>
          <cell r="L685">
            <v>42045</v>
          </cell>
          <cell r="M685">
            <v>42248</v>
          </cell>
          <cell r="N685">
            <v>42284.722280092603</v>
          </cell>
          <cell r="O685">
            <v>42036</v>
          </cell>
          <cell r="P685" t="str">
            <v>0501-044001  JASPER CTY/JOPLIN</v>
          </cell>
          <cell r="Q685">
            <v>15033.52</v>
          </cell>
          <cell r="R685">
            <v>-1670</v>
          </cell>
        </row>
        <row r="686">
          <cell r="A686" t="str">
            <v>005468</v>
          </cell>
          <cell r="B686" t="str">
            <v>LDC 2</v>
          </cell>
          <cell r="D686" t="str">
            <v>yes</v>
          </cell>
          <cell r="E686" t="str">
            <v>20501143605</v>
          </cell>
          <cell r="F686" t="str">
            <v>F0544</v>
          </cell>
          <cell r="G686" t="str">
            <v>Replace bare steel main - safety re</v>
          </cell>
          <cell r="H686" t="str">
            <v>Murphy Repl PBS/PE w 1115'-2;255'-4</v>
          </cell>
          <cell r="I686" t="str">
            <v>posted to CPR</v>
          </cell>
          <cell r="J686" t="str">
            <v>Murphy Repl PBS/PE w 1115'-2;255'-4in PE main: Joplin: Replace Bare Steel Main - 3760 Safety Related (34-394)</v>
          </cell>
          <cell r="K686" t="str">
            <v>Approved by: Steve Holcomb on 06/10/2014,  Replace 340' of 2" PBS (WO J1483711 &amp; None), 993' 3" PBS (WO None), and 33' 3" PE (WO 861439 &amp; 881544) due to 1 active leak (2010.00128) and 9 repaired leaks.  Replace with 1115' of 2" PE and 255' of 4" PE.  Project Location: Murphy Ave between 17th St &amp; 19th St, 18th St between Murphy Ave &amp; Connor Ave.  System:    C-2.  MOP: 1.5 PSIG.  MAOP: 1.5 PSIG.  Design: 58 PSIG.  Test: 100 PSIG.  Price Per Foot: $45.77.</v>
          </cell>
          <cell r="L686">
            <v>42066</v>
          </cell>
          <cell r="M686">
            <v>42217</v>
          </cell>
          <cell r="N686">
            <v>42284.721689814804</v>
          </cell>
          <cell r="O686">
            <v>42064</v>
          </cell>
          <cell r="P686" t="str">
            <v>0501-044001  JASPER CTY/JOPLIN</v>
          </cell>
          <cell r="Q686">
            <v>39556.629999999997</v>
          </cell>
          <cell r="R686">
            <v>21749.5</v>
          </cell>
        </row>
        <row r="687">
          <cell r="A687" t="str">
            <v>006512</v>
          </cell>
          <cell r="B687" t="str">
            <v>LDC 2</v>
          </cell>
          <cell r="D687" t="str">
            <v>yes</v>
          </cell>
          <cell r="E687" t="str">
            <v>20502143823</v>
          </cell>
          <cell r="F687" t="str">
            <v>F0575</v>
          </cell>
          <cell r="G687" t="str">
            <v>Replace steel &amp; plastic main</v>
          </cell>
          <cell r="H687" t="str">
            <v>Replace w/ 210ft of 4in PE due to D</v>
          </cell>
          <cell r="I687" t="str">
            <v>posted to CPR</v>
          </cell>
          <cell r="J687" t="str">
            <v>Replace w/ 210ft of 4in PE due to Damage: Webb City: Replace Coated Steel &amp; Plastic Main - 3760 (34-396)</v>
          </cell>
          <cell r="K687" t="str">
            <v>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v>
          </cell>
          <cell r="L687">
            <v>41866</v>
          </cell>
          <cell r="M687">
            <v>42248</v>
          </cell>
          <cell r="N687">
            <v>42284.722326388903</v>
          </cell>
          <cell r="O687">
            <v>41974</v>
          </cell>
          <cell r="P687" t="str">
            <v>0502-044006  JASPER CTY/WEBB CITY</v>
          </cell>
          <cell r="Q687">
            <v>17704.89</v>
          </cell>
          <cell r="R687">
            <v>25</v>
          </cell>
        </row>
        <row r="688">
          <cell r="A688" t="str">
            <v>010217</v>
          </cell>
          <cell r="B688" t="str">
            <v>LDC 2</v>
          </cell>
          <cell r="D688" t="str">
            <v>no</v>
          </cell>
          <cell r="F688" t="str">
            <v>F1153</v>
          </cell>
          <cell r="G688" t="str">
            <v>Power Operated Equip - MGE</v>
          </cell>
          <cell r="H688" t="str">
            <v>Purchase (1) Crane Truck. MGE</v>
          </cell>
          <cell r="I688" t="str">
            <v>posted to CPR</v>
          </cell>
          <cell r="J688" t="str">
            <v>Purchase Crane Truck for MGE - replacement for unit 43102</v>
          </cell>
          <cell r="K688" t="str">
            <v>Note: unit 43102 = old #21299</v>
          </cell>
          <cell r="L688">
            <v>42643</v>
          </cell>
          <cell r="M688">
            <v>42732</v>
          </cell>
          <cell r="N688">
            <v>42744.468958333302</v>
          </cell>
          <cell r="O688">
            <v>42614</v>
          </cell>
          <cell r="P688" t="str">
            <v>0101-043050  JACKSON CTY/KC</v>
          </cell>
          <cell r="Q688">
            <v>218520.02</v>
          </cell>
          <cell r="R688">
            <v>1</v>
          </cell>
        </row>
        <row r="689">
          <cell r="A689" t="str">
            <v>003836</v>
          </cell>
          <cell r="B689" t="str">
            <v>LDC 2</v>
          </cell>
          <cell r="D689" t="str">
            <v>no</v>
          </cell>
          <cell r="E689" t="str">
            <v>20101121720</v>
          </cell>
          <cell r="F689" t="str">
            <v>F0588</v>
          </cell>
          <cell r="G689" t="str">
            <v>Transportation &amp; power operated equ</v>
          </cell>
          <cell r="H689" t="str">
            <v>Retirement Misc Trailers</v>
          </cell>
          <cell r="I689" t="str">
            <v>posted to CPR</v>
          </cell>
          <cell r="J689" t="str">
            <v>Retirement Misc Trailers: Kansas City CORP: Broadway</v>
          </cell>
          <cell r="K689" t="str">
            <v>Approved by: Ken Thomas on 09/12/2012,  Retirement of miscellaneous trailers as determined when new replacement units are purchased.</v>
          </cell>
          <cell r="L689">
            <v>41380</v>
          </cell>
          <cell r="M689">
            <v>41393</v>
          </cell>
          <cell r="N689">
            <v>41612.300208333298</v>
          </cell>
          <cell r="P689" t="str">
            <v>0101-043050  JACKSON CTY/KC</v>
          </cell>
          <cell r="Q689">
            <v>13731.22</v>
          </cell>
          <cell r="R689">
            <v>2</v>
          </cell>
        </row>
        <row r="690">
          <cell r="A690" t="str">
            <v>006475</v>
          </cell>
          <cell r="B690" t="str">
            <v>LDC 2</v>
          </cell>
          <cell r="D690" t="str">
            <v>no</v>
          </cell>
          <cell r="E690" t="str">
            <v>20101143734</v>
          </cell>
          <cell r="F690" t="str">
            <v>F0492</v>
          </cell>
          <cell r="G690" t="str">
            <v>Special projects</v>
          </cell>
          <cell r="H690" t="str">
            <v>Purchase One FC300 SRead Radio for</v>
          </cell>
          <cell r="I690" t="str">
            <v>posted to CPR</v>
          </cell>
          <cell r="J690" t="str">
            <v>Purchase One FC300 SRead Radio for El Dorado: Kansas City CORP: Special Projects</v>
          </cell>
          <cell r="K690" t="str">
            <v>Approved by: Galen Shoemaker on 09/18/2014,  To purchase one FC300 SRead Radio with docking station and power supply for meter reading. This unit will not be replacing any existing equipment.</v>
          </cell>
          <cell r="L690">
            <v>41968</v>
          </cell>
          <cell r="M690">
            <v>42491</v>
          </cell>
          <cell r="N690">
            <v>42528.471412036997</v>
          </cell>
          <cell r="O690">
            <v>41974</v>
          </cell>
          <cell r="P690" t="str">
            <v>0101-043050  JACKSON CTY/KC</v>
          </cell>
          <cell r="Q690">
            <v>5127</v>
          </cell>
          <cell r="R690">
            <v>2</v>
          </cell>
        </row>
        <row r="691">
          <cell r="A691" t="str">
            <v>005855</v>
          </cell>
          <cell r="B691" t="str">
            <v>LDC 2</v>
          </cell>
          <cell r="D691" t="str">
            <v>no</v>
          </cell>
          <cell r="E691" t="str">
            <v>20201143604</v>
          </cell>
          <cell r="F691" t="str">
            <v>F0514</v>
          </cell>
          <cell r="G691" t="str">
            <v>Other relocates</v>
          </cell>
          <cell r="H691" t="str">
            <v>35th &amp; Weatherford Reloc PCS w 910'</v>
          </cell>
          <cell r="I691" t="str">
            <v>posted to CPR</v>
          </cell>
          <cell r="J691" t="str">
            <v>35th &amp; Weatherford Reloc PCS w 910'- 6in PE main: Independence: Other Relocates - Per Customer Request - Contribution (44-390)</v>
          </cell>
          <cell r="K691" t="str">
            <v>Approved by: Steve Holcomb on 06/09/2014,  Unilever plans on expanding their plant on the east side of the existing building. We have a 6" PCS main in a private easement that was formerly Weatherford Rd. Relocate 910' of 6" main and abandon 750' of 6" PCS (WO# A8602). This is a reimbursable project. Price per ft = $74.27. Received check for $67488.55 7-25-14 per WOES - Becca Orr.</v>
          </cell>
          <cell r="L691">
            <v>41911</v>
          </cell>
          <cell r="M691">
            <v>41973</v>
          </cell>
          <cell r="N691">
            <v>42071.592060185198</v>
          </cell>
          <cell r="O691">
            <v>41944</v>
          </cell>
          <cell r="P691" t="str">
            <v>0201-043001  JACKSON CTY/INDEPENDENCE</v>
          </cell>
          <cell r="Q691">
            <v>-48140.17</v>
          </cell>
          <cell r="R691">
            <v>-1210</v>
          </cell>
        </row>
        <row r="692">
          <cell r="A692" t="str">
            <v>004369</v>
          </cell>
          <cell r="B692" t="str">
            <v>LDC 2</v>
          </cell>
          <cell r="D692" t="str">
            <v>yes</v>
          </cell>
          <cell r="E692" t="str">
            <v>20201133218</v>
          </cell>
          <cell r="F692" t="str">
            <v>F0549</v>
          </cell>
          <cell r="G692" t="str">
            <v>Street &amp; highway relocates - safety</v>
          </cell>
          <cell r="H692" t="str">
            <v>26th Glendale Windsor 2in PE Pub Im</v>
          </cell>
          <cell r="I692" t="str">
            <v>posted to CPR</v>
          </cell>
          <cell r="J692" t="str">
            <v>26th Glendale Windsor 2in PE Pub Improv: Independence: 27th to 30th Crysler to Santa Fe</v>
          </cell>
          <cell r="K692" t="str">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ell>
          <cell r="L692">
            <v>41801</v>
          </cell>
          <cell r="M692">
            <v>41882</v>
          </cell>
          <cell r="N692">
            <v>41936.625636574099</v>
          </cell>
          <cell r="O692">
            <v>41791</v>
          </cell>
          <cell r="P692" t="str">
            <v>0201-043001  JACKSON CTY/INDEPENDENCE</v>
          </cell>
          <cell r="Q692">
            <v>205606.41</v>
          </cell>
          <cell r="R692">
            <v>16955</v>
          </cell>
        </row>
        <row r="693">
          <cell r="A693" t="str">
            <v>008208</v>
          </cell>
          <cell r="B693" t="str">
            <v>LDC 2</v>
          </cell>
          <cell r="D693" t="str">
            <v>no</v>
          </cell>
          <cell r="E693" t="str">
            <v>20201155272</v>
          </cell>
          <cell r="F693" t="str">
            <v>F0606</v>
          </cell>
          <cell r="G693" t="str">
            <v>Station rebuild &amp; replacement</v>
          </cell>
          <cell r="H693" t="str">
            <v>Retire DRS 90 Truman and Ann</v>
          </cell>
          <cell r="I693" t="str">
            <v>posted to CPR</v>
          </cell>
          <cell r="J693" t="str">
            <v>Retire DRS 90 Truman and Ann: Independence: Rebuild District/TB Stations  3780/3790 (45-387)</v>
          </cell>
          <cell r="K693" t="str">
            <v>Approved by: Kevin Driskell on 04/10/2015,  Remove and retire DRS 90 (WO# 88-3323) as it will not be needed after the completion of WO# 14-3934. The 2-2" Rockwell 461-57S regulators will be junked.</v>
          </cell>
          <cell r="L693">
            <v>42114</v>
          </cell>
          <cell r="M693">
            <v>42155</v>
          </cell>
          <cell r="N693">
            <v>42256.642060185201</v>
          </cell>
          <cell r="O693">
            <v>42217</v>
          </cell>
          <cell r="P693" t="str">
            <v>0201-043001  JACKSON CTY/INDEPENDENCE</v>
          </cell>
          <cell r="Q693">
            <v>7685.59</v>
          </cell>
          <cell r="R693">
            <v>8</v>
          </cell>
        </row>
        <row r="694">
          <cell r="A694" t="str">
            <v>006846</v>
          </cell>
          <cell r="B694" t="str">
            <v>LDC 2</v>
          </cell>
          <cell r="D694" t="str">
            <v>no</v>
          </cell>
          <cell r="E694" t="str">
            <v>20201143952</v>
          </cell>
          <cell r="F694" t="str">
            <v>F0507</v>
          </cell>
          <cell r="G694" t="str">
            <v>Rebuild Meter Install 2'' &amp; Lg (S)</v>
          </cell>
          <cell r="H694" t="str">
            <v>Remove 3M Rotary Meter</v>
          </cell>
          <cell r="I694" t="str">
            <v>posted to CPR</v>
          </cell>
          <cell r="J694" t="str">
            <v>Remove 3M Rotary Meter: Independence: Replace Meter &amp; Reg 2in &amp;  Larger - 3820/3830 (32-404)</v>
          </cell>
          <cell r="K694" t="str">
            <v>Approved by: Ralph Janes on 11/07/2014,  Remove the 3M rotary meter setting (meter #09422989, installed on WO# 94-000457, premise #23625) and install domestic meter.  This address used to be a laundry mat but was purchased and remodeled into a insurance agency, reducing the total connected load to 300 cfh.</v>
          </cell>
          <cell r="L694">
            <v>42024</v>
          </cell>
          <cell r="M694">
            <v>42154</v>
          </cell>
          <cell r="N694">
            <v>42256.641736111102</v>
          </cell>
          <cell r="O694">
            <v>42217</v>
          </cell>
          <cell r="P694" t="str">
            <v>0201-043001  JACKSON CTY/INDEPENDENCE</v>
          </cell>
          <cell r="Q694">
            <v>1316.58</v>
          </cell>
          <cell r="R694">
            <v>9.5</v>
          </cell>
        </row>
        <row r="695">
          <cell r="A695" t="str">
            <v>005334</v>
          </cell>
          <cell r="B695" t="str">
            <v>LDC 2</v>
          </cell>
          <cell r="D695" t="str">
            <v>no</v>
          </cell>
          <cell r="E695" t="str">
            <v>20201143570</v>
          </cell>
          <cell r="F695" t="str">
            <v>F0644</v>
          </cell>
          <cell r="G695" t="str">
            <v>Meter &amp; Reg Settings 2" &amp; Lg (S)</v>
          </cell>
          <cell r="H695" t="str">
            <v>Boys and Girls Club - 2M Rotary Met</v>
          </cell>
          <cell r="I695" t="str">
            <v>posted to CPR</v>
          </cell>
          <cell r="J695" t="str">
            <v>Boys and Girls Club - 2M Rotary Meter Set: Independence: New Meter &amp; Reg Settings - 2&amp;quot; &amp; Larger 3820/3830 (33-382)</v>
          </cell>
          <cell r="K695" t="str">
            <v>Approved by: Ralph Janes on 05/16/2014,  Rebuild and retire the existing AL 800 meter setting (meter number 06119393) by installing a new 2M Rotary meter setting due to additional commercial customer load.</v>
          </cell>
          <cell r="L695">
            <v>41795</v>
          </cell>
          <cell r="M695">
            <v>41904</v>
          </cell>
          <cell r="N695">
            <v>41914.651238425897</v>
          </cell>
          <cell r="O695">
            <v>41791</v>
          </cell>
          <cell r="P695" t="str">
            <v>0201-043001  JACKSON CTY/INDEPENDENCE</v>
          </cell>
          <cell r="Q695">
            <v>1732.38</v>
          </cell>
          <cell r="R695">
            <v>-28</v>
          </cell>
        </row>
        <row r="696">
          <cell r="A696" t="str">
            <v>008678</v>
          </cell>
          <cell r="B696" t="str">
            <v>LDC 2</v>
          </cell>
          <cell r="D696" t="str">
            <v>no</v>
          </cell>
          <cell r="E696" t="str">
            <v>20301155373</v>
          </cell>
          <cell r="F696" t="str">
            <v>F0554</v>
          </cell>
          <cell r="G696" t="str">
            <v>Tools, Instruments &amp; Equipment (S)</v>
          </cell>
          <cell r="H696" t="str">
            <v>Purchase Tools - Jack Hammer</v>
          </cell>
          <cell r="I696" t="str">
            <v>posted to CPR</v>
          </cell>
          <cell r="J696" t="str">
            <v>Purchase Tools - Jack Hammer: Warrensburg: Purchase Tools, Instruments &amp; Equipment  3940 (37-366)</v>
          </cell>
          <cell r="K696" t="str">
            <v>Approved by: Kevin Driskell on 06/01/2015,  Purchase 1 new Jack Hammer Rock Drill for the Warrensburg C&amp;M Crews - Retirement Unit 94350039.  Retire existing Hammer Drill - work order 89-1274.</v>
          </cell>
          <cell r="L696">
            <v>42277</v>
          </cell>
          <cell r="M696">
            <v>42522</v>
          </cell>
          <cell r="N696">
            <v>42557.5527083333</v>
          </cell>
          <cell r="O696">
            <v>42522</v>
          </cell>
          <cell r="P696" t="str">
            <v>0301-046001  JOHNSON CTY/WARRENSBURG</v>
          </cell>
          <cell r="Q696">
            <v>2096.84</v>
          </cell>
          <cell r="R696">
            <v>3</v>
          </cell>
        </row>
        <row r="697">
          <cell r="A697" t="str">
            <v>800598</v>
          </cell>
          <cell r="B697" t="str">
            <v>LDC 2</v>
          </cell>
          <cell r="C697" t="str">
            <v>03 - Bare Steel Replacement</v>
          </cell>
          <cell r="D697" t="str">
            <v>yes</v>
          </cell>
          <cell r="F697" t="str">
            <v>F0604</v>
          </cell>
          <cell r="G697" t="str">
            <v>Main Replacement - ISRS (S)</v>
          </cell>
          <cell r="H697" t="str">
            <v>Repl w 7500F 2-4P Alma Phase 2</v>
          </cell>
          <cell r="I697" t="str">
            <v>open</v>
          </cell>
          <cell r="J697" t="str">
            <v>Install ~ 5230 Ft of 2 in PL MP main and ~ 2270 Ft of 4 in PL MP main and ~ 330 Ft of 8 in ST casing.</v>
          </cell>
          <cell r="K697" t="str">
            <v>On S Railroad Ave, SW Railroad Ave, Comercial St, S County Rd, W Lincoln Ave, Clara Ave, S Mitchell Ave, S Edna St, Virginia St, Goodwin Rd, S Clay St, E Marshall St, and Collins St  Abandon ~ 717 Ft of 1 1/4 in ST MP main, ~ 6701 Ft of 2 in ST MP main, ~ 993 Ft of 4 in ST MP main,  ~ 405 Ft of 2 in PL MP main, ~ 25 Ft of 4 in PL MP main at the above locations.  Total Service Tie-over = 92; Total Service Replaced = 8; Total Service Abandoned = 12.  This main is being abandoned as part of FY17 Bare Steel Replacement Program</v>
          </cell>
          <cell r="P697" t="str">
            <v>0310-049008  LAFAYETTE CTY/ALMA</v>
          </cell>
          <cell r="Q697">
            <v>213734.86</v>
          </cell>
          <cell r="R697">
            <v>-7149.17</v>
          </cell>
        </row>
        <row r="698">
          <cell r="A698" t="str">
            <v>800284</v>
          </cell>
          <cell r="B698" t="str">
            <v>LDC 2</v>
          </cell>
          <cell r="C698" t="str">
            <v>03 - Bare Steel Replacement</v>
          </cell>
          <cell r="D698" t="str">
            <v>yes</v>
          </cell>
          <cell r="F698" t="str">
            <v>F0604</v>
          </cell>
          <cell r="G698" t="str">
            <v>Main Replacement - ISRS (S)</v>
          </cell>
          <cell r="H698" t="str">
            <v>Repl w 11888F 2-4P  Carrolton Phs G</v>
          </cell>
          <cell r="I698" t="str">
            <v>open</v>
          </cell>
          <cell r="J698" t="str">
            <v>Install - 9,209 Ft of 2 in PL IP main and 2,679 Ft of 4 in PL IP main on S Virginia, E Heidel, N. Jefferson, E Washington, Pine St, E. Shanklin, Clay St, Lincoln Ave, Kinsey St, Mason St, Walnut St, Sycamore St, Elm St, and Burlington Ave.</v>
          </cell>
          <cell r="K698" t="str">
            <v>Carrollton Grid Main Replacement G.  Abandon- 9,457 Ft of 2 in ST LP main and 2,639 Ft of 4 in ST LP main at the above locations.  Uprate 1,324 Ft of 2 in PL LP main on Spring St, Ford ST, and Prospect St.  Total Service Tie-over = 94; Total Service Replacement = 2; Total Service Abandon = 24; Total Service Uprate = 9.  This main is being abandoned as part of FY16 Bare Steel Replacement Program.</v>
          </cell>
          <cell r="P698" t="str">
            <v>0312-014001  CARROLL CTY/CARROLLTON</v>
          </cell>
          <cell r="Q698">
            <v>92119.37</v>
          </cell>
          <cell r="R698">
            <v>-13117</v>
          </cell>
        </row>
        <row r="699">
          <cell r="A699" t="str">
            <v>006558</v>
          </cell>
          <cell r="B699" t="str">
            <v>LDC 2</v>
          </cell>
          <cell r="D699" t="str">
            <v>no</v>
          </cell>
          <cell r="E699" t="str">
            <v>20301143722</v>
          </cell>
          <cell r="F699" t="str">
            <v>F0676</v>
          </cell>
          <cell r="G699" t="str">
            <v>Meter &amp; regulator settings - 2" &amp; l</v>
          </cell>
          <cell r="H699" t="str">
            <v>The Holden Village-3M Mtr-Res Units</v>
          </cell>
          <cell r="I699" t="str">
            <v>posted to CPR</v>
          </cell>
          <cell r="J699" t="str">
            <v>The Holden Village - Residential Units: Warrensburg: New Meter &amp; Reg Settings - 2inch &amp; Larger 3820/3830 (33-382)</v>
          </cell>
          <cell r="K699" t="str">
            <v>Approved by: Ralph Janes on 08/18/2014,  Install 3M Rotary Meter to serve one new commercial customer.  30'- 1-1/4" pe service line to be installed on BWO.</v>
          </cell>
          <cell r="L699">
            <v>42174</v>
          </cell>
          <cell r="M699">
            <v>42185</v>
          </cell>
          <cell r="N699">
            <v>42193.495127314804</v>
          </cell>
          <cell r="O699">
            <v>42156</v>
          </cell>
          <cell r="P699" t="str">
            <v>0301-046001  JOHNSON CTY/WARRENSBURG</v>
          </cell>
          <cell r="Q699">
            <v>2070.9</v>
          </cell>
          <cell r="R699">
            <v>-45</v>
          </cell>
        </row>
        <row r="700">
          <cell r="A700" t="str">
            <v>800278</v>
          </cell>
          <cell r="B700" t="str">
            <v>LDC 2</v>
          </cell>
          <cell r="C700" t="str">
            <v>03 - Bare Steel Replacement</v>
          </cell>
          <cell r="D700" t="str">
            <v>yes</v>
          </cell>
          <cell r="F700" t="str">
            <v>F0604</v>
          </cell>
          <cell r="G700" t="str">
            <v>Main Replacement - ISRS (S)</v>
          </cell>
          <cell r="H700" t="str">
            <v>Repl w 5716F 2P Carrollton Phase E</v>
          </cell>
          <cell r="I700" t="str">
            <v>open</v>
          </cell>
          <cell r="J700" t="str">
            <v>Install 5716 Ft of 2 in PL IP main for Carrollton Phase E.  Abandon 5656 Ft of 2 in ST main.  Uprate approximately 437 Ft of 2 in PL LP main to IP.  This main is being replaced as part of FY16 Bare Steel Replacement Program.</v>
          </cell>
          <cell r="P700" t="str">
            <v>0312-014001  CARROLL CTY/CARROLLTON</v>
          </cell>
          <cell r="Q700">
            <v>164708.76999999999</v>
          </cell>
          <cell r="R700">
            <v>-6235</v>
          </cell>
        </row>
        <row r="701">
          <cell r="A701" t="str">
            <v>004985</v>
          </cell>
          <cell r="B701" t="str">
            <v>LDC 2</v>
          </cell>
          <cell r="D701" t="str">
            <v>no</v>
          </cell>
          <cell r="E701" t="str">
            <v>20801143376</v>
          </cell>
          <cell r="F701" t="str">
            <v>F0523</v>
          </cell>
          <cell r="G701" t="str">
            <v>New Main Extensions (SW)</v>
          </cell>
          <cell r="H701" t="str">
            <v>Eisenhower Lay 640'-4in PE main ext</v>
          </cell>
          <cell r="I701" t="str">
            <v>posted to CPR</v>
          </cell>
          <cell r="J701" t="str">
            <v>Eisenhower Lay 640'-4in PE main ext: Monett: New Main Extension - Company Crews  3760 (33-305)</v>
          </cell>
          <cell r="K701" t="str">
            <v>Approved by: Galen Shoemaker on 04/07/2014,  To lay 640ft of 4in Plastic to serve new wastewater treatment plant. The company elects to lay 4in pipe to serve possible future development in the area, and two nearby homeowners have asked about possible gas services. Customer will pay a deposit of $6,215.00. MOP=40# MAOP=44# SYSTEM=C-1 TEST=100#</v>
          </cell>
          <cell r="L701">
            <v>41907</v>
          </cell>
          <cell r="M701">
            <v>42248</v>
          </cell>
          <cell r="N701">
            <v>42284.8428472222</v>
          </cell>
          <cell r="O701">
            <v>41913</v>
          </cell>
          <cell r="P701" t="str">
            <v>0801-005001  BARRY CTY/MONETT</v>
          </cell>
          <cell r="Q701">
            <v>10427.879999999999</v>
          </cell>
          <cell r="R701">
            <v>-1443</v>
          </cell>
        </row>
        <row r="702">
          <cell r="A702" t="str">
            <v>800846</v>
          </cell>
          <cell r="B702" t="str">
            <v>LDC 2</v>
          </cell>
          <cell r="D702" t="str">
            <v>no</v>
          </cell>
          <cell r="F702" t="str">
            <v>F0673</v>
          </cell>
          <cell r="G702" t="str">
            <v>New Main Extensions (S)</v>
          </cell>
          <cell r="H702" t="str">
            <v>Inst 2075F 2P Edgewater Creekmoor</v>
          </cell>
          <cell r="I702" t="str">
            <v>in service</v>
          </cell>
          <cell r="J702" t="str">
            <v>Install ~2075 Ft of 2 PL IP Main - Edgewater at Creekmoor -5.</v>
          </cell>
          <cell r="K702" t="str">
            <v>This is a new business project to serve a new 32 lot subdivision.</v>
          </cell>
          <cell r="L702">
            <v>42656</v>
          </cell>
          <cell r="O702">
            <v>42644</v>
          </cell>
          <cell r="P702" t="str">
            <v>0932-016022  CASS CTY/RAYMORE</v>
          </cell>
          <cell r="Q702">
            <v>32024.31</v>
          </cell>
          <cell r="R702">
            <v>-4638</v>
          </cell>
        </row>
        <row r="703">
          <cell r="A703" t="str">
            <v>009514</v>
          </cell>
          <cell r="B703" t="str">
            <v>LDC 2</v>
          </cell>
          <cell r="D703" t="str">
            <v>no</v>
          </cell>
          <cell r="F703" t="str">
            <v>F0639</v>
          </cell>
          <cell r="G703" t="str">
            <v>EGM Equip-1st Time Installation</v>
          </cell>
          <cell r="H703" t="str">
            <v>EGM - Opal Foods</v>
          </cell>
          <cell r="I703" t="str">
            <v>open</v>
          </cell>
          <cell r="J703" t="str">
            <v>Install Mercury MiniMax-AT-PT for Opal Foods at 178648 Highway D to monitor daily gas usage of this transportation customer. Customer will reimburse company actual cost for EGM installation not to exceed $5,445.00.</v>
          </cell>
          <cell r="P703" t="str">
            <v>0806-066010  NEWTON CTY/NEOSHO</v>
          </cell>
          <cell r="Q703">
            <v>2604.62</v>
          </cell>
          <cell r="R703">
            <v>9</v>
          </cell>
        </row>
        <row r="704">
          <cell r="A704" t="str">
            <v>006914</v>
          </cell>
          <cell r="B704" t="str">
            <v>LDC 2</v>
          </cell>
          <cell r="D704" t="str">
            <v>no</v>
          </cell>
          <cell r="E704" t="str">
            <v>20806143962</v>
          </cell>
          <cell r="F704" t="str">
            <v>F0556</v>
          </cell>
          <cell r="G704" t="str">
            <v>Tools, instruments &amp; equipment</v>
          </cell>
          <cell r="H704" t="str">
            <v>Tools Purchase Three P100 CO Detect</v>
          </cell>
          <cell r="I704" t="str">
            <v>posted to CPR</v>
          </cell>
          <cell r="J704" t="str">
            <v>Tools Purchase Three P100 CO Detectors: Neosho: Purchase Tools, Instruments &amp; Equipment  3940 (37-366)</v>
          </cell>
          <cell r="K704" t="str">
            <v>Approved by: Galen Shoemaker on 11/13/2014,  Purchase three Sensit P-100 CO Detectors for Neosho I&amp;S Department. No units will be retired.</v>
          </cell>
          <cell r="L704">
            <v>42013</v>
          </cell>
          <cell r="M704">
            <v>42248</v>
          </cell>
          <cell r="N704">
            <v>42274.592696759297</v>
          </cell>
          <cell r="O704">
            <v>42005</v>
          </cell>
          <cell r="P704" t="str">
            <v>0806-066010  NEWTON CTY/NEOSHO</v>
          </cell>
          <cell r="Q704">
            <v>666.2</v>
          </cell>
          <cell r="R704">
            <v>3</v>
          </cell>
        </row>
        <row r="705">
          <cell r="A705" t="str">
            <v>005342</v>
          </cell>
          <cell r="B705" t="str">
            <v>LDC 2</v>
          </cell>
          <cell r="D705" t="str">
            <v>yes</v>
          </cell>
          <cell r="E705" t="str">
            <v>20806143587</v>
          </cell>
          <cell r="F705" t="str">
            <v>F0592</v>
          </cell>
          <cell r="G705" t="str">
            <v>Replace bare steel main - safety re</v>
          </cell>
          <cell r="H705" t="str">
            <v>South St &amp; Oak Ridge Repl PBS w CS/</v>
          </cell>
          <cell r="I705" t="str">
            <v>posted to CPR</v>
          </cell>
          <cell r="J705" t="str">
            <v>South St &amp; Oak Ridge Repl PBS w CS/PE main: Neosho: Replace Bare Steel Main - 3760 Safety Related (34-394)</v>
          </cell>
          <cell r="K705" t="str">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ell>
          <cell r="L705">
            <v>41834</v>
          </cell>
          <cell r="M705">
            <v>41882</v>
          </cell>
          <cell r="N705">
            <v>42010.616180555597</v>
          </cell>
          <cell r="O705">
            <v>41821</v>
          </cell>
          <cell r="P705" t="str">
            <v>0806-066010  NEWTON CTY/NEOSHO</v>
          </cell>
          <cell r="Q705">
            <v>20135.45</v>
          </cell>
          <cell r="R705">
            <v>320</v>
          </cell>
        </row>
        <row r="706">
          <cell r="A706" t="str">
            <v>008903</v>
          </cell>
          <cell r="B706" t="str">
            <v>LDC 2</v>
          </cell>
          <cell r="D706" t="str">
            <v>no</v>
          </cell>
          <cell r="E706" t="str">
            <v>20810155402</v>
          </cell>
          <cell r="F706" t="str">
            <v>F0523</v>
          </cell>
          <cell r="G706" t="str">
            <v>New Main Extensions (SW)</v>
          </cell>
          <cell r="H706" t="str">
            <v>New 400 ft 4 in Plastic Main Extens</v>
          </cell>
          <cell r="I706" t="str">
            <v>posted to CPR</v>
          </cell>
          <cell r="J706" t="str">
            <v>New 400 ft 4 in Plastic Main Extension: Marionville: New Main Extension - Company Crews  3760 (33-305)</v>
          </cell>
          <cell r="K706" t="str">
            <v>Approved by: Michael Fornelli on 07/08/2015,  To lay 400 ft of 4 in Plastic Main to serve new Greenhouses, shop, and one new residence. MOP=30# MAOP=30# SYSTEM=S-6</v>
          </cell>
          <cell r="L706">
            <v>42262</v>
          </cell>
          <cell r="M706">
            <v>42461</v>
          </cell>
          <cell r="N706">
            <v>42496.560787037</v>
          </cell>
          <cell r="O706">
            <v>42370</v>
          </cell>
          <cell r="P706" t="str">
            <v>0810-050015  LAWRENCE CTY/MARIONVILLE</v>
          </cell>
          <cell r="Q706">
            <v>7330.6</v>
          </cell>
          <cell r="R706">
            <v>400</v>
          </cell>
        </row>
        <row r="707">
          <cell r="A707" t="str">
            <v>007604</v>
          </cell>
          <cell r="B707" t="str">
            <v>LDC 2</v>
          </cell>
          <cell r="D707" t="str">
            <v>no</v>
          </cell>
          <cell r="E707" t="str">
            <v>20812155116</v>
          </cell>
          <cell r="F707" t="str">
            <v>F0556</v>
          </cell>
          <cell r="G707" t="str">
            <v>Tools, instruments &amp; equipment</v>
          </cell>
          <cell r="H707" t="str">
            <v>Tool Purchase Stihl TS420 Saw</v>
          </cell>
          <cell r="I707" t="str">
            <v>posted to CPR</v>
          </cell>
          <cell r="J707" t="str">
            <v>Tool Purchase Stihl TS420 Saw: Republic: Purchase Tools, Instruments &amp; Equipment  3940 (37-366)</v>
          </cell>
          <cell r="K707" t="str">
            <v>Approved by: Michael Fornelli on 02/05/2015,  Purchase TS-420 Stihl Concrete Saw and walk behind kit for Republic C&amp;M Department to replace old worn out saw.</v>
          </cell>
          <cell r="L707">
            <v>42194</v>
          </cell>
          <cell r="M707">
            <v>42491</v>
          </cell>
          <cell r="N707">
            <v>42527.511585648201</v>
          </cell>
          <cell r="O707">
            <v>42186</v>
          </cell>
          <cell r="P707" t="str">
            <v>0812-034002  GREENE CTY/REPUBLIC</v>
          </cell>
          <cell r="Q707">
            <v>4943.3</v>
          </cell>
          <cell r="R707">
            <v>98</v>
          </cell>
        </row>
        <row r="708">
          <cell r="A708" t="str">
            <v>004162</v>
          </cell>
          <cell r="B708" t="str">
            <v>LDC 2</v>
          </cell>
          <cell r="D708" t="str">
            <v>yes</v>
          </cell>
          <cell r="E708" t="str">
            <v>20812132325</v>
          </cell>
          <cell r="F708" t="str">
            <v>F0634</v>
          </cell>
          <cell r="G708" t="str">
            <v>Replace bare steel main - safety re</v>
          </cell>
          <cell r="H708" t="str">
            <v>Mill &amp; Cliborne Repl PBS w 165'-2in</v>
          </cell>
          <cell r="I708" t="str">
            <v>posted to CPR</v>
          </cell>
          <cell r="J708" t="str">
            <v>Mill &amp; Cliborne Repl PBS w 165'-2in PE: Republic: Mill and Cliborne</v>
          </cell>
          <cell r="K708" t="str">
            <v>Approved by: Galen Shoemaker on 01/14/2013,  Abandon 148' - 2&amp;quot; PBS (WO#: 29003) and replace with 165' - 2&amp;quot; PE to clear one (1) - #3 leak. Project Location: Mill and Cliborne; Pressure System: C-1; MOP: 39.5 psig; MAOP: 39.5 psig; Design: 58 psig; Test: 100 psig; ISRS $50.24/ft</v>
          </cell>
          <cell r="L708">
            <v>41429</v>
          </cell>
          <cell r="M708">
            <v>41564</v>
          </cell>
          <cell r="N708">
            <v>41564.624722222201</v>
          </cell>
          <cell r="O708">
            <v>41730</v>
          </cell>
          <cell r="P708" t="str">
            <v>0812-034004  GREENE CTY/Republic</v>
          </cell>
          <cell r="Q708">
            <v>7733.4</v>
          </cell>
          <cell r="R708">
            <v>637</v>
          </cell>
        </row>
        <row r="709">
          <cell r="A709" t="str">
            <v>004492</v>
          </cell>
          <cell r="B709" t="str">
            <v>LDC 2</v>
          </cell>
          <cell r="D709" t="str">
            <v>yes</v>
          </cell>
          <cell r="E709" t="str">
            <v>20801050371</v>
          </cell>
          <cell r="F709" t="str">
            <v>F0619</v>
          </cell>
          <cell r="G709" t="str">
            <v>SLRP - modified block by block - co</v>
          </cell>
          <cell r="H709" t="str">
            <v>BWO SERVICE LINE REPL MODIFIED BLOC</v>
          </cell>
          <cell r="I709" t="str">
            <v>open</v>
          </cell>
          <cell r="J709" t="str">
            <v>BWO SERVICE LINE REPL MODIFIED BLOCK CONT</v>
          </cell>
          <cell r="K709" t="str">
            <v>Service/Yard Line Replacement (SLRP): Contract Crew.  Modified Block by Block - Planned replacement of unprotected steel or copper  (Monett)</v>
          </cell>
          <cell r="O709">
            <v>42248</v>
          </cell>
          <cell r="P709" t="str">
            <v>0801-005001  BARRY CTY/MONETT</v>
          </cell>
          <cell r="Q709">
            <v>26867.1</v>
          </cell>
          <cell r="R709">
            <v>103</v>
          </cell>
        </row>
        <row r="710">
          <cell r="A710" t="str">
            <v>006792</v>
          </cell>
          <cell r="B710" t="str">
            <v>LDC 2</v>
          </cell>
          <cell r="D710" t="str">
            <v>no</v>
          </cell>
          <cell r="E710" t="str">
            <v>20816143669</v>
          </cell>
          <cell r="F710" t="str">
            <v>F0579</v>
          </cell>
          <cell r="G710" t="str">
            <v>New business</v>
          </cell>
          <cell r="H710" t="str">
            <v>Extend Main with 450ft of 2in PE to</v>
          </cell>
          <cell r="I710" t="str">
            <v>posted to CPR</v>
          </cell>
          <cell r="J710" t="str">
            <v>Extend Main with 450ft of 2in PE to Merchant Field: Nixa: New Main Extension - Contractor Crews  3760 (33-380)</v>
          </cell>
          <cell r="K710" t="str">
            <v>Approved by: Galen Shoemaker on 10/31/2014,  Install 450' of 2" PE for 10 new customers converting from propane to natural gas.  Customer will not be charged after allowances.  Project Location: N of Hwy CC, East of Main St.  System: S-2330.  MOP: 40 PSIG.  MAOP: 58 PSIG.  Design: 58 PSIG.  Test: 100 PSIG.  Price Per Foot: $32.16.</v>
          </cell>
          <cell r="L710">
            <v>41991</v>
          </cell>
          <cell r="M710">
            <v>42248</v>
          </cell>
          <cell r="N710">
            <v>42284.722696759301</v>
          </cell>
          <cell r="O710">
            <v>42005</v>
          </cell>
          <cell r="P710" t="str">
            <v>0816-019004  CHRISTIAN CTY/NIXA</v>
          </cell>
          <cell r="Q710">
            <v>22547.7</v>
          </cell>
          <cell r="R710">
            <v>6028</v>
          </cell>
        </row>
        <row r="711">
          <cell r="A711" t="str">
            <v>005153</v>
          </cell>
          <cell r="B711" t="str">
            <v>LDC 2</v>
          </cell>
          <cell r="D711" t="str">
            <v>yes</v>
          </cell>
          <cell r="E711" t="str">
            <v>20902143513</v>
          </cell>
          <cell r="F711" t="str">
            <v>F0604</v>
          </cell>
          <cell r="G711" t="str">
            <v>Main Replacement - ISRS (S)</v>
          </cell>
          <cell r="H711" t="str">
            <v>59th &amp; Kentucky Repl PCS/PBS w 885'</v>
          </cell>
          <cell r="I711" t="str">
            <v>posted to CPR</v>
          </cell>
          <cell r="J711" t="str">
            <v>59th &amp; Kentucky Repl PCS/PBS w 885'-4in PE main: Raytown: Replace Bare Steel Main - 3760 Safety Related (34-394)</v>
          </cell>
          <cell r="K711" t="str">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ell>
          <cell r="L711">
            <v>41874</v>
          </cell>
          <cell r="M711">
            <v>41913</v>
          </cell>
          <cell r="N711">
            <v>42044.364270833299</v>
          </cell>
          <cell r="O711">
            <v>41913</v>
          </cell>
          <cell r="P711" t="str">
            <v>0902-043025  JACKSON CTY/RAYTOWN</v>
          </cell>
          <cell r="Q711">
            <v>27776.6</v>
          </cell>
          <cell r="R711">
            <v>-655.5</v>
          </cell>
        </row>
        <row r="712">
          <cell r="A712" t="str">
            <v>008762</v>
          </cell>
          <cell r="B712" t="str">
            <v>LDC 2</v>
          </cell>
          <cell r="D712" t="str">
            <v>no</v>
          </cell>
          <cell r="E712" t="str">
            <v>20903155331</v>
          </cell>
          <cell r="F712" t="str">
            <v>F0602</v>
          </cell>
          <cell r="G712" t="str">
            <v>New business</v>
          </cell>
          <cell r="H712" t="str">
            <v>Manjit Sarai Main Extension</v>
          </cell>
          <cell r="I712" t="str">
            <v>posted to CPR</v>
          </cell>
          <cell r="J712" t="str">
            <v>Manjit Sarai Main Extension: Blue Springs: New Main Extension - Contractor Crews  3760 (33-380)</v>
          </cell>
          <cell r="K712" t="str">
            <v>Approved by: Kevin Driskell on 05/12/2015,  Install 555' - 4" pe main extension to serve 1 new residential customer (Propane Conversion).  Note:  280' - 1" pe service line to be installed on BWO.  Note:  Customer will also hae a charge for the service line as it will be over 60' from the property line to the meter set.  Changed from town code 201 to town code 903 - Blue Springs in Jackson Cnty - AMM 4-1-16</v>
          </cell>
          <cell r="L712">
            <v>42275</v>
          </cell>
          <cell r="M712">
            <v>42461</v>
          </cell>
          <cell r="N712">
            <v>42496.560775462996</v>
          </cell>
          <cell r="O712">
            <v>42370</v>
          </cell>
          <cell r="P712" t="str">
            <v>0903-043026  JACKSON CTY/BLUE SPRINGS</v>
          </cell>
          <cell r="Q712">
            <v>29196.34</v>
          </cell>
          <cell r="R712">
            <v>-1317</v>
          </cell>
        </row>
        <row r="713">
          <cell r="A713" t="str">
            <v>007935</v>
          </cell>
          <cell r="B713" t="str">
            <v>LDC 2</v>
          </cell>
          <cell r="D713" t="str">
            <v>yes</v>
          </cell>
          <cell r="E713" t="str">
            <v>20903155194</v>
          </cell>
          <cell r="F713" t="str">
            <v>F0604</v>
          </cell>
          <cell r="G713" t="str">
            <v>Main Replacement - ISRS (S)</v>
          </cell>
          <cell r="H713" t="str">
            <v>Prepare Hydrotest Odessa Lateral Tr</v>
          </cell>
          <cell r="I713" t="str">
            <v>in service</v>
          </cell>
          <cell r="J713" t="str">
            <v>Prepare Hydrotest Odessa Lateral Transmission Main: Blue Springs: Replace Bare Steel Main - 3760 Safety Related (34-394)</v>
          </cell>
          <cell r="K713" t="str">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ell>
          <cell r="L713">
            <v>42355</v>
          </cell>
          <cell r="O713">
            <v>42370</v>
          </cell>
          <cell r="P713" t="str">
            <v>0903-043026  JACKSON CTY/BLUE SPRINGS</v>
          </cell>
          <cell r="Q713">
            <v>366871.11</v>
          </cell>
          <cell r="R713">
            <v>-6773.4</v>
          </cell>
        </row>
        <row r="714">
          <cell r="A714" t="str">
            <v>007174</v>
          </cell>
          <cell r="B714" t="str">
            <v>LDC 2</v>
          </cell>
          <cell r="D714" t="str">
            <v>no</v>
          </cell>
          <cell r="E714" t="str">
            <v>20903144008</v>
          </cell>
          <cell r="F714" t="str">
            <v>F0675</v>
          </cell>
          <cell r="G714" t="str">
            <v>Services -  2" &amp; larger</v>
          </cell>
          <cell r="H714" t="str">
            <v>Benton House  Service Line</v>
          </cell>
          <cell r="I714" t="str">
            <v>posted to CPR</v>
          </cell>
          <cell r="J714" t="str">
            <v>Benton House  Service Line: Blue Springs: New Services 2in &amp; Larger  3800 (33-381)</v>
          </cell>
          <cell r="K714" t="str">
            <v>Approved by: Ralph Janes on 12/08/2014,  Install 585' - 2" pe service line to serve one new commercial customer.  Note:  Meter to be installed on parent work order 14-3986.  Note:  Main extension to be installed on work order 14-4006.</v>
          </cell>
          <cell r="L714">
            <v>42026</v>
          </cell>
          <cell r="M714">
            <v>42063</v>
          </cell>
          <cell r="N714">
            <v>42069.556331018503</v>
          </cell>
          <cell r="O714">
            <v>42005</v>
          </cell>
          <cell r="P714" t="str">
            <v>0903-043026  JACKSON CTY/BLUE SPRINGS</v>
          </cell>
          <cell r="Q714">
            <v>9056.5</v>
          </cell>
          <cell r="R714">
            <v>-1123</v>
          </cell>
        </row>
        <row r="715">
          <cell r="A715" t="str">
            <v>801050</v>
          </cell>
          <cell r="B715" t="str">
            <v>LDC 2</v>
          </cell>
          <cell r="D715" t="str">
            <v>no</v>
          </cell>
          <cell r="F715" t="str">
            <v>F0673</v>
          </cell>
          <cell r="G715" t="str">
            <v>New Main Extensions (S)</v>
          </cell>
          <cell r="H715" t="str">
            <v>Inst 5090F 2-4P The Traditions Ph1</v>
          </cell>
          <cell r="I715" t="str">
            <v>in service</v>
          </cell>
          <cell r="J715" t="str">
            <v>Install ~3400 Ft of 2" PL IP Main, ~1690 Ft of 4" PL IP Main to serve residential subdivision - The Traditions S. Mullen Road &amp; Sycamore Drive.</v>
          </cell>
          <cell r="K715" t="str">
            <v>Sallee Development - Phase 1 is a subdivision previously impacted by the downturn. Streets are fully in, but no houses (and no gas main) currently exists. This is a request for main extension to (19) Single Family Detached Homes and (32) Single Family detached Villas. There will also be (4) Commercial lots at West entrance of subdivision. There are also plans for (23) 4-plex units (92 total residences) on the North side of Sycamore &amp; Emily Avenue, that Sales is still trying to gain a gas commitment on, but based on the multi-unit configuration, may be difficult and therefore...at time of this request, a main extension is not initially being requested for that part of the subdivision</v>
          </cell>
          <cell r="L715">
            <v>42724</v>
          </cell>
          <cell r="O715">
            <v>42705</v>
          </cell>
          <cell r="P715" t="str">
            <v>0906-016001  CASS CTY/BELTON W OF MULLIN RD</v>
          </cell>
          <cell r="Q715">
            <v>73289.37</v>
          </cell>
          <cell r="R715">
            <v>-10620.15</v>
          </cell>
        </row>
        <row r="716">
          <cell r="A716" t="str">
            <v>007702</v>
          </cell>
          <cell r="B716" t="str">
            <v>LDC 2</v>
          </cell>
          <cell r="D716" t="str">
            <v>no</v>
          </cell>
          <cell r="E716" t="str">
            <v>20903155150</v>
          </cell>
          <cell r="F716" t="str">
            <v>F0507</v>
          </cell>
          <cell r="G716" t="str">
            <v>Rebuild Meter Install 2'' &amp; Lg (S)</v>
          </cell>
          <cell r="H716" t="str">
            <v>Remove 1.5M Rotary Meter</v>
          </cell>
          <cell r="I716" t="str">
            <v>posted to CPR</v>
          </cell>
          <cell r="J716" t="str">
            <v>Remove 1.5M Rotary Meter: Blue Springs: Replace Meter &amp; Reg 2&amp;quot; &amp;  Larger - 3820/3830 (32-404)</v>
          </cell>
          <cell r="K716" t="str">
            <v>Approved by: Kevin Driskell on 02/20/2015,  Remove and dismantle the 1.5M rotary meter setting (meter #08064824, premise #323668, installed on WO #810233) at the old El Maguey Restaurant due to inactivity.</v>
          </cell>
          <cell r="L716">
            <v>42069</v>
          </cell>
          <cell r="M716">
            <v>42094</v>
          </cell>
          <cell r="N716">
            <v>42193.495462963001</v>
          </cell>
          <cell r="O716">
            <v>42156</v>
          </cell>
          <cell r="P716" t="str">
            <v>0903-043026  JACKSON CTY/BLUE SPRINGS</v>
          </cell>
          <cell r="Q716">
            <v>788.01</v>
          </cell>
          <cell r="R716">
            <v>8</v>
          </cell>
        </row>
        <row r="717">
          <cell r="A717" t="str">
            <v>010221</v>
          </cell>
          <cell r="B717" t="str">
            <v>LDC 2</v>
          </cell>
          <cell r="D717" t="str">
            <v>no</v>
          </cell>
          <cell r="F717" t="str">
            <v>F0644</v>
          </cell>
          <cell r="G717" t="str">
            <v>Meter &amp; Reg Settings 2" &amp; Lg (S)</v>
          </cell>
          <cell r="H717" t="str">
            <v>Masters Transportation 3M Rotary</v>
          </cell>
          <cell r="I717" t="str">
            <v>in service</v>
          </cell>
          <cell r="J717" t="str">
            <v>Masters Transportation has added new load going from 591 cfh to 3,091 cfh requiring rebuilding the existing diaphragm meter set and installing a 3M Rotary Meter - 152115 S US Highway 71</v>
          </cell>
          <cell r="L717">
            <v>42412</v>
          </cell>
          <cell r="O717">
            <v>42614</v>
          </cell>
          <cell r="P717" t="str">
            <v>0904-043030  JACKSON CTY/GRANDVIEW</v>
          </cell>
          <cell r="Q717">
            <v>2119.3200000000002</v>
          </cell>
          <cell r="R717">
            <v>-49</v>
          </cell>
        </row>
        <row r="718">
          <cell r="A718" t="str">
            <v>005736</v>
          </cell>
          <cell r="B718" t="str">
            <v>LDC 2</v>
          </cell>
          <cell r="D718" t="str">
            <v>no</v>
          </cell>
          <cell r="E718" t="str">
            <v>20906143675</v>
          </cell>
          <cell r="F718" t="str">
            <v>F0507</v>
          </cell>
          <cell r="G718" t="str">
            <v>Rebuild Meter Install 2'' &amp; Lg (S)</v>
          </cell>
          <cell r="H718" t="str">
            <v>1833 E North Ave Retire 3M Meter Se</v>
          </cell>
          <cell r="I718" t="str">
            <v>posted to CPR</v>
          </cell>
          <cell r="J718" t="str">
            <v>1833 E North Ave Retire 3M Meter Setting: Belton: Replace Meter &amp; Reg 2&amp;quot; &amp;  Larger - 3820/3830 (32-404)</v>
          </cell>
          <cell r="K718" t="str">
            <v>Approved by: Ralph Janes on 07/15/2014,  Remove and dismantle the 3M rotary meter setting (meter #09921301, installed on WO# 001754) at the old Price Chopper due to inactivity.</v>
          </cell>
          <cell r="L718">
            <v>41858</v>
          </cell>
          <cell r="M718">
            <v>41904</v>
          </cell>
          <cell r="N718">
            <v>41918.764062499999</v>
          </cell>
          <cell r="P718" t="str">
            <v>0906-016001  CASS CTY/BELTON W OF MULLIN RD</v>
          </cell>
          <cell r="Q718">
            <v>1643.42</v>
          </cell>
          <cell r="R718">
            <v>3</v>
          </cell>
        </row>
        <row r="719">
          <cell r="A719" t="str">
            <v>003839</v>
          </cell>
          <cell r="B719" t="str">
            <v>LDC 2</v>
          </cell>
          <cell r="D719" t="str">
            <v>yes</v>
          </cell>
          <cell r="E719" t="str">
            <v>20909132747</v>
          </cell>
          <cell r="F719" t="str">
            <v>F0646</v>
          </cell>
          <cell r="G719" t="str">
            <v>Replace bare steel main - safety re</v>
          </cell>
          <cell r="H719" t="str">
            <v>Alley btw Taylor/Campbell Repl PBS</v>
          </cell>
          <cell r="I719" t="str">
            <v>posted to CPR</v>
          </cell>
          <cell r="J719" t="str">
            <v>Alley btw Taylor/Campbell Repl PBS w 825'-4in PE: Pleasant Hill: Alley between Taylor and Campbell Replacement</v>
          </cell>
          <cell r="K719" t="str">
            <v>Approved by: Ralph Janes on 06/20/2013,  Main to abandon: 800' of 4in PBS original work order unknown. Replace with 825' of 2in PE on wo# 13-2747. We have fixed several leaks on this section of main and have just been called there again for a leak which is under brand new pavement. Pressure system is C-001 with a MOP and MAOP = 1 psig.</v>
          </cell>
          <cell r="L719">
            <v>41533</v>
          </cell>
          <cell r="M719">
            <v>41600</v>
          </cell>
          <cell r="N719">
            <v>41603.384641203702</v>
          </cell>
          <cell r="O719">
            <v>41730</v>
          </cell>
          <cell r="P719" t="str">
            <v>0909-016012  CASS CTY/PLEASANT HILL</v>
          </cell>
          <cell r="Q719">
            <v>22259.16</v>
          </cell>
          <cell r="R719">
            <v>2772</v>
          </cell>
        </row>
        <row r="720">
          <cell r="A720" t="str">
            <v>800214</v>
          </cell>
          <cell r="B720" t="str">
            <v>LDC 2</v>
          </cell>
          <cell r="D720" t="str">
            <v>no</v>
          </cell>
          <cell r="F720" t="str">
            <v>F0673</v>
          </cell>
          <cell r="G720" t="str">
            <v>New Main Extensions (S)</v>
          </cell>
          <cell r="H720" t="str">
            <v>The Shop - Main Ext</v>
          </cell>
          <cell r="I720" t="str">
            <v>in service</v>
          </cell>
          <cell r="J720" t="str">
            <v>Install 75' - 2" plastic main to serve one new customer. 624 Oakland Street, 64080.</v>
          </cell>
          <cell r="L720">
            <v>42349</v>
          </cell>
          <cell r="O720">
            <v>42461</v>
          </cell>
          <cell r="P720" t="str">
            <v>0909-016012  CASS CTY/PLEASANT HILL</v>
          </cell>
          <cell r="Q720">
            <v>4309.13</v>
          </cell>
          <cell r="R720">
            <v>-763</v>
          </cell>
        </row>
        <row r="721">
          <cell r="A721" t="str">
            <v>013034</v>
          </cell>
          <cell r="B721" t="str">
            <v>LDC 2</v>
          </cell>
          <cell r="D721" t="str">
            <v>no</v>
          </cell>
          <cell r="F721" t="str">
            <v>F0644</v>
          </cell>
          <cell r="G721" t="str">
            <v>Meter &amp; Reg Settings 2" &amp; Lg (S)</v>
          </cell>
          <cell r="H721" t="str">
            <v>7M Rotary Meter Set</v>
          </cell>
          <cell r="I721" t="str">
            <v>open</v>
          </cell>
          <cell r="J721" t="str">
            <v>Install a 7M Rotary Meter setting to serve the new St Michaels Archangel High School at 2901 NW Lees Summit Rd</v>
          </cell>
          <cell r="P721" t="str">
            <v>0901-043021  JACKSON CTY/LEE'S SUMMIT OFFIC</v>
          </cell>
          <cell r="Q721">
            <v>1566.79</v>
          </cell>
          <cell r="R721">
            <v>-71.599999999999994</v>
          </cell>
        </row>
        <row r="722">
          <cell r="A722" t="str">
            <v>800479</v>
          </cell>
          <cell r="B722" t="str">
            <v>LDC 2</v>
          </cell>
          <cell r="D722" t="str">
            <v>no</v>
          </cell>
          <cell r="F722" t="str">
            <v>F0673</v>
          </cell>
          <cell r="G722" t="str">
            <v>New Main Extensions (S)</v>
          </cell>
          <cell r="H722" t="str">
            <v>Inst 3555F 2P Park Ridge-5 NB</v>
          </cell>
          <cell r="I722" t="str">
            <v>in service</v>
          </cell>
          <cell r="J722" t="str">
            <v>Install 3555 Ft of 2PL MP Main. This main extension is for 46 new lots in plat 5 of Park Ridge-5 sub-division.</v>
          </cell>
          <cell r="L722">
            <v>42625</v>
          </cell>
          <cell r="O722">
            <v>42614</v>
          </cell>
          <cell r="P722" t="str">
            <v>0901-043021  JACKSON CTY/LEE'S SUMMIT OFFIC</v>
          </cell>
          <cell r="Q722">
            <v>30982.959999999999</v>
          </cell>
          <cell r="R722">
            <v>-7643.5</v>
          </cell>
        </row>
        <row r="723">
          <cell r="A723" t="str">
            <v>007827</v>
          </cell>
          <cell r="B723" t="str">
            <v>LDC 2</v>
          </cell>
          <cell r="D723" t="str">
            <v>no</v>
          </cell>
          <cell r="E723" t="str">
            <v>20901155213</v>
          </cell>
          <cell r="F723" t="str">
            <v>F0507</v>
          </cell>
          <cell r="G723" t="str">
            <v>Rebuild Meter Install 2'' &amp; Lg (S)</v>
          </cell>
          <cell r="H723" t="str">
            <v>Remove 1.5M Rotary Meter</v>
          </cell>
          <cell r="I723" t="str">
            <v>posted to CPR</v>
          </cell>
          <cell r="J723" t="str">
            <v>Remove 1.5M Rotary Meter: Lees Summit: Replace Meter &amp; Reg 2&amp;quot; &amp;  Larger - 3820/3830 (32-404)</v>
          </cell>
          <cell r="K723" t="str">
            <v>Approved by: Kevin Driskell on 03/12/2015,  Remove and dismantle the 1.5M rotary meter set (meter #08463597, installed on WO# 84-4817, premise# 367599) from Kinkos.  The service line is on the SLRP program is being replaced.  The total connected load is 385 cfh so a AL-400 meter will be set to serve the customer.</v>
          </cell>
          <cell r="L723">
            <v>42081</v>
          </cell>
          <cell r="M723">
            <v>42124</v>
          </cell>
          <cell r="N723">
            <v>42223.566979166702</v>
          </cell>
          <cell r="O723">
            <v>42186</v>
          </cell>
          <cell r="P723" t="str">
            <v>0901-043021  JACKSON CTY/LEE'S SUMMIT OFFIC</v>
          </cell>
          <cell r="Q723">
            <v>343.59</v>
          </cell>
          <cell r="R723">
            <v>5</v>
          </cell>
        </row>
        <row r="724">
          <cell r="A724" t="str">
            <v>004017</v>
          </cell>
          <cell r="B724" t="str">
            <v>LDC 2</v>
          </cell>
          <cell r="D724" t="str">
            <v>no</v>
          </cell>
          <cell r="E724" t="str">
            <v>20901132896</v>
          </cell>
          <cell r="F724" t="str">
            <v>F0602</v>
          </cell>
          <cell r="G724" t="str">
            <v>New business</v>
          </cell>
          <cell r="H724" t="str">
            <v>Legacy Wood - 5th Lay 2740'-2in PE</v>
          </cell>
          <cell r="I724" t="str">
            <v>posted to CPR</v>
          </cell>
          <cell r="J724" t="str">
            <v>Legacy Wood - 5th Lay 2740'-2in PE main: Lees Summit: Viewpark Dr. &amp; Legacy Wood Dr.</v>
          </cell>
          <cell r="K724" t="str">
            <v>Approved by: Ralph Janes on 08/14/2013,  Install 2740' of 2" PE main to serve the 5th Plat of Legacy Wood. Pressure system is C-002 with a MOP = 50 psig and MAOP = 58 psig.</v>
          </cell>
          <cell r="L724">
            <v>41870</v>
          </cell>
          <cell r="M724">
            <v>42154</v>
          </cell>
          <cell r="N724">
            <v>42256.639282407399</v>
          </cell>
          <cell r="O724">
            <v>41883</v>
          </cell>
          <cell r="P724" t="str">
            <v>0901-043021  JACKSON CTY/LEE'S SUMMIT OFFIC</v>
          </cell>
          <cell r="Q724">
            <v>22749.06</v>
          </cell>
          <cell r="R724">
            <v>-5680</v>
          </cell>
        </row>
        <row r="725">
          <cell r="A725" t="str">
            <v>004594</v>
          </cell>
          <cell r="B725" t="str">
            <v>LDC 2</v>
          </cell>
          <cell r="D725" t="str">
            <v>no</v>
          </cell>
          <cell r="E725" t="str">
            <v>20901050320</v>
          </cell>
          <cell r="F725" t="str">
            <v>F0674</v>
          </cell>
          <cell r="G725" t="str">
            <v>New service installations - contrac</v>
          </cell>
          <cell r="H725" t="str">
            <v>BWO NEW SVC CONT</v>
          </cell>
          <cell r="I725" t="str">
            <v>open</v>
          </cell>
          <cell r="J725" t="str">
            <v>BWO NEW SVC CONT</v>
          </cell>
          <cell r="K725" t="str">
            <v>Project Type:B</v>
          </cell>
          <cell r="O725">
            <v>41730</v>
          </cell>
          <cell r="P725" t="str">
            <v>0901-043021  JACKSON CTY/LEE'S SUMMIT OFFIC</v>
          </cell>
          <cell r="Q725">
            <v>8985455.3000000007</v>
          </cell>
          <cell r="R725">
            <v>1861614.83</v>
          </cell>
        </row>
        <row r="726">
          <cell r="A726" t="str">
            <v>004398</v>
          </cell>
          <cell r="B726" t="str">
            <v>LDC 2</v>
          </cell>
          <cell r="D726" t="str">
            <v>no</v>
          </cell>
          <cell r="E726" t="str">
            <v>20901050308</v>
          </cell>
          <cell r="F726" t="str">
            <v>F0534</v>
          </cell>
          <cell r="G726" t="str">
            <v>BWO Mtr/Reg Repl - Non ISRS (S)</v>
          </cell>
          <cell r="H726" t="str">
            <v>BWO-Repl Mtr Sets (Non SLRP)-South</v>
          </cell>
          <cell r="I726" t="str">
            <v>open</v>
          </cell>
          <cell r="J726" t="str">
            <v>BWO- Replace Meter Sets Under 2 inch (Non-SLRP related) - South Region</v>
          </cell>
          <cell r="O726">
            <v>41730</v>
          </cell>
          <cell r="P726" t="str">
            <v>0901-043021  JACKSON CTY/LEE'S SUMMIT OFFIC</v>
          </cell>
          <cell r="Q726">
            <v>5030135.8899999997</v>
          </cell>
          <cell r="R726">
            <v>133398.23000000001</v>
          </cell>
        </row>
        <row r="727">
          <cell r="A727" t="str">
            <v>800620</v>
          </cell>
          <cell r="B727" t="str">
            <v>LDC 2</v>
          </cell>
          <cell r="C727" t="str">
            <v>09 - Facility Relocation due to Civic Improvement</v>
          </cell>
          <cell r="D727" t="str">
            <v>yes</v>
          </cell>
          <cell r="F727" t="str">
            <v>F0664</v>
          </cell>
          <cell r="G727" t="str">
            <v>Street &amp; Hwy Relocates ISRS (SW)</v>
          </cell>
          <cell r="H727" t="str">
            <v>Rel w/ 29F 2P River St</v>
          </cell>
          <cell r="I727" t="str">
            <v>open</v>
          </cell>
          <cell r="J727" t="str">
            <v>Install 29 Ft of 2 in PL MP Main at Intersection of River St and Gene Taylor Dr.  Abandon 25 Ft of 2 in PL MP Main at above location.</v>
          </cell>
          <cell r="K727" t="str">
            <v>This main is being relocated due to a Civic Improvement.</v>
          </cell>
          <cell r="P727" t="str">
            <v>0601-044025  JASPER CTY/CARTHAGE</v>
          </cell>
          <cell r="Q727">
            <v>0</v>
          </cell>
          <cell r="R727">
            <v>25</v>
          </cell>
        </row>
        <row r="728">
          <cell r="A728" t="str">
            <v>011477</v>
          </cell>
          <cell r="B728" t="str">
            <v>LDC 2</v>
          </cell>
          <cell r="D728" t="str">
            <v>no</v>
          </cell>
          <cell r="F728" t="str">
            <v>F0660</v>
          </cell>
          <cell r="G728" t="str">
            <v>Meter &amp; Reg Settings 2" &amp; Lg (N)</v>
          </cell>
          <cell r="H728" t="str">
            <v>Inst 5M Mtr-Stonecresting Living</v>
          </cell>
          <cell r="I728" t="str">
            <v>in service</v>
          </cell>
          <cell r="J728" t="str">
            <v>Install 5M meter assembly for Stonecrest Living Center at 6311 N. Cosby Ave.</v>
          </cell>
          <cell r="K728" t="str">
            <v>Maximo WO 15215768</v>
          </cell>
          <cell r="L728">
            <v>42556</v>
          </cell>
          <cell r="O728">
            <v>42614</v>
          </cell>
          <cell r="P728" t="str">
            <v>1251-075010  PLATTE CTY/KANSAS CITY NORTH</v>
          </cell>
          <cell r="Q728">
            <v>598.1</v>
          </cell>
          <cell r="R728">
            <v>14</v>
          </cell>
        </row>
        <row r="729">
          <cell r="A729" t="str">
            <v>007181</v>
          </cell>
          <cell r="B729" t="str">
            <v>LDC 2</v>
          </cell>
          <cell r="D729" t="str">
            <v>no</v>
          </cell>
          <cell r="E729" t="str">
            <v>21251143947</v>
          </cell>
          <cell r="F729" t="str">
            <v>F0610</v>
          </cell>
          <cell r="G729" t="str">
            <v>New business</v>
          </cell>
          <cell r="H729" t="str">
            <v>Townhomes at the National 2nd Plat</v>
          </cell>
          <cell r="I729" t="str">
            <v>posted to CPR</v>
          </cell>
          <cell r="J729" t="str">
            <v>Townhomes at the National 2nd Plat: Kansas City-Platte Co: New Main Extension - Contractor Crews  3760 (33-380)</v>
          </cell>
          <cell r="K729" t="str">
            <v>Approved by: Kevin Driskell on 12/12/2014,  Extend existing 2'' PE main 1080' along Lime Stone Court. Tie into existing 2" main (08-5261) Pressure system C-068. Recd $9180 check 12-11-14 per WOES  - Sent to Chris C.</v>
          </cell>
          <cell r="L729">
            <v>42109</v>
          </cell>
          <cell r="M729">
            <v>42248</v>
          </cell>
          <cell r="N729">
            <v>42284.722951388903</v>
          </cell>
          <cell r="O729">
            <v>42248</v>
          </cell>
          <cell r="P729" t="str">
            <v>1251-075010  PLATTE CTY/KANSAS CITY NORTH</v>
          </cell>
          <cell r="Q729">
            <v>15454.03</v>
          </cell>
          <cell r="R729">
            <v>-2591</v>
          </cell>
        </row>
        <row r="730">
          <cell r="A730" t="str">
            <v>004546</v>
          </cell>
          <cell r="B730" t="str">
            <v>LDC 2</v>
          </cell>
          <cell r="D730" t="str">
            <v>no</v>
          </cell>
          <cell r="E730" t="str">
            <v>21251132491</v>
          </cell>
          <cell r="F730" t="str">
            <v>F0610</v>
          </cell>
          <cell r="G730" t="str">
            <v>New business</v>
          </cell>
          <cell r="H730" t="str">
            <v>NW 93RD &amp; N BRADFORD Lay 1265'-2;18</v>
          </cell>
          <cell r="I730" t="str">
            <v>posted to CPR</v>
          </cell>
          <cell r="J730" t="str">
            <v>NW 93RD &amp; N BRADFORD Lay 1265'-2;1877'-4in PE main: Kansas City-Platte Co: VILLAS AT TIFFANY WOOD Phase 1</v>
          </cell>
          <cell r="K730" t="str">
            <v>Approved by: Gary Williams on 10/15/2013,  LAYING 1,877'-4in PLEXCO &amp; 1,265-2in PLEXCO IN ORDER TO SERVE 73 METERS IN SUBDIVISION. LOTS 1-73. ONE WAY FEED.  3,142' x $8.50=$26,707.00  COST PER FOOT=$12.54  DEVELOPER TO CONTRIBUTE $26,707.00 BEFORE START OF PROJECT.</v>
          </cell>
          <cell r="L730">
            <v>41612</v>
          </cell>
          <cell r="M730">
            <v>41697</v>
          </cell>
          <cell r="N730">
            <v>41698.505208333299</v>
          </cell>
          <cell r="O730">
            <v>41730</v>
          </cell>
          <cell r="P730" t="str">
            <v>1251-075013  PLATTE CTY/KANSAS CITY NORTH</v>
          </cell>
          <cell r="Q730">
            <v>34433.39</v>
          </cell>
          <cell r="R730">
            <v>7371</v>
          </cell>
        </row>
        <row r="731">
          <cell r="A731" t="str">
            <v>006355</v>
          </cell>
          <cell r="B731" t="str">
            <v>LDC 2</v>
          </cell>
          <cell r="D731" t="str">
            <v>yes</v>
          </cell>
          <cell r="E731" t="str">
            <v>21001143596</v>
          </cell>
          <cell r="F731" t="str">
            <v>F0504</v>
          </cell>
          <cell r="G731" t="str">
            <v>Replace bare steel main - safety re</v>
          </cell>
          <cell r="H731" t="str">
            <v>PBS Replacement</v>
          </cell>
          <cell r="I731" t="str">
            <v>posted to CPR</v>
          </cell>
          <cell r="J731" t="str">
            <v>PBS Replacement: St Joseph: Replace Bare Steel Main - 3760 Safety Related (34-394)</v>
          </cell>
          <cell r="K731" t="str">
            <v>Approved by: Gary Williams on 09/08/2014,  Replace PBS for down project. Pressure system C-10</v>
          </cell>
          <cell r="L731">
            <v>42020</v>
          </cell>
          <cell r="M731">
            <v>42216</v>
          </cell>
          <cell r="N731">
            <v>42256.641238425902</v>
          </cell>
          <cell r="O731">
            <v>42005</v>
          </cell>
          <cell r="P731" t="str">
            <v>1001-010001  ST. JOSEPH CITY/BUCHANAN</v>
          </cell>
          <cell r="Q731">
            <v>18412.900000000001</v>
          </cell>
          <cell r="R731">
            <v>-1442</v>
          </cell>
        </row>
        <row r="732">
          <cell r="A732" t="str">
            <v>006113</v>
          </cell>
          <cell r="B732" t="str">
            <v>LDC 2</v>
          </cell>
          <cell r="D732" t="str">
            <v>yes</v>
          </cell>
          <cell r="E732" t="str">
            <v>20828143755</v>
          </cell>
          <cell r="F732" t="str">
            <v>F0598</v>
          </cell>
          <cell r="G732" t="str">
            <v>Replace steel &amp; plastic main</v>
          </cell>
          <cell r="H732" t="str">
            <v>Repl 1.25 and 2 in CS Main</v>
          </cell>
          <cell r="I732" t="str">
            <v>posted to CPR</v>
          </cell>
          <cell r="J732" t="str">
            <v>Repl 1.25 and 2 in CS Main: Pineville: Replace Coated Steel &amp; Plastic Main - 3760 (34-396)</v>
          </cell>
          <cell r="K732" t="str">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ell>
          <cell r="L732">
            <v>41744</v>
          </cell>
          <cell r="M732">
            <v>42248</v>
          </cell>
          <cell r="N732">
            <v>42284.722152777802</v>
          </cell>
          <cell r="O732">
            <v>41883</v>
          </cell>
          <cell r="P732" t="str">
            <v>0828-059005  MCDONALD CTY/PINEVILLE</v>
          </cell>
          <cell r="Q732">
            <v>812.83</v>
          </cell>
          <cell r="R732">
            <v>34</v>
          </cell>
        </row>
        <row r="733">
          <cell r="A733" t="str">
            <v>004408</v>
          </cell>
          <cell r="B733" t="str">
            <v>LDC 2</v>
          </cell>
          <cell r="D733" t="str">
            <v>yes</v>
          </cell>
          <cell r="E733" t="str">
            <v>21001050363</v>
          </cell>
          <cell r="F733" t="str">
            <v>F0519</v>
          </cell>
          <cell r="G733" t="str">
            <v>SLRP - meter &amp; regulator replacemen</v>
          </cell>
          <cell r="H733" t="str">
            <v>BWO SLRP MTR/REG REPL COMPANY</v>
          </cell>
          <cell r="I733" t="str">
            <v>open</v>
          </cell>
          <cell r="J733" t="str">
            <v>BWO SLRP MTR/REG REPL COMPANY</v>
          </cell>
          <cell r="K733" t="str">
            <v>Service/Yard Line Replacement (SLRP): Company Crew.  Rebuild meter/regulator setting (exclude regulator) (St Joseph)</v>
          </cell>
          <cell r="O733">
            <v>41730</v>
          </cell>
          <cell r="P733" t="str">
            <v>1001-010001  ST. JOSEPH CITY/BUCHANAN</v>
          </cell>
          <cell r="Q733">
            <v>8480.02</v>
          </cell>
          <cell r="R733">
            <v>596</v>
          </cell>
        </row>
        <row r="734">
          <cell r="A734" t="str">
            <v>800079</v>
          </cell>
          <cell r="B734" t="str">
            <v>LDC 2</v>
          </cell>
          <cell r="C734" t="str">
            <v>03 - Bare Steel Replacement</v>
          </cell>
          <cell r="D734" t="str">
            <v>yes</v>
          </cell>
          <cell r="F734" t="str">
            <v>F0599</v>
          </cell>
          <cell r="G734" t="str">
            <v>Main Replacement - ISRS (N)</v>
          </cell>
          <cell r="H734" t="str">
            <v>Liberty Header Main - Phase 2</v>
          </cell>
          <cell r="I734" t="str">
            <v>in service</v>
          </cell>
          <cell r="J734" t="str">
            <v>Install 4065 feet of 4 in PL IP  header main on N Lightburne St, N Jewel St, S Jewel St, and E Mill St. Total Service Estimate: 25 Service Tie-Overs. Main is being installed as part of the FY 2016 Bare Steel Replacement Program.</v>
          </cell>
          <cell r="K734" t="str">
            <v>Includes 100 feet of 2 in Plastic installed.</v>
          </cell>
          <cell r="L734">
            <v>42674</v>
          </cell>
          <cell r="O734">
            <v>42644</v>
          </cell>
          <cell r="P734" t="str">
            <v>1207-020001  CLAY CTY/LIBERTY</v>
          </cell>
          <cell r="Q734">
            <v>202350.58</v>
          </cell>
          <cell r="R734">
            <v>-9022.75</v>
          </cell>
        </row>
        <row r="735">
          <cell r="A735" t="str">
            <v>008757</v>
          </cell>
          <cell r="B735" t="str">
            <v>LDC 2</v>
          </cell>
          <cell r="D735" t="str">
            <v>no</v>
          </cell>
          <cell r="E735" t="str">
            <v>21207155387</v>
          </cell>
          <cell r="F735" t="str">
            <v>F0610</v>
          </cell>
          <cell r="G735" t="str">
            <v>New business</v>
          </cell>
          <cell r="H735" t="str">
            <v>Clay Meadows 10th Plat</v>
          </cell>
          <cell r="I735" t="str">
            <v>posted to CPR</v>
          </cell>
          <cell r="J735" t="str">
            <v>Clay Meadows 10th Plat: Liberty: New Main Extension - Contractor Crews  3760 (33-380)</v>
          </cell>
          <cell r="K735" t="str">
            <v>Approved by: Ray Wilson on 06/22/2015,  Install 340' of 4" PE and 735' of 2" PE to serve 17 new residential customers. Lots 438 thru 454. Customer to contribute $9,137.50 before start of project.</v>
          </cell>
          <cell r="L735">
            <v>42422</v>
          </cell>
          <cell r="M735">
            <v>42735</v>
          </cell>
          <cell r="N735">
            <v>42772.668460648099</v>
          </cell>
          <cell r="O735">
            <v>42522</v>
          </cell>
          <cell r="P735" t="str">
            <v>1207-020001  CLAY CTY/LIBERTY</v>
          </cell>
          <cell r="Q735">
            <v>13212.16</v>
          </cell>
          <cell r="R735">
            <v>-1169</v>
          </cell>
        </row>
        <row r="736">
          <cell r="A736" t="str">
            <v>005533</v>
          </cell>
          <cell r="B736" t="str">
            <v>LDC 2</v>
          </cell>
          <cell r="D736" t="str">
            <v>no</v>
          </cell>
          <cell r="E736" t="str">
            <v>21904143625</v>
          </cell>
          <cell r="F736" t="str">
            <v>F0529</v>
          </cell>
          <cell r="G736" t="str">
            <v>Meter Purchases - MGE</v>
          </cell>
          <cell r="H736" t="str">
            <v>Pur 400,800, and 1000 Class Meters</v>
          </cell>
          <cell r="I736" t="str">
            <v>posted to CPR</v>
          </cell>
          <cell r="J736" t="str">
            <v>Pur 400,800, and 1000 Class Meters: Kansas City CORP: Purchase Domestic Diaphragm  Meters - 3810 (32-398)</v>
          </cell>
          <cell r="K736" t="str">
            <v>Approved by: Steve Holcomb on 06/17/2014,  Purchase 400A Itron(0506103)800A(0506122)and 100A(0506127)for 2014 stock.
Complete per 3-15 meter report AMM</v>
          </cell>
          <cell r="L736">
            <v>42078</v>
          </cell>
          <cell r="M736">
            <v>42186</v>
          </cell>
          <cell r="N736">
            <v>42223.565902777802</v>
          </cell>
          <cell r="O736">
            <v>42125</v>
          </cell>
          <cell r="P736" t="str">
            <v>1904-043050  JACKSON CTY/KC</v>
          </cell>
          <cell r="Q736">
            <v>124991.99</v>
          </cell>
          <cell r="R736">
            <v>544</v>
          </cell>
        </row>
        <row r="737">
          <cell r="A737" t="str">
            <v>006419</v>
          </cell>
          <cell r="B737" t="str">
            <v>LDC 2</v>
          </cell>
          <cell r="D737" t="str">
            <v>no</v>
          </cell>
          <cell r="E737" t="str">
            <v>21271143754</v>
          </cell>
          <cell r="F737" t="str">
            <v>F0613</v>
          </cell>
          <cell r="G737" t="str">
            <v>Replace bare steel main - safety re</v>
          </cell>
          <cell r="H737" t="str">
            <v>2in PBS REPLACEMENT</v>
          </cell>
          <cell r="I737" t="str">
            <v>posted to CPR</v>
          </cell>
          <cell r="J737" t="str">
            <v>2in PBS REPLACEMENT: Kansas City-Clay Co: Replace Bare Steel Main - 3760 Safety Related (34-394)</v>
          </cell>
          <cell r="K737" t="str">
            <v>Approved by: Gary Williams on 09/12/2014,  Replaced 2'' PBS with 2'' PE due to 3rd party damage. Pressure system C-045.</v>
          </cell>
          <cell r="L737">
            <v>41842</v>
          </cell>
          <cell r="M737">
            <v>41912</v>
          </cell>
          <cell r="N737">
            <v>42012.551226851901</v>
          </cell>
          <cell r="O737">
            <v>41883</v>
          </cell>
          <cell r="P737" t="str">
            <v>1272-020043  CLAY CTY/NORTH KANSAS CITY</v>
          </cell>
          <cell r="Q737">
            <v>1804.98</v>
          </cell>
          <cell r="R737">
            <v>48.5</v>
          </cell>
        </row>
        <row r="738">
          <cell r="A738" t="str">
            <v>800245</v>
          </cell>
          <cell r="B738" t="str">
            <v>LDC 2</v>
          </cell>
          <cell r="C738" t="str">
            <v>09 - Facility Relocation due to Civic Improvement</v>
          </cell>
          <cell r="D738" t="str">
            <v>yes</v>
          </cell>
          <cell r="F738" t="str">
            <v>F0547</v>
          </cell>
          <cell r="G738" t="str">
            <v>Street &amp; Highway Relocates ISRS (N)</v>
          </cell>
          <cell r="H738" t="str">
            <v>20th and Buchanan 8in STL Relocatio</v>
          </cell>
          <cell r="I738" t="str">
            <v>completed</v>
          </cell>
          <cell r="J738" t="str">
            <v>Install 20' of 8'' STL. Abandon 20' of 8'' STL.  8700 Elmwood Ave. The relocation is due to a conflict with a public improvement project.</v>
          </cell>
          <cell r="L738">
            <v>42391</v>
          </cell>
          <cell r="M738">
            <v>42766</v>
          </cell>
          <cell r="O738">
            <v>42401</v>
          </cell>
          <cell r="P738" t="str">
            <v>1272-020043  CLAY CTY/NORTH KANSAS CITY</v>
          </cell>
          <cell r="Q738">
            <v>43602.36</v>
          </cell>
          <cell r="R738">
            <v>3513</v>
          </cell>
        </row>
        <row r="739">
          <cell r="A739" t="str">
            <v>800503</v>
          </cell>
          <cell r="B739" t="str">
            <v>LDC 2</v>
          </cell>
          <cell r="C739" t="str">
            <v>01 - Cast Iron Strategic Replacement</v>
          </cell>
          <cell r="D739" t="str">
            <v>yes</v>
          </cell>
          <cell r="F739" t="str">
            <v>F0599</v>
          </cell>
          <cell r="G739" t="str">
            <v>Main Replacement - ISRS (N)</v>
          </cell>
          <cell r="H739" t="str">
            <v>Repl w 6585F 2-6P 63rd &amp; 55th Ph 1H</v>
          </cell>
          <cell r="I739" t="str">
            <v>open</v>
          </cell>
          <cell r="J739" t="str">
            <v>Install 5,915 Ft of 2 in PL IP main and 670 Ft of 6 PL IP main on Troost Ave, Harrison St, Rockhill Rd in between 55th St and 58th St.</v>
          </cell>
          <cell r="K739" t="str">
            <v>Abandon 73 Ft of 4 CI LP main, 1,961 Ft of 6 CI LP main, 5,124 Ft of 8 CI LP main, 90 Ft of 6 PL LP main, 1,930 Ft of 3 ST LP main, 51 Ft of 8 ST LP main, and 10 Ft of 6 ST LP main at the above location. Total Service Tie-over = 114; Total Service Replacement = 54; Total Service Abandoned = 3;  This main is being abandoned as part of FY16 Bare Steel Replacement Program.</v>
          </cell>
          <cell r="P739" t="str">
            <v>0401-043050  JACKSON CTY/KC</v>
          </cell>
          <cell r="Q739">
            <v>0</v>
          </cell>
          <cell r="R739">
            <v>9239</v>
          </cell>
        </row>
        <row r="740">
          <cell r="A740" t="str">
            <v>008408</v>
          </cell>
          <cell r="B740" t="str">
            <v>LDC 2</v>
          </cell>
          <cell r="D740" t="str">
            <v>no</v>
          </cell>
          <cell r="F740" t="str">
            <v>F0950</v>
          </cell>
          <cell r="G740" t="str">
            <v>Power Operated Eq - MGE</v>
          </cell>
          <cell r="H740" t="str">
            <v>Purchase 4 Service Trucks MGE</v>
          </cell>
          <cell r="I740" t="str">
            <v>posted to CPR</v>
          </cell>
          <cell r="J740" t="str">
            <v>Purchase 4 Service Trucks - MGE</v>
          </cell>
          <cell r="L740">
            <v>42551</v>
          </cell>
          <cell r="M740">
            <v>42552</v>
          </cell>
          <cell r="N740">
            <v>42587.363680555602</v>
          </cell>
          <cell r="O740">
            <v>42552</v>
          </cell>
          <cell r="P740" t="str">
            <v>0401-043050  JACKSON CTY/KC</v>
          </cell>
          <cell r="Q740">
            <v>546865.15</v>
          </cell>
          <cell r="R740">
            <v>354</v>
          </cell>
        </row>
        <row r="741">
          <cell r="A741" t="str">
            <v>007572</v>
          </cell>
          <cell r="B741" t="str">
            <v>LDC 2</v>
          </cell>
          <cell r="D741" t="str">
            <v>yes</v>
          </cell>
          <cell r="E741" t="str">
            <v>20401155103</v>
          </cell>
          <cell r="F741" t="str">
            <v>F0636</v>
          </cell>
          <cell r="G741" t="str">
            <v>Replace steel &amp; plastic main</v>
          </cell>
          <cell r="H741" t="str">
            <v>71st and Indiana 12in PCS Abandon</v>
          </cell>
          <cell r="I741" t="str">
            <v>posted to CPR</v>
          </cell>
          <cell r="J741" t="str">
            <v>71st and Indiana 12in PCS cut and cap: Kansas City-Jackson: Replace Coated Steel &amp; Plastic Main - 3760 (34-396)</v>
          </cell>
          <cell r="K741" t="str">
            <v>Approved by: Gary Williams on 02/03/2015,  Cut and Cap 12'' PCS and abandon approximately 14' of 12'' PCS. This will seperate the system corrosion had requested. Coordinate with P&amp;M department.</v>
          </cell>
          <cell r="L741">
            <v>42076</v>
          </cell>
          <cell r="M741">
            <v>42248</v>
          </cell>
          <cell r="N741">
            <v>42284.723229166702</v>
          </cell>
          <cell r="P741" t="str">
            <v>0401-043050  JACKSON CTY/KC</v>
          </cell>
          <cell r="Q741">
            <v>12010.89</v>
          </cell>
          <cell r="R741">
            <v>43</v>
          </cell>
        </row>
        <row r="742">
          <cell r="A742" t="str">
            <v>007512</v>
          </cell>
          <cell r="B742" t="str">
            <v>LDC 2</v>
          </cell>
          <cell r="D742" t="str">
            <v>yes</v>
          </cell>
          <cell r="E742" t="str">
            <v>20401155102</v>
          </cell>
          <cell r="F742" t="str">
            <v>F0599</v>
          </cell>
          <cell r="G742" t="str">
            <v>Main Replacement - ISRS (N)</v>
          </cell>
          <cell r="H742" t="str">
            <v>6in CI Replacement</v>
          </cell>
          <cell r="I742" t="str">
            <v>posted to CPR</v>
          </cell>
          <cell r="J742" t="str">
            <v>6in CI Replacement: Kansas City-Jackson: Replace Cast Iron Main - 3760 Safety Related (34-412)</v>
          </cell>
          <cell r="K742" t="str">
            <v>Approved by: Gary Williams on 01/27/2015,  Replace 6'' CI with 6'' PE. Address 1577 Baltimore (Marriott) requires a 4'' Service. In order to accommodate this replace a portion of the 6'' CI one-way feed with 6'' PE, install a 6'' tee and reduce it to 4'' for the service line. The 6'' Main will dead-end after picking up the other service (1511 Baltimore). Coordinate to shut 1511 Baltimore down temporarily while installing new main.</v>
          </cell>
          <cell r="L742">
            <v>42023</v>
          </cell>
          <cell r="M742">
            <v>42247</v>
          </cell>
          <cell r="N742">
            <v>42436.430335648103</v>
          </cell>
          <cell r="O742">
            <v>42156</v>
          </cell>
          <cell r="P742" t="str">
            <v>0401-043050  JACKSON CTY/KC</v>
          </cell>
          <cell r="Q742">
            <v>1606.92</v>
          </cell>
          <cell r="R742">
            <v>-14</v>
          </cell>
        </row>
        <row r="743">
          <cell r="A743" t="str">
            <v>007173</v>
          </cell>
          <cell r="B743" t="str">
            <v>LDC 2</v>
          </cell>
          <cell r="D743" t="str">
            <v>no</v>
          </cell>
          <cell r="E743" t="str">
            <v>20401144043</v>
          </cell>
          <cell r="F743" t="str">
            <v>F0658</v>
          </cell>
          <cell r="G743" t="str">
            <v>Services -  2" &amp; larger</v>
          </cell>
          <cell r="H743" t="str">
            <v>All American Redi Mix 2inch Service</v>
          </cell>
          <cell r="I743" t="str">
            <v>posted to CPR</v>
          </cell>
          <cell r="J743" t="str">
            <v>All American Redi Mix 2inch Service Line: Kansas City-Jackson: New Services 2in &amp; Larger  3800 (33-381)</v>
          </cell>
          <cell r="K743" t="str">
            <v>Approved by: Kevin Driskell on 12/16/2014,  Laying 400ft of 2in PE Service Line, LVM will install first cut at main tie-into 2IN Steel Main installed on (WO#14-3753). To serve 1 new commercial customer (concrete plant). Customer needs 2PSIG. ECONOMIC EVALUATION WILL COVER COST OF THIS PROJECT.</v>
          </cell>
          <cell r="L743">
            <v>41943</v>
          </cell>
          <cell r="M743">
            <v>42004</v>
          </cell>
          <cell r="N743">
            <v>42013</v>
          </cell>
          <cell r="O743">
            <v>42339</v>
          </cell>
          <cell r="P743" t="str">
            <v>0401-043050  JACKSON CTY/KC</v>
          </cell>
          <cell r="Q743">
            <v>1019.67</v>
          </cell>
          <cell r="R743">
            <v>-821</v>
          </cell>
        </row>
        <row r="744">
          <cell r="A744" t="str">
            <v>006660</v>
          </cell>
          <cell r="B744" t="str">
            <v>LDC 2</v>
          </cell>
          <cell r="D744" t="str">
            <v>no</v>
          </cell>
          <cell r="E744" t="str">
            <v>20401143753</v>
          </cell>
          <cell r="F744" t="str">
            <v>F0610</v>
          </cell>
          <cell r="G744" t="str">
            <v>New business</v>
          </cell>
          <cell r="H744" t="str">
            <v>All American Redi Mix 2in CS Main</v>
          </cell>
          <cell r="I744" t="str">
            <v>posted to CPR</v>
          </cell>
          <cell r="J744" t="str">
            <v>All American Redi Mix 2in PCS Main Ext: Kansas City-Jackson: New Main Extension - Contractor Crews  3760 (33-380)</v>
          </cell>
          <cell r="K744" t="str">
            <v>Approved by: Gary Williams on 10/14/2014,  Install 670' - 2" pcs main extension to serve one new commercial customer.  Easement required along east side of "Private Road".  for main.  Recitfied System.  Note:  5M Rotary meter to be installed on work order 14-3869.  670' - 1-1/4" pe service line to be installed on BWO. Customer to Contribute $24,135.00 and cost of easement $2,500.00=$26,635.00.</v>
          </cell>
          <cell r="L744">
            <v>41943</v>
          </cell>
          <cell r="M744">
            <v>42248</v>
          </cell>
          <cell r="N744">
            <v>42284.722546296303</v>
          </cell>
          <cell r="O744">
            <v>41974</v>
          </cell>
          <cell r="P744" t="str">
            <v>0401-043050  JACKSON CTY/KC</v>
          </cell>
          <cell r="Q744">
            <v>-2466.1799999999998</v>
          </cell>
          <cell r="R744">
            <v>-576</v>
          </cell>
        </row>
        <row r="745">
          <cell r="A745" t="str">
            <v>005336</v>
          </cell>
          <cell r="B745" t="str">
            <v>LDC 2</v>
          </cell>
          <cell r="D745" t="str">
            <v>no</v>
          </cell>
          <cell r="E745" t="str">
            <v>20401143583</v>
          </cell>
          <cell r="F745" t="str">
            <v>F0670</v>
          </cell>
          <cell r="G745" t="str">
            <v>Tools, Instruments &amp; Equipment (N)</v>
          </cell>
          <cell r="H745" t="str">
            <v>PUR-1 CONTROL BAR FOR SS-275</v>
          </cell>
          <cell r="I745" t="str">
            <v>posted to CPR</v>
          </cell>
          <cell r="J745" t="str">
            <v>PUR-1 CONTROL BAR FOR SS-275: Kansas City-Jackson: Purchase Tools, Instruments &amp; Equipment  3940 (37-366)</v>
          </cell>
          <cell r="K745" t="str">
            <v>Approved by: Gary Williams on 05/19/2014,  PURCHASING -1 CONTROL BAR FOR SHORT STOP-275 FOR TAPPING CREWS AT CENTRAL. TDW ONLY VENDOR THAT HANDLES THESE TOOLS. THIS IS A REPLACEMENT TOOL DUE TO CONTROL BAR NOT REPAIRABLE.</v>
          </cell>
          <cell r="L745">
            <v>41802</v>
          </cell>
          <cell r="M745">
            <v>41821</v>
          </cell>
          <cell r="N745">
            <v>42345.490081018499</v>
          </cell>
          <cell r="O745">
            <v>41791</v>
          </cell>
          <cell r="P745" t="str">
            <v>0401-043050  JACKSON CTY/KC</v>
          </cell>
          <cell r="Q745">
            <v>5184.84</v>
          </cell>
          <cell r="R745">
            <v>1</v>
          </cell>
        </row>
        <row r="746">
          <cell r="A746" t="str">
            <v>005173</v>
          </cell>
          <cell r="B746" t="str">
            <v>LDC 2</v>
          </cell>
          <cell r="D746" t="str">
            <v>no</v>
          </cell>
          <cell r="E746" t="str">
            <v>20401143538</v>
          </cell>
          <cell r="F746" t="str">
            <v>F0639</v>
          </cell>
          <cell r="G746" t="str">
            <v>EGM Equip-1st Time Installation</v>
          </cell>
          <cell r="H746" t="str">
            <v>EGM - Marriott Int - 105th St</v>
          </cell>
          <cell r="I746" t="str">
            <v>posted to CPR</v>
          </cell>
          <cell r="J746" t="str">
            <v>EGM - Marriott Int - 105th St: Kansas City-Jackson: Install EGM Equipment - First Time Installation  3850 (32-403)</v>
          </cell>
          <cell r="K746" t="str">
            <v>Approved by: Rob Kitterman on 05/01/2014,  Install Mercury MiniMax-AT-T w/ Messenger Modem S/N: 13066405 on Roots 11M meter no 09002117 to monitor daily gas usage of this transportation customer. Customer will reimburse company actual cost for EGM installation not to exceed $5,445.00, which should be coded to account 1072. ATTENTION: Plant &amp; Property Accounting, EGM work order, turn off A&amp;G indicator.</v>
          </cell>
          <cell r="L746">
            <v>42443</v>
          </cell>
          <cell r="M746">
            <v>42491</v>
          </cell>
          <cell r="N746">
            <v>42528.313125000001</v>
          </cell>
          <cell r="O746">
            <v>42430</v>
          </cell>
          <cell r="P746" t="str">
            <v>0401-043050  JACKSON CTY/KC</v>
          </cell>
          <cell r="Q746">
            <v>-59.5</v>
          </cell>
          <cell r="R746">
            <v>9</v>
          </cell>
        </row>
        <row r="747">
          <cell r="A747" t="str">
            <v>005152</v>
          </cell>
          <cell r="B747" t="str">
            <v>LDC 2</v>
          </cell>
          <cell r="D747" t="str">
            <v>no</v>
          </cell>
          <cell r="E747" t="str">
            <v>20401143522</v>
          </cell>
          <cell r="F747" t="str">
            <v>F0538</v>
          </cell>
          <cell r="G747" t="str">
            <v>Other Communication Costs</v>
          </cell>
          <cell r="H747" t="str">
            <v>SCADA Cellular Communications Upgra</v>
          </cell>
          <cell r="I747" t="str">
            <v>in service</v>
          </cell>
          <cell r="J747" t="str">
            <v>SCADA Cellular Communications Upgrade: Kansas City-Jackson: Other Capital Communications  3970 (41-415)</v>
          </cell>
          <cell r="K747" t="str">
            <v>Approved by: Steve Holcomb on 04/30/2014,  SCADA Cellular Communications Upgrade.  Installation and testing of cellular modems for estimated 94 different sites. Includes Company Labor, Subcontracted Electrical Services, Expenses, and Materials.</v>
          </cell>
          <cell r="L747">
            <v>42443</v>
          </cell>
          <cell r="O747">
            <v>42430</v>
          </cell>
          <cell r="P747" t="str">
            <v>0401-043050  JACKSON CTY/KC</v>
          </cell>
          <cell r="Q747">
            <v>269425.95</v>
          </cell>
          <cell r="R747">
            <v>1514167</v>
          </cell>
        </row>
        <row r="748">
          <cell r="A748" t="str">
            <v>004953</v>
          </cell>
          <cell r="B748" t="str">
            <v>LDC 2</v>
          </cell>
          <cell r="D748" t="str">
            <v>yes</v>
          </cell>
          <cell r="E748" t="str">
            <v>20401143436</v>
          </cell>
          <cell r="F748" t="str">
            <v>F0547</v>
          </cell>
          <cell r="G748" t="str">
            <v>Street &amp; Highway Relocates ISRS (N)</v>
          </cell>
          <cell r="H748" t="str">
            <v>911 Main St Repl 8in Steel Service</v>
          </cell>
          <cell r="I748" t="str">
            <v>posted to CPR</v>
          </cell>
          <cell r="J748" t="str">
            <v>911 Main St Repl 8in Steel Service : Kansas City-Jackson: Relocate for Street &amp; Highway-Public Improvements (44-388)</v>
          </cell>
          <cell r="K748" t="str">
            <v>Approved by: Kevin Driskell on 04/04/2014,  (ISRS)  Replace and extend 8in steel service for 911 Main Street to new main location on WO 13-2400 (Streetcar Phase 2).  Location of valve for service to be determined in field.</v>
          </cell>
          <cell r="L748">
            <v>41761</v>
          </cell>
          <cell r="M748">
            <v>41821</v>
          </cell>
          <cell r="N748">
            <v>41887.681851851798</v>
          </cell>
          <cell r="O748">
            <v>41760</v>
          </cell>
          <cell r="P748" t="str">
            <v>0401-043050  JACKSON CTY/KC</v>
          </cell>
          <cell r="Q748">
            <v>9089.0300000000007</v>
          </cell>
          <cell r="R748">
            <v>11.5</v>
          </cell>
        </row>
        <row r="749">
          <cell r="A749" t="str">
            <v>004519</v>
          </cell>
          <cell r="B749" t="str">
            <v>LDC 2</v>
          </cell>
          <cell r="D749" t="str">
            <v>yes</v>
          </cell>
          <cell r="E749" t="str">
            <v>20401132409</v>
          </cell>
          <cell r="F749" t="str">
            <v>F0599</v>
          </cell>
          <cell r="G749" t="str">
            <v>Main Replacement - ISRS (N)</v>
          </cell>
          <cell r="H749" t="str">
            <v>AOR Broadway &amp; SW Blvd Repl CI w 35</v>
          </cell>
          <cell r="I749" t="str">
            <v>posted to CPR</v>
          </cell>
          <cell r="J749" t="str">
            <v>AOR Broadway &amp; SW Blvd Repl CI w 35'-8in TF Steel: Kansas City-Jackson: Broadway and Southwest Blvd</v>
          </cell>
          <cell r="K749" t="str">
            <v>Approved by: Gary Williams on 03/12/2013,  (ISRS). AOR  Replace 35 feet of 8in CI due to joint exposure.  Joint was exposed at 20' NNCB of SW Blvd and 14' EWCB of Broadway.  This job must be completed by 4/23/2013. COST PER FOOT $1706.50 Retirement 35'-8in CI, year 1922.</v>
          </cell>
          <cell r="L749">
            <v>41369</v>
          </cell>
          <cell r="M749">
            <v>41455</v>
          </cell>
          <cell r="N749">
            <v>41562.537280092598</v>
          </cell>
          <cell r="P749" t="str">
            <v>0401-043050  JACKSON CTY/KC</v>
          </cell>
          <cell r="Q749">
            <v>20707.990000000002</v>
          </cell>
          <cell r="R749">
            <v>71.900000000000006</v>
          </cell>
        </row>
        <row r="750">
          <cell r="A750" t="str">
            <v>004290</v>
          </cell>
          <cell r="B750" t="str">
            <v>LDC 2</v>
          </cell>
          <cell r="D750" t="str">
            <v>no</v>
          </cell>
          <cell r="E750" t="str">
            <v>20401050303</v>
          </cell>
          <cell r="F750" t="str">
            <v>F0616</v>
          </cell>
          <cell r="G750" t="str">
            <v>BWO - meters retired</v>
          </cell>
          <cell r="H750" t="str">
            <v>BWO - METERS RETIRED</v>
          </cell>
          <cell r="I750" t="str">
            <v>open</v>
          </cell>
          <cell r="J750" t="str">
            <v>BWO - METERS RETIRED</v>
          </cell>
          <cell r="K750" t="str">
            <v>Project Type:B</v>
          </cell>
          <cell r="P750" t="str">
            <v>0401-043050  JACKSON CTY/KC</v>
          </cell>
          <cell r="Q750">
            <v>427.35</v>
          </cell>
          <cell r="R750">
            <v>-11</v>
          </cell>
        </row>
        <row r="751">
          <cell r="A751" t="str">
            <v>003947</v>
          </cell>
          <cell r="B751" t="str">
            <v>LDC 2</v>
          </cell>
          <cell r="D751" t="str">
            <v>no</v>
          </cell>
          <cell r="E751" t="str">
            <v>20401132333</v>
          </cell>
          <cell r="F751" t="str">
            <v>F0639</v>
          </cell>
          <cell r="G751" t="str">
            <v>EGM Equip-1st Time Installation</v>
          </cell>
          <cell r="H751" t="str">
            <v>EGM - Harvesters The Community Food</v>
          </cell>
          <cell r="I751" t="str">
            <v>posted to CPR</v>
          </cell>
          <cell r="J751" t="str">
            <v>EGM - Harvesters The Community Food Network: Kansas City-Jackson: 3801 Topping, Kansas City, Mo.64129</v>
          </cell>
          <cell r="K751" t="str">
            <v>Approved by: Rob Kitterman on 01/14/2013,  Install Mercury MiniMax-AT-T on Roots 11M meter no 01022744 to monitor daily gas usage of this transportation customer. Customer will reimburse company actual cost for EGM installation not to exceed $5,445.00, which should be coded to account 1072. ATTENTION: Plant &amp; Property Accounting, EGM work order, turn off A&amp;G indicator.</v>
          </cell>
          <cell r="L751">
            <v>41377</v>
          </cell>
          <cell r="M751">
            <v>41670</v>
          </cell>
          <cell r="N751">
            <v>41677.509849536997</v>
          </cell>
          <cell r="P751" t="str">
            <v>0401-043050  JACKSON CTY/KC</v>
          </cell>
          <cell r="Q751">
            <v>0</v>
          </cell>
          <cell r="R751">
            <v>4</v>
          </cell>
        </row>
        <row r="752">
          <cell r="A752" t="str">
            <v>004048</v>
          </cell>
          <cell r="B752" t="str">
            <v>LDC 2</v>
          </cell>
          <cell r="D752" t="str">
            <v>no</v>
          </cell>
          <cell r="E752" t="str">
            <v>20401133001</v>
          </cell>
          <cell r="F752" t="str">
            <v>F0597</v>
          </cell>
          <cell r="G752" t="str">
            <v>Other</v>
          </cell>
          <cell r="H752" t="str">
            <v>Replace EGM - Wagner Industries</v>
          </cell>
          <cell r="I752" t="str">
            <v>posted to CPR</v>
          </cell>
          <cell r="J752" t="str">
            <v>Replace EGM - Wagner Industries: Kansas City-Jackson: 1201 E 12th St - KC, MO 64116</v>
          </cell>
          <cell r="K752" t="str">
            <v>Approved by: Rob Kitterman on 09/24/2013,  Replace EGM equipment at Wagner Industries with a new Mini-AT-PT, S/N: 13012228, &amp; Messenger Modem. Existing meter is a Roots 7M rotary meter# 08191641. The existing equipment was damaged beyond repair.  Retire the damaged ECAT, S/N: 0202686 on this WO as well.</v>
          </cell>
          <cell r="L752">
            <v>41578</v>
          </cell>
          <cell r="M752">
            <v>41662</v>
          </cell>
          <cell r="N752">
            <v>41676.633402777799</v>
          </cell>
          <cell r="P752" t="str">
            <v>0401-043050  JACKSON CTY/KC</v>
          </cell>
          <cell r="Q752">
            <v>3090.16</v>
          </cell>
          <cell r="R752">
            <v>4</v>
          </cell>
        </row>
        <row r="753">
          <cell r="A753" t="str">
            <v>004234</v>
          </cell>
          <cell r="B753" t="str">
            <v>LDC 2</v>
          </cell>
          <cell r="D753" t="str">
            <v>no</v>
          </cell>
          <cell r="E753" t="str">
            <v>20401143336</v>
          </cell>
          <cell r="F753" t="str">
            <v>F0643</v>
          </cell>
          <cell r="G753" t="str">
            <v>Tools and Equipment</v>
          </cell>
          <cell r="H753" t="str">
            <v>Pur 2 SKA PAK Voice Respirator</v>
          </cell>
          <cell r="I753" t="str">
            <v>posted to CPR</v>
          </cell>
          <cell r="J753" t="str">
            <v>Pur 2 SKA PAK Voice Respirator: Kansas City-Jackson: Joplin and Central</v>
          </cell>
          <cell r="K753" t="str">
            <v>Approved by: Ray Wilson on 01/31/2014,  A SKA PAK Respirator came up missing off a truck in Joplin and we need to replace it.  Also Central has asked about needing one more for the emergency trailer.</v>
          </cell>
          <cell r="L753">
            <v>41712</v>
          </cell>
          <cell r="M753">
            <v>42614</v>
          </cell>
          <cell r="N753">
            <v>42652.451770833301</v>
          </cell>
          <cell r="O753">
            <v>41730</v>
          </cell>
          <cell r="P753" t="str">
            <v>0401-043050  JACKSON CTY/KC</v>
          </cell>
          <cell r="Q753">
            <v>2037.61</v>
          </cell>
          <cell r="R753">
            <v>3</v>
          </cell>
        </row>
        <row r="754">
          <cell r="A754" t="str">
            <v>004232</v>
          </cell>
          <cell r="B754" t="str">
            <v>LDC 2</v>
          </cell>
          <cell r="D754" t="str">
            <v>yes</v>
          </cell>
          <cell r="E754" t="str">
            <v>20401132337</v>
          </cell>
          <cell r="F754" t="str">
            <v>F0501</v>
          </cell>
          <cell r="G754" t="str">
            <v>Station rebuild &amp; replacement</v>
          </cell>
          <cell r="H754" t="str">
            <v>Rebuild DRS 260 W of Blue River Rd</v>
          </cell>
          <cell r="I754" t="str">
            <v>posted to CPR</v>
          </cell>
          <cell r="J754" t="str">
            <v>Rebuild DRS 260 W of Blue River Rd: Kansas City-Jackson: County Park West of Blue River Rd N of Red Bridge</v>
          </cell>
          <cell r="K754" t="str">
            <v>Approved by: Gary Williams on 07/11/2013,  Rebuild DRS# 260. This is in conjunction with the 20in Mayfair replacement Project Phase II.</v>
          </cell>
          <cell r="L754">
            <v>41554</v>
          </cell>
          <cell r="M754">
            <v>41652</v>
          </cell>
          <cell r="N754">
            <v>41654.6039930556</v>
          </cell>
          <cell r="P754" t="str">
            <v>0401-043050  JACKSON CTY/KC</v>
          </cell>
          <cell r="Q754">
            <v>22767.72</v>
          </cell>
          <cell r="R754">
            <v>249</v>
          </cell>
        </row>
        <row r="755">
          <cell r="A755" t="str">
            <v>004356</v>
          </cell>
          <cell r="B755" t="str">
            <v>LDC 2</v>
          </cell>
          <cell r="D755" t="str">
            <v>yes</v>
          </cell>
          <cell r="E755" t="str">
            <v>20401133113</v>
          </cell>
          <cell r="F755" t="str">
            <v>F0663</v>
          </cell>
          <cell r="G755" t="str">
            <v>Replace bare steel main - safety re</v>
          </cell>
          <cell r="H755" t="str">
            <v>33rd &amp; Cleveland Abandon 256'-2in P</v>
          </cell>
          <cell r="I755" t="str">
            <v>posted to CPR</v>
          </cell>
          <cell r="J755" t="str">
            <v>33rd &amp; Cleveland Abandon 256'-2in PBS main: Kansas City-Jackson: 33rd and Cleveland</v>
          </cell>
          <cell r="K755" t="str">
            <v>Approved by: Kevin Driskell on 10/29/2013,  Abandon 256ft of 2inch bare steel main due to leak, main is no longer needed. Original work order 31A2724.</v>
          </cell>
          <cell r="L755">
            <v>41551</v>
          </cell>
          <cell r="M755">
            <v>41638</v>
          </cell>
          <cell r="N755">
            <v>41643.4353819444</v>
          </cell>
          <cell r="P755" t="str">
            <v>0401-043050  JACKSON CTY/KC</v>
          </cell>
          <cell r="Q755">
            <v>2242.67</v>
          </cell>
          <cell r="R755">
            <v>280</v>
          </cell>
        </row>
        <row r="756">
          <cell r="A756" t="str">
            <v>004476</v>
          </cell>
          <cell r="B756" t="str">
            <v>LDC 2</v>
          </cell>
          <cell r="D756" t="str">
            <v>no</v>
          </cell>
          <cell r="E756" t="str">
            <v>20401133135</v>
          </cell>
          <cell r="F756" t="str">
            <v>F0670</v>
          </cell>
          <cell r="G756" t="str">
            <v>Tools, Instruments &amp; Equipment (N)</v>
          </cell>
          <cell r="H756" t="str">
            <v>PUR 3-CHICAGO PNEUMATIC 35# BREAKER</v>
          </cell>
          <cell r="I756" t="str">
            <v>posted to CPR</v>
          </cell>
          <cell r="J756" t="str">
            <v>PUR 3-CHICAGO PNEUMATIC 35# BREAKER: Kansas City-Jackson: 7500 E 35TH TER</v>
          </cell>
          <cell r="K756" t="str">
            <v>Approved by: Kevin Driskell on 11/07/2013,  PURCHASING-3 CLAY SPADES TOOL CHICAGO PNEUMATIC 35# BREAKER. THESE TOOLS ARE USED BY THE C&amp;M CREWS AT CENTRAL. THESE TOOLS ARE USED TO BREAK/REMOVE SOIL,ROCK,ETC AWAY FROM UNDERGROUND GAS FACILITIES. TOTAL TOOL ONLY VENDOR THAT HAS THE 35# BREAKER. THESE ARE NOT REPLACEMENT TOOLS.</v>
          </cell>
          <cell r="L756">
            <v>41611</v>
          </cell>
          <cell r="M756">
            <v>41654</v>
          </cell>
          <cell r="N756">
            <v>41654.604097222204</v>
          </cell>
          <cell r="P756" t="str">
            <v>0401-043050  JACKSON CTY/KC</v>
          </cell>
          <cell r="Q756">
            <v>3058.29</v>
          </cell>
          <cell r="R756">
            <v>0</v>
          </cell>
        </row>
        <row r="757">
          <cell r="A757" t="str">
            <v>004033</v>
          </cell>
          <cell r="B757" t="str">
            <v>LDC 2</v>
          </cell>
          <cell r="D757" t="str">
            <v>no</v>
          </cell>
          <cell r="E757" t="str">
            <v>20401143380</v>
          </cell>
          <cell r="F757" t="str">
            <v>F0670</v>
          </cell>
          <cell r="G757" t="str">
            <v>Tools, Instruments &amp; Equipment (N)</v>
          </cell>
          <cell r="H757" t="str">
            <v>PUR 20 TRAK-IT 3A-EX/TC</v>
          </cell>
          <cell r="I757" t="str">
            <v>posted to CPR</v>
          </cell>
          <cell r="J757" t="str">
            <v>PUR 20 TRAK-IT 3A-EX/TC: Kansas City-Jackson: 7500 E 35TH TER</v>
          </cell>
          <cell r="K757" t="str">
            <v>Approved by: Gary Williams on 02/28/2014,  PURCHASE 20- TRAK IT 3A EX/TC  (920-00000-50) to be used by LEAK SURVEY FOR DETECTING BOTH LEL &amp; %VOLUME AND CO. Groebner &amp; Assoc only vendor that carries this instrument. These are to replace the non-repairable Bacharach CGI and obsolete ones Leak Survey using now.</v>
          </cell>
          <cell r="L757">
            <v>41736</v>
          </cell>
          <cell r="M757">
            <v>41913</v>
          </cell>
          <cell r="N757">
            <v>41953.525543981501</v>
          </cell>
          <cell r="O757">
            <v>41883</v>
          </cell>
          <cell r="P757" t="str">
            <v>0401-043050  JACKSON CTY/KC</v>
          </cell>
          <cell r="Q757">
            <v>30914.31</v>
          </cell>
          <cell r="R757">
            <v>40</v>
          </cell>
        </row>
        <row r="758">
          <cell r="A758" t="str">
            <v>004599</v>
          </cell>
          <cell r="B758" t="str">
            <v>LDC 2</v>
          </cell>
          <cell r="D758" t="str">
            <v>yes</v>
          </cell>
          <cell r="E758" t="str">
            <v>20401050371</v>
          </cell>
          <cell r="F758" t="str">
            <v>F0567</v>
          </cell>
          <cell r="G758" t="str">
            <v>SLRP - modified block by block - co</v>
          </cell>
          <cell r="H758" t="str">
            <v>BWO SERVICE REPL MODIFIED BLOCK CON</v>
          </cell>
          <cell r="I758" t="str">
            <v>in service</v>
          </cell>
          <cell r="J758" t="str">
            <v>BWO SERVICE REPL MODIFIED BLOCK CONTTRACTOR SLRP</v>
          </cell>
          <cell r="K758" t="str">
            <v>Service/Yard Line Replacement (SLRP): Contract Crew.  Modified Block by Block - Planned replacement of unprotected steel or copper  (Kansas City - Central Region)</v>
          </cell>
          <cell r="L758">
            <v>41750</v>
          </cell>
          <cell r="O758">
            <v>41730</v>
          </cell>
          <cell r="P758" t="str">
            <v>0401-043050  JACKSON CTY/KC</v>
          </cell>
          <cell r="Q758">
            <v>2574859.96</v>
          </cell>
          <cell r="R758">
            <v>5632.51</v>
          </cell>
        </row>
        <row r="759">
          <cell r="A759" t="str">
            <v>004770</v>
          </cell>
          <cell r="B759" t="str">
            <v>LDC 2</v>
          </cell>
          <cell r="D759" t="str">
            <v>no</v>
          </cell>
          <cell r="E759" t="str">
            <v>21846100000</v>
          </cell>
          <cell r="F759" t="str">
            <v>F0682</v>
          </cell>
          <cell r="G759" t="str">
            <v>Non-Productive Ops MGE</v>
          </cell>
          <cell r="H759" t="str">
            <v>Non Prod Labor Ops MGE</v>
          </cell>
          <cell r="I759" t="str">
            <v>open</v>
          </cell>
          <cell r="J759" t="str">
            <v>Non Prod Labor Ops MGE</v>
          </cell>
          <cell r="P759" t="str">
            <v>Expense Only</v>
          </cell>
          <cell r="Q759">
            <v>10072480.310000001</v>
          </cell>
          <cell r="R759">
            <v>268362.99</v>
          </cell>
        </row>
        <row r="760">
          <cell r="A760" t="str">
            <v>004712</v>
          </cell>
          <cell r="B760" t="str">
            <v>LDC 2</v>
          </cell>
          <cell r="D760" t="str">
            <v>no</v>
          </cell>
          <cell r="E760" t="str">
            <v>24160401000</v>
          </cell>
          <cell r="F760" t="str">
            <v>F0694</v>
          </cell>
          <cell r="G760" t="str">
            <v>Joint Trench Operations MGE</v>
          </cell>
          <cell r="H760" t="str">
            <v>Joint Trench Operations MGE</v>
          </cell>
          <cell r="I760" t="str">
            <v>open</v>
          </cell>
          <cell r="J760" t="str">
            <v>Joint Trench Operations MGE</v>
          </cell>
          <cell r="P760" t="str">
            <v>Expense Only</v>
          </cell>
          <cell r="Q760">
            <v>-894.3</v>
          </cell>
          <cell r="R760">
            <v>81</v>
          </cell>
        </row>
        <row r="761">
          <cell r="A761" t="str">
            <v>004827</v>
          </cell>
          <cell r="B761" t="str">
            <v>LDC 2</v>
          </cell>
          <cell r="D761" t="str">
            <v>no</v>
          </cell>
          <cell r="E761" t="str">
            <v>22282000000</v>
          </cell>
          <cell r="F761" t="str">
            <v>F0735</v>
          </cell>
          <cell r="G761" t="str">
            <v>Accum Prov - Inj &amp; Dam MGE</v>
          </cell>
          <cell r="H761" t="str">
            <v>Acc Prov I&amp;D Work Comp MGE</v>
          </cell>
          <cell r="I761" t="str">
            <v>open</v>
          </cell>
          <cell r="J761" t="str">
            <v>Acc Prov I&amp;D Work Comp MGE</v>
          </cell>
          <cell r="P761" t="str">
            <v>Expense Only</v>
          </cell>
          <cell r="Q761">
            <v>2115152.2599999998</v>
          </cell>
          <cell r="R761">
            <v>0</v>
          </cell>
        </row>
        <row r="762">
          <cell r="A762" t="str">
            <v>004810</v>
          </cell>
          <cell r="B762" t="str">
            <v>LDC 2</v>
          </cell>
          <cell r="D762" t="str">
            <v>no</v>
          </cell>
          <cell r="E762" t="str">
            <v>29260200000</v>
          </cell>
          <cell r="F762" t="str">
            <v>F0726</v>
          </cell>
          <cell r="G762" t="str">
            <v>Pensions MGE</v>
          </cell>
          <cell r="H762" t="str">
            <v>Pensions MGE</v>
          </cell>
          <cell r="I762" t="str">
            <v>open</v>
          </cell>
          <cell r="J762" t="str">
            <v>Pensions MGE</v>
          </cell>
          <cell r="P762" t="str">
            <v>Expense Only</v>
          </cell>
          <cell r="Q762">
            <v>1353544.98</v>
          </cell>
          <cell r="R762">
            <v>0</v>
          </cell>
        </row>
        <row r="763">
          <cell r="A763" t="str">
            <v>800596</v>
          </cell>
          <cell r="B763" t="str">
            <v>LDC 2</v>
          </cell>
          <cell r="C763" t="str">
            <v>09 - Facility Relocation due to Civic Improvement</v>
          </cell>
          <cell r="D763" t="str">
            <v>yes</v>
          </cell>
          <cell r="F763" t="str">
            <v>F0664</v>
          </cell>
          <cell r="G763" t="str">
            <v>Street &amp; Hwy Relocates ISRS (SW)</v>
          </cell>
          <cell r="H763" t="str">
            <v>Reloc w/ 9290F 2-4-6P 4th Street</v>
          </cell>
          <cell r="I763" t="str">
            <v>open</v>
          </cell>
          <cell r="J763" t="str">
            <v>Install ~ 135 Ft of 6 in PL LP Main and ~ 8170 Ft of 4 in PL LP Main and 985 Ft of 2 in PL LP Main along 4th St between Schifferdecker Ave and Main St.</v>
          </cell>
          <cell r="K763" t="str">
            <v>Abandon ~ 155 Ft of 6 in ST LP Main and ~ 4278 Ft of 4 in ST LP Main and ~ 31 Ft of 4 in PL LP Main and ~ 2258 Ft of 3 in ST LP Main and ~ 232 Ft of 3 in PL LP Main and ~ 1838 Ft of 2 in ST LP Main and ~ 251 Ft of 2 in PL LP Main and ~ 130 Ft of 1 1/4 in ST LP Main and ~ 140 Ft of 7/8 in PL LP Main at the above location.  Total Service Tie-Over = 120.  This main is being abandoned due to a Civic Improvements and bare steel replacement.</v>
          </cell>
          <cell r="P763" t="str">
            <v>0501-044001  JASPER CTY/JOPLIN</v>
          </cell>
          <cell r="Q763">
            <v>1088303.8400000001</v>
          </cell>
          <cell r="R763">
            <v>36107.6734</v>
          </cell>
        </row>
        <row r="764">
          <cell r="A764" t="str">
            <v>800602</v>
          </cell>
          <cell r="B764" t="str">
            <v>LDC 2</v>
          </cell>
          <cell r="C764" t="str">
            <v>08 - Cast Iron or Bare Steel Replacement - Leaks</v>
          </cell>
          <cell r="D764" t="str">
            <v>yes</v>
          </cell>
          <cell r="F764" t="str">
            <v>F0572</v>
          </cell>
          <cell r="G764" t="str">
            <v>Main Replacement - ISRS (SW)</v>
          </cell>
          <cell r="H764" t="str">
            <v>Repl w/ 1275F 4P 39th</v>
          </cell>
          <cell r="I764" t="str">
            <v>in service</v>
          </cell>
          <cell r="J764" t="str">
            <v>Install 1275 Ft of 4 in and 200 Ft of 2 in PL MP main on Main street in between 36th St and 41st ST. Abandon 1250 Ft of 4 in ST, 266 Ft of 2 in ST and 5 Ft of 4 in PL MP main.</v>
          </cell>
          <cell r="K764" t="str">
            <v>This main is being replaced due to multiple class 3 leaks and insufficient CP readings.</v>
          </cell>
          <cell r="L764">
            <v>42587</v>
          </cell>
          <cell r="O764">
            <v>42583</v>
          </cell>
          <cell r="P764" t="str">
            <v>0501-044001  JASPER CTY/JOPLIN</v>
          </cell>
          <cell r="Q764">
            <v>56280.05</v>
          </cell>
          <cell r="R764">
            <v>-937.5</v>
          </cell>
        </row>
        <row r="765">
          <cell r="A765" t="str">
            <v>008196</v>
          </cell>
          <cell r="B765" t="str">
            <v>LDC 2</v>
          </cell>
          <cell r="D765" t="str">
            <v>no</v>
          </cell>
          <cell r="E765" t="str">
            <v>20501155285</v>
          </cell>
          <cell r="F765" t="str">
            <v>F0611</v>
          </cell>
          <cell r="G765" t="str">
            <v>Meter &amp; regulator replacements - 2"</v>
          </cell>
          <cell r="H765" t="str">
            <v>Inst 3 Inch Prefab Setting For 5M R</v>
          </cell>
          <cell r="I765" t="str">
            <v>posted to CPR</v>
          </cell>
          <cell r="J765" t="str">
            <v>Inst 3 Inch Prefab Setting For 5M Roots: Joplin: Replace Meter &amp; Reg 2&amp;quot; &amp;  Larger - 3820/3830 (32-404)</v>
          </cell>
          <cell r="K765" t="str">
            <v>Approved by: Michael Fornelli on 04/14/2015,  Due to building expansion and additional gas demand, we will install a 2" prefab setting for a 5M Roots meter. Will use 2" CL34-1 regulator with 1/4" orifice, orange closing spring and red/white pilot spring to deliver 2 psig to the customer. Total demand will be 3600 cfh. There will be no charge to the customer. System 0501-S119 MAOP=58 PSIG  MOP=58 PSIG</v>
          </cell>
          <cell r="L765">
            <v>42128</v>
          </cell>
          <cell r="M765">
            <v>42248</v>
          </cell>
          <cell r="N765">
            <v>42283.565219907403</v>
          </cell>
          <cell r="O765">
            <v>42125</v>
          </cell>
          <cell r="P765" t="str">
            <v>0501-044001  JASPER CTY/JOPLIN</v>
          </cell>
          <cell r="Q765">
            <v>4375</v>
          </cell>
          <cell r="R765">
            <v>1</v>
          </cell>
        </row>
        <row r="766">
          <cell r="A766" t="str">
            <v>005997</v>
          </cell>
          <cell r="B766" t="str">
            <v>LDC 2</v>
          </cell>
          <cell r="D766" t="str">
            <v>yes</v>
          </cell>
          <cell r="E766" t="str">
            <v>20501143714</v>
          </cell>
          <cell r="F766" t="str">
            <v>F0657</v>
          </cell>
          <cell r="G766" t="str">
            <v>Services - 2" &amp; larger</v>
          </cell>
          <cell r="H766" t="str">
            <v>Abandon 34ft of 2in PCS Svc</v>
          </cell>
          <cell r="I766" t="str">
            <v>posted to CPR</v>
          </cell>
          <cell r="J766" t="str">
            <v>Abandon 34ft of 2in PCS: Joplin: Replace Services 2&amp;quot; &amp; Larger - 3800 (42-385)</v>
          </cell>
          <cell r="K766" t="str">
            <v>Approved by: Galen Shoemaker on 08/15/2014,  Abandon 34' of 2" PCS due to no record of service, didn't go to anything, and it was in the way of a storm drain.  Project Location: Newman Rd. W of Range Line Rd.  System: S-4.  MOP: 30 PSIG.  MAOP: 30 PSIG.  Design: 58 PSIG.  Test: 100 PSIG.</v>
          </cell>
          <cell r="L766">
            <v>41839</v>
          </cell>
          <cell r="M766">
            <v>42063</v>
          </cell>
          <cell r="N766">
            <v>42256.641145833302</v>
          </cell>
          <cell r="O766">
            <v>42217</v>
          </cell>
          <cell r="P766" t="str">
            <v>0501-044001  JASPER CTY/JOPLIN</v>
          </cell>
          <cell r="Q766">
            <v>2454.7399999999998</v>
          </cell>
          <cell r="R766">
            <v>23</v>
          </cell>
        </row>
        <row r="767">
          <cell r="A767" t="str">
            <v>006740</v>
          </cell>
          <cell r="B767" t="str">
            <v>LDC 2</v>
          </cell>
          <cell r="D767" t="str">
            <v>yes</v>
          </cell>
          <cell r="E767" t="str">
            <v>20501143900</v>
          </cell>
          <cell r="F767" t="str">
            <v>F0544</v>
          </cell>
          <cell r="G767" t="str">
            <v>Replace bare steel main - safety re</v>
          </cell>
          <cell r="H767" t="str">
            <v>Repl with 2120ft of 2in PE due to C</v>
          </cell>
          <cell r="I767" t="str">
            <v>posted to CPR</v>
          </cell>
          <cell r="J767" t="str">
            <v>Repl with 2120ft of 2in PE due to CP : Joplin: Replace Bare Steel Main - 3760 Safety Related (34-394)</v>
          </cell>
          <cell r="K767" t="str">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ell>
          <cell r="L767">
            <v>42169</v>
          </cell>
          <cell r="M767">
            <v>42401</v>
          </cell>
          <cell r="N767">
            <v>42527.510972222197</v>
          </cell>
          <cell r="O767">
            <v>42278</v>
          </cell>
          <cell r="P767" t="str">
            <v>0501-044001  JASPER CTY/JOPLIN</v>
          </cell>
          <cell r="Q767">
            <v>117383.46</v>
          </cell>
          <cell r="R767">
            <v>25.28</v>
          </cell>
        </row>
        <row r="768">
          <cell r="A768" t="str">
            <v>005853</v>
          </cell>
          <cell r="B768" t="str">
            <v>LDC 2</v>
          </cell>
          <cell r="D768" t="str">
            <v>no</v>
          </cell>
          <cell r="E768" t="str">
            <v>20501143332</v>
          </cell>
          <cell r="F768" t="str">
            <v>F0667</v>
          </cell>
          <cell r="G768" t="str">
            <v>Other relocates</v>
          </cell>
          <cell r="H768" t="str">
            <v>Joplin Stockyards Lower due to Stor</v>
          </cell>
          <cell r="I768" t="str">
            <v>posted to CPR</v>
          </cell>
          <cell r="J768" t="str">
            <v>Joplin Stockyards Lower due to Storm Sewer: Joplin: Other Relocates - Per Customer Request - Contribution (44-390)</v>
          </cell>
          <cell r="K768" t="str">
            <v>Approved by: Galen Shoemaker on 07/07/2014,  Abandon 25' - 2" PCS (WO#: 76-2812) and relocate with 35' - 2" Thinfilm due to customer's new concrete storm box. Customer will contribute $9,872.03 prior to work. Project Location: Newman West of Range Line. Pressure System: S-4; MOP: 30 psig; MAOP: 30 psig; Design: 58 psig; Test: 100 psig;</v>
          </cell>
          <cell r="L768">
            <v>41848</v>
          </cell>
          <cell r="M768">
            <v>42063</v>
          </cell>
          <cell r="N768">
            <v>42160.553391203699</v>
          </cell>
          <cell r="O768">
            <v>41883</v>
          </cell>
          <cell r="P768" t="str">
            <v>0501-044001  JASPER CTY/JOPLIN</v>
          </cell>
          <cell r="Q768">
            <v>2032.15</v>
          </cell>
          <cell r="R768">
            <v>11.5</v>
          </cell>
        </row>
        <row r="769">
          <cell r="A769" t="str">
            <v>005344</v>
          </cell>
          <cell r="B769" t="str">
            <v>LDC 2</v>
          </cell>
          <cell r="D769" t="str">
            <v>no</v>
          </cell>
          <cell r="E769" t="str">
            <v>20501143588</v>
          </cell>
          <cell r="F769" t="str">
            <v>F0611</v>
          </cell>
          <cell r="G769" t="str">
            <v>Meter &amp; regulator replacements - 2"</v>
          </cell>
          <cell r="H769" t="str">
            <v>4720 Indiana Repl Reg w 2in Mooney</v>
          </cell>
          <cell r="I769" t="str">
            <v>in service</v>
          </cell>
          <cell r="J769" t="str">
            <v>4720 Indiana Repl Reg w 2in Mooney : Joplin: Replace Meter &amp; Reg 2&amp;quot; &amp;  Larger - 3820/3830 (32-404)</v>
          </cell>
          <cell r="K769" t="str">
            <v>Approved by: Galen Shoemaker on 05/22/2014,  Replace 2" 441-57S regulator with 2" Mooney AC 150# Flowgrid FG-119-100 regulator and Series 20 FP-6 pilot. Operating range on the boilers has large swings and need a regulator with tighter control to avoid pressure swings and surging on 38M Roots meter. Regulator will be ordered from DeRosset Company, Qoute Number 05131404N. Amount quoted $2,429.48 plus shipping. Will return 2" Rockwell 441-57S to stock from Work Order 14-3278. Joplin System C-1  MAOP=58PSIG  MOP=58PSIG</v>
          </cell>
          <cell r="L769">
            <v>42443</v>
          </cell>
          <cell r="O769">
            <v>42461</v>
          </cell>
          <cell r="P769" t="str">
            <v>0501-044001  JASPER CTY/JOPLIN</v>
          </cell>
          <cell r="Q769">
            <v>3102.43</v>
          </cell>
          <cell r="R769">
            <v>1</v>
          </cell>
        </row>
        <row r="770">
          <cell r="A770" t="str">
            <v>004489</v>
          </cell>
          <cell r="B770" t="str">
            <v>LDC 2</v>
          </cell>
          <cell r="D770" t="str">
            <v>no</v>
          </cell>
          <cell r="E770" t="str">
            <v>20501143278</v>
          </cell>
          <cell r="F770" t="str">
            <v>F0630</v>
          </cell>
          <cell r="G770" t="str">
            <v>Meter &amp; Reg Settings 2" &amp; Lg (SW)</v>
          </cell>
          <cell r="H770" t="str">
            <v>Mercy Hospital Install 38M Mtr Set</v>
          </cell>
          <cell r="I770" t="str">
            <v>posted to CPR</v>
          </cell>
          <cell r="J770" t="str">
            <v>Mercy Hospital Install 38M Mtr Set: Joplin: Mercy Hospital 100 Mercy Way Boiler Room</v>
          </cell>
          <cell r="K770" t="str">
            <v>Approved by: Galen Shoemaker on 01/08/2014,  WILL INSTALL A NEW 38M ROOTS METER SETTING TO SERVE THE NEW MERCY HOSPITAL IN JOPLIN. TOTAL CONNECTED DEMAND IS 106,500 CFH. WILL USE TWO TWO INCH 441-57-S REGULATORS WITH RED SPRINGS AS OPERATOR/MONITOR. OPERATOR WILL BE SET AT 15 PSIG AND MONITOR WILL BE SET AT 20 PSIG. WILL USE A 1" FISHER 289 H-44 RELIEF SET AT 19 PSI AS A WARNING RELIEF. THERE WILL BE NO CHARGE TO THE CUSTOMER. SYSTEM JOPLIN C-1  MAOP=58 PSIG  MOP=58 PSIG.</v>
          </cell>
          <cell r="L770">
            <v>41682</v>
          </cell>
          <cell r="M770">
            <v>41729</v>
          </cell>
          <cell r="N770">
            <v>41733.495578703703</v>
          </cell>
          <cell r="P770" t="str">
            <v>0501-044001  JASPER CTY/JOPLIN</v>
          </cell>
          <cell r="Q770">
            <v>17727.57</v>
          </cell>
          <cell r="R770">
            <v>106</v>
          </cell>
        </row>
        <row r="771">
          <cell r="A771" t="str">
            <v>004053</v>
          </cell>
          <cell r="B771" t="str">
            <v>LDC 2</v>
          </cell>
          <cell r="D771" t="str">
            <v>no</v>
          </cell>
          <cell r="E771" t="str">
            <v>20501133227</v>
          </cell>
          <cell r="F771" t="str">
            <v>F0536</v>
          </cell>
          <cell r="G771" t="str">
            <v>Services -  2" &amp; larger</v>
          </cell>
          <cell r="H771" t="str">
            <v>1600 E 7th 2in Service Walmart</v>
          </cell>
          <cell r="I771" t="str">
            <v>posted to CPR</v>
          </cell>
          <cell r="J771" t="str">
            <v>1600 E 7th 2in Service Walmart: Joplin: 1600 E 7th St</v>
          </cell>
          <cell r="K771" t="str">
            <v>Approved by: Galen Shoemaker on 12/18/2013,  Install 190' - 2" PE Service to new 7th St Walmart Neighborhood Market. 5M meter set will be installed on WO#: 13-3228. No customer contribution after economic evaulation. Project Location: 8th and Vermont; Address: 1600 E 7th St. Pressure System: C-2; MOP: 1.50 psig; MAOP: 1.50 psig; Design: 58 psig; Test: 100 psig; $28.48/ft</v>
          </cell>
          <cell r="L771">
            <v>41653</v>
          </cell>
          <cell r="M771">
            <v>41718</v>
          </cell>
          <cell r="N771">
            <v>41719.593159722201</v>
          </cell>
          <cell r="O771">
            <v>41730</v>
          </cell>
          <cell r="P771" t="str">
            <v>0501-044001  JASPER CTY/JOPLIN</v>
          </cell>
          <cell r="Q771">
            <v>5731.41</v>
          </cell>
          <cell r="R771">
            <v>737</v>
          </cell>
        </row>
        <row r="772">
          <cell r="A772" t="str">
            <v>003999</v>
          </cell>
          <cell r="B772" t="str">
            <v>LDC 2</v>
          </cell>
          <cell r="D772" t="str">
            <v>yes</v>
          </cell>
          <cell r="E772" t="str">
            <v>20501122022</v>
          </cell>
          <cell r="F772" t="str">
            <v>F0664</v>
          </cell>
          <cell r="G772" t="str">
            <v>Street &amp; Hwy Relocates ISRS (SW)</v>
          </cell>
          <cell r="H772" t="str">
            <v>19th &amp; Maiden Reloc PCS/PE w 1965'-</v>
          </cell>
          <cell r="I772" t="str">
            <v>posted to CPR</v>
          </cell>
          <cell r="J772" t="str">
            <v>19th &amp; Maiden Reloc PCS/PE w 1965'-4;120'-2in main: Joplin: 19th and Maiden Ln</v>
          </cell>
          <cell r="K772" t="str">
            <v>Approved by: Steve Holcomb on 04/19/2013,  Abandon 565' - 4in PCS (WO#: 70-1834), and 1375' - 4in PE (WO#'s: 95-1918, 97-4877) and replace with 1965' - 4in PE due to conflict with proposed storm sewer and road widening improvements. Project Location: 19th and Maiden Ln; Pressure System: C-1; MOP: 58 psig; MAOP: 58 psig; Design: 58 psig; Test: 100 psig; ISRS $43.87/ft</v>
          </cell>
          <cell r="L772">
            <v>42009</v>
          </cell>
          <cell r="M772">
            <v>42216</v>
          </cell>
          <cell r="N772">
            <v>42256.639282407399</v>
          </cell>
          <cell r="O772">
            <v>42036</v>
          </cell>
          <cell r="P772" t="str">
            <v>0501-044001  JASPER CTY/JOPLIN</v>
          </cell>
          <cell r="Q772">
            <v>63151.38</v>
          </cell>
          <cell r="R772">
            <v>10200.5</v>
          </cell>
        </row>
        <row r="773">
          <cell r="A773" t="str">
            <v>003906</v>
          </cell>
          <cell r="B773" t="str">
            <v>LDC 2</v>
          </cell>
          <cell r="D773" t="str">
            <v>yes</v>
          </cell>
          <cell r="E773" t="str">
            <v>20501143427</v>
          </cell>
          <cell r="F773" t="str">
            <v>F0664</v>
          </cell>
          <cell r="G773" t="str">
            <v>Street &amp; Hwy Relocates ISRS (SW)</v>
          </cell>
          <cell r="H773" t="str">
            <v>School Ave Reloc PBS w 235'-4in PE</v>
          </cell>
          <cell r="I773" t="str">
            <v>posted to CPR</v>
          </cell>
          <cell r="J773" t="str">
            <v>School Ave Reloc PBS w 235'-4in PE main: Joplin: School Ave between Jasper St and 4th St</v>
          </cell>
          <cell r="K773" t="str">
            <v>Approved by: Galen Shoemaker on 03/14/2014,  Retire 355' of 4" PBS, 250' of 2" PBS, and 51' of 4" PE main and remove loop in system due to public improvements.  The loop will be replaced in the system a block east by installing 235' of 4" PE.  Project Location: School Ave between Jasper St and 4th St as well as Michigan Ave between Jasper St and 4th St.  System: C-2.  MOP: 1.5 PSIG.  MAOP: 1.5 PSIG.  Design: 58 PSIG.  Test: 100 PSIG.  Price Per Foot: $65.54. (ISRS)</v>
          </cell>
          <cell r="L773">
            <v>41831</v>
          </cell>
          <cell r="M773">
            <v>41913</v>
          </cell>
          <cell r="N773">
            <v>42010.548900463</v>
          </cell>
          <cell r="O773">
            <v>41852</v>
          </cell>
          <cell r="P773" t="str">
            <v>0501-044001  JASPER CTY/JOPLIN</v>
          </cell>
          <cell r="Q773">
            <v>15299.88</v>
          </cell>
          <cell r="R773">
            <v>416</v>
          </cell>
        </row>
        <row r="774">
          <cell r="A774" t="str">
            <v>008215</v>
          </cell>
          <cell r="B774" t="str">
            <v>LDC 2</v>
          </cell>
          <cell r="D774" t="str">
            <v>no</v>
          </cell>
          <cell r="E774" t="str">
            <v>20502155266</v>
          </cell>
          <cell r="F774" t="str">
            <v>F0657</v>
          </cell>
          <cell r="G774" t="str">
            <v>Services - 2" &amp; larger</v>
          </cell>
          <cell r="H774" t="str">
            <v>Install 175ft of 2in PE Service to</v>
          </cell>
          <cell r="I774" t="str">
            <v>posted to CPR</v>
          </cell>
          <cell r="J774" t="str">
            <v>Install 175ft of 2in PE Service to Farmers Market: Webb City: Replace Services 2&amp;quot; &amp; Larger - 3800 (42-385)</v>
          </cell>
          <cell r="K774" t="str">
            <v>Approved by: Michael Fornelli on 04/14/2015,  Abandon 154' - 1 1/4" PE service and replace with 175' - 2" PE due to existing building being replaced with a larger building and gas load. There is no custsomer contribution after economic evaluation. Project Location: Tom and Tracy; Pressure System: C-2; MOP: 1.50 psig; MAOP: 1.50 psig; Design: 58 psig; Test: 100 psig; $48.15/ft</v>
          </cell>
          <cell r="L774">
            <v>42212</v>
          </cell>
          <cell r="M774">
            <v>42217</v>
          </cell>
          <cell r="N774">
            <v>42405.4511458333</v>
          </cell>
          <cell r="O774">
            <v>42217</v>
          </cell>
          <cell r="P774" t="str">
            <v>0502-044006  JASPER CTY/WEBB CITY</v>
          </cell>
          <cell r="Q774">
            <v>2041.43</v>
          </cell>
          <cell r="R774">
            <v>-13</v>
          </cell>
        </row>
        <row r="775">
          <cell r="A775" t="str">
            <v>800176</v>
          </cell>
          <cell r="B775" t="str">
            <v>LDC 2</v>
          </cell>
          <cell r="D775" t="str">
            <v>no</v>
          </cell>
          <cell r="F775" t="str">
            <v>F0523</v>
          </cell>
          <cell r="G775" t="str">
            <v>New Main Extensions (SW)</v>
          </cell>
          <cell r="H775" t="str">
            <v>2300ft 4" CST Main Ext for General</v>
          </cell>
          <cell r="I775" t="str">
            <v>in service</v>
          </cell>
          <cell r="J775" t="str">
            <v>Install 2300' of 4" CST to serve General Dynamics. Project Location: N of intersection of CR 180 and Cedar Road, Carthage MO. TOWN: 05, DIVISION: 05 SECTOR: 0359 System: SSTAR. MOP: 90 PSIG. MAOP: 90 PSIG. $114,904.25 ($49.96</v>
          </cell>
          <cell r="L775">
            <v>42746</v>
          </cell>
          <cell r="O775">
            <v>42736</v>
          </cell>
          <cell r="P775" t="str">
            <v>0505-044003  JASPER CTY/DUENWEG</v>
          </cell>
          <cell r="Q775">
            <v>132992.73000000001</v>
          </cell>
          <cell r="R775">
            <v>-2583</v>
          </cell>
        </row>
        <row r="776">
          <cell r="A776" t="str">
            <v>800294</v>
          </cell>
          <cell r="B776" t="str">
            <v>LDC 2</v>
          </cell>
          <cell r="D776" t="str">
            <v>no</v>
          </cell>
          <cell r="F776" t="str">
            <v>F0523</v>
          </cell>
          <cell r="G776" t="str">
            <v>New Main Extensions (SW)</v>
          </cell>
          <cell r="H776" t="str">
            <v>Main Ext 120ft 4in PE HWY 43 S</v>
          </cell>
          <cell r="I776" t="str">
            <v>in service</v>
          </cell>
          <cell r="J776" t="str">
            <v>Install 120ft of 4in PE main on system S-2 at Daphne and HWY 43 to serve new customer. Division: 05 Town: 09 Sector: 0339 System: S-2 MAOP: 60 psig MOP: 25 psig TEST: 100 psig
Cost: $6,405.33</v>
          </cell>
          <cell r="K776" t="str">
            <v>TEST: 100 psig Cost: $6,405.33 ($53.38/ft</v>
          </cell>
          <cell r="L776">
            <v>42551</v>
          </cell>
          <cell r="O776">
            <v>42522</v>
          </cell>
          <cell r="P776" t="str">
            <v>0509-066005  NEWTON CTY/REDINGS MILL</v>
          </cell>
          <cell r="Q776">
            <v>1587.25</v>
          </cell>
          <cell r="R776">
            <v>-628</v>
          </cell>
        </row>
        <row r="777">
          <cell r="A777" t="str">
            <v>007928</v>
          </cell>
          <cell r="B777" t="str">
            <v>LDC 2</v>
          </cell>
          <cell r="D777" t="str">
            <v>no</v>
          </cell>
          <cell r="E777" t="str">
            <v>20101155245</v>
          </cell>
          <cell r="F777" t="str">
            <v>F0577</v>
          </cell>
          <cell r="G777" t="str">
            <v>ERT Purchases</v>
          </cell>
          <cell r="H777" t="str">
            <v>Purchase New 100G National / Spragu</v>
          </cell>
          <cell r="I777" t="str">
            <v>posted to CPR</v>
          </cell>
          <cell r="J777" t="str">
            <v>Purchase New 100G National / Sprague Erts  : Kansas City CORP: Purchase ERT (Electronic Reading Transmitter)  3971 (32-312)</v>
          </cell>
          <cell r="K777" t="str">
            <v>Approved by: Gary Williams on 03/24/2015,  Following purchase is for stock / ert changeout program.</v>
          </cell>
          <cell r="L777">
            <v>42180</v>
          </cell>
          <cell r="M777">
            <v>42461</v>
          </cell>
          <cell r="N777">
            <v>42496.5604282407</v>
          </cell>
          <cell r="O777">
            <v>42217</v>
          </cell>
          <cell r="P777" t="str">
            <v>0101-043050  JACKSON CTY/KC</v>
          </cell>
          <cell r="Q777">
            <v>246758.39999999999</v>
          </cell>
          <cell r="R777">
            <v>6400</v>
          </cell>
        </row>
        <row r="778">
          <cell r="A778" t="str">
            <v>004421</v>
          </cell>
          <cell r="B778" t="str">
            <v>LDC 2</v>
          </cell>
          <cell r="D778" t="str">
            <v>no</v>
          </cell>
          <cell r="E778" t="str">
            <v>20101132342</v>
          </cell>
          <cell r="F778" t="str">
            <v>F0574</v>
          </cell>
          <cell r="G778" t="str">
            <v>Office furniture &amp; equipment</v>
          </cell>
          <cell r="H778" t="str">
            <v>Office Furniture 2013 Broadway Only</v>
          </cell>
          <cell r="I778" t="str">
            <v>posted to CPR</v>
          </cell>
          <cell r="J778" t="str">
            <v>Office Furniture 2013 Broadway Only: Kansas City CORP: Broadway</v>
          </cell>
          <cell r="K778" t="str">
            <v>Approved by: Clarence Bussey on 01/16/2013,  Replacement of broken and worn office furniture. Purchase of needed furniture for the Broadway location.</v>
          </cell>
          <cell r="L778">
            <v>41548</v>
          </cell>
          <cell r="M778">
            <v>41575</v>
          </cell>
          <cell r="N778">
            <v>41576.418506944399</v>
          </cell>
          <cell r="O778">
            <v>42005</v>
          </cell>
          <cell r="P778" t="str">
            <v>0101-043050  JACKSON CTY/KC</v>
          </cell>
          <cell r="Q778">
            <v>22992.09</v>
          </cell>
          <cell r="R778">
            <v>4</v>
          </cell>
        </row>
        <row r="779">
          <cell r="A779" t="str">
            <v>012579</v>
          </cell>
          <cell r="B779" t="str">
            <v>LDC 2</v>
          </cell>
          <cell r="D779" t="str">
            <v>no</v>
          </cell>
          <cell r="F779" t="str">
            <v>F0639</v>
          </cell>
          <cell r="G779" t="str">
            <v>EGM Equip-1st Time Installation</v>
          </cell>
          <cell r="H779" t="str">
            <v>EGM - Walmart (Indep S Noland Rd)</v>
          </cell>
          <cell r="I779" t="str">
            <v>open</v>
          </cell>
          <cell r="J779" t="str">
            <v>Mini-Max AT-PT Corrector for Walmart at 3411 S. Noland Rd to monitor daily gas usage. Customer will reimburse company actual cost for EGM installation not to exceed $5,445.</v>
          </cell>
          <cell r="K779" t="str">
            <v>meter no 008000908</v>
          </cell>
          <cell r="P779" t="str">
            <v>0201-043001  JACKSON CTY/INDEPENDENCE</v>
          </cell>
          <cell r="Q779">
            <v>1971.95</v>
          </cell>
          <cell r="R779">
            <v>1</v>
          </cell>
        </row>
        <row r="780">
          <cell r="A780" t="str">
            <v>009235</v>
          </cell>
          <cell r="B780" t="str">
            <v>LDC 2</v>
          </cell>
          <cell r="D780" t="str">
            <v>no</v>
          </cell>
          <cell r="E780" t="str">
            <v>20201155487</v>
          </cell>
          <cell r="F780" t="str">
            <v>F0644</v>
          </cell>
          <cell r="G780" t="str">
            <v>Meter &amp; Reg Settings 2" &amp; Lg (S)</v>
          </cell>
          <cell r="H780" t="str">
            <v>Main Event Entert Crackerneck 5M Mt</v>
          </cell>
          <cell r="I780" t="str">
            <v>posted to CPR</v>
          </cell>
          <cell r="J780" t="str">
            <v>Main Event Entertainment Crackerneck Center: Independence: New Meter &amp; Reg Settings - 2&amp;quot; &amp; Larger 3820/3830 (33-382)</v>
          </cell>
          <cell r="K780" t="str">
            <v>Approved by: Kevin Driskell on 08/09/2015,  Install 5M rotary meter setting to serve one new commercial customer.  100'-1-1/4" PE service line to be installed on BWO. Bore service line under retaining wall.</v>
          </cell>
          <cell r="L780">
            <v>42303</v>
          </cell>
          <cell r="M780">
            <v>42491</v>
          </cell>
          <cell r="N780">
            <v>42622.457673611098</v>
          </cell>
          <cell r="O780">
            <v>42309</v>
          </cell>
          <cell r="P780" t="str">
            <v>0201-043001  JACKSON CTY/INDEPENDENCE</v>
          </cell>
          <cell r="Q780">
            <v>4293.5600000000004</v>
          </cell>
          <cell r="R780">
            <v>-19</v>
          </cell>
        </row>
        <row r="781">
          <cell r="A781" t="str">
            <v>004454</v>
          </cell>
          <cell r="B781" t="str">
            <v>LDC 2</v>
          </cell>
          <cell r="D781" t="str">
            <v>yes</v>
          </cell>
          <cell r="E781" t="str">
            <v>20201132783</v>
          </cell>
          <cell r="F781" t="str">
            <v>F0600</v>
          </cell>
          <cell r="G781" t="str">
            <v>Station Rebuild &amp; Repl ISRS (N)</v>
          </cell>
          <cell r="H781" t="str">
            <v>Retire DRS 188</v>
          </cell>
          <cell r="I781" t="str">
            <v>posted to CPR</v>
          </cell>
          <cell r="J781" t="str">
            <v>Retire DRS 188: Independence: Phelps Rd and 45th</v>
          </cell>
          <cell r="K781" t="str">
            <v>Approved by: Ralph Janes on 07/09/2013,  Retire and remove DRS 188 (wo# 92-5079) as it will not be needed after the uprate of pressure system C-013 to C-500 and completion of wo# 13-2787. The two Fisher 133H 2&amp;quot; regulators will be salvaged.</v>
          </cell>
          <cell r="L781">
            <v>41586</v>
          </cell>
          <cell r="M781">
            <v>41638</v>
          </cell>
          <cell r="N781">
            <v>41643.4353819444</v>
          </cell>
          <cell r="P781" t="str">
            <v>0201-043001  JACKSON CTY/INDEPENDENCE</v>
          </cell>
          <cell r="Q781">
            <v>1084.33</v>
          </cell>
          <cell r="R781">
            <v>8</v>
          </cell>
        </row>
        <row r="782">
          <cell r="A782" t="str">
            <v>004676</v>
          </cell>
          <cell r="B782" t="str">
            <v>LDC 2</v>
          </cell>
          <cell r="D782" t="str">
            <v>no</v>
          </cell>
          <cell r="E782" t="str">
            <v>20201132769</v>
          </cell>
          <cell r="F782" t="str">
            <v>F0671</v>
          </cell>
          <cell r="G782" t="str">
            <v>Tools, Instruments &amp; Equipment</v>
          </cell>
          <cell r="H782" t="str">
            <v>Pur Tensile Machine &amp; Elec Hydr Pum</v>
          </cell>
          <cell r="I782" t="str">
            <v>posted to CPR</v>
          </cell>
          <cell r="J782" t="str">
            <v>Pur Tensile Machine &amp; Elec Hydr Pump: Independence: Independence Training Center</v>
          </cell>
          <cell r="K782" t="str">
            <v>Approved by: Brian Dresel on 06/24/2013,  Purchase a new tensile machine to be used for testing welds at the Independence Training Center. The current machine will be permanently transferred to Monett for the same purpose. We currently do not have a tensile machine in the Southern Region requiring the shipment of the Independence machine every month or two which is potentially damaging to it's calibration settings.</v>
          </cell>
          <cell r="L782">
            <v>41492</v>
          </cell>
          <cell r="M782">
            <v>41575</v>
          </cell>
          <cell r="N782">
            <v>41576.418483796297</v>
          </cell>
          <cell r="P782" t="str">
            <v>0201-043001  JACKSON CTY/INDEPENDENCE</v>
          </cell>
          <cell r="Q782">
            <v>10214.030000000001</v>
          </cell>
          <cell r="R782">
            <v>0</v>
          </cell>
        </row>
        <row r="783">
          <cell r="A783" t="str">
            <v>004248</v>
          </cell>
          <cell r="B783" t="str">
            <v>LDC 2</v>
          </cell>
          <cell r="D783" t="str">
            <v>yes</v>
          </cell>
          <cell r="E783" t="str">
            <v>20201143426</v>
          </cell>
          <cell r="F783" t="str">
            <v>F0604</v>
          </cell>
          <cell r="G783" t="str">
            <v>Main Replacement - ISRS (S)</v>
          </cell>
          <cell r="H783" t="str">
            <v>24 Hwy &amp; Allen Repl PBS w 120'-4in</v>
          </cell>
          <cell r="I783" t="str">
            <v>posted to CPR</v>
          </cell>
          <cell r="J783" t="str">
            <v>24 Hwy &amp; Allen Repl PBS w 120'-4in PE main: Independence: 24 Hwy and Allen</v>
          </cell>
          <cell r="K783" t="str">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ell>
          <cell r="L783">
            <v>41724</v>
          </cell>
          <cell r="M783">
            <v>41821</v>
          </cell>
          <cell r="N783">
            <v>41858.746736111098</v>
          </cell>
          <cell r="O783">
            <v>41730</v>
          </cell>
          <cell r="P783" t="str">
            <v>0201-043001  JACKSON CTY/INDEPENDENCE</v>
          </cell>
          <cell r="Q783">
            <v>16172.92</v>
          </cell>
          <cell r="R783">
            <v>1841.5</v>
          </cell>
        </row>
        <row r="784">
          <cell r="A784" t="str">
            <v>800885</v>
          </cell>
          <cell r="B784" t="str">
            <v>LDC 2</v>
          </cell>
          <cell r="D784" t="str">
            <v>no</v>
          </cell>
          <cell r="F784" t="str">
            <v>F0673</v>
          </cell>
          <cell r="G784" t="str">
            <v>New Main Extensions (S)</v>
          </cell>
          <cell r="H784" t="str">
            <v>Install 180F 2P Andrew 112 SE 180th</v>
          </cell>
          <cell r="I784" t="str">
            <v>open</v>
          </cell>
          <cell r="J784" t="str">
            <v>Install ~180 Ft of 2" PL MP Main.</v>
          </cell>
          <cell r="K784" t="str">
            <v>Conversion to gas water heater and range. No furnace at this time but will upgrade when time to replace.  Install ~220 Ft of 1/2" PL MP Service.  Main Extension (MEXTE) to serve 1 residential lot.</v>
          </cell>
          <cell r="P784" t="str">
            <v>0301-046001  JOHNSON CTY/WARRENSBURG</v>
          </cell>
          <cell r="Q784">
            <v>9581.94</v>
          </cell>
          <cell r="R784">
            <v>141.58000000000001</v>
          </cell>
        </row>
        <row r="785">
          <cell r="A785" t="str">
            <v>008532</v>
          </cell>
          <cell r="B785" t="str">
            <v>LDC 2</v>
          </cell>
          <cell r="D785" t="str">
            <v>yes</v>
          </cell>
          <cell r="E785" t="str">
            <v>20201155341</v>
          </cell>
          <cell r="F785" t="str">
            <v>F0604</v>
          </cell>
          <cell r="G785" t="str">
            <v>Main Replacement - ISRS (S)</v>
          </cell>
          <cell r="H785" t="str">
            <v>Allen Road Replacement</v>
          </cell>
          <cell r="I785" t="str">
            <v>posted to CPR</v>
          </cell>
          <cell r="J785" t="str">
            <v>Allen Road Replacement: Independence: Replace Bare Steel Main - 3760 Safety Related (34-394)</v>
          </cell>
          <cell r="K785" t="str">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ell>
          <cell r="L785">
            <v>42383</v>
          </cell>
          <cell r="M785">
            <v>42429</v>
          </cell>
          <cell r="N785">
            <v>42527.512118055602</v>
          </cell>
          <cell r="O785">
            <v>42370</v>
          </cell>
          <cell r="P785" t="str">
            <v>0201-043001  JACKSON CTY/INDEPENDENCE</v>
          </cell>
          <cell r="Q785">
            <v>408045.95</v>
          </cell>
          <cell r="R785">
            <v>-11118.5</v>
          </cell>
        </row>
        <row r="786">
          <cell r="A786" t="str">
            <v>004889</v>
          </cell>
          <cell r="B786" t="str">
            <v>LDC 2</v>
          </cell>
          <cell r="D786" t="str">
            <v>yes</v>
          </cell>
          <cell r="E786" t="str">
            <v>20201143455</v>
          </cell>
          <cell r="F786" t="str">
            <v>F0604</v>
          </cell>
          <cell r="G786" t="str">
            <v>Main Replacement - ISRS (S)</v>
          </cell>
          <cell r="H786" t="str">
            <v>40th &amp; Highridge Repl PBS w 7870'-2</v>
          </cell>
          <cell r="I786" t="str">
            <v>posted to CPR</v>
          </cell>
          <cell r="J786" t="str">
            <v>40th &amp; Highridge Repl PBS w 7870'-2in PE main: Independence: Replace Bare Steel Main - 3760 Safety Related (34-394)</v>
          </cell>
          <cell r="K786" t="str">
            <v>Approved by: Steve Lindsey on 04/01/2014,  This work order is being written as part of the accelerated main replacement program. We will replace all PBS and PCS main within the C-027 pressure system with 7,870' of 2" PE. This will allow us to retire the two DRS that feed this pressure system - DRS 8 at 39th and Blue Ridge Blvd (retire on WO# 14-3456) and DRS 134 at 40th and Sterling (retire on WO# 14-3457). C-027: MOP = MAOP = 2 psig. C-500: MOP = 30 psig, MAOP = 44 psig. All services on existing plastic have been checked for adequate pressure test. There are 11 that will be cut off, pressure tested, EFV installed and 5 that have amp saddle fittings replaced, pressure tested, EFV installed prior to tying onto the C-500 pressure system. All existing PE main has an adequate pressure test for the pressure increase. Main to abandon: 1668' - 2" PBS (WO# JO6113); 1181' - 4" PBS (WO# A4057); 780' - 4" PBS (WO# A4408); 818' - 4" PBS (WO# A7302); 1008' - 4" PCS (WO# B1505); 178' - 4" PCS (WO# 59940); 929' - 4" PCS (WO# 61-1583); 24' - 4" PCS (WO# 61-3033); 986' - 2" PCS (WO# 68-6853); 10' - 2" PE (WO# 08-5100). (ISRS) Price per ft = $32.55</v>
          </cell>
          <cell r="L786">
            <v>42016</v>
          </cell>
          <cell r="M786">
            <v>42248</v>
          </cell>
          <cell r="N786">
            <v>42284.720949074101</v>
          </cell>
          <cell r="O786">
            <v>42005</v>
          </cell>
          <cell r="P786" t="str">
            <v>0201-043001  JACKSON CTY/INDEPENDENCE</v>
          </cell>
          <cell r="Q786">
            <v>256998.99</v>
          </cell>
          <cell r="R786">
            <v>-8638.5</v>
          </cell>
        </row>
        <row r="787">
          <cell r="A787" t="str">
            <v>003894</v>
          </cell>
          <cell r="B787" t="str">
            <v>LDC 2</v>
          </cell>
          <cell r="D787" t="str">
            <v>no</v>
          </cell>
          <cell r="E787" t="str">
            <v>20301143411</v>
          </cell>
          <cell r="F787" t="str">
            <v>F0507</v>
          </cell>
          <cell r="G787" t="str">
            <v>Rebuild Meter Install 2'' &amp; Lg (S)</v>
          </cell>
          <cell r="H787" t="str">
            <v>Remove 7M Rotary Meter</v>
          </cell>
          <cell r="I787" t="str">
            <v>posted to CPR</v>
          </cell>
          <cell r="J787" t="str">
            <v>Remove 7M Rotary Meter: Warrensburg: 116 W South UCM Physical Plant</v>
          </cell>
          <cell r="K787" t="str">
            <v>Approved by: Ralph Janes on 03/07/2014,  Remove and dismantle the 7M rotary meter setting (meter #01022730, installed on WO# 10-6841) at the UCM Physical Plant due to the building is being demolished.</v>
          </cell>
          <cell r="L787">
            <v>41712</v>
          </cell>
          <cell r="M787">
            <v>41729</v>
          </cell>
          <cell r="N787">
            <v>41733.495648148099</v>
          </cell>
          <cell r="P787" t="str">
            <v>0301-046001  JOHNSON CTY/WARRENSBURG</v>
          </cell>
          <cell r="Q787">
            <v>5319.76</v>
          </cell>
          <cell r="R787">
            <v>6</v>
          </cell>
        </row>
        <row r="788">
          <cell r="A788" t="str">
            <v>004947</v>
          </cell>
          <cell r="B788" t="str">
            <v>LDC 2</v>
          </cell>
          <cell r="D788" t="str">
            <v>yes</v>
          </cell>
          <cell r="E788" t="str">
            <v>20308143387</v>
          </cell>
          <cell r="F788" t="str">
            <v>F0549</v>
          </cell>
          <cell r="G788" t="str">
            <v>Street &amp; highway relocates - safety</v>
          </cell>
          <cell r="H788" t="str">
            <v>23rd &amp; Walnut Repl PBS w 360'-2in P</v>
          </cell>
          <cell r="I788" t="str">
            <v>posted to CPR</v>
          </cell>
          <cell r="J788" t="str">
            <v>23rd &amp; Walnut Repl PBS w 360'-2in PE main: Higginsville: Relocate for Street &amp; Highway-Safety Related (44-389)</v>
          </cell>
          <cell r="K788" t="str">
            <v>Approved by: Ralph Janes on 04/04/2014,  Relocate and replace 42' - 2" pbs main (wo 54446), 224' - 2" pbs main (wo 42845) and 90' - 2" pcs main (wo 623078)with 360'-2in PE pipe to allow the City to repave the street.  The existing bare steel main is currently under the pavement and has 2 active leaks on it.  This will prevent our having to cut the new pavement in the future. (ISRS)</v>
          </cell>
          <cell r="L788">
            <v>41752</v>
          </cell>
          <cell r="M788">
            <v>41913</v>
          </cell>
          <cell r="N788">
            <v>42006.327592592599</v>
          </cell>
          <cell r="O788">
            <v>41913</v>
          </cell>
          <cell r="P788" t="str">
            <v>0308-049004  LAFAYETTE CTY/HIGGINSVILLE</v>
          </cell>
          <cell r="Q788">
            <v>3423.85</v>
          </cell>
          <cell r="R788">
            <v>-281</v>
          </cell>
        </row>
        <row r="789">
          <cell r="A789" t="str">
            <v>008530</v>
          </cell>
          <cell r="B789" t="str">
            <v>LDC 2</v>
          </cell>
          <cell r="D789" t="str">
            <v>yes</v>
          </cell>
          <cell r="E789" t="str">
            <v>20305155209</v>
          </cell>
          <cell r="F789" t="str">
            <v>F0604</v>
          </cell>
          <cell r="G789" t="str">
            <v>Main Replacement - ISRS (S)</v>
          </cell>
          <cell r="H789" t="str">
            <v>Install 4in and 2in PE Main</v>
          </cell>
          <cell r="I789" t="str">
            <v>posted to CPR</v>
          </cell>
          <cell r="J789" t="str">
            <v>Install 4in and 2in PE Main: Sweet Springs: Replace Bare Steel Main - 3760 Safety Related (34-394)</v>
          </cell>
          <cell r="K789" t="str">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ell>
          <cell r="L789">
            <v>42286</v>
          </cell>
          <cell r="M789">
            <v>42429</v>
          </cell>
          <cell r="N789">
            <v>42528.472500000003</v>
          </cell>
          <cell r="O789">
            <v>42370</v>
          </cell>
          <cell r="P789" t="str">
            <v>0305-086001  SALINE CTY/SWEET SPRINGS</v>
          </cell>
          <cell r="Q789">
            <v>227867.02</v>
          </cell>
          <cell r="R789">
            <v>-4452.75</v>
          </cell>
        </row>
        <row r="790">
          <cell r="A790" t="str">
            <v>008246</v>
          </cell>
          <cell r="B790" t="str">
            <v>LDC 2</v>
          </cell>
          <cell r="D790" t="str">
            <v>yes</v>
          </cell>
          <cell r="E790" t="str">
            <v>20305155206</v>
          </cell>
          <cell r="F790" t="str">
            <v>F0604</v>
          </cell>
          <cell r="G790" t="str">
            <v>Main Replacement - ISRS (S)</v>
          </cell>
          <cell r="H790" t="str">
            <v>Replace Bare Steel Main</v>
          </cell>
          <cell r="I790" t="str">
            <v>posted to CPR</v>
          </cell>
          <cell r="J790" t="str">
            <v>Replace Bare Steel Main: Sweet Springs: Replace Bare Steel Main - 3760 Safety Related (34-394)</v>
          </cell>
          <cell r="K790" t="str">
            <v>Approved by: Joe Hampton on 04/24/2015,  Replace pbs main by installing 1,585' - 4" pe and 2,735' - 2" pe. (ISRS)</v>
          </cell>
          <cell r="L790">
            <v>42286</v>
          </cell>
          <cell r="M790">
            <v>42583</v>
          </cell>
          <cell r="N790">
            <v>42620.419699074097</v>
          </cell>
          <cell r="O790">
            <v>42370</v>
          </cell>
          <cell r="P790" t="str">
            <v>0305-086001  SALINE CTY/SWEET SPRINGS</v>
          </cell>
          <cell r="Q790">
            <v>199587.95</v>
          </cell>
          <cell r="R790">
            <v>-6514.5</v>
          </cell>
        </row>
        <row r="791">
          <cell r="A791" t="str">
            <v>006798</v>
          </cell>
          <cell r="B791" t="str">
            <v>LDC 2</v>
          </cell>
          <cell r="D791" t="str">
            <v>no</v>
          </cell>
          <cell r="E791" t="str">
            <v>20305143865</v>
          </cell>
          <cell r="F791" t="str">
            <v>F0580</v>
          </cell>
          <cell r="G791" t="str">
            <v>Replace steel &amp; plastic main</v>
          </cell>
          <cell r="H791" t="str">
            <v>Abandon pcs main</v>
          </cell>
          <cell r="I791" t="str">
            <v>posted to CPR</v>
          </cell>
          <cell r="J791" t="str">
            <v>Abandon pcs main: Sweet Springs: Replace Coated Steel &amp; Plastic Main - 3760 (34-396)</v>
          </cell>
          <cell r="K791" t="str">
            <v>Approved by: Ray Wilson on 10/31/2014,  Abandon 920' - 2" pcs main (work order 70-5200).  This main served a trailer park which is being abandoned.</v>
          </cell>
          <cell r="L791">
            <v>42094</v>
          </cell>
          <cell r="M791">
            <v>42155</v>
          </cell>
          <cell r="N791">
            <v>42256.641643518502</v>
          </cell>
          <cell r="O791">
            <v>42217</v>
          </cell>
          <cell r="P791" t="str">
            <v>0305-086001  SALINE CTY/SWEET SPRINGS</v>
          </cell>
          <cell r="Q791">
            <v>3757.72</v>
          </cell>
          <cell r="R791">
            <v>1112</v>
          </cell>
        </row>
        <row r="792">
          <cell r="A792" t="str">
            <v>800443</v>
          </cell>
          <cell r="B792" t="str">
            <v>LDC 2</v>
          </cell>
          <cell r="D792" t="str">
            <v>no</v>
          </cell>
          <cell r="F792" t="str">
            <v>F0673</v>
          </cell>
          <cell r="G792" t="str">
            <v>New Main Extensions (S)</v>
          </cell>
          <cell r="H792" t="str">
            <v>Install  6575F 4P Martin Energy</v>
          </cell>
          <cell r="I792" t="str">
            <v>open</v>
          </cell>
          <cell r="J792" t="str">
            <v>Install 6,575' of 4" plastic main, 200' of 2" plastic main to serve one new commercial customer. 1,910' of 4" plastic service to be installed on Child Work Order. Minimum to serve: 4,500' of 4" plastic main and 800' of 2" plastic service.</v>
          </cell>
          <cell r="P792" t="str">
            <v>0318-062001  MONITEAU CTY/TIPTON</v>
          </cell>
          <cell r="Q792">
            <v>198636.2</v>
          </cell>
          <cell r="R792">
            <v>-17639.5</v>
          </cell>
        </row>
        <row r="793">
          <cell r="A793" t="str">
            <v>011611</v>
          </cell>
          <cell r="B793" t="str">
            <v>LDC 2</v>
          </cell>
          <cell r="D793" t="str">
            <v>yes</v>
          </cell>
          <cell r="F793" t="str">
            <v>F1191</v>
          </cell>
          <cell r="G793" t="str">
            <v>Station Rebuild &amp; Repl ISRS (S)</v>
          </cell>
          <cell r="H793" t="str">
            <v>Ret reg stn-Pettis &amp; Auglaize</v>
          </cell>
          <cell r="I793" t="str">
            <v>open</v>
          </cell>
          <cell r="J793" t="str">
            <v>Abandon Regulator Station 1 (PETTIS ST &amp; AUGLAIZE AVE)</v>
          </cell>
          <cell r="K793" t="str">
            <v>DRS #1</v>
          </cell>
          <cell r="P793" t="str">
            <v>0318-062001  MONITEAU CTY/TIPTON</v>
          </cell>
          <cell r="Q793">
            <v>521.38</v>
          </cell>
          <cell r="R793">
            <v>16</v>
          </cell>
        </row>
        <row r="794">
          <cell r="A794" t="str">
            <v>800068</v>
          </cell>
          <cell r="B794" t="str">
            <v>LDC 2</v>
          </cell>
          <cell r="C794" t="str">
            <v>03 - Bare Steel Replacement</v>
          </cell>
          <cell r="D794" t="str">
            <v>yes</v>
          </cell>
          <cell r="F794" t="str">
            <v>F0604</v>
          </cell>
          <cell r="G794" t="str">
            <v>Main Replacement - ISRS (S)</v>
          </cell>
          <cell r="H794" t="str">
            <v>Tipton Bare Steel Replace-Grid PhA</v>
          </cell>
          <cell r="I794" t="str">
            <v>in service</v>
          </cell>
          <cell r="J794" t="str">
            <v>Install 6762 Ft of 2 in and 2335 Ft of 4 in PL IP main for Tipton Grid Phase A. Abandon 8636 Ft various main - see Notes section.  Main is being replaced as part of the FY16 Bare Steel Replacement Program</v>
          </cell>
          <cell r="K794" t="str">
            <v>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ell>
          <cell r="L794">
            <v>42504</v>
          </cell>
          <cell r="O794">
            <v>42644</v>
          </cell>
          <cell r="P794" t="str">
            <v>0318-062001  MONITEAU CTY/TIPTON</v>
          </cell>
          <cell r="Q794">
            <v>388685.62</v>
          </cell>
          <cell r="R794">
            <v>-14098.3367</v>
          </cell>
        </row>
        <row r="795">
          <cell r="A795" t="str">
            <v>003980</v>
          </cell>
          <cell r="B795" t="str">
            <v>LDC 2</v>
          </cell>
          <cell r="D795" t="str">
            <v>yes</v>
          </cell>
          <cell r="E795" t="str">
            <v>20801050363</v>
          </cell>
          <cell r="F795" t="str">
            <v>F0666</v>
          </cell>
          <cell r="G795" t="str">
            <v>SLRP - meter &amp; regulator replacemen</v>
          </cell>
          <cell r="H795" t="str">
            <v>BWO SLRP MTR/REG REPL COMPANY</v>
          </cell>
          <cell r="I795" t="str">
            <v>open</v>
          </cell>
          <cell r="J795" t="str">
            <v>BWO SLRP MTR/REG REPL COMPANY</v>
          </cell>
          <cell r="K795" t="str">
            <v>Service/Yard Line Replacement (SLRP): Company Crew.  Rebuild meter/regulator setting (exclude regulator) (Monett - South Region).</v>
          </cell>
          <cell r="O795">
            <v>41730</v>
          </cell>
          <cell r="P795" t="str">
            <v>0801-005001  BARRY CTY/MONETT</v>
          </cell>
          <cell r="Q795">
            <v>11932.5</v>
          </cell>
          <cell r="R795">
            <v>5357</v>
          </cell>
        </row>
        <row r="796">
          <cell r="A796" t="str">
            <v>004577</v>
          </cell>
          <cell r="B796" t="str">
            <v>LDC 2</v>
          </cell>
          <cell r="D796" t="str">
            <v>no</v>
          </cell>
          <cell r="E796" t="str">
            <v>20801132832</v>
          </cell>
          <cell r="F796" t="str">
            <v>F0633</v>
          </cell>
          <cell r="G796" t="str">
            <v>Main Repl - Sys Reinforcement (SW)</v>
          </cell>
          <cell r="H796" t="str">
            <v>Cleveland Hwy 60 Reinf 655'-4in PE</v>
          </cell>
          <cell r="I796" t="str">
            <v>posted to CPR</v>
          </cell>
          <cell r="J796" t="str">
            <v>Cleveland Hwy 60 Reinf 655'-4in PE main: Monett: Business 60 &amp; 16th St Monett Fire School</v>
          </cell>
          <cell r="K796" t="str">
            <v>Approved by: Galen Shoemaker on 07/23/2013,  Reinforce C-0001 pressure system due to Monett Fire School pulling the system down while in use. Lay 655'- 4in PE to loop the system. Project location: Business Hwy 60 &amp; 16th St. Pressure system: C-0001. MOP: 40 PSIG. MAOP: 44 PSIG. Design: 58 PSIG. Test: 100 PSIG. Price per foot: $27.55.</v>
          </cell>
          <cell r="L796">
            <v>41543</v>
          </cell>
          <cell r="M796">
            <v>41626</v>
          </cell>
          <cell r="N796">
            <v>41627.582789351902</v>
          </cell>
          <cell r="O796">
            <v>41730</v>
          </cell>
          <cell r="P796" t="str">
            <v>0801-005001  BARRY CTY/MONETT</v>
          </cell>
          <cell r="Q796">
            <v>28533.52</v>
          </cell>
          <cell r="R796">
            <v>1512.5</v>
          </cell>
        </row>
        <row r="797">
          <cell r="A797" t="str">
            <v>008899</v>
          </cell>
          <cell r="B797" t="str">
            <v>LDC 2</v>
          </cell>
          <cell r="D797" t="str">
            <v>yes</v>
          </cell>
          <cell r="E797" t="str">
            <v>20815155412</v>
          </cell>
          <cell r="F797" t="str">
            <v>F0545</v>
          </cell>
          <cell r="G797" t="str">
            <v>Street &amp; highway relocates</v>
          </cell>
          <cell r="H797" t="str">
            <v>HWY 65 and HWY J Improvements</v>
          </cell>
          <cell r="I797" t="str">
            <v>posted to CPR</v>
          </cell>
          <cell r="J797" t="str">
            <v>HWY 65 and HWY J Improvements: Ozark: Relocate for Street &amp; Highway-Public Improvements (44-388)</v>
          </cell>
          <cell r="K797" t="str">
            <v>Approved by: Kevin Driskell on 07/01/2015,  *MODOT PERMIT REQUIRED* Relocate 420'of 6" PE along HWY J near HWY 65. This relocation is necessitated by public improvements of the State of Missouri. Division: 08 Town: 15 Sector: A0515. Pressure System: S-2322 MAOP: 58 psig MOP: 58 psig Design: 69 psig Test: 104 psig ISRS
$74.41/ft</v>
          </cell>
          <cell r="L797">
            <v>42223</v>
          </cell>
          <cell r="M797">
            <v>42370</v>
          </cell>
          <cell r="N797">
            <v>42496.560787037</v>
          </cell>
          <cell r="O797">
            <v>42217</v>
          </cell>
          <cell r="P797" t="str">
            <v>0815-019006  CHRISTIAN CTY/OZARK</v>
          </cell>
          <cell r="Q797">
            <v>83844.38</v>
          </cell>
          <cell r="R797">
            <v>-552.29999999999995</v>
          </cell>
        </row>
        <row r="798">
          <cell r="A798" t="str">
            <v>800864</v>
          </cell>
          <cell r="B798" t="str">
            <v>LDC 2</v>
          </cell>
          <cell r="C798" t="str">
            <v>03 - Bare Steel Replacement</v>
          </cell>
          <cell r="D798" t="str">
            <v>yes</v>
          </cell>
          <cell r="F798" t="str">
            <v>F0604</v>
          </cell>
          <cell r="G798" t="str">
            <v>Main Replacement - ISRS (S)</v>
          </cell>
          <cell r="H798" t="str">
            <v>Repl w 3915F 2-4-6P 75th St  RT 350</v>
          </cell>
          <cell r="I798" t="str">
            <v>open</v>
          </cell>
          <cell r="J798" t="str">
            <v>Install ~690 Ft of 2" PL IP Main, ~100 Ft of 4" PL IP Main, ~3125 Ft of 6" PL IP Main.</v>
          </cell>
          <cell r="K798" t="str">
            <v>Abandon ~50 Ft of 2" PL IP Main, ~766 Ft of 2" ST IP Main, ~2035 Ft of 4" ST IP Main, ~1085 Ft of 6" ST IP Main. Total Service Tie-Overs = 10 This is a bare steel main replacement project (ISRS).</v>
          </cell>
          <cell r="P798" t="str">
            <v>0902-043025  JACKSON CTY/RAYTOWN</v>
          </cell>
          <cell r="Q798">
            <v>0</v>
          </cell>
          <cell r="R798">
            <v>4036</v>
          </cell>
        </row>
        <row r="799">
          <cell r="A799" t="str">
            <v>004632</v>
          </cell>
          <cell r="B799" t="str">
            <v>LDC 2</v>
          </cell>
          <cell r="D799" t="str">
            <v>no</v>
          </cell>
          <cell r="E799" t="str">
            <v>20903121574</v>
          </cell>
          <cell r="F799" t="str">
            <v>F0507</v>
          </cell>
          <cell r="G799" t="str">
            <v>Rebuild Meter Install 2'' &amp; Lg (S)</v>
          </cell>
          <cell r="H799" t="str">
            <v>Rebuild 3M meter set Parts Unltd</v>
          </cell>
          <cell r="I799" t="str">
            <v>posted to CPR</v>
          </cell>
          <cell r="J799" t="str">
            <v>Rebuild 3M meter set Parts Unltd: Blue Springs: 705 SW 10th St</v>
          </cell>
          <cell r="K799" t="str">
            <v>Approved by: Ralph Janes on 10/02/2012,  Rebuild a 3M rotary meter set at 705 SW 10th St for Parts Unltd. The service (premise# 323431) is on the 20 Year SLRP and the AL 2300 meter (# 00041533 on the 2012 Time Limit program) set (WO# 72-5317) needs to be rebuilt with a 3M rotary set at the building on WO# 12-1574. Total load is 2,700 cfh. Set a new 1in steel first cut riser at the property line with 1in FI 627R with 1/4in orifice set at 20 psig. Install 1-1/4in PE service line and a 2in pre-fab flanged riser with 2in bypass and 2in Balon ball valve on BWO.</v>
          </cell>
          <cell r="L799">
            <v>41591</v>
          </cell>
          <cell r="M799">
            <v>41652</v>
          </cell>
          <cell r="N799">
            <v>41654.604074074101</v>
          </cell>
          <cell r="P799" t="str">
            <v>0903-043026  JACKSON CTY/BLUE SPRINGS</v>
          </cell>
          <cell r="Q799">
            <v>4607.3599999999997</v>
          </cell>
          <cell r="R799">
            <v>111</v>
          </cell>
        </row>
        <row r="800">
          <cell r="A800" t="str">
            <v>007499</v>
          </cell>
          <cell r="B800" t="str">
            <v>LDC 2</v>
          </cell>
          <cell r="D800" t="str">
            <v>yes</v>
          </cell>
          <cell r="E800" t="str">
            <v>20904155108</v>
          </cell>
          <cell r="F800" t="str">
            <v>F0604</v>
          </cell>
          <cell r="G800" t="str">
            <v>Main Replacement - ISRS (S)</v>
          </cell>
          <cell r="H800" t="str">
            <v>2in and 4in PBS Replacement with 2i</v>
          </cell>
          <cell r="I800" t="str">
            <v>posted to CPR</v>
          </cell>
          <cell r="J800" t="str">
            <v>2in and 4in PBS Replacement with 2in and 4in PE: Grandview: Replace Bare Steel Main - 3760 Safety Related (34-394)</v>
          </cell>
          <cell r="K800" t="str">
            <v>Approved by: Gary Williams on 01/26/2015,  ISRS - Replace and abandon 442' - 2" PBS main and 397' of 4" PBS by installing 450' - 2" PE main and 400' - 4" PE main. See tie in procedures on drawing.</v>
          </cell>
          <cell r="L800">
            <v>42093</v>
          </cell>
          <cell r="M800">
            <v>42247</v>
          </cell>
          <cell r="N800">
            <v>42284.723113425898</v>
          </cell>
          <cell r="O800">
            <v>42095</v>
          </cell>
          <cell r="P800" t="str">
            <v>0904-043030  JACKSON CTY/GRANDVIEW</v>
          </cell>
          <cell r="Q800">
            <v>11059.1</v>
          </cell>
          <cell r="R800">
            <v>14542.5</v>
          </cell>
        </row>
        <row r="801">
          <cell r="A801" t="str">
            <v>800526</v>
          </cell>
          <cell r="B801" t="str">
            <v>LDC 2</v>
          </cell>
          <cell r="C801" t="str">
            <v>09 - Facility Relocation due to Civic Improvement</v>
          </cell>
          <cell r="D801" t="str">
            <v>yes</v>
          </cell>
          <cell r="F801" t="str">
            <v>F0578</v>
          </cell>
          <cell r="G801" t="str">
            <v>Street &amp; Highway Relocates ISRS (S)</v>
          </cell>
          <cell r="H801" t="str">
            <v>Rel w 1600F 2-4P Pacific &amp; Sunrise</v>
          </cell>
          <cell r="I801" t="str">
            <v>open</v>
          </cell>
          <cell r="J801" t="str">
            <v>Install ~625 Ft of 2" PL IP Main, ~975 Ft of 4" PL IP Main. Abandon ~591 Ft of 2" ST IP Main, ~903 Ft of 4" ST IP Main. Total Service Tie Over= 17</v>
          </cell>
          <cell r="K801" t="str">
            <v>This Main is being relocated for a Civic Improvement. City project #451-5608-495-7112</v>
          </cell>
          <cell r="P801" t="str">
            <v>0906-016001  CASS CTY/BELTON W OF MULLIN RD</v>
          </cell>
          <cell r="Q801">
            <v>78363.399999999994</v>
          </cell>
          <cell r="R801">
            <v>-2682.5</v>
          </cell>
        </row>
        <row r="802">
          <cell r="A802" t="str">
            <v>008238</v>
          </cell>
          <cell r="B802" t="str">
            <v>LDC 2</v>
          </cell>
          <cell r="D802" t="str">
            <v>yes</v>
          </cell>
          <cell r="E802" t="str">
            <v>20906155284</v>
          </cell>
          <cell r="F802" t="str">
            <v>F0604</v>
          </cell>
          <cell r="G802" t="str">
            <v>Main Replacement - ISRS (S)</v>
          </cell>
          <cell r="H802" t="str">
            <v>Replace 8in PBS Main</v>
          </cell>
          <cell r="I802" t="str">
            <v>posted to CPR</v>
          </cell>
          <cell r="J802" t="str">
            <v>Replace 8in PBS Main: Belton: Replace Bare Steel Main - 3760 Safety Related (34-394)</v>
          </cell>
          <cell r="K802" t="str">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ell>
          <cell r="L802">
            <v>42258</v>
          </cell>
          <cell r="M802">
            <v>42461</v>
          </cell>
          <cell r="N802">
            <v>42496.560497685197</v>
          </cell>
          <cell r="O802">
            <v>42278</v>
          </cell>
          <cell r="P802" t="str">
            <v>0906-016001  CASS CTY/BELTON W OF MULLIN RD</v>
          </cell>
          <cell r="Q802">
            <v>362298.64</v>
          </cell>
          <cell r="R802">
            <v>6762.75</v>
          </cell>
        </row>
        <row r="803">
          <cell r="A803" t="str">
            <v>800256</v>
          </cell>
          <cell r="B803" t="str">
            <v>LDC 2</v>
          </cell>
          <cell r="C803" t="str">
            <v>03 - Bare Steel Replacement</v>
          </cell>
          <cell r="D803" t="str">
            <v>yes</v>
          </cell>
          <cell r="F803" t="str">
            <v>F0604</v>
          </cell>
          <cell r="G803" t="str">
            <v>Main Replacement - ISRS (S)</v>
          </cell>
          <cell r="H803" t="str">
            <v>Repl w/ 8006F 2&amp;P Pleasant Hill Ph3</v>
          </cell>
          <cell r="I803" t="str">
            <v>open</v>
          </cell>
          <cell r="J803" t="str">
            <v>Install 6485 Ft of 2 in and 1521 Ft of 4 in PL IP main for Pleasant Hill Phase 3. Abandon 109 Ft of 2 in PL, 106 Ft of 4 in PL, 1881 Ft of 2 in ST, 939 Ft of 3 in ST, 5167 Ft of 4 in ST main.</v>
          </cell>
          <cell r="K803" t="str">
            <v>This main is being replaced as part of FY16 Bare Steel Replacement Program.
Uprate ~100 Ft of 1 1/4 in PL LP main, ~663 Ft of 2 in PL LP main, ~328 Ft of 3 in PL LP main, and ~739 Ft of 4 in PL LP main at Cedar St. Jefferys St, and Mckissock St. Total Service Tie-over = 89; Total Service Abandoned = 10;Total Service Replace = 4; Total Service Upgrade = 24.</v>
          </cell>
          <cell r="P803" t="str">
            <v>0909-016012  CASS CTY/PLEASANT HILL</v>
          </cell>
          <cell r="Q803">
            <v>392865.38</v>
          </cell>
          <cell r="R803">
            <v>-9194.17</v>
          </cell>
        </row>
        <row r="804">
          <cell r="A804" t="str">
            <v>009230</v>
          </cell>
          <cell r="B804" t="str">
            <v>LDC 2</v>
          </cell>
          <cell r="D804" t="str">
            <v>yes</v>
          </cell>
          <cell r="E804" t="str">
            <v>20910155503</v>
          </cell>
          <cell r="F804" t="str">
            <v>F0604</v>
          </cell>
          <cell r="G804" t="str">
            <v>Main Replacement - ISRS (S)</v>
          </cell>
          <cell r="H804" t="str">
            <v>Replace 2in PE, PCS &amp; PBS</v>
          </cell>
          <cell r="I804" t="str">
            <v>posted to CPR</v>
          </cell>
          <cell r="J804" t="str">
            <v>Replace 2in PE, PCS &amp; PBS: Holden: Replace Bare Steel Main - 3760 Safety Related (34-394)</v>
          </cell>
          <cell r="K804" t="str">
            <v>Approved by: Joe Hampton on 08/20/2015,  Replace and Abandon 136'- 2" PCS (735323), 509'- 2" PE (735324), 202'- 2" PCS (800942), 412'- 2" PCS (800935), 179'- 2" PCS (673334), 595'- 2" PBS (N/A), 274'- 2" PBS (N/A), 130'- 2" PBS (N/A), 100'- 2" PE (874951), 187'- 2" PBS (N/A), 655'- 2" PBS (N/A), 1352'- 2" PBS (N/A), 300'- 2" PE (940699), 191'- 2" PCS (55683), 316'- 2" PBS (N/A), 30'- 2" PCS (781079), 200'- 2" PCS (50402), 999'- 2" PBS (N/A), 147'- 2" PCS (46397), 30'- 2" PE (107078), and 237'- 2" PE (810428). Uprate 2" PE (753864, 013028, 940630, 763934, and 800430) to 30 psi. Main currently runs on Elizabeth St, Pacific St, Mary St, Main St, Pine St, Vine St, Elm St and Clay St.</v>
          </cell>
          <cell r="L804">
            <v>42608</v>
          </cell>
          <cell r="M804">
            <v>42608</v>
          </cell>
          <cell r="N804">
            <v>42710.600057870397</v>
          </cell>
          <cell r="O804">
            <v>42583</v>
          </cell>
          <cell r="P804" t="str">
            <v>0910-046008  JOHNSON CTY/HOLDEN</v>
          </cell>
          <cell r="Q804">
            <v>237245.67</v>
          </cell>
          <cell r="R804">
            <v>-7651</v>
          </cell>
        </row>
        <row r="805">
          <cell r="A805" t="str">
            <v>009241</v>
          </cell>
          <cell r="B805" t="str">
            <v>LDC 2</v>
          </cell>
          <cell r="D805" t="str">
            <v>no</v>
          </cell>
          <cell r="E805" t="str">
            <v>20824155513</v>
          </cell>
          <cell r="F805" t="str">
            <v>F0656</v>
          </cell>
          <cell r="G805" t="str">
            <v>Meter &amp; regulator settings - 2" &amp; l</v>
          </cell>
          <cell r="H805" t="str">
            <v>Inst 3in Prefab Set For 5m Rotary</v>
          </cell>
          <cell r="I805" t="str">
            <v>posted to CPR</v>
          </cell>
          <cell r="J805" t="str">
            <v>Inst 3in Prefab Set For 5m Rotary Meter: Crowder: New Meter &amp; Reg Settings - 2in &amp; Larger 3820/3830 (33-382)</v>
          </cell>
          <cell r="K805" t="str">
            <v>Approved by: Michael Fornelli on 08/19/2015,  Will install a prefab setting for a 5M rotary meter. Will use a 2" flanged Cl-34-1 regulator with 3/8" orifice, orange closing spring, &amp; yellow/white pilot spring to deliver 2 psig to the customer. Will use 1" Fisher 289 relief set at 4 psig for overpressure protection. Based on the investment allowance, there will be no charg to the customer. System 0824-S-3  MAOP=30 PSIG  MOP=30 PSIG</v>
          </cell>
          <cell r="L805">
            <v>42235</v>
          </cell>
          <cell r="M805">
            <v>42461</v>
          </cell>
          <cell r="N805">
            <v>42496.433703703697</v>
          </cell>
          <cell r="O805">
            <v>42430</v>
          </cell>
          <cell r="P805" t="str">
            <v>0824-066011  NEWTON CTY/NEOSHO TWP</v>
          </cell>
          <cell r="Q805">
            <v>3756.91</v>
          </cell>
          <cell r="R805">
            <v>-4</v>
          </cell>
        </row>
        <row r="806">
          <cell r="A806" t="str">
            <v>003919</v>
          </cell>
          <cell r="B806" t="str">
            <v>LDC 2</v>
          </cell>
          <cell r="D806" t="str">
            <v>no</v>
          </cell>
          <cell r="E806" t="str">
            <v>20825143333</v>
          </cell>
          <cell r="F806" t="str">
            <v>F0523</v>
          </cell>
          <cell r="G806" t="str">
            <v>New Main Extensions (SW)</v>
          </cell>
          <cell r="H806" t="str">
            <v>Snooks Rd Lay 400'-4 in PE Main ext</v>
          </cell>
          <cell r="I806" t="str">
            <v>posted to CPR</v>
          </cell>
          <cell r="J806" t="str">
            <v>Snooks Rd Lay 400'-4 in PE Main ext: Exeter: Glenda and Snooks</v>
          </cell>
          <cell r="K806" t="str">
            <v>Approved by: Galen Shoemaker on 02/06/2014,  Lay 400 ft of 4 in Platic Main to serve two existing chicken houses at Beagle Poultry Farm. Load is 1,920,000 BTU but may increase in the future. MOP=15# MAOP=15# TEST=100# SYSTEM=S-1</v>
          </cell>
          <cell r="L806">
            <v>41689</v>
          </cell>
          <cell r="M806">
            <v>41729</v>
          </cell>
          <cell r="N806">
            <v>41733.495601851901</v>
          </cell>
          <cell r="O806">
            <v>41730</v>
          </cell>
          <cell r="P806" t="str">
            <v>0825-005014  BARRY CTY/EXETER</v>
          </cell>
          <cell r="Q806">
            <v>4333.13</v>
          </cell>
          <cell r="R806">
            <v>121</v>
          </cell>
        </row>
        <row r="807">
          <cell r="A807" t="str">
            <v>013073</v>
          </cell>
          <cell r="B807" t="str">
            <v>LDC 2</v>
          </cell>
          <cell r="D807" t="str">
            <v>no</v>
          </cell>
          <cell r="F807" t="str">
            <v>F0644</v>
          </cell>
          <cell r="G807" t="str">
            <v>Meter &amp; Reg Settings 2" &amp; Lg (S)</v>
          </cell>
          <cell r="H807" t="str">
            <v>Cable Dahmer Kia Meter Set</v>
          </cell>
          <cell r="I807" t="str">
            <v>open</v>
          </cell>
          <cell r="J807" t="str">
            <v>Install a new 5M Rotary Meter Set to serve one new commercial customer - 400 NE Colbern Rd</v>
          </cell>
          <cell r="P807" t="str">
            <v>0901-043021  JACKSON CTY/LEE'S SUMMIT OFFIC</v>
          </cell>
          <cell r="Q807">
            <v>2021.31</v>
          </cell>
          <cell r="R807">
            <v>-73</v>
          </cell>
        </row>
        <row r="808">
          <cell r="A808" t="str">
            <v>800832</v>
          </cell>
          <cell r="B808" t="str">
            <v>LDC 2</v>
          </cell>
          <cell r="D808" t="str">
            <v>no</v>
          </cell>
          <cell r="F808" t="str">
            <v>F0673</v>
          </cell>
          <cell r="G808" t="str">
            <v>New Main Extensions (S)</v>
          </cell>
          <cell r="H808" t="str">
            <v>Install 2145F 2-4P Napa Valley 2</v>
          </cell>
          <cell r="I808" t="str">
            <v>in service</v>
          </cell>
          <cell r="J808" t="str">
            <v>Install ~1320 Ft of 2" PL IP Main, ~825 Ft of 4" PL IP Main.</v>
          </cell>
          <cell r="K808" t="str">
            <v>Phase 2 Subdivision. 27 Residential lots, Single Family Detached.  (Lots 89-115).  This is a new business project to serve 27 lots in a new subdivision.</v>
          </cell>
          <cell r="L808">
            <v>42705</v>
          </cell>
          <cell r="O808">
            <v>42705</v>
          </cell>
          <cell r="P808" t="str">
            <v>0901-043021  JACKSON CTY/LEE'S SUMMIT OFFIC</v>
          </cell>
          <cell r="Q808">
            <v>25519.360000000001</v>
          </cell>
          <cell r="R808">
            <v>-5720</v>
          </cell>
        </row>
        <row r="809">
          <cell r="A809" t="str">
            <v>003976</v>
          </cell>
          <cell r="B809" t="str">
            <v>LDC 2</v>
          </cell>
          <cell r="D809" t="str">
            <v>yes</v>
          </cell>
          <cell r="E809" t="str">
            <v>20901050361</v>
          </cell>
          <cell r="F809" t="str">
            <v>F0515</v>
          </cell>
          <cell r="G809" t="str">
            <v>SLRP - modified block by block - co</v>
          </cell>
          <cell r="H809" t="str">
            <v>BWO SERVICE LINE REPL MODIFIED BLOC</v>
          </cell>
          <cell r="I809" t="str">
            <v>open</v>
          </cell>
          <cell r="J809" t="str">
            <v>BWO SERVICE LINE REPL MODIFIED BLOCK COMP</v>
          </cell>
          <cell r="K809" t="str">
            <v>Service/Yard Line Replacement (SLRP): Company Crew.  Modified Block by Block - Planned replacement of all unprotected steel or copper in a single block.  (Lee's Summit - East Region)</v>
          </cell>
          <cell r="O809">
            <v>41730</v>
          </cell>
          <cell r="P809" t="str">
            <v>0901-043021  JACKSON CTY/LEE'S SUMMIT OFFIC</v>
          </cell>
          <cell r="Q809">
            <v>1571785.94</v>
          </cell>
          <cell r="R809">
            <v>15567.25</v>
          </cell>
        </row>
        <row r="810">
          <cell r="A810" t="str">
            <v>008361</v>
          </cell>
          <cell r="B810" t="str">
            <v>LDC 2</v>
          </cell>
          <cell r="D810" t="str">
            <v>yes</v>
          </cell>
          <cell r="E810" t="str">
            <v>21251155311</v>
          </cell>
          <cell r="F810" t="str">
            <v>F0636</v>
          </cell>
          <cell r="G810" t="str">
            <v>Replace steel &amp; plastic main</v>
          </cell>
          <cell r="H810" t="str">
            <v>Replace 4in PE with 2in PE at 74 an</v>
          </cell>
          <cell r="I810" t="str">
            <v>posted to CPR</v>
          </cell>
          <cell r="J810" t="str">
            <v>Replace 4in PE with 2in PE at 74 and Mace: Kansas City-Platte Co: Replace Coated Steel &amp; Plastic Main - 3760 (34-396)</v>
          </cell>
          <cell r="K810" t="str">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ell>
          <cell r="L810">
            <v>41932</v>
          </cell>
          <cell r="M810">
            <v>42429</v>
          </cell>
          <cell r="N810">
            <v>42527.511898148099</v>
          </cell>
          <cell r="O810">
            <v>42339</v>
          </cell>
          <cell r="P810" t="str">
            <v>1251-075010  PLATTE CTY/KANSAS CITY NORTH</v>
          </cell>
          <cell r="Q810">
            <v>2450.0300000000002</v>
          </cell>
          <cell r="R810">
            <v>-372</v>
          </cell>
        </row>
        <row r="811">
          <cell r="A811" t="str">
            <v>004335</v>
          </cell>
          <cell r="B811" t="str">
            <v>LDC 2</v>
          </cell>
          <cell r="D811" t="str">
            <v>no</v>
          </cell>
          <cell r="E811" t="str">
            <v>21258132965</v>
          </cell>
          <cell r="F811" t="str">
            <v>F0658</v>
          </cell>
          <cell r="G811" t="str">
            <v>Services -  2" &amp; larger</v>
          </cell>
          <cell r="H811" t="str">
            <v>YANFENG/TRIM-4IN SERVICE LINE</v>
          </cell>
          <cell r="I811" t="str">
            <v>posted to CPR</v>
          </cell>
          <cell r="J811" t="str">
            <v>YANFENG/TRIM-4IN SERVICE LINE: Riverside: 4110 NW HELENA RD</v>
          </cell>
          <cell r="K811" t="str">
            <v>Approved by: Kevin Driskell on 09/25/2013,  LAYING 63FT-4IN SERVICELINE FOR NEW COMMERCIAL BUILDING. TIE-IN 4IN MAIN WO#13-2647). LOAD (19,395 CFH). ECONOMIC EVALUATION WILL COVER COST OF PROJECT.</v>
          </cell>
          <cell r="L811">
            <v>41591</v>
          </cell>
          <cell r="M811">
            <v>41652</v>
          </cell>
          <cell r="N811">
            <v>41654.604085648098</v>
          </cell>
          <cell r="O811">
            <v>41730</v>
          </cell>
          <cell r="P811" t="str">
            <v>1258-075017  PLATTE CTY/RIVERSIDE</v>
          </cell>
          <cell r="Q811">
            <v>4410.83</v>
          </cell>
          <cell r="R811">
            <v>1476.5</v>
          </cell>
        </row>
        <row r="812">
          <cell r="A812" t="str">
            <v>800138</v>
          </cell>
          <cell r="B812" t="str">
            <v>LDC 2</v>
          </cell>
          <cell r="C812" t="str">
            <v>03 - Bare Steel Replacement</v>
          </cell>
          <cell r="D812" t="str">
            <v>yes</v>
          </cell>
          <cell r="F812" t="str">
            <v>F0599</v>
          </cell>
          <cell r="G812" t="str">
            <v>Main Replacement - ISRS (N)</v>
          </cell>
          <cell r="H812" t="str">
            <v>St. Joe's South Phase 1D - MGE</v>
          </cell>
          <cell r="I812" t="str">
            <v>in service</v>
          </cell>
          <cell r="J812" t="str">
            <v>Install 1895 Ft of 2 in PL IP main for St Joseph Grid Phase 1C. Abandon 90 Ft of 2 in PBS IP, 1842 Ft of 2 in PBS LP, 42 Ft of 2 in PCS LP, and 36 Ft of 2 in PL LP main.</v>
          </cell>
          <cell r="K812" t="str">
            <v>Uprate ~225' of 2'' PL LP main to IP on Vassar St.
Total Service Estimate: 22 Service Tie-Overs, 1 Service Replacement, 1 Service Abandonment, and 2 Service Upgrades.
Main is being replaced as part of the FY 2016 Bare Steel Main Replacement Program.</v>
          </cell>
          <cell r="L812">
            <v>42660</v>
          </cell>
          <cell r="O812">
            <v>42644</v>
          </cell>
          <cell r="P812" t="str">
            <v>1001-010001  ST. JOSEPH CITY/BUCHANAN</v>
          </cell>
          <cell r="Q812">
            <v>122835.51</v>
          </cell>
          <cell r="R812">
            <v>-646.49</v>
          </cell>
        </row>
        <row r="813">
          <cell r="A813" t="str">
            <v>006195</v>
          </cell>
          <cell r="B813" t="str">
            <v>LDC 2</v>
          </cell>
          <cell r="D813" t="str">
            <v>no</v>
          </cell>
          <cell r="E813" t="str">
            <v>20603143770</v>
          </cell>
          <cell r="F813" t="str">
            <v>F0575</v>
          </cell>
          <cell r="G813" t="str">
            <v>Replace steel &amp; plastic main</v>
          </cell>
          <cell r="H813" t="str">
            <v>Abandon 96ft of 2in PCS</v>
          </cell>
          <cell r="I813" t="str">
            <v>posted to CPR</v>
          </cell>
          <cell r="J813" t="str">
            <v>Abandon 96ft of 2in PCS: Lamar: Replace Coated Steel &amp; Plastic Main - 3760 (34-396)</v>
          </cell>
          <cell r="K813" t="str">
            <v>Approved by: Galen Shoemaker on 08/28/2014,  Abandon 96' of 2" PCS due to shallow main that did not serve anything and conflicted with sewer project.  Project Location: 11th St E of Truman Ave.  System: C-001.  MOP: 12 PSIG.  MAOP: 12 PSIG.  Design: 58 PSIG.  Test: 100 PSIG.</v>
          </cell>
          <cell r="L813">
            <v>41853</v>
          </cell>
          <cell r="M813">
            <v>42248</v>
          </cell>
          <cell r="N813">
            <v>42377.350729166697</v>
          </cell>
          <cell r="O813">
            <v>42339</v>
          </cell>
          <cell r="P813" t="str">
            <v>0603-006001  BARTON CTY/LAMAR</v>
          </cell>
          <cell r="Q813">
            <v>1996.68</v>
          </cell>
          <cell r="R813">
            <v>107</v>
          </cell>
        </row>
        <row r="814">
          <cell r="A814" t="str">
            <v>003915</v>
          </cell>
          <cell r="B814" t="str">
            <v>LDC 2</v>
          </cell>
          <cell r="D814" t="str">
            <v>yes</v>
          </cell>
          <cell r="E814" t="str">
            <v>21001133194</v>
          </cell>
          <cell r="F814" t="str">
            <v>F0600</v>
          </cell>
          <cell r="G814" t="str">
            <v>Station Rebuild &amp; Repl ISRS (N)</v>
          </cell>
          <cell r="H814" t="str">
            <v>Gene Field Rebuild DRS 177</v>
          </cell>
          <cell r="I814" t="str">
            <v>in service</v>
          </cell>
          <cell r="J814" t="str">
            <v>Gene Field Rebuild DRS 177 : St Joseph: Gene Field and North Belt</v>
          </cell>
          <cell r="K814" t="str">
            <v>Approved by: Gary Williams on 01/06/2014,  Work Order recq'd to rebuild DRS due to vehicle accident damaging old DRS#177 located at Gene Field &amp; North Belt In St Joe.</v>
          </cell>
          <cell r="L814">
            <v>41699</v>
          </cell>
          <cell r="O814">
            <v>42186</v>
          </cell>
          <cell r="P814" t="str">
            <v>1001-010001  ST. JOSEPH CITY/BUCHANAN</v>
          </cell>
          <cell r="Q814">
            <v>474.37</v>
          </cell>
          <cell r="R814">
            <v>120</v>
          </cell>
        </row>
        <row r="815">
          <cell r="A815" t="str">
            <v>004376</v>
          </cell>
          <cell r="B815" t="str">
            <v>LDC 2</v>
          </cell>
          <cell r="D815" t="str">
            <v>yes</v>
          </cell>
          <cell r="E815" t="str">
            <v>21001143303</v>
          </cell>
          <cell r="F815" t="str">
            <v>F0504</v>
          </cell>
          <cell r="G815" t="str">
            <v>Replace bare steel main - safety re</v>
          </cell>
          <cell r="H815" t="str">
            <v>9th &amp; Ridenbaugh Repl B/CS w 558'-4</v>
          </cell>
          <cell r="I815" t="str">
            <v>posted to CPR</v>
          </cell>
          <cell r="J815" t="str">
            <v>9th &amp; Ridenbaugh Repl B/CS w 558'-4;180'-2in PE ma: St Joseph: 9TH &amp; RIDENBAUGH</v>
          </cell>
          <cell r="K815" t="str">
            <v>Approved by: Gary Williams on 03/17/2014,  To lay 558' of 4"PE main to replace 558' of 4" bare steel main due to down project. Also replace 180'of 2" cs with 2"PE. Cost per foot:$34.36. ID:C-O1: MOP :14oz MAOP:21oz Design MAOP:14oz Pressure Test: 100 PSIG.</v>
          </cell>
          <cell r="L815">
            <v>41753</v>
          </cell>
          <cell r="M815">
            <v>41821</v>
          </cell>
          <cell r="N815">
            <v>41858.746990740699</v>
          </cell>
          <cell r="O815">
            <v>41730</v>
          </cell>
          <cell r="P815" t="str">
            <v>1001-010001  ST. JOSEPH CITY/BUCHANAN</v>
          </cell>
          <cell r="Q815">
            <v>29520.400000000001</v>
          </cell>
          <cell r="R815">
            <v>-937</v>
          </cell>
        </row>
        <row r="816">
          <cell r="A816" t="str">
            <v>004367</v>
          </cell>
          <cell r="B816" t="str">
            <v>LDC 2</v>
          </cell>
          <cell r="D816" t="str">
            <v>no</v>
          </cell>
          <cell r="E816" t="str">
            <v>21202132809</v>
          </cell>
          <cell r="F816" t="str">
            <v>F0542</v>
          </cell>
          <cell r="G816" t="str">
            <v>New District Regulator Stations (N)</v>
          </cell>
          <cell r="H816" t="str">
            <v>138th &amp; Eastern New DRS 755</v>
          </cell>
          <cell r="I816" t="str">
            <v>posted to CPR</v>
          </cell>
          <cell r="J816" t="str">
            <v>138th &amp; Eastern New DRS 755: Smithville: 138th St and Eastern rd, Smithville</v>
          </cell>
          <cell r="K816" t="str">
            <v>Approved by: Kevin Driskell on 08/02/2013,  New reg station will be placed along 138th st and eastern rd. Coordinate all work with Tom McGill of P&amp;M. WO goes with WO 13-2808 . Inlet 2in PCS system S-031, MOP 80 PSIG, MAOP 100 PSIG, DESIGN 100 PSIG, TEST 100 PSIG. Outlet 2in PCS system S-755, MOP 25 PSIG, MAOP 25 PSIG, DESIGN 58 PSIG, TEST 100 PSIG. Two 627M regulators.</v>
          </cell>
          <cell r="L816">
            <v>41913</v>
          </cell>
          <cell r="M816">
            <v>42216</v>
          </cell>
          <cell r="N816">
            <v>42496.433657407397</v>
          </cell>
          <cell r="O816">
            <v>41913</v>
          </cell>
          <cell r="P816" t="str">
            <v>1202-020006  CLAY CTY/SMITHVILLE</v>
          </cell>
          <cell r="Q816">
            <v>3451.25</v>
          </cell>
          <cell r="R816">
            <v>146.69999999999999</v>
          </cell>
        </row>
        <row r="817">
          <cell r="A817" t="str">
            <v>800045</v>
          </cell>
          <cell r="B817" t="str">
            <v>LDC 2</v>
          </cell>
          <cell r="C817" t="str">
            <v>03 - Bare Steel Replacement</v>
          </cell>
          <cell r="D817" t="str">
            <v>yes</v>
          </cell>
          <cell r="F817" t="str">
            <v>F0599</v>
          </cell>
          <cell r="G817" t="str">
            <v>Main Replacement - ISRS (N)</v>
          </cell>
          <cell r="H817" t="str">
            <v>Liberty - Grid Phase A</v>
          </cell>
          <cell r="I817" t="str">
            <v>in service</v>
          </cell>
          <cell r="J817" t="str">
            <v>Install 5130’ of 2’’ PL IP Main - Liberty Grid Ph A . Abandon 595’ of 3’’ and 1209’ of 4’’ PBS, 2339’ of 4’’ and 90’ of 6’’ PCS (Majority installed Prior to 1966),260’ of 1-1/4’’ and 100’ of 2’’ PL LP main. Uprate 2866’ of 2’’ PL LP main to IP.</v>
          </cell>
          <cell r="K817" t="str">
            <v>Main is being replaced as part of the FY 2016 Bare Steel Main Replacement Program.</v>
          </cell>
          <cell r="L817">
            <v>42613</v>
          </cell>
          <cell r="O817">
            <v>42644</v>
          </cell>
          <cell r="P817" t="str">
            <v>1207-020001  CLAY CTY/LIBERTY</v>
          </cell>
          <cell r="Q817">
            <v>528067.07999999996</v>
          </cell>
          <cell r="R817">
            <v>-5283.5</v>
          </cell>
        </row>
        <row r="818">
          <cell r="A818" t="str">
            <v>008895</v>
          </cell>
          <cell r="B818" t="str">
            <v>LDC 2</v>
          </cell>
          <cell r="D818" t="str">
            <v>yes</v>
          </cell>
          <cell r="E818" t="str">
            <v>21215155377</v>
          </cell>
          <cell r="F818" t="str">
            <v>F0547</v>
          </cell>
          <cell r="G818" t="str">
            <v>Street &amp; Highway Relocates ISRS (N)</v>
          </cell>
          <cell r="H818" t="str">
            <v>Gas Main Relocation</v>
          </cell>
          <cell r="I818" t="str">
            <v>posted to CPR</v>
          </cell>
          <cell r="J818" t="str">
            <v>Gas Main Relocation: Kearney: Relocate for Street &amp; Highway-Public Improvements (44-388)</v>
          </cell>
          <cell r="K818" t="str">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ell>
          <cell r="L818">
            <v>42270</v>
          </cell>
          <cell r="M818">
            <v>42429</v>
          </cell>
          <cell r="N818">
            <v>42527.512557870403</v>
          </cell>
          <cell r="O818">
            <v>42278</v>
          </cell>
          <cell r="P818" t="str">
            <v>1215-020023  CLAY CTY/KEARNEY</v>
          </cell>
          <cell r="Q818">
            <v>146411.9</v>
          </cell>
          <cell r="R818">
            <v>-6453</v>
          </cell>
        </row>
        <row r="819">
          <cell r="A819" t="str">
            <v>007196</v>
          </cell>
          <cell r="B819" t="str">
            <v>LDC 2</v>
          </cell>
          <cell r="D819" t="str">
            <v>no</v>
          </cell>
          <cell r="E819" t="str">
            <v>20101144020</v>
          </cell>
          <cell r="F819" t="str">
            <v>F0620</v>
          </cell>
          <cell r="G819" t="str">
            <v>32-399-420-METERS</v>
          </cell>
          <cell r="H819" t="str">
            <v>Purchase New Rotary Meters July 201</v>
          </cell>
          <cell r="I819" t="str">
            <v>posted to CPR</v>
          </cell>
          <cell r="J819" t="str">
            <v>Purchase New Rotary Meters July 2015: Kansas City CORP: Purchase of Rotary Meters  3810 (32-399). Purchase 1 size 38M, 5 size 7M, 20 size 5M, and 20 size 3M.</v>
          </cell>
          <cell r="K819" t="str">
            <v>Approved by: Steve Holcomb on 12/08/2014,  Replacements and new sets.</v>
          </cell>
          <cell r="L819">
            <v>42125</v>
          </cell>
          <cell r="M819">
            <v>42461</v>
          </cell>
          <cell r="N819">
            <v>42496.560150463003</v>
          </cell>
          <cell r="O819">
            <v>42156</v>
          </cell>
          <cell r="P819" t="str">
            <v>1904-043050  JACKSON CTY/KC</v>
          </cell>
          <cell r="Q819">
            <v>66487.83</v>
          </cell>
          <cell r="R819">
            <v>47</v>
          </cell>
        </row>
        <row r="820">
          <cell r="A820" t="str">
            <v>006733</v>
          </cell>
          <cell r="B820" t="str">
            <v>LDC 2</v>
          </cell>
          <cell r="D820" t="str">
            <v>no</v>
          </cell>
          <cell r="E820" t="str">
            <v>20101143889</v>
          </cell>
          <cell r="F820" t="str">
            <v>F0529</v>
          </cell>
          <cell r="G820" t="str">
            <v>Meter Purchases - MGE</v>
          </cell>
          <cell r="H820" t="str">
            <v>Pur 2000 I-250 Itron Mtrs Feb 2015</v>
          </cell>
          <cell r="I820" t="str">
            <v>posted to CPR</v>
          </cell>
          <cell r="J820" t="str">
            <v>Pur 2000 I-250 Itron Mtrs Feb 2015 : Kansas City CORP: Purchase Domestic Diaphragm  Meters - 3810 (32-398)</v>
          </cell>
          <cell r="K820" t="str">
            <v>Approved by: Steve Holcomb on 10/17/2014,  Purchase 2000 I-250 Itron Meters 0940605 with Sprague Ert attached for Timew Limit Program 2015.   
Complete per 3-15 meter report - AMM</v>
          </cell>
          <cell r="L820">
            <v>42064</v>
          </cell>
          <cell r="M820">
            <v>42186</v>
          </cell>
          <cell r="N820">
            <v>42223.566550925898</v>
          </cell>
          <cell r="O820">
            <v>42125</v>
          </cell>
          <cell r="P820" t="str">
            <v>1904-043050  JACKSON CTY/KC</v>
          </cell>
          <cell r="Q820">
            <v>187756.87</v>
          </cell>
          <cell r="R820">
            <v>2000</v>
          </cell>
        </row>
        <row r="821">
          <cell r="A821" t="str">
            <v>003882</v>
          </cell>
          <cell r="B821" t="str">
            <v>LDC 2</v>
          </cell>
          <cell r="D821" t="str">
            <v>no</v>
          </cell>
          <cell r="E821" t="str">
            <v>21904133080</v>
          </cell>
          <cell r="F821" t="str">
            <v>F0529</v>
          </cell>
          <cell r="G821" t="str">
            <v>Meter Purchases - MGE</v>
          </cell>
          <cell r="H821" t="str">
            <v>Pur 400 ,600, 800 and 1000 Class Me</v>
          </cell>
          <cell r="I821" t="str">
            <v>posted to CPR</v>
          </cell>
          <cell r="J821" t="str">
            <v>Pur 400 ,600, 800 and 1000 Class Meters : Kansas City CORP: Central Plant Meter Shop</v>
          </cell>
          <cell r="K821" t="str">
            <v>Approved by: Steve Lindsey on 11/18/2013,  Purchase AL-425TC (0503113)AC630TC (0503120)AL800TC (0503127)and AL1000TC (0503131) for 2014 stock.</v>
          </cell>
          <cell r="L821">
            <v>41641</v>
          </cell>
          <cell r="M821">
            <v>41944</v>
          </cell>
          <cell r="N821">
            <v>41978.5925347222</v>
          </cell>
          <cell r="O821">
            <v>41883</v>
          </cell>
          <cell r="P821" t="str">
            <v>1904-043050  JACKSON CTY/KC</v>
          </cell>
          <cell r="Q821">
            <v>144906.51999999999</v>
          </cell>
          <cell r="R821">
            <v>1784</v>
          </cell>
        </row>
        <row r="822">
          <cell r="A822" t="str">
            <v>004249</v>
          </cell>
          <cell r="B822" t="str">
            <v>LDC 2</v>
          </cell>
          <cell r="D822" t="str">
            <v>no</v>
          </cell>
          <cell r="E822" t="str">
            <v>21904143400</v>
          </cell>
          <cell r="F822" t="str">
            <v>F0529</v>
          </cell>
          <cell r="G822" t="str">
            <v>Meter Purchases - MGE</v>
          </cell>
          <cell r="H822" t="str">
            <v>Pur 2000 I-250 Spg Mtr / Ert  Augus</v>
          </cell>
          <cell r="I822" t="str">
            <v>posted to CPR</v>
          </cell>
          <cell r="J822" t="str">
            <v>Pur 2000 I-250 Spg Mtr / Ert  August 2014: Kansas City CORP: Central Plant Meter Shop</v>
          </cell>
          <cell r="K822" t="str">
            <v>Approved by: Steve Lindsey on 03/18/2014,  Purchase 2000 I-250 Non TC Sprague/Itron Meter 0940605 with Sprague Ert attached 5198320 for stock and Time Limit Program.</v>
          </cell>
          <cell r="L822">
            <v>41733</v>
          </cell>
          <cell r="M822">
            <v>41944</v>
          </cell>
          <cell r="N822">
            <v>41978.5932060185</v>
          </cell>
          <cell r="O822">
            <v>41883</v>
          </cell>
          <cell r="P822" t="str">
            <v>1904-043050  JACKSON CTY/KC</v>
          </cell>
          <cell r="Q822">
            <v>185133.06</v>
          </cell>
          <cell r="R822">
            <v>2000</v>
          </cell>
        </row>
        <row r="823">
          <cell r="A823" t="str">
            <v>008404</v>
          </cell>
          <cell r="B823" t="str">
            <v>LDC 2</v>
          </cell>
          <cell r="D823" t="str">
            <v>no</v>
          </cell>
          <cell r="E823" t="str">
            <v>21271155323</v>
          </cell>
          <cell r="F823" t="str">
            <v>F0639</v>
          </cell>
          <cell r="G823" t="str">
            <v>EGM Equip-1st Time Installation</v>
          </cell>
          <cell r="H823" t="str">
            <v>EGM - Northland LTACH, LLC - KCMO</v>
          </cell>
          <cell r="I823" t="str">
            <v>in service</v>
          </cell>
          <cell r="J823" t="str">
            <v>EGM - Northland LTACH, LLC - KCMO: Kansas City-Clay Co: Install EGM Equipment - First Time Installation  3850 (32-403)</v>
          </cell>
          <cell r="K823" t="str">
            <v>Approved by: Gary Williams on 05/11/2015,  Install Mercury MiniMax-AT-PT (S/N: 13098676) with CNI-2 (S/N: 13134889) on Roots 7M meter no 08596779 to monitor daily gas usage of this transportation customer. Customer will reimburse company actual cost for EGM installation not to exceed $5,445.00, which should be coded to account 1072. ATTENTION: Plant &amp; Property Accounting, EGM work order, turn off A&amp;G indicator.</v>
          </cell>
          <cell r="L823">
            <v>42443</v>
          </cell>
          <cell r="O823">
            <v>42675</v>
          </cell>
          <cell r="P823" t="str">
            <v>1271-020036  CLAY CTY/KANSAS CITY</v>
          </cell>
          <cell r="Q823">
            <v>2479.64</v>
          </cell>
          <cell r="R823">
            <v>8</v>
          </cell>
        </row>
        <row r="824">
          <cell r="A824" t="str">
            <v>008237</v>
          </cell>
          <cell r="B824" t="str">
            <v>LDC 2</v>
          </cell>
          <cell r="D824" t="str">
            <v>no</v>
          </cell>
          <cell r="E824" t="str">
            <v>21271143876</v>
          </cell>
          <cell r="F824" t="str">
            <v>F0610</v>
          </cell>
          <cell r="G824" t="str">
            <v>New business</v>
          </cell>
          <cell r="H824" t="str">
            <v>Kellybrook 5th Plat Main Ext</v>
          </cell>
          <cell r="I824" t="str">
            <v>posted to CPR</v>
          </cell>
          <cell r="J824" t="str">
            <v>Kellybrook 5th Plat: Kansas City-Clay Co: New Main Extension - Contractor Crews  3760 (33-380) MEA 1271-4512</v>
          </cell>
          <cell r="K824" t="str">
            <v>Approved by: Joe Hampton on 04/07/2015,  Laying 1,555' of 2" PE main and 2,398' of 4" PE main to serve Kellybrook Subdivision with 62 lots. Lots 219-280. 3,954'x$8.50= $33,609.  Check for $33,609 and MEA contract rec'd 4-21-15.</v>
          </cell>
          <cell r="L824">
            <v>42319</v>
          </cell>
          <cell r="M824">
            <v>42461</v>
          </cell>
          <cell r="N824">
            <v>42496.560486111099</v>
          </cell>
          <cell r="O824">
            <v>42339</v>
          </cell>
          <cell r="P824" t="str">
            <v>1271-020036  CLAY CTY/KANSAS CITY</v>
          </cell>
          <cell r="Q824">
            <v>70149.27</v>
          </cell>
          <cell r="R824">
            <v>-10519</v>
          </cell>
        </row>
        <row r="825">
          <cell r="A825" t="str">
            <v>005295</v>
          </cell>
          <cell r="B825" t="str">
            <v>LDC 2</v>
          </cell>
          <cell r="D825" t="str">
            <v>yes</v>
          </cell>
          <cell r="E825" t="str">
            <v>21271143517</v>
          </cell>
          <cell r="F825" t="str">
            <v>F0663</v>
          </cell>
          <cell r="G825" t="str">
            <v>Replace bare steel main - safety re</v>
          </cell>
          <cell r="H825" t="str">
            <v>39th &amp; N Spruce Repl PBS w 2400'-2i</v>
          </cell>
          <cell r="I825" t="str">
            <v>posted to CPR</v>
          </cell>
          <cell r="J825" t="str">
            <v>39th &amp; N Spruce Repl PBS w 2400'-2in PE main: Kansas City-Clay Co: Replace Bare Steel Main - 3760 Safety Related (34-394)</v>
          </cell>
          <cell r="K825" t="str">
            <v>Approved by: Steve Holcomb on 05/14/2014,  Purpose of this project is to replace 2'' PBS with 2'' PE due to leaks - 5/5/3. Service tie overs 44. Pressure System - C-006. MOP 35 psig. MAOP - 35 psig. Retire  BS  2in  505'  1949  I3446; BS  2in  1130' 1950  I3531;BS  2in  515' 1948  I3385;BS  2in  290' 1953  UNKNOWN.</v>
          </cell>
          <cell r="L825">
            <v>41967</v>
          </cell>
          <cell r="M825">
            <v>42004</v>
          </cell>
          <cell r="N825">
            <v>42100.701747685198</v>
          </cell>
          <cell r="O825">
            <v>41974</v>
          </cell>
          <cell r="P825" t="str">
            <v>1271-020036  CLAY CTY/KANSAS CITY</v>
          </cell>
          <cell r="Q825">
            <v>89811.46</v>
          </cell>
          <cell r="R825">
            <v>-2508</v>
          </cell>
        </row>
        <row r="826">
          <cell r="A826" t="str">
            <v>004568</v>
          </cell>
          <cell r="B826" t="str">
            <v>LDC 2</v>
          </cell>
          <cell r="D826" t="str">
            <v>no</v>
          </cell>
          <cell r="E826" t="str">
            <v>21271132917</v>
          </cell>
          <cell r="F826" t="str">
            <v>F0610</v>
          </cell>
          <cell r="G826" t="str">
            <v>New business</v>
          </cell>
          <cell r="H826" t="str">
            <v>NE 95th &amp; N Kensington Lay 941'-2in</v>
          </cell>
          <cell r="I826" t="str">
            <v>posted to CPR</v>
          </cell>
          <cell r="J826" t="str">
            <v>NE 95th &amp; N Kensington Lay 941'-2in PE main ext: Kansas City-Clay Co: N KENSINGTON AVE &amp; NE 95TH ST NORTHVIEW-8</v>
          </cell>
          <cell r="K826" t="str">
            <v>Approved by: Gary Williams on 11/25/2013,  LAYING 941'-2" PE MAIN TO SERVE LOTS 234-251, 18 METERS IN SUBDIVISION.  TIE INTO EXIST. 2" &amp; 4" PLEXCO (06-1219) ON EAST SIDE OF N KENSINGTON AVE.  ROCK FOUND IN ADJACENT PLAT; NORTHVIEW-6 W.O.#06-1219. ONE WAY FEED.  COST PER FOOT=$30.63  DEVELOPER TO CONTRIBUTE $7,998.50 BEFORE START OF PROJECT.</v>
          </cell>
          <cell r="L826">
            <v>41639</v>
          </cell>
          <cell r="M826">
            <v>41698</v>
          </cell>
          <cell r="N826">
            <v>41704.7116550926</v>
          </cell>
          <cell r="O826">
            <v>41730</v>
          </cell>
          <cell r="P826" t="str">
            <v>1271-020036  CLAY CTY/KANSAS CITY</v>
          </cell>
          <cell r="Q826">
            <v>7385.51</v>
          </cell>
          <cell r="R826">
            <v>2506</v>
          </cell>
        </row>
        <row r="827">
          <cell r="A827" t="str">
            <v>003847</v>
          </cell>
          <cell r="B827" t="str">
            <v>LDC 2</v>
          </cell>
          <cell r="D827" t="str">
            <v>yes</v>
          </cell>
          <cell r="E827" t="str">
            <v>21271121320</v>
          </cell>
          <cell r="F827" t="str">
            <v>F0498</v>
          </cell>
          <cell r="G827" t="str">
            <v>Other relocates</v>
          </cell>
          <cell r="H827" t="str">
            <v>Flintlock Road Overpass</v>
          </cell>
          <cell r="I827" t="str">
            <v>posted to CPR</v>
          </cell>
          <cell r="J827" t="str">
            <v>Flintlock Road Overpass: Kansas City-Clay Co: Flintlock Road and NE 76th Street</v>
          </cell>
          <cell r="K827" t="str">
            <v>Approved by: Rob Hack on 12/06/2012,  (ISRS)  Relocate 1583' - 8in CS and 490' - 4in PE due to public improvement project.  A temporary line will be installed until fill has been placed at the intersection of Flintlock and 76th.  See installation details in work packet.  Contact Chris Collins 1-2 weeks prior to start of work to schedule staking with SKW.  MODOT is reimbursing a portion of the project since the 8in CS is in an easement.  WO 12-1698 (system reinforcement) must be completed prior to start of this project, so the 4in PE on Flintlock will have a loop feed.  COST PER FOOT $90.19</v>
          </cell>
          <cell r="L827">
            <v>41524</v>
          </cell>
          <cell r="M827">
            <v>41638</v>
          </cell>
          <cell r="N827">
            <v>41643.435185185197</v>
          </cell>
          <cell r="P827" t="str">
            <v>1271-020036  CLAY CTY/KANSAS CITY</v>
          </cell>
          <cell r="Q827">
            <v>38147.949999999997</v>
          </cell>
          <cell r="R827">
            <v>2896.3</v>
          </cell>
        </row>
        <row r="828">
          <cell r="A828" t="str">
            <v>005111</v>
          </cell>
          <cell r="B828" t="str">
            <v>LDC 2</v>
          </cell>
          <cell r="D828" t="str">
            <v>yes</v>
          </cell>
          <cell r="E828" t="str">
            <v>21001143464</v>
          </cell>
          <cell r="F828" t="str">
            <v>F0504</v>
          </cell>
          <cell r="G828" t="str">
            <v>Replace bare steel main - safety re</v>
          </cell>
          <cell r="H828" t="str">
            <v>16th &amp; Moss Repl PBS w 450'-4in PE</v>
          </cell>
          <cell r="I828" t="str">
            <v>posted to CPR</v>
          </cell>
          <cell r="J828" t="str">
            <v>16th &amp; Moss Repl PBS w 450'-4in PE main: St Joseph: Replace Bare Steel Main - 3760 Safety Related (34-394)</v>
          </cell>
          <cell r="K828" t="str">
            <v>Approved by: Gary Williams on 04/28/2014,  To lay 450' of 4"PE main to replace 450' of 4" bare steel main due to down project. Pressure System: C-O1: MOP : .88oz MAOP: .88oz Design MAOP: .88oz Pressure Test: 100 PSIG.</v>
          </cell>
          <cell r="L828">
            <v>41778</v>
          </cell>
          <cell r="M828">
            <v>41821</v>
          </cell>
          <cell r="N828">
            <v>41936.625798611101</v>
          </cell>
          <cell r="O828">
            <v>41760</v>
          </cell>
          <cell r="P828" t="str">
            <v>1001-010001  ST. JOSEPH CITY/BUCHANAN</v>
          </cell>
          <cell r="Q828">
            <v>1410.37</v>
          </cell>
          <cell r="R828">
            <v>1537</v>
          </cell>
        </row>
        <row r="829">
          <cell r="A829" t="str">
            <v>006990</v>
          </cell>
          <cell r="B829" t="str">
            <v>LDC 2</v>
          </cell>
          <cell r="D829" t="str">
            <v>yes</v>
          </cell>
          <cell r="E829" t="str">
            <v>20925143982</v>
          </cell>
          <cell r="F829" t="str">
            <v>F0606</v>
          </cell>
          <cell r="G829" t="str">
            <v>Station rebuild &amp; replacement</v>
          </cell>
          <cell r="H829" t="str">
            <v>Rebuild DRS 10 BB and Perry</v>
          </cell>
          <cell r="I829" t="str">
            <v>posted to CPR</v>
          </cell>
          <cell r="J829" t="str">
            <v>Rebuild DRS 10 BB and Perry: Grain Valley: Rebuild District/TB Stations  3780/3790 (45-387)</v>
          </cell>
          <cell r="K829" t="str">
            <v>Approved by: Ray Wilson on 11/24/2014,  Rebuild DRS 10 at BB Hwy and Perry. The existing reg station (WO# 92-7786)was hit by a car and bent, but not leaking. We will replace the inlet piping to relocate the DRS further east away from the highway on WO# 14-3983.</v>
          </cell>
          <cell r="L829">
            <v>42121</v>
          </cell>
          <cell r="M829">
            <v>42429</v>
          </cell>
          <cell r="N829">
            <v>42434.533668981501</v>
          </cell>
          <cell r="O829">
            <v>42125</v>
          </cell>
          <cell r="P829" t="str">
            <v>0925-043035  JACKSON CTY/GRAIN VALLEY</v>
          </cell>
          <cell r="Q829">
            <v>4169.49</v>
          </cell>
          <cell r="R829">
            <v>-55.5</v>
          </cell>
        </row>
        <row r="830">
          <cell r="A830" t="str">
            <v>800766</v>
          </cell>
          <cell r="B830" t="str">
            <v>LDC 2</v>
          </cell>
          <cell r="C830" t="str">
            <v>02 - Cast Iron AOR Replacement</v>
          </cell>
          <cell r="D830" t="str">
            <v>yes</v>
          </cell>
          <cell r="F830" t="str">
            <v>F0599</v>
          </cell>
          <cell r="G830" t="str">
            <v>Main Replacement - ISRS (N)</v>
          </cell>
          <cell r="H830" t="str">
            <v>Repl w 30F 4P Indiana &amp; 12th  AOR</v>
          </cell>
          <cell r="I830" t="str">
            <v>in service</v>
          </cell>
          <cell r="J830" t="str">
            <v>Install ~30 ft of 4 in PL LP main on 12th at Indiana due to exposed bell joint- AOR.  Retire ~30 ft of 4 in CI LP main on 12th at Indiana.  No services to tie-over or replace.</v>
          </cell>
          <cell r="K830" t="str">
            <v>Bell joint was exposed at 6 ft EWC of Indiana and 10 ft NSC of 12th Street.  This AOR has a compliance date of 11/29/2016.</v>
          </cell>
          <cell r="L830">
            <v>42698</v>
          </cell>
          <cell r="O830">
            <v>42705</v>
          </cell>
          <cell r="P830" t="str">
            <v>0401-043050  JACKSON CTY/KC</v>
          </cell>
          <cell r="Q830">
            <v>27854.75</v>
          </cell>
          <cell r="R830">
            <v>-532</v>
          </cell>
        </row>
        <row r="831">
          <cell r="A831" t="str">
            <v>011841</v>
          </cell>
          <cell r="B831" t="str">
            <v>LDC 2</v>
          </cell>
          <cell r="D831" t="str">
            <v>no</v>
          </cell>
          <cell r="F831" t="str">
            <v>F1091</v>
          </cell>
          <cell r="G831" t="str">
            <v>Repl of Security Cameras/Gates</v>
          </cell>
          <cell r="H831" t="str">
            <v>Dome Cameras for 10 KC Sites</v>
          </cell>
          <cell r="I831" t="str">
            <v>open</v>
          </cell>
          <cell r="J831" t="str">
            <v>Install (6) HD Re-Positionable 1080 dome cameras with analytic detection and (4) HDHD PTZ 1080 dome cameras with analytic detection at 10 KC locations.</v>
          </cell>
          <cell r="K831" t="str">
            <v>See locations on attachment  REVISED 9-22-16</v>
          </cell>
          <cell r="P831" t="str">
            <v>0401-043050  JACKSON CTY/KC</v>
          </cell>
          <cell r="Q831">
            <v>51260.4</v>
          </cell>
          <cell r="R831">
            <v>77550</v>
          </cell>
        </row>
        <row r="832">
          <cell r="A832" t="str">
            <v>011437</v>
          </cell>
          <cell r="B832" t="str">
            <v>LDC 2</v>
          </cell>
          <cell r="D832" t="str">
            <v>no</v>
          </cell>
          <cell r="F832" t="str">
            <v>F0660</v>
          </cell>
          <cell r="G832" t="str">
            <v>Meter &amp; Reg Settings 2" &amp; Lg (N)</v>
          </cell>
          <cell r="H832" t="str">
            <v>Inst 16M meter - 911 Main St</v>
          </cell>
          <cell r="I832" t="str">
            <v>posted to CPR</v>
          </cell>
          <cell r="J832" t="str">
            <v>Install one new 16M rotary meter setting to serve one new commercial customer at 911 Main Street in KCMO (0401).</v>
          </cell>
          <cell r="L832">
            <v>42677</v>
          </cell>
          <cell r="M832">
            <v>42735</v>
          </cell>
          <cell r="N832">
            <v>42772.502002314803</v>
          </cell>
          <cell r="O832">
            <v>42705</v>
          </cell>
          <cell r="P832" t="str">
            <v>0401-043050  JACKSON CTY/KC</v>
          </cell>
          <cell r="Q832">
            <v>10625.15</v>
          </cell>
          <cell r="R832">
            <v>29.006599999999999</v>
          </cell>
        </row>
        <row r="833">
          <cell r="A833" t="str">
            <v>011278</v>
          </cell>
          <cell r="B833" t="str">
            <v>LDC 2</v>
          </cell>
          <cell r="D833" t="str">
            <v>no</v>
          </cell>
          <cell r="F833" t="str">
            <v>F0850</v>
          </cell>
          <cell r="G833" t="str">
            <v>Facilities - MGE - Remodel Svc Cen</v>
          </cell>
          <cell r="H833" t="str">
            <v>MGE Central- Parking Lot</v>
          </cell>
          <cell r="I833" t="str">
            <v>in service</v>
          </cell>
          <cell r="J833" t="str">
            <v>Parking lot for Kansas City MGE Central. Includes clearing, demoliton, excavation, grading, paving, irrigation, and landsscaping.</v>
          </cell>
          <cell r="K833" t="str">
            <v>Per Tony C 11-29-16, additions and change orders will cause this work order to go over the original estimate by approximately 10%</v>
          </cell>
          <cell r="L833">
            <v>42689</v>
          </cell>
          <cell r="O833">
            <v>42736</v>
          </cell>
          <cell r="P833" t="str">
            <v>0401-043050  JACKSON CTY/KC</v>
          </cell>
          <cell r="Q833">
            <v>818016.1</v>
          </cell>
          <cell r="R833">
            <v>0</v>
          </cell>
        </row>
        <row r="834">
          <cell r="A834" t="str">
            <v>800431</v>
          </cell>
          <cell r="B834" t="str">
            <v>LDC 2</v>
          </cell>
          <cell r="C834" t="str">
            <v>03 - Bare Steel Replacement</v>
          </cell>
          <cell r="D834" t="str">
            <v>yes</v>
          </cell>
          <cell r="F834" t="str">
            <v>F0599</v>
          </cell>
          <cell r="G834" t="str">
            <v>Main Replacement - ISRS (N)</v>
          </cell>
          <cell r="H834" t="str">
            <v>Target Marlborough West Phase 1</v>
          </cell>
          <cell r="I834" t="str">
            <v>open</v>
          </cell>
          <cell r="J834" t="str">
            <v>Install 2355ft of 2in PE &amp; 2027ft of 4in PE on 83rd Terr, 84th Terr, Tracy Ave - Marlborough West Ph 1. Abandon 121ft of 2in PL, 2993ft of 2in STL, 26ft of 3in PL, 862ft of 3in STL, and 20ft of 4in PL.  FY 2016 Bare Steel Replacement.</v>
          </cell>
          <cell r="K834" t="str">
            <v>81 service tie overs, 6 service replacements, and 6 service abandonments.</v>
          </cell>
          <cell r="P834" t="str">
            <v>0401-043050  JACKSON CTY/KC</v>
          </cell>
          <cell r="Q834">
            <v>283916.98</v>
          </cell>
          <cell r="R834">
            <v>-4630.75</v>
          </cell>
        </row>
        <row r="835">
          <cell r="A835" t="str">
            <v>006610</v>
          </cell>
          <cell r="B835" t="str">
            <v>LDC 2</v>
          </cell>
          <cell r="D835" t="str">
            <v>no</v>
          </cell>
          <cell r="E835" t="str">
            <v>20401143837</v>
          </cell>
          <cell r="F835" t="str">
            <v>F0660</v>
          </cell>
          <cell r="G835" t="str">
            <v>Meter &amp; Reg Settings 2" &amp; Lg (N)</v>
          </cell>
          <cell r="H835" t="str">
            <v>Centerpoint Properties Inst 3M Mtr</v>
          </cell>
          <cell r="I835" t="str">
            <v>posted to CPR</v>
          </cell>
          <cell r="J835" t="str">
            <v>Centerpoint Properties: Kansas City-Jackson: New Meter &amp; Reg Settings - 2inch &amp; Larger 3820/3830 (33-382)</v>
          </cell>
          <cell r="K835" t="str">
            <v>Approved by: Rob Kitterman on 10/07/2014,  This work is necessary to install a 3M Roots meter for one new commercial customer. We'll set a 2in CL-34-1 regulator at 2psi with a 1in 289H relief set at 3psi for a connected load of 3000cfh. 3500 E 149th.</v>
          </cell>
          <cell r="L835">
            <v>41919</v>
          </cell>
          <cell r="M835">
            <v>42248</v>
          </cell>
          <cell r="N835">
            <v>42270.4835648148</v>
          </cell>
          <cell r="O835">
            <v>41974</v>
          </cell>
          <cell r="P835" t="str">
            <v>0401-043050  JACKSON CTY/KC</v>
          </cell>
          <cell r="Q835">
            <v>1548.59</v>
          </cell>
          <cell r="R835">
            <v>-27</v>
          </cell>
        </row>
        <row r="836">
          <cell r="A836" t="str">
            <v>009274</v>
          </cell>
          <cell r="B836" t="str">
            <v>LDC 2</v>
          </cell>
          <cell r="D836" t="str">
            <v>yes</v>
          </cell>
          <cell r="E836" t="str">
            <v>20401155463</v>
          </cell>
          <cell r="F836" t="str">
            <v>F0613</v>
          </cell>
          <cell r="G836" t="str">
            <v>Replace bare steel main - safety re</v>
          </cell>
          <cell r="H836" t="str">
            <v>Replace 3in PCS, 1.25in PE, 2</v>
          </cell>
          <cell r="I836" t="str">
            <v>posted to CPR</v>
          </cell>
          <cell r="J836" t="str">
            <v>Replace 3in PCS, 1.25in PE, 2in PCS &amp; PBS: Kansas City-Jackson: Replace Bare Steel Main - 3760 Safety Related (34-394)</v>
          </cell>
          <cell r="K836" t="str">
            <v>Approved by: Gary Williams on 08/31/2015,  Replace and Abandon 180'- 3" PCS (41083), 146'- 2" PBS (a21987), 2'- 2" PBS (780889), 201'- 2" PBS (1920),  48'-1 1/4" PE (973874), 15'- 2" PCS (780889), 309'- 2" PCS (650094). Main currently runs on 4th St in between Cherry St to Campbell St.</v>
          </cell>
          <cell r="L836">
            <v>42279</v>
          </cell>
          <cell r="M836">
            <v>42309</v>
          </cell>
          <cell r="N836">
            <v>42436.4312615741</v>
          </cell>
          <cell r="O836">
            <v>42278</v>
          </cell>
          <cell r="P836" t="str">
            <v>0401-043050  JACKSON CTY/KC</v>
          </cell>
          <cell r="Q836">
            <v>65999.429999999993</v>
          </cell>
          <cell r="R836">
            <v>-516</v>
          </cell>
        </row>
        <row r="837">
          <cell r="A837" t="str">
            <v>009313</v>
          </cell>
          <cell r="B837" t="str">
            <v>LDC 2</v>
          </cell>
          <cell r="D837" t="str">
            <v>no</v>
          </cell>
          <cell r="F837" t="str">
            <v>F0538</v>
          </cell>
          <cell r="G837" t="str">
            <v>Other Communication Costs</v>
          </cell>
          <cell r="H837" t="str">
            <v>Purch 16 Temp Transmitters MGE I&amp;C</v>
          </cell>
          <cell r="I837" t="str">
            <v>in service</v>
          </cell>
          <cell r="J837" t="str">
            <v>Purchase 16 temp transmitters for MGE - 14 to be installed at sites and 2 spares</v>
          </cell>
          <cell r="K837" t="str">
            <v>See attachment for list of locations.  Requested by Matt Taylor</v>
          </cell>
          <cell r="L837">
            <v>42443</v>
          </cell>
          <cell r="O837">
            <v>42461</v>
          </cell>
          <cell r="P837" t="str">
            <v>0401-043050  JACKSON CTY/KC</v>
          </cell>
          <cell r="Q837">
            <v>31289.13</v>
          </cell>
          <cell r="R837">
            <v>48</v>
          </cell>
        </row>
        <row r="838">
          <cell r="A838" t="str">
            <v>007495</v>
          </cell>
          <cell r="B838" t="str">
            <v>LDC 2</v>
          </cell>
          <cell r="D838" t="str">
            <v>no</v>
          </cell>
          <cell r="F838" t="str">
            <v>F0950</v>
          </cell>
          <cell r="G838" t="str">
            <v>Power Operated Eq - MGE</v>
          </cell>
          <cell r="H838" t="str">
            <v>Retire 8 Units - Veh/Eqpt-MGE</v>
          </cell>
          <cell r="I838" t="str">
            <v>posted to CPR</v>
          </cell>
          <cell r="J838" t="str">
            <v>Retire 1 dump truck, 4 Floats and 3 Trctr/Loader Backhoes (Unit 65591 unable to find on books.
Unit 21286 S/N 1M2K195C93M023217, Unit 65405 S/N1TKC02424WM081034, Unit 65414 S/N 1JKDTA205XA001356, Unit 65591 S/N 1TKC02423VM028758, Unit 65605 S/N 12HTD30251S106546, Unit 54239 S/N JJG0312118, Unit 54241 S/N N5C389932, Unit 54242 S/N N5C389933</v>
          </cell>
          <cell r="K838" t="str">
            <v>Complete per Sharon email 4-2-15 - AMM</v>
          </cell>
          <cell r="L838">
            <v>42095</v>
          </cell>
          <cell r="M838">
            <v>42156</v>
          </cell>
          <cell r="N838">
            <v>42193.495416666701</v>
          </cell>
          <cell r="P838" t="str">
            <v>0401-043050  JACKSON CTY/KC</v>
          </cell>
          <cell r="Q838">
            <v>224980.88</v>
          </cell>
          <cell r="R838">
            <v>9</v>
          </cell>
        </row>
        <row r="839">
          <cell r="A839" t="str">
            <v>004150</v>
          </cell>
          <cell r="B839" t="str">
            <v>LDC 2</v>
          </cell>
          <cell r="D839" t="str">
            <v>yes</v>
          </cell>
          <cell r="E839" t="str">
            <v>20401050370</v>
          </cell>
          <cell r="F839" t="str">
            <v>F0559</v>
          </cell>
          <cell r="G839" t="str">
            <v>SLRP - immediate response - contrac</v>
          </cell>
          <cell r="H839" t="str">
            <v>BWO SERVICE LINE REPL CONTRACTOR SL</v>
          </cell>
          <cell r="I839" t="str">
            <v>open</v>
          </cell>
          <cell r="J839" t="str">
            <v>BWO SERVICE LINE REPL CONTRACTOR SLRP</v>
          </cell>
          <cell r="K839" t="str">
            <v>Service/Yard Line Replacement (SLRP): Contract Crew.  Immediate response - replacement single unprotected steel or copper  (Kansas City - Central Region)</v>
          </cell>
          <cell r="O839">
            <v>41730</v>
          </cell>
          <cell r="P839" t="str">
            <v>0401-043050  JACKSON CTY/KC</v>
          </cell>
          <cell r="Q839">
            <v>2081294.3</v>
          </cell>
          <cell r="R839">
            <v>3006.9</v>
          </cell>
        </row>
        <row r="840">
          <cell r="A840" t="str">
            <v>004467</v>
          </cell>
          <cell r="B840" t="str">
            <v>LDC 2</v>
          </cell>
          <cell r="D840" t="str">
            <v>no</v>
          </cell>
          <cell r="E840" t="str">
            <v>20401133000</v>
          </cell>
          <cell r="F840" t="str">
            <v>F0597</v>
          </cell>
          <cell r="G840" t="str">
            <v>Other</v>
          </cell>
          <cell r="H840" t="str">
            <v>Replace EGM - Van Chevrolet &amp; Cadil</v>
          </cell>
          <cell r="I840" t="str">
            <v>posted to CPR</v>
          </cell>
          <cell r="J840" t="str">
            <v>Replace EGM - Van Chevrolet &amp; Cadillac: Kansas City-Jackson: 100 NW Vivion Rd - KC, MO 64118</v>
          </cell>
          <cell r="K840" t="str">
            <v>Approved by: Rob Kitterman on 09/24/2013,  Replace EGM equipment at Van Chevrolet &amp; Cadillac with a new Mini-AT-PT, S/N: 13012227, &amp; Messenger Modem. Existing meter is a Roots 11M rotary meter# 07915680. The existing equipment was damaged beyond repair. Retire the damaged Mini-PT, S/N: 9404126 on this WO as well.</v>
          </cell>
          <cell r="L840">
            <v>41578</v>
          </cell>
          <cell r="M840">
            <v>41662</v>
          </cell>
          <cell r="N840">
            <v>41676.633402777799</v>
          </cell>
          <cell r="P840" t="str">
            <v>0401-043050  JACKSON CTY/KC</v>
          </cell>
          <cell r="Q840">
            <v>3326.1</v>
          </cell>
          <cell r="R840">
            <v>4</v>
          </cell>
        </row>
        <row r="841">
          <cell r="A841" t="str">
            <v>004788</v>
          </cell>
          <cell r="B841" t="str">
            <v>LDC 2</v>
          </cell>
          <cell r="D841" t="str">
            <v>no</v>
          </cell>
          <cell r="E841" t="str">
            <v>28930830000</v>
          </cell>
          <cell r="F841" t="str">
            <v>F0712</v>
          </cell>
          <cell r="G841" t="str">
            <v>Maintenance of Meters MGE</v>
          </cell>
          <cell r="H841" t="str">
            <v>Mtr &amp; Hse Regs ERT Mtce MGE</v>
          </cell>
          <cell r="I841" t="str">
            <v>open</v>
          </cell>
          <cell r="J841" t="str">
            <v>Mtr &amp; Hse Regs ERT Mtce MGE</v>
          </cell>
          <cell r="P841" t="str">
            <v>Expense Only</v>
          </cell>
          <cell r="Q841">
            <v>94033.54</v>
          </cell>
          <cell r="R841">
            <v>1689.98</v>
          </cell>
        </row>
        <row r="842">
          <cell r="A842" t="str">
            <v>004772</v>
          </cell>
          <cell r="B842" t="str">
            <v>LDC 2</v>
          </cell>
          <cell r="D842" t="str">
            <v>no</v>
          </cell>
          <cell r="E842" t="str">
            <v>21846300000</v>
          </cell>
          <cell r="F842" t="str">
            <v>F0734</v>
          </cell>
          <cell r="G842" t="str">
            <v>Allowed Time Ops MGE</v>
          </cell>
          <cell r="H842" t="str">
            <v>Allowed Time - Holiday MGE</v>
          </cell>
          <cell r="I842" t="str">
            <v>open</v>
          </cell>
          <cell r="J842" t="str">
            <v>Allowed Time - Holiday MGE</v>
          </cell>
          <cell r="P842" t="str">
            <v>Expense Only</v>
          </cell>
          <cell r="Q842">
            <v>3969703.34</v>
          </cell>
          <cell r="R842">
            <v>103568.65</v>
          </cell>
        </row>
        <row r="843">
          <cell r="A843" t="str">
            <v>004760</v>
          </cell>
          <cell r="B843" t="str">
            <v>LDC 2</v>
          </cell>
          <cell r="D843" t="str">
            <v>no</v>
          </cell>
          <cell r="E843" t="str">
            <v>21841407000</v>
          </cell>
          <cell r="F843" t="str">
            <v>F0732</v>
          </cell>
          <cell r="G843" t="str">
            <v>Transportation &amp; Eq Clrg MGE</v>
          </cell>
          <cell r="H843" t="str">
            <v>Fleet Clrg - 21841407000 MGE</v>
          </cell>
          <cell r="I843" t="str">
            <v>open</v>
          </cell>
          <cell r="J843" t="str">
            <v>Fleet Clrg - 21841407000 MGE</v>
          </cell>
          <cell r="P843" t="str">
            <v>Expense Only</v>
          </cell>
          <cell r="Q843">
            <v>125483.66</v>
          </cell>
          <cell r="R843">
            <v>1</v>
          </cell>
        </row>
        <row r="844">
          <cell r="A844" t="str">
            <v>004854</v>
          </cell>
          <cell r="B844" t="str">
            <v>LDC 2</v>
          </cell>
          <cell r="D844" t="str">
            <v>no</v>
          </cell>
          <cell r="E844" t="str">
            <v>29320340000</v>
          </cell>
          <cell r="F844" t="str">
            <v>F0731</v>
          </cell>
          <cell r="G844" t="str">
            <v>Mtce Admin &amp; Gen Office MGE</v>
          </cell>
          <cell r="H844" t="str">
            <v>Maint of Telephone Eq MGE</v>
          </cell>
          <cell r="I844" t="str">
            <v>open</v>
          </cell>
          <cell r="J844" t="str">
            <v>Maint of Telephone Eq MGE</v>
          </cell>
          <cell r="P844" t="str">
            <v>Expense Only</v>
          </cell>
          <cell r="Q844">
            <v>53210.43</v>
          </cell>
          <cell r="R844">
            <v>0</v>
          </cell>
        </row>
        <row r="845">
          <cell r="A845" t="str">
            <v>004751</v>
          </cell>
          <cell r="B845" t="str">
            <v>LDC 2</v>
          </cell>
          <cell r="D845" t="str">
            <v>no</v>
          </cell>
          <cell r="E845" t="str">
            <v>28910100000</v>
          </cell>
          <cell r="F845" t="str">
            <v>F0710</v>
          </cell>
          <cell r="G845" t="str">
            <v>Mtce Meas-Reg Cty Gate MGE</v>
          </cell>
          <cell r="H845" t="str">
            <v>Mtce Sta Reg/Relief Valv MGE</v>
          </cell>
          <cell r="I845" t="str">
            <v>open</v>
          </cell>
          <cell r="J845" t="str">
            <v>Mtce Sta Reg/Relief Valv MGE</v>
          </cell>
          <cell r="P845" t="str">
            <v>Expense Only</v>
          </cell>
          <cell r="Q845">
            <v>232728.27</v>
          </cell>
          <cell r="R845">
            <v>31479.9532</v>
          </cell>
        </row>
        <row r="846">
          <cell r="A846" t="str">
            <v>004693</v>
          </cell>
          <cell r="B846" t="str">
            <v>LDC 2</v>
          </cell>
          <cell r="D846" t="str">
            <v>no</v>
          </cell>
          <cell r="E846" t="str">
            <v>21841203000</v>
          </cell>
          <cell r="F846" t="str">
            <v>F0732</v>
          </cell>
          <cell r="G846" t="str">
            <v>Transportation &amp; Eq Clrg MGE</v>
          </cell>
          <cell r="H846" t="str">
            <v>Fleet Clrg - 21841203000 MGE</v>
          </cell>
          <cell r="I846" t="str">
            <v>open</v>
          </cell>
          <cell r="J846" t="str">
            <v>Fleet Clrg - 21841203000 MGE</v>
          </cell>
          <cell r="P846" t="str">
            <v>Expense Only</v>
          </cell>
          <cell r="Q846">
            <v>41.15</v>
          </cell>
          <cell r="R846">
            <v>0</v>
          </cell>
        </row>
        <row r="847">
          <cell r="A847" t="str">
            <v>004833</v>
          </cell>
          <cell r="B847" t="str">
            <v>LDC 2</v>
          </cell>
          <cell r="D847" t="str">
            <v>no</v>
          </cell>
          <cell r="E847" t="str">
            <v>29100000000</v>
          </cell>
          <cell r="F847" t="str">
            <v>F0719</v>
          </cell>
          <cell r="G847" t="str">
            <v>Inform &amp; Instruct Ads MGE</v>
          </cell>
          <cell r="H847" t="str">
            <v>Misc Cust Asst Exp - Info MGE</v>
          </cell>
          <cell r="I847" t="str">
            <v>open</v>
          </cell>
          <cell r="J847" t="str">
            <v>Misc Cust Asst Exp - Info MGE</v>
          </cell>
          <cell r="P847" t="str">
            <v>Expense Only</v>
          </cell>
          <cell r="Q847">
            <v>30913.05</v>
          </cell>
          <cell r="R847">
            <v>100876</v>
          </cell>
        </row>
        <row r="848">
          <cell r="A848" t="str">
            <v>004820</v>
          </cell>
          <cell r="B848" t="str">
            <v>LDC 2</v>
          </cell>
          <cell r="D848" t="str">
            <v>no</v>
          </cell>
          <cell r="E848" t="str">
            <v>222820GILCB</v>
          </cell>
          <cell r="F848" t="str">
            <v>F0688</v>
          </cell>
          <cell r="G848" t="str">
            <v>Misc Cur &amp; Accr Liab-EPA MGE</v>
          </cell>
          <cell r="H848" t="str">
            <v>Prov Res-Env Gillis Site B MGE</v>
          </cell>
          <cell r="I848" t="str">
            <v>open</v>
          </cell>
          <cell r="J848" t="str">
            <v>Prov Res-Env Gillis Site B MGE</v>
          </cell>
          <cell r="P848" t="str">
            <v>Expense Only</v>
          </cell>
          <cell r="Q848">
            <v>12667.84</v>
          </cell>
          <cell r="R848">
            <v>0</v>
          </cell>
        </row>
        <row r="849">
          <cell r="A849" t="str">
            <v>004818</v>
          </cell>
          <cell r="B849" t="str">
            <v>LDC 2</v>
          </cell>
          <cell r="D849" t="str">
            <v>no</v>
          </cell>
          <cell r="E849" t="str">
            <v>22282100000</v>
          </cell>
          <cell r="F849" t="str">
            <v>F0735</v>
          </cell>
          <cell r="G849" t="str">
            <v>Accum Prov - Inj &amp; Dam MGE</v>
          </cell>
          <cell r="H849" t="str">
            <v>Accum Prov Inj &amp; Dam Claims MGE</v>
          </cell>
          <cell r="I849" t="str">
            <v>open</v>
          </cell>
          <cell r="J849" t="str">
            <v>Accum Prov Inj &amp; Dam Gas MGE</v>
          </cell>
          <cell r="P849" t="str">
            <v>Expense Only</v>
          </cell>
          <cell r="Q849">
            <v>749733.61</v>
          </cell>
          <cell r="R849">
            <v>0</v>
          </cell>
        </row>
        <row r="850">
          <cell r="A850" t="str">
            <v>004815</v>
          </cell>
          <cell r="B850" t="str">
            <v>LDC 2</v>
          </cell>
          <cell r="D850" t="str">
            <v>no</v>
          </cell>
          <cell r="E850" t="str">
            <v>29301000000</v>
          </cell>
          <cell r="F850" t="str">
            <v>F0698</v>
          </cell>
          <cell r="G850" t="str">
            <v>Misc General Expenses - MGE</v>
          </cell>
          <cell r="H850" t="str">
            <v>Misc General Expense - MGE</v>
          </cell>
          <cell r="I850" t="str">
            <v>open</v>
          </cell>
          <cell r="J850" t="str">
            <v>Misc General Expense - MGE</v>
          </cell>
          <cell r="P850" t="str">
            <v>Expense Only</v>
          </cell>
          <cell r="Q850">
            <v>212684.27</v>
          </cell>
          <cell r="R850">
            <v>79</v>
          </cell>
        </row>
        <row r="851">
          <cell r="A851" t="str">
            <v>801119</v>
          </cell>
          <cell r="B851" t="str">
            <v>LDC 2</v>
          </cell>
          <cell r="C851" t="str">
            <v>03 - Bare Steel Replacement</v>
          </cell>
          <cell r="D851" t="str">
            <v>yes</v>
          </cell>
          <cell r="F851" t="str">
            <v>F0572</v>
          </cell>
          <cell r="G851" t="str">
            <v>Main Replacement - ISRS (SW)</v>
          </cell>
          <cell r="H851" t="str">
            <v>Repl 2794F 2P 34th and Pearl</v>
          </cell>
          <cell r="I851" t="str">
            <v>open</v>
          </cell>
          <cell r="J851" t="str">
            <v>Install 2794 ft of 2 in PL MP main on Sergeant Ave, Moffet Ave, 34th St, Pearl Ave, and the alley between 33rd and 34th St across from Pearl.</v>
          </cell>
          <cell r="K851" t="str">
            <v>Abandon 44 Ft of 2 in PL MP main, 8 Ft of 3 in PL MP main, and 2841 Ft of 2 in ST MP main at the above locations.  Total Service Tie-over = 39; Total Service Replace = 1; Total Abandon = 1.  This main is being abandoned as part of FY17 Bare Steel Replacement Program.  Replace above main due to three number three leaks Leak Nos 478044, 478514, 478550.</v>
          </cell>
          <cell r="P851" t="str">
            <v>0501-044001  JASPER CTY/JOPLIN</v>
          </cell>
          <cell r="Q851">
            <v>0</v>
          </cell>
          <cell r="R851">
            <v>2893</v>
          </cell>
        </row>
        <row r="852">
          <cell r="A852" t="str">
            <v>800408</v>
          </cell>
          <cell r="B852" t="str">
            <v>LDC 2</v>
          </cell>
          <cell r="C852" t="str">
            <v>03 - Bare Steel Replacement</v>
          </cell>
          <cell r="D852" t="str">
            <v>yes</v>
          </cell>
          <cell r="F852" t="str">
            <v>F0572</v>
          </cell>
          <cell r="G852" t="str">
            <v>Main Replacement - ISRS (SW)</v>
          </cell>
          <cell r="H852" t="str">
            <v>Repl w 455F 2P Kansas Ave &amp; 18th</v>
          </cell>
          <cell r="I852" t="str">
            <v>in service</v>
          </cell>
          <cell r="J852" t="str">
            <v>Install ~455 Ft of 2 in PL MP main on Kansas Ave and 18th Street in Joplin.</v>
          </cell>
          <cell r="K852" t="str">
            <v>Abandon ~384 Ft of 2 in ST MP main and 58 Ft of 3 in ST MP main at the above locations.  Total Service Tie Overs - 2.  ISRS - Replace due to CP 15-092.</v>
          </cell>
          <cell r="L852">
            <v>42712</v>
          </cell>
          <cell r="O852">
            <v>42705</v>
          </cell>
          <cell r="P852" t="str">
            <v>0501-044001  JASPER CTY/JOPLIN</v>
          </cell>
          <cell r="Q852">
            <v>20901.759999999998</v>
          </cell>
          <cell r="R852">
            <v>-368.5</v>
          </cell>
        </row>
        <row r="853">
          <cell r="A853" t="str">
            <v>009222</v>
          </cell>
          <cell r="B853" t="str">
            <v>LDC 2</v>
          </cell>
          <cell r="D853" t="str">
            <v>yes</v>
          </cell>
          <cell r="F853" t="str">
            <v>F0659</v>
          </cell>
          <cell r="G853" t="str">
            <v>BWO Service Line Repl - ISRS (SW)</v>
          </cell>
          <cell r="H853" t="str">
            <v>BWO-Abandon Service (SW Region)</v>
          </cell>
          <cell r="I853" t="str">
            <v>open</v>
          </cell>
          <cell r="J853" t="str">
            <v>BWO-Abandon Service (Southwest Region)</v>
          </cell>
          <cell r="O853">
            <v>42248</v>
          </cell>
          <cell r="P853" t="str">
            <v>0501-044001  JASPER CTY/JOPLIN</v>
          </cell>
          <cell r="Q853">
            <v>885675.61</v>
          </cell>
          <cell r="R853">
            <v>37105.953300000001</v>
          </cell>
        </row>
        <row r="854">
          <cell r="A854" t="str">
            <v>009139</v>
          </cell>
          <cell r="B854" t="str">
            <v>LDC 2</v>
          </cell>
          <cell r="D854" t="str">
            <v>no</v>
          </cell>
          <cell r="E854" t="str">
            <v>20501155489</v>
          </cell>
          <cell r="F854" t="str">
            <v>F0630</v>
          </cell>
          <cell r="G854" t="str">
            <v>Meter &amp; Reg Settings 2" &amp; Lg (SW)</v>
          </cell>
          <cell r="H854" t="str">
            <v>Inst 2 Inch Prefab Rotary Setting</v>
          </cell>
          <cell r="I854" t="str">
            <v>posted to CPR</v>
          </cell>
          <cell r="J854" t="str">
            <v>Inst 2 Inch Prefab Rotary Setting: Joplin: New Meter &amp; Reg Settings - 2in &amp; Larger 3820/3830 (33-382)</v>
          </cell>
          <cell r="K854" t="str">
            <v>Approved by: Michael Fornelli on 08/05/2015,  Will instsall 2" prefab meter setting for 3M Roots meter. Will use 2" flanged CL34-1 regulator with orange closing spring, yellow/white pilot spring, &amp; 1/4" orifice to deliver 2 psig. Customer demand is 2819 cfh. Will use 1" Fisher relief for overpressure protection. Based on the investment allowance, there will be no charge to the customer. System Joplin C-1. MAOP=58 PSIG  MOP= 58PSIG</v>
          </cell>
          <cell r="L854">
            <v>42237</v>
          </cell>
          <cell r="M854">
            <v>42491</v>
          </cell>
          <cell r="N854">
            <v>42528.313333333303</v>
          </cell>
          <cell r="O854">
            <v>42217</v>
          </cell>
          <cell r="P854" t="str">
            <v>0501-044001  JASPER CTY/JOPLIN</v>
          </cell>
          <cell r="Q854">
            <v>2338.09</v>
          </cell>
          <cell r="R854">
            <v>-7</v>
          </cell>
        </row>
        <row r="855">
          <cell r="A855" t="str">
            <v>008546</v>
          </cell>
          <cell r="B855" t="str">
            <v>LDC 2</v>
          </cell>
          <cell r="D855" t="str">
            <v>yes</v>
          </cell>
          <cell r="E855" t="str">
            <v>20501155264</v>
          </cell>
          <cell r="F855" t="str">
            <v>F0544</v>
          </cell>
          <cell r="G855" t="str">
            <v>Replace bare steel main - safety re</v>
          </cell>
          <cell r="H855" t="str">
            <v>12th St and Illinois Ave 4in PBS Ma</v>
          </cell>
          <cell r="I855" t="str">
            <v>posted to CPR</v>
          </cell>
          <cell r="J855" t="str">
            <v>12th St and Illinois Ave 4in PBS Main Replacement: Joplin: Replace Bare Steel Main - 3760 Safety Related (34-394)</v>
          </cell>
          <cell r="K855" t="str">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ell>
          <cell r="L855">
            <v>42279</v>
          </cell>
          <cell r="M855">
            <v>42429</v>
          </cell>
          <cell r="N855">
            <v>42527.512164351901</v>
          </cell>
          <cell r="O855">
            <v>42278</v>
          </cell>
          <cell r="P855" t="str">
            <v>0501-044001  JASPER CTY/JOPLIN</v>
          </cell>
          <cell r="Q855">
            <v>227725.41</v>
          </cell>
          <cell r="R855">
            <v>70863.5</v>
          </cell>
        </row>
        <row r="856">
          <cell r="A856" t="str">
            <v>007201</v>
          </cell>
          <cell r="B856" t="str">
            <v>LDC 2</v>
          </cell>
          <cell r="D856" t="str">
            <v>yes</v>
          </cell>
          <cell r="E856" t="str">
            <v>20501144013</v>
          </cell>
          <cell r="F856" t="str">
            <v>F0544</v>
          </cell>
          <cell r="G856" t="str">
            <v>Replace bare steel main - safety re</v>
          </cell>
          <cell r="H856" t="str">
            <v>5th and Gray Repl w 820ft of 4in PE</v>
          </cell>
          <cell r="I856" t="str">
            <v>posted to CPR</v>
          </cell>
          <cell r="J856" t="str">
            <v>5th and Gray Repl w 820ft of 4in PE due to CP: Joplin: Replace Bare Steel Main - 3760 Safety Related (34-394)</v>
          </cell>
          <cell r="K856" t="str">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ell>
          <cell r="L856">
            <v>42258</v>
          </cell>
          <cell r="M856">
            <v>42370</v>
          </cell>
          <cell r="N856">
            <v>42496.560162037</v>
          </cell>
          <cell r="O856">
            <v>42339</v>
          </cell>
          <cell r="P856" t="str">
            <v>0501-044001  JASPER CTY/JOPLIN</v>
          </cell>
          <cell r="Q856">
            <v>110690.35</v>
          </cell>
          <cell r="R856">
            <v>66310.78</v>
          </cell>
        </row>
        <row r="857">
          <cell r="A857" t="str">
            <v>005694</v>
          </cell>
          <cell r="B857" t="str">
            <v>LDC 2</v>
          </cell>
          <cell r="D857" t="str">
            <v>no</v>
          </cell>
          <cell r="F857" t="str">
            <v>F0495</v>
          </cell>
          <cell r="G857" t="str">
            <v>General structures</v>
          </cell>
          <cell r="H857" t="str">
            <v>Security Cameras - Joplin</v>
          </cell>
          <cell r="I857" t="str">
            <v>posted to CPR</v>
          </cell>
          <cell r="J857" t="str">
            <v>Install Genetec 4TB Archiver System</v>
          </cell>
          <cell r="K857" t="str">
            <v>Complete per Al Moore 9-18-14 - AMM</v>
          </cell>
          <cell r="L857">
            <v>41900</v>
          </cell>
          <cell r="M857">
            <v>42156</v>
          </cell>
          <cell r="N857">
            <v>42223.566018518497</v>
          </cell>
          <cell r="O857">
            <v>41883</v>
          </cell>
          <cell r="P857" t="str">
            <v>0501-044001  JASPER CTY/JOPLIN</v>
          </cell>
          <cell r="Q857">
            <v>30323.85</v>
          </cell>
          <cell r="R857">
            <v>19986</v>
          </cell>
        </row>
        <row r="858">
          <cell r="A858" t="str">
            <v>800283</v>
          </cell>
          <cell r="B858" t="str">
            <v>LDC 2</v>
          </cell>
          <cell r="C858" t="str">
            <v>03 - Bare Steel Replacement</v>
          </cell>
          <cell r="D858" t="str">
            <v>yes</v>
          </cell>
          <cell r="F858" t="str">
            <v>F0572</v>
          </cell>
          <cell r="G858" t="str">
            <v>Main Replacement - ISRS (SW)</v>
          </cell>
          <cell r="H858" t="str">
            <v>Repl 7916F 2-4-6P Webb City Ph 2H</v>
          </cell>
          <cell r="I858" t="str">
            <v>open</v>
          </cell>
          <cell r="J858" t="str">
            <v>Install 4848 Ft of 2 in PL IP main, and 1701 Ft of 4 in PL IP main, and 1367 Ft of 6 in PL IP main on Ball Ave, Roane Ave, 2nd St, Orongo Ave, Broadway St, Daugherty St, Austin St, Wood St, Washington Ave, Meadow Circle &amp; Jefferson Ave.</v>
          </cell>
          <cell r="K858" t="str">
            <v>Webb City Phase 2H Grid Bare ST Replacement.  Abandon- 126 Ft of 1 1/4 in PL LP main, and 159 Ft of 6" PL LP main, and 80 Ft of 1 1/4 in ST LP main, and 645 Ft of 2 in ST LP main, and 2467 Ft of 3 in ST LP main, and 1,231 Ft of 4 in ST LP main, and 1854 Ft of 6 in ST LP main, and 418 Ft of 6 in ST IP main, and 944 Ft of 8” ST IP main the above locations.  Uprate- 280 Ft of 2 in PL LP main, and 934 Ft of 4 in PL LP main, and 792 Ft of 3” PL LP main, and 346 Ft of 6 in PL LP main on Roane Ave, Orongo Ave, Broadway St, Crow St, and Austin Ave.  Total Service Tie-over = 112; Total Service Replace = 23; Total Service Upgrade = 36; Total Service Abandoned = 17.  This main is being replaced as part of FY16 Bare Steel Replacement Program</v>
          </cell>
          <cell r="P858" t="str">
            <v>0502-044006  JASPER CTY/WEBB CITY</v>
          </cell>
          <cell r="Q858">
            <v>0</v>
          </cell>
          <cell r="R858">
            <v>7924</v>
          </cell>
        </row>
        <row r="859">
          <cell r="A859" t="str">
            <v>800718</v>
          </cell>
          <cell r="B859" t="str">
            <v>LDC 2</v>
          </cell>
          <cell r="C859" t="str">
            <v>03 - Bare Steel Replacement</v>
          </cell>
          <cell r="D859" t="str">
            <v>yes</v>
          </cell>
          <cell r="F859" t="str">
            <v>F0572</v>
          </cell>
          <cell r="G859" t="str">
            <v>Main Replacement - ISRS (SW)</v>
          </cell>
          <cell r="H859" t="str">
            <v>Repl w 22F 4P - Purcell Phase D</v>
          </cell>
          <cell r="I859" t="str">
            <v>open</v>
          </cell>
          <cell r="J859" t="str">
            <v>Install 22 Ft of 4 in PL IP Main for Purcell Phase D Alba Uprate. Abandon 4 ft of 2 in PL, 4787 Ft of 3 in ST, 4 Ft of 4 in PL and 57 Ft of 4 in ST HP main.</v>
          </cell>
          <cell r="K859" t="str">
            <v>Uprate 265 Ft of 1 1/4 in PL MP Main to IP, 12,604 Ft of 2 in PL MP Main to IP, 565 Ft of 3 in PL MP Main to IP, and 9,224 Ft of 4 in PL MP Main to IP in the town of Alba.  Total service uprate = 172.  Work is being done as part of the FY16 Strategic Replacement Program</v>
          </cell>
          <cell r="P859" t="str">
            <v>0504-044012  JASPER CTY/ALBA</v>
          </cell>
          <cell r="Q859">
            <v>0</v>
          </cell>
          <cell r="R859">
            <v>4852</v>
          </cell>
        </row>
        <row r="860">
          <cell r="A860" t="str">
            <v>800114</v>
          </cell>
          <cell r="B860" t="str">
            <v>LDC 2</v>
          </cell>
          <cell r="C860" t="str">
            <v>03 - Bare Steel Replacement</v>
          </cell>
          <cell r="D860" t="str">
            <v>yes</v>
          </cell>
          <cell r="F860" t="str">
            <v>F0572</v>
          </cell>
          <cell r="G860" t="str">
            <v>Main Replacement - ISRS (SW)</v>
          </cell>
          <cell r="H860" t="str">
            <v>Webb City Ph1A Grid Bare Steel Rep</v>
          </cell>
          <cell r="I860" t="str">
            <v>posted to CPR</v>
          </cell>
          <cell r="J860" t="str">
            <v>Install 1400 Ft of 4 in PL IP main for Webb City Phase 1A. Abandon 1282 Ft of 4 in PBS IP and 27 Ft of 4in PL IP main at the same location. Project includes 5 Service Tie-Overs and 2 Abandonments. FY16 Bare Steel Replacement Program.</v>
          </cell>
          <cell r="L860">
            <v>42403</v>
          </cell>
          <cell r="M860">
            <v>42643</v>
          </cell>
          <cell r="N860">
            <v>42742.625</v>
          </cell>
          <cell r="O860">
            <v>42401</v>
          </cell>
          <cell r="P860" t="str">
            <v>0502-044006  JASPER CTY/WEBB CITY</v>
          </cell>
          <cell r="Q860">
            <v>160521.46</v>
          </cell>
          <cell r="R860">
            <v>4283.5</v>
          </cell>
        </row>
        <row r="861">
          <cell r="A861" t="str">
            <v>006519</v>
          </cell>
          <cell r="B861" t="str">
            <v>LDC 2</v>
          </cell>
          <cell r="D861" t="str">
            <v>no</v>
          </cell>
          <cell r="E861" t="str">
            <v>20502143827</v>
          </cell>
          <cell r="F861" t="str">
            <v>F0657</v>
          </cell>
          <cell r="G861" t="str">
            <v>Services - 2" &amp; larger</v>
          </cell>
          <cell r="H861" t="str">
            <v>Repair 2in PE Service After 3rd Par</v>
          </cell>
          <cell r="I861" t="str">
            <v>posted to CPR</v>
          </cell>
          <cell r="J861" t="str">
            <v>Repair 2inch; PE Service After 3rd Party Damage: Webb City: Replace Services 2inch &amp; Larger - 3800 (42-385)</v>
          </cell>
          <cell r="K861" t="str">
            <v>Approved by: Galen Shoemaker on 09/23/2014,  Abandon 6' - 2" PE Service (WO#: 14-3641) due to 3rd Party damage (Roberston and Clements Mechanical) and replace with 8' - 2" PE. Contractor will be billed for damage. Project Location: 1st and Jefferson; Pressure System: C-2; MOP: 1.5 psig; MAOP: 1.5 psig; Design: 58 psig; Test: 100 psig;</v>
          </cell>
          <cell r="L861">
            <v>41879</v>
          </cell>
          <cell r="M861">
            <v>42248</v>
          </cell>
          <cell r="N861">
            <v>42270.531620370399</v>
          </cell>
          <cell r="O861">
            <v>41974</v>
          </cell>
          <cell r="P861" t="str">
            <v>0502-044006  JASPER CTY/WEBB CITY</v>
          </cell>
          <cell r="Q861">
            <v>83.93</v>
          </cell>
          <cell r="R861">
            <v>-4</v>
          </cell>
        </row>
        <row r="862">
          <cell r="A862" t="str">
            <v>007498</v>
          </cell>
          <cell r="B862" t="str">
            <v>LDC 2</v>
          </cell>
          <cell r="D862" t="str">
            <v>no</v>
          </cell>
          <cell r="F862" t="str">
            <v>F0951</v>
          </cell>
          <cell r="G862" t="str">
            <v>Vehicle Purchase MGE</v>
          </cell>
          <cell r="H862" t="str">
            <v>Purchase Ladder Racks MGE</v>
          </cell>
          <cell r="I862" t="str">
            <v>posted to CPR</v>
          </cell>
          <cell r="J862" t="str">
            <v>Purchase and install ladder racks for MGE vehicles</v>
          </cell>
          <cell r="K862" t="str">
            <v>For MGE unit numbers 12613,12720,12733,12743,12744,12778, 12790,12805,12813,12838,12839, &amp; 12841 per Jeff Sulin 2-6-15
in service 4-15 per Mike M 6-19-15  AMM</v>
          </cell>
          <cell r="L862">
            <v>42124</v>
          </cell>
          <cell r="M862">
            <v>42278</v>
          </cell>
          <cell r="N862">
            <v>42317.483587962997</v>
          </cell>
          <cell r="O862">
            <v>42156</v>
          </cell>
          <cell r="P862" t="str">
            <v>0101-043050  JACKSON CTY/KC</v>
          </cell>
          <cell r="Q862">
            <v>16800</v>
          </cell>
          <cell r="R862">
            <v>16800</v>
          </cell>
        </row>
        <row r="863">
          <cell r="A863" t="str">
            <v>013273</v>
          </cell>
          <cell r="B863" t="str">
            <v>LDC 2</v>
          </cell>
          <cell r="D863" t="str">
            <v>no</v>
          </cell>
          <cell r="F863" t="str">
            <v>F0644</v>
          </cell>
          <cell r="G863" t="str">
            <v>Meter &amp; Reg Settings 2" &amp; Lg (S)</v>
          </cell>
          <cell r="H863" t="str">
            <v>Indep Manor Care Cntr 3M Meter Set</v>
          </cell>
          <cell r="I863" t="str">
            <v>open</v>
          </cell>
          <cell r="J863" t="str">
            <v>This project will replace the existing 1.5M Rotary Meter that was installed on WO 80-0846 on 11-14-80.  The old meter set was at the property line.  The new meter will set at the building -1600 Kingshighway.</v>
          </cell>
          <cell r="K863" t="str">
            <v>We are performing a SLRP on the service line on WO 15594267.
Retire asset id 1132351</v>
          </cell>
          <cell r="P863" t="str">
            <v>0201-043001  JACKSON CTY/INDEPENDENCE</v>
          </cell>
          <cell r="Q863">
            <v>1811.28</v>
          </cell>
          <cell r="R863">
            <v>-85</v>
          </cell>
        </row>
        <row r="864">
          <cell r="A864" t="str">
            <v>800397</v>
          </cell>
          <cell r="B864" t="str">
            <v>LDC 2</v>
          </cell>
          <cell r="C864" t="str">
            <v>09 - Facility Relocation due to Civic Improvement</v>
          </cell>
          <cell r="D864" t="str">
            <v>yes</v>
          </cell>
          <cell r="F864" t="str">
            <v>F0578</v>
          </cell>
          <cell r="G864" t="str">
            <v>Street &amp; Highway Relocates ISRS (S)</v>
          </cell>
          <cell r="H864" t="str">
            <v>Rel w/ 2064F 2-6P 18th &amp; Evanston</v>
          </cell>
          <cell r="I864" t="str">
            <v>in service</v>
          </cell>
          <cell r="J864" t="str">
            <v>Install 1609 ft of 2 inch PE and 455 ft of 6 inch PE on Overton, Evanston and Arlington from Arlington and Evanston south to 16th St. Abandon 148 ft of 2in PL, 1451 ft of 2in BS, 340 ft of 4in BS, &amp; 340 ft of 6in BS.</v>
          </cell>
          <cell r="K864" t="str">
            <v>Main is in conflict with City of Independence sewer improvements.  Work is not reimbursable. Work is ISRS recoverable.</v>
          </cell>
          <cell r="L864">
            <v>42650</v>
          </cell>
          <cell r="O864">
            <v>42644</v>
          </cell>
          <cell r="P864" t="str">
            <v>0201-043001  JACKSON CTY/INDEPENDENCE</v>
          </cell>
          <cell r="Q864">
            <v>184934.44</v>
          </cell>
          <cell r="R864">
            <v>-2200</v>
          </cell>
        </row>
        <row r="865">
          <cell r="A865" t="str">
            <v>800616</v>
          </cell>
          <cell r="B865" t="str">
            <v>LDC 2</v>
          </cell>
          <cell r="C865" t="str">
            <v>03 - Bare Steel Replacement</v>
          </cell>
          <cell r="D865" t="str">
            <v>yes</v>
          </cell>
          <cell r="F865" t="str">
            <v>F0604</v>
          </cell>
          <cell r="G865" t="str">
            <v>Main Replacement - ISRS (S)</v>
          </cell>
          <cell r="H865" t="str">
            <v>Repl w/ 5800F 2-4P Liberty Ph2</v>
          </cell>
          <cell r="I865" t="str">
            <v>open</v>
          </cell>
          <cell r="J865" t="str">
            <v>Install 4985 Ft of 2in PL and 815 Ft of 4in PL. Abandon 910 Ft of 2in ST, 467 Ft of 3in ST, 4159 Ft of 4in ST, 262 Ft of 6in ST. Uprate 161 Ft of ST LP, 5776 Ft of PL LP  Liberty South of 23rd - Phase 2</v>
          </cell>
          <cell r="K865" t="str">
            <v>FY16 Bare Steel Replacement Program.</v>
          </cell>
          <cell r="P865" t="str">
            <v>0201-043001  JACKSON CTY/INDEPENDENCE</v>
          </cell>
          <cell r="Q865">
            <v>117683.01</v>
          </cell>
          <cell r="R865">
            <v>-6679</v>
          </cell>
        </row>
        <row r="866">
          <cell r="A866" t="str">
            <v>004462</v>
          </cell>
          <cell r="B866" t="str">
            <v>LDC 2</v>
          </cell>
          <cell r="D866" t="str">
            <v>yes</v>
          </cell>
          <cell r="E866" t="str">
            <v>20201132685</v>
          </cell>
          <cell r="F866" t="str">
            <v>F0580</v>
          </cell>
          <cell r="G866" t="str">
            <v>Replace steel &amp; plastic main</v>
          </cell>
          <cell r="H866" t="str">
            <v>24Hwy &amp; Hardy Abandon 124'-2in PE m</v>
          </cell>
          <cell r="I866" t="str">
            <v>posted to CPR</v>
          </cell>
          <cell r="J866" t="str">
            <v>24Hwy &amp; Hardy Abandon 124'-2in PE main: Independence: 24 Hwy and Hardy Ave Fairmount Medical Clinic</v>
          </cell>
          <cell r="K866" t="str">
            <v>Approved by: Ralph Janes on 07/16/2013,  Abandon 124' of 2in PE main (from wo# 810845) on WO# 13-2685. On a BWO, install 200' of 1/2 IPS to serve the the existing premise 15442 at 10319 E US Hwy 24. Construction of the proposed Fairmount Medical Clinic will force the 2in PE main to be abandoned and meter set for 10319 to be relocated. Kaw Valley Engineering will stake location of new service line. 10325 E US Hwy 24 (premise 15443) will be the address of the proposed Fairmount Medical Clinic, formerly Calico Cat. Abandon the existing service line; the service line to the new building will be installed on a future BWO.</v>
          </cell>
          <cell r="L866">
            <v>41409</v>
          </cell>
          <cell r="M866">
            <v>41564</v>
          </cell>
          <cell r="N866">
            <v>41564.624756944402</v>
          </cell>
          <cell r="P866" t="str">
            <v>0201-043001  JACKSON CTY/INDEPENDENCE</v>
          </cell>
          <cell r="Q866">
            <v>3403.67</v>
          </cell>
          <cell r="R866">
            <v>144</v>
          </cell>
        </row>
        <row r="867">
          <cell r="A867" t="str">
            <v>004640</v>
          </cell>
          <cell r="B867" t="str">
            <v>LDC 2</v>
          </cell>
          <cell r="D867" t="str">
            <v>no</v>
          </cell>
          <cell r="E867" t="str">
            <v>20201121522</v>
          </cell>
          <cell r="F867" t="str">
            <v>F0672</v>
          </cell>
          <cell r="G867" t="str">
            <v>Main Repl - Sys Reinforcement (S)</v>
          </cell>
          <cell r="H867" t="str">
            <v>Tie S-172 to C-500 Blue Ridge Blvd</v>
          </cell>
          <cell r="I867" t="str">
            <v>posted to CPR</v>
          </cell>
          <cell r="J867" t="str">
            <v>Tie S-172 to C-500 Blue Ridge Blvd and 30th St: Independence: Blue Ridge Blvd and 30th St</v>
          </cell>
          <cell r="K867" t="str">
            <v>Approved by: Ralph Janes on 07/13/2012,  Replace and abandon 25' of 2in PCS (WO# 65-1172) with 25' - 2in thin film. This WO is to be completed after the uprate of S-172 to C-500. S-172: MOP = MAOP = 4.75 psig; C-500: MOP = 30 psig, MAOP = 44 psig. DRS 172 to be retired on WO# 12-1521.</v>
          </cell>
          <cell r="L867">
            <v>41416</v>
          </cell>
          <cell r="M867">
            <v>41575</v>
          </cell>
          <cell r="N867">
            <v>41576.418495370403</v>
          </cell>
          <cell r="P867" t="str">
            <v>0201-043001  JACKSON CTY/INDEPENDENCE</v>
          </cell>
          <cell r="Q867">
            <v>7728.67</v>
          </cell>
          <cell r="R867">
            <v>140</v>
          </cell>
        </row>
        <row r="868">
          <cell r="A868" t="str">
            <v>004659</v>
          </cell>
          <cell r="B868" t="str">
            <v>LDC 2</v>
          </cell>
          <cell r="D868" t="str">
            <v>yes</v>
          </cell>
          <cell r="E868" t="str">
            <v>20201132782</v>
          </cell>
          <cell r="F868" t="str">
            <v>F0600</v>
          </cell>
          <cell r="G868" t="str">
            <v>Station Rebuild &amp; Repl ISRS (N)</v>
          </cell>
          <cell r="H868" t="str">
            <v>Retire DRS 105</v>
          </cell>
          <cell r="I868" t="str">
            <v>posted to CPR</v>
          </cell>
          <cell r="J868" t="str">
            <v>Retire DRS 105: Independence: Phelps Rd and 44th</v>
          </cell>
          <cell r="K868" t="str">
            <v>Approved by: Ralph Janes on 07/09/2013,  Retire and remove DRS 105 (wo# 002603) as it was hit by a car and will not be needed after the uprate of pressure system C-013 to C-500 and completion of wo# 13-2786. The two Fisher 133H 2&amp;quot; regulators will be junked due to damage from car collision.</v>
          </cell>
          <cell r="L868">
            <v>41589</v>
          </cell>
          <cell r="M868">
            <v>41638</v>
          </cell>
          <cell r="N868">
            <v>41643.435370370396</v>
          </cell>
          <cell r="P868" t="str">
            <v>0201-043001  JACKSON CTY/INDEPENDENCE</v>
          </cell>
          <cell r="Q868">
            <v>5182.3900000000003</v>
          </cell>
          <cell r="R868">
            <v>14</v>
          </cell>
        </row>
        <row r="869">
          <cell r="A869" t="str">
            <v>003971</v>
          </cell>
          <cell r="B869" t="str">
            <v>LDC 2</v>
          </cell>
          <cell r="D869" t="str">
            <v>yes</v>
          </cell>
          <cell r="E869" t="str">
            <v>20201050371</v>
          </cell>
          <cell r="F869" t="str">
            <v>F0581</v>
          </cell>
          <cell r="G869" t="str">
            <v>SLRP - modified block by block - co</v>
          </cell>
          <cell r="H869" t="str">
            <v>BWO SERVICE LINE MODIFIED BLOCK CON</v>
          </cell>
          <cell r="I869" t="str">
            <v>posted to CPR</v>
          </cell>
          <cell r="J869" t="str">
            <v>BWO SERVICE LINE MODIFIED BLOCK CONT-SLRP</v>
          </cell>
          <cell r="K869" t="str">
            <v>Project Type:B</v>
          </cell>
          <cell r="L869">
            <v>41717</v>
          </cell>
          <cell r="M869">
            <v>41717</v>
          </cell>
          <cell r="N869">
            <v>41717</v>
          </cell>
          <cell r="P869" t="str">
            <v>0201-043001  JACKSON CTY/INDEPENDENCE</v>
          </cell>
          <cell r="Q869">
            <v>788.03</v>
          </cell>
          <cell r="R869">
            <v>0</v>
          </cell>
        </row>
        <row r="870">
          <cell r="A870" t="str">
            <v>800657</v>
          </cell>
          <cell r="B870" t="str">
            <v>LDC 2</v>
          </cell>
          <cell r="D870" t="str">
            <v>no</v>
          </cell>
          <cell r="F870" t="str">
            <v>F0604</v>
          </cell>
          <cell r="G870" t="str">
            <v>Main Replacement - ISRS (S)</v>
          </cell>
          <cell r="H870" t="str">
            <v>Aband 240F 4P Lake Michael</v>
          </cell>
          <cell r="I870" t="str">
            <v>open</v>
          </cell>
          <cell r="J870" t="str">
            <v>Abandon ~240 Ft of 4" PL IP Main.</v>
          </cell>
          <cell r="K870" t="str">
            <v>The dam and the road on the dam has washed out leaving a large section of our gas main exposed. The system is looped. We will cut and cap the existing main and will replace if the community repairs the washout.</v>
          </cell>
          <cell r="P870" t="str">
            <v>0301-046001  JOHNSON CTY/WARRENSBURG</v>
          </cell>
          <cell r="Q870">
            <v>2169.91</v>
          </cell>
          <cell r="R870">
            <v>305</v>
          </cell>
        </row>
        <row r="871">
          <cell r="A871" t="str">
            <v>800449</v>
          </cell>
          <cell r="B871" t="str">
            <v>LDC 2</v>
          </cell>
          <cell r="C871" t="str">
            <v>03 - Bare Steel Replacement</v>
          </cell>
          <cell r="D871" t="str">
            <v>yes</v>
          </cell>
          <cell r="F871" t="str">
            <v>F0604</v>
          </cell>
          <cell r="G871" t="str">
            <v>Main Replacement - ISRS (S)</v>
          </cell>
          <cell r="H871" t="str">
            <v>Repl w 930F 2P Kiger N of Rt 24</v>
          </cell>
          <cell r="I871" t="str">
            <v>open</v>
          </cell>
          <cell r="J871" t="str">
            <v>Install ~930 Ft of 2" PL IP Main. Abandon ~918 Ft of 2" ST IP Main. Total Service Tie Over = 14; Total Service Replace = 1 (8ft).</v>
          </cell>
          <cell r="K871" t="str">
            <v>This main is being replaced as part of the strategic plan.</v>
          </cell>
          <cell r="P871" t="str">
            <v>0201-043001  JACKSON CTY/INDEPENDENCE</v>
          </cell>
          <cell r="Q871">
            <v>0</v>
          </cell>
          <cell r="R871">
            <v>918</v>
          </cell>
        </row>
        <row r="872">
          <cell r="A872" t="str">
            <v>010113</v>
          </cell>
          <cell r="B872" t="str">
            <v>LDC 2</v>
          </cell>
          <cell r="D872" t="str">
            <v>no</v>
          </cell>
          <cell r="F872" t="str">
            <v>F0644</v>
          </cell>
          <cell r="G872" t="str">
            <v>Meter &amp; Reg Settings 2" &amp; Lg (S)</v>
          </cell>
          <cell r="H872" t="str">
            <v>Los Cabos Rotary Meter Set</v>
          </cell>
          <cell r="I872" t="str">
            <v>in service</v>
          </cell>
          <cell r="J872" t="str">
            <v>Install a 5M Rotary Meter to serve one new commerical customer at 18201 E Bass Pro Dr- Total Connected Load = 4,721 cfh</v>
          </cell>
          <cell r="L872">
            <v>42573</v>
          </cell>
          <cell r="O872">
            <v>42614</v>
          </cell>
          <cell r="P872" t="str">
            <v>0201-043001  JACKSON CTY/INDEPENDENCE</v>
          </cell>
          <cell r="Q872">
            <v>1471.29</v>
          </cell>
          <cell r="R872">
            <v>-47.5</v>
          </cell>
        </row>
        <row r="873">
          <cell r="A873" t="str">
            <v>005016</v>
          </cell>
          <cell r="B873" t="str">
            <v>LDC 2</v>
          </cell>
          <cell r="D873" t="str">
            <v>no</v>
          </cell>
          <cell r="E873" t="str">
            <v>20201143459</v>
          </cell>
          <cell r="F873" t="str">
            <v>F0676</v>
          </cell>
          <cell r="G873" t="str">
            <v>Meter &amp; regulator settings - 2" &amp; l</v>
          </cell>
          <cell r="H873" t="str">
            <v>WalMart Neighborhood Market 3M mtr</v>
          </cell>
          <cell r="I873" t="str">
            <v>posted to CPR</v>
          </cell>
          <cell r="J873" t="str">
            <v>WalMart Neighborhood Market 3M mtr set: Independence: New Meter &amp; Reg Settings - 2in &amp; Larger 3820/3830 (33-382)</v>
          </cell>
          <cell r="K873" t="str">
            <v>Approved by: Ralph Janes on 04/16/2014,  Install 3M Rotary meter setting to serve one new commercial customer. 1-1/4" pe service line to be installed on bwo.</v>
          </cell>
          <cell r="L873">
            <v>41780</v>
          </cell>
          <cell r="M873">
            <v>41904</v>
          </cell>
          <cell r="N873">
            <v>41914.651157407403</v>
          </cell>
          <cell r="O873">
            <v>41791</v>
          </cell>
          <cell r="P873" t="str">
            <v>0201-043001  JACKSON CTY/INDEPENDENCE</v>
          </cell>
          <cell r="Q873">
            <v>4222.88</v>
          </cell>
          <cell r="R873">
            <v>-7</v>
          </cell>
        </row>
        <row r="874">
          <cell r="A874" t="str">
            <v>009254</v>
          </cell>
          <cell r="B874" t="str">
            <v>LDC 2</v>
          </cell>
          <cell r="D874" t="str">
            <v>yes</v>
          </cell>
          <cell r="E874" t="str">
            <v>20301155525</v>
          </cell>
          <cell r="F874" t="str">
            <v>F0604</v>
          </cell>
          <cell r="G874" t="str">
            <v>Main Replacement - ISRS (S)</v>
          </cell>
          <cell r="H874" t="str">
            <v>Replace 2in pbs main</v>
          </cell>
          <cell r="I874" t="str">
            <v>posted to CPR</v>
          </cell>
          <cell r="J874" t="str">
            <v>Replace 2in pbs main: Warrensburg: Replace Bare Steel Main - 3760 Safety Related (34-394)</v>
          </cell>
          <cell r="K874" t="str">
            <v>Approved by: Joe Hampton on 08/25/2015,  Replace and abandon 745' - 4" pbs and 394' - 2" pbs main by installing 1,275' - 2" pe main - ARP (ISRS)</v>
          </cell>
          <cell r="L874">
            <v>42412</v>
          </cell>
          <cell r="M874">
            <v>42491</v>
          </cell>
          <cell r="N874">
            <v>42586.5698148148</v>
          </cell>
          <cell r="O874">
            <v>42401</v>
          </cell>
          <cell r="P874" t="str">
            <v>0301-046001  JOHNSON CTY/WARRENSBURG</v>
          </cell>
          <cell r="Q874">
            <v>197049.33</v>
          </cell>
          <cell r="R874">
            <v>-674</v>
          </cell>
        </row>
        <row r="875">
          <cell r="A875" t="str">
            <v>005011</v>
          </cell>
          <cell r="B875" t="str">
            <v>LDC 2</v>
          </cell>
          <cell r="D875" t="str">
            <v>no</v>
          </cell>
          <cell r="E875" t="str">
            <v>20301143469</v>
          </cell>
          <cell r="F875" t="str">
            <v>F0673</v>
          </cell>
          <cell r="G875" t="str">
            <v>New Main Extensions (S)</v>
          </cell>
          <cell r="H875" t="str">
            <v>620 N Maguire Lay 110'-2in PE main</v>
          </cell>
          <cell r="I875" t="str">
            <v>posted to CPR</v>
          </cell>
          <cell r="J875" t="str">
            <v>620 N Maguire Lay 110'-2in PE main ext: Warrensburg: New Main Extension - Company Crews  3760 (33-305)</v>
          </cell>
          <cell r="K875" t="str">
            <v>Approved by: Ralph Janes on 04/03/2014,  Install 110' - 2" pe main extension to serve one new commercial customer.  Note:  90' - 1/2" pe service line to be installed on BWO. Per WOES, check for $691.71 received 4-15-14.</v>
          </cell>
          <cell r="L875">
            <v>41771</v>
          </cell>
          <cell r="M875">
            <v>42248</v>
          </cell>
          <cell r="N875">
            <v>42377.350601851896</v>
          </cell>
          <cell r="O875">
            <v>41821</v>
          </cell>
          <cell r="P875" t="str">
            <v>0301-046001  JOHNSON CTY/WARRENSBURG</v>
          </cell>
          <cell r="Q875">
            <v>1753.7</v>
          </cell>
          <cell r="R875">
            <v>-82</v>
          </cell>
        </row>
        <row r="876">
          <cell r="A876" t="str">
            <v>003909</v>
          </cell>
          <cell r="B876" t="str">
            <v>LDC 2</v>
          </cell>
          <cell r="D876" t="str">
            <v>no</v>
          </cell>
          <cell r="E876" t="str">
            <v>20301132952</v>
          </cell>
          <cell r="F876" t="str">
            <v>F0675</v>
          </cell>
          <cell r="G876" t="str">
            <v>Services -  2" &amp; larger</v>
          </cell>
          <cell r="H876" t="str">
            <v>General Services Facility UCM2 Serv</v>
          </cell>
          <cell r="I876" t="str">
            <v>posted to CPR</v>
          </cell>
          <cell r="J876" t="str">
            <v>General Services Facility UCM2 Service Line: Warrensburg: 415 E. Clark St.</v>
          </cell>
          <cell r="K876" t="str">
            <v>Approved by: Ralph Janes on 10/01/2013,  Install 120' of 2in PE service line on wo# 13-2952 to serve the new General Services Building for UCM with a load of 4,120 cfh. Proposed service line will tap into 2in Pcs main from wo# 57375 with a MOP and MAOP of 8 psig. 5M meter set will be built on wo# 13-2994.</v>
          </cell>
          <cell r="L876">
            <v>41548</v>
          </cell>
          <cell r="M876">
            <v>41626</v>
          </cell>
          <cell r="N876">
            <v>41630.722164351901</v>
          </cell>
          <cell r="O876">
            <v>41730</v>
          </cell>
          <cell r="P876" t="str">
            <v>0301-046001  JOHNSON CTY/WARRENSBURG</v>
          </cell>
          <cell r="Q876">
            <v>3351.18</v>
          </cell>
          <cell r="R876">
            <v>280</v>
          </cell>
        </row>
        <row r="877">
          <cell r="A877" t="str">
            <v>800849</v>
          </cell>
          <cell r="B877" t="str">
            <v>LDC 2</v>
          </cell>
          <cell r="C877" t="str">
            <v>03 - Bare Steel Replacement</v>
          </cell>
          <cell r="D877" t="str">
            <v>yes</v>
          </cell>
          <cell r="F877" t="str">
            <v>F0604</v>
          </cell>
          <cell r="G877" t="str">
            <v>Main Replacement - ISRS (S)</v>
          </cell>
          <cell r="H877" t="str">
            <v>Repl 1330F 2P Carrollton Grid Ph J</v>
          </cell>
          <cell r="I877" t="str">
            <v>open</v>
          </cell>
          <cell r="J877" t="str">
            <v>Install 1330 ft of 2 in PL IP main on W 1st St and Walnut Dr.</v>
          </cell>
          <cell r="K877" t="str">
            <v>Abandon 5 Ft of 2" PL IP main, 380 Ft 1 1/4 in ST IP main, 465 Ft of 2 in ST IP main, and 887 Ft of 6 in ST IP main at the above locations.  Total Service Tie-over = 6.  This main is being abandoned as part of FY16 Bare Steel Replacement Program.</v>
          </cell>
          <cell r="P877" t="str">
            <v>0312-014001  CARROLL CTY/CARROLLTON</v>
          </cell>
          <cell r="Q877">
            <v>5281.05</v>
          </cell>
          <cell r="R877">
            <v>203</v>
          </cell>
        </row>
        <row r="878">
          <cell r="A878" t="str">
            <v>008271</v>
          </cell>
          <cell r="B878" t="str">
            <v>LDC 2</v>
          </cell>
          <cell r="D878" t="str">
            <v>yes</v>
          </cell>
          <cell r="E878" t="str">
            <v>20305155220</v>
          </cell>
          <cell r="F878" t="str">
            <v>F0604</v>
          </cell>
          <cell r="G878" t="str">
            <v>Main Replacement - ISRS (S)</v>
          </cell>
          <cell r="H878" t="str">
            <v>Replace 2in PE, PBS and PCS</v>
          </cell>
          <cell r="I878" t="str">
            <v>posted to CPR</v>
          </cell>
          <cell r="J878" t="str">
            <v>Replace 2in PE, PBS and PCS: Sweet Springs: Replace Bare Steel Main - 3760 Safety Related (34-394)</v>
          </cell>
          <cell r="K878" t="str">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ell>
          <cell r="L878">
            <v>42286</v>
          </cell>
          <cell r="M878">
            <v>42614</v>
          </cell>
          <cell r="N878">
            <v>42649.699837963002</v>
          </cell>
          <cell r="O878">
            <v>42370</v>
          </cell>
          <cell r="P878" t="str">
            <v>0305-086001  SALINE CTY/SWEET SPRINGS</v>
          </cell>
          <cell r="Q878">
            <v>117861.68</v>
          </cell>
          <cell r="R878">
            <v>-2438</v>
          </cell>
        </row>
        <row r="879">
          <cell r="A879" t="str">
            <v>800486</v>
          </cell>
          <cell r="B879" t="str">
            <v>LDC 2</v>
          </cell>
          <cell r="D879" t="str">
            <v>no</v>
          </cell>
          <cell r="F879" t="str">
            <v>F0673</v>
          </cell>
          <cell r="G879" t="str">
            <v>New Main Extensions (S)</v>
          </cell>
          <cell r="H879" t="str">
            <v>Install 150F 2P 306 Frevert</v>
          </cell>
          <cell r="I879" t="str">
            <v>in service</v>
          </cell>
          <cell r="J879" t="str">
            <v>Install ~150 Ft of 2" PL LP New Main Extension to serve one new residential customer.</v>
          </cell>
          <cell r="L879">
            <v>42429</v>
          </cell>
          <cell r="O879">
            <v>42736</v>
          </cell>
          <cell r="P879" t="str">
            <v>0317-040001  HOWARD CTY/FAYETTE</v>
          </cell>
          <cell r="Q879">
            <v>2304.33</v>
          </cell>
          <cell r="R879">
            <v>21</v>
          </cell>
        </row>
        <row r="880">
          <cell r="A880" t="str">
            <v>800073</v>
          </cell>
          <cell r="B880" t="str">
            <v>LDC 2</v>
          </cell>
          <cell r="C880" t="str">
            <v>03 - Bare Steel Replacement</v>
          </cell>
          <cell r="D880" t="str">
            <v>yes</v>
          </cell>
          <cell r="F880" t="str">
            <v>F0604</v>
          </cell>
          <cell r="G880" t="str">
            <v>Main Replacement - ISRS (S)</v>
          </cell>
          <cell r="H880" t="str">
            <v>Tipton Grid Phase F - Bare steel re</v>
          </cell>
          <cell r="I880" t="str">
            <v>in service</v>
          </cell>
          <cell r="J880" t="str">
            <v>Inst 8563ft 2in, 3479ft of 4in, and 1634ft of 6in PL MP main for Tipton Grid Phase F. Abdn 210ft of 2in PL, 2740ft of 2in, 6115ft of 3in and 865ft of 4in PBS, 3436 Ft of 2 in, 600 Ft of 3 in and 284 Ft of 4 in PCS (Majority poorly coated) MP main.</v>
          </cell>
          <cell r="K880" t="str">
            <v>FY16 Bare Steel Replacement Program.</v>
          </cell>
          <cell r="L880">
            <v>42674</v>
          </cell>
          <cell r="O880">
            <v>42644</v>
          </cell>
          <cell r="P880" t="str">
            <v>0318-062001  MONITEAU CTY/TIPTON</v>
          </cell>
          <cell r="Q880">
            <v>614068.18000000005</v>
          </cell>
          <cell r="R880">
            <v>-14489.9133</v>
          </cell>
        </row>
        <row r="881">
          <cell r="A881" t="str">
            <v>011610</v>
          </cell>
          <cell r="B881" t="str">
            <v>LDC 2</v>
          </cell>
          <cell r="D881" t="str">
            <v>yes</v>
          </cell>
          <cell r="F881" t="str">
            <v>F1191</v>
          </cell>
          <cell r="G881" t="str">
            <v>Station Rebuild &amp; Repl ISRS (S)</v>
          </cell>
          <cell r="H881" t="str">
            <v>Ret reg stn-Alley b/w 3rd &amp; 4th</v>
          </cell>
          <cell r="I881" t="str">
            <v>open</v>
          </cell>
          <cell r="J881" t="str">
            <v>Abandon Regulator Station 2 (ALLEY BETWEEN 3RD &amp; 4TH ON LONG)</v>
          </cell>
          <cell r="K881" t="str">
            <v>DRS #2</v>
          </cell>
          <cell r="P881" t="str">
            <v>0318-062001  MONITEAU CTY/TIPTON</v>
          </cell>
          <cell r="Q881">
            <v>521.38</v>
          </cell>
          <cell r="R881">
            <v>16</v>
          </cell>
        </row>
        <row r="882">
          <cell r="A882" t="str">
            <v>011520</v>
          </cell>
          <cell r="B882" t="str">
            <v>LDC 2</v>
          </cell>
          <cell r="D882" t="str">
            <v>no</v>
          </cell>
          <cell r="F882" t="str">
            <v>F1091</v>
          </cell>
          <cell r="G882" t="str">
            <v>Repl of Security Cameras/Gates</v>
          </cell>
          <cell r="H882" t="str">
            <v>Video Intercom System - Monett</v>
          </cell>
          <cell r="I882" t="str">
            <v>in service</v>
          </cell>
          <cell r="J882" t="str">
            <v>Viking video intercom system and access control on 2 doors at Monett Facility.</v>
          </cell>
          <cell r="L882">
            <v>42551</v>
          </cell>
          <cell r="O882">
            <v>42614</v>
          </cell>
          <cell r="P882" t="str">
            <v>0801-005001  BARRY CTY/MONETT</v>
          </cell>
          <cell r="Q882">
            <v>13463.71</v>
          </cell>
          <cell r="R882">
            <v>0</v>
          </cell>
        </row>
        <row r="883">
          <cell r="A883" t="str">
            <v>800391</v>
          </cell>
          <cell r="B883" t="str">
            <v>LDC 2</v>
          </cell>
          <cell r="C883" t="str">
            <v>03 - Bare Steel Replacement</v>
          </cell>
          <cell r="D883" t="str">
            <v>yes</v>
          </cell>
          <cell r="F883" t="str">
            <v>F0572</v>
          </cell>
          <cell r="G883" t="str">
            <v>Main Replacement - ISRS (SW)</v>
          </cell>
          <cell r="H883" t="str">
            <v>Repl w/ 88F 2P 2nd &amp; Broadway</v>
          </cell>
          <cell r="I883" t="str">
            <v>posted to CPR</v>
          </cell>
          <cell r="J883" t="str">
            <v>Install 88 Ft of 2 in PL LP Main at 2nd St and Broadway St.  Abandon 90 Ft of 2 in ST LP Main at above location.</v>
          </cell>
          <cell r="K883" t="str">
            <v>Main being replaced due to cathodic protection - corrosion issues.</v>
          </cell>
          <cell r="L883">
            <v>42551</v>
          </cell>
          <cell r="M883">
            <v>42643</v>
          </cell>
          <cell r="N883">
            <v>42742.625324074099</v>
          </cell>
          <cell r="O883">
            <v>42522</v>
          </cell>
          <cell r="P883" t="str">
            <v>0801-005001  BARRY CTY/MONETT</v>
          </cell>
          <cell r="Q883">
            <v>6042.97</v>
          </cell>
          <cell r="R883">
            <v>7</v>
          </cell>
        </row>
        <row r="884">
          <cell r="A884" t="str">
            <v>004292</v>
          </cell>
          <cell r="B884" t="str">
            <v>LDC 2</v>
          </cell>
          <cell r="D884" t="str">
            <v>no</v>
          </cell>
          <cell r="E884" t="str">
            <v>20801050303</v>
          </cell>
          <cell r="F884" t="str">
            <v>F0551</v>
          </cell>
          <cell r="G884" t="str">
            <v>BWO - meters retired</v>
          </cell>
          <cell r="H884" t="str">
            <v>BWO - METERS RETIRED</v>
          </cell>
          <cell r="I884" t="str">
            <v>posted to CPR</v>
          </cell>
          <cell r="J884" t="str">
            <v>BWO - METERS RETIRED</v>
          </cell>
          <cell r="K884" t="str">
            <v>Project Type:B</v>
          </cell>
          <cell r="L884">
            <v>41717</v>
          </cell>
          <cell r="M884">
            <v>41717</v>
          </cell>
          <cell r="N884">
            <v>41717</v>
          </cell>
          <cell r="O884">
            <v>41944</v>
          </cell>
          <cell r="P884" t="str">
            <v>0801-005001  BARRY CTY/MONETT</v>
          </cell>
          <cell r="Q884">
            <v>151.77000000000001</v>
          </cell>
          <cell r="R884">
            <v>447.38</v>
          </cell>
        </row>
        <row r="885">
          <cell r="A885" t="str">
            <v>004561</v>
          </cell>
          <cell r="B885" t="str">
            <v>LDC 2</v>
          </cell>
          <cell r="D885" t="str">
            <v>no</v>
          </cell>
          <cell r="E885" t="str">
            <v>20801133029</v>
          </cell>
          <cell r="F885" t="str">
            <v>F0495</v>
          </cell>
          <cell r="G885" t="str">
            <v>General structures</v>
          </cell>
          <cell r="H885" t="str">
            <v>Contruct Soil Bin 15x15 Neosho FOP</v>
          </cell>
          <cell r="I885" t="str">
            <v>posted to CPR</v>
          </cell>
          <cell r="J885" t="str">
            <v>Contruct Soil Bin 15x15 Neosho FOP: Monett: Neosho FOP</v>
          </cell>
          <cell r="K885" t="str">
            <v>Approved by: Galen Shoemaker on 09/27/2013,  Construct 15' x 15'concrete block soil bin.  The bins are for any excess spoil that does not fit back in the hole. The spoil will be stock piled in these bins (there will be one at every location) and picked up and taken to a land fill as the bin becomes full.We were told just to charge it to facilities (from the environmental department</v>
          </cell>
          <cell r="L885">
            <v>41523</v>
          </cell>
          <cell r="M885">
            <v>41547</v>
          </cell>
          <cell r="N885">
            <v>41627.582893518498</v>
          </cell>
          <cell r="P885" t="str">
            <v>0801-005001  BARRY CTY/MONETT</v>
          </cell>
          <cell r="Q885">
            <v>8425.0300000000007</v>
          </cell>
          <cell r="R885">
            <v>480</v>
          </cell>
        </row>
        <row r="886">
          <cell r="A886" t="str">
            <v>801057</v>
          </cell>
          <cell r="B886" t="str">
            <v>LDC 2</v>
          </cell>
          <cell r="C886" t="str">
            <v>03 - Bare Steel Replacement</v>
          </cell>
          <cell r="D886" t="str">
            <v>yes</v>
          </cell>
          <cell r="F886" t="str">
            <v>F0572</v>
          </cell>
          <cell r="G886" t="str">
            <v>Main Replacement - ISRS (SW)</v>
          </cell>
          <cell r="H886" t="str">
            <v>Repl w 8235F 2-6P Neosho C-001</v>
          </cell>
          <cell r="I886" t="str">
            <v>open</v>
          </cell>
          <cell r="J886" t="str">
            <v>Install 5500 Ft. of 2 inch PL IP Main and 2735 Ft. of 6 inch on Wall St., Main St., Commercial Ave., Grant Ave., Washington Ave., Benham Ave., Sherman Ave., Madison Ave. and Jefferson Ave.</v>
          </cell>
          <cell r="K886" t="str">
            <v>Abandon 202 Ft of 1 1/4 in PL IP Main, 413 Ft of 2 in PL IP Main, 4717 Ft of 2 in ST IP Main, and 2730 Ft of 6 in ST IP Main on the above mentioned streets.  Total Service Tie-over =74; Total Service Abandoned = 21; Total Service Replace = 3.  This main is being abandoned as part of FY16 Bare Steel Replacement Program. WO #801057 Replaced the Canceled WO# 800644.</v>
          </cell>
          <cell r="P886" t="str">
            <v>0806-066010  NEWTON CTY/NEOSHO</v>
          </cell>
          <cell r="Q886">
            <v>0</v>
          </cell>
          <cell r="R886">
            <v>8062</v>
          </cell>
        </row>
        <row r="887">
          <cell r="A887" t="str">
            <v>008908</v>
          </cell>
          <cell r="B887" t="str">
            <v>LDC 2</v>
          </cell>
          <cell r="D887" t="str">
            <v>no</v>
          </cell>
          <cell r="E887" t="str">
            <v>20806155428</v>
          </cell>
          <cell r="F887" t="str">
            <v>F0556</v>
          </cell>
          <cell r="G887" t="str">
            <v>Tools, instruments &amp; equipment</v>
          </cell>
          <cell r="H887" t="str">
            <v>Tools Purchase Timberline Pinch Off</v>
          </cell>
          <cell r="I887" t="str">
            <v>posted to CPR</v>
          </cell>
          <cell r="J887" t="str">
            <v>Tools Purchase Timberline Pinch Off Neosho: Neosho: Purchase Tools, Instruments &amp; Equipment  3940 (37-366)</v>
          </cell>
          <cell r="K887" t="str">
            <v>Approved by: Michael Fornelli on 07/01/2015,  Purchase 2 Timberline TC1-S Standard Gas Pinch Off Tools for Neosho C&amp;M.</v>
          </cell>
          <cell r="L887">
            <v>42230</v>
          </cell>
          <cell r="M887">
            <v>42491</v>
          </cell>
          <cell r="N887">
            <v>42527.512604166703</v>
          </cell>
          <cell r="O887">
            <v>42217</v>
          </cell>
          <cell r="P887" t="str">
            <v>0806-066010  NEWTON CTY/NEOSHO</v>
          </cell>
          <cell r="Q887">
            <v>851.89</v>
          </cell>
          <cell r="R887">
            <v>2</v>
          </cell>
        </row>
        <row r="888">
          <cell r="A888" t="str">
            <v>006913</v>
          </cell>
          <cell r="B888" t="str">
            <v>LDC 2</v>
          </cell>
          <cell r="D888" t="str">
            <v>no</v>
          </cell>
          <cell r="E888" t="str">
            <v>20806143906</v>
          </cell>
          <cell r="F888" t="str">
            <v>F0556</v>
          </cell>
          <cell r="G888" t="str">
            <v>Tools, instruments &amp; equipment</v>
          </cell>
          <cell r="H888" t="str">
            <v>Tools Purchase 4in PE Scrapers for</v>
          </cell>
          <cell r="I888" t="str">
            <v>posted to CPR</v>
          </cell>
          <cell r="J888" t="str">
            <v>Tools Purchase 4in PE Scrapers for Neosho C and M: Neosho: Purchase Tools, Instruments &amp; Equipment  3940 (37-366)</v>
          </cell>
          <cell r="K888" t="str">
            <v>Approved by: Galen Shoemaker on 11/14/2014,  Purchase two 4" PE pipe scrapers for Neosho C&amp;M. No units will be retired.</v>
          </cell>
          <cell r="L888">
            <v>42006</v>
          </cell>
          <cell r="M888">
            <v>42248</v>
          </cell>
          <cell r="N888">
            <v>42496.560092592597</v>
          </cell>
          <cell r="O888">
            <v>42005</v>
          </cell>
          <cell r="P888" t="str">
            <v>0806-066010  NEWTON CTY/NEOSHO</v>
          </cell>
          <cell r="Q888">
            <v>1116.51</v>
          </cell>
          <cell r="R888">
            <v>2</v>
          </cell>
        </row>
        <row r="889">
          <cell r="A889" t="str">
            <v>003855</v>
          </cell>
          <cell r="B889" t="str">
            <v>LDC 2</v>
          </cell>
          <cell r="D889" t="str">
            <v>no</v>
          </cell>
          <cell r="E889" t="str">
            <v>20809132351</v>
          </cell>
          <cell r="F889" t="str">
            <v>F0592</v>
          </cell>
          <cell r="G889" t="str">
            <v>Replace bare steel main - safety re</v>
          </cell>
          <cell r="H889" t="str">
            <v>Elliott Ave Repl 2in PBS w 665'-2in</v>
          </cell>
          <cell r="I889" t="str">
            <v>cancelled</v>
          </cell>
          <cell r="J889" t="str">
            <v>Elliott Ave Repl 2in PBS w 665'-2in CS Main: Aurora: Elliott Ave and Myrtle St</v>
          </cell>
          <cell r="K889" t="str">
            <v>Approved by: Galen Shoemaker on 01/22/2013,  Abandon 405ft 2in Protected Bare Steel from WO JO18B, 5ft 2in Protected Bare Steel from WO 25757, and 240ft 2in Protected Bare Steel Main from WO 25590 and Replace with 665 ft of 2in Coated Steel, on rectified system, due to leakage and poor condition of main. Will bore in 2 places. MOP=2# MAOP=2# TEST=100# SYSTEM=S-2 $39.55/ft</v>
          </cell>
          <cell r="N889">
            <v>41732</v>
          </cell>
          <cell r="P889" t="str">
            <v>0809-050003  LAWRENCE CTY/AURORA</v>
          </cell>
          <cell r="Q889">
            <v>0</v>
          </cell>
          <cell r="R889">
            <v>87</v>
          </cell>
        </row>
        <row r="890">
          <cell r="A890" t="str">
            <v>007330</v>
          </cell>
          <cell r="B890" t="str">
            <v>LDC 2</v>
          </cell>
          <cell r="D890" t="str">
            <v>no</v>
          </cell>
          <cell r="E890" t="str">
            <v>20323144062</v>
          </cell>
          <cell r="F890" t="str">
            <v>F0503</v>
          </cell>
          <cell r="G890" t="str">
            <v>Rectifier New/Repl ISRS (N)</v>
          </cell>
          <cell r="H890" t="str">
            <v>HOUSTONIA GROUNDBED REPLACEMENT</v>
          </cell>
          <cell r="I890" t="str">
            <v>posted to CPR</v>
          </cell>
          <cell r="J890" t="str">
            <v>HOUSTONIA GROUNDBED REPLACEMENT: Houstonia: Replace Rectifier/Groundbed  3760 (46-406)Lees Summit</v>
          </cell>
          <cell r="K890" t="str">
            <v>Approved by: Ray Wilson on 12/29/2014,  This work order is necessary to replace the existing ground bed at the existing location that was installed on work order 77-1860. The new ground bed will have 4 graphite anodes 3" X 60" surrounded by coke breeze. All installation will be completed by the Lee's Summit corrosion Crew.</v>
          </cell>
          <cell r="L890">
            <v>41964</v>
          </cell>
          <cell r="M890">
            <v>41670</v>
          </cell>
          <cell r="N890">
            <v>42345.382476851897</v>
          </cell>
          <cell r="O890">
            <v>42005</v>
          </cell>
          <cell r="P890" t="str">
            <v>0323-072007  PETTIS CTY/HOUSTONIA</v>
          </cell>
          <cell r="Q890">
            <v>12461.35</v>
          </cell>
          <cell r="R890">
            <v>-68</v>
          </cell>
        </row>
        <row r="891">
          <cell r="A891" t="str">
            <v>006516</v>
          </cell>
          <cell r="B891" t="str">
            <v>LDC 2</v>
          </cell>
          <cell r="D891" t="str">
            <v>yes</v>
          </cell>
          <cell r="E891" t="str">
            <v>20324143651</v>
          </cell>
          <cell r="F891" t="str">
            <v>F0604</v>
          </cell>
          <cell r="G891" t="str">
            <v>Main Replacement - ISRS (S)</v>
          </cell>
          <cell r="H891" t="str">
            <v>Replace PBS Main in Pilot Grove</v>
          </cell>
          <cell r="I891" t="str">
            <v>posted to CPR</v>
          </cell>
          <cell r="J891" t="str">
            <v>Replace PBS Main in Pilot Grove: Pilot Grove: Replace Bare Steel Main - 3760 Safety Related (34-394)</v>
          </cell>
          <cell r="K891" t="str">
            <v>Approved by: Steve Holcomb on 09/22/2014,  Replace and abandon all remaining steel pipe in Pilot Grove with 1,390' - 6" PE, 7,150' - 4" PE, and 12,375' - 2" PE. This work order is to be completed after WO#'s 14-3614 and 14-3615. This will allow us to retire DRS# 1 and retire the rectifier in town. Please see Pipe tab for detail on main to abandon: 10' - 8" PBS, 708' - 6" PBS, 845' - 4" PBS, 8071' - 3" PBS, 5374' - 2" PBS, 3892' - 2" PCS, 743' - 3" PCS, 315' - 4" PCS, 136' - 2" PE, and 8' - 4" PE. (ISRS) Price per ft = $27.55</v>
          </cell>
          <cell r="L891">
            <v>42124</v>
          </cell>
          <cell r="M891">
            <v>42216</v>
          </cell>
          <cell r="N891">
            <v>42256.641319444403</v>
          </cell>
          <cell r="O891">
            <v>42125</v>
          </cell>
          <cell r="P891" t="str">
            <v>0324-023001  COOPER CTY/PILOT GROVE</v>
          </cell>
          <cell r="Q891">
            <v>956084.16</v>
          </cell>
          <cell r="R891">
            <v>-23334</v>
          </cell>
        </row>
        <row r="892">
          <cell r="A892" t="str">
            <v>006654</v>
          </cell>
          <cell r="B892" t="str">
            <v>LDC 2</v>
          </cell>
          <cell r="D892" t="str">
            <v>yes</v>
          </cell>
          <cell r="E892" t="str">
            <v>20806143868</v>
          </cell>
          <cell r="F892" t="str">
            <v>F0573</v>
          </cell>
          <cell r="G892" t="str">
            <v>Replace bare steel main - safety re</v>
          </cell>
          <cell r="H892" t="str">
            <v>Repl 2in PBS due to CP</v>
          </cell>
          <cell r="I892" t="str">
            <v>posted to CPR</v>
          </cell>
          <cell r="J892" t="str">
            <v>Repl 2in; PBS due to CP: Neosho: Replace Bare Steel Main - 3760 Safety Related (34-394)</v>
          </cell>
          <cell r="K892" t="str">
            <v>Approved by: Galen Shoemaker on 10/10/2014,  Abandon 1010' - 2" PBS (A7622A, A7622B) and replace with 1010' of 2" PE due to isolated bare steel that is hard to cathodically protect. This work will clear CP#14-43. Project Location: Canyon Dr and Lariat St; Pressure System: C-1; MOP: 42 psig; MAOP: 42 psig; Design: 58 psig; Test: 100 psig; $38.50/ft ISRS</v>
          </cell>
          <cell r="L892">
            <v>42080</v>
          </cell>
          <cell r="M892">
            <v>42217</v>
          </cell>
          <cell r="N892">
            <v>42284.722523148201</v>
          </cell>
          <cell r="O892">
            <v>42064</v>
          </cell>
          <cell r="P892" t="str">
            <v>0806-066010  NEWTON CTY/NEOSHO</v>
          </cell>
          <cell r="Q892">
            <v>8445.25</v>
          </cell>
          <cell r="R892">
            <v>-712.5</v>
          </cell>
        </row>
        <row r="893">
          <cell r="A893" t="str">
            <v>004441</v>
          </cell>
          <cell r="B893" t="str">
            <v>LDC 2</v>
          </cell>
          <cell r="D893" t="str">
            <v>no</v>
          </cell>
          <cell r="E893" t="str">
            <v>20815133012</v>
          </cell>
          <cell r="F893" t="str">
            <v>F0579</v>
          </cell>
          <cell r="G893" t="str">
            <v>New business</v>
          </cell>
          <cell r="H893" t="str">
            <v>Hartley &amp; Nitro Lay 425'-2in PE mai</v>
          </cell>
          <cell r="I893" t="str">
            <v>posted to CPR</v>
          </cell>
          <cell r="J893" t="str">
            <v>Hartley &amp; Nitro Lay 425'-2in PE main ext: Ozark: Hartley and Nitro</v>
          </cell>
          <cell r="K893" t="str">
            <v>Approved by: Galen Shoemaker on 09/24/2013,  Extend main with 425' - 2in PE to provide service to two lots on Hartley. Main required to provide service to houses is covered by two customer allowances. Company elects to lay the rest of the main in order to loop system. Project Location: Hartley and Nitro; Pressure System: S-2; MOP: 56 psig; MAOP: 56 psig; Design: 58 psig; Test: 100 psig; $37.10/ft</v>
          </cell>
          <cell r="L893">
            <v>41563</v>
          </cell>
          <cell r="M893">
            <v>41626</v>
          </cell>
          <cell r="N893">
            <v>41627.5828356481</v>
          </cell>
          <cell r="O893">
            <v>41730</v>
          </cell>
          <cell r="P893" t="str">
            <v>0815-019006  CHRISTIAN CTY/OZARK</v>
          </cell>
          <cell r="Q893">
            <v>8403.99</v>
          </cell>
          <cell r="R893">
            <v>995</v>
          </cell>
        </row>
        <row r="894">
          <cell r="A894" t="str">
            <v>004890</v>
          </cell>
          <cell r="B894" t="str">
            <v>LDC 2</v>
          </cell>
          <cell r="D894" t="str">
            <v>yes</v>
          </cell>
          <cell r="E894" t="str">
            <v>20902143419</v>
          </cell>
          <cell r="F894" t="str">
            <v>F0604</v>
          </cell>
          <cell r="G894" t="str">
            <v>Main Replacement - ISRS (S)</v>
          </cell>
          <cell r="H894" t="str">
            <v>71 Ter &amp; Ralston Repl PBS main w 23</v>
          </cell>
          <cell r="I894" t="str">
            <v>posted to CPR</v>
          </cell>
          <cell r="J894" t="str">
            <v>71 Ter &amp; Ralston Repl PBS main w 2375'-2in PE main: Raytown: Replace Bare Steel Main - 3760 Safety Related (34-394)</v>
          </cell>
          <cell r="K894" t="str">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ell>
          <cell r="L894">
            <v>41751</v>
          </cell>
          <cell r="M894">
            <v>41820</v>
          </cell>
          <cell r="N894">
            <v>41918.763935185198</v>
          </cell>
          <cell r="O894">
            <v>41760</v>
          </cell>
          <cell r="P894" t="str">
            <v>0902-043025  JACKSON CTY/RAYTOWN</v>
          </cell>
          <cell r="Q894">
            <v>61383.13</v>
          </cell>
          <cell r="R894">
            <v>-2602</v>
          </cell>
        </row>
        <row r="895">
          <cell r="A895" t="str">
            <v>009253</v>
          </cell>
          <cell r="B895" t="str">
            <v>LDC 2</v>
          </cell>
          <cell r="D895" t="str">
            <v>yes</v>
          </cell>
          <cell r="E895" t="str">
            <v>20903155506</v>
          </cell>
          <cell r="F895" t="str">
            <v>F0604</v>
          </cell>
          <cell r="G895" t="str">
            <v>Main Replacement - ISRS (S)</v>
          </cell>
          <cell r="H895" t="str">
            <v>Hydrotest the GV Lateral Transmissi</v>
          </cell>
          <cell r="I895" t="str">
            <v>in service</v>
          </cell>
          <cell r="J895" t="str">
            <v>Hydrotest the Grain Valley Lateral Transmission Main: Ph1 Blue Springs: Replace Bare Steel Main - 3760 Safety Related (34-394)</v>
          </cell>
          <cell r="K895" t="str">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ell>
          <cell r="L895">
            <v>42355</v>
          </cell>
          <cell r="O895">
            <v>42309</v>
          </cell>
          <cell r="P895" t="str">
            <v>0903-043026  JACKSON CTY/BLUE SPRINGS</v>
          </cell>
          <cell r="Q895">
            <v>1486749.93</v>
          </cell>
          <cell r="R895">
            <v>641765.51</v>
          </cell>
        </row>
        <row r="896">
          <cell r="A896" t="str">
            <v>009807</v>
          </cell>
          <cell r="B896" t="str">
            <v>LDC 2</v>
          </cell>
          <cell r="D896" t="str">
            <v>no</v>
          </cell>
          <cell r="F896" t="str">
            <v>F0644</v>
          </cell>
          <cell r="G896" t="str">
            <v>Meter &amp; Reg Settings 2" &amp; Lg (S)</v>
          </cell>
          <cell r="H896" t="str">
            <v>Hobby Lobby 3M Rotary Meter Set</v>
          </cell>
          <cell r="I896" t="str">
            <v>in service</v>
          </cell>
          <cell r="J896" t="str">
            <v>Install new 3M Rotary Meter Set to serve one new Commercial Customer.  2 psig delivery pressure requested.</v>
          </cell>
          <cell r="L896">
            <v>42353</v>
          </cell>
          <cell r="O896">
            <v>42614</v>
          </cell>
          <cell r="P896" t="str">
            <v>0906-016001  CASS CTY/BELTON W OF MULLIN RD</v>
          </cell>
          <cell r="Q896">
            <v>3097.23</v>
          </cell>
          <cell r="R896">
            <v>-30</v>
          </cell>
        </row>
        <row r="897">
          <cell r="A897" t="str">
            <v>800016</v>
          </cell>
          <cell r="B897" t="str">
            <v>LDC 2</v>
          </cell>
          <cell r="C897" t="str">
            <v>09 - Facility Relocation due to Civic Improvement</v>
          </cell>
          <cell r="D897" t="str">
            <v>yes</v>
          </cell>
          <cell r="F897" t="str">
            <v>F0578</v>
          </cell>
          <cell r="G897" t="str">
            <v>Street &amp; Highway Relocates ISRS (S)</v>
          </cell>
          <cell r="H897" t="str">
            <v>Relocate 4" PCS on Route 7</v>
          </cell>
          <cell r="I897" t="str">
            <v>in service</v>
          </cell>
          <cell r="J897" t="str">
            <v>Install 290 ft of 4In PE and 305 ft of 2in PE on Mechanic St. (Route 7)  between Price St. and James St. in Harrisonville, MO.  Abandon 25 ft of 4 in PE (1990), 177 ft of 4 in steel (1960), 152 ft of 4 in steel (1964), and 86 ft of 4 in steel (1966)</v>
          </cell>
          <cell r="K897" t="str">
            <v>Main is in conflict with proposed sewer and road improvements by the Missouri Dept of Transportation. Work is not reimbursable. Work is ISRS recoverable. MODOT permit required.</v>
          </cell>
          <cell r="L897">
            <v>42538</v>
          </cell>
          <cell r="O897">
            <v>42583</v>
          </cell>
          <cell r="P897" t="str">
            <v>0908-016007  CASS CTY/HARRISONVILLE N</v>
          </cell>
          <cell r="Q897">
            <v>55780.54</v>
          </cell>
          <cell r="R897">
            <v>-7007</v>
          </cell>
        </row>
        <row r="898">
          <cell r="A898" t="str">
            <v>004446</v>
          </cell>
          <cell r="B898" t="str">
            <v>LDC 2</v>
          </cell>
          <cell r="D898" t="str">
            <v>no</v>
          </cell>
          <cell r="E898" t="str">
            <v>20901132816</v>
          </cell>
          <cell r="F898" t="str">
            <v>F0644</v>
          </cell>
          <cell r="G898" t="str">
            <v>Meter &amp; Reg Settings 2" &amp; Lg (S)</v>
          </cell>
          <cell r="H898" t="str">
            <v>CNG Fueling Sta 23M Meter Set</v>
          </cell>
          <cell r="I898" t="str">
            <v>posted to CPR</v>
          </cell>
          <cell r="J898" t="str">
            <v>CNG Fueling Sta 23M Meter Set: Lees Summit: 500 A SE Transport Drive</v>
          </cell>
          <cell r="K898" t="str">
            <v>Approved by: Ralph Janes on 07/25/2013,  Build a 23M Rotary meter set on WO# 13-2816 to serve the CNG Fueling Station for transportation customer Lee's Summit School District. 40' of 6&amp;quot; PE service line will be installed on wo# 13-2814. 365' of 6&amp;quot; PE main line will replace the existing 2&amp;quot; PE main on wo# 13-2813.</v>
          </cell>
          <cell r="L898">
            <v>41568</v>
          </cell>
          <cell r="M898">
            <v>41626</v>
          </cell>
          <cell r="N898">
            <v>41630.722164351901</v>
          </cell>
          <cell r="P898" t="str">
            <v>0901-043021  JACKSON CTY/LEE'S SUMMIT OFFIC</v>
          </cell>
          <cell r="Q898">
            <v>2834.22</v>
          </cell>
          <cell r="R898">
            <v>82</v>
          </cell>
        </row>
        <row r="899">
          <cell r="A899" t="str">
            <v>004578</v>
          </cell>
          <cell r="B899" t="str">
            <v>LDC 2</v>
          </cell>
          <cell r="D899" t="str">
            <v>no</v>
          </cell>
          <cell r="E899" t="str">
            <v>20901133092</v>
          </cell>
          <cell r="F899" t="str">
            <v>F0642</v>
          </cell>
          <cell r="G899" t="str">
            <v>Tools, Instruments &amp; Other Equip</v>
          </cell>
          <cell r="H899" t="str">
            <v>Pur Crystal Gauge</v>
          </cell>
          <cell r="I899" t="str">
            <v>posted to CPR</v>
          </cell>
          <cell r="J899" t="str">
            <v>Pur Crystal Gauge: Lees Summit: Lees Summit P and M</v>
          </cell>
          <cell r="K899" t="str">
            <v>Approved by: Rob Kitterman on 11/08/2013,  Purchase one Crystal XP2i-2K 2000 psig gauge with protective boot to be used by Lee's Summit P&amp;M Department.  Crystal gauge with serial number 961400 will be retired on this work order due to being unrepairable(purchased on WO# 09-5431).  New gauge will be ordered and purchased on p-card.</v>
          </cell>
          <cell r="L899">
            <v>41598</v>
          </cell>
          <cell r="M899">
            <v>41654</v>
          </cell>
          <cell r="N899">
            <v>41654.604108796302</v>
          </cell>
          <cell r="P899" t="str">
            <v>0901-043021  JACKSON CTY/LEE'S SUMMIT OFFIC</v>
          </cell>
          <cell r="Q899">
            <v>2247.7800000000002</v>
          </cell>
          <cell r="R899">
            <v>1</v>
          </cell>
        </row>
        <row r="900">
          <cell r="A900" t="str">
            <v>008959</v>
          </cell>
          <cell r="B900" t="str">
            <v>LDC 2</v>
          </cell>
          <cell r="D900" t="str">
            <v>no</v>
          </cell>
          <cell r="E900" t="str">
            <v>20513155448</v>
          </cell>
          <cell r="F900" t="str">
            <v>F0630</v>
          </cell>
          <cell r="G900" t="str">
            <v>Meter &amp; Reg Settings 2" &amp; Lg (SW)</v>
          </cell>
          <cell r="H900" t="str">
            <v>Install Prefab Setting For 7M Roots</v>
          </cell>
          <cell r="I900" t="str">
            <v>posted to CPR</v>
          </cell>
          <cell r="J900" t="str">
            <v>Install Prefab Setting For 7M Roots Meter: Carl Junction: New Meter &amp; Reg Settings - 2in &amp; Larger 3820/3830 (33-382)</v>
          </cell>
          <cell r="K900" t="str">
            <v>Approved by: Michael Fornelli on 07/15/2015,  This work is necessary due to building expansion of the existing K-1 School in Carl Junction. Will install prefab setting for 7M rotary meter. Will use Itron 2" Flanged B34 IMRV regulator with 1/2" orifice and purple spring to deliver 14" WC to a customer demand of 7289 cfh. Relief is internal. System 0513 S-1  MAOP=60PSIG  MOP=40PSIG</v>
          </cell>
          <cell r="L900">
            <v>42206</v>
          </cell>
          <cell r="M900">
            <v>42491</v>
          </cell>
          <cell r="N900">
            <v>42528.313287037003</v>
          </cell>
          <cell r="O900">
            <v>42217</v>
          </cell>
          <cell r="P900" t="str">
            <v>0513-044020  JASPER CTY/CARL JUNCTION</v>
          </cell>
          <cell r="Q900">
            <v>5458.55</v>
          </cell>
          <cell r="R900">
            <v>-2</v>
          </cell>
        </row>
        <row r="901">
          <cell r="A901" t="str">
            <v>004360</v>
          </cell>
          <cell r="B901" t="str">
            <v>LDC 2</v>
          </cell>
          <cell r="D901" t="str">
            <v>yes</v>
          </cell>
          <cell r="E901" t="str">
            <v>20515133033</v>
          </cell>
          <cell r="F901" t="str">
            <v>F0664</v>
          </cell>
          <cell r="G901" t="str">
            <v>Street &amp; Hwy Relocates ISRS (SW)</v>
          </cell>
          <cell r="H901" t="str">
            <v>7th &amp; Duquesne Reloc 110'-4in TF St</v>
          </cell>
          <cell r="I901" t="str">
            <v>posted to CPR</v>
          </cell>
          <cell r="J901" t="str">
            <v>7th &amp; Duquesne Reloc 110'-4in TF Steel main: Duquesne: 7th and Duquesne</v>
          </cell>
          <cell r="K901" t="str">
            <v>Approved by: Galen Shoemaker on 10/24/2013,  *MODOT PERMIT REQUIRED* Relocate 4" PCS main due to MODOT adding a turn lane to East Bound 7th St. Abandon 115' - 4" PCS (WO#'s: 85-2948, 13-2616) and lay 110' - 4" thinfim. Project Location: 7th and Duquesne; Pressure System: C-1; MOP: 58 psig; MAOP: 58 psig; Design: 58 psig; Test: 100 psig; ISRS $188.14/ft</v>
          </cell>
          <cell r="L901">
            <v>41663</v>
          </cell>
          <cell r="M901">
            <v>41729</v>
          </cell>
          <cell r="N901">
            <v>41733.309942129599</v>
          </cell>
          <cell r="O901">
            <v>41730</v>
          </cell>
          <cell r="P901" t="str">
            <v>0515-044022  JASPER CTY/VILLAGE OF DUQUESNE</v>
          </cell>
          <cell r="Q901">
            <v>23947.66</v>
          </cell>
          <cell r="R901">
            <v>300</v>
          </cell>
        </row>
        <row r="902">
          <cell r="A902" t="str">
            <v>004009</v>
          </cell>
          <cell r="B902" t="str">
            <v>LDC 2</v>
          </cell>
          <cell r="D902" t="str">
            <v>no</v>
          </cell>
          <cell r="E902" t="str">
            <v>20607133025</v>
          </cell>
          <cell r="F902" t="str">
            <v>F0656</v>
          </cell>
          <cell r="G902" t="str">
            <v>Meter &amp; regulator settings - 2" &amp; l</v>
          </cell>
          <cell r="H902" t="str">
            <v>Install Prefab Setting For 11M Root</v>
          </cell>
          <cell r="I902" t="str">
            <v>posted to CPR</v>
          </cell>
          <cell r="J902" t="str">
            <v>Install Prefab Setting For 11M Roots Meter: Greenfield: Pennington Feed 303 Grand</v>
          </cell>
          <cell r="K902" t="str">
            <v>Approved by: Galen Shoemaker on 09/25/2013,  THIS WORK IS NECESSARY TO PROVIDE SERVICE TO PENNINGTON FEED LOCATED AT 303 GRAND IN GREENFIELD. WILL USE PREFAB SETTING FOR 11M ROOTS METER. WILL USE 2" CL34-1 FLANGED REGULATOR WITH ORANGE CLOSING SPRING, RED/WHITE PILOT SPRING AND 7/8" ORIFICE TO DELIVER 2PSIG AND 1" FISHER RELIEF FOR OVERPRESSURE PROTECTION. TOTAL INITIAL DEMAND WILL BE 8000 CFH WITH ADDITIONAL EQUIPMENT TO BE CONVERTED FROM PROPANE TO NATURAL GAS IN THE FUTURE. THERE WILL BE NO CHARGE TO THE CUSTOMER. SYSTEM S-1  MOP=12 PSIG MAOP=12 PSIG</v>
          </cell>
          <cell r="L902">
            <v>41550</v>
          </cell>
          <cell r="M902">
            <v>41652</v>
          </cell>
          <cell r="N902">
            <v>41654.604050925896</v>
          </cell>
          <cell r="P902" t="str">
            <v>0607-025005  DADE CTY/GREENFIELD</v>
          </cell>
          <cell r="Q902">
            <v>6157.89</v>
          </cell>
          <cell r="R902">
            <v>11</v>
          </cell>
        </row>
        <row r="903">
          <cell r="A903" t="str">
            <v>005172</v>
          </cell>
          <cell r="B903" t="str">
            <v>LDC 2</v>
          </cell>
          <cell r="D903" t="str">
            <v>no</v>
          </cell>
          <cell r="E903" t="str">
            <v>21251143539</v>
          </cell>
          <cell r="F903" t="str">
            <v>F0639</v>
          </cell>
          <cell r="G903" t="str">
            <v>EGM Equip-1st Time Installation</v>
          </cell>
          <cell r="H903" t="str">
            <v>EGM - Marriott Int - TS Pkwy</v>
          </cell>
          <cell r="I903" t="str">
            <v>posted to CPR</v>
          </cell>
          <cell r="J903" t="str">
            <v>EGM - Marriott Int - TS Pkwy: Kansas City-Platte Co: Install EGM Equipment - First Time Installation  3850 (32-403)</v>
          </cell>
          <cell r="K903" t="str">
            <v>Approved by: Rob Kitterman on 05/01/2014,  Install Mercury MiniMax-AT-T w/ Messenger Modem S/N: 13066407 on Roots 11M meter no 08923303 to monitor daily gas usage of this transportation customer. Customer will reimburse company actual cost for EGM installation not to exceed $5,445.00, which should be coded to account 1072. ATTENTION: Plant &amp; Property Accounting, EGM work order, turn off A&amp;G indicator.</v>
          </cell>
          <cell r="L903">
            <v>42384</v>
          </cell>
          <cell r="M903">
            <v>42491</v>
          </cell>
          <cell r="N903">
            <v>42528.313113425902</v>
          </cell>
          <cell r="O903">
            <v>42430</v>
          </cell>
          <cell r="P903" t="str">
            <v>1251-075010  PLATTE CTY/KANSAS CITY NORTH</v>
          </cell>
          <cell r="Q903">
            <v>-19.510000000000002</v>
          </cell>
          <cell r="R903">
            <v>9</v>
          </cell>
        </row>
        <row r="904">
          <cell r="A904" t="str">
            <v>800343</v>
          </cell>
          <cell r="B904" t="str">
            <v>LDC 2</v>
          </cell>
          <cell r="C904" t="str">
            <v>03 - Bare Steel Replacement</v>
          </cell>
          <cell r="D904" t="str">
            <v>yes</v>
          </cell>
          <cell r="F904" t="str">
            <v>F0599</v>
          </cell>
          <cell r="G904" t="str">
            <v>Main Replacement - ISRS (N)</v>
          </cell>
          <cell r="H904" t="str">
            <v>Repl w 8730F 2-4P St Joe South 2G</v>
          </cell>
          <cell r="I904" t="str">
            <v>open</v>
          </cell>
          <cell r="J904" t="str">
            <v>Install 4259 Ft of 2 in PL IP main and 4471 Ft of 4 in PL IP main on Joseph St, Marie St, Ollmeda St, Esther St, Elijah St, Benjamin St, Andrew St, and Parker Rd.</v>
          </cell>
          <cell r="K904" t="str">
            <v>Abandon 5 Ft of 2 in PL LP main, 1420 Ft of 3 in PL LP main, 410 Ft of 4 in PL LP main, 2182 Ft of 2 in ST LP main, 37 Ft of 2 in ST MP main, 4929 Ft of 4 in ST LP main, 177 Ft of 6 in ST LP main, and 1013 Ft of 6 in ST MP main at the above locations.  Uprate 466 Ft of 2 in PL LP main on Parker Rd and Flower Ave .  Total Service Tie-over = 63; Total Service Abandoned = 14; Total Service Replace = 2; Total Service Upgrade = 2.  This main is being abandoned as part of FY16 Bare Steel Replacement Program.</v>
          </cell>
          <cell r="P904" t="str">
            <v>1001-010001  ST. JOSEPH CITY/BUCHANAN</v>
          </cell>
          <cell r="Q904">
            <v>0</v>
          </cell>
          <cell r="R904">
            <v>10173</v>
          </cell>
        </row>
        <row r="905">
          <cell r="A905" t="str">
            <v>010495</v>
          </cell>
          <cell r="B905" t="str">
            <v>LDC 2</v>
          </cell>
          <cell r="D905" t="str">
            <v>no</v>
          </cell>
          <cell r="F905" t="str">
            <v>F0639</v>
          </cell>
          <cell r="G905" t="str">
            <v>EGM Equip-1st Time Installation</v>
          </cell>
          <cell r="H905" t="str">
            <v>EGM - BMS Logistics 3601 S Leonard</v>
          </cell>
          <cell r="I905" t="str">
            <v>open</v>
          </cell>
          <cell r="J905" t="str">
            <v>Install Mercury MiniMax-AT-PT Corrector for BMS Logistics at 3601 S. Leonard Rd. B to monitor daily gas usage of this transportation customer. Customer will reimburse company actual cost for EGM installation.</v>
          </cell>
          <cell r="P905" t="str">
            <v>1001-010001  ST. JOSEPH CITY/BUCHANAN</v>
          </cell>
          <cell r="Q905">
            <v>1935.83</v>
          </cell>
          <cell r="R905">
            <v>9</v>
          </cell>
        </row>
        <row r="906">
          <cell r="A906" t="str">
            <v>006085</v>
          </cell>
          <cell r="B906" t="str">
            <v>LDC 2</v>
          </cell>
          <cell r="D906" t="str">
            <v>yes</v>
          </cell>
          <cell r="E906" t="str">
            <v>21001143745</v>
          </cell>
          <cell r="F906" t="str">
            <v>F0503</v>
          </cell>
          <cell r="G906" t="str">
            <v>Rectifier New/Repl ISRS (N)</v>
          </cell>
          <cell r="H906" t="str">
            <v>OSAGE RECTIFIER GROUND BED REPLACEM</v>
          </cell>
          <cell r="I906" t="str">
            <v>posted to CPR</v>
          </cell>
          <cell r="J906" t="str">
            <v>OSAGE RECTIFIER GROUND BED REPLACEMENT: St Joseph: Replace Rectifier/Groundbed  3760 (46-406)St Joe</v>
          </cell>
          <cell r="K906" t="str">
            <v>Approved by: Mark Lauber on 08/21/2014,  This work order is necessary to replace the existing rectifier and ground bed originally installed on work order 77-2561 then six additional anodes were added on work order 05-8907. The pipe to soil readings associated with this system are below cathodic protection criteria. Therefore, a new Universal 60 volt 30 amp rectifier will be reqired with fifteen 3" X 60" graphite anodes installed in the same location as the existing rectifier. No electrical work or easement work will be required.</v>
          </cell>
          <cell r="L906">
            <v>42019</v>
          </cell>
          <cell r="M906">
            <v>42216</v>
          </cell>
          <cell r="N906">
            <v>42221.758090277799</v>
          </cell>
          <cell r="O906">
            <v>42036</v>
          </cell>
          <cell r="P906" t="str">
            <v>1001-010001  ST. JOSEPH CITY/BUCHANAN</v>
          </cell>
          <cell r="Q906">
            <v>12109.16</v>
          </cell>
          <cell r="R906">
            <v>-703</v>
          </cell>
        </row>
        <row r="907">
          <cell r="A907" t="str">
            <v>007031</v>
          </cell>
          <cell r="B907" t="str">
            <v>LDC 2</v>
          </cell>
          <cell r="D907" t="str">
            <v>yes</v>
          </cell>
          <cell r="E907" t="str">
            <v>20830143990</v>
          </cell>
          <cell r="F907" t="str">
            <v>F0598</v>
          </cell>
          <cell r="G907" t="str">
            <v>Replace steel &amp; plastic main</v>
          </cell>
          <cell r="H907" t="str">
            <v>Abandon Pressure System w Isolated</v>
          </cell>
          <cell r="I907" t="str">
            <v>posted to CPR</v>
          </cell>
          <cell r="J907" t="str">
            <v>Abandon Pressure System w Isolated Steel: Noel: Replace Coated Steel &amp; Plastic Main - 3760 (34-396)</v>
          </cell>
          <cell r="K907" t="str">
            <v>Approved by: Galen Shoemaker on 12/01/2014,  Abandon 42' - 1" PCS (WO# 82-0200), 42' - 1.25" PCS (WO# 82-0195), 294' - 1.5" PCS (WO# 82-0199), 225' - 2" PCS (WO# 82-0198), and 379' - 4" PCS (WO# 82-0197) and replace with 675' - 2" PE due to isolated steel that used to be customer fuel line on outlet side of a master meter and unnecessary DRS 08-30-S-5. All services will be replaced from main to meter and regulators checked for pressure rating. Project Location: 624 Johnson Drive; Pressure System: C-1; MOP: 25 psig; MAOP: 26 psig; Design: 58 psig; Test: 100 psig; $30.95/ft</v>
          </cell>
          <cell r="L907">
            <v>42069</v>
          </cell>
          <cell r="M907">
            <v>42217</v>
          </cell>
          <cell r="N907">
            <v>42284.722905092603</v>
          </cell>
          <cell r="O907">
            <v>42064</v>
          </cell>
          <cell r="P907" t="str">
            <v>0830-059009  MCDONALD CTY/NOEL</v>
          </cell>
          <cell r="Q907">
            <v>15140.17</v>
          </cell>
          <cell r="R907">
            <v>-920.01</v>
          </cell>
        </row>
        <row r="908">
          <cell r="A908" t="str">
            <v>800201</v>
          </cell>
          <cell r="B908" t="str">
            <v>LDC 2</v>
          </cell>
          <cell r="D908" t="str">
            <v>no</v>
          </cell>
          <cell r="F908" t="str">
            <v>F0647</v>
          </cell>
          <cell r="G908" t="str">
            <v>New Main Extensions (N)</v>
          </cell>
          <cell r="H908" t="str">
            <v>5301 Stockyards Expy Main Ext &amp; Svc</v>
          </cell>
          <cell r="I908" t="str">
            <v>in service</v>
          </cell>
          <cell r="J908" t="str">
            <v>Install 1,060ft of 4in Steel to serve one new commercial customer. - 5301 Stockyard Expy.  Pressure System C-03, MAOP=94# MOP=90#.</v>
          </cell>
          <cell r="K908" t="str">
            <v>LOAD (31,750 CFH REQUESTING 5PSIG ELEVATED PRESSURE).</v>
          </cell>
          <cell r="L908">
            <v>42613</v>
          </cell>
          <cell r="O908">
            <v>42583</v>
          </cell>
          <cell r="P908" t="str">
            <v>1001-010001  ST. JOSEPH CITY/BUCHANAN</v>
          </cell>
          <cell r="Q908">
            <v>96331.25</v>
          </cell>
          <cell r="R908">
            <v>-1604.5</v>
          </cell>
        </row>
        <row r="909">
          <cell r="A909" t="str">
            <v>004103</v>
          </cell>
          <cell r="B909" t="str">
            <v>LDC 2</v>
          </cell>
          <cell r="D909" t="str">
            <v>yes</v>
          </cell>
          <cell r="E909" t="str">
            <v>21001143318</v>
          </cell>
          <cell r="F909" t="str">
            <v>F0504</v>
          </cell>
          <cell r="G909" t="str">
            <v>Replace bare steel main - safety re</v>
          </cell>
          <cell r="H909" t="str">
            <v>Lookout &amp; Yale Repl PBS w 414'- 4in</v>
          </cell>
          <cell r="I909" t="str">
            <v>posted to CPR</v>
          </cell>
          <cell r="J909" t="str">
            <v>Lookout &amp; Yale Repl PBS w 414'- 4in PE: St Joseph: LOOKOUT ST &amp; YALE ST</v>
          </cell>
          <cell r="K909" t="str">
            <v>Approved by: Gary Williams on 03/03/2014,  To lay 414ft-4pe main.to replace 414ft-bs main due to down project. Install 2" bypaas before completing tie in. Cost per foot:$49.16.ID:C-03 MOP:20oz MAOP:30oz Design MAOP:20oz Pressure Test:100 PSIG.</v>
          </cell>
          <cell r="L909">
            <v>41729</v>
          </cell>
          <cell r="M909">
            <v>41821</v>
          </cell>
          <cell r="N909">
            <v>41858.746458333299</v>
          </cell>
          <cell r="O909">
            <v>41730</v>
          </cell>
          <cell r="P909" t="str">
            <v>1001-010001  ST. JOSEPH CITY/BUCHANAN</v>
          </cell>
          <cell r="Q909">
            <v>17023.240000000002</v>
          </cell>
          <cell r="R909">
            <v>670</v>
          </cell>
        </row>
        <row r="910">
          <cell r="A910" t="str">
            <v>004595</v>
          </cell>
          <cell r="B910" t="str">
            <v>LDC 2</v>
          </cell>
          <cell r="D910" t="str">
            <v>no</v>
          </cell>
          <cell r="E910" t="str">
            <v>21001050320</v>
          </cell>
          <cell r="F910" t="str">
            <v>F0512</v>
          </cell>
          <cell r="G910" t="str">
            <v>New service installations - contrac</v>
          </cell>
          <cell r="H910" t="str">
            <v>BWO NEW SVC CONT</v>
          </cell>
          <cell r="I910" t="str">
            <v>open</v>
          </cell>
          <cell r="J910" t="str">
            <v>BWO NEW SVC CONT</v>
          </cell>
          <cell r="K910" t="str">
            <v>Project Type:B</v>
          </cell>
          <cell r="O910">
            <v>41974</v>
          </cell>
          <cell r="P910" t="str">
            <v>1001-010001  ST. JOSEPH CITY/BUCHANAN</v>
          </cell>
          <cell r="Q910">
            <v>-16741.05</v>
          </cell>
          <cell r="R910">
            <v>0</v>
          </cell>
        </row>
        <row r="911">
          <cell r="A911" t="str">
            <v>011578</v>
          </cell>
          <cell r="B911" t="str">
            <v>LDC 2</v>
          </cell>
          <cell r="D911" t="str">
            <v>no</v>
          </cell>
          <cell r="F911" t="str">
            <v>F0660</v>
          </cell>
          <cell r="G911" t="str">
            <v>Meter &amp; Reg Settings 2" &amp; Lg (N)</v>
          </cell>
          <cell r="H911" t="str">
            <v>Inst 5M meter - Barry Middle School</v>
          </cell>
          <cell r="I911" t="str">
            <v>in service</v>
          </cell>
          <cell r="J911" t="str">
            <v>Install new 5M rotary meter setting to serve one new commercial customer - Barry Middle School at 2001 NW 87th Terrace, KCMO (1251).</v>
          </cell>
          <cell r="L911">
            <v>42590</v>
          </cell>
          <cell r="O911">
            <v>42614</v>
          </cell>
          <cell r="P911" t="str">
            <v>1251-020036  CLAY CTY/KANSAS CITY</v>
          </cell>
          <cell r="Q911">
            <v>4610.99</v>
          </cell>
          <cell r="R911">
            <v>24.5</v>
          </cell>
        </row>
        <row r="912">
          <cell r="A912" t="str">
            <v>008405</v>
          </cell>
          <cell r="B912" t="str">
            <v>LDC 2</v>
          </cell>
          <cell r="D912" t="str">
            <v>yes</v>
          </cell>
          <cell r="E912" t="str">
            <v>21203143557</v>
          </cell>
          <cell r="F912" t="str">
            <v>F0613</v>
          </cell>
          <cell r="G912" t="str">
            <v>Replace bare steel main - safety re</v>
          </cell>
          <cell r="H912" t="str">
            <v>2in PBS Relocation</v>
          </cell>
          <cell r="I912" t="str">
            <v>cancelled</v>
          </cell>
          <cell r="J912" t="str">
            <v>2in PBS Relocation: Claycomo: Replace Bare Steel Main - 3760 Safety Related (34-394)</v>
          </cell>
          <cell r="K912" t="str">
            <v>Approved by: Gary Williams on 05/11/2015,  Current main is exposed in the creek posing danger to the pipe when the creek floods. Replace 2'' PBS with 2'' PE so that it is not exposed. Pressure system - S-085. Tie in approximately 178' west of bridge and 75' east of bridge.  CANCEL this WO - see Maximo WO 801070 - 15601947 - trf any charges there</v>
          </cell>
          <cell r="N912">
            <v>42719.479629629597</v>
          </cell>
          <cell r="P912" t="str">
            <v>1203-020008  CLAY CTY/CLAYCOMO</v>
          </cell>
          <cell r="Q912">
            <v>2331.8000000000002</v>
          </cell>
          <cell r="R912">
            <v>32</v>
          </cell>
        </row>
        <row r="913">
          <cell r="A913" t="str">
            <v>012146</v>
          </cell>
          <cell r="B913" t="str">
            <v>LDC 2</v>
          </cell>
          <cell r="D913" t="str">
            <v>yes</v>
          </cell>
          <cell r="F913" t="str">
            <v>F0600</v>
          </cell>
          <cell r="G913" t="str">
            <v>Station Rebuild &amp; Repl ISRS (N)</v>
          </cell>
          <cell r="H913" t="str">
            <v>Aband reg stn-Lincoln #6</v>
          </cell>
          <cell r="I913" t="str">
            <v>in service</v>
          </cell>
          <cell r="J913" t="str">
            <v>Abandon Regulator Station 6 (LINCOLN &amp; ALLEYS OF MISSISSIPPI)</v>
          </cell>
          <cell r="K913" t="str">
            <v>Retire regulators, valves, piping, control systems, and related appurtenance of the IP to LP regulator station at the Alleys between Franklin &amp; Mississippi.
This regulator retirement is also related to the Bare Steel Abandonment work associated with Liberty Grid Phase E WO# 14474617 and cannot be abandoned until all of that phase has been completed. This station is no longer required for the IP pressure gas distribution system.</v>
          </cell>
          <cell r="L913">
            <v>42747</v>
          </cell>
          <cell r="P913" t="str">
            <v>1207-020001  CLAY CTY/LIBERTY</v>
          </cell>
          <cell r="Q913">
            <v>1055.1600000000001</v>
          </cell>
          <cell r="R913">
            <v>0</v>
          </cell>
        </row>
        <row r="914">
          <cell r="A914" t="str">
            <v>012714</v>
          </cell>
          <cell r="B914" t="str">
            <v>LDC 2</v>
          </cell>
          <cell r="D914" t="str">
            <v>no</v>
          </cell>
          <cell r="F914" t="str">
            <v>F0639</v>
          </cell>
          <cell r="G914" t="str">
            <v>EGM Equip-1st Time Installation</v>
          </cell>
          <cell r="H914" t="str">
            <v>EGM - Walmart (Excelsior Patsy Ln)</v>
          </cell>
          <cell r="I914" t="str">
            <v>open</v>
          </cell>
          <cell r="J914" t="str">
            <v>Mini-Max AT-PT Corrector for Walmart at 2203 Patsy Ln to monitor daily gas usage. Customer will reimburse company actual cost for EGM installation not to exceed $5,445.</v>
          </cell>
          <cell r="K914" t="str">
            <v>meter no 000447855</v>
          </cell>
          <cell r="P914" t="str">
            <v>1213-020018  CLAY CTY/EXCEL SPRINGS</v>
          </cell>
          <cell r="Q914">
            <v>1971.95</v>
          </cell>
          <cell r="R914">
            <v>1</v>
          </cell>
        </row>
        <row r="915">
          <cell r="A915" t="str">
            <v>007694</v>
          </cell>
          <cell r="B915" t="str">
            <v>LDC 2</v>
          </cell>
          <cell r="D915" t="str">
            <v>no</v>
          </cell>
          <cell r="E915" t="str">
            <v>20925155151</v>
          </cell>
          <cell r="F915" t="str">
            <v>F0507</v>
          </cell>
          <cell r="G915" t="str">
            <v>Rebuild Meter Install 2'' &amp; Lg (S)</v>
          </cell>
          <cell r="H915" t="str">
            <v>Remove 5M Rotary Meter</v>
          </cell>
          <cell r="I915" t="str">
            <v>posted to CPR</v>
          </cell>
          <cell r="J915" t="str">
            <v>Remove 5M Rotary Meter: Grain Valley: Replace Meter &amp; Reg 2in  &amp;  Larger - 3820/3830 (32-404)</v>
          </cell>
          <cell r="K915" t="str">
            <v>Approved by: Kevin Driskell on 02/20/2015,  Remove and dismantle the 5M rotary meter setting (meter #00282089, premise #600124686, installed on WO# 121827) at Del Trio Inc due to inactivity.</v>
          </cell>
          <cell r="L915">
            <v>42101</v>
          </cell>
          <cell r="M915">
            <v>42155</v>
          </cell>
          <cell r="N915">
            <v>42256.642025462999</v>
          </cell>
          <cell r="O915">
            <v>42217</v>
          </cell>
          <cell r="P915" t="str">
            <v>0925-043035  JACKSON CTY/GRAIN VALLEY</v>
          </cell>
          <cell r="Q915">
            <v>4141.93</v>
          </cell>
          <cell r="R915">
            <v>10</v>
          </cell>
        </row>
        <row r="916">
          <cell r="A916" t="str">
            <v>006837</v>
          </cell>
          <cell r="B916" t="str">
            <v>LDC 2</v>
          </cell>
          <cell r="D916" t="str">
            <v>no</v>
          </cell>
          <cell r="E916" t="str">
            <v>20925143937</v>
          </cell>
          <cell r="F916" t="str">
            <v>F0676</v>
          </cell>
          <cell r="G916" t="str">
            <v>Meter &amp; regulator settings - 2" &amp; l</v>
          </cell>
          <cell r="H916" t="str">
            <v>Lot 25 East KC Ind Park Inst 3M Mtr</v>
          </cell>
          <cell r="I916" t="str">
            <v>posted to CPR</v>
          </cell>
          <cell r="J916" t="str">
            <v>Lot 25, East KC Industrial Park: Grain Valley: New Meter &amp; Reg Settings - 2in &amp; Larger 3820/3830 (33-382)</v>
          </cell>
          <cell r="K916" t="str">
            <v>Approved by: Ralph Janes on 11/07/2014,  Install a 3M Rotary meter setting to serve one new commercial customer(pet crematory).  Note:  75' - 1-1/4" pe service line to be installed on BWO...1 tap 2 meters.  250 class diaphragm meter to be insalled on Pest Control on BWO.</v>
          </cell>
          <cell r="L916">
            <v>42012</v>
          </cell>
          <cell r="M916">
            <v>42035</v>
          </cell>
          <cell r="N916">
            <v>42043.507581018501</v>
          </cell>
          <cell r="O916">
            <v>42005</v>
          </cell>
          <cell r="P916" t="str">
            <v>0925-043035  JACKSON CTY/GRAIN VALLEY</v>
          </cell>
          <cell r="Q916">
            <v>2150.88</v>
          </cell>
          <cell r="R916">
            <v>-38.5</v>
          </cell>
        </row>
        <row r="917">
          <cell r="A917" t="str">
            <v>800943</v>
          </cell>
          <cell r="B917" t="str">
            <v>LDC 2</v>
          </cell>
          <cell r="D917" t="str">
            <v>no</v>
          </cell>
          <cell r="F917" t="str">
            <v>F0673</v>
          </cell>
          <cell r="G917" t="str">
            <v>New Main Extensions (S)</v>
          </cell>
          <cell r="H917" t="str">
            <v>Install 135F 2P 1716 SE 16th St</v>
          </cell>
          <cell r="I917" t="str">
            <v>in service</v>
          </cell>
          <cell r="J917" t="str">
            <v>Install ~135 Ft of 2" PL MP Main to serve 1 residential lot.</v>
          </cell>
          <cell r="K917" t="str">
            <v>Single family home. Conversion from electric. This residential service will require a main extension.Gas water heater (40 cfh), Gas cooktop (50 cfh), and clothes dryer (20 cfh). Total 110 cfh/110,000 BTU.  This is tied to Work Order (SINSR): 15463415 and (Svc Req):  4168366.</v>
          </cell>
          <cell r="L917">
            <v>42707</v>
          </cell>
          <cell r="O917">
            <v>42736</v>
          </cell>
          <cell r="P917" t="str">
            <v>0926-043037  JACKSON CTY/OAK GROVE</v>
          </cell>
          <cell r="Q917">
            <v>602.45000000000005</v>
          </cell>
          <cell r="R917">
            <v>-764</v>
          </cell>
        </row>
        <row r="918">
          <cell r="A918" t="str">
            <v>004507</v>
          </cell>
          <cell r="B918" t="str">
            <v>LDC 2</v>
          </cell>
          <cell r="D918" t="str">
            <v>no</v>
          </cell>
          <cell r="E918" t="str">
            <v>21904121879</v>
          </cell>
          <cell r="F918" t="str">
            <v>F0640</v>
          </cell>
          <cell r="G918" t="str">
            <v>32-700-420-METERS</v>
          </cell>
          <cell r="H918" t="str">
            <v>Pur 9000 Rebuilt Domestic Meters  E</v>
          </cell>
          <cell r="I918" t="str">
            <v>posted to CPR</v>
          </cell>
          <cell r="J918" t="str">
            <v>Pur 9000 Rebuilt Domestic Meters  EEI  for  2013: Kansas City CORP: Central Plant Meter Shop</v>
          </cell>
          <cell r="K918" t="str">
            <v>Approved by: Rob Hack on 11/14/2012,  Remanufacturing meters - 73005096, Blanket Work Order for 2013 Remanufactered Meters from EEI.</v>
          </cell>
          <cell r="L918">
            <v>41639</v>
          </cell>
          <cell r="M918">
            <v>41639</v>
          </cell>
          <cell r="N918">
            <v>41649</v>
          </cell>
          <cell r="P918" t="str">
            <v>1904-043050  JACKSON CTY/KC</v>
          </cell>
          <cell r="Q918">
            <v>166829.68</v>
          </cell>
          <cell r="R918">
            <v>0</v>
          </cell>
        </row>
        <row r="919">
          <cell r="A919" t="str">
            <v>004210</v>
          </cell>
          <cell r="B919" t="str">
            <v>LDC 2</v>
          </cell>
          <cell r="D919" t="str">
            <v>no</v>
          </cell>
          <cell r="E919" t="str">
            <v>21904133100</v>
          </cell>
          <cell r="F919" t="str">
            <v>F0577</v>
          </cell>
          <cell r="G919" t="str">
            <v>ERT Purchases</v>
          </cell>
          <cell r="H919" t="str">
            <v>Pur 6000 Erts Repl Program Dec2013</v>
          </cell>
          <cell r="I919" t="str">
            <v>posted to CPR</v>
          </cell>
          <cell r="J919" t="str">
            <v>Pur 6000   Erts Repl Program Dec 2013: Kansas City CORP: Central Plant Meter Shop</v>
          </cell>
          <cell r="K919" t="str">
            <v>Approved by: Steve Lindsey on 11/18/2013,  Purchase domestic 100G Am Erts 5198300 Rk Erts 5198310 for replacement program.</v>
          </cell>
          <cell r="L919">
            <v>41625</v>
          </cell>
          <cell r="M919">
            <v>41638</v>
          </cell>
          <cell r="N919">
            <v>41643.435185185197</v>
          </cell>
          <cell r="P919" t="str">
            <v>1904-043050  JACKSON CTY/KC</v>
          </cell>
          <cell r="Q919">
            <v>273693.25</v>
          </cell>
          <cell r="R919">
            <v>0</v>
          </cell>
        </row>
        <row r="920">
          <cell r="A920" t="str">
            <v>012953</v>
          </cell>
          <cell r="B920" t="str">
            <v>LDC 2</v>
          </cell>
          <cell r="D920" t="str">
            <v>no</v>
          </cell>
          <cell r="F920" t="str">
            <v>F0538</v>
          </cell>
          <cell r="G920" t="str">
            <v>Other Communication Costs</v>
          </cell>
          <cell r="H920" t="str">
            <v>Purch vortex heater-E Leavenworth</v>
          </cell>
          <cell r="I920" t="str">
            <v>open</v>
          </cell>
          <cell r="J920" t="str">
            <v>Purchase of a vortex heater for our East Leavenworth town border station.</v>
          </cell>
          <cell r="K920" t="str">
            <v>Requested by Tom McGill - see attachment for quote.</v>
          </cell>
          <cell r="P920" t="str">
            <v>1261-075025  PLATTE CTY/??? TWP</v>
          </cell>
          <cell r="Q920">
            <v>8351.5400000000009</v>
          </cell>
          <cell r="R920">
            <v>1</v>
          </cell>
        </row>
        <row r="921">
          <cell r="A921" t="str">
            <v>007313</v>
          </cell>
          <cell r="B921" t="str">
            <v>LDC 2</v>
          </cell>
          <cell r="D921" t="str">
            <v>yes</v>
          </cell>
          <cell r="E921" t="str">
            <v>21271143521</v>
          </cell>
          <cell r="F921" t="str">
            <v>F0663</v>
          </cell>
          <cell r="G921" t="str">
            <v>Replace bare steel main - safety re</v>
          </cell>
          <cell r="H921" t="str">
            <v>PBS Replacement</v>
          </cell>
          <cell r="I921" t="str">
            <v>posted to CPR</v>
          </cell>
          <cell r="J921" t="str">
            <v>PBS Replacement: Kansas City-Clay Co: Replace Bare Steel Main - 3760 Safety Related (34-394)</v>
          </cell>
          <cell r="K921" t="str">
            <v>Approved by: Steve Holcomb on 12/29/2014,  Replace 4'', 5'', 6'' PBS, 6'' PCS along Winn Rd. System C-055 (MOP 90PSIG, MAOP 90PSIG, Test Pressure 135 PSIG) will be replaced with 1190' of 4'' STL. System C-006 (MOP 35 PSIG, MAOP 35PSIG, Test Pressure 100 PSIG) will be replaced with 2380' of 6'' PE, 90' of 2'' PE, and 19' of 4'' PE. The following reg stations will be abandoned: DRS #172, DRS #392. Pressure system C-006 will now be the outlet system for DRS # 384 and run west along Winn Rd. System C-055 will be the inlet system and run east along Winn Rd. Reg station # 384 will be rebuilt - wo # 14-4038. Estimated Cost per foot = $59.78. ISRS.</v>
          </cell>
          <cell r="L921">
            <v>42179</v>
          </cell>
          <cell r="M921">
            <v>42309</v>
          </cell>
          <cell r="N921">
            <v>42436.430289351803</v>
          </cell>
          <cell r="O921">
            <v>42186</v>
          </cell>
          <cell r="P921" t="str">
            <v>1271-020036  CLAY CTY/KANSAS CITY</v>
          </cell>
          <cell r="Q921">
            <v>312351.15000000002</v>
          </cell>
          <cell r="R921">
            <v>-4945.5</v>
          </cell>
        </row>
        <row r="922">
          <cell r="A922" t="str">
            <v>005850</v>
          </cell>
          <cell r="B922" t="str">
            <v>LDC 2</v>
          </cell>
          <cell r="D922" t="str">
            <v>no</v>
          </cell>
          <cell r="E922" t="str">
            <v>21271143686</v>
          </cell>
          <cell r="F922" t="str">
            <v>F0665</v>
          </cell>
          <cell r="G922" t="str">
            <v>Replace steel &amp; plastic main</v>
          </cell>
          <cell r="H922" t="str">
            <v>NE 67th Ter &amp; N Euclid Repl 5'-2in</v>
          </cell>
          <cell r="I922" t="str">
            <v>posted to CPR</v>
          </cell>
          <cell r="J922" t="str">
            <v>NE 67th Ter &amp; N Euclid Repl 5'-2in CS: Kansas City-Clay Co: Replace Coated Steel &amp; Plastic Main - 3760 (34-396)</v>
          </cell>
          <cell r="K922" t="str">
            <v>Approved by: Kevin Driskell on 08/03/2014,  Replaced 5' of 2'' CS system C-046 due to 3rd party damage.</v>
          </cell>
          <cell r="L922">
            <v>41835</v>
          </cell>
          <cell r="M922">
            <v>41852</v>
          </cell>
          <cell r="N922">
            <v>42013.428599537001</v>
          </cell>
          <cell r="O922">
            <v>41852</v>
          </cell>
          <cell r="P922" t="str">
            <v>1271-020036  CLAY CTY/KANSAS CITY</v>
          </cell>
          <cell r="Q922">
            <v>1525.88</v>
          </cell>
          <cell r="R922">
            <v>45.7</v>
          </cell>
        </row>
        <row r="923">
          <cell r="A923" t="str">
            <v>005538</v>
          </cell>
          <cell r="B923" t="str">
            <v>LDC 2</v>
          </cell>
          <cell r="D923" t="str">
            <v>no</v>
          </cell>
          <cell r="E923" t="str">
            <v>21271143632</v>
          </cell>
          <cell r="F923" t="str">
            <v>F0639</v>
          </cell>
          <cell r="G923" t="str">
            <v>EGM Equip-1st Time Installation</v>
          </cell>
          <cell r="H923" t="str">
            <v>EGM - Cedar Fair LP WOF</v>
          </cell>
          <cell r="I923" t="str">
            <v>in service</v>
          </cell>
          <cell r="J923" t="str">
            <v>EGM - Cedar Fair LP WOF: Kansas City-Clay Co: Install EGM Equipment - First Time Installation  3850 (32-403)</v>
          </cell>
          <cell r="K923" t="str">
            <v>Approved by: Rob Kitterman on 06/17/2014,  Install Mercury MiniMax-AT-PT w/ Messenger Modem S/N: 13066408 on Roots 7M meter no 08594907 to monitor daily gas usage of this transportation customer. Customer will reimburse company actual cost for EGM installation not to exceed $5,445.00, which should be coded to account 1072. ATTENTION: Plant &amp; Property Accounting, EGM work order, turn off A&amp;G indicator.</v>
          </cell>
          <cell r="L923">
            <v>42443</v>
          </cell>
          <cell r="O923">
            <v>42430</v>
          </cell>
          <cell r="P923" t="str">
            <v>1271-020036  CLAY CTY/KANSAS CITY</v>
          </cell>
          <cell r="Q923">
            <v>-270.54000000000002</v>
          </cell>
          <cell r="R923">
            <v>40</v>
          </cell>
        </row>
        <row r="924">
          <cell r="A924" t="str">
            <v>003790</v>
          </cell>
          <cell r="B924" t="str">
            <v>LDC 2</v>
          </cell>
          <cell r="D924" t="str">
            <v>no</v>
          </cell>
          <cell r="E924" t="str">
            <v>21271132462</v>
          </cell>
          <cell r="F924" t="str">
            <v>F0610</v>
          </cell>
          <cell r="G924" t="str">
            <v>New business</v>
          </cell>
          <cell r="H924" t="str">
            <v>NW 110th Terr Lay 606'-2in PE Main</v>
          </cell>
          <cell r="I924" t="str">
            <v>posted to CPR</v>
          </cell>
          <cell r="J924" t="str">
            <v>NW 110th Terr Lay 606'-2in PE Main ext: Kansas City-Clay Co: N SUMMIT ST &amp; NW 110TH TER BRISTOL EAST-1</v>
          </cell>
          <cell r="K924" t="str">
            <v>Approved by: Kevin Driskell on 06/05/2013,  LAY 606'-2in PLEXCO TO SERVE SUBDIVISION HAVING 4 LOTS.  LOTS 2-5.  TIE INTO EXISTING 4in PE-(04-5404) WITH 4inx2in ELECTROFUSION PE TEE.  CONTACT PATRICIA KOEB AT 816-472-3485 FOR LUTJEN TO STAKE (WEST SIDE) 10' U.E. BETWEEN LOTS 5 &amp; 2.  COST PER FOOT=$23.72  606FT x $8.50/FT=$5,151.00  DEVELOPER TO CONTRIBUTE $5,151 BEFORE START OF PROJECT.</v>
          </cell>
          <cell r="L924">
            <v>41610</v>
          </cell>
          <cell r="M924">
            <v>41697</v>
          </cell>
          <cell r="N924">
            <v>41698.505277777796</v>
          </cell>
          <cell r="O924">
            <v>41730</v>
          </cell>
          <cell r="P924" t="str">
            <v>1271-020036  CLAY CTY/KANSAS CITY</v>
          </cell>
          <cell r="Q924">
            <v>4567.6099999999997</v>
          </cell>
          <cell r="R924">
            <v>1628.5</v>
          </cell>
        </row>
        <row r="925">
          <cell r="A925" t="str">
            <v>800181</v>
          </cell>
          <cell r="B925" t="str">
            <v>LDC 2</v>
          </cell>
          <cell r="D925" t="str">
            <v>no</v>
          </cell>
          <cell r="F925" t="str">
            <v>F0647</v>
          </cell>
          <cell r="G925" t="str">
            <v>New Main Extensions (N)</v>
          </cell>
          <cell r="H925" t="str">
            <v>Main Extension to Serve CNG - 475f</v>
          </cell>
          <cell r="I925" t="str">
            <v>open</v>
          </cell>
          <cell r="J925" t="str">
            <v>Install 450' of 4'' STL in order to serve new CNG Station AT 7801 NE 38th St. LOAD 52,620 CFH</v>
          </cell>
          <cell r="P925" t="str">
            <v>1271-020036  CLAY CTY/KANSAS CITY</v>
          </cell>
          <cell r="Q925">
            <v>39071.51</v>
          </cell>
          <cell r="R925">
            <v>-610</v>
          </cell>
        </row>
        <row r="926">
          <cell r="A926" t="str">
            <v>007964</v>
          </cell>
          <cell r="B926" t="str">
            <v>LDC 2</v>
          </cell>
          <cell r="D926" t="str">
            <v>yes</v>
          </cell>
          <cell r="E926" t="str">
            <v>21271143556</v>
          </cell>
          <cell r="F926" t="str">
            <v>F0610</v>
          </cell>
          <cell r="G926" t="str">
            <v>New business</v>
          </cell>
          <cell r="H926" t="str">
            <v>PRAIRIE VIEW AT BRISTOL PARK - 2</v>
          </cell>
          <cell r="I926" t="str">
            <v>posted to CPR</v>
          </cell>
          <cell r="J926" t="str">
            <v>PRAIRIE VIEW AT BRISTOL PARK - 2: Kansas City-Clay Co: New Main Extension - Contractor Crews  3760 (33-380)</v>
          </cell>
          <cell r="K926" t="str">
            <v>Approved by: Kevin Driskell on 09/29/2014,  LAY 896'-2" PLEXCO IN ORDER TO SERVE 20 LOTS.  LOTS 32-51.  ONE WAY FEED.  896' x $8.50=$7,616.00  DEVELOPER TO CONTRIBUTE $7,616.00 BEFORE START OF PROJECT.  Check for $7,616 received 3-27-15 per WOES</v>
          </cell>
          <cell r="L926">
            <v>42137</v>
          </cell>
          <cell r="M926">
            <v>42216</v>
          </cell>
          <cell r="N926">
            <v>42284.723483796297</v>
          </cell>
          <cell r="O926">
            <v>42156</v>
          </cell>
          <cell r="P926" t="str">
            <v>1271-020036  CLAY CTY/KANSAS CITY</v>
          </cell>
          <cell r="Q926">
            <v>28856.73</v>
          </cell>
          <cell r="R926">
            <v>-1637</v>
          </cell>
        </row>
        <row r="927">
          <cell r="A927" t="str">
            <v>801156</v>
          </cell>
          <cell r="B927" t="str">
            <v>LDC 2</v>
          </cell>
          <cell r="C927" t="str">
            <v>01 - Cast Iron Strategic Replacement</v>
          </cell>
          <cell r="D927" t="str">
            <v>yes</v>
          </cell>
          <cell r="F927" t="str">
            <v>F0599</v>
          </cell>
          <cell r="G927" t="str">
            <v>Main Replacement - ISRS (N)</v>
          </cell>
          <cell r="H927" t="str">
            <v>Repl 572F 4P 29th and Bales</v>
          </cell>
          <cell r="I927" t="str">
            <v>open</v>
          </cell>
          <cell r="J927" t="str">
            <v>Install ~ 572 ft of 4 in PL LP main on Bales Street.</v>
          </cell>
          <cell r="K927" t="str">
            <v>Abandon ~ 572 ft of 6 in CI LP main at above location. Total Service Tie-over = 17; Total Service Replace = 1. This main is being replaced due to water in cast iron gas main.</v>
          </cell>
          <cell r="P927" t="str">
            <v>0401-043050  JACKSON CTY/KC</v>
          </cell>
          <cell r="Q927">
            <v>553.38</v>
          </cell>
          <cell r="R927">
            <v>-445</v>
          </cell>
        </row>
        <row r="928">
          <cell r="A928" t="str">
            <v>800836</v>
          </cell>
          <cell r="B928" t="str">
            <v>LDC 2</v>
          </cell>
          <cell r="C928" t="str">
            <v>09 - Facility Relocation due to Civic Improvement</v>
          </cell>
          <cell r="D928" t="str">
            <v>yes</v>
          </cell>
          <cell r="F928" t="str">
            <v>F0547</v>
          </cell>
          <cell r="G928" t="str">
            <v>Street &amp; Highway Relocates ISRS (N)</v>
          </cell>
          <cell r="H928" t="str">
            <v>Reloc 20F 2S 73rd &amp; Richmond</v>
          </cell>
          <cell r="I928" t="str">
            <v>open</v>
          </cell>
          <cell r="J928" t="str">
            <v>Install ~20 ft of 2 in ST IP main on 73rd. Retire ~20 ft of 2 in ST IP main on 73rd.  No services to tie-over.  This work is being done because existing pipe is in conflict with new storm box</v>
          </cell>
          <cell r="K928" t="str">
            <v>.</v>
          </cell>
          <cell r="P928" t="str">
            <v>0401-043050  JACKSON CTY/KC</v>
          </cell>
          <cell r="Q928">
            <v>14643.54</v>
          </cell>
          <cell r="R928">
            <v>-26</v>
          </cell>
        </row>
        <row r="929">
          <cell r="A929" t="str">
            <v>800468</v>
          </cell>
          <cell r="B929" t="str">
            <v>LDC 2</v>
          </cell>
          <cell r="C929" t="str">
            <v>02 - Cast Iron AOR Replacement</v>
          </cell>
          <cell r="D929" t="str">
            <v>yes</v>
          </cell>
          <cell r="F929" t="str">
            <v>F0599</v>
          </cell>
          <cell r="G929" t="str">
            <v>Main Replacement - ISRS (N)</v>
          </cell>
          <cell r="H929" t="str">
            <v>Repl w/ 30F 6P 12th and AskewAOR</v>
          </cell>
          <cell r="I929" t="str">
            <v>in service</v>
          </cell>
          <cell r="J929" t="str">
            <v>Install - 30ft of 6in PE LP main on 12th Street.  Abandon - 30ft of 6in CI LP.  Total Services to tie-over = 1.  This main is being replaced due to bell joint being exposed at 19' EECB of Askew and 10' NSCB of 12th Street.</v>
          </cell>
          <cell r="K929" t="str">
            <v>Compliance due date is 7/11/2016.</v>
          </cell>
          <cell r="L929">
            <v>42642</v>
          </cell>
          <cell r="O929">
            <v>42614</v>
          </cell>
          <cell r="P929" t="str">
            <v>0401-043050  JACKSON CTY/KC</v>
          </cell>
          <cell r="Q929">
            <v>20323.62</v>
          </cell>
          <cell r="R929">
            <v>-4</v>
          </cell>
        </row>
        <row r="930">
          <cell r="A930" t="str">
            <v>008951</v>
          </cell>
          <cell r="B930" t="str">
            <v>LDC 2</v>
          </cell>
          <cell r="D930" t="str">
            <v>no</v>
          </cell>
          <cell r="F930" t="str">
            <v>F0950</v>
          </cell>
          <cell r="G930" t="str">
            <v>Power Operated Eq - MGE</v>
          </cell>
          <cell r="H930" t="str">
            <v>Purchase (3) port. compressors-MGE</v>
          </cell>
          <cell r="I930" t="str">
            <v>posted to CPR</v>
          </cell>
          <cell r="J930" t="str">
            <v>Additional compressors for crews put in place in 2014</v>
          </cell>
          <cell r="K930" t="str">
            <v>Note: This work order replaces work order 008871 which has been cancelled due to incorrect business segment on WO.</v>
          </cell>
          <cell r="L930">
            <v>42338</v>
          </cell>
          <cell r="M930">
            <v>42400</v>
          </cell>
          <cell r="N930">
            <v>42467.490763888898</v>
          </cell>
          <cell r="O930">
            <v>42339</v>
          </cell>
          <cell r="P930" t="str">
            <v>0401-043050  JACKSON CTY/KC</v>
          </cell>
          <cell r="Q930">
            <v>69825.17</v>
          </cell>
          <cell r="R930">
            <v>3</v>
          </cell>
        </row>
        <row r="931">
          <cell r="A931" t="str">
            <v>009220</v>
          </cell>
          <cell r="B931" t="str">
            <v>LDC 2</v>
          </cell>
          <cell r="D931" t="str">
            <v>yes</v>
          </cell>
          <cell r="F931" t="str">
            <v>F0608</v>
          </cell>
          <cell r="G931" t="str">
            <v>BWO Service Line Repl - ISRS (N)</v>
          </cell>
          <cell r="H931" t="str">
            <v>BWO-Abandon Service (North)</v>
          </cell>
          <cell r="I931" t="str">
            <v>open</v>
          </cell>
          <cell r="J931" t="str">
            <v>BWO- Abandon Service (North Region)</v>
          </cell>
          <cell r="O931">
            <v>42430</v>
          </cell>
          <cell r="P931" t="str">
            <v>0401-043050  JACKSON CTY/KC</v>
          </cell>
          <cell r="Q931">
            <v>1882433.18</v>
          </cell>
          <cell r="R931">
            <v>70652.836599999995</v>
          </cell>
        </row>
        <row r="932">
          <cell r="A932" t="str">
            <v>008969</v>
          </cell>
          <cell r="B932" t="str">
            <v>LDC 2</v>
          </cell>
          <cell r="D932" t="str">
            <v>yes</v>
          </cell>
          <cell r="E932" t="str">
            <v>20401155420</v>
          </cell>
          <cell r="F932" t="str">
            <v>F0664</v>
          </cell>
          <cell r="G932" t="str">
            <v>Street &amp; Hwy Relocates ISRS (SW)</v>
          </cell>
          <cell r="H932" t="str">
            <v>Target Marlborough East phase 1</v>
          </cell>
          <cell r="I932" t="str">
            <v>posted to CPR</v>
          </cell>
          <cell r="J932" t="str">
            <v>Target Marlborough East phase 1: Kansas City-Jackson: Relocate for Street &amp; Highway-Public Improvements (44-388)</v>
          </cell>
          <cell r="K932" t="str">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ell>
          <cell r="L932">
            <v>42391</v>
          </cell>
          <cell r="M932">
            <v>42614</v>
          </cell>
          <cell r="N932">
            <v>42649.700034722198</v>
          </cell>
          <cell r="O932">
            <v>42401</v>
          </cell>
          <cell r="P932" t="str">
            <v>0401-043050  JACKSON CTY/KC</v>
          </cell>
          <cell r="Q932">
            <v>1355841.79</v>
          </cell>
          <cell r="R932">
            <v>-334.5</v>
          </cell>
        </row>
        <row r="933">
          <cell r="A933" t="str">
            <v>008901</v>
          </cell>
          <cell r="B933" t="str">
            <v>LDC 2</v>
          </cell>
          <cell r="D933" t="str">
            <v>no</v>
          </cell>
          <cell r="E933" t="str">
            <v>20401155436</v>
          </cell>
          <cell r="F933" t="str">
            <v>F0658</v>
          </cell>
          <cell r="G933" t="str">
            <v>Services -  2" &amp; larger</v>
          </cell>
          <cell r="H933" t="str">
            <v>Burns &amp; McDonnell 4in Service</v>
          </cell>
          <cell r="I933" t="str">
            <v>posted to CPR</v>
          </cell>
          <cell r="J933" t="str">
            <v>Burns &amp; McDonnell 4in Service: Kansas City-Jackson: New Services 2&amp;quot; &amp; Larger  3800 (33-381)</v>
          </cell>
          <cell r="K933" t="str">
            <v>Approved by: Ray Wilson on 07/07/2015,  Run 350' of 4'' PE service for Burns &amp; McDonnell. 9450 Ward Pkwy. Load is 17.4 M. economic evaluation covers cost of project. Economical Evaluation supports the project.</v>
          </cell>
          <cell r="L933">
            <v>42220</v>
          </cell>
          <cell r="M933">
            <v>42460</v>
          </cell>
          <cell r="N933">
            <v>42651.655925925901</v>
          </cell>
          <cell r="O933">
            <v>42217</v>
          </cell>
          <cell r="P933" t="str">
            <v>0401-043050  JACKSON CTY/KC</v>
          </cell>
          <cell r="Q933">
            <v>28113.96</v>
          </cell>
          <cell r="R933">
            <v>-1209.5</v>
          </cell>
        </row>
        <row r="934">
          <cell r="A934" t="str">
            <v>005956</v>
          </cell>
          <cell r="B934" t="str">
            <v>LDC 2</v>
          </cell>
          <cell r="D934" t="str">
            <v>yes</v>
          </cell>
          <cell r="E934" t="str">
            <v>20401143709</v>
          </cell>
          <cell r="F934" t="str">
            <v>F0626</v>
          </cell>
          <cell r="G934" t="str">
            <v>Rectifier initial installations</v>
          </cell>
          <cell r="H934" t="str">
            <v>River Market Rectifier and Groundbe</v>
          </cell>
          <cell r="I934" t="str">
            <v>posted to CPR</v>
          </cell>
          <cell r="J934" t="str">
            <v>River Market Rectifier and Groundbed: Kansas City-Jackson: Install Rectifier/Groundbed - First Time Installation  3760 (46-392)Central</v>
          </cell>
          <cell r="K934" t="str">
            <v>Approved by: Mark Lauber on 08/08/2014,  This work order is necessary to install a 20 volt 10 amp Universal Rectifier with a 5 rod 3" X 60" graphite anode ground bed. This rectifier will protect all the main installed on work order 13-2400, the relocation of the 24" main for the trolly car project in the River Market area. Shaw Electric will install the power, set the rectifier and take care of the electrical inspection and DTS will install the ground bed. This ground bed will be installed in the Highway Right of Way between Independence Ave and I-35. Permission for this installation was obtain from MODOT with stipulations of rectifier location. See map attached for furter details.</v>
          </cell>
          <cell r="L934">
            <v>42039</v>
          </cell>
          <cell r="M934">
            <v>42217</v>
          </cell>
          <cell r="N934">
            <v>42256.536099536999</v>
          </cell>
          <cell r="O934">
            <v>42036</v>
          </cell>
          <cell r="P934" t="str">
            <v>0401-043050  JACKSON CTY/KC</v>
          </cell>
          <cell r="Q934">
            <v>20903.68</v>
          </cell>
          <cell r="R934">
            <v>-588</v>
          </cell>
        </row>
        <row r="935">
          <cell r="A935" t="str">
            <v>003927</v>
          </cell>
          <cell r="B935" t="str">
            <v>LDC 2</v>
          </cell>
          <cell r="D935" t="str">
            <v>yes</v>
          </cell>
          <cell r="E935" t="str">
            <v>20401050309</v>
          </cell>
          <cell r="F935" t="str">
            <v>F0655</v>
          </cell>
          <cell r="G935" t="str">
            <v>Service line locates</v>
          </cell>
          <cell r="H935" t="str">
            <v>BWO LINE LOCATES-REPL SERVICES ONLY</v>
          </cell>
          <cell r="I935" t="str">
            <v>open</v>
          </cell>
          <cell r="J935" t="str">
            <v>BWO LINE LOCATES-REPL SERVICES ONLY</v>
          </cell>
          <cell r="K935" t="str">
            <v>Line Locates - Service Line Replacements Only (Kansas City - Central Region)</v>
          </cell>
          <cell r="O935">
            <v>41913</v>
          </cell>
          <cell r="P935" t="str">
            <v>0401-043050  JACKSON CTY/KC</v>
          </cell>
          <cell r="Q935">
            <v>35857.42</v>
          </cell>
          <cell r="R935">
            <v>448.6</v>
          </cell>
        </row>
        <row r="936">
          <cell r="A936" t="str">
            <v>004286</v>
          </cell>
          <cell r="B936" t="str">
            <v>LDC 2</v>
          </cell>
          <cell r="D936" t="str">
            <v>no</v>
          </cell>
          <cell r="E936" t="str">
            <v>20401132649</v>
          </cell>
          <cell r="F936" t="str">
            <v>F0507</v>
          </cell>
          <cell r="G936" t="str">
            <v>Rebuild Meter Install 2'' &amp; Lg (S)</v>
          </cell>
          <cell r="H936" t="str">
            <v>Rebuild 3M mtr CountryMeadow CANCEL</v>
          </cell>
          <cell r="I936" t="str">
            <v>cancelled</v>
          </cell>
          <cell r="J936" t="str">
            <v>Rebuild 3M meter set Country Meadows Baptist: Kansas City-Jackson: 4901 Lees Summit Rd  Cancel Per Sara B 2-3-15</v>
          </cell>
          <cell r="K936" t="str">
            <v>Approved by: Ralph Janes on 05/01/2013,  Rebuild a 3M rotary meter set and retire existing setting (WO# 00-1972) at Country Meadows Baptist Church on WO# 13-2649. Meter# 09949144 on premise# 140454. This service is due for remediation on the SLRP. The existing load was gathered by Kyle Ours: 3,000 cfh. Run a 1in steel service line with riser and first cut second cut regs for 3M rotary at the building on a BWO in conjunction with the service tie-overs on LS Road public improvement project WO# 13-2520. First cut: 1&amp;quot; FI 627R, yellow spring (5-20 psig) set 20 psig, 3/16&amp;quot; orifice. Second cut: 2&amp;quot; B34 IMRV, 3/8&amp;quot; orifice, set 7&amp;quot; w.c.</v>
          </cell>
          <cell r="N936">
            <v>42465.466423611098</v>
          </cell>
          <cell r="P936" t="str">
            <v>0401-043050  JACKSON CTY/KC</v>
          </cell>
          <cell r="Q936">
            <v>0</v>
          </cell>
          <cell r="R936">
            <v>2</v>
          </cell>
        </row>
        <row r="937">
          <cell r="A937" t="str">
            <v>011983</v>
          </cell>
          <cell r="B937" t="str">
            <v>LDC 2</v>
          </cell>
          <cell r="D937" t="str">
            <v>no</v>
          </cell>
          <cell r="F937" t="str">
            <v>F1071</v>
          </cell>
          <cell r="G937" t="str">
            <v>MGE Misc Capital</v>
          </cell>
          <cell r="H937" t="str">
            <v>Central - 7 New Blinds</v>
          </cell>
          <cell r="I937" t="str">
            <v>in service</v>
          </cell>
          <cell r="J937" t="str">
            <v>Install 7 sets of blinds on the 7 new windows that were just installed.</v>
          </cell>
          <cell r="L937">
            <v>42643</v>
          </cell>
          <cell r="O937">
            <v>42614</v>
          </cell>
          <cell r="P937" t="str">
            <v>0401-043052  JACKSON CTY/KANSAS CITY</v>
          </cell>
          <cell r="Q937">
            <v>1451.22</v>
          </cell>
          <cell r="R937">
            <v>6750</v>
          </cell>
        </row>
        <row r="938">
          <cell r="A938" t="str">
            <v>004614</v>
          </cell>
          <cell r="B938" t="str">
            <v>LDC 2</v>
          </cell>
          <cell r="D938" t="str">
            <v>no</v>
          </cell>
          <cell r="E938" t="str">
            <v>20401050302</v>
          </cell>
          <cell r="F938" t="str">
            <v>F0653</v>
          </cell>
          <cell r="G938" t="str">
            <v>BWO New Mtr/Reg Install &lt;2'' (N)</v>
          </cell>
          <cell r="H938" t="str">
            <v>BWO-New Bus Meter Sets - North</v>
          </cell>
          <cell r="I938" t="str">
            <v>open</v>
          </cell>
          <cell r="J938" t="str">
            <v>BWO-New Business Meter Sets Under 2 inch - North Region</v>
          </cell>
          <cell r="K938" t="str">
            <v>Project Type:B</v>
          </cell>
          <cell r="O938">
            <v>41730</v>
          </cell>
          <cell r="P938" t="str">
            <v>0401-043050  JACKSON CTY/KC</v>
          </cell>
          <cell r="Q938">
            <v>4672510.58</v>
          </cell>
          <cell r="R938">
            <v>367839.05</v>
          </cell>
        </row>
        <row r="939">
          <cell r="A939" t="str">
            <v>004358</v>
          </cell>
          <cell r="B939" t="str">
            <v>LDC 2</v>
          </cell>
          <cell r="D939" t="str">
            <v>no</v>
          </cell>
          <cell r="E939" t="str">
            <v>20401133211</v>
          </cell>
          <cell r="F939" t="str">
            <v>F0588</v>
          </cell>
          <cell r="G939" t="str">
            <v>Transportation &amp; power operated equ</v>
          </cell>
          <cell r="H939" t="str">
            <v>Pur Case SV300 Skid steer loader</v>
          </cell>
          <cell r="I939" t="str">
            <v>posted to CPR</v>
          </cell>
          <cell r="J939" t="str">
            <v>Pur Case SV300 Skid steer loader: Kansas City-Jackson: Central</v>
          </cell>
          <cell r="K939" t="str">
            <v>Approved by: Steve Holcomb on 12/12/2013,  Purchase Case SV300 (4 cyl) skid-steer loader from Victor L Phillips</v>
          </cell>
          <cell r="L939">
            <v>41641</v>
          </cell>
          <cell r="M939">
            <v>42491</v>
          </cell>
          <cell r="N939">
            <v>42527.510659722197</v>
          </cell>
          <cell r="O939">
            <v>41913</v>
          </cell>
          <cell r="P939" t="str">
            <v>0401-043050  JACKSON CTY/KC</v>
          </cell>
          <cell r="Q939">
            <v>48139.91</v>
          </cell>
          <cell r="R939">
            <v>2</v>
          </cell>
        </row>
        <row r="940">
          <cell r="A940" t="str">
            <v>004250</v>
          </cell>
          <cell r="B940" t="str">
            <v>LDC 2</v>
          </cell>
          <cell r="D940" t="str">
            <v>no</v>
          </cell>
          <cell r="E940" t="str">
            <v>20401133019</v>
          </cell>
          <cell r="F940" t="str">
            <v>F0639</v>
          </cell>
          <cell r="G940" t="str">
            <v>EGM Equip-1st Time Installation</v>
          </cell>
          <cell r="H940" t="str">
            <v>EGM - Nostrum Laboratories Inc</v>
          </cell>
          <cell r="I940" t="str">
            <v>posted to CPR</v>
          </cell>
          <cell r="J940" t="str">
            <v>EGM - Nostrum Laboratories Inc: Kansas City-Jackson: 1800 N Topping Ave - KC, MO 64120</v>
          </cell>
          <cell r="K940" t="str">
            <v>Approved by: Rob Kitterman on 09/24/2013,  Install Mercury MiniMax-AT-T w/ Messenger Modem S/N:13038773 on Roots 16M meter no 00328088 to monitor daily gas usage of this transportation customer. Customer will reimburse company actual cost for EGM installation not to exceed $5,445.00, which should be coded to account 1072. ATTENTION: Plant &amp; Property Accounting, EGM work order, turn off A&amp;G indicator.</v>
          </cell>
          <cell r="L940">
            <v>41532</v>
          </cell>
          <cell r="M940">
            <v>41670</v>
          </cell>
          <cell r="N940">
            <v>41677.509826388901</v>
          </cell>
          <cell r="P940" t="str">
            <v>0401-043050  JACKSON CTY/KC</v>
          </cell>
          <cell r="Q940">
            <v>272.83999999999997</v>
          </cell>
          <cell r="R940">
            <v>4</v>
          </cell>
        </row>
        <row r="941">
          <cell r="A941" t="str">
            <v>004527</v>
          </cell>
          <cell r="B941" t="str">
            <v>LDC 2</v>
          </cell>
          <cell r="D941" t="str">
            <v>no</v>
          </cell>
          <cell r="E941" t="str">
            <v>20401121820</v>
          </cell>
          <cell r="F941" t="str">
            <v>F0639</v>
          </cell>
          <cell r="G941" t="str">
            <v>EGM Equip-1st Time Installation</v>
          </cell>
          <cell r="H941" t="str">
            <v>EGM - Ideker Inc - Kansas City</v>
          </cell>
          <cell r="I941" t="str">
            <v>posted to CPR</v>
          </cell>
          <cell r="J941" t="str">
            <v>EGM - Ideker Inc - Kansas City: Kansas City-Jackson: 14650 Colorado Avenue, Kansas City, Mo. 64137</v>
          </cell>
          <cell r="K941" t="str">
            <v>Approved by: Rob Kitterman on 10/12/2012,  Install Mercury Mini-AT-PT on Roots 56M meter no 01240092 to monitor daily gas usage of this transportation customer. Customer will reimburse company actual cost for EGM installation not to exceed $5,445.00, which should be coded to account 1072. ATTENTION: Plant &amp; Property Accounting, EGM work order, turn off A&amp;G indicator.</v>
          </cell>
          <cell r="L941">
            <v>41305</v>
          </cell>
          <cell r="M941">
            <v>41670</v>
          </cell>
          <cell r="N941">
            <v>41677.509849536997</v>
          </cell>
          <cell r="P941" t="str">
            <v>0401-043050  JACKSON CTY/KC</v>
          </cell>
          <cell r="Q941">
            <v>0</v>
          </cell>
          <cell r="R941">
            <v>5</v>
          </cell>
        </row>
        <row r="942">
          <cell r="A942" t="str">
            <v>003996</v>
          </cell>
          <cell r="B942" t="str">
            <v>LDC 2</v>
          </cell>
          <cell r="D942" t="str">
            <v>yes</v>
          </cell>
          <cell r="E942" t="str">
            <v>20401132461</v>
          </cell>
          <cell r="F942" t="str">
            <v>F0665</v>
          </cell>
          <cell r="G942" t="str">
            <v>Replace steel &amp; plastic main</v>
          </cell>
          <cell r="H942" t="str">
            <v>48th &amp; Belleview Ret 250'-2in PE ma</v>
          </cell>
          <cell r="I942" t="str">
            <v>posted to CPR</v>
          </cell>
          <cell r="J942" t="str">
            <v>48th &amp; Belleview Ret 250'-2in PE main: Kansas City-Jackson: 48th Street between Belleview and Roanoke</v>
          </cell>
          <cell r="K942" t="str">
            <v>Approved by: Kevin Driskell on 03/19/2013,  This 250'-2in PE abandonment was due to the third party damage in front of JJ's restaurant. Ret work order year 2000, 00-1349.</v>
          </cell>
          <cell r="L942">
            <v>41463</v>
          </cell>
          <cell r="M942">
            <v>41533</v>
          </cell>
          <cell r="N942">
            <v>41612.300208333298</v>
          </cell>
          <cell r="P942" t="str">
            <v>0401-043050  JACKSON CTY/KC</v>
          </cell>
          <cell r="Q942">
            <v>6814.69</v>
          </cell>
          <cell r="R942">
            <v>290</v>
          </cell>
        </row>
        <row r="943">
          <cell r="A943" t="str">
            <v>004074</v>
          </cell>
          <cell r="B943" t="str">
            <v>LDC 2</v>
          </cell>
          <cell r="D943" t="str">
            <v>no</v>
          </cell>
          <cell r="E943" t="str">
            <v>20401132911</v>
          </cell>
          <cell r="F943" t="str">
            <v>F0670</v>
          </cell>
          <cell r="G943" t="str">
            <v>Tools, Instruments &amp; Equipment (N)</v>
          </cell>
          <cell r="H943" t="str">
            <v>PUR-2 RADIODETECTION RD7000 KITS</v>
          </cell>
          <cell r="I943" t="str">
            <v>posted to CPR</v>
          </cell>
          <cell r="J943" t="str">
            <v>PUR-2 RADIODETECTION RD7000 KITS: Kansas City-Jackson: 7500 E 35th Ter</v>
          </cell>
          <cell r="K943" t="str">
            <v>Approved by: Gary Williams on 08/20/2013,  Purchase-2 Radiodetection RD7000 Kits With 1 Watt Transmitter. Also Radiodetection T1 transmitter bag. Used by the Snagmen at Central plant to show pipe and cable orientation. Subsurface Solutions only vendor that handles these tools. These are not replacement tools.</v>
          </cell>
          <cell r="L943">
            <v>41520</v>
          </cell>
          <cell r="M943">
            <v>41575</v>
          </cell>
          <cell r="N943">
            <v>41576.418495370403</v>
          </cell>
          <cell r="P943" t="str">
            <v>0401-043050  JACKSON CTY/KC</v>
          </cell>
          <cell r="Q943">
            <v>8655.43</v>
          </cell>
          <cell r="R943">
            <v>4</v>
          </cell>
        </row>
        <row r="944">
          <cell r="A944" t="str">
            <v>004133</v>
          </cell>
          <cell r="B944" t="str">
            <v>LDC 2</v>
          </cell>
          <cell r="D944" t="str">
            <v>yes</v>
          </cell>
          <cell r="E944" t="str">
            <v>20401133040</v>
          </cell>
          <cell r="F944" t="str">
            <v>F0600</v>
          </cell>
          <cell r="G944" t="str">
            <v>Station Rebuild &amp; Repl ISRS (N)</v>
          </cell>
          <cell r="H944" t="str">
            <v>Rebuild DRS 356 New DRS #757</v>
          </cell>
          <cell r="I944" t="str">
            <v>posted to CPR</v>
          </cell>
          <cell r="J944" t="str">
            <v>Rebuild DRS 356 New DRS #757: Kansas City-Jackson: Bannister  and Elm</v>
          </cell>
          <cell r="K944" t="str">
            <v>Approved by: Steve Holcomb on 10/07/2013,  Rebuild DRS 356 due to complications arising during Hydro Test. Construct 1- 10" run utilizing existing regulators, and 1- 6" run for bypass.</v>
          </cell>
          <cell r="L944">
            <v>41575</v>
          </cell>
          <cell r="M944">
            <v>41729</v>
          </cell>
          <cell r="N944">
            <v>41733.309895833299</v>
          </cell>
          <cell r="P944" t="str">
            <v>0401-043050  JACKSON CTY/KC</v>
          </cell>
          <cell r="Q944">
            <v>116821.87</v>
          </cell>
          <cell r="R944">
            <v>529.4</v>
          </cell>
        </row>
        <row r="945">
          <cell r="A945" t="str">
            <v>004786</v>
          </cell>
          <cell r="B945" t="str">
            <v>LDC 2</v>
          </cell>
          <cell r="D945" t="str">
            <v>no</v>
          </cell>
          <cell r="E945" t="str">
            <v>28930700000</v>
          </cell>
          <cell r="F945" t="str">
            <v>F0712</v>
          </cell>
          <cell r="G945" t="str">
            <v>Maintenance of Meters MGE</v>
          </cell>
          <cell r="H945" t="str">
            <v>Mtce Mtr &amp; Regs Orifice MGE</v>
          </cell>
          <cell r="I945" t="str">
            <v>open</v>
          </cell>
          <cell r="J945" t="str">
            <v>Mtce Mtr &amp; Regs Orifice MGE</v>
          </cell>
          <cell r="P945" t="str">
            <v>Expense Only</v>
          </cell>
          <cell r="Q945">
            <v>495.54</v>
          </cell>
          <cell r="R945">
            <v>2.5</v>
          </cell>
        </row>
        <row r="946">
          <cell r="A946" t="str">
            <v>004795</v>
          </cell>
          <cell r="B946" t="str">
            <v>LDC 2</v>
          </cell>
          <cell r="D946" t="str">
            <v>no</v>
          </cell>
          <cell r="E946" t="str">
            <v>29030430000</v>
          </cell>
          <cell r="F946" t="str">
            <v>F0716</v>
          </cell>
          <cell r="G946" t="str">
            <v>Cust Rec &amp; Collection Exp MGE</v>
          </cell>
          <cell r="H946" t="str">
            <v>Cust NPSO - Shut Offs MGE</v>
          </cell>
          <cell r="I946" t="str">
            <v>open</v>
          </cell>
          <cell r="J946" t="str">
            <v>Cust NPSO - Shut Offs MGE</v>
          </cell>
          <cell r="P946" t="str">
            <v>Expense Only</v>
          </cell>
          <cell r="Q946">
            <v>1423874.04</v>
          </cell>
          <cell r="R946">
            <v>29122.6</v>
          </cell>
        </row>
        <row r="947">
          <cell r="A947" t="str">
            <v>004745</v>
          </cell>
          <cell r="B947" t="str">
            <v>LDC 2</v>
          </cell>
          <cell r="D947" t="str">
            <v>no</v>
          </cell>
          <cell r="E947" t="str">
            <v>28890000000</v>
          </cell>
          <cell r="F947" t="str">
            <v>F0708</v>
          </cell>
          <cell r="G947" t="str">
            <v>Maint Meas &amp; Reg Stat Eq MGE</v>
          </cell>
          <cell r="H947" t="str">
            <v>Maint Meas &amp; Reg Stat Eq MGE</v>
          </cell>
          <cell r="I947" t="str">
            <v>open</v>
          </cell>
          <cell r="J947" t="str">
            <v>Maint Meas &amp; Reg Stat Eq MGE</v>
          </cell>
          <cell r="P947" t="str">
            <v>Expense Only</v>
          </cell>
          <cell r="Q947">
            <v>2155717.9500000002</v>
          </cell>
          <cell r="R947">
            <v>113459.4825</v>
          </cell>
        </row>
        <row r="948">
          <cell r="A948" t="str">
            <v>004724</v>
          </cell>
          <cell r="B948" t="str">
            <v>LDC 2</v>
          </cell>
          <cell r="D948" t="str">
            <v>no</v>
          </cell>
          <cell r="E948" t="str">
            <v>28790200000</v>
          </cell>
          <cell r="F948" t="str">
            <v>F0703</v>
          </cell>
          <cell r="G948" t="str">
            <v>Customer Service Work MGE</v>
          </cell>
          <cell r="H948" t="str">
            <v>CIE Other Billable MGE</v>
          </cell>
          <cell r="I948" t="str">
            <v>open</v>
          </cell>
          <cell r="J948" t="str">
            <v>CIE Other Billable MGE</v>
          </cell>
          <cell r="P948" t="str">
            <v>Expense Only</v>
          </cell>
          <cell r="Q948">
            <v>17447.849999999999</v>
          </cell>
          <cell r="R948">
            <v>286.32</v>
          </cell>
        </row>
        <row r="949">
          <cell r="A949" t="str">
            <v>004828</v>
          </cell>
          <cell r="B949" t="str">
            <v>LDC 2</v>
          </cell>
          <cell r="D949" t="str">
            <v>no</v>
          </cell>
          <cell r="E949" t="str">
            <v>218JOPAEXEE</v>
          </cell>
          <cell r="F949" t="str">
            <v>F0680</v>
          </cell>
          <cell r="G949" t="str">
            <v>Regulatory Assets MGE</v>
          </cell>
          <cell r="H949" t="str">
            <v>Reg Ast Eng Eff Jop Adm CstMG</v>
          </cell>
          <cell r="I949" t="str">
            <v>open</v>
          </cell>
          <cell r="J949" t="str">
            <v>Reg Ast Eng Eff Jop Adm CstMG</v>
          </cell>
          <cell r="P949" t="str">
            <v>Expense Only</v>
          </cell>
          <cell r="Q949">
            <v>0</v>
          </cell>
          <cell r="R949">
            <v>0</v>
          </cell>
        </row>
        <row r="950">
          <cell r="A950" t="str">
            <v>004819</v>
          </cell>
          <cell r="B950" t="str">
            <v>LDC 2</v>
          </cell>
          <cell r="D950" t="str">
            <v>no</v>
          </cell>
          <cell r="E950" t="str">
            <v>222820GILCA</v>
          </cell>
          <cell r="F950" t="str">
            <v>F0688</v>
          </cell>
          <cell r="G950" t="str">
            <v>Misc Cur &amp; Accr Liab-EPA MGE</v>
          </cell>
          <cell r="H950" t="str">
            <v>Prov Res-Env Gillis Site A MGE</v>
          </cell>
          <cell r="I950" t="str">
            <v>open</v>
          </cell>
          <cell r="J950" t="str">
            <v>Prov Res-Env Gillis Site A MGE</v>
          </cell>
          <cell r="P950" t="str">
            <v>Expense Only</v>
          </cell>
          <cell r="Q950">
            <v>48120.46</v>
          </cell>
          <cell r="R950">
            <v>396382</v>
          </cell>
        </row>
        <row r="951">
          <cell r="A951" t="str">
            <v>800909</v>
          </cell>
          <cell r="B951" t="str">
            <v>LDC 2</v>
          </cell>
          <cell r="D951" t="str">
            <v>no</v>
          </cell>
          <cell r="F951" t="str">
            <v>F0523</v>
          </cell>
          <cell r="G951" t="str">
            <v>New Main Extensions (SW)</v>
          </cell>
          <cell r="H951" t="str">
            <v>Install 420F 4P 320 N Hodgdon - Kia</v>
          </cell>
          <cell r="I951" t="str">
            <v>in service</v>
          </cell>
          <cell r="J951" t="str">
            <v>Install ~ 420 Ft of 4 in PL IP Main on Hodgdon Rd N of Central St in Joplin MO.</v>
          </cell>
          <cell r="K951" t="str">
            <v>Proposed gas demand will be 405 Cfh (heat only).</v>
          </cell>
          <cell r="L951">
            <v>42703</v>
          </cell>
          <cell r="O951">
            <v>42705</v>
          </cell>
          <cell r="P951" t="str">
            <v>0501-044001  JASPER CTY/JOPLIN</v>
          </cell>
          <cell r="Q951">
            <v>37795.760000000002</v>
          </cell>
          <cell r="R951">
            <v>-1440</v>
          </cell>
        </row>
        <row r="952">
          <cell r="A952" t="str">
            <v>800057</v>
          </cell>
          <cell r="B952" t="str">
            <v>LDC 2</v>
          </cell>
          <cell r="D952" t="str">
            <v>no</v>
          </cell>
          <cell r="F952" t="str">
            <v>F0523</v>
          </cell>
          <cell r="G952" t="str">
            <v>New Main Extensions (SW)</v>
          </cell>
          <cell r="H952" t="str">
            <v>Eagle Picher 1300ft Main Extension</v>
          </cell>
          <cell r="I952" t="str">
            <v>in service</v>
          </cell>
          <cell r="J952" t="str">
            <v>Install 1300ft 6inPE main extension for Eagle Picher. Project Location: 23rd St and Prigmore Ave Division:05 Town: 01 Sector:0373 System: C-1. MOP: 58 PSIG. MAOP: 58 PSIG. Design: 66 PSIG. Test: 100 PSIG. Cost: $43.56/ft ($56,630.38).</v>
          </cell>
          <cell r="L952">
            <v>42340</v>
          </cell>
          <cell r="O952">
            <v>42339</v>
          </cell>
          <cell r="P952" t="str">
            <v>0501-044001  JASPER CTY/JOPLIN</v>
          </cell>
          <cell r="Q952">
            <v>135551.70000000001</v>
          </cell>
          <cell r="R952">
            <v>-3499</v>
          </cell>
        </row>
        <row r="953">
          <cell r="A953" t="str">
            <v>008206</v>
          </cell>
          <cell r="B953" t="str">
            <v>LDC 2</v>
          </cell>
          <cell r="D953" t="str">
            <v>no</v>
          </cell>
          <cell r="E953" t="str">
            <v>20501155279</v>
          </cell>
          <cell r="F953" t="str">
            <v>F0485</v>
          </cell>
          <cell r="G953" t="str">
            <v>Tools, Instruments &amp; Equipment (SW)</v>
          </cell>
          <cell r="H953" t="str">
            <v>Tool Purchase Stihl TS420 Saw</v>
          </cell>
          <cell r="I953" t="str">
            <v>posted to CPR</v>
          </cell>
          <cell r="J953" t="str">
            <v>Tool Purchase Stihl TS420 Saw: Joplin: Purchase Tools, Instruments &amp; Equipment  3940 (37-366)</v>
          </cell>
          <cell r="K953" t="str">
            <v>Approved by: Michael Fornelli on 04/14/2015,  Purchase TS-420 Stihl Concrete Saw and walk behind kit for Joplin C&amp;M Department to replace old worn out saw.</v>
          </cell>
          <cell r="L953">
            <v>42235</v>
          </cell>
          <cell r="M953">
            <v>42491</v>
          </cell>
          <cell r="N953">
            <v>42527.511863425898</v>
          </cell>
          <cell r="O953">
            <v>42217</v>
          </cell>
          <cell r="P953" t="str">
            <v>0501-044001  JASPER CTY/JOPLIN</v>
          </cell>
          <cell r="Q953">
            <v>3725.94</v>
          </cell>
          <cell r="R953">
            <v>-142</v>
          </cell>
        </row>
        <row r="954">
          <cell r="A954" t="str">
            <v>008141</v>
          </cell>
          <cell r="B954" t="str">
            <v>LDC 2</v>
          </cell>
          <cell r="D954" t="str">
            <v>yes</v>
          </cell>
          <cell r="E954" t="str">
            <v>20501155278</v>
          </cell>
          <cell r="F954" t="str">
            <v>F0572</v>
          </cell>
          <cell r="G954" t="str">
            <v>Main Replacement - ISRS (SW)</v>
          </cell>
          <cell r="H954" t="str">
            <v>Repl 2in PBS and PCS with 500ft</v>
          </cell>
          <cell r="I954" t="str">
            <v>posted to CPR</v>
          </cell>
          <cell r="J954" t="str">
            <v>Repl 2&amp;quot; PBS and PCS with 500ft of 6in PE: Joplin: Replace Bare Steel Main - 3760 Safety Related (34-394)</v>
          </cell>
          <cell r="K954" t="str">
            <v>Approved by: Michael Fornelli on 04/08/2015,  Abandon 204' - 2" PBS (WO#'s: NONE, 40099) and 63' - 2" PCS (WO#: 67-6825) and replace with 500' of 6" PBS. New main will be on the C-1, 58 psig pressure system instead of old C-2, 1.5 psig pressure system. There is one repaired leak on this stretch of main. Project Location: 3rd and High; Pressure System: C-1; MOP: 58 psig; MAOP: 58 psig; Design: 58 psig; Test: 100 psig; ISRS $71.86/ft</v>
          </cell>
          <cell r="L954">
            <v>42117</v>
          </cell>
          <cell r="M954">
            <v>42429</v>
          </cell>
          <cell r="N954">
            <v>42528.472164351901</v>
          </cell>
          <cell r="O954">
            <v>42186</v>
          </cell>
          <cell r="P954" t="str">
            <v>0501-044001  JASPER CTY/JOPLIN</v>
          </cell>
          <cell r="Q954">
            <v>57542.52</v>
          </cell>
          <cell r="R954">
            <v>-2294</v>
          </cell>
        </row>
        <row r="955">
          <cell r="A955" t="str">
            <v>007504</v>
          </cell>
          <cell r="B955" t="str">
            <v>LDC 2</v>
          </cell>
          <cell r="D955" t="str">
            <v>no</v>
          </cell>
          <cell r="E955" t="str">
            <v>20501155096</v>
          </cell>
          <cell r="F955" t="str">
            <v>F0485</v>
          </cell>
          <cell r="G955" t="str">
            <v>Tools, Instruments &amp; Equipment (SW)</v>
          </cell>
          <cell r="H955" t="str">
            <v>Tool Purchase Stihl TS420 Saw</v>
          </cell>
          <cell r="I955" t="str">
            <v>posted to CPR</v>
          </cell>
          <cell r="J955" t="str">
            <v>Tool Purchase Stihl TS420 Saw: Joplin: Purchase Tools, Instruments &amp; Equipment  3940 (37-366)</v>
          </cell>
          <cell r="K955" t="str">
            <v>Approved by: Michael Fornelli on 01/26/2015,  Purchase TS-420 Stihl Concrete Saw and walk behind kit for Joplin C&amp;M Department to replace old worn out saw.</v>
          </cell>
          <cell r="L955">
            <v>42235</v>
          </cell>
          <cell r="M955">
            <v>42491</v>
          </cell>
          <cell r="N955">
            <v>42527.511446759301</v>
          </cell>
          <cell r="O955">
            <v>42217</v>
          </cell>
          <cell r="P955" t="str">
            <v>0501-044001  JASPER CTY/JOPLIN</v>
          </cell>
          <cell r="Q955">
            <v>3506.1</v>
          </cell>
          <cell r="R955">
            <v>68</v>
          </cell>
        </row>
        <row r="956">
          <cell r="A956" t="str">
            <v>004600</v>
          </cell>
          <cell r="B956" t="str">
            <v>LDC 2</v>
          </cell>
          <cell r="D956" t="str">
            <v>yes</v>
          </cell>
          <cell r="E956" t="str">
            <v>20501050371</v>
          </cell>
          <cell r="F956" t="str">
            <v>F0669</v>
          </cell>
          <cell r="G956" t="str">
            <v>SLRP - modified block by block - co</v>
          </cell>
          <cell r="H956" t="str">
            <v>BWO SERVICE LINE REPL MODIFIED BLOC</v>
          </cell>
          <cell r="I956" t="str">
            <v>open</v>
          </cell>
          <cell r="J956" t="str">
            <v>BWO SERVICE LINE REPL MODIFIED BLOCK CONT</v>
          </cell>
          <cell r="K956" t="str">
            <v>Service/Yard Line Replacement (SLRP): Contract Crew.  Modified Block by Block - Planned replacement of unprotected steel or copper  (Joplin - South Region)</v>
          </cell>
          <cell r="O956">
            <v>41730</v>
          </cell>
          <cell r="P956" t="str">
            <v>0501-044001  JASPER CTY/JOPLIN</v>
          </cell>
          <cell r="Q956">
            <v>216899.6</v>
          </cell>
          <cell r="R956">
            <v>5581.25</v>
          </cell>
        </row>
        <row r="957">
          <cell r="A957" t="str">
            <v>004297</v>
          </cell>
          <cell r="B957" t="str">
            <v>LDC 2</v>
          </cell>
          <cell r="D957" t="str">
            <v>no</v>
          </cell>
          <cell r="E957" t="str">
            <v>20501050308</v>
          </cell>
          <cell r="F957" t="str">
            <v>F0564</v>
          </cell>
          <cell r="G957" t="str">
            <v>BWO Mtr/Reg Repl - Non ISRS (SW)</v>
          </cell>
          <cell r="H957" t="str">
            <v>BWO-Repl Mtr Sets (Non SLRP)-SWest</v>
          </cell>
          <cell r="I957" t="str">
            <v>open</v>
          </cell>
          <cell r="J957" t="str">
            <v>BWO-Replace Meter Sets Under 2 inch (Non SLRP Related) - Southwest Region</v>
          </cell>
          <cell r="O957">
            <v>41730</v>
          </cell>
          <cell r="P957" t="str">
            <v>0501-044001  JASPER CTY/JOPLIN</v>
          </cell>
          <cell r="Q957">
            <v>1073988.8999999999</v>
          </cell>
          <cell r="R957">
            <v>-18317.259999999998</v>
          </cell>
        </row>
        <row r="958">
          <cell r="A958" t="str">
            <v>003877</v>
          </cell>
          <cell r="B958" t="str">
            <v>LDC 2</v>
          </cell>
          <cell r="D958" t="str">
            <v>no</v>
          </cell>
          <cell r="E958" t="str">
            <v>20501133134</v>
          </cell>
          <cell r="F958" t="str">
            <v>F0677</v>
          </cell>
          <cell r="G958" t="str">
            <v>New business</v>
          </cell>
          <cell r="H958" t="str">
            <v>CNC Machine Lay 445'-6in PE main ex</v>
          </cell>
          <cell r="I958" t="str">
            <v>posted to CPR</v>
          </cell>
          <cell r="J958" t="str">
            <v>CNC Machine Lay 445'-6in PE main ext: Joplin: 3820 Enterprise in Joplin</v>
          </cell>
          <cell r="K958" t="str">
            <v>Approved by: Ken Thomas on 11/15/2013,  Lay 445' of 6in PE main to provide service for new customer.  Customer will contribute $4,070.00 prior to installation.  Project Location: Enerprise Ave E of Red Iron Dr.  Pressure System: S-119.  MOP: 58 PSIG.  MAOP: 58 PSIG.  Design: 58 PSIG.  Test: 100 PSIG.  Price Per Foot: $49.70.</v>
          </cell>
          <cell r="L958">
            <v>41654</v>
          </cell>
          <cell r="M958">
            <v>41729</v>
          </cell>
          <cell r="N958">
            <v>41733.309918981497</v>
          </cell>
          <cell r="O958">
            <v>41730</v>
          </cell>
          <cell r="P958" t="str">
            <v>0501-044001  JASPER CTY/JOPLIN</v>
          </cell>
          <cell r="Q958">
            <v>27841</v>
          </cell>
          <cell r="R958">
            <v>1549</v>
          </cell>
        </row>
        <row r="959">
          <cell r="A959" t="str">
            <v>003844</v>
          </cell>
          <cell r="B959" t="str">
            <v>LDC 2</v>
          </cell>
          <cell r="D959" t="str">
            <v>yes</v>
          </cell>
          <cell r="E959" t="str">
            <v>20501132517</v>
          </cell>
          <cell r="F959" t="str">
            <v>F0544</v>
          </cell>
          <cell r="G959" t="str">
            <v>Replace bare steel main - safety re</v>
          </cell>
          <cell r="H959" t="str">
            <v>Plaza Dr Repl PBS w 1825'-4in PE</v>
          </cell>
          <cell r="I959" t="str">
            <v>posted to CPR</v>
          </cell>
          <cell r="J959" t="str">
            <v>Plaza Dr Repl PBS w 1825'-4in PE: Joplin: Plaza Dr and Indiana Ave</v>
          </cell>
          <cell r="K959" t="str">
            <v>Approved by: Steve Holcomb on 04/03/2013,  Abandon 1453' - 3in PBS (WO#'s: A7223, 50015, A9798) to clear one (1) active #3 leak (Leak No. 08-0213) due 10/14/2013. Replace with 1825' - 4in PE. This work will uprate 33rd St and Plaza Dr to the C-1 58psig system and create a new loop in this system. The systems will be split at 33rd and Old Main St. A temporary valve station will be installed to complete the uprate procedure with and then replaced with 4in PE. Project Location: 33rd St and Indiana; Old Pressure System: C-3; New Pressure System: C-1; MOP: 58 psig; MAOP: 58 psig; Design: 58 psig; Test: 100 psig; ISRS $48.52/ft</v>
          </cell>
          <cell r="L959">
            <v>41512</v>
          </cell>
          <cell r="M959">
            <v>41604</v>
          </cell>
          <cell r="N959">
            <v>41604.605694444399</v>
          </cell>
          <cell r="O959">
            <v>41730</v>
          </cell>
          <cell r="P959" t="str">
            <v>0501-066001  NEWTON CTY/JOPLIN</v>
          </cell>
          <cell r="Q959">
            <v>147111.18</v>
          </cell>
          <cell r="R959">
            <v>7471</v>
          </cell>
        </row>
        <row r="960">
          <cell r="A960" t="str">
            <v>007080</v>
          </cell>
          <cell r="B960" t="str">
            <v>LDC 2</v>
          </cell>
          <cell r="D960" t="str">
            <v>yes</v>
          </cell>
          <cell r="E960" t="str">
            <v>20502143980</v>
          </cell>
          <cell r="F960" t="str">
            <v>F0544</v>
          </cell>
          <cell r="G960" t="str">
            <v>Replace bare steel main - safety re</v>
          </cell>
          <cell r="H960" t="str">
            <v>Repl with 1220ft of 2in PE due to C</v>
          </cell>
          <cell r="I960" t="str">
            <v>posted to CPR</v>
          </cell>
          <cell r="J960" t="str">
            <v>Repl with 1220ft of 2in PE due to CP 14081: Webb City: Replace Bare Steel Main - 3760 Safety Related (34-394)</v>
          </cell>
          <cell r="K960" t="str">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ell>
          <cell r="L960">
            <v>42237</v>
          </cell>
          <cell r="M960">
            <v>42429</v>
          </cell>
          <cell r="N960">
            <v>42527.511365740698</v>
          </cell>
          <cell r="O960">
            <v>42278</v>
          </cell>
          <cell r="P960" t="str">
            <v>0502-044006  JASPER CTY/WEBB CITY</v>
          </cell>
          <cell r="Q960">
            <v>74417.2</v>
          </cell>
          <cell r="R960">
            <v>-3591.5</v>
          </cell>
        </row>
        <row r="961">
          <cell r="A961" t="str">
            <v>006361</v>
          </cell>
          <cell r="B961" t="str">
            <v>LDC 2</v>
          </cell>
          <cell r="D961" t="str">
            <v>no</v>
          </cell>
          <cell r="E961" t="str">
            <v>20502143641</v>
          </cell>
          <cell r="F961" t="str">
            <v>F0667</v>
          </cell>
          <cell r="G961" t="str">
            <v>Other relocates</v>
          </cell>
          <cell r="H961" t="str">
            <v>Relocate Webb City Jr High Service</v>
          </cell>
          <cell r="I961" t="str">
            <v>posted to CPR</v>
          </cell>
          <cell r="J961" t="str">
            <v>Relocate Webb City Jr High Service: Webb City: Other Relocates - Per Customer Request - Contribution (44-390)</v>
          </cell>
          <cell r="K961" t="str">
            <v>Approved by: Galen Shoemaker on 09/10/2014,  Abandon 125' of 2" PE service and install 20' of 2" PE service due to relocation of service for new FEMA building. Customer will contribute $970.  Project Location: Alley E of Jefferson Ave, between Broadway St. &amp; 1st St.  System: C-2.  MOP: 1.5 PSIG.  MAOP: 1.5 PSIG.  Design: 58 PSIG.  Test: 100 PSIG.  Price Per Foot: $53.66.</v>
          </cell>
          <cell r="L961">
            <v>41807</v>
          </cell>
          <cell r="M961">
            <v>42248</v>
          </cell>
          <cell r="N961">
            <v>42270.515474537002</v>
          </cell>
          <cell r="O961">
            <v>41913</v>
          </cell>
          <cell r="P961" t="str">
            <v>0502-044006  JASPER CTY/WEBB CITY</v>
          </cell>
          <cell r="Q961">
            <v>3527.14</v>
          </cell>
          <cell r="R961">
            <v>89</v>
          </cell>
        </row>
        <row r="962">
          <cell r="A962" t="str">
            <v>007593</v>
          </cell>
          <cell r="B962" t="str">
            <v>LDC 2</v>
          </cell>
          <cell r="D962" t="str">
            <v>yes</v>
          </cell>
          <cell r="E962" t="str">
            <v>20505155107</v>
          </cell>
          <cell r="F962" t="str">
            <v>F0544</v>
          </cell>
          <cell r="G962" t="str">
            <v>Replace bare steel main - safety re</v>
          </cell>
          <cell r="H962" t="str">
            <v>2in PBS Main Replacement</v>
          </cell>
          <cell r="I962" t="str">
            <v>posted to CPR</v>
          </cell>
          <cell r="J962" t="str">
            <v>2in PBS Main Replacement: Dunweg: Replace Bare Steel Main - 3760 Safety Related (34-394)</v>
          </cell>
          <cell r="K962" t="str">
            <v>Approved by: Michael Fornelli on 02/05/2015,  Replace 12' 2" PCS &amp; 57' 2" PBS with 70' 2" PE due to 1 active leak (10100) and abandon 86' 1 1/4" PE due to no services running off the main.  Project Location: 7th St W of Mower St.  System: S-1.  MOP: 17 PSIG.  MAOP: 17 PSIG.  Design: 58 PSIG.  Test: 100 PSIG.  Price Per Foot: $91.75.</v>
          </cell>
          <cell r="L962">
            <v>42074</v>
          </cell>
          <cell r="M962">
            <v>42217</v>
          </cell>
          <cell r="N962">
            <v>42284.723287036999</v>
          </cell>
          <cell r="O962">
            <v>42095</v>
          </cell>
          <cell r="P962" t="str">
            <v>0505-044003  JASPER CTY/DUENWEG</v>
          </cell>
          <cell r="Q962">
            <v>2853.37</v>
          </cell>
          <cell r="R962">
            <v>-518.75</v>
          </cell>
        </row>
        <row r="963">
          <cell r="A963" t="str">
            <v>009934</v>
          </cell>
          <cell r="B963" t="str">
            <v>LDC 2</v>
          </cell>
          <cell r="D963" t="str">
            <v>no</v>
          </cell>
          <cell r="F963" t="str">
            <v>F1152</v>
          </cell>
          <cell r="G963" t="str">
            <v>Vehicle Purchases - MGE</v>
          </cell>
          <cell r="H963" t="str">
            <v>Retire 1 Fusion,2 Escapes, 13 Truck</v>
          </cell>
          <cell r="I963" t="str">
            <v>posted to CPR</v>
          </cell>
          <cell r="J963" t="str">
            <v>Retire MGE Units: 30130, 12663, 12389, 12589, 12237, 12243, 12724, 12645, 12639, 12602, 12519, 12552, 21302, 12505, 12435, and 12384</v>
          </cell>
          <cell r="K963" t="str">
            <v>Unable to locate 12389, 12237 and 12243. Unit 12639 retired 2013 due to damage</v>
          </cell>
          <cell r="L963">
            <v>42400</v>
          </cell>
          <cell r="M963">
            <v>42400</v>
          </cell>
          <cell r="N963">
            <v>42496.618530092601</v>
          </cell>
          <cell r="P963" t="str">
            <v>0101-043050  JACKSON CTY/KC</v>
          </cell>
          <cell r="Q963">
            <v>31955.3</v>
          </cell>
          <cell r="R963">
            <v>9</v>
          </cell>
        </row>
        <row r="964">
          <cell r="A964" t="str">
            <v>007700</v>
          </cell>
          <cell r="B964" t="str">
            <v>LDC 2</v>
          </cell>
          <cell r="D964" t="str">
            <v>no</v>
          </cell>
          <cell r="F964" t="str">
            <v>F0951</v>
          </cell>
          <cell r="G964" t="str">
            <v>Vehicle Purchase MGE</v>
          </cell>
          <cell r="H964" t="str">
            <v>Purchase 44 Light Trucks MGE</v>
          </cell>
          <cell r="I964" t="str">
            <v>posted to CPR</v>
          </cell>
          <cell r="J964" t="str">
            <v>Purchase 44 light trucks MGE</v>
          </cell>
          <cell r="L964">
            <v>42369</v>
          </cell>
          <cell r="M964">
            <v>42401</v>
          </cell>
          <cell r="N964">
            <v>42467.490474537</v>
          </cell>
          <cell r="O964">
            <v>42339</v>
          </cell>
          <cell r="P964" t="str">
            <v>0101-043050  JACKSON CTY/KC</v>
          </cell>
          <cell r="Q964">
            <v>1680572.27</v>
          </cell>
          <cell r="R964">
            <v>211</v>
          </cell>
        </row>
        <row r="965">
          <cell r="A965" t="str">
            <v>801059</v>
          </cell>
          <cell r="B965" t="str">
            <v>LDC 2</v>
          </cell>
          <cell r="C965" t="str">
            <v>09 - Facility Relocation due to Civic Improvement</v>
          </cell>
          <cell r="D965" t="str">
            <v>yes</v>
          </cell>
          <cell r="F965" t="str">
            <v>F0578</v>
          </cell>
          <cell r="G965" t="str">
            <v>Street &amp; Highway Relocates ISRS (S)</v>
          </cell>
          <cell r="H965" t="str">
            <v>Reloc 1848F 8-12S Truman Rd &amp; Hwy78</v>
          </cell>
          <cell r="I965" t="str">
            <v>open</v>
          </cell>
          <cell r="J965" t="str">
            <v>Install 713' of 12'' STL and 1135' of 8'' STL.</v>
          </cell>
          <cell r="K965" t="str">
            <v>Abandon 1970' of 8'' STL. This project is due to Public Improvement project that will re align the existing intersection of Truman Rd &amp; Hwy 78.</v>
          </cell>
          <cell r="P965" t="str">
            <v>0201-043001  JACKSON CTY/INDEPENDENCE</v>
          </cell>
          <cell r="Q965">
            <v>0</v>
          </cell>
          <cell r="R965">
            <v>1970</v>
          </cell>
        </row>
        <row r="966">
          <cell r="A966" t="str">
            <v>800898</v>
          </cell>
          <cell r="B966" t="str">
            <v>LDC 2</v>
          </cell>
          <cell r="D966" t="str">
            <v>no</v>
          </cell>
          <cell r="F966" t="str">
            <v>F0578</v>
          </cell>
          <cell r="G966" t="str">
            <v>Street &amp; Highway Relocates ISRS (S)</v>
          </cell>
          <cell r="H966" t="str">
            <v>Reloc 570F 4P 48th St QuickTrip CJ</v>
          </cell>
          <cell r="I966" t="str">
            <v>open</v>
          </cell>
          <cell r="J966" t="str">
            <v>Install ~570 Ft of 4" PL MP Main.</v>
          </cell>
          <cell r="K966" t="str">
            <v>Abandon ~335 Ft of 4" PL MP Main.  Total Service Tie-overs: 2.  Work order type: Maine Relocation: MRELO.  Project is Customer Generated. Reimbursable - See attached F130</v>
          </cell>
          <cell r="P966" t="str">
            <v>0201-043001  JACKSON CTY/INDEPENDENCE</v>
          </cell>
          <cell r="Q966">
            <v>0</v>
          </cell>
          <cell r="R966">
            <v>335</v>
          </cell>
        </row>
        <row r="967">
          <cell r="A967" t="str">
            <v>800543</v>
          </cell>
          <cell r="B967" t="str">
            <v>LDC 2</v>
          </cell>
          <cell r="C967" t="str">
            <v>03 - Bare Steel Replacement</v>
          </cell>
          <cell r="D967" t="str">
            <v>yes</v>
          </cell>
          <cell r="F967" t="str">
            <v>F0604</v>
          </cell>
          <cell r="G967" t="str">
            <v>Main Replacement - ISRS (S)</v>
          </cell>
          <cell r="H967" t="str">
            <v>Repl w/ 4265F 2P TC Lea &amp;RogersPh2</v>
          </cell>
          <cell r="I967" t="str">
            <v>in service</v>
          </cell>
          <cell r="J967" t="str">
            <v>Install 4265 Ft of 2 in PL IP and abandon 383 Ft of 2 in PL LP Main, 2124 Ft of 2 in ST LP, 1847 Ft of 4" ST LP Main on Rogers St, Sunrise Dr, Sunset Dr and Westwood Dr.</v>
          </cell>
          <cell r="K967" t="str">
            <v>This main is being replaced as part of the FY16 Bare Steel Replacement Program.</v>
          </cell>
          <cell r="L967">
            <v>42608</v>
          </cell>
          <cell r="O967">
            <v>42644</v>
          </cell>
          <cell r="P967" t="str">
            <v>0201-043001  JACKSON CTY/INDEPENDENCE</v>
          </cell>
          <cell r="Q967">
            <v>295519</v>
          </cell>
          <cell r="R967">
            <v>-2389</v>
          </cell>
        </row>
        <row r="968">
          <cell r="A968" t="str">
            <v>004077</v>
          </cell>
          <cell r="B968" t="str">
            <v>LDC 2</v>
          </cell>
          <cell r="D968" t="str">
            <v>no</v>
          </cell>
          <cell r="E968" t="str">
            <v>20201143415</v>
          </cell>
          <cell r="F968" t="str">
            <v>F0675</v>
          </cell>
          <cell r="G968" t="str">
            <v>Services -  2" &amp; larger</v>
          </cell>
          <cell r="H968" t="str">
            <v>Stoney Creek Inn 2in Service Line</v>
          </cell>
          <cell r="I968" t="str">
            <v>posted to CPR</v>
          </cell>
          <cell r="J968" t="str">
            <v>Stoney Creek Inn 2in Service Line: Independence: 18011 E Bass Pro Drive</v>
          </cell>
          <cell r="K968" t="str">
            <v>Approved by: Ralph Janes on 03/10/2014,  Install 810' - 2" pe service line to serve one new commercial customer.  7M Rotary meter to be set on parent work order 14-3414.</v>
          </cell>
          <cell r="L968">
            <v>41796</v>
          </cell>
          <cell r="M968">
            <v>42155</v>
          </cell>
          <cell r="N968">
            <v>42160.551203703697</v>
          </cell>
          <cell r="O968">
            <v>41791</v>
          </cell>
          <cell r="P968" t="str">
            <v>0201-043001  JACKSON CTY/INDEPENDENCE</v>
          </cell>
          <cell r="Q968">
            <v>5206.18</v>
          </cell>
          <cell r="R968">
            <v>-2000</v>
          </cell>
        </row>
        <row r="969">
          <cell r="A969" t="str">
            <v>800164</v>
          </cell>
          <cell r="B969" t="str">
            <v>LDC 2</v>
          </cell>
          <cell r="D969" t="str">
            <v>no</v>
          </cell>
          <cell r="F969" t="str">
            <v>F0673</v>
          </cell>
          <cell r="G969" t="str">
            <v>New Main Extensions (S)</v>
          </cell>
          <cell r="H969" t="str">
            <v>Churchill Estates Plat 4 Main Ext</v>
          </cell>
          <cell r="I969" t="str">
            <v>in service</v>
          </cell>
          <cell r="J969" t="str">
            <v>Install 760 feet of 2 inch plastic and 285 feet of 4 inch plastic main for Churchill Estates, Plat 4.</v>
          </cell>
          <cell r="L969">
            <v>42446</v>
          </cell>
          <cell r="O969">
            <v>42461</v>
          </cell>
          <cell r="P969" t="str">
            <v>0201-043001  JACKSON CTY/INDEPENDENCE</v>
          </cell>
          <cell r="Q969">
            <v>44589.62</v>
          </cell>
          <cell r="R969">
            <v>-1837.5</v>
          </cell>
        </row>
        <row r="970">
          <cell r="A970" t="str">
            <v>800080</v>
          </cell>
          <cell r="B970" t="str">
            <v>LDC 2</v>
          </cell>
          <cell r="D970" t="str">
            <v>no</v>
          </cell>
          <cell r="F970" t="str">
            <v>F0673</v>
          </cell>
          <cell r="G970" t="str">
            <v>New Main Extensions (S)</v>
          </cell>
          <cell r="H970" t="str">
            <v>Repl main Warrensburg HS-New bus</v>
          </cell>
          <cell r="I970" t="str">
            <v>in service</v>
          </cell>
          <cell r="J970" t="str">
            <v>Warrensburg High School is building an addition on top of the existing Meter Set and Service Line.  The existing 4 inch pl main reduces to 2 inch just south of the existing service tap.</v>
          </cell>
          <cell r="K970" t="str">
            <v>Long description continues: With only 20 psig in the main and a new total connected load of 14,350 cfh we need to replace 220 feet of the 2 inch main with 4 inch main.  The service line will be replaced 220 feet south of the existing one with 2 inch pl on work order 14449445.  A new 11M Rotary Meter will be installed on a work order.  Sales will perform an economic evaluation on the total cost of the project.</v>
          </cell>
          <cell r="L970">
            <v>42551</v>
          </cell>
          <cell r="O970">
            <v>42522</v>
          </cell>
          <cell r="P970" t="str">
            <v>0301-046001  JOHNSON CTY/WARRENSBURG</v>
          </cell>
          <cell r="Q970">
            <v>18919.96</v>
          </cell>
          <cell r="R970">
            <v>-733</v>
          </cell>
        </row>
        <row r="971">
          <cell r="A971" t="str">
            <v>004888</v>
          </cell>
          <cell r="B971" t="str">
            <v>LDC 2</v>
          </cell>
          <cell r="D971" t="str">
            <v>yes</v>
          </cell>
          <cell r="E971" t="str">
            <v>20201143450</v>
          </cell>
          <cell r="F971" t="str">
            <v>F0604</v>
          </cell>
          <cell r="G971" t="str">
            <v>Main Replacement - ISRS (S)</v>
          </cell>
          <cell r="H971" t="str">
            <v>33rd &amp; Vermont Repl PBS w 22300'-2;</v>
          </cell>
          <cell r="I971" t="str">
            <v>posted to CPR</v>
          </cell>
          <cell r="J971" t="str">
            <v>33rd &amp; Vermont Repl PBS w 22300'-2;340'-4in main: Independence: Replace Bare Steel Main - 3760 Safety Related (34-394)</v>
          </cell>
          <cell r="K971" t="str">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ell>
          <cell r="L971">
            <v>41936</v>
          </cell>
          <cell r="M971">
            <v>42248</v>
          </cell>
          <cell r="N971">
            <v>42284.720879629604</v>
          </cell>
          <cell r="O971">
            <v>41944</v>
          </cell>
          <cell r="P971" t="str">
            <v>0201-043001  JACKSON CTY/INDEPENDENCE</v>
          </cell>
          <cell r="Q971">
            <v>779990.87</v>
          </cell>
          <cell r="R971">
            <v>-22499.5</v>
          </cell>
        </row>
        <row r="972">
          <cell r="A972" t="str">
            <v>004457</v>
          </cell>
          <cell r="B972" t="str">
            <v>LDC 2</v>
          </cell>
          <cell r="D972" t="str">
            <v>no</v>
          </cell>
          <cell r="E972" t="str">
            <v>20201143321</v>
          </cell>
          <cell r="F972" t="str">
            <v>F0671</v>
          </cell>
          <cell r="G972" t="str">
            <v>Tools, Instruments &amp; Equipment</v>
          </cell>
          <cell r="H972" t="str">
            <v>Pur Electrofusion Scrapers &amp; Equip</v>
          </cell>
          <cell r="I972" t="str">
            <v>posted to CPR</v>
          </cell>
          <cell r="J972" t="str">
            <v>Pur Electrofusion Scrapers &amp; Equip: Independence: Independence Training Center</v>
          </cell>
          <cell r="K972" t="str">
            <v>Approved by: Brian Dresel on 01/24/2014,  New scrapers with replacement blade kits and infrared thermometers to be used for fusion training and testing of employees and contractors.</v>
          </cell>
          <cell r="L972">
            <v>41680</v>
          </cell>
          <cell r="M972">
            <v>41722</v>
          </cell>
          <cell r="N972">
            <v>41723.306458333303</v>
          </cell>
          <cell r="P972" t="str">
            <v>0201-043001  JACKSON CTY/INDEPENDENCE</v>
          </cell>
          <cell r="Q972">
            <v>4477.8</v>
          </cell>
          <cell r="R972">
            <v>0</v>
          </cell>
        </row>
        <row r="973">
          <cell r="A973" t="str">
            <v>006557</v>
          </cell>
          <cell r="B973" t="str">
            <v>LDC 2</v>
          </cell>
          <cell r="D973" t="str">
            <v>no</v>
          </cell>
          <cell r="E973" t="str">
            <v>20301143741</v>
          </cell>
          <cell r="F973" t="str">
            <v>F0673</v>
          </cell>
          <cell r="G973" t="str">
            <v>New Main Extensions (S)</v>
          </cell>
          <cell r="H973" t="str">
            <v>Holden Village 2 pe main extension</v>
          </cell>
          <cell r="I973" t="str">
            <v>posted to CPR</v>
          </cell>
          <cell r="J973" t="str">
            <v>Holden Village 2inch pe main extension: Warrensburg: New Main Extension - Company Crews  3760 (33-305)</v>
          </cell>
          <cell r="K973" t="str">
            <v>Approved by: Ralph Janes on 09/25/2014,  Install 700' - 2" pe main extension to serve one new commercial customer.  145' - 1-1/4" pe service line to be installed on BWO.  3M Rotary meter set for the Holden Village Retail to be installed on parent work order 14-3727.  3M Rotary meter setting for the Holden Village Residential to be installed on work order 14-3722.</v>
          </cell>
          <cell r="L973">
            <v>41968</v>
          </cell>
          <cell r="M973">
            <v>42094</v>
          </cell>
          <cell r="N973">
            <v>42100.335208333301</v>
          </cell>
          <cell r="O973">
            <v>42064</v>
          </cell>
          <cell r="P973" t="str">
            <v>0301-046001  JOHNSON CTY/WARRENSBURG</v>
          </cell>
          <cell r="Q973">
            <v>17932.96</v>
          </cell>
          <cell r="R973">
            <v>-1683</v>
          </cell>
        </row>
        <row r="974">
          <cell r="A974" t="str">
            <v>004219</v>
          </cell>
          <cell r="B974" t="str">
            <v>LDC 2</v>
          </cell>
          <cell r="D974" t="str">
            <v>no</v>
          </cell>
          <cell r="E974" t="str">
            <v>20312133094</v>
          </cell>
          <cell r="F974" t="str">
            <v>F0507</v>
          </cell>
          <cell r="G974" t="str">
            <v>Rebuild Meter Install 2'' &amp; Lg (S)</v>
          </cell>
          <cell r="H974" t="str">
            <v>Remove1.5M Rotary Meter</v>
          </cell>
          <cell r="I974" t="str">
            <v>posted to CPR</v>
          </cell>
          <cell r="J974" t="str">
            <v>Remove1.5M Rotary Meter: Carrollton: 600 Business Hwy 65</v>
          </cell>
          <cell r="K974" t="str">
            <v>Approved by: Ray Wilson on 10/23/2013,  Remove and dismantle the 1.5M rotary meter setting (meter #08058978, installed on WO# 80-1040) due to inactivity.</v>
          </cell>
          <cell r="L974">
            <v>41561</v>
          </cell>
          <cell r="M974">
            <v>41626</v>
          </cell>
          <cell r="N974">
            <v>41630.722199074102</v>
          </cell>
          <cell r="P974" t="str">
            <v>0312-014001  CARROLL CTY/CARROLLTON</v>
          </cell>
          <cell r="Q974">
            <v>295.45</v>
          </cell>
          <cell r="R974">
            <v>3</v>
          </cell>
        </row>
        <row r="975">
          <cell r="A975" t="str">
            <v>004029</v>
          </cell>
          <cell r="B975" t="str">
            <v>LDC 2</v>
          </cell>
          <cell r="D975" t="str">
            <v>no</v>
          </cell>
          <cell r="E975" t="str">
            <v>20932133063</v>
          </cell>
          <cell r="F975" t="str">
            <v>F0644</v>
          </cell>
          <cell r="G975" t="str">
            <v>Meter &amp; Reg Settings 2" &amp; Lg (S)</v>
          </cell>
          <cell r="H975" t="str">
            <v>1921 W Foxwood Dr 3M mtr set</v>
          </cell>
          <cell r="I975" t="str">
            <v>posted to CPR</v>
          </cell>
          <cell r="J975" t="str">
            <v>1921 W Foxwood Dr 3M mtr set: Raymore: 1921 W Foxwood Dr Golden Corral - Raymore Galleria</v>
          </cell>
          <cell r="K975" t="str">
            <v>Approved by: Ralph Janes on 10/14/2013,  Build a 3M Rotary meter set to serve the new commercial customer of Golden Corral. 190' of 1-1/4in PE service line will be installed on a BWO. Elevated pressure of 2 psig has been requested.</v>
          </cell>
          <cell r="L975">
            <v>41670</v>
          </cell>
          <cell r="M975">
            <v>41698</v>
          </cell>
          <cell r="N975">
            <v>41704.711666666699</v>
          </cell>
          <cell r="P975" t="str">
            <v>0932-016022  CASS CTY/RAYMORE</v>
          </cell>
          <cell r="Q975">
            <v>3386.37</v>
          </cell>
          <cell r="R975">
            <v>87</v>
          </cell>
        </row>
        <row r="976">
          <cell r="A976" t="str">
            <v>800835</v>
          </cell>
          <cell r="B976" t="str">
            <v>LDC 2</v>
          </cell>
          <cell r="D976" t="str">
            <v>no</v>
          </cell>
          <cell r="F976" t="str">
            <v>F0664</v>
          </cell>
          <cell r="G976" t="str">
            <v>Street &amp; Hwy Relocates ISRS (SW)</v>
          </cell>
          <cell r="H976" t="str">
            <v>Aband 822F 2S Kum n Go</v>
          </cell>
          <cell r="I976" t="str">
            <v>in service</v>
          </cell>
          <cell r="J976" t="str">
            <v>Abandon ~822 ft 2 IN ST IP main along W. Jackson and Hwy NN in Ozark due to demolition of existing facilities and construction of new Kum N Go Gas Station.</v>
          </cell>
          <cell r="K976" t="str">
            <v>Total Services Abandoned: 4.  Main being abandoned due to construction of new Kum N Go station.</v>
          </cell>
          <cell r="L976">
            <v>42742</v>
          </cell>
          <cell r="P976" t="str">
            <v>0815-019006  CHRISTIAN CTY/OZARK</v>
          </cell>
          <cell r="Q976">
            <v>8330.07</v>
          </cell>
          <cell r="R976">
            <v>880</v>
          </cell>
        </row>
        <row r="977">
          <cell r="A977" t="str">
            <v>004144</v>
          </cell>
          <cell r="B977" t="str">
            <v>LDC 2</v>
          </cell>
          <cell r="D977" t="str">
            <v>no</v>
          </cell>
          <cell r="E977" t="str">
            <v>20801050320</v>
          </cell>
          <cell r="F977" t="str">
            <v>F0615</v>
          </cell>
          <cell r="G977" t="str">
            <v>New service installations - contrac</v>
          </cell>
          <cell r="H977" t="str">
            <v>BWO NEW SVC CONT</v>
          </cell>
          <cell r="I977" t="str">
            <v>open</v>
          </cell>
          <cell r="J977" t="str">
            <v>BWO NEW SVC CONT</v>
          </cell>
          <cell r="K977" t="str">
            <v>Project Type:B</v>
          </cell>
          <cell r="O977">
            <v>41730</v>
          </cell>
          <cell r="P977" t="str">
            <v>0801-005001  BARRY CTY/MONETT</v>
          </cell>
          <cell r="Q977">
            <v>1499140.39</v>
          </cell>
          <cell r="R977">
            <v>369653.7</v>
          </cell>
        </row>
        <row r="978">
          <cell r="A978" t="str">
            <v>004663</v>
          </cell>
          <cell r="B978" t="str">
            <v>LDC 2</v>
          </cell>
          <cell r="D978" t="str">
            <v>no</v>
          </cell>
          <cell r="E978" t="str">
            <v>20821133076</v>
          </cell>
          <cell r="F978" t="str">
            <v>F0523</v>
          </cell>
          <cell r="G978" t="str">
            <v>New Main Extensions (SW)</v>
          </cell>
          <cell r="H978" t="str">
            <v>FR 1102 Lay 100'- 2in PE Main</v>
          </cell>
          <cell r="I978" t="str">
            <v>posted to CPR</v>
          </cell>
          <cell r="J978" t="str">
            <v>FR 1102 Lay 100'- 2in PE Main: Cassville: FR 1102 North of Business Hwy 37</v>
          </cell>
          <cell r="K978" t="str">
            <v>Approved by: Galen Shoemaker on 10/24/2013,  To install 100ft of 2in Plastic Main to replace a 20 year service (SLRP) where we would have to cross neighboring private property to run from existing Main. MOP=25# MAOP=58# SYSTEM=S-2310 TEST=100#</v>
          </cell>
          <cell r="L978">
            <v>41642</v>
          </cell>
          <cell r="M978">
            <v>41717</v>
          </cell>
          <cell r="N978">
            <v>41719.593182870398</v>
          </cell>
          <cell r="O978">
            <v>41730</v>
          </cell>
          <cell r="P978" t="str">
            <v>0821-005011  BARRY CTY/CASSVILLE</v>
          </cell>
          <cell r="Q978">
            <v>743.77</v>
          </cell>
          <cell r="R978">
            <v>484</v>
          </cell>
        </row>
        <row r="979">
          <cell r="A979" t="str">
            <v>012118</v>
          </cell>
          <cell r="B979" t="str">
            <v>LDC 2</v>
          </cell>
          <cell r="D979" t="str">
            <v>yes</v>
          </cell>
          <cell r="F979" t="str">
            <v>F0507</v>
          </cell>
          <cell r="G979" t="str">
            <v>Rebuild Meter Install 2'' &amp; Lg (S)</v>
          </cell>
          <cell r="H979" t="str">
            <v>Hobby Lobby SLRP Meter Relocation</v>
          </cell>
          <cell r="I979" t="str">
            <v>in service</v>
          </cell>
          <cell r="J979" t="str">
            <v>Moving property line meterset to building as part of the service line replacement program.  Install 3M Rotary meter set at 500 NW State Route 7 A, Blue Springs Mo</v>
          </cell>
          <cell r="K979" t="str">
            <v>Maximo WO 15375923</v>
          </cell>
          <cell r="L979">
            <v>42612</v>
          </cell>
          <cell r="O979">
            <v>42614</v>
          </cell>
          <cell r="P979" t="str">
            <v>0903-043026  JACKSON CTY/BLUE SPRINGS</v>
          </cell>
          <cell r="Q979">
            <v>2454.44</v>
          </cell>
          <cell r="R979">
            <v>-46.5</v>
          </cell>
        </row>
        <row r="980">
          <cell r="A980" t="str">
            <v>004641</v>
          </cell>
          <cell r="B980" t="str">
            <v>LDC 2</v>
          </cell>
          <cell r="D980" t="str">
            <v>yes</v>
          </cell>
          <cell r="E980" t="str">
            <v>20908121165</v>
          </cell>
          <cell r="F980" t="str">
            <v>F0600</v>
          </cell>
          <cell r="G980" t="str">
            <v>Station Rebuild &amp; Repl ISRS (N)</v>
          </cell>
          <cell r="H980" t="str">
            <v>Repl Harrisonville Odorizer w YZ</v>
          </cell>
          <cell r="I980" t="str">
            <v>posted to CPR</v>
          </cell>
          <cell r="J980" t="str">
            <v>Repl Harrisonville Odorizer w YZ: Harrisonville: 2 miles north of Harrisonville on 291 Highway</v>
          </cell>
          <cell r="K980" t="str">
            <v>Approved by: Steve Holcomb on 03/01/2012,  Replace and retire existing 6B odorizer (WO# 643977) with a YZ Model NJEX 6300GE-04C-1A1 odorizer with 250 gallon tank.</v>
          </cell>
          <cell r="L980">
            <v>41578</v>
          </cell>
          <cell r="M980">
            <v>41578</v>
          </cell>
          <cell r="N980">
            <v>41578.509803240697</v>
          </cell>
          <cell r="P980" t="str">
            <v>0908-016009  CASS CTY/HARRISONVILLE S</v>
          </cell>
          <cell r="Q980">
            <v>62279.31</v>
          </cell>
          <cell r="R980">
            <v>0</v>
          </cell>
        </row>
        <row r="981">
          <cell r="A981" t="str">
            <v>800414</v>
          </cell>
          <cell r="B981" t="str">
            <v>LDC 2</v>
          </cell>
          <cell r="C981" t="str">
            <v>03 - Bare Steel Replacement</v>
          </cell>
          <cell r="D981" t="str">
            <v>yes</v>
          </cell>
          <cell r="F981" t="str">
            <v>F0604</v>
          </cell>
          <cell r="G981" t="str">
            <v>Main Replacement - ISRS (S)</v>
          </cell>
          <cell r="H981" t="str">
            <v>Repl w/ 7387 2-4P Pleasant Hill Ph7</v>
          </cell>
          <cell r="I981" t="str">
            <v>open</v>
          </cell>
          <cell r="J981" t="str">
            <v>Install 5818 Ft of 2 in and 1569 Ft of 4 in PL IP main for Pleasant Hill Replacement Phase 7. Abandon 142 Ft of 2 in PL, 40 Ft of 4 in PL, 6515 Ft of 2 in ST, 380 Ft of 3 in ST and 347 Ft of 4 in ST IP main.</v>
          </cell>
          <cell r="K981" t="str">
            <v>Main is being replaced as party of the FY16 Bare Steel Replacement Program.</v>
          </cell>
          <cell r="P981" t="str">
            <v>0909-016012  CASS CTY/PLEASANT HILL</v>
          </cell>
          <cell r="Q981">
            <v>0</v>
          </cell>
          <cell r="R981">
            <v>7424</v>
          </cell>
        </row>
        <row r="982">
          <cell r="A982" t="str">
            <v>003990</v>
          </cell>
          <cell r="B982" t="str">
            <v>LDC 2</v>
          </cell>
          <cell r="D982" t="str">
            <v>yes</v>
          </cell>
          <cell r="E982" t="str">
            <v>20909132739</v>
          </cell>
          <cell r="F982" t="str">
            <v>F0605</v>
          </cell>
          <cell r="G982" t="str">
            <v>Replace steel &amp; plastic main</v>
          </cell>
          <cell r="H982" t="str">
            <v>Country Club Dr Repl PE w 470'-4" P</v>
          </cell>
          <cell r="I982" t="str">
            <v>posted to CPR</v>
          </cell>
          <cell r="J982" t="str">
            <v>Country Club Dr &amp; Gulfview Dr Replacement: Pleasant Hill: Country Club Dr and Gulfview Dr</v>
          </cell>
          <cell r="K982" t="str">
            <v>Approved by: Ralph Janes on 06/14/2013,  Main to abandon: 456' of 3in PE main from wo# 805069 and replace with 470' of 4in PE main on wo# 13-2739. The existing main to be abandon is located under a concrete culvert and currently has a number 2 leak. Pressure system is C-002 with a MOP and MAOP = 40 psig.</v>
          </cell>
          <cell r="L982">
            <v>41512</v>
          </cell>
          <cell r="M982">
            <v>41564</v>
          </cell>
          <cell r="N982">
            <v>41564.624710648102</v>
          </cell>
          <cell r="P982" t="str">
            <v>0909-016012  CASS CTY/PLEASANT HILL</v>
          </cell>
          <cell r="Q982">
            <v>20195.03</v>
          </cell>
          <cell r="R982">
            <v>1490</v>
          </cell>
        </row>
        <row r="983">
          <cell r="A983" t="str">
            <v>800663</v>
          </cell>
          <cell r="B983" t="str">
            <v>LDC 2</v>
          </cell>
          <cell r="D983" t="str">
            <v>no</v>
          </cell>
          <cell r="F983" t="str">
            <v>F0673</v>
          </cell>
          <cell r="G983" t="str">
            <v>New Main Extensions (S)</v>
          </cell>
          <cell r="H983" t="str">
            <v>Install 2603F 2-4P Highland Med 4</v>
          </cell>
          <cell r="I983" t="str">
            <v>open</v>
          </cell>
          <cell r="J983" t="str">
            <v>Install  1541' of 2'' PE and  1062' of 4'' PE IP Main - Highland Meadows - 4</v>
          </cell>
          <cell r="K983" t="str">
            <v>To serve 40 new residential customers.  40 lot subdivision.</v>
          </cell>
          <cell r="P983" t="str">
            <v>0901-043021  JACKSON CTY/LEE'S SUMMIT OFFIC</v>
          </cell>
          <cell r="Q983">
            <v>2218.52</v>
          </cell>
          <cell r="R983">
            <v>-3043</v>
          </cell>
        </row>
        <row r="984">
          <cell r="A984" t="str">
            <v>008396</v>
          </cell>
          <cell r="B984" t="str">
            <v>LDC 2</v>
          </cell>
          <cell r="D984" t="str">
            <v>no</v>
          </cell>
          <cell r="E984" t="str">
            <v>20901155339</v>
          </cell>
          <cell r="F984" t="str">
            <v>F0676</v>
          </cell>
          <cell r="G984" t="str">
            <v>Meter &amp; regulator settings - 2" &amp; l</v>
          </cell>
          <cell r="H984" t="str">
            <v>Midwest Pain Management Ctr 5M Mtr</v>
          </cell>
          <cell r="I984" t="str">
            <v>posted to CPR</v>
          </cell>
          <cell r="J984" t="str">
            <v>Midwest Pain Management Center: Lees Summit: New Meter &amp; Reg Settings - 2in &amp; Larger 3820/3830 (33-382)</v>
          </cell>
          <cell r="K984" t="str">
            <v>Approved by: Kevin Driskell on 05/11/2015,  Install 5M Rotary meter setting to serve one new commerical customer.  Note:  400' - 1-1/4" pe service line to be installed on BWO.  Note:  Original WOES site entered by Jabbar can be referenced by searching for work order 155345 to see oringinal load information, contact list and notes.</v>
          </cell>
          <cell r="L984">
            <v>42269</v>
          </cell>
          <cell r="M984">
            <v>42278</v>
          </cell>
          <cell r="N984">
            <v>42314.376458333303</v>
          </cell>
          <cell r="O984">
            <v>42248</v>
          </cell>
          <cell r="P984" t="str">
            <v>0901-043021  JACKSON CTY/LEE'S SUMMIT OFFIC</v>
          </cell>
          <cell r="Q984">
            <v>3413.59</v>
          </cell>
          <cell r="R984">
            <v>-19.5</v>
          </cell>
        </row>
        <row r="985">
          <cell r="A985" t="str">
            <v>005915</v>
          </cell>
          <cell r="B985" t="str">
            <v>LDC 2</v>
          </cell>
          <cell r="D985" t="str">
            <v>no</v>
          </cell>
          <cell r="E985" t="str">
            <v>20901143704</v>
          </cell>
          <cell r="F985" t="str">
            <v>F0514</v>
          </cell>
          <cell r="G985" t="str">
            <v>Other relocates</v>
          </cell>
          <cell r="H985" t="str">
            <v>Highland Park Reloc 15'-2in PE</v>
          </cell>
          <cell r="I985" t="str">
            <v>posted to CPR</v>
          </cell>
          <cell r="J985" t="str">
            <v>Highland Park Reloc 15'-2in PE : Lees Summit: Other Relocates - Per Customer Request - Contribution (44-390)</v>
          </cell>
          <cell r="K985" t="str">
            <v>Approved by: Ralph Janes on 08/06/2014,  Install a 4'x4'x7' 2" PE dogleg to mitigate a conflict with a proposed storm inlet and abandon 7' - 2" PE (WO# 06-0658). This is a private development, making this WO 100% reimbursable.</v>
          </cell>
          <cell r="L985">
            <v>41851</v>
          </cell>
          <cell r="M985">
            <v>41912</v>
          </cell>
          <cell r="N985">
            <v>42284.722037036998</v>
          </cell>
          <cell r="O985">
            <v>41883</v>
          </cell>
          <cell r="P985" t="str">
            <v>0901-043021  JACKSON CTY/LEE'S SUMMIT OFFIC</v>
          </cell>
          <cell r="Q985">
            <v>758.49</v>
          </cell>
          <cell r="R985">
            <v>12</v>
          </cell>
        </row>
        <row r="986">
          <cell r="A986" t="str">
            <v>005343</v>
          </cell>
          <cell r="B986" t="str">
            <v>LDC 2</v>
          </cell>
          <cell r="D986" t="str">
            <v>no</v>
          </cell>
          <cell r="E986" t="str">
            <v>20901132758</v>
          </cell>
          <cell r="F986" t="str">
            <v>F0602</v>
          </cell>
          <cell r="G986" t="str">
            <v>New business</v>
          </cell>
          <cell r="H986" t="str">
            <v>NW Audubon Ln &amp; Nutall Dr Lay 1745'</v>
          </cell>
          <cell r="I986" t="str">
            <v>posted to CPR</v>
          </cell>
          <cell r="J986" t="str">
            <v>NW Audubon Ln &amp; Nutall Dr Lay 1745'-2in PE main ex: Lees Summit: New Main Extension - Contractor Crews  3760 (33-380)</v>
          </cell>
          <cell r="K986" t="str">
            <v>Approved by: Ralph Janes on 07/11/2013,  Main Extension: Install 1745' of 2" PE main to serve 23 lots (1335-1357) in Winterset Valley for Phase 8. Pressure system is C-017 with a MOP and MAOP = 55 psig.  Contribution -Check for $14,832.50 received 1-21-14 per WOES</v>
          </cell>
          <cell r="L986">
            <v>41927</v>
          </cell>
          <cell r="M986">
            <v>41943</v>
          </cell>
          <cell r="N986">
            <v>42041.669050925899</v>
          </cell>
          <cell r="O986">
            <v>41913</v>
          </cell>
          <cell r="P986" t="str">
            <v>0901-043021  JACKSON CTY/LEE'S SUMMIT OFFIC</v>
          </cell>
          <cell r="Q986">
            <v>13054.05</v>
          </cell>
          <cell r="R986">
            <v>-3898</v>
          </cell>
        </row>
        <row r="987">
          <cell r="A987" t="str">
            <v>004287</v>
          </cell>
          <cell r="B987" t="str">
            <v>LDC 2</v>
          </cell>
          <cell r="D987" t="str">
            <v>yes</v>
          </cell>
          <cell r="E987" t="str">
            <v>20901050377</v>
          </cell>
          <cell r="F987" t="str">
            <v>F0607</v>
          </cell>
          <cell r="G987" t="str">
            <v>SLRP - materials - contract</v>
          </cell>
          <cell r="H987" t="str">
            <v>BWO MATERIAL SERV LINE REPL CONT</v>
          </cell>
          <cell r="I987" t="str">
            <v>open</v>
          </cell>
          <cell r="J987" t="str">
            <v>BWO MATERIAL SERV LINE REPL CONT</v>
          </cell>
          <cell r="K987" t="str">
            <v>Service/Yard Line Replacement (SLRP): Contract Crew.  Service/yard line replacement - Material Charges Only  (Lee's Summit - East Region)</v>
          </cell>
          <cell r="O987">
            <v>41730</v>
          </cell>
          <cell r="P987" t="str">
            <v>0901-043021  JACKSON CTY/LEE'S SUMMIT OFFIC</v>
          </cell>
          <cell r="Q987">
            <v>2663922.5299999998</v>
          </cell>
          <cell r="R987">
            <v>-909919.5</v>
          </cell>
        </row>
        <row r="988">
          <cell r="A988" t="str">
            <v>004016</v>
          </cell>
          <cell r="B988" t="str">
            <v>LDC 2</v>
          </cell>
          <cell r="D988" t="str">
            <v>no</v>
          </cell>
          <cell r="E988" t="str">
            <v>20901132687</v>
          </cell>
          <cell r="F988" t="str">
            <v>F0602</v>
          </cell>
          <cell r="G988" t="str">
            <v>New business</v>
          </cell>
          <cell r="H988" t="str">
            <v>NE Aberdeen Dr Lay 2305'-2in PE mai</v>
          </cell>
          <cell r="I988" t="str">
            <v>posted to CPR</v>
          </cell>
          <cell r="J988" t="str">
            <v>NE Aberdeen Dr Lay 2305'-2in PE main: Lees Summit: Woods Chapel Park Ridge 3rd &amp; 4th Phases</v>
          </cell>
          <cell r="K988" t="str">
            <v>Approved by: Ralph Janes on 05/16/2013,  Install 2305' of 2in PE main to serve new residential lots for construction Phases 3 and 4 of Park Ridge. Pressure system is C-013, MOP = MAOP = 25 psig. NE Aberdeen Dr and NE Alhabra Dr</v>
          </cell>
          <cell r="L988">
            <v>41597</v>
          </cell>
          <cell r="M988">
            <v>41697</v>
          </cell>
          <cell r="N988">
            <v>41698.505254629599</v>
          </cell>
          <cell r="O988">
            <v>41730</v>
          </cell>
          <cell r="P988" t="str">
            <v>0901-043021  JACKSON CTY/LEE'S SUMMIT OFFIC</v>
          </cell>
          <cell r="Q988">
            <v>11578.67</v>
          </cell>
          <cell r="R988">
            <v>5014.5</v>
          </cell>
        </row>
        <row r="989">
          <cell r="A989" t="str">
            <v>004479</v>
          </cell>
          <cell r="B989" t="str">
            <v>LDC 2</v>
          </cell>
          <cell r="D989" t="str">
            <v>no</v>
          </cell>
          <cell r="E989" t="str">
            <v>20901132501</v>
          </cell>
          <cell r="F989" t="str">
            <v>F0602</v>
          </cell>
          <cell r="G989" t="str">
            <v>New business</v>
          </cell>
          <cell r="H989" t="str">
            <v>2151 NE Indep Ave Lay 310'-2in TF S</v>
          </cell>
          <cell r="I989" t="str">
            <v>posted to CPR</v>
          </cell>
          <cell r="J989" t="str">
            <v>2151 NE Indep Ave Lay 310'-2in TF Steel main ext: Lees Summit: Instant Auto Sales</v>
          </cell>
          <cell r="K989" t="str">
            <v>Approved by: Ralph Janes on 08/20/2013,  Install 310' of 2IN thin film main to serve new commercial customer Instant Auto Sales. Also, install 55' of 1in steel service line with a 1IN steel 1800 series weldend type EFV to a first cut regulator. Continue after first cut with a 1-1/4in IPS 1800 series EFV for 355' of 1-1/4IN IPS service line to building.</v>
          </cell>
          <cell r="L989">
            <v>41586</v>
          </cell>
          <cell r="M989">
            <v>41697</v>
          </cell>
          <cell r="N989">
            <v>41698.505312499998</v>
          </cell>
          <cell r="O989">
            <v>41730</v>
          </cell>
          <cell r="P989" t="str">
            <v>0901-043021  JACKSON CTY/LEE'S SUMMIT OFFIC</v>
          </cell>
          <cell r="Q989">
            <v>2358.5700000000002</v>
          </cell>
          <cell r="R989">
            <v>336.6</v>
          </cell>
        </row>
        <row r="990">
          <cell r="A990" t="str">
            <v>004146</v>
          </cell>
          <cell r="B990" t="str">
            <v>LDC 2</v>
          </cell>
          <cell r="D990" t="str">
            <v>yes</v>
          </cell>
          <cell r="E990" t="str">
            <v>20901050372</v>
          </cell>
          <cell r="F990" t="str">
            <v>F0650</v>
          </cell>
          <cell r="G990" t="str">
            <v>SLRP - block by block - contract</v>
          </cell>
          <cell r="H990" t="str">
            <v>BWO SERVICE LINE REPL BLOCK CONTRAC</v>
          </cell>
          <cell r="I990" t="str">
            <v>open</v>
          </cell>
          <cell r="J990" t="str">
            <v>BWO SERVICE LINE REPL BLOCK CONTRACT</v>
          </cell>
          <cell r="K990" t="str">
            <v>Service/Yard Line Replacement (SLRP): Contract Crew.  Block by Block - Planned replacement of all unprotected steel or copper in a single block.  (Lee's Summit - East Region)</v>
          </cell>
          <cell r="O990">
            <v>41730</v>
          </cell>
          <cell r="P990" t="str">
            <v>0901-043021  JACKSON CTY/LEE'S SUMMIT OFFIC</v>
          </cell>
          <cell r="Q990">
            <v>2368098.11</v>
          </cell>
          <cell r="R990">
            <v>3474.5</v>
          </cell>
        </row>
        <row r="991">
          <cell r="A991" t="str">
            <v>004107</v>
          </cell>
          <cell r="B991" t="str">
            <v>LDC 2</v>
          </cell>
          <cell r="D991" t="str">
            <v>no</v>
          </cell>
          <cell r="E991" t="str">
            <v>20512143423</v>
          </cell>
          <cell r="F991" t="str">
            <v>F0677</v>
          </cell>
          <cell r="G991" t="str">
            <v>New business</v>
          </cell>
          <cell r="H991" t="str">
            <v>Woodland Dr Lay 105'-2in PE Main ex</v>
          </cell>
          <cell r="I991" t="str">
            <v>posted to CPR</v>
          </cell>
          <cell r="J991" t="str">
            <v>Woodland Dr Lay 105'-2in PE Main ext: Leewood/Silver Creek: Woodland Dr w of Hilltop Rd</v>
          </cell>
          <cell r="K991" t="str">
            <v>Approved by: Galen Shoemaker on 03/13/2014,  Install 105' of 2" PE to provide service for new customer.  No customer contribution because 75' would be sufficient, but company elects to install 105' due to contract prices.  Project Location: Woodland Dr W of Hilltop Rd.  MOP: 30 PSIG.  MAOP: 30 PSIG.  Design: 58 PSIG.  Test: 100 PSIG.  Price Per Foot: $35.85.</v>
          </cell>
          <cell r="L991">
            <v>41715</v>
          </cell>
          <cell r="M991">
            <v>41821</v>
          </cell>
          <cell r="N991">
            <v>41918.762326388904</v>
          </cell>
          <cell r="O991">
            <v>41730</v>
          </cell>
          <cell r="P991" t="str">
            <v>0512-066006  NEWTON CTY/LEAWOOD</v>
          </cell>
          <cell r="Q991">
            <v>3251.12</v>
          </cell>
          <cell r="R991">
            <v>623</v>
          </cell>
        </row>
        <row r="992">
          <cell r="A992" t="str">
            <v>007594</v>
          </cell>
          <cell r="B992" t="str">
            <v>LDC 2</v>
          </cell>
          <cell r="D992" t="str">
            <v>no</v>
          </cell>
          <cell r="E992" t="str">
            <v>20603144002</v>
          </cell>
          <cell r="F992" t="str">
            <v>F0496</v>
          </cell>
          <cell r="G992" t="str">
            <v>New main extensions - less than 200</v>
          </cell>
          <cell r="H992" t="str">
            <v>Ext Main with 430ft of 4in PE Jacks</v>
          </cell>
          <cell r="I992" t="str">
            <v>posted to CPR</v>
          </cell>
          <cell r="J992" t="str">
            <v>Ext Main with 430ft of 4in PE Jackson and 5th Terr: Lamar: New Main Extension - Company Crews  3760 (33-305)</v>
          </cell>
          <cell r="K992" t="str">
            <v>Approved by: Galen Shoemaker on 12/02/2014,  Extend main with 430' - 4" PE to provide service to new Lamar Public Works building. Customer will contribute $3,905 prior to construction. Project Location: Jackson and 5th Terr; Pressure System: S-001; MOP: 35 psig; MAOP: 40 psig; Design: 58 psig; Test: 100 psig;</v>
          </cell>
          <cell r="L992">
            <v>42080</v>
          </cell>
          <cell r="M992">
            <v>42248</v>
          </cell>
          <cell r="N992">
            <v>42284.723287036999</v>
          </cell>
          <cell r="O992">
            <v>42095</v>
          </cell>
          <cell r="P992" t="str">
            <v>0603-006001  BARTON CTY/LAMAR</v>
          </cell>
          <cell r="Q992">
            <v>8618.9599999999991</v>
          </cell>
          <cell r="R992">
            <v>-937.87</v>
          </cell>
        </row>
        <row r="993">
          <cell r="A993" t="str">
            <v>800868</v>
          </cell>
          <cell r="B993" t="str">
            <v>LDC 2</v>
          </cell>
          <cell r="D993" t="str">
            <v>no</v>
          </cell>
          <cell r="F993" t="str">
            <v>F0547</v>
          </cell>
          <cell r="G993" t="str">
            <v>Street &amp; Highway Relocates ISRS (N)</v>
          </cell>
          <cell r="H993" t="str">
            <v>Reloc 160F 2P Buckner's HVAC - CJ</v>
          </cell>
          <cell r="I993" t="str">
            <v>in service</v>
          </cell>
          <cell r="J993" t="str">
            <v>Replace 160 ft of 2 in IP PE main and abandon 80 ft of 2 in IP PE main due to conflict with new development. Reimbursable.</v>
          </cell>
          <cell r="K993" t="str">
            <v>Erica Murren sent signed contract 10-18-16 and is forwarding check for $3,637 - AMM. Received check for $3637 and forwarded to Cashiers10-26-16 - AMM.</v>
          </cell>
          <cell r="L993">
            <v>42716</v>
          </cell>
          <cell r="O993">
            <v>42705</v>
          </cell>
          <cell r="P993" t="str">
            <v>1251-075010  PLATTE CTY/KANSAS CITY NORTH</v>
          </cell>
          <cell r="Q993">
            <v>6545.9</v>
          </cell>
          <cell r="R993">
            <v>-762</v>
          </cell>
        </row>
        <row r="994">
          <cell r="A994" t="str">
            <v>004136</v>
          </cell>
          <cell r="B994" t="str">
            <v>LDC 2</v>
          </cell>
          <cell r="D994" t="str">
            <v>yes</v>
          </cell>
          <cell r="E994" t="str">
            <v>21251132926</v>
          </cell>
          <cell r="F994" t="str">
            <v>F0547</v>
          </cell>
          <cell r="G994" t="str">
            <v>Street &amp; Highway Relocates ISRS (N)</v>
          </cell>
          <cell r="H994" t="str">
            <v>NW 72 &amp; Maple Reloc PCS w 350'-2in</v>
          </cell>
          <cell r="I994" t="str">
            <v>posted to CPR</v>
          </cell>
          <cell r="J994" t="str">
            <v>NW 72 &amp; Maple Reloc PCS w 350'-2in PE main: Kansas City-Platte Co: NW 72nd and Maple</v>
          </cell>
          <cell r="K994" t="str">
            <v>Approved by: Kevin Driskell on 08/23/2013,  Relocate 350' of 2in PCS with 2in PE due to public improvement project New curb inlet boxes to be installed.  Tie-over two services.  COST PER FOOT $26.17 Retire 342'-2in PCS, wo 42198, yr 1956; 8'-2in PCS, JO A3585, yr 1953.  Install 350'-2in plastic pipe.</v>
          </cell>
          <cell r="L994">
            <v>41512</v>
          </cell>
          <cell r="M994">
            <v>41575</v>
          </cell>
          <cell r="N994">
            <v>41576.418483796297</v>
          </cell>
          <cell r="P994" t="str">
            <v>1251-075013  PLATTE CTY/KANSAS CITY NORTH</v>
          </cell>
          <cell r="Q994">
            <v>10617.45</v>
          </cell>
          <cell r="R994">
            <v>1106</v>
          </cell>
        </row>
        <row r="995">
          <cell r="A995" t="str">
            <v>004540</v>
          </cell>
          <cell r="B995" t="str">
            <v>LDC 2</v>
          </cell>
          <cell r="D995" t="str">
            <v>no</v>
          </cell>
          <cell r="E995" t="str">
            <v>21258132850</v>
          </cell>
          <cell r="F995" t="str">
            <v>F0660</v>
          </cell>
          <cell r="G995" t="str">
            <v>Meter &amp; Reg Settings 2" &amp; Lg (N)</v>
          </cell>
          <cell r="H995" t="str">
            <v>4825 NW 41st 3M mtr set</v>
          </cell>
          <cell r="I995" t="str">
            <v>posted to CPR</v>
          </cell>
          <cell r="J995" t="str">
            <v>4825 NW 41st 3M mtr set: Riverside: 4825 NW 41st St Suite 100 Horizon Spec 3</v>
          </cell>
          <cell r="K995" t="str">
            <v>Approved by: Mike Fornelli on 07/29/2013,  This work is necessary to install a 3M Roots meter to serve one new commercial customer. We'll install a 2in CL-34-1 regulator set at 2psig with a 1in 289H relief set at 3psig for a connected load of 2870cfh.</v>
          </cell>
          <cell r="L995">
            <v>41486</v>
          </cell>
          <cell r="M995">
            <v>41600</v>
          </cell>
          <cell r="N995">
            <v>41612.300185185202</v>
          </cell>
          <cell r="P995" t="str">
            <v>1258-075017  PLATTE CTY/RIVERSIDE</v>
          </cell>
          <cell r="Q995">
            <v>2004.94</v>
          </cell>
          <cell r="R995">
            <v>45</v>
          </cell>
        </row>
        <row r="996">
          <cell r="A996" t="str">
            <v>800340</v>
          </cell>
          <cell r="B996" t="str">
            <v>LDC 2</v>
          </cell>
          <cell r="C996" t="str">
            <v>03 - Bare Steel Replacement</v>
          </cell>
          <cell r="D996" t="str">
            <v>yes</v>
          </cell>
          <cell r="F996" t="str">
            <v>F0599</v>
          </cell>
          <cell r="G996" t="str">
            <v>Main Replacement - ISRS (N)</v>
          </cell>
          <cell r="H996" t="str">
            <v>Repl w/ 6468F 2P St. Joe's Ph2D</v>
          </cell>
          <cell r="I996" t="str">
            <v>open</v>
          </cell>
          <cell r="J996" t="str">
            <v>Install 6468 Ft of 2in PL IP and 15 Ft of 4in PL IP, abandon 681 Ft of PL LP, 6008 Ft of 4 in ST, &amp; uprate 437 Ft of2 in PL LP and 3131 Ft of 4in PL LP - St Joe's Phase 2D.</v>
          </cell>
          <cell r="K996" t="str">
            <v>This main is being replaced as part of FY16 Bare Steel Replacement Program</v>
          </cell>
          <cell r="P996" t="str">
            <v>1001-010001  ST. JOSEPH CITY/BUCHANAN</v>
          </cell>
          <cell r="Q996">
            <v>0</v>
          </cell>
          <cell r="R996">
            <v>6689</v>
          </cell>
        </row>
        <row r="997">
          <cell r="A997" t="str">
            <v>006551</v>
          </cell>
          <cell r="B997" t="str">
            <v>LDC 2</v>
          </cell>
          <cell r="D997" t="str">
            <v>yes</v>
          </cell>
          <cell r="E997" t="str">
            <v>20901143822</v>
          </cell>
          <cell r="F997" t="str">
            <v>F0604</v>
          </cell>
          <cell r="G997" t="str">
            <v>Main Replacement - ISRS (S)</v>
          </cell>
          <cell r="H997" t="str">
            <v>Replace 4inch PCS/PBS main</v>
          </cell>
          <cell r="I997" t="str">
            <v>posted to CPR</v>
          </cell>
          <cell r="J997" t="str">
            <v>Replace 4inch PCS/PBS main: Lees Summit: Replace Bare Steel Main - 3760 Safety Related (34-394)</v>
          </cell>
          <cell r="K997" t="str">
            <v>Approved by: Ralph Janes on 09/23/2014,  Replace and Abandon 164'- 4"PCS (692513), 62' - 4"PBS (28302), 527' - 4" PBS (Unknown) 31' - 4" PCS (691388) and 58' - 4"PCS (732376). Main currently runs in an easement between 5th and 6th St. and W of Miller St. (ISRS)</v>
          </cell>
          <cell r="L997">
            <v>41964</v>
          </cell>
          <cell r="M997">
            <v>41670</v>
          </cell>
          <cell r="N997">
            <v>42071.5921296296</v>
          </cell>
          <cell r="O997">
            <v>41974</v>
          </cell>
          <cell r="P997" t="str">
            <v>0901-043021  JACKSON CTY/LEE'S SUMMIT OFFIC</v>
          </cell>
          <cell r="Q997">
            <v>9159.5400000000009</v>
          </cell>
          <cell r="R997">
            <v>-922</v>
          </cell>
        </row>
        <row r="998">
          <cell r="A998" t="str">
            <v>003967</v>
          </cell>
          <cell r="B998" t="str">
            <v>LDC 2</v>
          </cell>
          <cell r="D998" t="str">
            <v>no</v>
          </cell>
          <cell r="E998" t="str">
            <v>21001050310</v>
          </cell>
          <cell r="F998" t="str">
            <v>F0532</v>
          </cell>
          <cell r="G998" t="str">
            <v>BWO - new services</v>
          </cell>
          <cell r="H998" t="str">
            <v>BWO-LINE LOCATES NEW SERVICES ONLY</v>
          </cell>
          <cell r="I998" t="str">
            <v>posted to CPR</v>
          </cell>
          <cell r="J998" t="str">
            <v>BWO-LINE LOCATES NEW SERVICES ONLY</v>
          </cell>
          <cell r="K998" t="str">
            <v>Project Type:B</v>
          </cell>
          <cell r="L998">
            <v>41717</v>
          </cell>
          <cell r="M998">
            <v>41717</v>
          </cell>
          <cell r="N998">
            <v>41717</v>
          </cell>
          <cell r="P998" t="str">
            <v>1001-010001  ST. JOSEPH CITY/BUCHANAN</v>
          </cell>
          <cell r="Q998">
            <v>91.54</v>
          </cell>
          <cell r="R998">
            <v>15</v>
          </cell>
        </row>
        <row r="999">
          <cell r="A999" t="str">
            <v>800884</v>
          </cell>
          <cell r="B999" t="str">
            <v>LDC 2</v>
          </cell>
          <cell r="D999" t="str">
            <v>no</v>
          </cell>
          <cell r="F999" t="str">
            <v>F0599</v>
          </cell>
          <cell r="G999" t="str">
            <v>Main Replacement - ISRS (N)</v>
          </cell>
          <cell r="H999" t="str">
            <v>Repl w 300F 4P Liberty &amp; Richfield</v>
          </cell>
          <cell r="I999" t="str">
            <v>open</v>
          </cell>
          <cell r="J999" t="str">
            <v>Install ~300 ft of 4 in PL IP main on Richfield Rd in Liberty, MO.</v>
          </cell>
          <cell r="K999" t="str">
            <v>Retire ~300 ft of 4 in ST IP main.  No services to tie-over or replace.  This new main will replace 4 in steel that currently is on a bridge.  New 4 in PL will be bored under a creek. Note: Being replaced as a safety concern but not ISRS recoverable.</v>
          </cell>
          <cell r="P999" t="str">
            <v>1207-020001  CLAY CTY/LIBERTY</v>
          </cell>
          <cell r="Q999">
            <v>0</v>
          </cell>
          <cell r="R999">
            <v>300</v>
          </cell>
        </row>
        <row r="1000">
          <cell r="A1000" t="str">
            <v>006552</v>
          </cell>
          <cell r="B1000" t="str">
            <v>LDC 2</v>
          </cell>
          <cell r="D1000" t="str">
            <v>yes</v>
          </cell>
          <cell r="E1000" t="str">
            <v>21207143819</v>
          </cell>
          <cell r="F1000" t="str">
            <v>F0636</v>
          </cell>
          <cell r="G1000" t="str">
            <v>Replace steel &amp; plastic main</v>
          </cell>
          <cell r="H1000" t="str">
            <v>2in PE Main Relocation</v>
          </cell>
          <cell r="I1000" t="str">
            <v>posted to CPR</v>
          </cell>
          <cell r="J1000" t="str">
            <v>2in PE Relocation: Liberty: Replace Coated Steel &amp; Plastic Main - 3760 (34-396)</v>
          </cell>
          <cell r="K1000" t="str">
            <v>Approved by: Kevin Driskell on 09/24/2014,  Abandoned 3' of 2'' PE. Installed 8' of 2'' PE due to third party damage. When work was done pressure system was C-002 (1psig). As of 9/16/2014 pressure system C-002 (33psig).</v>
          </cell>
          <cell r="L1000">
            <v>41841</v>
          </cell>
          <cell r="M1000">
            <v>41943</v>
          </cell>
          <cell r="N1000">
            <v>42041.6693981481</v>
          </cell>
          <cell r="O1000">
            <v>41883</v>
          </cell>
          <cell r="P1000" t="str">
            <v>1207-020001  CLAY CTY/LIBERTY</v>
          </cell>
          <cell r="Q1000">
            <v>453.93</v>
          </cell>
          <cell r="R1000">
            <v>7</v>
          </cell>
        </row>
        <row r="1001">
          <cell r="A1001" t="str">
            <v>006075</v>
          </cell>
          <cell r="B1001" t="str">
            <v>LDC 2</v>
          </cell>
          <cell r="D1001" t="str">
            <v>yes</v>
          </cell>
          <cell r="E1001" t="str">
            <v>21213143676</v>
          </cell>
          <cell r="F1001" t="str">
            <v>F0547</v>
          </cell>
          <cell r="G1001" t="str">
            <v>Street &amp; Highway Relocates ISRS (N)</v>
          </cell>
          <cell r="H1001" t="str">
            <v>Excelsior Springs Public Improvemen</v>
          </cell>
          <cell r="I1001" t="str">
            <v>posted to CPR</v>
          </cell>
          <cell r="J1001" t="str">
            <v>Excelsior Springs Public Improvement 4in PE: Excelsior Sprgs-Clay Co: Relocate for Street &amp; Highway-Public Improvements (44-388)</v>
          </cell>
          <cell r="K1001" t="str">
            <v>Approved by: Gary Williams on 08/19/2014,  Cut and Cap 4'' PE running along bridge on Isley Blvd. Bore under creek along marietta to tie 4'' PE together. System C-009 20 psig MOP. MoDOT is doing work on the bridge along Isley Blvd. Construction is set to begin early 2015.</v>
          </cell>
          <cell r="L1001">
            <v>41949</v>
          </cell>
          <cell r="M1001">
            <v>42004</v>
          </cell>
          <cell r="N1001">
            <v>42101.344259259298</v>
          </cell>
          <cell r="O1001">
            <v>41944</v>
          </cell>
          <cell r="P1001" t="str">
            <v>1213-020018  CLAY CTY/EXCEL SPRINGS</v>
          </cell>
          <cell r="Q1001">
            <v>49991.38</v>
          </cell>
          <cell r="R1001">
            <v>-492.5</v>
          </cell>
        </row>
        <row r="1002">
          <cell r="A1002" t="str">
            <v>800099</v>
          </cell>
          <cell r="B1002" t="str">
            <v>LDC 2</v>
          </cell>
          <cell r="C1002" t="str">
            <v>03 - Bare Steel Replacement</v>
          </cell>
          <cell r="D1002" t="str">
            <v>yes</v>
          </cell>
          <cell r="F1002" t="str">
            <v>F0604</v>
          </cell>
          <cell r="G1002" t="str">
            <v>Main Replacement - ISRS (S)</v>
          </cell>
          <cell r="H1002" t="str">
            <v>Kingsville Bare Steel Replacement-P</v>
          </cell>
          <cell r="I1002" t="str">
            <v>open</v>
          </cell>
          <cell r="J1002" t="str">
            <v>Install 4246 Ft 2 in PL IP Main on W. Arctic St, Mo-58, W Atlantic &amp; S Olive St. Abandon 4364 Ft 2 in ST MP at same location. Uprate 483 Ft 2 in PL MP Main to IP. This main is being replaced as part of the FY16 Bare Steel Replacement Program.</v>
          </cell>
          <cell r="P1002" t="str">
            <v>0913-046011  JOHNSON CTY/KINGSVILLE</v>
          </cell>
          <cell r="Q1002">
            <v>190826.56</v>
          </cell>
          <cell r="R1002">
            <v>-7326</v>
          </cell>
        </row>
        <row r="1003">
          <cell r="A1003" t="str">
            <v>008675</v>
          </cell>
          <cell r="B1003" t="str">
            <v>LDC 2</v>
          </cell>
          <cell r="D1003" t="str">
            <v>yes</v>
          </cell>
          <cell r="E1003" t="str">
            <v>20923155370</v>
          </cell>
          <cell r="F1003" t="str">
            <v>F0605</v>
          </cell>
          <cell r="G1003" t="str">
            <v>Replace steel &amp; plastic main</v>
          </cell>
          <cell r="H1003" t="str">
            <v>4in PCS Main Replacement</v>
          </cell>
          <cell r="I1003" t="str">
            <v>posted to CPR</v>
          </cell>
          <cell r="J1003" t="str">
            <v>4in PCS Main Replacement: Peculiar: Replace Coated Steel &amp; Plastic Main - 3760 (34-396)</v>
          </cell>
          <cell r="K1003" t="str">
            <v>Approved by: Kevin Driskell on 06/01/2015,  This work order is necessary to replace leaking bolted dresser coupling.
Abandon 3' of 4" PCS.  Install 3' of 4" PCS.  Direct tie-in.</v>
          </cell>
          <cell r="L1003">
            <v>42154</v>
          </cell>
          <cell r="M1003">
            <v>42247</v>
          </cell>
          <cell r="N1003">
            <v>42284.723645833299</v>
          </cell>
          <cell r="O1003">
            <v>42217</v>
          </cell>
          <cell r="P1003" t="str">
            <v>0923-016020  CASS CTY/PECULIAR</v>
          </cell>
          <cell r="Q1003">
            <v>1692.3</v>
          </cell>
          <cell r="R1003">
            <v>-4</v>
          </cell>
        </row>
        <row r="1004">
          <cell r="A1004" t="str">
            <v>800434</v>
          </cell>
          <cell r="B1004" t="str">
            <v>LDC 2</v>
          </cell>
          <cell r="D1004" t="str">
            <v>no</v>
          </cell>
          <cell r="F1004" t="str">
            <v>F0578</v>
          </cell>
          <cell r="G1004" t="str">
            <v>Street &amp; Highway Relocates ISRS (S)</v>
          </cell>
          <cell r="H1004" t="str">
            <v>Reloc 760F 2P Grain Valley Mkt Plc</v>
          </cell>
          <cell r="I1004" t="str">
            <v>in service</v>
          </cell>
          <cell r="J1004" t="str">
            <v>Install ~760 Ft of 2" PL IP Main. Abandon ~582 Ft of 2" PL IP Main, ~225 Ft of 4" PL IP Main.  MRELO - Main Relocation Project per Customer Request.</v>
          </cell>
          <cell r="K1004" t="str">
            <v>Not reimbursable per Jon Harrel - Sales completed an economic evaluation considering the cost to serve a new Price Chopper including the cost to relocate and determined that the total revenue would cover.</v>
          </cell>
          <cell r="L1004">
            <v>42713</v>
          </cell>
          <cell r="O1004">
            <v>42705</v>
          </cell>
          <cell r="P1004" t="str">
            <v>0925-043035  JACKSON CTY/GRAIN VALLEY</v>
          </cell>
          <cell r="Q1004">
            <v>25501.06</v>
          </cell>
          <cell r="R1004">
            <v>-938</v>
          </cell>
        </row>
        <row r="1005">
          <cell r="A1005" t="str">
            <v>003833</v>
          </cell>
          <cell r="B1005" t="str">
            <v>LDC 2</v>
          </cell>
          <cell r="D1005" t="str">
            <v>yes</v>
          </cell>
          <cell r="E1005" t="str">
            <v>20928132664</v>
          </cell>
          <cell r="F1005" t="str">
            <v>F0578</v>
          </cell>
          <cell r="G1005" t="str">
            <v>Street &amp; Highway Relocates ISRS (S)</v>
          </cell>
          <cell r="H1005" t="str">
            <v>Wells St Reloc PCS w 660'-2in PE</v>
          </cell>
          <cell r="I1005" t="str">
            <v>posted to CPR</v>
          </cell>
          <cell r="J1005" t="str">
            <v>Wells St Reloc PCS w 660'-2in PE: Odessa: Wells between Main and Mason</v>
          </cell>
          <cell r="K1005" t="str">
            <v>Approved by: Ralph Janes on 05/01/2013,  Public Improvement Project. Relocate and abandon 660' of 2in PCS (WO# 61-1513) with 660' of 2in PE. The city is improving Wells Street by widening, replacing sanitary sewer and water mains, and installing sidewalk. Our existing main is under the pavement. Relocate to the ROW line (under proposed sidewalk) to prevent costly excavations in the new street. Price per ft = $37.58 (ISRS)</v>
          </cell>
          <cell r="L1005">
            <v>41528</v>
          </cell>
          <cell r="M1005">
            <v>41608</v>
          </cell>
          <cell r="N1005">
            <v>41612.478252314802</v>
          </cell>
          <cell r="O1005">
            <v>41730</v>
          </cell>
          <cell r="P1005" t="str">
            <v>0928-049014  LAFAYETTE CTY/ODESSA</v>
          </cell>
          <cell r="Q1005">
            <v>19691.32</v>
          </cell>
          <cell r="R1005">
            <v>2407</v>
          </cell>
        </row>
        <row r="1006">
          <cell r="A1006" t="str">
            <v>008397</v>
          </cell>
          <cell r="B1006" t="str">
            <v>LDC 2</v>
          </cell>
          <cell r="D1006" t="str">
            <v>no</v>
          </cell>
          <cell r="E1006" t="str">
            <v>21261155345</v>
          </cell>
          <cell r="F1006" t="str">
            <v>F0636</v>
          </cell>
          <cell r="G1006" t="str">
            <v>Replace steel &amp; plastic main</v>
          </cell>
          <cell r="H1006" t="str">
            <v>2in PE Abandonment</v>
          </cell>
          <cell r="I1006" t="str">
            <v>posted to CPR</v>
          </cell>
          <cell r="J1006" t="str">
            <v>2in PE Abandonment: Kansas City-Rural: Replace Coated Steel &amp; Plastic Main - 3760 (34-396)</v>
          </cell>
          <cell r="K1006" t="str">
            <v>Approved by: Gary Williams on 05/11/2015,  Abandon 42' of 2'' PE. The main is a dead end, there will not be a need to relay any main.</v>
          </cell>
          <cell r="L1006">
            <v>41953</v>
          </cell>
          <cell r="M1006">
            <v>42248</v>
          </cell>
          <cell r="N1006">
            <v>42284.723611111098</v>
          </cell>
          <cell r="P1006" t="str">
            <v>1261-075025  PLATTE CTY/??? TWP</v>
          </cell>
          <cell r="Q1006">
            <v>2428.2399999999998</v>
          </cell>
          <cell r="R1006">
            <v>56</v>
          </cell>
        </row>
        <row r="1007">
          <cell r="A1007" t="str">
            <v>800896</v>
          </cell>
          <cell r="B1007" t="str">
            <v>LDC 2</v>
          </cell>
          <cell r="D1007" t="str">
            <v>no</v>
          </cell>
          <cell r="F1007" t="str">
            <v>F0647</v>
          </cell>
          <cell r="G1007" t="str">
            <v>New Main Extensions (N)</v>
          </cell>
          <cell r="H1007" t="str">
            <v>Install 3710F 2-4P Staley 5th Plat</v>
          </cell>
          <cell r="I1007" t="str">
            <v>open</v>
          </cell>
          <cell r="J1007" t="str">
            <v>Install approximately 1593ft of 4in MP PE and approximately 2117ft of 2in MP PE to serve new residential area.</v>
          </cell>
          <cell r="K1007" t="str">
            <v>58 Lot Residential Single Family Subdivision
Homes approx 2800 Sq Ft
Gas Furnace, Gas Water Heater
50% of homes will have Gas Stove</v>
          </cell>
          <cell r="P1007" t="str">
            <v>1271-020036  CLAY CTY/KANSAS CITY</v>
          </cell>
          <cell r="Q1007">
            <v>2427.4299999999998</v>
          </cell>
          <cell r="R1007">
            <v>-4053</v>
          </cell>
        </row>
        <row r="1008">
          <cell r="A1008" t="str">
            <v>005015</v>
          </cell>
          <cell r="B1008" t="str">
            <v>LDC 2</v>
          </cell>
          <cell r="D1008" t="str">
            <v>no</v>
          </cell>
          <cell r="E1008" t="str">
            <v>21271143408</v>
          </cell>
          <cell r="F1008" t="str">
            <v>F0610</v>
          </cell>
          <cell r="G1008" t="str">
            <v>New business</v>
          </cell>
          <cell r="H1008" t="str">
            <v>NE Chouteau Trwy Lay 1123'-2in PE m</v>
          </cell>
          <cell r="I1008" t="str">
            <v>posted to CPR</v>
          </cell>
          <cell r="J1008" t="str">
            <v>NE Chouteau Trwy Lay 1123'-2in PE main ext: Kansas City-Clay Co: New Main Extension - Contractor Crews  3760 (33-380)</v>
          </cell>
          <cell r="K1008" t="str">
            <v>Approved by: Kevin Driskell on 04/16/2014,  LAY 1,123 FT-2" PLEXCO TO SERVE 6 NEW BUSINESS BUILDINGS.  ONE WAY FEED.  LAY AT 4 FT DEPTH BETWEEN POINTS 3 &amp; 4; TO ENSURE CLEARANCE FROM NEW ROAD.  CALL PATRICIA KOEB AT 816-472-3485 FOR SCHEDULING SURVEY &amp; STAKE.  CHIP ZUCK OF SUPERIOR BOWEN AT 816-921-8200 OR 816-921-8251 WILL SEE THAT SURVEY CREW ACCOMPLISHES STAKING.  MoDOT HWY PERMIT NEEDED FOR NE ANTIOCH RD.  COST PER FOOT=$17.52  ECONOMIC EVALUATION COVERS $27,623.00; SO COST FOR THIS WORK ORDER IS COVERED.</v>
          </cell>
          <cell r="L1008">
            <v>41865</v>
          </cell>
          <cell r="M1008">
            <v>42248</v>
          </cell>
          <cell r="N1008">
            <v>42377.350601851896</v>
          </cell>
          <cell r="O1008">
            <v>41883</v>
          </cell>
          <cell r="P1008" t="str">
            <v>1271-020036  CLAY CTY/KANSAS CITY</v>
          </cell>
          <cell r="Q1008">
            <v>20050.009999999998</v>
          </cell>
          <cell r="R1008">
            <v>-3209.5</v>
          </cell>
        </row>
        <row r="1009">
          <cell r="A1009" t="str">
            <v>004485</v>
          </cell>
          <cell r="B1009" t="str">
            <v>LDC 2</v>
          </cell>
          <cell r="D1009" t="str">
            <v>yes</v>
          </cell>
          <cell r="E1009" t="str">
            <v>21271133034</v>
          </cell>
          <cell r="F1009" t="str">
            <v>F0547</v>
          </cell>
          <cell r="G1009" t="str">
            <v>Street &amp; Highway Relocates ISRS (N)</v>
          </cell>
          <cell r="H1009" t="str">
            <v>38th &amp; N Brighton Reloc PCS w 20'-8</v>
          </cell>
          <cell r="I1009" t="str">
            <v>posted to CPR</v>
          </cell>
          <cell r="J1009" t="str">
            <v>38th &amp; N Brighton Reloc PCS w 20'-8in PE main: Kansas City-Clay Co: 38th and North Brighton</v>
          </cell>
          <cell r="K1009" t="str">
            <v>Approved by: Kevin Driskell on 10/02/2013,  ISRS This work order is necessary for Public Improvement Improvement project. The 8" PCS main is in conflict of storm structure. Retire 20" of 8" PCS main and install 20' of 8" PCS main. System= C-055, MOP= 90PSIG, MAOP= 90PSIG, Test Pressure= 135PSIG.</v>
          </cell>
          <cell r="L1009">
            <v>41512</v>
          </cell>
          <cell r="M1009">
            <v>41638</v>
          </cell>
          <cell r="N1009">
            <v>41643.435289351903</v>
          </cell>
          <cell r="O1009">
            <v>41730</v>
          </cell>
          <cell r="P1009" t="str">
            <v>1271-020036  CLAY CTY/KANSAS CITY</v>
          </cell>
          <cell r="Q1009">
            <v>20298.16</v>
          </cell>
          <cell r="R1009">
            <v>89.9</v>
          </cell>
        </row>
        <row r="1010">
          <cell r="A1010" t="str">
            <v>801062</v>
          </cell>
          <cell r="B1010" t="str">
            <v>LDC 2</v>
          </cell>
          <cell r="C1010" t="str">
            <v>02 - Cast Iron AOR Replacement</v>
          </cell>
          <cell r="D1010" t="str">
            <v>yes</v>
          </cell>
          <cell r="F1010" t="str">
            <v>F0599</v>
          </cell>
          <cell r="G1010" t="str">
            <v>Main Replacement - ISRS (N)</v>
          </cell>
          <cell r="H1010" t="str">
            <v>Repl 40F 6P AOR 3046 Holmes</v>
          </cell>
          <cell r="I1010" t="str">
            <v>open</v>
          </cell>
          <cell r="J1010" t="str">
            <v>Install ~40 ft of 6in PE LP main on 31st Street.</v>
          </cell>
          <cell r="K1010" t="str">
            <v>Retire ~40 ft of 8in CI LP main on 31st Street. This cast iron is being replaced due to AOR.  A bell joint was exposed 94' WWCB Holmes and 10' SNCB of 31st Street.  This has a compliance date of 4/23/2017.</v>
          </cell>
          <cell r="P1010" t="str">
            <v>0401-043050  JACKSON CTY/KC</v>
          </cell>
          <cell r="Q1010">
            <v>0</v>
          </cell>
          <cell r="R1010">
            <v>40</v>
          </cell>
        </row>
        <row r="1011">
          <cell r="A1011" t="str">
            <v>800729</v>
          </cell>
          <cell r="B1011" t="str">
            <v>LDC 2</v>
          </cell>
          <cell r="D1011" t="str">
            <v>no</v>
          </cell>
          <cell r="F1011" t="str">
            <v>F0647</v>
          </cell>
          <cell r="G1011" t="str">
            <v>New Main Extensions (N)</v>
          </cell>
          <cell r="H1011" t="str">
            <v>Install 200F 2P 5401 Winner Rd</v>
          </cell>
          <cell r="I1011" t="str">
            <v>in service</v>
          </cell>
          <cell r="J1011" t="str">
            <v>Install 200 ft of 2 in LP PE main to serve new residential customer.  IUI</v>
          </cell>
          <cell r="K1011" t="str">
            <v>Building Load 800CFH.</v>
          </cell>
          <cell r="L1011">
            <v>42664</v>
          </cell>
          <cell r="O1011">
            <v>42736</v>
          </cell>
          <cell r="P1011" t="str">
            <v>0401-043050  JACKSON CTY/KC</v>
          </cell>
          <cell r="Q1011">
            <v>8274.32</v>
          </cell>
          <cell r="R1011">
            <v>-1254</v>
          </cell>
        </row>
        <row r="1012">
          <cell r="A1012" t="str">
            <v>011457</v>
          </cell>
          <cell r="B1012" t="str">
            <v>LDC 2</v>
          </cell>
          <cell r="D1012" t="str">
            <v>no</v>
          </cell>
          <cell r="F1012" t="str">
            <v>F1171</v>
          </cell>
          <cell r="G1012" t="str">
            <v>Tools For MGE Operation Services</v>
          </cell>
          <cell r="H1012" t="str">
            <v>PCS Conversion Project - MGE</v>
          </cell>
          <cell r="I1012" t="str">
            <v>open</v>
          </cell>
          <cell r="J1012" t="str">
            <v>Provide funds for consulting and internal labor for the Pipeline Conversion System (PCS). This project will migrate the PCS System from the unsupported FoxPRO database to the IT supported SQL database.</v>
          </cell>
          <cell r="K1012" t="str">
            <v>It will also provide enhanced security features, improve data maintenance, implement an automated interface between PCS and Maximo for monitoring cathodic protection test stations and provide data reformatting to support the database migration and data cleansing required for the new PCS Maximo interface.</v>
          </cell>
          <cell r="P1012" t="str">
            <v>0401-043050  JACKSON CTY/KC</v>
          </cell>
          <cell r="Q1012">
            <v>95011.27</v>
          </cell>
          <cell r="R1012">
            <v>42949</v>
          </cell>
        </row>
        <row r="1013">
          <cell r="A1013" t="str">
            <v>009055</v>
          </cell>
          <cell r="B1013" t="str">
            <v>LDC 2</v>
          </cell>
          <cell r="D1013" t="str">
            <v>no</v>
          </cell>
          <cell r="F1013" t="str">
            <v>F0850</v>
          </cell>
          <cell r="G1013" t="str">
            <v>Facilities - MGE - Remodel Svc Cen</v>
          </cell>
          <cell r="H1013" t="str">
            <v>MGE Remodel-Equipment</v>
          </cell>
          <cell r="I1013" t="str">
            <v>in service</v>
          </cell>
          <cell r="J1013" t="str">
            <v>Transfer Request of FP funds:  Provide funds for the purchase and installation of headsets &amp; conference phones for Lync functionality and network equipment with professional services for system upgrades at MGE remodel sites.</v>
          </cell>
          <cell r="K1013" t="str">
            <v>This work order request will allow for a transfer of funds from WO 008712 from F0853 to F0850 for allocation to the correct funding project for MGE remodel purchases.</v>
          </cell>
          <cell r="L1013">
            <v>42308</v>
          </cell>
          <cell r="O1013">
            <v>42522</v>
          </cell>
          <cell r="P1013" t="str">
            <v>0401-043050  JACKSON CTY/KC</v>
          </cell>
          <cell r="Q1013">
            <v>132649.67000000001</v>
          </cell>
          <cell r="R1013">
            <v>82944</v>
          </cell>
        </row>
        <row r="1014">
          <cell r="A1014" t="str">
            <v>008972</v>
          </cell>
          <cell r="B1014" t="str">
            <v>LDC 2</v>
          </cell>
          <cell r="D1014" t="str">
            <v>no</v>
          </cell>
          <cell r="E1014" t="str">
            <v>20401155458</v>
          </cell>
          <cell r="F1014" t="str">
            <v>F0660</v>
          </cell>
          <cell r="G1014" t="str">
            <v>Meter &amp; Reg Settings 2" &amp; Lg (N)</v>
          </cell>
          <cell r="H1014" t="str">
            <v>StreetCar VMF 3M Mtr Install</v>
          </cell>
          <cell r="I1014" t="str">
            <v>posted to CPR</v>
          </cell>
          <cell r="J1014" t="str">
            <v>StreetCar VMF: Kansas City-Jackson: New Meter &amp; Reg Settings - 2in &amp; Larger 3820/3830 (33-382)</v>
          </cell>
          <cell r="K1014" t="str">
            <v>Approved by: Donnie Richards on 07/20/2015,  This work is necessary to install a 3M Roots meter for a new commercial customer. We'll install a 2in B34 IMRV regulator at 1/2psig for the connected load of 2789cfh.</v>
          </cell>
          <cell r="L1014">
            <v>42216</v>
          </cell>
          <cell r="M1014">
            <v>42491</v>
          </cell>
          <cell r="N1014">
            <v>42528.3133101852</v>
          </cell>
          <cell r="O1014">
            <v>42217</v>
          </cell>
          <cell r="P1014" t="str">
            <v>0401-043050  JACKSON CTY/KC</v>
          </cell>
          <cell r="Q1014">
            <v>1019.16</v>
          </cell>
          <cell r="R1014">
            <v>-18</v>
          </cell>
        </row>
        <row r="1015">
          <cell r="A1015" t="str">
            <v>007474</v>
          </cell>
          <cell r="B1015" t="str">
            <v>LDC 2</v>
          </cell>
          <cell r="D1015" t="str">
            <v>yes</v>
          </cell>
          <cell r="E1015" t="str">
            <v>20401155084</v>
          </cell>
          <cell r="F1015" t="str">
            <v>F0665</v>
          </cell>
          <cell r="G1015" t="str">
            <v>Replace steel &amp; plastic main</v>
          </cell>
          <cell r="H1015" t="str">
            <v>4in PE Main Relocation</v>
          </cell>
          <cell r="I1015" t="str">
            <v>posted to CPR</v>
          </cell>
          <cell r="J1015" t="str">
            <v>4in PE Main Relocation: Kansas City-Jackson: Replace Coated Steel &amp; Plastic Main - 3760 (34-396)</v>
          </cell>
          <cell r="K1015" t="str">
            <v>Approved by: Gary Williams on 01/19/2015,  ISRS Replace 4'' PE due to public works project (Street Car). There may be a conduit put in place by others for the proposed 4'' PE. Coordinate with engineering prior to construction.</v>
          </cell>
          <cell r="L1015">
            <v>42070</v>
          </cell>
          <cell r="M1015">
            <v>42094</v>
          </cell>
          <cell r="N1015">
            <v>42193.495405092603</v>
          </cell>
          <cell r="O1015">
            <v>42064</v>
          </cell>
          <cell r="P1015" t="str">
            <v>0401-043050  JACKSON CTY/KC</v>
          </cell>
          <cell r="Q1015">
            <v>15240.77</v>
          </cell>
          <cell r="R1015">
            <v>-543</v>
          </cell>
        </row>
        <row r="1016">
          <cell r="A1016" t="str">
            <v>006835</v>
          </cell>
          <cell r="B1016" t="str">
            <v>LDC 2</v>
          </cell>
          <cell r="D1016" t="str">
            <v>no</v>
          </cell>
          <cell r="E1016" t="str">
            <v>20401143927</v>
          </cell>
          <cell r="F1016" t="str">
            <v>F0670</v>
          </cell>
          <cell r="G1016" t="str">
            <v>Tools, Instruments &amp; Equipment (N)</v>
          </cell>
          <cell r="H1016" t="str">
            <v>Tools (3 Pneumatic Sinker Drills)</v>
          </cell>
          <cell r="I1016" t="str">
            <v>posted to CPR</v>
          </cell>
          <cell r="J1016" t="str">
            <v>Tools: Kansas City-Jackson: Purchase Tools, Instruments &amp; Equipment  3940 (37-366)</v>
          </cell>
          <cell r="K1016" t="str">
            <v>Approved by: Gary Williams on 11/07/2014,  This is not a replacement tool needed for new crews trucks.</v>
          </cell>
          <cell r="L1016">
            <v>42005</v>
          </cell>
          <cell r="M1016">
            <v>42248</v>
          </cell>
          <cell r="N1016">
            <v>42496.560081018499</v>
          </cell>
          <cell r="O1016">
            <v>42036</v>
          </cell>
          <cell r="P1016" t="str">
            <v>0401-043050  JACKSON CTY/KC</v>
          </cell>
          <cell r="Q1016">
            <v>4296</v>
          </cell>
          <cell r="R1016">
            <v>3</v>
          </cell>
        </row>
        <row r="1017">
          <cell r="A1017" t="str">
            <v>006659</v>
          </cell>
          <cell r="B1017" t="str">
            <v>LDC 2</v>
          </cell>
          <cell r="D1017" t="str">
            <v>yes</v>
          </cell>
          <cell r="E1017" t="str">
            <v>20401143773</v>
          </cell>
          <cell r="F1017" t="str">
            <v>F0599</v>
          </cell>
          <cell r="G1017" t="str">
            <v>Main Replacement - ISRS (N)</v>
          </cell>
          <cell r="H1017" t="str">
            <v>Cast Iron Replacement project WO-1</v>
          </cell>
          <cell r="I1017" t="str">
            <v>posted to CPR</v>
          </cell>
          <cell r="J1017" t="str">
            <v>Cast Iron Replacement project WO-1: Kansas City-Jackson: Replace Cast Iron Main - 3760 Safety Related (34-412)</v>
          </cell>
          <cell r="K1017" t="str">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ell>
          <cell r="L1017">
            <v>42086</v>
          </cell>
          <cell r="M1017">
            <v>42401</v>
          </cell>
          <cell r="N1017">
            <v>42527.510844907403</v>
          </cell>
          <cell r="O1017">
            <v>42186</v>
          </cell>
          <cell r="P1017" t="str">
            <v>0401-043050  JACKSON CTY/KC</v>
          </cell>
          <cell r="Q1017">
            <v>1804774.7</v>
          </cell>
          <cell r="R1017">
            <v>-16659.5</v>
          </cell>
        </row>
        <row r="1018">
          <cell r="A1018" t="str">
            <v>003838</v>
          </cell>
          <cell r="B1018" t="str">
            <v>LDC 2</v>
          </cell>
          <cell r="D1018" t="str">
            <v>yes</v>
          </cell>
          <cell r="E1018" t="str">
            <v>20401132322</v>
          </cell>
          <cell r="F1018" t="str">
            <v>F0636</v>
          </cell>
          <cell r="G1018" t="str">
            <v>Replace steel &amp; plastic main</v>
          </cell>
          <cell r="H1018" t="str">
            <v>Mayfair Ph2 Repl CS w 8000'-20in TF</v>
          </cell>
          <cell r="I1018" t="str">
            <v>posted to CPR</v>
          </cell>
          <cell r="J1018" t="str">
            <v>Mayfair Ph2 Repl CS w 8000'-20in TF Steel main: Kansas City-Jackson: 107th Street from Holmes to College</v>
          </cell>
          <cell r="K1018" t="str">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ell>
          <cell r="L1018">
            <v>41554</v>
          </cell>
          <cell r="M1018">
            <v>41638</v>
          </cell>
          <cell r="N1018">
            <v>41710.614583333299</v>
          </cell>
          <cell r="O1018">
            <v>41730</v>
          </cell>
          <cell r="P1018" t="str">
            <v>0401-043050  JACKSON CTY/KC</v>
          </cell>
          <cell r="Q1018">
            <v>3663458.35</v>
          </cell>
          <cell r="R1018">
            <v>20382.900000000001</v>
          </cell>
        </row>
        <row r="1019">
          <cell r="A1019" t="str">
            <v>003892</v>
          </cell>
          <cell r="B1019" t="str">
            <v>LDC 2</v>
          </cell>
          <cell r="D1019" t="str">
            <v>no</v>
          </cell>
          <cell r="E1019" t="str">
            <v>20401133082</v>
          </cell>
          <cell r="F1019" t="str">
            <v>F0658</v>
          </cell>
          <cell r="G1019" t="str">
            <v>Services -  2" &amp; larger</v>
          </cell>
          <cell r="H1019" t="str">
            <v>VANCE BROTHERS INC-4in SERVICE LINE</v>
          </cell>
          <cell r="I1019" t="str">
            <v>posted to CPR</v>
          </cell>
          <cell r="J1019" t="str">
            <v>VANCE BROTHERS INC-4in SERVICE LINE: Kansas City-Jackson: 5421 ELMWOOD AVE</v>
          </cell>
          <cell r="K1019" t="str">
            <v>Approved by: Gary Williams on 12/12/2013,  Laying 200ft-4in pe service line to service 1 commercial building.Tie-in 6in pe main (WO#13-3132). Propane Conversion with a CNG station.Existing load (7,300 cfh) new load (23,500 cfh).</v>
          </cell>
          <cell r="L1019">
            <v>41767</v>
          </cell>
          <cell r="M1019">
            <v>41883</v>
          </cell>
          <cell r="N1019">
            <v>41918.570081018501</v>
          </cell>
          <cell r="O1019">
            <v>41760</v>
          </cell>
          <cell r="P1019" t="str">
            <v>0401-043050  JACKSON CTY/KC</v>
          </cell>
          <cell r="Q1019">
            <v>5318.62</v>
          </cell>
          <cell r="R1019">
            <v>793</v>
          </cell>
        </row>
        <row r="1020">
          <cell r="A1020" t="str">
            <v>004000</v>
          </cell>
          <cell r="B1020" t="str">
            <v>LDC 2</v>
          </cell>
          <cell r="D1020" t="str">
            <v>yes</v>
          </cell>
          <cell r="E1020" t="str">
            <v>20401132311</v>
          </cell>
          <cell r="F1020" t="str">
            <v>F0502</v>
          </cell>
          <cell r="G1020" t="str">
            <v>34-394-100-PIPESAFE</v>
          </cell>
          <cell r="H1020" t="str">
            <v>Bannister 20inch Hydro Testing</v>
          </cell>
          <cell r="I1020" t="str">
            <v>posted to CPR</v>
          </cell>
          <cell r="J1020" t="str">
            <v>Bannister 20inch Hydro Testing: Kansas City-Jackson: 107th &amp; Elm to Bannister</v>
          </cell>
          <cell r="K1020" t="str">
            <v>Rob Hack approved through email due to being out of town and copy of email attached with work order in file.  Approved 7/30/2013.  Official approval in WOES 8/5/2013</v>
          </cell>
          <cell r="L1020">
            <v>41568</v>
          </cell>
          <cell r="M1020">
            <v>41698</v>
          </cell>
          <cell r="N1020">
            <v>41698.505162037</v>
          </cell>
          <cell r="O1020">
            <v>41760</v>
          </cell>
          <cell r="P1020" t="str">
            <v>0401-043050  JACKSON CTY/KC</v>
          </cell>
          <cell r="Q1020">
            <v>485480.94</v>
          </cell>
          <cell r="R1020">
            <v>4329</v>
          </cell>
        </row>
        <row r="1021">
          <cell r="A1021" t="str">
            <v>004536</v>
          </cell>
          <cell r="B1021" t="str">
            <v>LDC 2</v>
          </cell>
          <cell r="D1021" t="str">
            <v>yes</v>
          </cell>
          <cell r="E1021" t="str">
            <v>20401132709</v>
          </cell>
          <cell r="F1021" t="str">
            <v>F0599</v>
          </cell>
          <cell r="G1021" t="str">
            <v>Main Replacement - ISRS (N)</v>
          </cell>
          <cell r="H1021" t="str">
            <v>AOR 6115 Main Repl CI w 40'-6in PE</v>
          </cell>
          <cell r="I1021" t="str">
            <v>posted to CPR</v>
          </cell>
          <cell r="J1021" t="str">
            <v>AOR 6115 Main Repl CI w 40'-6in PE main: Kansas City-Jackson: 6115 Main Street</v>
          </cell>
          <cell r="K1021" t="str">
            <v>Approved by: Gary Williams on 07/09/2013,  (ISRS).  AOR. Replace 35' of 6in CI with 6in PE due to angle of repose.  AOR occured 1' SSC to 11' NSC of 61st Ter.  Must be completed by Sept 9, 2013.  Tie-over two services. Retire 5'-6in PBS; 10'-3in PBS; 35'-6in CI all original year 1916; Lay 40'-6in PE and 10'-4in PE main.</v>
          </cell>
          <cell r="L1021">
            <v>41505</v>
          </cell>
          <cell r="M1021">
            <v>41578</v>
          </cell>
          <cell r="N1021">
            <v>41584.396354166704</v>
          </cell>
          <cell r="O1021">
            <v>41730</v>
          </cell>
          <cell r="P1021" t="str">
            <v>0401-043050  JACKSON CTY/KC</v>
          </cell>
          <cell r="Q1021">
            <v>35345.58</v>
          </cell>
          <cell r="R1021">
            <v>775</v>
          </cell>
        </row>
        <row r="1022">
          <cell r="A1022" t="str">
            <v>008697</v>
          </cell>
          <cell r="B1022" t="str">
            <v>LDC 2</v>
          </cell>
          <cell r="D1022" t="str">
            <v>no</v>
          </cell>
          <cell r="F1022" t="str">
            <v>F0639</v>
          </cell>
          <cell r="G1022" t="str">
            <v>EGM Equip-1st Time Installation</v>
          </cell>
          <cell r="H1022" t="str">
            <v>Purchase 49 CNI2 devices for MGE</v>
          </cell>
          <cell r="I1022" t="str">
            <v>in service</v>
          </cell>
          <cell r="J1022" t="str">
            <v>Purchase 49 CNI2 devices for MGE. These units will provide load profile on MGE's Transportation Gas Customers hour by hour including daily corrected and uncorrected consumption.</v>
          </cell>
          <cell r="K1022" t="str">
            <v>Furthermore, the units are necessary to provide reports for accurate billing of MGE Gas Transportation accounts.</v>
          </cell>
          <cell r="L1022">
            <v>42248</v>
          </cell>
          <cell r="O1022">
            <v>42339</v>
          </cell>
          <cell r="P1022" t="str">
            <v>0401-045030  No Description</v>
          </cell>
          <cell r="Q1022">
            <v>39337.199999999997</v>
          </cell>
          <cell r="R1022">
            <v>147</v>
          </cell>
        </row>
        <row r="1023">
          <cell r="A1023" t="str">
            <v>004781</v>
          </cell>
          <cell r="B1023" t="str">
            <v>LDC 2</v>
          </cell>
          <cell r="D1023" t="str">
            <v>no</v>
          </cell>
          <cell r="E1023" t="str">
            <v>21847000000</v>
          </cell>
          <cell r="F1023" t="str">
            <v>F0685</v>
          </cell>
          <cell r="G1023" t="str">
            <v>Construction Supervision MGE</v>
          </cell>
          <cell r="H1023" t="str">
            <v>Construction Supervison MGE</v>
          </cell>
          <cell r="I1023" t="str">
            <v>open</v>
          </cell>
          <cell r="J1023" t="str">
            <v>Construction Supervison MGE</v>
          </cell>
          <cell r="P1023" t="str">
            <v>Expense Only</v>
          </cell>
          <cell r="Q1023">
            <v>9036093.3300000001</v>
          </cell>
          <cell r="R1023">
            <v>669419.67000000004</v>
          </cell>
        </row>
        <row r="1024">
          <cell r="A1024" t="str">
            <v>004797</v>
          </cell>
          <cell r="B1024" t="str">
            <v>LDC 2</v>
          </cell>
          <cell r="D1024" t="str">
            <v>no</v>
          </cell>
          <cell r="E1024" t="str">
            <v>29050000000</v>
          </cell>
          <cell r="F1024" t="str">
            <v>F0717</v>
          </cell>
          <cell r="G1024" t="str">
            <v>Customer Accounts MGE</v>
          </cell>
          <cell r="H1024" t="str">
            <v>Customer Accounts MGE</v>
          </cell>
          <cell r="I1024" t="str">
            <v>open</v>
          </cell>
          <cell r="J1024" t="str">
            <v>Customer Accounts MGE</v>
          </cell>
          <cell r="P1024" t="str">
            <v>Expense Only</v>
          </cell>
          <cell r="Q1024">
            <v>161398.19</v>
          </cell>
          <cell r="R1024">
            <v>461088.36</v>
          </cell>
        </row>
        <row r="1025">
          <cell r="A1025" t="str">
            <v>004677</v>
          </cell>
          <cell r="B1025" t="str">
            <v>LDC 2</v>
          </cell>
          <cell r="D1025" t="str">
            <v>no</v>
          </cell>
          <cell r="E1025" t="str">
            <v>21630100000</v>
          </cell>
          <cell r="F1025" t="str">
            <v>F0679</v>
          </cell>
          <cell r="G1025" t="str">
            <v>Manage Storeroom Ops MGE</v>
          </cell>
          <cell r="H1025" t="str">
            <v>Manage Storeroom Ops MGE</v>
          </cell>
          <cell r="I1025" t="str">
            <v>open</v>
          </cell>
          <cell r="J1025" t="str">
            <v>Manage Storeroom Ops MGE</v>
          </cell>
          <cell r="P1025" t="str">
            <v>Expense Only</v>
          </cell>
          <cell r="Q1025">
            <v>2875308.95</v>
          </cell>
          <cell r="R1025">
            <v>193778.89</v>
          </cell>
        </row>
        <row r="1026">
          <cell r="A1026" t="str">
            <v>004739</v>
          </cell>
          <cell r="B1026" t="str">
            <v>LDC 2</v>
          </cell>
          <cell r="D1026" t="str">
            <v>no</v>
          </cell>
          <cell r="E1026" t="str">
            <v>28870600000</v>
          </cell>
          <cell r="F1026" t="str">
            <v>F0700</v>
          </cell>
          <cell r="G1026" t="str">
            <v>Maintenance of Mains - MGE</v>
          </cell>
          <cell r="H1026" t="str">
            <v>Corrosion Monitoring MGE</v>
          </cell>
          <cell r="I1026" t="str">
            <v>open</v>
          </cell>
          <cell r="J1026" t="str">
            <v>Corrosion Monitoring MGE</v>
          </cell>
          <cell r="P1026" t="str">
            <v>Expense Only</v>
          </cell>
          <cell r="Q1026">
            <v>1432634.35</v>
          </cell>
          <cell r="R1026">
            <v>104072.4099</v>
          </cell>
        </row>
        <row r="1027">
          <cell r="A1027" t="str">
            <v>004679</v>
          </cell>
          <cell r="B1027" t="str">
            <v>LDC 2</v>
          </cell>
          <cell r="D1027" t="str">
            <v>no</v>
          </cell>
          <cell r="E1027" t="str">
            <v>218JOPREBES</v>
          </cell>
          <cell r="F1027" t="str">
            <v>F0680</v>
          </cell>
          <cell r="G1027" t="str">
            <v>Regulatory Assets MGE</v>
          </cell>
          <cell r="H1027" t="str">
            <v>Reg Ast Eng Eff Jop NH Reb MG</v>
          </cell>
          <cell r="I1027" t="str">
            <v>open</v>
          </cell>
          <cell r="J1027" t="str">
            <v>Reg Ast Eng Eff Jop NH Reb MG</v>
          </cell>
          <cell r="P1027" t="str">
            <v>Expense Only</v>
          </cell>
          <cell r="Q1027">
            <v>800</v>
          </cell>
          <cell r="R1027">
            <v>0</v>
          </cell>
        </row>
        <row r="1028">
          <cell r="A1028" t="str">
            <v>800372</v>
          </cell>
          <cell r="B1028" t="str">
            <v>LDC 2</v>
          </cell>
          <cell r="C1028" t="str">
            <v>09 - Facility Relocation due to Civic Improvement</v>
          </cell>
          <cell r="D1028" t="str">
            <v>yes</v>
          </cell>
          <cell r="F1028" t="str">
            <v>F0664</v>
          </cell>
          <cell r="G1028" t="str">
            <v>Street &amp; Hwy Relocates ISRS (SW)</v>
          </cell>
          <cell r="H1028" t="str">
            <v>Hill Street Drainage Improvement -</v>
          </cell>
          <cell r="I1028" t="str">
            <v>in service</v>
          </cell>
          <cell r="J1028" t="str">
            <v>Abandon 1547ft  2in Steel, 221ft  2in PL, 477ft  3in Steel, 234ft - 3in PL and 4ft - 4in PL and replace with 2,840ft of 2in PL and 30ft of 4in PL due to Civic Improvements - Hill St &amp; Cox Ave.</v>
          </cell>
          <cell r="K1028" t="str">
            <v>A portion of System C-2 will be uprated to C-1 as part of this replacement. Location: Joplin; Pressure System: C-2: MOP: 1.5 psig, MAOP: 1.5 psig, Design: 66 psig, Test: 100 psig and System: C-1: MOP 58 psig, MAOP: 58 psig, Design: 66 psig, Test: 100 psig, 22 Services, ISRS $43.31/FT ($124,291.88)</v>
          </cell>
          <cell r="L1028">
            <v>42613</v>
          </cell>
          <cell r="O1028">
            <v>42583</v>
          </cell>
          <cell r="P1028" t="str">
            <v>0501-044001  JASPER CTY/JOPLIN</v>
          </cell>
          <cell r="Q1028">
            <v>185943.71</v>
          </cell>
          <cell r="R1028">
            <v>10253</v>
          </cell>
        </row>
        <row r="1029">
          <cell r="A1029" t="str">
            <v>008248</v>
          </cell>
          <cell r="B1029" t="str">
            <v>LDC 2</v>
          </cell>
          <cell r="D1029" t="str">
            <v>no</v>
          </cell>
          <cell r="E1029" t="str">
            <v>20501155231</v>
          </cell>
          <cell r="F1029" t="str">
            <v>F0677</v>
          </cell>
          <cell r="G1029" t="str">
            <v>New business</v>
          </cell>
          <cell r="H1029" t="str">
            <v>Sparkling Waters Ct 2in PE Main Ext</v>
          </cell>
          <cell r="I1029" t="str">
            <v>posted to CPR</v>
          </cell>
          <cell r="J1029" t="str">
            <v>Sparkling Waters Ct 2in PE Main Extension: Joplin: New Main Extension - Contractor Crews  3760 (33-380)</v>
          </cell>
          <cell r="K1029" t="str">
            <v>Approved by: Michael Fornelli on 04/14/2015,  Install 100' of 2" PE for new customer.  Customer will contribute $275.00 towards cost of installation.  Project Location: Sparkling Waters Ct E of Waters Edge Blvd.  System: C-100.  MOP: 30 PSIG.  MAOP: 30 PSIG.  Design: 58 PSIG.  Test: 100 PSIG.  Price Per Foot: $55.13.</v>
          </cell>
          <cell r="L1029">
            <v>42139</v>
          </cell>
          <cell r="M1029">
            <v>42248</v>
          </cell>
          <cell r="N1029">
            <v>42284.723564814798</v>
          </cell>
          <cell r="O1029">
            <v>42125</v>
          </cell>
          <cell r="P1029" t="str">
            <v>0501-044001  JASPER CTY/JOPLIN</v>
          </cell>
          <cell r="Q1029">
            <v>3094.06</v>
          </cell>
          <cell r="R1029">
            <v>-596</v>
          </cell>
        </row>
        <row r="1030">
          <cell r="A1030" t="str">
            <v>008197</v>
          </cell>
          <cell r="B1030" t="str">
            <v>LDC 2</v>
          </cell>
          <cell r="D1030" t="str">
            <v>no</v>
          </cell>
          <cell r="E1030" t="str">
            <v>20501155294</v>
          </cell>
          <cell r="F1030" t="str">
            <v>F0485</v>
          </cell>
          <cell r="G1030" t="str">
            <v>Tools, Instruments &amp; Equipment (SW)</v>
          </cell>
          <cell r="H1030" t="str">
            <v>Tools Purchase 2 Metro Tech 810 VM</v>
          </cell>
          <cell r="I1030" t="str">
            <v>posted to CPR</v>
          </cell>
          <cell r="J1030" t="str">
            <v>Tools Purchase 2 Metro Tech 810 VM for Joplin: Joplin: Purchase Tools, Instruments &amp; Equipment  3940 (37-366)</v>
          </cell>
          <cell r="K1030" t="str">
            <v>Approved by: Michael Fornelli on 04/14/2015,  Purchase 2 Metro Tech 810 VM pipe locators for Joplin C&amp;M.</v>
          </cell>
          <cell r="L1030">
            <v>42230</v>
          </cell>
          <cell r="M1030">
            <v>42491</v>
          </cell>
          <cell r="N1030">
            <v>42527.511840277803</v>
          </cell>
          <cell r="O1030">
            <v>42217</v>
          </cell>
          <cell r="P1030" t="str">
            <v>0501-044001  JASPER CTY/JOPLIN</v>
          </cell>
          <cell r="Q1030">
            <v>6644.22</v>
          </cell>
          <cell r="R1030">
            <v>2</v>
          </cell>
        </row>
        <row r="1031">
          <cell r="A1031" t="str">
            <v>004628</v>
          </cell>
          <cell r="B1031" t="str">
            <v>LDC 2</v>
          </cell>
          <cell r="D1031" t="str">
            <v>no</v>
          </cell>
          <cell r="E1031" t="str">
            <v>20501132527</v>
          </cell>
          <cell r="F1031" t="str">
            <v>F0597</v>
          </cell>
          <cell r="G1031" t="str">
            <v>Other</v>
          </cell>
          <cell r="H1031" t="str">
            <v>EGM Replace - General Mills</v>
          </cell>
          <cell r="I1031" t="str">
            <v>posted to CPR</v>
          </cell>
          <cell r="J1031" t="str">
            <v>EGM Replace - General Mills: Joplin: 3007 Stephens Blvd - Joplin, MO</v>
          </cell>
          <cell r="K1031" t="str">
            <v>Approved by: Rob Kitterman on 04/04/2013,  Replace EGM equipment at General Mills with a new Mini-AT-PT, S/N: 11038356. Existing meter is a Roots 38M rotary meter# 00146829. The existing equipment was damaged beyond repair. Retire the damaged ECAT, S/N: 9400761 on this WO.</v>
          </cell>
          <cell r="L1031">
            <v>41469</v>
          </cell>
          <cell r="M1031">
            <v>41575</v>
          </cell>
          <cell r="N1031">
            <v>41576.418553240699</v>
          </cell>
          <cell r="P1031" t="str">
            <v>0501-044001  JASPER CTY/JOPLIN</v>
          </cell>
          <cell r="Q1031">
            <v>3253.57</v>
          </cell>
          <cell r="R1031">
            <v>5</v>
          </cell>
        </row>
        <row r="1032">
          <cell r="A1032" t="str">
            <v>003937</v>
          </cell>
          <cell r="B1032" t="str">
            <v>LDC 2</v>
          </cell>
          <cell r="D1032" t="str">
            <v>yes</v>
          </cell>
          <cell r="E1032" t="str">
            <v>20501050370</v>
          </cell>
          <cell r="F1032" t="str">
            <v>F0576</v>
          </cell>
          <cell r="G1032" t="str">
            <v>SLRP - immediate response - contrac</v>
          </cell>
          <cell r="H1032" t="str">
            <v>BWO SERVICE LINE REPL CONTRACTOR</v>
          </cell>
          <cell r="I1032" t="str">
            <v>open</v>
          </cell>
          <cell r="J1032" t="str">
            <v>BWO SERVICE LINE REPL CONTRACTOR</v>
          </cell>
          <cell r="K1032" t="str">
            <v>Service/Yard Line Replacement (SLRP): Contract Crew.  Immediate response - replacement single unprotected steel or copper  (Joplin - South Region)</v>
          </cell>
          <cell r="O1032">
            <v>41730</v>
          </cell>
          <cell r="P1032" t="str">
            <v>0501-044001  JASPER CTY/JOPLIN</v>
          </cell>
          <cell r="Q1032">
            <v>228301.52</v>
          </cell>
          <cell r="R1032">
            <v>-297.5</v>
          </cell>
        </row>
        <row r="1033">
          <cell r="A1033" t="str">
            <v>003878</v>
          </cell>
          <cell r="B1033" t="str">
            <v>LDC 2</v>
          </cell>
          <cell r="D1033" t="str">
            <v>yes</v>
          </cell>
          <cell r="E1033" t="str">
            <v>20501133145</v>
          </cell>
          <cell r="F1033" t="str">
            <v>F0664</v>
          </cell>
          <cell r="G1033" t="str">
            <v>Street &amp; Hwy Relocates ISRS (SW)</v>
          </cell>
          <cell r="H1033" t="str">
            <v>9th &amp; Schifferdecker Reloc 86'-2in</v>
          </cell>
          <cell r="I1033" t="str">
            <v>posted to CPR</v>
          </cell>
          <cell r="J1033" t="str">
            <v>9th &amp; Schifferdecker Reloc 86'-2in PE : Joplin: 9th and Schifferdecker Rd widening</v>
          </cell>
          <cell r="K1033" t="str">
            <v>Approved by: Ken Thomas on 11/15/2013,  Relocate 90' - 2" PE (WO#'s: 91-2639, 12-1173) due to City of Joplin needing to cut an additional 40" for road widening due to poor soils. New PE will be bored across Schifferdecker 8' deep. Project Location: 9th and Schifferdecker; Pressure System: C-1; MOP: 58 psig; MAOP: 58 psig; Design: 58 psig; Test: 100 psig; ISRS $71.80/ft</v>
          </cell>
          <cell r="L1033">
            <v>41624</v>
          </cell>
          <cell r="M1033">
            <v>41696</v>
          </cell>
          <cell r="N1033">
            <v>41698.505289351902</v>
          </cell>
          <cell r="O1033">
            <v>41730</v>
          </cell>
          <cell r="P1033" t="str">
            <v>0501-044001  JASPER CTY/JOPLIN</v>
          </cell>
          <cell r="Q1033">
            <v>6936.11</v>
          </cell>
          <cell r="R1033">
            <v>731</v>
          </cell>
        </row>
        <row r="1034">
          <cell r="A1034" t="str">
            <v>800115</v>
          </cell>
          <cell r="B1034" t="str">
            <v>LDC 2</v>
          </cell>
          <cell r="C1034" t="str">
            <v>03 - Bare Steel Replacement</v>
          </cell>
          <cell r="D1034" t="str">
            <v>yes</v>
          </cell>
          <cell r="F1034" t="str">
            <v>F0572</v>
          </cell>
          <cell r="G1034" t="str">
            <v>Main Replacement - ISRS (SW)</v>
          </cell>
          <cell r="H1034" t="str">
            <v>Webb City Phase 1B Grid Bare Steel</v>
          </cell>
          <cell r="I1034" t="str">
            <v>posted to CPR</v>
          </cell>
          <cell r="J1034" t="str">
            <v>Install 2150 Ft of 4 in and 4450 Ft of 2 in PL IP main - Webb City Ph1B.  Abandon 3467 Ft of 2 in PBS, 1585 Ft of 2 in PCS, 210 Ft of 3 in PBS, 732 Ft of 3 in PCS, 1029 Ft of 4 in PBS, 19 Ft of 4 in PCS, 57 Ft of 2 in PL, and 91 Ft of 4 in PL LP.</v>
          </cell>
          <cell r="K1034" t="str">
            <v>Main is being replaced as part of the FY 2016 Bare Steel Main Replacement Program.  Per Alison Spalding the Estimate and the As Built are properly reflected with a difference in footage of 2010 Feet.</v>
          </cell>
          <cell r="L1034">
            <v>42429</v>
          </cell>
          <cell r="M1034">
            <v>42643</v>
          </cell>
          <cell r="N1034">
            <v>42742.625069444402</v>
          </cell>
          <cell r="O1034">
            <v>42401</v>
          </cell>
          <cell r="P1034" t="str">
            <v>0502-044006  JASPER CTY/WEBB CITY</v>
          </cell>
          <cell r="Q1034">
            <v>876594.85</v>
          </cell>
          <cell r="R1034">
            <v>8077.5</v>
          </cell>
        </row>
        <row r="1035">
          <cell r="A1035" t="str">
            <v>009034</v>
          </cell>
          <cell r="B1035" t="str">
            <v>LDC 2</v>
          </cell>
          <cell r="D1035" t="str">
            <v>no</v>
          </cell>
          <cell r="E1035" t="str">
            <v>20101155476</v>
          </cell>
          <cell r="F1035" t="str">
            <v>F0620</v>
          </cell>
          <cell r="G1035" t="str">
            <v>32-399-420-METERS</v>
          </cell>
          <cell r="H1035" t="str">
            <v>Meter Module Replacement</v>
          </cell>
          <cell r="I1035" t="str">
            <v>posted to CPR</v>
          </cell>
          <cell r="J1035" t="str">
            <v>Meter Module Replacement: Kansas City CORP: Purchase of Turbine Meters  3810 (32-400)</v>
          </cell>
          <cell r="K1035" t="str">
            <v>Approved by: John Jankovich on 07/29/2015,  Module replacement</v>
          </cell>
          <cell r="L1035">
            <v>42460</v>
          </cell>
          <cell r="M1035">
            <v>42461</v>
          </cell>
          <cell r="N1035">
            <v>42496.560856481497</v>
          </cell>
          <cell r="O1035">
            <v>42461</v>
          </cell>
          <cell r="P1035" t="str">
            <v>0101-043050  JACKSON CTY/KC</v>
          </cell>
          <cell r="Q1035">
            <v>14961.59</v>
          </cell>
          <cell r="R1035">
            <v>6</v>
          </cell>
        </row>
        <row r="1036">
          <cell r="A1036" t="str">
            <v>008715</v>
          </cell>
          <cell r="B1036" t="str">
            <v>LDC 2</v>
          </cell>
          <cell r="D1036" t="str">
            <v>no</v>
          </cell>
          <cell r="F1036" t="str">
            <v>F0951</v>
          </cell>
          <cell r="G1036" t="str">
            <v>Vehicle Purchase MGE</v>
          </cell>
          <cell r="H1036" t="str">
            <v>Purchase 9 pickups MGE*</v>
          </cell>
          <cell r="I1036" t="str">
            <v>posted to CPR</v>
          </cell>
          <cell r="J1036" t="str">
            <v>Purchase 9 pickup trucks for MGE - This is additional equipment for additional crews</v>
          </cell>
          <cell r="L1036">
            <v>42400</v>
          </cell>
          <cell r="M1036">
            <v>42605</v>
          </cell>
          <cell r="N1036">
            <v>42620.419953703698</v>
          </cell>
          <cell r="O1036">
            <v>42552</v>
          </cell>
          <cell r="P1036" t="str">
            <v>0101-043050  JACKSON CTY/KC</v>
          </cell>
          <cell r="Q1036">
            <v>319855.24</v>
          </cell>
          <cell r="R1036">
            <v>290</v>
          </cell>
        </row>
        <row r="1037">
          <cell r="A1037" t="str">
            <v>006651</v>
          </cell>
          <cell r="B1037" t="str">
            <v>LDC 2</v>
          </cell>
          <cell r="D1037" t="str">
            <v>no</v>
          </cell>
          <cell r="F1037" t="str">
            <v>F0951</v>
          </cell>
          <cell r="G1037" t="str">
            <v>Vehicle Purchase MGE</v>
          </cell>
          <cell r="H1037" t="str">
            <v>Purchase Vans for MGE</v>
          </cell>
          <cell r="I1037" t="str">
            <v>posted to CPR</v>
          </cell>
          <cell r="J1037" t="str">
            <v>Replace eight MGE tucks with vans units 12712, 12721, 12686, 12649, 12604, 12643, 12613, 12352.</v>
          </cell>
          <cell r="L1037">
            <v>42369</v>
          </cell>
          <cell r="M1037">
            <v>42552</v>
          </cell>
          <cell r="N1037">
            <v>42620.4194907407</v>
          </cell>
          <cell r="O1037">
            <v>42552</v>
          </cell>
          <cell r="P1037" t="str">
            <v>0101-043050  JACKSON CTY/KC</v>
          </cell>
          <cell r="Q1037">
            <v>239804.64</v>
          </cell>
          <cell r="R1037">
            <v>62</v>
          </cell>
        </row>
        <row r="1038">
          <cell r="A1038" t="str">
            <v>004530</v>
          </cell>
          <cell r="B1038" t="str">
            <v>LDC 2</v>
          </cell>
          <cell r="D1038" t="str">
            <v>no</v>
          </cell>
          <cell r="E1038" t="str">
            <v>20101118245</v>
          </cell>
          <cell r="F1038" t="str">
            <v>F0492</v>
          </cell>
          <cell r="G1038" t="str">
            <v>Special projects</v>
          </cell>
          <cell r="H1038" t="str">
            <v>CANCEL - Dev P&amp;M Solutions Software</v>
          </cell>
          <cell r="I1038" t="str">
            <v>cancelled</v>
          </cell>
          <cell r="J1038" t="str">
            <v>Development P and M Solutions Software Infinite: Kansas City CORP: 3420 Broadway CANCELLED DUE TO NOT BEING APPLICABLE TO LACLEDE.  3/20/2014 Approved to cancel by Sondra Brown.</v>
          </cell>
          <cell r="K1038" t="str">
            <v>Approved by: Rob Hack on 11/10/2011,  Based on the functionality overview sessions conducted by MGE and the technical interactions between MGE and Infinite, it is understood by Infinite that MGE wants to develop a web based solution to create and manage various process involved around the workflows associated with Pressure &amp; Measurements (P &amp; M) group.  The existing system is a single user standalone application and through the development of this new software application, MGE wants to create a multi-user web based application.  The P &amp; M web based approach will also facilitate and enable all the MGE District Regulator Stations to be automated for inspection processes.</v>
          </cell>
          <cell r="N1038">
            <v>41719</v>
          </cell>
          <cell r="P1038" t="str">
            <v>0101-043050  JACKSON CTY/KC</v>
          </cell>
          <cell r="Q1038">
            <v>0</v>
          </cell>
          <cell r="R1038">
            <v>0</v>
          </cell>
        </row>
        <row r="1039">
          <cell r="A1039" t="str">
            <v>800491</v>
          </cell>
          <cell r="B1039" t="str">
            <v>LDC 2</v>
          </cell>
          <cell r="C1039" t="str">
            <v>03 - Bare Steel Replacement</v>
          </cell>
          <cell r="D1039" t="str">
            <v>yes</v>
          </cell>
          <cell r="F1039" t="str">
            <v>F0604</v>
          </cell>
          <cell r="G1039" t="str">
            <v>Main Replacement - ISRS (S)</v>
          </cell>
          <cell r="H1039" t="str">
            <v>Repl w 3182F 2-4P Harris S of Shely</v>
          </cell>
          <cell r="I1039" t="str">
            <v>open</v>
          </cell>
          <cell r="J1039" t="str">
            <v>Install ~2385 Ft of 2" PL Main, and ~797 Ft of 4" PL main.</v>
          </cell>
          <cell r="K1039" t="str">
            <v>Abandon ~1825 Ft of 2" ST main, ~615 Ft of 4" ST main, ~810 Ft of 6" ST main, ~15 Ft of 4" PL main. Uprate ~575 Ft of 6" PL main, ~1610 Ft of 4" PL main, ~645 Ft of 2" PL main. Total Service Tie-Over= 46; Total Service Uprate= 46; Total Service Replace= 1. This main is being replaced and uprated as part of the bare steel Independence grid replacement (ISRS)</v>
          </cell>
          <cell r="P1039" t="str">
            <v>0201-043001  JACKSON CTY/INDEPENDENCE</v>
          </cell>
          <cell r="Q1039">
            <v>80827.95</v>
          </cell>
          <cell r="R1039">
            <v>-3473</v>
          </cell>
        </row>
        <row r="1040">
          <cell r="A1040" t="str">
            <v>003812</v>
          </cell>
          <cell r="B1040" t="str">
            <v>LDC 2</v>
          </cell>
          <cell r="D1040" t="str">
            <v>yes</v>
          </cell>
          <cell r="E1040" t="str">
            <v>20201133032</v>
          </cell>
          <cell r="F1040" t="str">
            <v>F0604</v>
          </cell>
          <cell r="G1040" t="str">
            <v>Main Replacement - ISRS (S)</v>
          </cell>
          <cell r="H1040" t="str">
            <v>BLue Ridge &amp; Westport Abandon 6in P</v>
          </cell>
          <cell r="I1040" t="str">
            <v>posted to CPR</v>
          </cell>
          <cell r="J1040" t="str">
            <v>BLue Ridge &amp; Westport Abandon 6in PBS : Independence: Blue Ridge Blvd and Westport</v>
          </cell>
          <cell r="K1040" t="str">
            <v>Approved by: Ralph Janes on 10/03/2013,  Abandon 70' - 6in PBS (WO# A2130A) due to leakage. This is a dead end piece of 6in that has not served anything since 1963 when the reg station was relocated to its current location. (ISRS) Retire 70'-6in PBS main, year 1951, JO A2130A.</v>
          </cell>
          <cell r="L1040">
            <v>41548</v>
          </cell>
          <cell r="M1040">
            <v>41670</v>
          </cell>
          <cell r="N1040">
            <v>41677.509849536997</v>
          </cell>
          <cell r="P1040" t="str">
            <v>0201-043001  JACKSON CTY/INDEPENDENCE</v>
          </cell>
          <cell r="Q1040">
            <v>1952.93</v>
          </cell>
          <cell r="R1040">
            <v>107</v>
          </cell>
        </row>
        <row r="1041">
          <cell r="A1041" t="str">
            <v>004619</v>
          </cell>
          <cell r="B1041" t="str">
            <v>LDC 2</v>
          </cell>
          <cell r="D1041" t="str">
            <v>yes</v>
          </cell>
          <cell r="E1041" t="str">
            <v>20201132490</v>
          </cell>
          <cell r="F1041" t="str">
            <v>F0604</v>
          </cell>
          <cell r="G1041" t="str">
            <v>Main Replacement - ISRS (S)</v>
          </cell>
          <cell r="H1041" t="str">
            <v>Lexington &amp; Short Repl PBS w 220'-2</v>
          </cell>
          <cell r="I1041" t="str">
            <v>posted to CPR</v>
          </cell>
          <cell r="J1041" t="str">
            <v>Lexington &amp; Short Repl PBS w 220'-2;680'-4in PE ma: Independence: Lexington and Short</v>
          </cell>
          <cell r="K1041" t="str">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ell>
          <cell r="L1041">
            <v>41416</v>
          </cell>
          <cell r="M1041">
            <v>41516</v>
          </cell>
          <cell r="N1041">
            <v>41603.384710648097</v>
          </cell>
          <cell r="O1041">
            <v>41730</v>
          </cell>
          <cell r="P1041" t="str">
            <v>0201-043001  JACKSON CTY/INDEPENDENCE</v>
          </cell>
          <cell r="Q1041">
            <v>78683.97</v>
          </cell>
          <cell r="R1041">
            <v>4361.5</v>
          </cell>
        </row>
        <row r="1042">
          <cell r="A1042" t="str">
            <v>003903</v>
          </cell>
          <cell r="B1042" t="str">
            <v>LDC 2</v>
          </cell>
          <cell r="D1042" t="str">
            <v>yes</v>
          </cell>
          <cell r="E1042" t="str">
            <v>20201133133</v>
          </cell>
          <cell r="F1042" t="str">
            <v>F0604</v>
          </cell>
          <cell r="G1042" t="str">
            <v>Main Replacement - ISRS (S)</v>
          </cell>
          <cell r="H1042" t="str">
            <v>24hwy &amp; Salisbury Repl PBS main 334</v>
          </cell>
          <cell r="I1042" t="str">
            <v>posted to CPR</v>
          </cell>
          <cell r="J1042" t="str">
            <v>24hwy &amp; Salisbury Repl PBS main 3340' PE MAIN: Independence: Salisbury and 24 Hwy</v>
          </cell>
          <cell r="K1042" t="str">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ell>
          <cell r="L1042">
            <v>41724</v>
          </cell>
          <cell r="M1042">
            <v>41820</v>
          </cell>
          <cell r="N1042">
            <v>41859.3846990741</v>
          </cell>
          <cell r="O1042">
            <v>41730</v>
          </cell>
          <cell r="P1042" t="str">
            <v>0201-043001  JACKSON CTY/INDEPENDENCE</v>
          </cell>
          <cell r="Q1042">
            <v>270460.05</v>
          </cell>
          <cell r="R1042">
            <v>12843.2</v>
          </cell>
        </row>
        <row r="1043">
          <cell r="A1043" t="str">
            <v>012569</v>
          </cell>
          <cell r="B1043" t="str">
            <v>LDC 2</v>
          </cell>
          <cell r="D1043" t="str">
            <v>no</v>
          </cell>
          <cell r="F1043" t="str">
            <v>F1071</v>
          </cell>
          <cell r="G1043" t="str">
            <v>MGE Misc Capital</v>
          </cell>
          <cell r="H1043" t="str">
            <v>Warrensburg- Flood Light</v>
          </cell>
          <cell r="I1043" t="str">
            <v>open</v>
          </cell>
          <cell r="J1043" t="str">
            <v>Install one large flood light on back of building to illuminate gravel pit</v>
          </cell>
          <cell r="P1043" t="str">
            <v>0301-046001  JOHNSON CTY/WARRENSBURG</v>
          </cell>
          <cell r="Q1043">
            <v>1928.76</v>
          </cell>
          <cell r="R1043">
            <v>5040</v>
          </cell>
        </row>
        <row r="1044">
          <cell r="A1044" t="str">
            <v>007882</v>
          </cell>
          <cell r="B1044" t="str">
            <v>LDC 2</v>
          </cell>
          <cell r="D1044" t="str">
            <v>no</v>
          </cell>
          <cell r="F1044" t="str">
            <v>F0850</v>
          </cell>
          <cell r="G1044" t="str">
            <v>Facilities - MGE - Remodel Svc Cen</v>
          </cell>
          <cell r="H1044" t="str">
            <v>Purchase Storm Shelter-Warrensburg</v>
          </cell>
          <cell r="I1044" t="str">
            <v>posted to CPR</v>
          </cell>
          <cell r="J1044" t="str">
            <v>Purchase, delivery, excavation &amp; backfill and installation of one 7' x 10' x 6' 2" Tall Concrete Slope-front Certified Storm Shelter.</v>
          </cell>
          <cell r="L1044">
            <v>42277</v>
          </cell>
          <cell r="M1044">
            <v>42278</v>
          </cell>
          <cell r="N1044">
            <v>42345.382488425901</v>
          </cell>
          <cell r="O1044">
            <v>42248</v>
          </cell>
          <cell r="P1044" t="str">
            <v>0301-046001  JOHNSON CTY/WARRENSBURG</v>
          </cell>
          <cell r="Q1044">
            <v>8149.17</v>
          </cell>
          <cell r="R1044">
            <v>7194</v>
          </cell>
        </row>
        <row r="1045">
          <cell r="A1045" t="str">
            <v>008193</v>
          </cell>
          <cell r="B1045" t="str">
            <v>LDC 2</v>
          </cell>
          <cell r="D1045" t="str">
            <v>no</v>
          </cell>
          <cell r="E1045" t="str">
            <v>20201155269</v>
          </cell>
          <cell r="F1045" t="str">
            <v>F0606</v>
          </cell>
          <cell r="G1045" t="str">
            <v>Station rebuild &amp; replacement</v>
          </cell>
          <cell r="H1045" t="str">
            <v>Retire DRS 87 Truman and Turner</v>
          </cell>
          <cell r="I1045" t="str">
            <v>posted to CPR</v>
          </cell>
          <cell r="J1045" t="str">
            <v>Retire DRS 87 Truman and Turner: Independence: Rebuild District/TB Stations  3780/3790 (45-387)</v>
          </cell>
          <cell r="K1045" t="str">
            <v>Approved by: Kevin Driskell on 04/10/2015,  Remove and retire DRS 87 (WO# 88-3322) as it will not be needed after the completion of WO# 14-3934.  The 2-2" Rockwell 461-57S regulators will be junked.</v>
          </cell>
          <cell r="L1045">
            <v>42124</v>
          </cell>
          <cell r="M1045">
            <v>42155</v>
          </cell>
          <cell r="N1045">
            <v>42256.642060185201</v>
          </cell>
          <cell r="O1045">
            <v>42217</v>
          </cell>
          <cell r="P1045" t="str">
            <v>0201-043001  JACKSON CTY/INDEPENDENCE</v>
          </cell>
          <cell r="Q1045">
            <v>2994.35</v>
          </cell>
          <cell r="R1045">
            <v>9</v>
          </cell>
        </row>
        <row r="1046">
          <cell r="A1046" t="str">
            <v>010953</v>
          </cell>
          <cell r="B1046" t="str">
            <v>LDC 2</v>
          </cell>
          <cell r="D1046" t="str">
            <v>no</v>
          </cell>
          <cell r="F1046" t="str">
            <v>F0507</v>
          </cell>
          <cell r="G1046" t="str">
            <v>Rebuild Meter Install 2'' &amp; Lg (S)</v>
          </cell>
          <cell r="H1046" t="str">
            <v>Rebuild Existing 16M Meter Set</v>
          </cell>
          <cell r="I1046" t="str">
            <v>in service</v>
          </cell>
          <cell r="J1046" t="str">
            <v>Rebuild existing 16M Rotary Meter Setting Continental Deli at 1901 S Saint Loius St- Customer is adding load and requesting 10 psig delivery pressure - New total Connected Load for this meter = 39,600 cfh</v>
          </cell>
          <cell r="L1046">
            <v>42473</v>
          </cell>
          <cell r="O1046">
            <v>42614</v>
          </cell>
          <cell r="P1046" t="str">
            <v>0307-049001  LAFAYETTE CTY/CONCORDIA</v>
          </cell>
          <cell r="Q1046">
            <v>12169.48</v>
          </cell>
          <cell r="R1046">
            <v>-113.5</v>
          </cell>
        </row>
        <row r="1047">
          <cell r="A1047" t="str">
            <v>800590</v>
          </cell>
          <cell r="B1047" t="str">
            <v>LDC 2</v>
          </cell>
          <cell r="D1047" t="str">
            <v>no</v>
          </cell>
          <cell r="F1047" t="str">
            <v>F0523</v>
          </cell>
          <cell r="G1047" t="str">
            <v>New Main Extensions (SW)</v>
          </cell>
          <cell r="H1047" t="str">
            <v>Install 220F 2P Galyan St Stockton</v>
          </cell>
          <cell r="I1047" t="str">
            <v>in service</v>
          </cell>
          <cell r="J1047" t="str">
            <v>Install 220 ft of 2 in MP PE main to serve new residential customers in Stockton.</v>
          </cell>
          <cell r="L1047">
            <v>42712</v>
          </cell>
          <cell r="O1047">
            <v>42736</v>
          </cell>
          <cell r="P1047" t="str">
            <v>0610-017001  CEDAR CTY/STOCKTON</v>
          </cell>
          <cell r="Q1047">
            <v>465.6</v>
          </cell>
          <cell r="R1047">
            <v>-475</v>
          </cell>
        </row>
        <row r="1048">
          <cell r="A1048" t="str">
            <v>011580</v>
          </cell>
          <cell r="B1048" t="str">
            <v>LDC 2</v>
          </cell>
          <cell r="D1048" t="str">
            <v>no</v>
          </cell>
          <cell r="F1048" t="str">
            <v>F0485</v>
          </cell>
          <cell r="G1048" t="str">
            <v>Tools, Instruments &amp; Equipment (SW)</v>
          </cell>
          <cell r="H1048" t="str">
            <v>Purch New Crew Tools - Mon/Joplin</v>
          </cell>
          <cell r="I1048" t="str">
            <v>in service</v>
          </cell>
          <cell r="J1048" t="str">
            <v>Purchase various equipment/tools to outfit 3 new capital crews in Monett &amp; 1 in Joplin -  including pipe scrapers, locators, fusion machines, pitbull units, steel cutters, EF Processor, etc..</v>
          </cell>
          <cell r="K1048" t="str">
            <v>Per Ken Stegall 6-22-16</v>
          </cell>
          <cell r="L1048">
            <v>42628</v>
          </cell>
          <cell r="O1048">
            <v>42614</v>
          </cell>
          <cell r="P1048" t="str">
            <v>0801-005001  BARRY CTY/MONETT</v>
          </cell>
          <cell r="Q1048">
            <v>103125.69</v>
          </cell>
          <cell r="R1048">
            <v>229</v>
          </cell>
        </row>
        <row r="1049">
          <cell r="A1049" t="str">
            <v>005296</v>
          </cell>
          <cell r="B1049" t="str">
            <v>LDC 2</v>
          </cell>
          <cell r="D1049" t="str">
            <v>yes</v>
          </cell>
          <cell r="E1049" t="str">
            <v>20801143551</v>
          </cell>
          <cell r="F1049" t="str">
            <v>F0592</v>
          </cell>
          <cell r="G1049" t="str">
            <v>Replace bare steel main - safety re</v>
          </cell>
          <cell r="H1049" t="str">
            <v>6th &amp; Sycamore Repl PBS w 150'-2in;</v>
          </cell>
          <cell r="I1049" t="str">
            <v>posted to CPR</v>
          </cell>
          <cell r="J1049" t="str">
            <v>6th &amp; Sycamore Repl PBS w 150'-2in;230'-1.25in PE : Monett: Replace Bare Steel Main - 3760 Safety Related (34-394)</v>
          </cell>
          <cell r="K1049" t="str">
            <v>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v>
          </cell>
          <cell r="L1049">
            <v>41856</v>
          </cell>
          <cell r="M1049">
            <v>41856</v>
          </cell>
          <cell r="N1049">
            <v>42013.3641319444</v>
          </cell>
          <cell r="O1049">
            <v>41852</v>
          </cell>
          <cell r="P1049" t="str">
            <v>0801-005001  BARRY CTY/MONETT</v>
          </cell>
          <cell r="Q1049">
            <v>2725.61</v>
          </cell>
          <cell r="R1049">
            <v>-124.5</v>
          </cell>
        </row>
        <row r="1050">
          <cell r="A1050" t="str">
            <v>004253</v>
          </cell>
          <cell r="B1050" t="str">
            <v>LDC 2</v>
          </cell>
          <cell r="D1050" t="str">
            <v>no</v>
          </cell>
          <cell r="E1050" t="str">
            <v>20801132907</v>
          </cell>
          <cell r="F1050" t="str">
            <v>F0556</v>
          </cell>
          <cell r="G1050" t="str">
            <v>Tools, instruments &amp; equipment</v>
          </cell>
          <cell r="H1050" t="str">
            <v>Pur Smart Monometer Model DN2000</v>
          </cell>
          <cell r="I1050" t="str">
            <v>posted to CPR</v>
          </cell>
          <cell r="J1050" t="str">
            <v>Pur Smart Monometer Model DN2000: Monett: Monett P And M</v>
          </cell>
          <cell r="K1050" t="str">
            <v>Approved by: Galen Shoemaker on 08/16/2013,  Purchase one Smart Manometer Model ZM200-DN2000 with case from Meriam Process Technologies to be used by Monett P&amp;M department. This is not a replacement. Item will be purchased on Hoofnagle P-Card</v>
          </cell>
          <cell r="L1050">
            <v>41513</v>
          </cell>
          <cell r="M1050">
            <v>41575</v>
          </cell>
          <cell r="N1050">
            <v>41576.418576388904</v>
          </cell>
          <cell r="P1050" t="str">
            <v>0801-005001  BARRY CTY/MONETT</v>
          </cell>
          <cell r="Q1050">
            <v>1075.21</v>
          </cell>
          <cell r="R1050">
            <v>0</v>
          </cell>
        </row>
        <row r="1051">
          <cell r="A1051" t="str">
            <v>801065</v>
          </cell>
          <cell r="B1051" t="str">
            <v>LDC 2</v>
          </cell>
          <cell r="D1051" t="str">
            <v>no</v>
          </cell>
          <cell r="F1051" t="str">
            <v>F0673</v>
          </cell>
          <cell r="G1051" t="str">
            <v>New Main Extensions (S)</v>
          </cell>
          <cell r="H1051" t="str">
            <v>Install 765F 2P Foxberry Estates 2</v>
          </cell>
          <cell r="I1051" t="str">
            <v>in service</v>
          </cell>
          <cell r="J1051" t="str">
            <v>Install ~765 Ft of 2" PL IP Main to Serve 12 Residential Lots.</v>
          </cell>
          <cell r="K1051" t="str">
            <v>(12) Single family detached homes.  (2) cul-de-sacs with (6) homes, each.  Cul-de-sac street names are TBD, but are on the West side of E.Foxberry Trail.  Project Type: Main Extension (MEXTE).</v>
          </cell>
          <cell r="L1051">
            <v>42744</v>
          </cell>
          <cell r="O1051">
            <v>42736</v>
          </cell>
          <cell r="P1051" t="str">
            <v>0931-043044  JACKSON CTY/LOTOWANA</v>
          </cell>
          <cell r="Q1051">
            <v>27675.9</v>
          </cell>
          <cell r="R1051">
            <v>-1225</v>
          </cell>
        </row>
        <row r="1052">
          <cell r="A1052" t="str">
            <v>006669</v>
          </cell>
          <cell r="B1052" t="str">
            <v>LDC 2</v>
          </cell>
          <cell r="D1052" t="str">
            <v>yes</v>
          </cell>
          <cell r="E1052" t="str">
            <v>20806143872</v>
          </cell>
          <cell r="F1052" t="str">
            <v>F0598</v>
          </cell>
          <cell r="G1052" t="str">
            <v>Replace steel &amp; plastic main</v>
          </cell>
          <cell r="H1052" t="str">
            <v>Repl 2in PCS due to CP Main and</v>
          </cell>
          <cell r="I1052" t="str">
            <v>posted to CPR</v>
          </cell>
          <cell r="J1052" t="str">
            <v>Repl 2in; PCS due to CP Main and Washington: Neosho: Replace Coated Steel &amp; Plastic Main - 3760 (34-396)</v>
          </cell>
          <cell r="K1052" t="str">
            <v>Approved by: Galen Shoemaker on 10/10/2014,  Abandon 86' - 2" PCS (WO#: 63-1367) and insert 85' - 1 1/4" PE due to CP 14-50 and short section of isolated bare steel. Project Location: Main and Washington; Pressure System: C-2; MOP: 4 psig; MAOP: 42 psig; Design: 58 psig; Test: 100 psig; $73.67/ft</v>
          </cell>
          <cell r="L1052">
            <v>42023</v>
          </cell>
          <cell r="M1052">
            <v>42248</v>
          </cell>
          <cell r="N1052">
            <v>42284.722592592603</v>
          </cell>
          <cell r="O1052">
            <v>42005</v>
          </cell>
          <cell r="P1052" t="str">
            <v>0806-066010  NEWTON CTY/NEOSHO</v>
          </cell>
          <cell r="Q1052">
            <v>1799.72</v>
          </cell>
          <cell r="R1052">
            <v>-57</v>
          </cell>
        </row>
        <row r="1053">
          <cell r="A1053" t="str">
            <v>008900</v>
          </cell>
          <cell r="B1053" t="str">
            <v>LDC 2</v>
          </cell>
          <cell r="D1053" t="str">
            <v>no</v>
          </cell>
          <cell r="E1053" t="str">
            <v>20809155433</v>
          </cell>
          <cell r="F1053" t="str">
            <v>F0523</v>
          </cell>
          <cell r="G1053" t="str">
            <v>New Main Extensions (SW)</v>
          </cell>
          <cell r="H1053" t="str">
            <v>New 75 ft 2 in Plastic Main Extensi</v>
          </cell>
          <cell r="I1053" t="str">
            <v>posted to CPR</v>
          </cell>
          <cell r="J1053" t="str">
            <v>New 75 ft 2 in Plastic Main Extension: Aurora: New Main Extension - Company Crews  3760 (33-305)</v>
          </cell>
          <cell r="K1053" t="str">
            <v>Approved by: Michael Fornelli on 07/08/2015,  Install 75' of 2" PE main to serve new residence. No deposit required after one allowance. MOP: 42psig MAOP: 45psig DESIGN: 66psig TEST: 100psig
SYSTEM: S-0009  $38.41/ft</v>
          </cell>
          <cell r="L1053">
            <v>42242</v>
          </cell>
          <cell r="M1053">
            <v>42370</v>
          </cell>
          <cell r="N1053">
            <v>42496.560787037</v>
          </cell>
          <cell r="O1053">
            <v>42217</v>
          </cell>
          <cell r="P1053" t="str">
            <v>0809-050003  LAWRENCE CTY/AURORA</v>
          </cell>
          <cell r="Q1053">
            <v>723.17</v>
          </cell>
          <cell r="R1053">
            <v>-166</v>
          </cell>
        </row>
        <row r="1054">
          <cell r="A1054" t="str">
            <v>800038</v>
          </cell>
          <cell r="B1054" t="str">
            <v>LDC 2</v>
          </cell>
          <cell r="C1054" t="str">
            <v>03 - Bare Steel Replacement</v>
          </cell>
          <cell r="D1054" t="str">
            <v>yes</v>
          </cell>
          <cell r="F1054" t="str">
            <v>F0572</v>
          </cell>
          <cell r="G1054" t="str">
            <v>Main Replacement - ISRS (SW)</v>
          </cell>
          <cell r="H1054" t="str">
            <v>Main Replacemen due to CPs/Iso Stee</v>
          </cell>
          <cell r="I1054" t="str">
            <v>in service</v>
          </cell>
          <cell r="J1054" t="str">
            <v>Abandon 5,525' - 2" Steel due to multiple CP and isolated steel and replace with 7,625' 2" PE - South St &amp; Faulkner in Marionville.</v>
          </cell>
          <cell r="K1054" t="str">
            <v>Project Location: Marionville; Pressure System: S-0006; MOP: 30 psig; MAOP: 30 psig; Design: 66 psig; Test: 100 psig; 47 - Services, ISRS $35.71/ft ($268,174.76)</v>
          </cell>
          <cell r="L1054">
            <v>42641</v>
          </cell>
          <cell r="O1054">
            <v>42614</v>
          </cell>
          <cell r="P1054" t="str">
            <v>0810-050015  LAWRENCE CTY/MARIONVILLE</v>
          </cell>
          <cell r="Q1054">
            <v>433113.87</v>
          </cell>
          <cell r="R1054">
            <v>-32425.25</v>
          </cell>
        </row>
        <row r="1055">
          <cell r="A1055" t="str">
            <v>008544</v>
          </cell>
          <cell r="B1055" t="str">
            <v>LDC 2</v>
          </cell>
          <cell r="D1055" t="str">
            <v>no</v>
          </cell>
          <cell r="E1055" t="str">
            <v>20812155353</v>
          </cell>
          <cell r="F1055" t="str">
            <v>F0556</v>
          </cell>
          <cell r="G1055" t="str">
            <v>Tools, instruments &amp; equipment</v>
          </cell>
          <cell r="H1055" t="str">
            <v>Pur 1 Sensit Gold CGI for Republic</v>
          </cell>
          <cell r="I1055" t="str">
            <v>posted to CPR</v>
          </cell>
          <cell r="J1055" t="str">
            <v>Pur 1 Sensit Gold CGI for Republic I and S: Republic: Purchase Tools, Instruments &amp; Equipment  3940 (37-366)</v>
          </cell>
          <cell r="K1055" t="str">
            <v>Approved by: Michael Fornelli on 05/20/2015,  Purchase one new Sensit Gold CGI LEL% VOL, CO Model B for $1,519.20 for Republic I&amp;S</v>
          </cell>
          <cell r="L1055">
            <v>42177</v>
          </cell>
          <cell r="M1055">
            <v>42248</v>
          </cell>
          <cell r="N1055">
            <v>42270.483622685198</v>
          </cell>
          <cell r="O1055">
            <v>42156</v>
          </cell>
          <cell r="P1055" t="str">
            <v>0812-034002  GREENE CTY/REPUBLIC</v>
          </cell>
          <cell r="Q1055">
            <v>1591.69</v>
          </cell>
          <cell r="R1055">
            <v>3</v>
          </cell>
        </row>
        <row r="1056">
          <cell r="A1056" t="str">
            <v>004134</v>
          </cell>
          <cell r="B1056" t="str">
            <v>LDC 2</v>
          </cell>
          <cell r="D1056" t="str">
            <v>yes</v>
          </cell>
          <cell r="E1056" t="str">
            <v>20812143354</v>
          </cell>
          <cell r="F1056" t="str">
            <v>F0545</v>
          </cell>
          <cell r="G1056" t="str">
            <v>Street &amp; highway relocates</v>
          </cell>
          <cell r="H1056" t="str">
            <v>Main &amp; Elm Reloc PBS w 1895'-4in PE</v>
          </cell>
          <cell r="I1056" t="str">
            <v>posted to CPR</v>
          </cell>
          <cell r="J1056" t="str">
            <v>Main &amp; Elm Reloc PBS w 1895'-4in PE main : Republic: Main and Elm</v>
          </cell>
          <cell r="K1056" t="str">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ell>
          <cell r="L1056">
            <v>41806</v>
          </cell>
          <cell r="M1056">
            <v>41882</v>
          </cell>
          <cell r="N1056">
            <v>41978.593043981498</v>
          </cell>
          <cell r="O1056">
            <v>41791</v>
          </cell>
          <cell r="P1056" t="str">
            <v>0812-034002  GREENE CTY/REPUBLIC</v>
          </cell>
          <cell r="Q1056">
            <v>147021.66</v>
          </cell>
          <cell r="R1056">
            <v>5339</v>
          </cell>
        </row>
        <row r="1057">
          <cell r="A1057" t="str">
            <v>006078</v>
          </cell>
          <cell r="B1057" t="str">
            <v>LDC 2</v>
          </cell>
          <cell r="D1057" t="str">
            <v>no</v>
          </cell>
          <cell r="E1057" t="str">
            <v>20315143679</v>
          </cell>
          <cell r="F1057" t="str">
            <v>F0507</v>
          </cell>
          <cell r="G1057" t="str">
            <v>Rebuild Meter Install 2'' &amp; Lg (S)</v>
          </cell>
          <cell r="H1057" t="str">
            <v>Rebuild Slater Coop 16M Meter Set</v>
          </cell>
          <cell r="I1057" t="str">
            <v>posted to CPR</v>
          </cell>
          <cell r="J1057" t="str">
            <v>Rebuild Slater Coop Meter Set: Slater: Replace Meter &amp; Reg 2in &amp;  Larger - 3820/3830 (32-404)</v>
          </cell>
          <cell r="K1057" t="str">
            <v>Approved by: Ralph Janes on 08/20/2014,  The Central Missouri Agri Services grain dryer was blown over during a recent storm and the existing meter setting was damaged.  The 11M Rotary meter setting was oringinally set on wotk order 75-3439 and removed after the storm on wotk order 14-3606 (Laclede Work Order 005431).  The Coop is installing a new grain dryer with twice the capacity of the old one.  The existing service line and meter riser is sound.  This work order will install a new 16M Rotary meter setting to serve the new dryer.</v>
          </cell>
          <cell r="L1057">
            <v>41898</v>
          </cell>
          <cell r="M1057">
            <v>42063</v>
          </cell>
          <cell r="N1057">
            <v>42072.452638888899</v>
          </cell>
          <cell r="O1057">
            <v>41883</v>
          </cell>
          <cell r="P1057" t="str">
            <v>0315-086003  SALINE CTY/SLATER</v>
          </cell>
          <cell r="Q1057">
            <v>4866.54</v>
          </cell>
          <cell r="R1057">
            <v>-59</v>
          </cell>
        </row>
        <row r="1058">
          <cell r="A1058" t="str">
            <v>006838</v>
          </cell>
          <cell r="B1058" t="str">
            <v>LDC 2</v>
          </cell>
          <cell r="D1058" t="str">
            <v>yes</v>
          </cell>
          <cell r="E1058" t="str">
            <v>20902143839</v>
          </cell>
          <cell r="F1058" t="str">
            <v>F0604</v>
          </cell>
          <cell r="G1058" t="str">
            <v>Main Replacement - ISRS (S)</v>
          </cell>
          <cell r="H1058" t="str">
            <v>Replace 4in PCS/PBS main</v>
          </cell>
          <cell r="I1058" t="str">
            <v>posted to CPR</v>
          </cell>
          <cell r="J1058" t="str">
            <v>Replace 4in PCS/PBS main: Raytown: Replace Bare Steel Main - 3760 Safety Related (34-394)</v>
          </cell>
          <cell r="K1058" t="str">
            <v>Approved by: Steve Holcomb on 11/05/2014,  Replace and Abandon 49'- 4"PCS (820395), 540' - 4"PBS (A1633), 1,560' - 4"PBS (A1623), 222' 4" PCS (651195), 256' 4' PCS (677041). Main currently runs Laurel Street between 82nd and 83rd, on 82nd St between Laurel and Elm, and on Ditzler Ave between 82nd and 79th. (ISRS) $33.99 per foot.</v>
          </cell>
          <cell r="L1058">
            <v>42145</v>
          </cell>
          <cell r="M1058">
            <v>42185</v>
          </cell>
          <cell r="N1058">
            <v>42284.722731481503</v>
          </cell>
          <cell r="O1058">
            <v>42125</v>
          </cell>
          <cell r="P1058" t="str">
            <v>0902-043025  JACKSON CTY/RAYTOWN</v>
          </cell>
          <cell r="Q1058">
            <v>148283.26</v>
          </cell>
          <cell r="R1058">
            <v>-3158</v>
          </cell>
        </row>
        <row r="1059">
          <cell r="A1059" t="str">
            <v>005395</v>
          </cell>
          <cell r="B1059" t="str">
            <v>LDC 2</v>
          </cell>
          <cell r="D1059" t="str">
            <v>yes</v>
          </cell>
          <cell r="E1059" t="str">
            <v>20902143584</v>
          </cell>
          <cell r="F1059" t="str">
            <v>F0604</v>
          </cell>
          <cell r="G1059" t="str">
            <v>Main Replacement - ISRS (S)</v>
          </cell>
          <cell r="H1059" t="str">
            <v>79th &amp; Raytown Rd Repl PBS/PCS main</v>
          </cell>
          <cell r="I1059" t="str">
            <v>posted to CPR</v>
          </cell>
          <cell r="J1059" t="str">
            <v>79th &amp; Raytown Rd Repl PBS/PCS main Sector 0301: Raytown: Replace Bare Steel Main - 3760 Safety Related (34-394)</v>
          </cell>
          <cell r="K1059" t="str">
            <v>Approved by: Steve Holcomb on 05/28/2014,  Accelerated Main Replacement: This WO is to replace a total of 24,300' of main, mostly PBS in one of our high risk sectors identified through our DIMP plan(09-02-0301) with 3,200' - 4" and 21,205' - 2" PE main.Please see Pipe tab for info on main to be retired. (ISRS) Price per ft = $36.19.</v>
          </cell>
          <cell r="L1059">
            <v>42017</v>
          </cell>
          <cell r="M1059">
            <v>42035</v>
          </cell>
          <cell r="N1059">
            <v>42131.407164351796</v>
          </cell>
          <cell r="O1059">
            <v>42005</v>
          </cell>
          <cell r="P1059" t="str">
            <v>0902-043025  JACKSON CTY/RAYTOWN</v>
          </cell>
          <cell r="Q1059">
            <v>987039.88</v>
          </cell>
          <cell r="R1059">
            <v>-26050.240000000002</v>
          </cell>
        </row>
        <row r="1060">
          <cell r="A1060" t="str">
            <v>013035</v>
          </cell>
          <cell r="B1060" t="str">
            <v>LDC 2</v>
          </cell>
          <cell r="D1060" t="str">
            <v>no</v>
          </cell>
          <cell r="F1060" t="str">
            <v>F0538</v>
          </cell>
          <cell r="G1060" t="str">
            <v>Other Communication Costs</v>
          </cell>
          <cell r="H1060" t="str">
            <v>Purch 3 Rotork controllers</v>
          </cell>
          <cell r="I1060" t="str">
            <v>open</v>
          </cell>
          <cell r="J1060" t="str">
            <v>Purchase 3 Rotork controllers to replace damaged units for the following locations:  6th &amp; RD Mize - Blue Springs (0903), Corporate &amp; Enterprise - Warrensburg (0301) and a shop spare.</v>
          </cell>
          <cell r="P1060" t="str">
            <v>0903-043026  JACKSON CTY/BLUE SPRINGS</v>
          </cell>
          <cell r="Q1060">
            <v>8489.24</v>
          </cell>
          <cell r="R1060">
            <v>0</v>
          </cell>
        </row>
        <row r="1061">
          <cell r="A1061" t="str">
            <v>011918</v>
          </cell>
          <cell r="B1061" t="str">
            <v>LDC 2</v>
          </cell>
          <cell r="D1061" t="str">
            <v>no</v>
          </cell>
          <cell r="F1061" t="str">
            <v>F0644</v>
          </cell>
          <cell r="G1061" t="str">
            <v>Meter &amp; Reg Settings 2" &amp; Lg (S)</v>
          </cell>
          <cell r="H1061" t="str">
            <v>Bus Barn 23M Rotary Meter Set</v>
          </cell>
          <cell r="I1061" t="str">
            <v>in service</v>
          </cell>
          <cell r="J1061" t="str">
            <v>Install a 23M Rotary Meter Set to serve the Blue Springs School Bus Barn - 200 SE Highway 40 CNG</v>
          </cell>
          <cell r="L1061">
            <v>42619</v>
          </cell>
          <cell r="O1061">
            <v>42614</v>
          </cell>
          <cell r="P1061" t="str">
            <v>0903-043026  JACKSON CTY/BLUE SPRINGS</v>
          </cell>
          <cell r="Q1061">
            <v>3068.99</v>
          </cell>
          <cell r="R1061">
            <v>103.1367</v>
          </cell>
        </row>
        <row r="1062">
          <cell r="A1062" t="str">
            <v>004357</v>
          </cell>
          <cell r="B1062" t="str">
            <v>LDC 2</v>
          </cell>
          <cell r="D1062" t="str">
            <v>no</v>
          </cell>
          <cell r="E1062" t="str">
            <v>20903133127</v>
          </cell>
          <cell r="F1062" t="str">
            <v>F0507</v>
          </cell>
          <cell r="G1062" t="str">
            <v>Rebuild Meter Install 2'' &amp; Lg (S)</v>
          </cell>
          <cell r="H1062" t="str">
            <v>CSI Products 11M Meter Rebuild</v>
          </cell>
          <cell r="I1062" t="str">
            <v>posted to CPR</v>
          </cell>
          <cell r="J1062" t="str">
            <v>CSI Products 11M Meter Rebuild: Blue Springs: 705 SW 10th St</v>
          </cell>
          <cell r="K1062" t="str">
            <v>Approved by: Ralph Janes on 11/19/2013,  Rebuild a 11M rotary meter set at 705 SW 10th St for CSI Products Inc. The service (premise# 323430) is on the 20 Year SLRP, so the existing 11M Rotary meter set (WO# 84-878) needs to be rebuilt at the building on WO# 13-3127. Total load is 9,875 cfh. Use the exisitng 2" CS serivce line crossing the road and intall first cut riser at the property line with a 1" FI 621 with 1/2" orifice set at 25 psig. Install a 1" FI 289H to serve as the external relief valve for the first cut set at 30 psig. Install 75' of 1-1/4" PE service line and a 2" pre-fab flanged riser with 2" bypass and 2" Balon ball valve on BWO.</v>
          </cell>
          <cell r="L1062">
            <v>41620</v>
          </cell>
          <cell r="M1062">
            <v>41670</v>
          </cell>
          <cell r="N1062">
            <v>41677.5097916667</v>
          </cell>
          <cell r="P1062" t="str">
            <v>0903-043026  JACKSON CTY/BLUE SPRINGS</v>
          </cell>
          <cell r="Q1062">
            <v>8610.3700000000008</v>
          </cell>
          <cell r="R1062">
            <v>106</v>
          </cell>
        </row>
        <row r="1063">
          <cell r="A1063" t="str">
            <v>800624</v>
          </cell>
          <cell r="B1063" t="str">
            <v>LDC 2</v>
          </cell>
          <cell r="C1063" t="str">
            <v>09 - Facility Relocation due to Civic Improvement</v>
          </cell>
          <cell r="D1063" t="str">
            <v>yes</v>
          </cell>
          <cell r="F1063" t="str">
            <v>F0578</v>
          </cell>
          <cell r="G1063" t="str">
            <v>Street &amp; Highway Relocates ISRS (S)</v>
          </cell>
          <cell r="H1063" t="str">
            <v>Repl w 3970F 2-4-6P 155th E of I-49</v>
          </cell>
          <cell r="I1063" t="str">
            <v>open</v>
          </cell>
          <cell r="J1063" t="str">
            <v>Install ~1080 Ft of 2" PL MP Main, ~2245 Ft of 4" PL MP Main, ~645 Ft of 6" PL MP Main, ~40 Ft of 4" ST FP Main</v>
          </cell>
          <cell r="K1063" t="str">
            <v>Abandon ~450 Ft of 2" PL MP Main, ~541 Ft of 2'' ST MP Main, ~350 Ft of 4" PL MP Main, ~1704 Ft of 4" ST MP Main, ~634 Ft of 6" ST MP Main, ~20 Ft of 4" ST FP Main.  Total Service Tie-overs: 31, Total Service Replace: 3 (610 Ft).  This is a Main Relocation (MRELO) due to Civic Improvements.</v>
          </cell>
          <cell r="P1063" t="str">
            <v>0904-043030  JACKSON CTY/GRANDVIEW</v>
          </cell>
          <cell r="Q1063">
            <v>330567.51</v>
          </cell>
          <cell r="R1063">
            <v>-4267.5</v>
          </cell>
        </row>
        <row r="1064">
          <cell r="A1064" t="str">
            <v>007787</v>
          </cell>
          <cell r="B1064" t="str">
            <v>LDC 2</v>
          </cell>
          <cell r="D1064" t="str">
            <v>yes</v>
          </cell>
          <cell r="E1064" t="str">
            <v>20906143991</v>
          </cell>
          <cell r="F1064" t="str">
            <v>F0578</v>
          </cell>
          <cell r="G1064" t="str">
            <v>Street &amp; Highway Relocates ISRS (S)</v>
          </cell>
          <cell r="H1064" t="str">
            <v>Replace 8in PCS Main</v>
          </cell>
          <cell r="I1064" t="str">
            <v>posted to CPR</v>
          </cell>
          <cell r="J1064" t="str">
            <v>Replace 8in PCS Main: Belton: Relocate for Street &amp; Highway-Public Improvements (44-388)</v>
          </cell>
          <cell r="K1064" t="str">
            <v>Approved by: Joe Hampton on 03/06/2015,  Replace and abandon 100' - 8" pcs main (684465) and 100' - 8" pcs main (024173) by installing 200' 8" pcs main due to third party damage.  Note:  200' - 6" pe &amp; misc fittings installed temporarily due to blowing gas.</v>
          </cell>
          <cell r="L1064">
            <v>41975</v>
          </cell>
          <cell r="M1064">
            <v>42185</v>
          </cell>
          <cell r="N1064">
            <v>42256.642037037003</v>
          </cell>
          <cell r="O1064">
            <v>42095</v>
          </cell>
          <cell r="P1064" t="str">
            <v>0906-016001  CASS CTY/BELTON W OF MULLIN RD</v>
          </cell>
          <cell r="Q1064">
            <v>37788.53</v>
          </cell>
          <cell r="R1064">
            <v>-289</v>
          </cell>
        </row>
        <row r="1065">
          <cell r="A1065" t="str">
            <v>004390</v>
          </cell>
          <cell r="B1065" t="str">
            <v>LDC 2</v>
          </cell>
          <cell r="D1065" t="str">
            <v>no</v>
          </cell>
          <cell r="E1065" t="str">
            <v>20906143381</v>
          </cell>
          <cell r="F1065" t="str">
            <v>F0580</v>
          </cell>
          <cell r="G1065" t="str">
            <v>Replace steel &amp; plastic main</v>
          </cell>
          <cell r="H1065" t="str">
            <v>Abandon 75'-4in pe main</v>
          </cell>
          <cell r="I1065" t="str">
            <v>posted to CPR</v>
          </cell>
          <cell r="J1065" t="str">
            <v>Abandon 75'-4in pe main: Belton: Quick Trip Way N of Route Y</v>
          </cell>
          <cell r="K1065" t="str">
            <v>Approved by: Ralph Janes on 02/24/2014,  Abandon 75' - 4" pe main (036042).  The City is constructing a new stretch of Markey Parkway and has determinine that the end of our main extends on to private property in a new commercial development without an easement.</v>
          </cell>
          <cell r="L1065">
            <v>41702</v>
          </cell>
          <cell r="M1065">
            <v>41731</v>
          </cell>
          <cell r="N1065">
            <v>41732.346203703702</v>
          </cell>
          <cell r="P1065" t="str">
            <v>0906-016001  CASS CTY/BELTON W OF MULLIN RD</v>
          </cell>
          <cell r="Q1065">
            <v>3015.5</v>
          </cell>
          <cell r="R1065">
            <v>431</v>
          </cell>
        </row>
        <row r="1066">
          <cell r="A1066" t="str">
            <v>008692</v>
          </cell>
          <cell r="B1066" t="str">
            <v>LDC 2</v>
          </cell>
          <cell r="D1066" t="str">
            <v>yes</v>
          </cell>
          <cell r="E1066" t="str">
            <v>20908155382</v>
          </cell>
          <cell r="F1066" t="str">
            <v>F0578</v>
          </cell>
          <cell r="G1066" t="str">
            <v>Street &amp; Highway Relocates ISRS (S)</v>
          </cell>
          <cell r="H1066" t="str">
            <v>Relocate 2in pcs main</v>
          </cell>
          <cell r="I1066" t="str">
            <v>posted to CPR</v>
          </cell>
          <cell r="J1066" t="str">
            <v>Relocate 2in pcs main: Harrisonville: Relocate for Street &amp; Highway-Public Improvements (44-388)</v>
          </cell>
          <cell r="K1066" t="str">
            <v>Approved by: Kevin Driskell on 06/08/2015,  Relocate and abandon 100' - 2" pcs main (84-4830) by installing 110' - 2" pcs main for MO Dot project J4P1475</v>
          </cell>
          <cell r="L1066">
            <v>42180</v>
          </cell>
          <cell r="M1066">
            <v>42247</v>
          </cell>
          <cell r="N1066">
            <v>42284.723645833299</v>
          </cell>
          <cell r="O1066">
            <v>42217</v>
          </cell>
          <cell r="P1066" t="str">
            <v>0908-016007  CASS CTY/HARRISONVILLE N</v>
          </cell>
          <cell r="Q1066">
            <v>11772.48</v>
          </cell>
          <cell r="R1066">
            <v>-454.5</v>
          </cell>
        </row>
        <row r="1067">
          <cell r="A1067" t="str">
            <v>800216</v>
          </cell>
          <cell r="B1067" t="str">
            <v>LDC 2</v>
          </cell>
          <cell r="D1067" t="str">
            <v>no</v>
          </cell>
          <cell r="F1067" t="str">
            <v>F0673</v>
          </cell>
          <cell r="G1067" t="str">
            <v>New Main Extensions (S)</v>
          </cell>
          <cell r="H1067" t="str">
            <v>Arvest Bank - Main Ext</v>
          </cell>
          <cell r="I1067" t="str">
            <v>in service</v>
          </cell>
          <cell r="J1067" t="str">
            <v>Install 965 feet - 4 inch plastic main to serve one new commercial customer - Arvest Bank along Givan Ave.  Load = 160 cfh.</v>
          </cell>
          <cell r="K1067" t="str">
            <v>Requesting proposed commercial load be considered for sizing of main and for limiting the cost of the MEA for the bank - 2 inch plastic main minimum to serve - proposed commercial future plat attached to work order.</v>
          </cell>
          <cell r="L1067">
            <v>42423</v>
          </cell>
          <cell r="O1067">
            <v>42461</v>
          </cell>
          <cell r="P1067" t="str">
            <v>0906-016001  CASS CTY/BELTON W OF MULLIN RD</v>
          </cell>
          <cell r="Q1067">
            <v>44380.97</v>
          </cell>
          <cell r="R1067">
            <v>-1953.5</v>
          </cell>
        </row>
        <row r="1068">
          <cell r="A1068" t="str">
            <v>006196</v>
          </cell>
          <cell r="B1068" t="str">
            <v>LDC 2</v>
          </cell>
          <cell r="D1068" t="str">
            <v>yes</v>
          </cell>
          <cell r="E1068" t="str">
            <v>20909143711</v>
          </cell>
          <cell r="F1068" t="str">
            <v>F0503</v>
          </cell>
          <cell r="G1068" t="str">
            <v>Rectifier New/Repl ISRS (N)</v>
          </cell>
          <cell r="H1068" t="str">
            <v>Vellie Road Rectifier Relocation</v>
          </cell>
          <cell r="I1068" t="str">
            <v>posted to CPR</v>
          </cell>
          <cell r="J1068" t="str">
            <v>Vellie Road Rectifier Relocation: 016-016: Replace Rectifier/Groundbed  3760 (46-406)Lees Summit</v>
          </cell>
          <cell r="K1068" t="str">
            <v>Approved by: Mark Lauber on 08/25/2014,  This work order is necessary to relocate the Vellie Road rectifier and ground bed to a different location due to the replacement of the 16 inch and 8 inch to a single 20 inch line resulting from a public improvement project. The new location will be in a priviate easement behind 8712 Lee's Summit Road, Kansas City, MO. The existing rectifier purchased on work order 96-3520 will be utilized, however the ground bed will be abandon and a new fifteen graphite 3" X 60" rod will be installed. Shaw Electric will take care of all the electrical including installation, permits and inspections. Dupree Testing Services will install the ground bed.</v>
          </cell>
          <cell r="L1068">
            <v>41942</v>
          </cell>
          <cell r="M1068">
            <v>42094</v>
          </cell>
          <cell r="N1068">
            <v>42125.359363425901</v>
          </cell>
          <cell r="O1068">
            <v>42036</v>
          </cell>
          <cell r="P1068" t="str">
            <v>0909-016012  CASS CTY/PLEASANT HILL</v>
          </cell>
          <cell r="Q1068">
            <v>28157.38</v>
          </cell>
          <cell r="R1068">
            <v>1877</v>
          </cell>
        </row>
        <row r="1069">
          <cell r="A1069" t="str">
            <v>800054</v>
          </cell>
          <cell r="B1069" t="str">
            <v>LDC 2</v>
          </cell>
          <cell r="D1069" t="str">
            <v>no</v>
          </cell>
          <cell r="F1069" t="str">
            <v>F0673</v>
          </cell>
          <cell r="G1069" t="str">
            <v>New Main Extensions (S)</v>
          </cell>
          <cell r="H1069" t="str">
            <v>Price Chopper Main Extension</v>
          </cell>
          <cell r="I1069" t="str">
            <v>in service</v>
          </cell>
          <cell r="J1069" t="str">
            <v>Install 750 feet of 4 inch plastic main extension to serve one new commercial customer at 1600 SE Blue Pkwy.   380 feet of 1-1/4 inch plastic service line to be installed on Child Work Order 14432706.</v>
          </cell>
          <cell r="K1069" t="str">
            <v>No contribution required per Jon Harrell.</v>
          </cell>
          <cell r="L1069">
            <v>42318</v>
          </cell>
          <cell r="O1069">
            <v>42461</v>
          </cell>
          <cell r="P1069" t="str">
            <v>0901-043021  JACKSON CTY/LEE'S SUMMIT OFFIC</v>
          </cell>
          <cell r="Q1069">
            <v>33881.65</v>
          </cell>
          <cell r="R1069">
            <v>-2273.5</v>
          </cell>
        </row>
        <row r="1070">
          <cell r="A1070" t="str">
            <v>009214</v>
          </cell>
          <cell r="B1070" t="str">
            <v>LDC 2</v>
          </cell>
          <cell r="D1070" t="str">
            <v>no</v>
          </cell>
          <cell r="F1070" t="str">
            <v>F0550</v>
          </cell>
          <cell r="G1070" t="str">
            <v>BWO New Service Line Install (S)</v>
          </cell>
          <cell r="H1070" t="str">
            <v>BWO-New Svc-Steel (South)</v>
          </cell>
          <cell r="I1070" t="str">
            <v>open</v>
          </cell>
          <cell r="J1070" t="str">
            <v>BWO-New Services Installed with Steel (South Region)</v>
          </cell>
          <cell r="O1070">
            <v>42309</v>
          </cell>
          <cell r="P1070" t="str">
            <v>0901-043021  JACKSON CTY/LEE'S SUMMIT OFFIC</v>
          </cell>
          <cell r="Q1070">
            <v>92422.18</v>
          </cell>
          <cell r="R1070">
            <v>-1087</v>
          </cell>
        </row>
        <row r="1071">
          <cell r="A1071" t="str">
            <v>009056</v>
          </cell>
          <cell r="B1071" t="str">
            <v>LDC 2</v>
          </cell>
          <cell r="D1071" t="str">
            <v>no</v>
          </cell>
          <cell r="F1071" t="str">
            <v>F0850</v>
          </cell>
          <cell r="G1071" t="str">
            <v>Facilities - MGE - Remodel Svc Cen</v>
          </cell>
          <cell r="H1071" t="str">
            <v>Purchase IT Work Bench Lee's Summit</v>
          </cell>
          <cell r="I1071" t="str">
            <v>posted to CPR</v>
          </cell>
          <cell r="J1071" t="str">
            <v>Purchase Benchmarx IT Work Bench for Lee's Summit location.</v>
          </cell>
          <cell r="L1071">
            <v>42308</v>
          </cell>
          <cell r="M1071">
            <v>42461</v>
          </cell>
          <cell r="N1071">
            <v>42527.512650463003</v>
          </cell>
          <cell r="O1071">
            <v>42339</v>
          </cell>
          <cell r="P1071" t="str">
            <v>0901-043021  JACKSON CTY/LEE'S SUMMIT OFFIC</v>
          </cell>
          <cell r="Q1071">
            <v>2217.7600000000002</v>
          </cell>
          <cell r="R1071">
            <v>1</v>
          </cell>
        </row>
        <row r="1072">
          <cell r="A1072" t="str">
            <v>008689</v>
          </cell>
          <cell r="B1072" t="str">
            <v>LDC 2</v>
          </cell>
          <cell r="D1072" t="str">
            <v>no</v>
          </cell>
          <cell r="E1072" t="str">
            <v>20901155358</v>
          </cell>
          <cell r="F1072" t="str">
            <v>F0507</v>
          </cell>
          <cell r="G1072" t="str">
            <v>Rebuild Meter Install 2'' &amp; Lg (S)</v>
          </cell>
          <cell r="H1072" t="str">
            <v>Jefferson Health Center 3M Rebuild</v>
          </cell>
          <cell r="I1072" t="str">
            <v>posted to CPR</v>
          </cell>
          <cell r="J1072" t="str">
            <v>Jefferson Health Center 3M Rebuild SLRP: Lees Summit: Replace Meter &amp; Reg 2&amp;quot; &amp;  Larger - 3820/3830 (32-404)</v>
          </cell>
          <cell r="K1072" t="str">
            <v>Approved by: Kevin Driskell on 06/08/2015,  20 Year SLRP at Jefferson Health Center - 615 SW Oldham Parkway (meter #02202028, premise #371700).  Rebuild a 3M rotary meter set at the the building and remove the RK 750 meter set at the property line.  Total connected load = 2,300 cfh.</v>
          </cell>
          <cell r="L1072">
            <v>42206</v>
          </cell>
          <cell r="M1072">
            <v>42491</v>
          </cell>
          <cell r="N1072">
            <v>42528.313252314802</v>
          </cell>
          <cell r="O1072">
            <v>42186</v>
          </cell>
          <cell r="P1072" t="str">
            <v>0901-043021  JACKSON CTY/LEE'S SUMMIT OFFIC</v>
          </cell>
          <cell r="Q1072">
            <v>1716.79</v>
          </cell>
          <cell r="R1072">
            <v>-47.5</v>
          </cell>
        </row>
        <row r="1073">
          <cell r="A1073" t="str">
            <v>008242</v>
          </cell>
          <cell r="B1073" t="str">
            <v>LDC 2</v>
          </cell>
          <cell r="D1073" t="str">
            <v>no</v>
          </cell>
          <cell r="E1073" t="str">
            <v>20901155261</v>
          </cell>
          <cell r="F1073" t="str">
            <v>F0580</v>
          </cell>
          <cell r="G1073" t="str">
            <v>Replace steel &amp; plastic main</v>
          </cell>
          <cell r="H1073" t="str">
            <v>Abandon 4in pcs main</v>
          </cell>
          <cell r="I1073" t="str">
            <v>posted to CPR</v>
          </cell>
          <cell r="J1073" t="str">
            <v>Abandon 4in pcs main: Lees Summit: Replace Coated Steel &amp; Plastic Main - 3760 (34-396)</v>
          </cell>
          <cell r="K1073" t="str">
            <v>Approved by: Kevin Driskell on 04/20/2015,  Abanson 854' - 4" pcs main (work order 73-7604).  John Knox Village has previously taken over most of the mains serving their facilities allowing them to transport.  We continued to serve the Hospital and Pavillion until theeir plans included renovating these buildings - which they are now ready to commence.</v>
          </cell>
          <cell r="L1073">
            <v>42111</v>
          </cell>
          <cell r="M1073">
            <v>42248</v>
          </cell>
          <cell r="N1073">
            <v>42284.723553240699</v>
          </cell>
          <cell r="P1073" t="str">
            <v>0901-043021  JACKSON CTY/LEE'S SUMMIT OFFIC</v>
          </cell>
          <cell r="Q1073">
            <v>6403.69</v>
          </cell>
          <cell r="R1073">
            <v>847</v>
          </cell>
        </row>
        <row r="1074">
          <cell r="A1074" t="str">
            <v>006752</v>
          </cell>
          <cell r="B1074" t="str">
            <v>LDC 2</v>
          </cell>
          <cell r="D1074" t="str">
            <v>no</v>
          </cell>
          <cell r="E1074" t="str">
            <v>20901143931</v>
          </cell>
          <cell r="F1074" t="str">
            <v>F0639</v>
          </cell>
          <cell r="G1074" t="str">
            <v>EGM Equip-1st Time Installation</v>
          </cell>
          <cell r="H1074" t="str">
            <v>EGM - Zoetis Inc</v>
          </cell>
          <cell r="I1074" t="str">
            <v>in service</v>
          </cell>
          <cell r="J1074" t="str">
            <v>EGM - Zoetis Inc: Lees Summit: Install EGM Equipment - First Time Installation  3850 (32-403)</v>
          </cell>
          <cell r="K1074" t="str">
            <v>Approved by: Rob Kitterman on 10/28/2014,  Install Mercury MiniAT-PT (S/N: 13093732) with CNI-2 (S/N: 13072605) on Roots 11M meter no Z8597849 to monitor daily gas usage of this transportation customer. Customer will reimburse company actual cost for EGM installation not to exceed $5,445.00, which should be coded to account 1072. ATTENTION: Plant &amp; Property Accounting, EGM work order, turn off A&amp;G indicator.</v>
          </cell>
          <cell r="L1074">
            <v>42443</v>
          </cell>
          <cell r="O1074">
            <v>42461</v>
          </cell>
          <cell r="P1074" t="str">
            <v>0901-043021  JACKSON CTY/LEE'S SUMMIT OFFIC</v>
          </cell>
          <cell r="Q1074">
            <v>-7.09</v>
          </cell>
          <cell r="R1074">
            <v>24</v>
          </cell>
        </row>
        <row r="1075">
          <cell r="A1075" t="str">
            <v>006559</v>
          </cell>
          <cell r="B1075" t="str">
            <v>LDC 2</v>
          </cell>
          <cell r="D1075" t="str">
            <v>no</v>
          </cell>
          <cell r="E1075" t="str">
            <v>20901143825</v>
          </cell>
          <cell r="F1075" t="str">
            <v>F0676</v>
          </cell>
          <cell r="G1075" t="str">
            <v>Meter &amp; regulator settings - 2" &amp; l</v>
          </cell>
          <cell r="H1075" t="str">
            <v>Green Lantern Car Wash 7M Meter</v>
          </cell>
          <cell r="I1075" t="str">
            <v>posted to CPR</v>
          </cell>
          <cell r="J1075" t="str">
            <v>Green Lantern Car Wash: Lees Summit: New Meter &amp; Reg Settings - 2inch &amp; Larger 3820/3830 (33-382)</v>
          </cell>
          <cell r="K1075" t="str">
            <v>Approved by: Ralph Janes on 09/22/2014,  Install a 7M Rotary meter setting to serve one new commercial customer.  75' - 1-1/4" pe service line to be installed on BWO.</v>
          </cell>
          <cell r="L1075">
            <v>41949</v>
          </cell>
          <cell r="M1075">
            <v>42004</v>
          </cell>
          <cell r="N1075">
            <v>42012.317048611098</v>
          </cell>
          <cell r="O1075">
            <v>41944</v>
          </cell>
          <cell r="P1075" t="str">
            <v>0901-043021  JACKSON CTY/LEE'S SUMMIT OFFIC</v>
          </cell>
          <cell r="Q1075">
            <v>2562.9899999999998</v>
          </cell>
          <cell r="R1075">
            <v>-71.5</v>
          </cell>
        </row>
        <row r="1076">
          <cell r="A1076" t="str">
            <v>003898</v>
          </cell>
          <cell r="B1076" t="str">
            <v>LDC 2</v>
          </cell>
          <cell r="D1076" t="str">
            <v>no</v>
          </cell>
          <cell r="E1076" t="str">
            <v>20901132912</v>
          </cell>
          <cell r="F1076" t="str">
            <v>F0507</v>
          </cell>
          <cell r="G1076" t="str">
            <v>Rebuild Meter Install 2'' &amp; Lg (S)</v>
          </cell>
          <cell r="H1076" t="str">
            <v>910 E Langsford Rebuild 11M mtr set</v>
          </cell>
          <cell r="I1076" t="str">
            <v>posted to CPR</v>
          </cell>
          <cell r="J1076" t="str">
            <v>910 E Langsford Rebuild 11M mtr set: Lees Summit: 910 E Langsford Rd Quick Clean Car Wash Inc</v>
          </cell>
          <cell r="K1076" t="str">
            <v>Approved by: Ralph Janes on 09/09/2013,  Rebuild an 11M rotary meter set at the building to replace the existing 3M Rotary meter set (original wo# 85-1289) located at the property line of 910 E Langsford Rd on WO# 13-2912. The existing 3M Rotary meter set which serves 7in wc (meter# 08592808, premise# 368524) is a property line set with 7/8in PE service line, due for remediation as a 20 year SLRP (see wo# 13-2913). Quick clean Car Wash is adding approximately 6,570 CFH in total load. The new total load for Quick Clean Car Wash is approximately 9,840 cfh. Elevated pressure of 2 psig has been requested.</v>
          </cell>
          <cell r="L1076">
            <v>41649</v>
          </cell>
          <cell r="M1076">
            <v>41698</v>
          </cell>
          <cell r="N1076">
            <v>41704.711678240703</v>
          </cell>
          <cell r="P1076" t="str">
            <v>0901-043021  JACKSON CTY/LEE'S SUMMIT OFFIC</v>
          </cell>
          <cell r="Q1076">
            <v>3089.59</v>
          </cell>
          <cell r="R1076">
            <v>80</v>
          </cell>
        </row>
        <row r="1077">
          <cell r="A1077" t="str">
            <v>004268</v>
          </cell>
          <cell r="B1077" t="str">
            <v>LDC 2</v>
          </cell>
          <cell r="D1077" t="str">
            <v>yes</v>
          </cell>
          <cell r="E1077" t="str">
            <v>20901143369</v>
          </cell>
          <cell r="F1077" t="str">
            <v>F0578</v>
          </cell>
          <cell r="G1077" t="str">
            <v>Street &amp; Highway Relocates ISRS (S)</v>
          </cell>
          <cell r="H1077" t="str">
            <v>Jefferson &amp; Persels Reloc 6in PE</v>
          </cell>
          <cell r="I1077" t="str">
            <v>posted to CPR</v>
          </cell>
          <cell r="J1077" t="str">
            <v>Jefferson &amp; Persels Reloc 6in PE : Lees Summit: Jefferson and Persels</v>
          </cell>
          <cell r="K1077" t="str">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ell>
          <cell r="L1077">
            <v>42346</v>
          </cell>
          <cell r="M1077">
            <v>42400</v>
          </cell>
          <cell r="N1077">
            <v>42496.558935185203</v>
          </cell>
          <cell r="O1077">
            <v>42370</v>
          </cell>
          <cell r="P1077" t="str">
            <v>0901-043021  JACKSON CTY/LEE'S SUMMIT OFFIC</v>
          </cell>
          <cell r="Q1077">
            <v>468166.69</v>
          </cell>
          <cell r="R1077">
            <v>-6380.77</v>
          </cell>
        </row>
        <row r="1078">
          <cell r="A1078" t="str">
            <v>004089</v>
          </cell>
          <cell r="B1078" t="str">
            <v>LDC 2</v>
          </cell>
          <cell r="D1078" t="str">
            <v>yes</v>
          </cell>
          <cell r="E1078" t="str">
            <v>20515121585</v>
          </cell>
          <cell r="F1078" t="str">
            <v>F0575</v>
          </cell>
          <cell r="G1078" t="str">
            <v>Replace steel &amp; plastic main</v>
          </cell>
          <cell r="H1078" t="str">
            <v>20th &amp; Marble Abandon 744'-2in PE</v>
          </cell>
          <cell r="I1078" t="str">
            <v>posted to CPR</v>
          </cell>
          <cell r="J1078" t="str">
            <v>20th &amp; Marble Abandon 744'-2in PE: Duquesne: 20th and Marble Ln</v>
          </cell>
          <cell r="K1078" t="str">
            <v>Approved by: Galen Shoemaker on 07/30/2012,  Abandon 744ft of 2in PE (WO#: 96-2274) due to grading for new elementary and middle school expansions after tornado. Project Location: 20th and Marble Ln; System: C-1; MOP: 58 psig; MAOP: 58 psig; Design: 58 psig; Test: 100 psig;</v>
          </cell>
          <cell r="L1078">
            <v>41107</v>
          </cell>
          <cell r="M1078">
            <v>41590</v>
          </cell>
          <cell r="N1078">
            <v>41226</v>
          </cell>
          <cell r="P1078" t="str">
            <v>0515-044022  JASPER CTY/VILLAGE OF DUQUESNE</v>
          </cell>
          <cell r="Q1078">
            <v>898.43</v>
          </cell>
          <cell r="R1078">
            <v>752</v>
          </cell>
        </row>
        <row r="1079">
          <cell r="A1079" t="str">
            <v>011919</v>
          </cell>
          <cell r="B1079" t="str">
            <v>LDC 2</v>
          </cell>
          <cell r="D1079" t="str">
            <v>yes</v>
          </cell>
          <cell r="F1079" t="str">
            <v>F0600</v>
          </cell>
          <cell r="G1079" t="str">
            <v>Station Rebuild &amp; Repl ISRS (N)</v>
          </cell>
          <cell r="H1079" t="str">
            <v>Rebuild reg stn #336 112 St &amp; Hwy29</v>
          </cell>
          <cell r="I1079" t="str">
            <v>open</v>
          </cell>
          <cell r="J1079" t="str">
            <v>Rebuild regulator station #336  Located at the intersection of 112 St and Hwy 29.</v>
          </cell>
          <cell r="K1079" t="str">
            <v>requested by Erica Murren</v>
          </cell>
          <cell r="P1079" t="str">
            <v>1251-075010  PLATTE CTY/KANSAS CITY NORTH</v>
          </cell>
          <cell r="Q1079">
            <v>293886.87</v>
          </cell>
          <cell r="R1079">
            <v>-744.25</v>
          </cell>
        </row>
        <row r="1080">
          <cell r="A1080" t="str">
            <v>800332</v>
          </cell>
          <cell r="B1080" t="str">
            <v>LDC 2</v>
          </cell>
          <cell r="D1080" t="str">
            <v>no</v>
          </cell>
          <cell r="F1080" t="str">
            <v>F0647</v>
          </cell>
          <cell r="G1080" t="str">
            <v>New Main Extensions (N)</v>
          </cell>
          <cell r="H1080" t="str">
            <v>EDGEWOOD FARMS-IUI</v>
          </cell>
          <cell r="I1080" t="str">
            <v>in service</v>
          </cell>
          <cell r="J1080" t="str">
            <v>Edgewood Farms Main Ext - 12 BUILDINGS,9 APARTMENT BUILDINGS AND CLUBHOUSE. Load 26,000 cfh with apt complex &amp; clubhouse. Install 745ft of 2in PE and 2220ft of 4in PE. Contact Steve Warger 816-769-6132 for utility marking.</v>
          </cell>
          <cell r="L1080">
            <v>42669</v>
          </cell>
          <cell r="O1080">
            <v>42644</v>
          </cell>
          <cell r="P1080" t="str">
            <v>1251-075010  PLATTE CTY/KANSAS CITY NORTH</v>
          </cell>
          <cell r="Q1080">
            <v>53157.53</v>
          </cell>
          <cell r="R1080">
            <v>-5679</v>
          </cell>
        </row>
        <row r="1081">
          <cell r="A1081" t="str">
            <v>800338</v>
          </cell>
          <cell r="B1081" t="str">
            <v>LDC 2</v>
          </cell>
          <cell r="C1081" t="str">
            <v>03 - Bare Steel Replacement</v>
          </cell>
          <cell r="D1081" t="str">
            <v>yes</v>
          </cell>
          <cell r="F1081" t="str">
            <v>F0599</v>
          </cell>
          <cell r="G1081" t="str">
            <v>Main Replacement - ISRS (N)</v>
          </cell>
          <cell r="H1081" t="str">
            <v>Repl w 4888F 2-8P St Joe Grid Ph 2C</v>
          </cell>
          <cell r="I1081" t="str">
            <v>open</v>
          </cell>
          <cell r="J1081" t="str">
            <v>Install 1820 Ft of 8in PL IP, 1369 Ft of 6in PL IP, and 1699 Ft of 2in PL IP on Rhudy St, Washington St, and Grant St. Abandon 42 Ft of 4in PL LP, 4315 Ft of ST LP (St. Joe Grid - Phase 2C)</v>
          </cell>
          <cell r="K1081" t="str">
            <v>This main is being replaced as part of FY16 Bare Steel Replacement Program.
Uprate 1929 Ft of 4 in PL LP main on Rhudy St and Grant St.
Total Service Tie-over = 98; Total Service Abandoned = 8; Total Service Replace = 6; Total Service Upgrade = 56.</v>
          </cell>
          <cell r="P1081" t="str">
            <v>1001-010001  ST. JOSEPH CITY/BUCHANAN</v>
          </cell>
          <cell r="Q1081">
            <v>0</v>
          </cell>
          <cell r="R1081">
            <v>4367</v>
          </cell>
        </row>
        <row r="1082">
          <cell r="A1082" t="str">
            <v>007866</v>
          </cell>
          <cell r="B1082" t="str">
            <v>LDC 2</v>
          </cell>
          <cell r="D1082" t="str">
            <v>yes</v>
          </cell>
          <cell r="E1082" t="str">
            <v>21001155187</v>
          </cell>
          <cell r="F1082" t="str">
            <v>F0678</v>
          </cell>
          <cell r="G1082" t="str">
            <v>Replace bare steel main - safety re</v>
          </cell>
          <cell r="H1082" t="str">
            <v>Replace 560ft of 4in b/s with 4in P</v>
          </cell>
          <cell r="I1082" t="str">
            <v>posted to CPR</v>
          </cell>
          <cell r="J1082" t="str">
            <v>Replace 560ft of 4in b/s with 4in PE : 016-016: Replace Bare Steel Main - 3760 Safety Related (34-394)</v>
          </cell>
          <cell r="K1082" t="str">
            <v>Approved by: Gary Williams on 03/13/2015,  Replace 560' of 4"B/S with 4"PE main due to down project.</v>
          </cell>
          <cell r="L1082">
            <v>42129</v>
          </cell>
          <cell r="M1082">
            <v>42217</v>
          </cell>
          <cell r="N1082">
            <v>42284.723425925898</v>
          </cell>
          <cell r="O1082">
            <v>42125</v>
          </cell>
          <cell r="P1082" t="str">
            <v>1001-010001  ST. JOSEPH CITY/BUCHANAN</v>
          </cell>
          <cell r="Q1082">
            <v>24207.71</v>
          </cell>
          <cell r="R1082">
            <v>-442</v>
          </cell>
        </row>
        <row r="1083">
          <cell r="A1083" t="str">
            <v>004892</v>
          </cell>
          <cell r="B1083" t="str">
            <v>LDC 2</v>
          </cell>
          <cell r="D1083" t="str">
            <v>no</v>
          </cell>
          <cell r="E1083" t="str">
            <v>21001143403</v>
          </cell>
          <cell r="F1083" t="str">
            <v>F0560</v>
          </cell>
          <cell r="G1083" t="str">
            <v>Tools, instruments &amp; equipment</v>
          </cell>
          <cell r="H1083" t="str">
            <v>PUR-1 PIPE LOCATOR</v>
          </cell>
          <cell r="I1083" t="str">
            <v>posted to CPR</v>
          </cell>
          <cell r="J1083" t="str">
            <v>PUR-1 PIPE LOCATOR: St Joseph: Purchase Tools, Instruments &amp; Equipment  3940 (37-366)</v>
          </cell>
          <cell r="K1083" t="str">
            <v>Approved by: Gary Williams on 03/24/2014,  Purchase-1 Pipe locator -60HZ push button. This will be used by the C&amp;M crew to locate mains. Groebner only vendor that handles this instrument. This is not a replacement tool.</v>
          </cell>
          <cell r="L1083">
            <v>41752</v>
          </cell>
          <cell r="M1083">
            <v>42248</v>
          </cell>
          <cell r="N1083">
            <v>42270.530624999999</v>
          </cell>
          <cell r="O1083">
            <v>41821</v>
          </cell>
          <cell r="P1083" t="str">
            <v>1001-010001  ST. JOSEPH CITY/BUCHANAN</v>
          </cell>
          <cell r="Q1083">
            <v>2330.06</v>
          </cell>
          <cell r="R1083">
            <v>1</v>
          </cell>
        </row>
        <row r="1084">
          <cell r="A1084" t="str">
            <v>004304</v>
          </cell>
          <cell r="B1084" t="str">
            <v>LDC 2</v>
          </cell>
          <cell r="D1084" t="str">
            <v>no</v>
          </cell>
          <cell r="E1084" t="str">
            <v>21001132541</v>
          </cell>
          <cell r="F1084" t="str">
            <v>F0588</v>
          </cell>
          <cell r="G1084" t="str">
            <v>Transportation &amp; power operated equ</v>
          </cell>
          <cell r="H1084" t="str">
            <v>Pur 2013 Ford 4x4 Utility PM dept 8</v>
          </cell>
          <cell r="I1084" t="str">
            <v>posted to CPR</v>
          </cell>
          <cell r="J1084" t="str">
            <v>Pur 2013 Ford 4x4 Utility PM dept 8cyl: St Joseph: St Joseph FOP</v>
          </cell>
          <cell r="K1084" t="str">
            <v>Approved by: Ken Thomas on 04/08/2013,  Purchase 2013 Ford 3/4 Ton 4x4 +50 Utility, new position for P&amp;M Dept.</v>
          </cell>
          <cell r="L1084">
            <v>41425</v>
          </cell>
          <cell r="M1084">
            <v>41564</v>
          </cell>
          <cell r="N1084">
            <v>41564.6247337963</v>
          </cell>
          <cell r="P1084" t="str">
            <v>1001-010001  ST. JOSEPH CITY/BUCHANAN</v>
          </cell>
          <cell r="Q1084">
            <v>31315.58</v>
          </cell>
          <cell r="R1084">
            <v>0</v>
          </cell>
        </row>
        <row r="1085">
          <cell r="A1085" t="str">
            <v>003928</v>
          </cell>
          <cell r="B1085" t="str">
            <v>LDC 2</v>
          </cell>
          <cell r="D1085" t="str">
            <v>no</v>
          </cell>
          <cell r="E1085" t="str">
            <v>21201050309</v>
          </cell>
          <cell r="F1085" t="str">
            <v>F0655</v>
          </cell>
          <cell r="G1085" t="str">
            <v>Service line locates</v>
          </cell>
          <cell r="H1085" t="str">
            <v>BWO LINE LOCATES-REPL SERVICES ONLY</v>
          </cell>
          <cell r="I1085" t="str">
            <v>posted to CPR</v>
          </cell>
          <cell r="J1085" t="str">
            <v>BWO LINE LOCATES-REPL SERVICES ONLY</v>
          </cell>
          <cell r="K1085" t="str">
            <v>Project Type:B</v>
          </cell>
          <cell r="L1085">
            <v>41717</v>
          </cell>
          <cell r="M1085">
            <v>41717</v>
          </cell>
          <cell r="N1085">
            <v>41717</v>
          </cell>
          <cell r="O1085">
            <v>42036</v>
          </cell>
          <cell r="P1085" t="str">
            <v>1201-020042  CLAY CTY/KANSAS CITY (N PLANT)</v>
          </cell>
          <cell r="Q1085">
            <v>361.33</v>
          </cell>
          <cell r="R1085">
            <v>8</v>
          </cell>
        </row>
        <row r="1086">
          <cell r="A1086" t="str">
            <v>008955</v>
          </cell>
          <cell r="B1086" t="str">
            <v>LDC 2</v>
          </cell>
          <cell r="D1086" t="str">
            <v>no</v>
          </cell>
          <cell r="E1086" t="str">
            <v>20101155443</v>
          </cell>
          <cell r="F1086" t="str">
            <v>F0577</v>
          </cell>
          <cell r="G1086" t="str">
            <v>ERT Purchases</v>
          </cell>
          <cell r="H1086" t="str">
            <v>Purchase New 100G American Resident</v>
          </cell>
          <cell r="I1086" t="str">
            <v>posted to CPR</v>
          </cell>
          <cell r="J1086" t="str">
            <v>Purchase New 100G American Residential Erts : Kansas City CORP: Purchase ERT (Electronic Reading Transmitter)  3971 (32-312)</v>
          </cell>
          <cell r="K1086" t="str">
            <v>Approved by: John Jankovich on 07/14/2015,  Following purchase is for stock / Ert Changeout Program</v>
          </cell>
          <cell r="L1086">
            <v>42460</v>
          </cell>
          <cell r="M1086">
            <v>42461</v>
          </cell>
          <cell r="N1086">
            <v>42496.560810185198</v>
          </cell>
          <cell r="O1086">
            <v>42461</v>
          </cell>
          <cell r="P1086" t="str">
            <v>1904-043050  JACKSON CTY/KC</v>
          </cell>
          <cell r="Q1086">
            <v>123379.2</v>
          </cell>
          <cell r="R1086">
            <v>3200</v>
          </cell>
        </row>
        <row r="1087">
          <cell r="A1087" t="str">
            <v>007218</v>
          </cell>
          <cell r="B1087" t="str">
            <v>LDC 2</v>
          </cell>
          <cell r="D1087" t="str">
            <v>no</v>
          </cell>
          <cell r="E1087" t="str">
            <v>20101144016</v>
          </cell>
          <cell r="F1087" t="str">
            <v>F0529</v>
          </cell>
          <cell r="G1087" t="str">
            <v>Meter Purchases - MGE</v>
          </cell>
          <cell r="H1087" t="str">
            <v>Pur 2000 I-250 Mtrs Sept  2015</v>
          </cell>
          <cell r="I1087" t="str">
            <v>posted to CPR</v>
          </cell>
          <cell r="J1087" t="str">
            <v>Pur 2000 I-250 Mtrs Sept  2015 : Kansas City CORP: Purchase Domestic Diaphragm  Meters - 3810 (32-398)</v>
          </cell>
          <cell r="K1087" t="str">
            <v>Approved by: Steve Holcomb on 12/05/2014,  Purchase 2000 I-250 Itron Meters for Sample Meter Program 2015.</v>
          </cell>
          <cell r="L1087">
            <v>42454</v>
          </cell>
          <cell r="M1087">
            <v>42461</v>
          </cell>
          <cell r="N1087">
            <v>42496.560196759303</v>
          </cell>
          <cell r="O1087">
            <v>42461</v>
          </cell>
          <cell r="P1087" t="str">
            <v>1904-043050  JACKSON CTY/KC</v>
          </cell>
          <cell r="Q1087">
            <v>186578.91</v>
          </cell>
          <cell r="R1087">
            <v>2000</v>
          </cell>
        </row>
        <row r="1088">
          <cell r="A1088" t="str">
            <v>007172</v>
          </cell>
          <cell r="B1088" t="str">
            <v>LDC 2</v>
          </cell>
          <cell r="D1088" t="str">
            <v>no</v>
          </cell>
          <cell r="E1088" t="str">
            <v>20101144018</v>
          </cell>
          <cell r="F1088" t="str">
            <v>F0620</v>
          </cell>
          <cell r="G1088" t="str">
            <v>32-399-420-METERS</v>
          </cell>
          <cell r="H1088" t="str">
            <v>Purchase New Rotary Meters Feb 2015</v>
          </cell>
          <cell r="I1088" t="str">
            <v>posted to CPR</v>
          </cell>
          <cell r="J1088" t="str">
            <v>Purchase New Rotary Meters Feb 2015: Kansas City CORP: Purchase of Rotary Meters  3810 (32-399)  20 Size 5M Meters and 20 Size 3M Meters.</v>
          </cell>
          <cell r="K1088" t="str">
            <v>Approved by: Steve Holcomb on 12/08/2014,  Replacements and new sets.</v>
          </cell>
          <cell r="L1088">
            <v>42097</v>
          </cell>
          <cell r="M1088">
            <v>42461</v>
          </cell>
          <cell r="N1088">
            <v>42496.5601157407</v>
          </cell>
          <cell r="O1088">
            <v>42186</v>
          </cell>
          <cell r="P1088" t="str">
            <v>1904-043050  JACKSON CTY/KC</v>
          </cell>
          <cell r="Q1088">
            <v>48929.78</v>
          </cell>
          <cell r="R1088">
            <v>280</v>
          </cell>
        </row>
        <row r="1089">
          <cell r="A1089" t="str">
            <v>006114</v>
          </cell>
          <cell r="B1089" t="str">
            <v>LDC 2</v>
          </cell>
          <cell r="D1089" t="str">
            <v>no</v>
          </cell>
          <cell r="E1089" t="str">
            <v>21271143756</v>
          </cell>
          <cell r="F1089" t="str">
            <v>F0660</v>
          </cell>
          <cell r="G1089" t="str">
            <v>Meter &amp; Reg Settings 2" &amp; Lg (N)</v>
          </cell>
          <cell r="H1089" t="str">
            <v>Walmart Neighborhood Market 3M Mtr</v>
          </cell>
          <cell r="I1089" t="str">
            <v>posted to CPR</v>
          </cell>
          <cell r="J1089" t="str">
            <v>Walmart Neighborhood market: Kansas City-Clay Co: New Meter &amp; Reg Settings - 2in &amp; Larger 3820/3830 (33-382)</v>
          </cell>
          <cell r="K1089" t="str">
            <v>Approved by: Rob Kitterman on 08/25/2014,  This work is necessary to install a 3M roots meter for one new commercial customer.We'll set a 2in CL-34-1 at 2psig with a 1in 289H relief set at 3psig for a connected load of 2819cfh.</v>
          </cell>
          <cell r="L1089">
            <v>41904</v>
          </cell>
          <cell r="M1089">
            <v>42217</v>
          </cell>
          <cell r="N1089">
            <v>42249.374768518501</v>
          </cell>
          <cell r="O1089">
            <v>41944</v>
          </cell>
          <cell r="P1089" t="str">
            <v>1271-020036  CLAY CTY/KANSAS CITY</v>
          </cell>
          <cell r="Q1089">
            <v>2834.35</v>
          </cell>
          <cell r="R1089">
            <v>0</v>
          </cell>
        </row>
        <row r="1090">
          <cell r="A1090" t="str">
            <v>003783</v>
          </cell>
          <cell r="B1090" t="str">
            <v>LDC 2</v>
          </cell>
          <cell r="D1090" t="str">
            <v>no</v>
          </cell>
          <cell r="E1090" t="str">
            <v>21271132482</v>
          </cell>
          <cell r="F1090" t="str">
            <v>F0610</v>
          </cell>
          <cell r="G1090" t="str">
            <v>New business</v>
          </cell>
          <cell r="H1090" t="str">
            <v>N MCKINLEY AVE Lay 1677'-2in PE mai</v>
          </cell>
          <cell r="I1090" t="str">
            <v>posted to CPR</v>
          </cell>
          <cell r="J1090" t="str">
            <v>N MCKINLEY AVE Lay 1677'-2in PE main ext: Kansas City-Clay Co: N MCKINLEY AVE &amp; NE 102ND TERTRAILS OF BRENTWOOD-3</v>
          </cell>
          <cell r="K1090" t="str">
            <v>Approved by: Kevin Driskell on 08/02/2013,  LAYING 1,677'-2in PLEXCO IN ORDER TO SERVE 36 LOTS IN SUBDIVISION.  LOTS 77-112.  1,677' X $8.50=$14,254.50  CUSTOMER TO CONTRIBUTE $14,254.50 BEFORE START OF PROJECT.  COST PER FOOT=$14.30</v>
          </cell>
          <cell r="L1090">
            <v>41612</v>
          </cell>
          <cell r="M1090">
            <v>41697</v>
          </cell>
          <cell r="N1090">
            <v>41698.505243055602</v>
          </cell>
          <cell r="O1090">
            <v>41730</v>
          </cell>
          <cell r="P1090" t="str">
            <v>1271-020036  CLAY CTY/KANSAS CITY</v>
          </cell>
          <cell r="Q1090">
            <v>12480.25</v>
          </cell>
          <cell r="R1090">
            <v>2817.5</v>
          </cell>
        </row>
        <row r="1091">
          <cell r="A1091" t="str">
            <v>006690</v>
          </cell>
          <cell r="B1091" t="str">
            <v>LDC 2</v>
          </cell>
          <cell r="D1091" t="str">
            <v>yes</v>
          </cell>
          <cell r="E1091" t="str">
            <v>20925143795</v>
          </cell>
          <cell r="F1091" t="str">
            <v>F0502</v>
          </cell>
          <cell r="G1091" t="str">
            <v>34-394-100-PIPESAFE</v>
          </cell>
          <cell r="H1091" t="str">
            <v>Hydrotest 12in Transmission Main</v>
          </cell>
          <cell r="I1091" t="str">
            <v>posted to CPR</v>
          </cell>
          <cell r="J1091" t="str">
            <v>Hydrotest 12in; Transmission Main : Grain Valley: Replace Coated Steel &amp; Plastic Main - 3760 (34-396)Lees Summit</v>
          </cell>
          <cell r="K1091" t="str">
            <v>Approved by: Mark Lauber on 10/09/2014,  MGE does not have verifiable tests and mill specs. for much of the Grain Valley Lateral Transmission Main.  MGE will be replacing a leaking bridle valve at the Grain Valley TBS on work order 14-3475 and will be replacing the I-70 crossing on work order 14-3738.  MGE had previously relocated/replaced that porting of the Grain Vally Lateral East of MO Route BB on work order 12-1214 for which verifiable tests and mill specs. are on file.  This work order will utilize TDW Services and other vendors to document, provide environmental services and hydrotest that portion of original piping north of I-70 between MO Route BB and the new I-70 crossing as well as perform a Non-Destructive Evaluation to provide the missing required data. (ISRS)</v>
          </cell>
          <cell r="L1091">
            <v>41990</v>
          </cell>
          <cell r="M1091">
            <v>42154</v>
          </cell>
          <cell r="N1091">
            <v>42284.722604166702</v>
          </cell>
          <cell r="O1091">
            <v>42064</v>
          </cell>
          <cell r="P1091" t="str">
            <v>0925-043035  JACKSON CTY/GRAIN VALLEY</v>
          </cell>
          <cell r="Q1091">
            <v>22218.77</v>
          </cell>
          <cell r="R1091">
            <v>2594</v>
          </cell>
        </row>
        <row r="1092">
          <cell r="A1092" t="str">
            <v>800795</v>
          </cell>
          <cell r="B1092" t="str">
            <v>LDC 2</v>
          </cell>
          <cell r="C1092" t="str">
            <v>01 - Cast Iron Strategic Replacement</v>
          </cell>
          <cell r="D1092" t="str">
            <v>yes</v>
          </cell>
          <cell r="F1092" t="str">
            <v>F0599</v>
          </cell>
          <cell r="G1092" t="str">
            <v>Main Replacement - ISRS (N)</v>
          </cell>
          <cell r="H1092" t="str">
            <v>Repl w 6405F 2-4P Dunn Park W of 71</v>
          </cell>
          <cell r="I1092" t="str">
            <v>open</v>
          </cell>
          <cell r="J1092" t="str">
            <v>Install 4570 Ft of 2 In PL IP Main and 1835 ft of 4 In PL IP Main on Oak St, 63rd Ter, Cherry St, Meyer Blvd, and 65th St. - Phase 1B</v>
          </cell>
          <cell r="K1092" t="str">
            <v>Abandon 640 Ft of 12 in CI LP main, 16 Ft of 4 in CI LP Main, 2289 Ft of 6 in CI LP Main, 193 Ft of 1 1/8 in PL LP Main, 198 Ft of 2 in ST LP Main, 27 Ft of 6 in ST LP Main, 10 Ft of 2 in PL LP main and 5 Ft of 4 in PL LP main along Oak St, 63rd Ter, Cherry St and Meyer Blvd.  Uprate approximately 395 Ft of 2” PL LP to IP main, 230 Ft of 2” PL LP to IP main and 350 Ft of 4” PL LP to IP main.  Total Service Tie-over = 97; Total Service Replacement = 38; Total Service Abandoned = 7; Total Service Uprate = 4.  This main is being abandoned as part of FY17 Cast Iron Replacement Program.</v>
          </cell>
          <cell r="P1092" t="str">
            <v>0401-043050  JACKSON CTY/KC</v>
          </cell>
          <cell r="Q1092">
            <v>13054.84</v>
          </cell>
          <cell r="R1092">
            <v>-15490</v>
          </cell>
        </row>
        <row r="1093">
          <cell r="A1093" t="str">
            <v>800902</v>
          </cell>
          <cell r="B1093" t="str">
            <v>LDC 2</v>
          </cell>
          <cell r="C1093" t="str">
            <v>02 - Cast Iron AOR Replacement</v>
          </cell>
          <cell r="D1093" t="str">
            <v>yes</v>
          </cell>
          <cell r="F1093" t="str">
            <v>F0599</v>
          </cell>
          <cell r="G1093" t="str">
            <v>Main Replacement - ISRS (N)</v>
          </cell>
          <cell r="H1093" t="str">
            <v>Repl w 40F 6P 9th &amp; Woodland AOR</v>
          </cell>
          <cell r="I1093" t="str">
            <v>in service</v>
          </cell>
          <cell r="J1093" t="str">
            <v>Install ~40 ft of 6 in PL LP main  on the south west corner of 9th and Woodland.</v>
          </cell>
          <cell r="K1093" t="str">
            <v>Abandon ~40 ft of 6 in PL LP main at above location.   No services to tie-over.   This work is being done due to an angle of repose.  This has a compliance date of 2/24/2017.</v>
          </cell>
          <cell r="L1093">
            <v>42745</v>
          </cell>
          <cell r="O1093">
            <v>42736</v>
          </cell>
          <cell r="P1093" t="str">
            <v>0401-043050  JACKSON CTY/KC</v>
          </cell>
          <cell r="Q1093">
            <v>25998.76</v>
          </cell>
          <cell r="R1093">
            <v>-522</v>
          </cell>
        </row>
        <row r="1094">
          <cell r="A1094" t="str">
            <v>800628</v>
          </cell>
          <cell r="B1094" t="str">
            <v>LDC 2</v>
          </cell>
          <cell r="C1094" t="str">
            <v>02 - Cast Iron AOR Replacement</v>
          </cell>
          <cell r="D1094" t="str">
            <v>yes</v>
          </cell>
          <cell r="F1094" t="str">
            <v>F0599</v>
          </cell>
          <cell r="G1094" t="str">
            <v>Main Replacement - ISRS (N)</v>
          </cell>
          <cell r="H1094" t="str">
            <v>Repl 40F 4P AOR 6634 Broadmoor</v>
          </cell>
          <cell r="I1094" t="str">
            <v>in service</v>
          </cell>
          <cell r="J1094" t="str">
            <v>Install ~40 ft of 4 in PL LP main due to angle of repose at 6634 Broadmoor.  Abandon ~40 ft of 4 in CI LP main at above address.  Total Service Tie-over = 0.</v>
          </cell>
          <cell r="K1094" t="str">
            <v>This main is being abandoned at part of FY16 Cast Iron Replacement Program.  This has a compliance date of 10-28-2016.</v>
          </cell>
          <cell r="L1094">
            <v>42658</v>
          </cell>
          <cell r="O1094">
            <v>42736</v>
          </cell>
          <cell r="P1094" t="str">
            <v>0401-043050  JACKSON CTY/KC</v>
          </cell>
          <cell r="Q1094">
            <v>13008.94</v>
          </cell>
          <cell r="R1094">
            <v>-528</v>
          </cell>
        </row>
        <row r="1095">
          <cell r="A1095" t="str">
            <v>800385</v>
          </cell>
          <cell r="B1095" t="str">
            <v>LDC 2</v>
          </cell>
          <cell r="C1095" t="str">
            <v>04 - Main Rehabilitation (Cast Iron)</v>
          </cell>
          <cell r="D1095" t="str">
            <v>yes</v>
          </cell>
          <cell r="F1095" t="str">
            <v>F0547</v>
          </cell>
          <cell r="G1095" t="str">
            <v>Street &amp; Highway Relocates ISRS (N)</v>
          </cell>
          <cell r="H1095" t="str">
            <v>Rel w/ 2320F 2P 22nd&amp;23rd St-Wabash</v>
          </cell>
          <cell r="I1095" t="str">
            <v>in service</v>
          </cell>
          <cell r="J1095" t="str">
            <v>Install 2320 ft of 2 in MP PE main, 886 ft of 4 in MP PE main and 1872 ft of 6 in MP PE main. Abandon 721 ft of 12 in MP CI main, 30 ft of 8 in LP CI main, 2858 ft of 6 in LP CI main, 807 ft of 4 in LP CI.</v>
          </cell>
          <cell r="L1095">
            <v>42669</v>
          </cell>
          <cell r="O1095">
            <v>42644</v>
          </cell>
          <cell r="P1095" t="str">
            <v>0401-043050  JACKSON CTY/KC</v>
          </cell>
          <cell r="Q1095">
            <v>501199.75</v>
          </cell>
          <cell r="R1095">
            <v>-2755</v>
          </cell>
        </row>
        <row r="1096">
          <cell r="A1096" t="str">
            <v>011301</v>
          </cell>
          <cell r="B1096" t="str">
            <v>LDC 2</v>
          </cell>
          <cell r="D1096" t="str">
            <v>no</v>
          </cell>
          <cell r="F1096" t="str">
            <v>F0639</v>
          </cell>
          <cell r="G1096" t="str">
            <v>EGM Equip-1st Time Installation</v>
          </cell>
          <cell r="H1096" t="str">
            <v>EGM Replace- KCPL Hawthorne Plant</v>
          </cell>
          <cell r="I1096" t="str">
            <v>open</v>
          </cell>
          <cell r="J1096" t="str">
            <v>Replace ECAT for KCPL Hawthorne Plant Unit #9 on Hawthorne Rd with Mini AT PT to monitor daily gas usage. Retire existing EGM equipment which was damaged beyond repair.</v>
          </cell>
          <cell r="K1096" t="str">
            <v>Retire asset id 1096959 - AMM
Per Matt Taylor 5-19-16</v>
          </cell>
          <cell r="P1096" t="str">
            <v>0401-043050  JACKSON CTY/KC</v>
          </cell>
          <cell r="Q1096">
            <v>2085.35</v>
          </cell>
          <cell r="R1096">
            <v>1</v>
          </cell>
        </row>
        <row r="1097">
          <cell r="A1097" t="str">
            <v>010874</v>
          </cell>
          <cell r="B1097" t="str">
            <v>LDC 2</v>
          </cell>
          <cell r="D1097" t="str">
            <v>no</v>
          </cell>
          <cell r="F1097" t="str">
            <v>F1153</v>
          </cell>
          <cell r="G1097" t="str">
            <v>Power Operated Equip - MGE</v>
          </cell>
          <cell r="H1097" t="str">
            <v>Purchase (1) Welder. MGE</v>
          </cell>
          <cell r="I1097" t="str">
            <v>posted to CPR</v>
          </cell>
          <cell r="J1097" t="str">
            <v>Replace one welder that is beyond economical repair.</v>
          </cell>
          <cell r="L1097">
            <v>42521</v>
          </cell>
          <cell r="M1097">
            <v>42765</v>
          </cell>
          <cell r="N1097">
            <v>42773.437627314801</v>
          </cell>
          <cell r="O1097">
            <v>42552</v>
          </cell>
          <cell r="P1097" t="str">
            <v>0401-043050  JACKSON CTY/KC</v>
          </cell>
          <cell r="Q1097">
            <v>4788.16</v>
          </cell>
          <cell r="R1097">
            <v>1</v>
          </cell>
        </row>
        <row r="1098">
          <cell r="A1098" t="str">
            <v>800228</v>
          </cell>
          <cell r="B1098" t="str">
            <v>LDC 2</v>
          </cell>
          <cell r="C1098" t="str">
            <v>01 - Cast Iron Strategic Replacement</v>
          </cell>
          <cell r="D1098" t="str">
            <v>yes</v>
          </cell>
          <cell r="F1098" t="str">
            <v>F0599</v>
          </cell>
          <cell r="G1098" t="str">
            <v>Main Replacement - ISRS (N)</v>
          </cell>
          <cell r="H1098" t="str">
            <v>31st and College Replacement - IUI</v>
          </cell>
          <cell r="I1098" t="str">
            <v>posted to CPR</v>
          </cell>
          <cell r="J1098" t="str">
            <v>Install 449' of 4'' PE and 9' of 6" PE. Abandon 439' of 6'' CI - 31st St &amp; College Ave. This replacement is due to graphitization and compliance date is 02/10/2016.</v>
          </cell>
          <cell r="L1098">
            <v>42419</v>
          </cell>
          <cell r="M1098">
            <v>42704</v>
          </cell>
          <cell r="N1098">
            <v>42773.438819444404</v>
          </cell>
          <cell r="O1098">
            <v>42401</v>
          </cell>
          <cell r="P1098" t="str">
            <v>0401-043050  JACKSON CTY/KC</v>
          </cell>
          <cell r="Q1098">
            <v>73898.25</v>
          </cell>
          <cell r="R1098">
            <v>-491.24</v>
          </cell>
        </row>
        <row r="1099">
          <cell r="A1099" t="str">
            <v>800196</v>
          </cell>
          <cell r="B1099" t="str">
            <v>LDC 2</v>
          </cell>
          <cell r="C1099" t="str">
            <v>02 - Cast Iron AOR Replacement</v>
          </cell>
          <cell r="D1099" t="str">
            <v>yes</v>
          </cell>
          <cell r="F1099" t="str">
            <v>F0599</v>
          </cell>
          <cell r="G1099" t="str">
            <v>Main Replacement - ISRS (N)</v>
          </cell>
          <cell r="H1099" t="str">
            <v>AOR - 2939 Brooklyn Ave</v>
          </cell>
          <cell r="I1099" t="str">
            <v>completed</v>
          </cell>
          <cell r="J1099" t="str">
            <v>Replace 45' of 6'' CI with 50' of 6'' PE due to AOR. Due 11/28</v>
          </cell>
          <cell r="L1099">
            <v>42551</v>
          </cell>
          <cell r="M1099">
            <v>42704</v>
          </cell>
          <cell r="O1099">
            <v>42522</v>
          </cell>
          <cell r="P1099" t="str">
            <v>0401-043050  JACKSON CTY/KC</v>
          </cell>
          <cell r="Q1099">
            <v>36804.800000000003</v>
          </cell>
          <cell r="R1099">
            <v>292</v>
          </cell>
        </row>
        <row r="1100">
          <cell r="A1100" t="str">
            <v>007967</v>
          </cell>
          <cell r="B1100" t="str">
            <v>LDC 2</v>
          </cell>
          <cell r="D1100" t="str">
            <v>no</v>
          </cell>
          <cell r="E1100" t="str">
            <v>20401155258</v>
          </cell>
          <cell r="F1100" t="str">
            <v>F0663</v>
          </cell>
          <cell r="G1100" t="str">
            <v>Replace bare steel main - safety re</v>
          </cell>
          <cell r="H1100" t="str">
            <v>4in Bare Steel Abandonment</v>
          </cell>
          <cell r="I1100" t="str">
            <v>posted to CPR</v>
          </cell>
          <cell r="J1100" t="str">
            <v>4in Bare Steel Abandonment: Kansas City-Jackson: Replace Bare Steel Main - 3760 Safety Related (34-394)</v>
          </cell>
          <cell r="K1100" t="str">
            <v>Approved by: Ray Wilson on 03/27/2015,  Abandon 248' of 4" Bare Steel and 2' of 4" Cast Iron gas main due to leaks. Main is no longer needed. ISRS</v>
          </cell>
          <cell r="L1100">
            <v>41890</v>
          </cell>
          <cell r="M1100">
            <v>42522</v>
          </cell>
          <cell r="N1100">
            <v>42586.569363425901</v>
          </cell>
          <cell r="O1100">
            <v>42552</v>
          </cell>
          <cell r="P1100" t="str">
            <v>0401-043050  JACKSON CTY/KC</v>
          </cell>
          <cell r="Q1100">
            <v>1285.95</v>
          </cell>
          <cell r="R1100">
            <v>246</v>
          </cell>
        </row>
        <row r="1101">
          <cell r="A1101" t="str">
            <v>007158</v>
          </cell>
          <cell r="B1101" t="str">
            <v>LDC 2</v>
          </cell>
          <cell r="D1101" t="str">
            <v>no</v>
          </cell>
          <cell r="E1101" t="str">
            <v>20401143996</v>
          </cell>
          <cell r="F1101" t="str">
            <v>F0670</v>
          </cell>
          <cell r="G1101" t="str">
            <v>Tools, Instruments &amp; Equipment (N)</v>
          </cell>
          <cell r="H1101" t="str">
            <v>Tools- Assorted</v>
          </cell>
          <cell r="I1101" t="str">
            <v>posted to CPR</v>
          </cell>
          <cell r="J1101" t="str">
            <v>Tools- Assorted: Kansas City-Jackson: Purchase Tools, Instruments &amp; Equipment  3940 (37-366)</v>
          </cell>
          <cell r="K1101" t="str">
            <v>Approved by: Gary Williams on 12/15/2014,  This is not a replacement.  Purchase is for new crew truck</v>
          </cell>
          <cell r="L1101">
            <v>42017</v>
          </cell>
          <cell r="M1101">
            <v>42035</v>
          </cell>
          <cell r="N1101">
            <v>42044.360370370399</v>
          </cell>
          <cell r="O1101">
            <v>42005</v>
          </cell>
          <cell r="P1101" t="str">
            <v>0401-043050  JACKSON CTY/KC</v>
          </cell>
          <cell r="Q1101">
            <v>11364.26</v>
          </cell>
          <cell r="R1101">
            <v>31</v>
          </cell>
        </row>
        <row r="1102">
          <cell r="A1102" t="str">
            <v>006920</v>
          </cell>
          <cell r="B1102" t="str">
            <v>LDC 2</v>
          </cell>
          <cell r="D1102" t="str">
            <v>no</v>
          </cell>
          <cell r="E1102" t="str">
            <v>20401143956</v>
          </cell>
          <cell r="F1102" t="str">
            <v>F0665</v>
          </cell>
          <cell r="G1102" t="str">
            <v>Replace steel &amp; plastic main</v>
          </cell>
          <cell r="H1102" t="str">
            <v>Install Remote Inlet Valve at DRS 4</v>
          </cell>
          <cell r="I1102" t="str">
            <v>posted to CPR</v>
          </cell>
          <cell r="J1102" t="str">
            <v>Install Remote Inlet Valve at DRS 487: Kansas City-Jackson: Replace Coated Steel &amp; Plastic Main - 3760 (34-396)</v>
          </cell>
          <cell r="K1102" t="str">
            <v>Approved by: Kevin Driskell on 11/10/2014,  Install 10'' Remote Inlet Valve a minimum of 25' from DR 487. Pressure System C-100 KCLS. 10" valve non stock item located in Lee's Summit Warehouse - N/C per Alan Rumbo.</v>
          </cell>
          <cell r="L1102">
            <v>42059</v>
          </cell>
          <cell r="M1102">
            <v>42460</v>
          </cell>
          <cell r="N1102">
            <v>42557.552361111098</v>
          </cell>
          <cell r="O1102">
            <v>42095</v>
          </cell>
          <cell r="P1102" t="str">
            <v>0401-043050  JACKSON CTY/KC</v>
          </cell>
          <cell r="Q1102">
            <v>3914.88</v>
          </cell>
          <cell r="R1102">
            <v>-7.75</v>
          </cell>
        </row>
        <row r="1103">
          <cell r="A1103" t="str">
            <v>006918</v>
          </cell>
          <cell r="B1103" t="str">
            <v>LDC 2</v>
          </cell>
          <cell r="D1103" t="str">
            <v>yes</v>
          </cell>
          <cell r="E1103" t="str">
            <v>20401143849</v>
          </cell>
          <cell r="F1103" t="str">
            <v>F0599</v>
          </cell>
          <cell r="G1103" t="str">
            <v>Main Replacement - ISRS (N)</v>
          </cell>
          <cell r="H1103" t="str">
            <v>AOR Replace CI w/ 1,530ft-4in PE</v>
          </cell>
          <cell r="I1103" t="str">
            <v>posted to CPR</v>
          </cell>
          <cell r="J1103" t="str">
            <v>AOR Replace CI w/ 1,530ft-4in PE: Kansas City-Jackson: Replace Cast Iron Main - 3760 Safety Related (34-412)</v>
          </cell>
          <cell r="K1103" t="str">
            <v>Approved by: Steve Holcomb on 11/12/2014,  AOR.  Replace 6" and 4" CI with 1,530ft-4" PE due to angle of repose.  AOR occurred at 42' NNCB of 26th and 11' WWCB of Colorado/Van Brunt.  Cast iron is in angle of repose due to parallel excavation.  This work order must be completed by Jan. 2, 2015.  This will take care of CI breaks 12-1005 and 12-1010.  Tie over 27 services.  Replace 9 services. Estimate = $47.22 per foot. ISRS.</v>
          </cell>
          <cell r="L1103">
            <v>41995</v>
          </cell>
          <cell r="M1103">
            <v>41670</v>
          </cell>
          <cell r="N1103">
            <v>42071.592199074097</v>
          </cell>
          <cell r="O1103">
            <v>42005</v>
          </cell>
          <cell r="P1103" t="str">
            <v>0401-043050  JACKSON CTY/KC</v>
          </cell>
          <cell r="Q1103">
            <v>21600.71</v>
          </cell>
          <cell r="R1103">
            <v>-2006</v>
          </cell>
        </row>
        <row r="1104">
          <cell r="A1104" t="str">
            <v>006830</v>
          </cell>
          <cell r="B1104" t="str">
            <v>LDC 2</v>
          </cell>
          <cell r="D1104" t="str">
            <v>no</v>
          </cell>
          <cell r="E1104" t="str">
            <v>20401143659</v>
          </cell>
          <cell r="F1104" t="str">
            <v>F0660</v>
          </cell>
          <cell r="G1104" t="str">
            <v>Meter &amp; Reg Settings 2" &amp; Lg (N)</v>
          </cell>
          <cell r="H1104" t="str">
            <v>Moly-Cop 38M Roots Mtr Setting</v>
          </cell>
          <cell r="I1104" t="str">
            <v>in service</v>
          </cell>
          <cell r="J1104" t="str">
            <v>Moly-Cop 38M Roots Mtr Setting: Kansas City-Jackson: New Meter &amp; Reg Settings - 2in &amp; Larger 3820/3830 (33-382)</v>
          </cell>
          <cell r="K1104" t="str">
            <v>Approved by: Rob Kitterman on 11/04/2014,  This work is necessary to install a 38M roots meter to serve one new customer. Connected load is 148,000cfh.</v>
          </cell>
          <cell r="L1104">
            <v>42038</v>
          </cell>
          <cell r="P1104" t="str">
            <v>0401-043050  JACKSON CTY/KC</v>
          </cell>
          <cell r="Q1104">
            <v>0</v>
          </cell>
          <cell r="R1104">
            <v>0</v>
          </cell>
        </row>
        <row r="1105">
          <cell r="A1105" t="str">
            <v>006662</v>
          </cell>
          <cell r="B1105" t="str">
            <v>LDC 2</v>
          </cell>
          <cell r="D1105" t="str">
            <v>no</v>
          </cell>
          <cell r="E1105" t="str">
            <v>20401143650</v>
          </cell>
          <cell r="F1105" t="str">
            <v>F0658</v>
          </cell>
          <cell r="G1105" t="str">
            <v>Services -  2" &amp; larger</v>
          </cell>
          <cell r="H1105" t="str">
            <v>Moly-Cop Service line</v>
          </cell>
          <cell r="I1105" t="str">
            <v>posted to CPR</v>
          </cell>
          <cell r="J1105" t="str">
            <v>Moly-Cop Service line: Kansas City-Jackson: New Services 2in &amp; Larger  3800 (33-381)</v>
          </cell>
          <cell r="K1105" t="str">
            <v>Approved by: Kevin Driskell on 10/09/2014,  Moly-Cop Service line. Main WO - 14-3416.  8116 Wilson Rd.</v>
          </cell>
          <cell r="L1105">
            <v>41947</v>
          </cell>
          <cell r="M1105">
            <v>42248</v>
          </cell>
          <cell r="N1105">
            <v>42270.522164351903</v>
          </cell>
          <cell r="O1105">
            <v>41944</v>
          </cell>
          <cell r="P1105" t="str">
            <v>0401-043050  JACKSON CTY/KC</v>
          </cell>
          <cell r="Q1105">
            <v>17625.28</v>
          </cell>
          <cell r="R1105">
            <v>-283</v>
          </cell>
        </row>
        <row r="1106">
          <cell r="A1106" t="str">
            <v>006434</v>
          </cell>
          <cell r="B1106" t="str">
            <v>LDC 2</v>
          </cell>
          <cell r="D1106" t="str">
            <v>no</v>
          </cell>
          <cell r="E1106" t="str">
            <v>20401143767</v>
          </cell>
          <cell r="F1106" t="str">
            <v>F0587</v>
          </cell>
          <cell r="G1106" t="str">
            <v>Services - 2" &amp; larger</v>
          </cell>
          <cell r="H1106" t="str">
            <v>3in Service Abandonment</v>
          </cell>
          <cell r="I1106" t="str">
            <v>posted to CPR</v>
          </cell>
          <cell r="J1106" t="str">
            <v>3in Service Abandonment: Kansas City-Jackson: Replace Services 2&amp;quot; &amp; Larger - 3800 (42-385)</v>
          </cell>
          <cell r="K1106" t="str">
            <v>Approved by: Kevin Driskell on 09/16/2014,  Abandonment of 3'' BS service at 3101 Peery Ave with no replacement.</v>
          </cell>
          <cell r="L1106">
            <v>41874</v>
          </cell>
          <cell r="M1106">
            <v>41912</v>
          </cell>
          <cell r="N1106">
            <v>42012.721979166701</v>
          </cell>
          <cell r="O1106">
            <v>42036</v>
          </cell>
          <cell r="P1106" t="str">
            <v>0401-043050  JACKSON CTY/KC</v>
          </cell>
          <cell r="Q1106">
            <v>2229</v>
          </cell>
          <cell r="R1106">
            <v>12</v>
          </cell>
        </row>
        <row r="1107">
          <cell r="A1107" t="str">
            <v>006353</v>
          </cell>
          <cell r="B1107" t="str">
            <v>LDC 2</v>
          </cell>
          <cell r="D1107" t="str">
            <v>no</v>
          </cell>
          <cell r="E1107" t="str">
            <v>20401143781</v>
          </cell>
          <cell r="F1107" t="str">
            <v>F0670</v>
          </cell>
          <cell r="G1107" t="str">
            <v>Tools, Instruments &amp; Equipment (N)</v>
          </cell>
          <cell r="H1107" t="str">
            <v>Reciprocating Air Saw Hammer Rotary</v>
          </cell>
          <cell r="I1107" t="str">
            <v>posted to CPR</v>
          </cell>
          <cell r="J1107" t="str">
            <v>Reciprocating Air Saw Hammer Rotary Hammer: Kansas City-Jackson: Purchase Tools, Instruments &amp; Equipment  3940 (37-366)</v>
          </cell>
          <cell r="K1107" t="str">
            <v>Approved by: Gary Williams on 09/08/2014,  Tools for new feild base work force(stationary crew). These are not replacement tools.</v>
          </cell>
          <cell r="L1107">
            <v>41913</v>
          </cell>
          <cell r="M1107">
            <v>42004</v>
          </cell>
          <cell r="N1107">
            <v>42013.449687499997</v>
          </cell>
          <cell r="O1107">
            <v>41974</v>
          </cell>
          <cell r="P1107" t="str">
            <v>0401-043050  JACKSON CTY/KC</v>
          </cell>
          <cell r="Q1107">
            <v>1733.3</v>
          </cell>
          <cell r="R1107">
            <v>3</v>
          </cell>
        </row>
        <row r="1108">
          <cell r="A1108" t="str">
            <v>004159</v>
          </cell>
          <cell r="B1108" t="str">
            <v>LDC 2</v>
          </cell>
          <cell r="D1108" t="str">
            <v>no</v>
          </cell>
          <cell r="E1108" t="str">
            <v>20401050308</v>
          </cell>
          <cell r="F1108" t="str">
            <v>F0540</v>
          </cell>
          <cell r="G1108" t="str">
            <v>BWO Mtr/Reg Repl - Non ISRS (N)</v>
          </cell>
          <cell r="H1108" t="str">
            <v>BWO-Repl Mtr Sets (Non SLRP)-North</v>
          </cell>
          <cell r="I1108" t="str">
            <v>open</v>
          </cell>
          <cell r="J1108" t="str">
            <v>BWO-Replace Meter Sets Under 2 inch (Non-SLRP Related) - North Region</v>
          </cell>
          <cell r="O1108">
            <v>41730</v>
          </cell>
          <cell r="P1108" t="str">
            <v>0401-043050  JACKSON CTY/KC</v>
          </cell>
          <cell r="Q1108">
            <v>4944593.66</v>
          </cell>
          <cell r="R1108">
            <v>692256.24</v>
          </cell>
        </row>
        <row r="1109">
          <cell r="A1109" t="str">
            <v>004669</v>
          </cell>
          <cell r="B1109" t="str">
            <v>LDC 2</v>
          </cell>
          <cell r="D1109" t="str">
            <v>yes</v>
          </cell>
          <cell r="E1109" t="str">
            <v>20401132883</v>
          </cell>
          <cell r="F1109" t="str">
            <v>F0665</v>
          </cell>
          <cell r="G1109" t="str">
            <v>Replace steel &amp; plastic main</v>
          </cell>
          <cell r="H1109" t="str">
            <v>84th &amp; Hillcrest Repl PCS w 1235'-2</v>
          </cell>
          <cell r="I1109" t="str">
            <v>posted to CPR</v>
          </cell>
          <cell r="J1109" t="str">
            <v>84th &amp; Hillcrest Repl PCS w 1235'-2in PE main: Kansas City-Jackson: 84th St and Hillcrest Rd</v>
          </cell>
          <cell r="K1109" t="str">
            <v>Approved by: Gary Williams on 10/31/2013,  5/5/3 Replace 1235' of 2'' PCS main with 1235' of 2" PE main due to leaks and pipe condition. Original WO# 75-2872.</v>
          </cell>
          <cell r="L1109">
            <v>41614</v>
          </cell>
          <cell r="M1109">
            <v>41697</v>
          </cell>
          <cell r="N1109">
            <v>41698.505219907398</v>
          </cell>
          <cell r="O1109">
            <v>41730</v>
          </cell>
          <cell r="P1109" t="str">
            <v>0401-043050  JACKSON CTY/KC</v>
          </cell>
          <cell r="Q1109">
            <v>25855.37</v>
          </cell>
          <cell r="R1109">
            <v>3970</v>
          </cell>
        </row>
        <row r="1110">
          <cell r="A1110" t="str">
            <v>004196</v>
          </cell>
          <cell r="B1110" t="str">
            <v>LDC 2</v>
          </cell>
          <cell r="D1110" t="str">
            <v>no</v>
          </cell>
          <cell r="E1110" t="str">
            <v>20401143277</v>
          </cell>
          <cell r="F1110" t="str">
            <v>F0587</v>
          </cell>
          <cell r="G1110" t="str">
            <v>Services - 2" &amp; larger</v>
          </cell>
          <cell r="H1110" t="str">
            <v>AMBASSADOR CO REPL 2IN SERVICE LINE</v>
          </cell>
          <cell r="I1110" t="str">
            <v>posted to CPR</v>
          </cell>
          <cell r="J1110" t="str">
            <v>AMBASSADOR CO REPL 2IN SERVICE LINE: Kansas City-Jackson: 2856 GUINOTTE AVE</v>
          </cell>
          <cell r="K1110" t="str">
            <v>Approved by: Kevin Driskell on 01/13/2014,  REPLACE 210FT-1 1/4IN SERVICE LINE WITH 210FT-2IN (WO#14-3277)TIE-IN 6IN CS(WO#73-7282). COMMERCIAL CUSTOMER ADDING A BOILER (2,600 CFH)LOAD. ECONOMIC EVALUATION WILL COVER $5,308.00 CUSTOMER WILL NEED TO PAY $7,909.00 BEFORE START OF PROJECT.</v>
          </cell>
          <cell r="L1110">
            <v>41673</v>
          </cell>
          <cell r="M1110">
            <v>41729</v>
          </cell>
          <cell r="N1110">
            <v>41733.495590277802</v>
          </cell>
          <cell r="O1110">
            <v>41760</v>
          </cell>
          <cell r="P1110" t="str">
            <v>0401-043050  JACKSON CTY/KC</v>
          </cell>
          <cell r="Q1110">
            <v>6834.89</v>
          </cell>
          <cell r="R1110">
            <v>764</v>
          </cell>
        </row>
        <row r="1111">
          <cell r="A1111" t="str">
            <v>003850</v>
          </cell>
          <cell r="B1111" t="str">
            <v>LDC 2</v>
          </cell>
          <cell r="D1111" t="str">
            <v>no</v>
          </cell>
          <cell r="E1111" t="str">
            <v>20401132536</v>
          </cell>
          <cell r="F1111" t="str">
            <v>F0588</v>
          </cell>
          <cell r="G1111" t="str">
            <v>Transportation &amp; power operated equ</v>
          </cell>
          <cell r="H1111" t="str">
            <v>Pur 2013 Ford Pickup 6cyl</v>
          </cell>
          <cell r="I1111" t="str">
            <v>posted to CPR</v>
          </cell>
          <cell r="J1111" t="str">
            <v>Pur 2013 Ford Pickup 6cyl: Kansas City CORP: Central</v>
          </cell>
          <cell r="K1111" t="str">
            <v>Approved by: Ken Thomas on 04/08/2013,  Purchase 2013 Ford 1/2 ton pickup with Upfit for Central FOP.</v>
          </cell>
          <cell r="L1111">
            <v>41425</v>
          </cell>
          <cell r="M1111">
            <v>41529</v>
          </cell>
          <cell r="N1111">
            <v>41603.3847453704</v>
          </cell>
          <cell r="P1111" t="str">
            <v>0401-043050  JACKSON CTY/KC</v>
          </cell>
          <cell r="Q1111">
            <v>23541</v>
          </cell>
          <cell r="R1111">
            <v>0</v>
          </cell>
        </row>
        <row r="1112">
          <cell r="A1112" t="str">
            <v>003788</v>
          </cell>
          <cell r="B1112" t="str">
            <v>LDC 2</v>
          </cell>
          <cell r="D1112" t="str">
            <v>yes</v>
          </cell>
          <cell r="E1112" t="str">
            <v>20401133249</v>
          </cell>
          <cell r="F1112" t="str">
            <v>F0613</v>
          </cell>
          <cell r="G1112" t="str">
            <v>Replace bare steel main - safety re</v>
          </cell>
          <cell r="H1112" t="str">
            <v>Cypress &amp; E 43rd Repl Cooper w 45'-</v>
          </cell>
          <cell r="I1112" t="str">
            <v>posted to CPR</v>
          </cell>
          <cell r="J1112" t="str">
            <v>Cypress &amp; E 43rd Repl Cooper w 45'-2;10'-3in CS: Kansas City-Jackson: Cypress and E 43rd St</v>
          </cell>
          <cell r="K1112" t="str">
            <v>Approved by: Kevin Driskell on 12/31/2013,  ISRS To replace 24ft of 1.5" CU main at Cypress and E 43rd St. Main is on the C-009 pressure system with a MOP=15psig and a MAOP=16psig. See attached sheet for the work order numbers, length, size and type of main to be abandoned.</v>
          </cell>
          <cell r="L1112">
            <v>41709</v>
          </cell>
          <cell r="M1112">
            <v>41820</v>
          </cell>
          <cell r="N1112">
            <v>41919.557835648098</v>
          </cell>
          <cell r="O1112">
            <v>41730</v>
          </cell>
          <cell r="P1112" t="str">
            <v>0401-043050  JACKSON CTY/KC</v>
          </cell>
          <cell r="Q1112">
            <v>36922.44</v>
          </cell>
          <cell r="R1112">
            <v>173.5</v>
          </cell>
        </row>
        <row r="1113">
          <cell r="A1113" t="str">
            <v>005693</v>
          </cell>
          <cell r="B1113" t="str">
            <v>LDC 2</v>
          </cell>
          <cell r="D1113" t="str">
            <v>no</v>
          </cell>
          <cell r="F1113" t="str">
            <v>F0495</v>
          </cell>
          <cell r="G1113" t="str">
            <v>General structures</v>
          </cell>
          <cell r="H1113" t="str">
            <v>Security Cameras - Central</v>
          </cell>
          <cell r="I1113" t="str">
            <v>posted to CPR</v>
          </cell>
          <cell r="J1113" t="str">
            <v>Install Genetec 4TB archiver system.</v>
          </cell>
          <cell r="K1113" t="str">
            <v>Complete per Al Moore 9-18-14 - AMM</v>
          </cell>
          <cell r="L1113">
            <v>41900</v>
          </cell>
          <cell r="M1113">
            <v>42156</v>
          </cell>
          <cell r="N1113">
            <v>42223.566006944398</v>
          </cell>
          <cell r="O1113">
            <v>41883</v>
          </cell>
          <cell r="P1113" t="str">
            <v>0401-020036  CLAY CTY/KANSAS CITY</v>
          </cell>
          <cell r="Q1113">
            <v>33419.760000000002</v>
          </cell>
          <cell r="R1113">
            <v>21882</v>
          </cell>
        </row>
        <row r="1114">
          <cell r="A1114" t="str">
            <v>004756</v>
          </cell>
          <cell r="B1114" t="str">
            <v>LDC 2</v>
          </cell>
          <cell r="D1114" t="str">
            <v>no</v>
          </cell>
          <cell r="E1114" t="str">
            <v>28930300000</v>
          </cell>
          <cell r="F1114" t="str">
            <v>F0712</v>
          </cell>
          <cell r="G1114" t="str">
            <v>Maintenance of Meters MGE</v>
          </cell>
          <cell r="H1114" t="str">
            <v>Lrg Mtr Income &amp; 4PT Test MGE</v>
          </cell>
          <cell r="I1114" t="str">
            <v>open</v>
          </cell>
          <cell r="J1114" t="str">
            <v>Lrg Mtr Income &amp; 4PT Test MGE</v>
          </cell>
          <cell r="P1114" t="str">
            <v>Expense Only</v>
          </cell>
          <cell r="Q1114">
            <v>16826.830000000002</v>
          </cell>
          <cell r="R1114">
            <v>256.95</v>
          </cell>
        </row>
        <row r="1115">
          <cell r="A1115" t="str">
            <v>004754</v>
          </cell>
          <cell r="B1115" t="str">
            <v>LDC 2</v>
          </cell>
          <cell r="D1115" t="str">
            <v>no</v>
          </cell>
          <cell r="E1115" t="str">
            <v>28930000000</v>
          </cell>
          <cell r="F1115" t="str">
            <v>F0712</v>
          </cell>
          <cell r="G1115" t="str">
            <v>Maintenance of Meters MGE</v>
          </cell>
          <cell r="H1115" t="str">
            <v>Maintenance of Meters MGE</v>
          </cell>
          <cell r="I1115" t="str">
            <v>open</v>
          </cell>
          <cell r="J1115" t="str">
            <v>Maintenance of Meters MGE</v>
          </cell>
          <cell r="P1115" t="str">
            <v>Expense Only</v>
          </cell>
          <cell r="Q1115">
            <v>1197256.25</v>
          </cell>
          <cell r="R1115">
            <v>96521.223299999998</v>
          </cell>
        </row>
        <row r="1116">
          <cell r="A1116" t="str">
            <v>004737</v>
          </cell>
          <cell r="B1116" t="str">
            <v>LDC 2</v>
          </cell>
          <cell r="D1116" t="str">
            <v>no</v>
          </cell>
          <cell r="E1116" t="str">
            <v>28870120000</v>
          </cell>
          <cell r="F1116" t="str">
            <v>F0700</v>
          </cell>
          <cell r="G1116" t="str">
            <v>Maintenance of Mains - MGE</v>
          </cell>
          <cell r="H1116" t="str">
            <v>Repair Down Corrosion Prj MGE</v>
          </cell>
          <cell r="I1116" t="str">
            <v>open</v>
          </cell>
          <cell r="J1116" t="str">
            <v>Repair Down Corrosion Prj MGE</v>
          </cell>
          <cell r="P1116" t="str">
            <v>Expense Only</v>
          </cell>
          <cell r="Q1116">
            <v>1251769.9099999999</v>
          </cell>
          <cell r="R1116">
            <v>705587.75</v>
          </cell>
        </row>
        <row r="1117">
          <cell r="A1117" t="str">
            <v>004722</v>
          </cell>
          <cell r="B1117" t="str">
            <v>LDC 2</v>
          </cell>
          <cell r="D1117" t="str">
            <v>no</v>
          </cell>
          <cell r="E1117" t="str">
            <v>28790000000</v>
          </cell>
          <cell r="F1117" t="str">
            <v>F0703</v>
          </cell>
          <cell r="G1117" t="str">
            <v>Customer Service Work MGE</v>
          </cell>
          <cell r="H1117" t="str">
            <v>Customer Service Work MGE</v>
          </cell>
          <cell r="I1117" t="str">
            <v>open</v>
          </cell>
          <cell r="J1117" t="str">
            <v>Customer Service Work MGE</v>
          </cell>
          <cell r="P1117" t="str">
            <v>Expense Only</v>
          </cell>
          <cell r="Q1117">
            <v>54282.23</v>
          </cell>
          <cell r="R1117">
            <v>-16.57</v>
          </cell>
        </row>
        <row r="1118">
          <cell r="A1118" t="str">
            <v>004719</v>
          </cell>
          <cell r="B1118" t="str">
            <v>LDC 2</v>
          </cell>
          <cell r="D1118" t="str">
            <v>no</v>
          </cell>
          <cell r="E1118" t="str">
            <v>28780200000</v>
          </cell>
          <cell r="F1118" t="str">
            <v>F0702</v>
          </cell>
          <cell r="G1118" t="str">
            <v>Meter &amp; House Reg Work MGE</v>
          </cell>
          <cell r="H1118" t="str">
            <v>Chg out Meter for Testing MGE</v>
          </cell>
          <cell r="I1118" t="str">
            <v>open</v>
          </cell>
          <cell r="J1118" t="str">
            <v>Chg out Meter for Testing MGE</v>
          </cell>
          <cell r="P1118" t="str">
            <v>Expense Only</v>
          </cell>
          <cell r="Q1118">
            <v>2883195.71</v>
          </cell>
          <cell r="R1118">
            <v>31962.949700000001</v>
          </cell>
        </row>
        <row r="1119">
          <cell r="A1119" t="str">
            <v>004689</v>
          </cell>
          <cell r="B1119" t="str">
            <v>LDC 2</v>
          </cell>
          <cell r="D1119" t="str">
            <v>no</v>
          </cell>
          <cell r="E1119" t="str">
            <v>21841102000</v>
          </cell>
          <cell r="F1119" t="str">
            <v>F0732</v>
          </cell>
          <cell r="G1119" t="str">
            <v>Transportation &amp; Eq Clrg MGE</v>
          </cell>
          <cell r="H1119" t="str">
            <v>Fleet Clrg - 21841102000 MGE</v>
          </cell>
          <cell r="I1119" t="str">
            <v>open</v>
          </cell>
          <cell r="J1119" t="str">
            <v>Fleet Clrg - 21841102000 MGE</v>
          </cell>
          <cell r="P1119" t="str">
            <v>Expense Only</v>
          </cell>
          <cell r="Q1119">
            <v>260721.8</v>
          </cell>
          <cell r="R1119">
            <v>19190</v>
          </cell>
        </row>
        <row r="1120">
          <cell r="A1120" t="str">
            <v>004838</v>
          </cell>
          <cell r="B1120" t="str">
            <v>LDC 2</v>
          </cell>
          <cell r="D1120" t="str">
            <v>no</v>
          </cell>
          <cell r="E1120" t="str">
            <v>29210910000</v>
          </cell>
          <cell r="F1120" t="str">
            <v>F0723</v>
          </cell>
          <cell r="G1120" t="str">
            <v>Gen Office Sup&amp; Exp MGE</v>
          </cell>
          <cell r="H1120" t="str">
            <v>Comm/Phone 292109100 MGE</v>
          </cell>
          <cell r="I1120" t="str">
            <v>open</v>
          </cell>
          <cell r="J1120" t="str">
            <v>Comm/Phone 292109100 MGE</v>
          </cell>
          <cell r="P1120" t="str">
            <v>Expense Only</v>
          </cell>
          <cell r="Q1120">
            <v>505314.46</v>
          </cell>
          <cell r="R1120">
            <v>0</v>
          </cell>
        </row>
        <row r="1121">
          <cell r="A1121" t="str">
            <v>800235</v>
          </cell>
          <cell r="B1121" t="str">
            <v>LDC 2</v>
          </cell>
          <cell r="C1121" t="str">
            <v>03 - Bare Steel Replacement</v>
          </cell>
          <cell r="D1121" t="str">
            <v>yes</v>
          </cell>
          <cell r="F1121" t="str">
            <v>F0572</v>
          </cell>
          <cell r="G1121" t="str">
            <v>Main Replacement - ISRS (SW)</v>
          </cell>
          <cell r="H1121" t="str">
            <v>CP15-042 and Bare Steel 4" Main Rep</v>
          </cell>
          <cell r="I1121" t="str">
            <v>in service</v>
          </cell>
          <cell r="J1121" t="str">
            <v>Replace 1598ft 4in PBS  &amp; 124ft 4in PE with 1895ft 4in PE from 18th to 23rd along Conner Ave due to CP issues (CP 15-042).</v>
          </cell>
          <cell r="K1121" t="str">
            <v>Segment of System C-002 will be Uprated to System C-1 as part of this replacement.  Project Location: Connor Ave between 18th St &amp; 23st St. System: C-2. MOP: 1.5 PSIG. MAOP: 1.5 PSIG. Design: 66 PSIG. Test: 100 PSIG and System C-1 MOP: 58 MAOP: 58 Test: 66 Design: 100
Price Per Foot:$73.44 ($139,170.17)</v>
          </cell>
          <cell r="L1121">
            <v>42551</v>
          </cell>
          <cell r="O1121">
            <v>42522</v>
          </cell>
          <cell r="P1121" t="str">
            <v>0501-044001  JASPER CTY/JOPLIN</v>
          </cell>
          <cell r="Q1121">
            <v>292763.28000000003</v>
          </cell>
          <cell r="R1121">
            <v>41919.25</v>
          </cell>
        </row>
        <row r="1122">
          <cell r="A1122" t="str">
            <v>008272</v>
          </cell>
          <cell r="B1122" t="str">
            <v>LDC 2</v>
          </cell>
          <cell r="D1122" t="str">
            <v>no</v>
          </cell>
          <cell r="E1122" t="str">
            <v>20501155122</v>
          </cell>
          <cell r="F1122" t="str">
            <v>F0677</v>
          </cell>
          <cell r="G1122" t="str">
            <v>New business</v>
          </cell>
          <cell r="H1122" t="str">
            <v>Belle Center Gas Main Extension</v>
          </cell>
          <cell r="I1122" t="str">
            <v>posted to CPR</v>
          </cell>
          <cell r="J1122" t="str">
            <v>Belle Center Gas Main Extension: Joplin: New Main Extension - Contractor Crews  3760 (33-380)</v>
          </cell>
          <cell r="K1122" t="str">
            <v>Approved by: Michael Fornelli on 02/05/2015,  Install 625' of 4" PE for new service.  Customer will contribute $5,940.00 prior to construction.  Project Location: Belle Center Rd W of Central City Rd.  System: C-1.  MOP: 58 PSIG.  MAOP: 58 PSIG.  Design: 58 PSIG.  Test: 100 PSIG.  Price Per Foot: $45.87.
Reopened 10-19-15 per Cindy Peck - AMM</v>
          </cell>
          <cell r="L1122">
            <v>42151</v>
          </cell>
          <cell r="M1122">
            <v>42248</v>
          </cell>
          <cell r="N1122">
            <v>42284.723564814798</v>
          </cell>
          <cell r="O1122">
            <v>42125</v>
          </cell>
          <cell r="P1122" t="str">
            <v>0501-044001  JASPER CTY/JOPLIN</v>
          </cell>
          <cell r="Q1122">
            <v>35907.51</v>
          </cell>
          <cell r="R1122">
            <v>-1638.78</v>
          </cell>
        </row>
        <row r="1123">
          <cell r="A1123" t="str">
            <v>008310</v>
          </cell>
          <cell r="B1123" t="str">
            <v>LDC 2</v>
          </cell>
          <cell r="D1123" t="str">
            <v>no</v>
          </cell>
          <cell r="E1123" t="str">
            <v>20501155329</v>
          </cell>
          <cell r="F1123" t="str">
            <v>F0664</v>
          </cell>
          <cell r="G1123" t="str">
            <v>Street &amp; Hwy Relocates ISRS (SW)</v>
          </cell>
          <cell r="H1123" t="str">
            <v>Relocate 4in PE due to Storm Drain</v>
          </cell>
          <cell r="I1123" t="str">
            <v>posted to CPR</v>
          </cell>
          <cell r="J1123" t="str">
            <v>Relocate 4in PE due to Storm Drain: Joplin: Relocate for Street &amp; Highway-Public Improvements (44-388)</v>
          </cell>
          <cell r="K1123" t="str">
            <v>Approved by: Michael Fornelli on 05/04/2015,  Lower 3' of 4" PE main due to storm drain being put in.  Project Location: Davis Blvd. S of 20th St.  System: C-1.  MOP: 58 PSIG.  MAOP: 58 PSIG.  Design: 58 PSIG.  Test: 100 PSIG.</v>
          </cell>
          <cell r="L1123">
            <v>42110</v>
          </cell>
          <cell r="M1123">
            <v>42248</v>
          </cell>
          <cell r="N1123">
            <v>42284.723564814798</v>
          </cell>
          <cell r="O1123">
            <v>42186</v>
          </cell>
          <cell r="P1123" t="str">
            <v>0501-044001  JASPER CTY/JOPLIN</v>
          </cell>
          <cell r="Q1123">
            <v>11396.84</v>
          </cell>
          <cell r="R1123">
            <v>3</v>
          </cell>
        </row>
        <row r="1124">
          <cell r="A1124" t="str">
            <v>008212</v>
          </cell>
          <cell r="B1124" t="str">
            <v>LDC 2</v>
          </cell>
          <cell r="D1124" t="str">
            <v>yes</v>
          </cell>
          <cell r="E1124" t="str">
            <v>20501155263</v>
          </cell>
          <cell r="F1124" t="str">
            <v>F0575</v>
          </cell>
          <cell r="G1124" t="str">
            <v>Replace steel &amp; plastic main</v>
          </cell>
          <cell r="H1124" t="str">
            <v>Duquesne Rd 3in PCS Main Replacemen</v>
          </cell>
          <cell r="I1124" t="str">
            <v>posted to CPR</v>
          </cell>
          <cell r="J1124" t="str">
            <v>Duquesne Rd 3in PCS Main Replacement: Joplin: Replace Coated Steel &amp; Plastic Main - 3760 (34-396)</v>
          </cell>
          <cell r="K1124" t="str">
            <v>Approved by: Michael Fornelli on 04/14/2015,  Replace 691' of 3" PCS (WO's 774152 &amp; 770276) with 700' 4" PE due to CP issues (CP #14-0159). Project Location: Duquesne Rd S of Newman Rd.  System: C-100.  MOP: 30 PSIG.  MAOP: 30 PSIG.  Design: 58 PSIG.  Test: 100 PSIG.  Price Per Foot: $47.72.</v>
          </cell>
          <cell r="L1124">
            <v>42352</v>
          </cell>
          <cell r="M1124">
            <v>42429</v>
          </cell>
          <cell r="N1124">
            <v>42527.511874999997</v>
          </cell>
          <cell r="O1124">
            <v>42339</v>
          </cell>
          <cell r="P1124" t="str">
            <v>0501-044001  JASPER CTY/JOPLIN</v>
          </cell>
          <cell r="Q1124">
            <v>66945.600000000006</v>
          </cell>
          <cell r="R1124">
            <v>-2975</v>
          </cell>
        </row>
        <row r="1125">
          <cell r="A1125" t="str">
            <v>005183</v>
          </cell>
          <cell r="B1125" t="str">
            <v>LDC 2</v>
          </cell>
          <cell r="D1125" t="str">
            <v>no</v>
          </cell>
          <cell r="E1125" t="str">
            <v>20501143528</v>
          </cell>
          <cell r="F1125" t="str">
            <v>F0639</v>
          </cell>
          <cell r="G1125" t="str">
            <v>EGM Equip-1st Time Installation</v>
          </cell>
          <cell r="H1125" t="str">
            <v>EGM - Mercy Hospital LGS</v>
          </cell>
          <cell r="I1125" t="str">
            <v>in service</v>
          </cell>
          <cell r="J1125" t="str">
            <v>EGM - Mercy Hospital LGS: Joplin: Install EGM Equipment - First Time Installation  3850 (32-403)</v>
          </cell>
          <cell r="K1125" t="str">
            <v>Approved by: Rob Kitterman on 05/01/2014,  Install Mercury MiniMax-AT-T w/ Messenger Modem S/N: 13066404 on Roots 5M meter no 01216876 to monitor daily gas usage of this transportation customer. Customer will reimburse company actual cost for EGM installation not to exceed $5,445.00, which should be coded to account 1072. ATTENTION: Plant &amp; Property Accounting, EGM work order, turn off A&amp;G indicator.</v>
          </cell>
          <cell r="L1125">
            <v>42443</v>
          </cell>
          <cell r="O1125">
            <v>42430</v>
          </cell>
          <cell r="P1125" t="str">
            <v>0501-044001  JASPER CTY/JOPLIN</v>
          </cell>
          <cell r="Q1125">
            <v>2629.12</v>
          </cell>
          <cell r="R1125">
            <v>8</v>
          </cell>
        </row>
        <row r="1126">
          <cell r="A1126" t="str">
            <v>004247</v>
          </cell>
          <cell r="B1126" t="str">
            <v>LDC 2</v>
          </cell>
          <cell r="D1126" t="str">
            <v>no</v>
          </cell>
          <cell r="E1126" t="str">
            <v>20501132939</v>
          </cell>
          <cell r="F1126" t="str">
            <v>F0536</v>
          </cell>
          <cell r="G1126" t="str">
            <v>Services -  2" &amp; larger</v>
          </cell>
          <cell r="H1126" t="str">
            <v>711 Picher Install 2in PE service (</v>
          </cell>
          <cell r="I1126" t="str">
            <v>posted to CPR</v>
          </cell>
          <cell r="J1126" t="str">
            <v>711 Picher Install 2in PE service (150'): Joplin: 711 Picher Childerns Haven</v>
          </cell>
          <cell r="K1126" t="str">
            <v>Approved by: Galen Shoemaker on 09/10/2013,  Lay 150' of 2in PE service for Children's Haven.  Customer was not charged due to service is under 60' from property line to meter. Project Location: 711 Picher Ave, just south of 7th St.  Pressure System: C-2.  MOP: 1.5 PSIG.  MAOP: 1.5 PSIG.  Design: 58 PSIG.  Test: 100 PSIG</v>
          </cell>
          <cell r="L1126">
            <v>41526</v>
          </cell>
          <cell r="M1126">
            <v>41638</v>
          </cell>
          <cell r="N1126">
            <v>41643.435324074097</v>
          </cell>
          <cell r="O1126">
            <v>41730</v>
          </cell>
          <cell r="P1126" t="str">
            <v>0501-044001  JASPER CTY/JOPLIN</v>
          </cell>
          <cell r="Q1126">
            <v>4373.87</v>
          </cell>
          <cell r="R1126">
            <v>670</v>
          </cell>
        </row>
        <row r="1127">
          <cell r="A1127" t="str">
            <v>004092</v>
          </cell>
          <cell r="B1127" t="str">
            <v>LDC 2</v>
          </cell>
          <cell r="D1127" t="str">
            <v>yes</v>
          </cell>
          <cell r="E1127" t="str">
            <v>20501132992</v>
          </cell>
          <cell r="F1127" t="str">
            <v>F0575</v>
          </cell>
          <cell r="G1127" t="str">
            <v>Replace steel &amp; plastic main</v>
          </cell>
          <cell r="H1127" t="str">
            <v>2nd &amp; Walnut Abandon 110'-2in PCS m</v>
          </cell>
          <cell r="I1127" t="str">
            <v>posted to CPR</v>
          </cell>
          <cell r="J1127" t="str">
            <v>2nd &amp; Walnut Abandon 110'-2in PCS main ROW Vac: Joplin: 2nd &amp; Walnut Ave</v>
          </cell>
          <cell r="K1127" t="str">
            <v>Approved by: Galen Shoemaker on 09/25/2013,  Abandon 110' of 2in PCS due to road Right Of Way being vacated, as well as building built over existing main. There is only one service off of this main that will be rerouted.  Project Location: Walnut Ave. n of 2nd St.  Pressure System: C-2.  MOP: 1.5 PSIG.  MAOP: 1.5 PSIG.  Design: 58 PSIG.  Test: 100 PSIG.</v>
          </cell>
          <cell r="L1127">
            <v>41536</v>
          </cell>
          <cell r="M1127">
            <v>41670</v>
          </cell>
          <cell r="N1127">
            <v>41677.509861111103</v>
          </cell>
          <cell r="P1127" t="str">
            <v>0501-044001  JASPER CTY/JOPLIN</v>
          </cell>
          <cell r="Q1127">
            <v>2481.3000000000002</v>
          </cell>
          <cell r="R1127">
            <v>126</v>
          </cell>
        </row>
        <row r="1128">
          <cell r="A1128" t="str">
            <v>800265</v>
          </cell>
          <cell r="B1128" t="str">
            <v>LDC 2</v>
          </cell>
          <cell r="C1128" t="str">
            <v>03 - Bare Steel Replacement</v>
          </cell>
          <cell r="D1128" t="str">
            <v>yes</v>
          </cell>
          <cell r="F1128" t="str">
            <v>F0572</v>
          </cell>
          <cell r="G1128" t="str">
            <v>Main Replacement - ISRS (SW)</v>
          </cell>
          <cell r="H1128" t="str">
            <v>Repl w/ 4646F 2-4P Webb City Ph2D</v>
          </cell>
          <cell r="I1128" t="str">
            <v>open</v>
          </cell>
          <cell r="J1128" t="str">
            <v>Install 4255 Ft of 2 in PL IP and 391 Ft of 4 in PL IP, abandon 368 Ft of PL LP, 4873 Ft of ST LP main, and uprate 1616 Ft of PL LP to IP - Webb City Grid Replacement Ph 2D.</v>
          </cell>
          <cell r="K1128" t="str">
            <v>This main is being replaced as part of FY16 Bare Steel Replacement Program.</v>
          </cell>
          <cell r="P1128" t="str">
            <v>0502-044006  JASPER CTY/WEBB CITY</v>
          </cell>
          <cell r="Q1128">
            <v>381412.98</v>
          </cell>
          <cell r="R1128">
            <v>-16154.5</v>
          </cell>
        </row>
        <row r="1129">
          <cell r="A1129" t="str">
            <v>007186</v>
          </cell>
          <cell r="B1129" t="str">
            <v>LDC 2</v>
          </cell>
          <cell r="D1129" t="str">
            <v>yes</v>
          </cell>
          <cell r="E1129" t="str">
            <v>20502144017</v>
          </cell>
          <cell r="F1129" t="str">
            <v>F0544</v>
          </cell>
          <cell r="G1129" t="str">
            <v>Replace bare steel main - safety re</v>
          </cell>
          <cell r="H1129" t="str">
            <v>Repl w 235ft of 2in PE due to CP Je</v>
          </cell>
          <cell r="I1129" t="str">
            <v>posted to CPR</v>
          </cell>
          <cell r="J1129" t="str">
            <v>Repl w 235ft of 2in PE due to CP Jefferson: Webb City: Replace Bare Steel Main - 3760 Safety Related (34-394)</v>
          </cell>
          <cell r="K1129" t="str">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  NOTE: Reopened 1-16-17 for paving invoice per Cindy Peck - AMM</v>
          </cell>
          <cell r="L1129">
            <v>42443</v>
          </cell>
          <cell r="M1129">
            <v>42491</v>
          </cell>
          <cell r="N1129">
            <v>42587.463287036997</v>
          </cell>
          <cell r="O1129">
            <v>42461</v>
          </cell>
          <cell r="P1129" t="str">
            <v>0502-044006  JASPER CTY/WEBB CITY</v>
          </cell>
          <cell r="Q1129">
            <v>37468.06</v>
          </cell>
          <cell r="R1129">
            <v>-1062.5</v>
          </cell>
        </row>
        <row r="1130">
          <cell r="A1130" t="str">
            <v>004143</v>
          </cell>
          <cell r="B1130" t="str">
            <v>LDC 2</v>
          </cell>
          <cell r="D1130" t="str">
            <v>no</v>
          </cell>
          <cell r="E1130" t="str">
            <v>20501050309</v>
          </cell>
          <cell r="F1130" t="str">
            <v>F0585</v>
          </cell>
          <cell r="G1130" t="str">
            <v>Service line locates</v>
          </cell>
          <cell r="H1130" t="str">
            <v>BWO LINE LOCATES-REPL SERVICES ONLY</v>
          </cell>
          <cell r="I1130" t="str">
            <v>posted to CPR</v>
          </cell>
          <cell r="J1130" t="str">
            <v>BWO LINE LOCATES-REPL SERVICES ONLY</v>
          </cell>
          <cell r="K1130" t="str">
            <v>Project Type:B</v>
          </cell>
          <cell r="L1130">
            <v>41717</v>
          </cell>
          <cell r="M1130">
            <v>41717</v>
          </cell>
          <cell r="N1130">
            <v>41717</v>
          </cell>
          <cell r="P1130" t="str">
            <v>0501-044001  JASPER CTY/JOPLIN</v>
          </cell>
          <cell r="Q1130">
            <v>0</v>
          </cell>
          <cell r="R1130">
            <v>0</v>
          </cell>
        </row>
        <row r="1131">
          <cell r="A1131" t="str">
            <v>006200</v>
          </cell>
          <cell r="B1131" t="str">
            <v>LDC 2</v>
          </cell>
          <cell r="D1131" t="str">
            <v>no</v>
          </cell>
          <cell r="E1131" t="str">
            <v>20508143691</v>
          </cell>
          <cell r="F1131" t="str">
            <v>F0677</v>
          </cell>
          <cell r="G1131" t="str">
            <v>New business</v>
          </cell>
          <cell r="H1131" t="str">
            <v>Sandy Robertson Main Ext</v>
          </cell>
          <cell r="I1131" t="str">
            <v>posted to CPR</v>
          </cell>
          <cell r="J1131" t="str">
            <v>Sandy Robertson: Saginaw: New Main Extension - Contractor Crews  3760 (33-380)</v>
          </cell>
          <cell r="K1131" t="str">
            <v>Approved by: Galen Shoemaker on 08/28/2014,  Install 140' of 2" PE for new service.  Customer will contribute $715.00 towards project.  Project Location: Seagraves Dr. S of Woodland Dr.  
System: S-1.  MOP: 30 PSIG.  MAOP: 30 PSIG.  Design: 58 PSIG.  Test: 100 PSIG.  Price Per Foot: $34.91.</v>
          </cell>
          <cell r="L1131">
            <v>41927</v>
          </cell>
          <cell r="M1131">
            <v>42248</v>
          </cell>
          <cell r="N1131">
            <v>42284.722187500003</v>
          </cell>
          <cell r="O1131">
            <v>41913</v>
          </cell>
          <cell r="P1131" t="str">
            <v>0508-066003  NEWTON CTY/SAGINAW</v>
          </cell>
          <cell r="Q1131">
            <v>2928.24</v>
          </cell>
          <cell r="R1131">
            <v>-618</v>
          </cell>
        </row>
        <row r="1132">
          <cell r="A1132" t="str">
            <v>005453</v>
          </cell>
          <cell r="B1132" t="str">
            <v>LDC 2</v>
          </cell>
          <cell r="D1132" t="str">
            <v>yes</v>
          </cell>
          <cell r="E1132" t="str">
            <v>20201143456</v>
          </cell>
          <cell r="F1132" t="str">
            <v>F0606</v>
          </cell>
          <cell r="G1132" t="str">
            <v>Station rebuild &amp; replacement</v>
          </cell>
          <cell r="H1132" t="str">
            <v>Retire DRS 8 02-01 39th and Blue Ri</v>
          </cell>
          <cell r="I1132" t="str">
            <v>posted to CPR</v>
          </cell>
          <cell r="J1132" t="str">
            <v>Retire DRS 8 02-01 39th and Blue Ridge Blvd: Independence: Rebuild District/TB Stations  3780/3790 (45-387)</v>
          </cell>
          <cell r="K1132" t="str">
            <v>Approved by: Ralph Janes on 06/09/2014,  Remove and retire DRS 8 (WO# 91-2160) as it will not be needed after the completion of WO# 14-3455. The 2 - 2in Fisher 133H regulators will be junked.</v>
          </cell>
          <cell r="L1132">
            <v>42012</v>
          </cell>
          <cell r="M1132">
            <v>42063</v>
          </cell>
          <cell r="N1132">
            <v>42160.553055555603</v>
          </cell>
          <cell r="O1132">
            <v>42125</v>
          </cell>
          <cell r="P1132" t="str">
            <v>0201-043001  JACKSON CTY/INDEPENDENCE</v>
          </cell>
          <cell r="Q1132">
            <v>5327.17</v>
          </cell>
          <cell r="R1132">
            <v>11</v>
          </cell>
        </row>
        <row r="1133">
          <cell r="A1133" t="str">
            <v>003809</v>
          </cell>
          <cell r="B1133" t="str">
            <v>LDC 2</v>
          </cell>
          <cell r="D1133" t="str">
            <v>yes</v>
          </cell>
          <cell r="E1133" t="str">
            <v>20201133152</v>
          </cell>
          <cell r="F1133" t="str">
            <v>F0604</v>
          </cell>
          <cell r="G1133" t="str">
            <v>Main Replacement - ISRS (S)</v>
          </cell>
          <cell r="H1133" t="str">
            <v>Ky &amp; Sterling Repl PBS w 900'-12 TF</v>
          </cell>
          <cell r="I1133" t="str">
            <v>posted to CPR</v>
          </cell>
          <cell r="J1133" t="str">
            <v>Ky &amp; Sterling Repl PBS w 900'-12 TF;1270'-2in PE : Independence: Kentucky and Sterling Sugar Creek</v>
          </cell>
          <cell r="K1133" t="str">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ell>
          <cell r="L1133">
            <v>41790</v>
          </cell>
          <cell r="M1133">
            <v>41882</v>
          </cell>
          <cell r="N1133">
            <v>41936.625532407401</v>
          </cell>
          <cell r="O1133">
            <v>41791</v>
          </cell>
          <cell r="P1133" t="str">
            <v>0201-043001  JACKSON CTY/INDEPENDENCE</v>
          </cell>
          <cell r="Q1133">
            <v>483706.48</v>
          </cell>
          <cell r="R1133">
            <v>5312.7</v>
          </cell>
        </row>
        <row r="1134">
          <cell r="A1134" t="str">
            <v>003895</v>
          </cell>
          <cell r="B1134" t="str">
            <v>LDC 2</v>
          </cell>
          <cell r="D1134" t="str">
            <v>no</v>
          </cell>
          <cell r="E1134" t="str">
            <v>20201132776</v>
          </cell>
          <cell r="F1134" t="str">
            <v>F0644</v>
          </cell>
          <cell r="G1134" t="str">
            <v>Meter &amp; Reg Settings 2" &amp; Lg (S)</v>
          </cell>
          <cell r="H1134" t="str">
            <v>Burlington Coat Factory(Blue Rdge C</v>
          </cell>
          <cell r="I1134" t="str">
            <v>posted to CPR</v>
          </cell>
          <cell r="J1134" t="str">
            <v>Burlington Coat Factory(Blue Rdge Cross)3M mtr set: Independence: 11910 E. US 40 HWY (Lot 1)</v>
          </cell>
          <cell r="K1134" t="str">
            <v>Approved by: Ralph Janes on 07/11/2013,  Build a 3M Rotary meter set to serve the new commercial customer of Burlington Coat Factory. 525' of 1-1/4in PE service line will be installed on a BWO. Elevated pressure of 2 psig has been requested.</v>
          </cell>
          <cell r="L1134">
            <v>41522</v>
          </cell>
          <cell r="M1134">
            <v>41600</v>
          </cell>
          <cell r="N1134">
            <v>41612.300196759301</v>
          </cell>
          <cell r="P1134" t="str">
            <v>0201-043001  JACKSON CTY/INDEPENDENCE</v>
          </cell>
          <cell r="Q1134">
            <v>1693.76</v>
          </cell>
          <cell r="R1134">
            <v>65</v>
          </cell>
        </row>
        <row r="1135">
          <cell r="A1135" t="str">
            <v>009694</v>
          </cell>
          <cell r="B1135" t="str">
            <v>LDC 2</v>
          </cell>
          <cell r="D1135" t="str">
            <v>no</v>
          </cell>
          <cell r="F1135" t="str">
            <v>F0644</v>
          </cell>
          <cell r="G1135" t="str">
            <v>Meter &amp; Reg Settings 2" &amp; Lg (S)</v>
          </cell>
          <cell r="H1135" t="str">
            <v>Wbrg HS - Rebuild Meter Set</v>
          </cell>
          <cell r="I1135" t="str">
            <v>in service</v>
          </cell>
          <cell r="J1135" t="str">
            <v>Warrensburg High School has added load requiring service to be relocated and meter set to be rebuilt.  Install 11M Rotary meter set at 2 psig delivery pressure.  1411 S Ridgeview Drive, Warrensburg</v>
          </cell>
          <cell r="L1135">
            <v>42418</v>
          </cell>
          <cell r="O1135">
            <v>42614</v>
          </cell>
          <cell r="P1135" t="str">
            <v>0301-046001  JOHNSON CTY/WARRENSBURG</v>
          </cell>
          <cell r="Q1135">
            <v>4130.6000000000004</v>
          </cell>
          <cell r="R1135">
            <v>-35</v>
          </cell>
        </row>
        <row r="1136">
          <cell r="A1136" t="str">
            <v>003784</v>
          </cell>
          <cell r="B1136" t="str">
            <v>LDC 2</v>
          </cell>
          <cell r="D1136" t="str">
            <v>yes</v>
          </cell>
          <cell r="E1136" t="str">
            <v>20301132910</v>
          </cell>
          <cell r="F1136" t="str">
            <v>F0604</v>
          </cell>
          <cell r="G1136" t="str">
            <v>Main Replacement - ISRS (S)</v>
          </cell>
          <cell r="H1136" t="str">
            <v>Grover &amp; Charles Abandon 250'-2in P</v>
          </cell>
          <cell r="I1136" t="str">
            <v>posted to CPR</v>
          </cell>
          <cell r="J1136" t="str">
            <v>Grover &amp; Charles Abandon 250'-2in PBS main: Warrensburg: Grover and Charles</v>
          </cell>
          <cell r="K1136" t="str">
            <v>Approved by: Ralph Janes on 08/20/2013,  Abandon 250' of 2in PBS not from unknown work order. Main not in use. 56# insulated from rectifier.</v>
          </cell>
          <cell r="L1136">
            <v>41480</v>
          </cell>
          <cell r="M1136">
            <v>41599</v>
          </cell>
          <cell r="N1136">
            <v>41603.384756944397</v>
          </cell>
          <cell r="P1136" t="str">
            <v>0301-046001  JOHNSON CTY/WARRENSBURG</v>
          </cell>
          <cell r="Q1136">
            <v>2482.9699999999998</v>
          </cell>
          <cell r="R1136">
            <v>281</v>
          </cell>
        </row>
        <row r="1137">
          <cell r="A1137" t="str">
            <v>004404</v>
          </cell>
          <cell r="B1137" t="str">
            <v>LDC 2</v>
          </cell>
          <cell r="D1137" t="str">
            <v>yes</v>
          </cell>
          <cell r="E1137" t="str">
            <v>20301050372</v>
          </cell>
          <cell r="F1137" t="str">
            <v>F0650</v>
          </cell>
          <cell r="G1137" t="str">
            <v>SLRP - block by block - contract</v>
          </cell>
          <cell r="H1137" t="str">
            <v>BWO SERVICE LINE REPL BLOCK CONTRAC</v>
          </cell>
          <cell r="I1137" t="str">
            <v>posted to CPR</v>
          </cell>
          <cell r="J1137" t="str">
            <v>BWO SERVICE LINE REPL BLOCK CONTRACT</v>
          </cell>
          <cell r="K1137" t="str">
            <v>Project Type:B</v>
          </cell>
          <cell r="L1137">
            <v>41717</v>
          </cell>
          <cell r="M1137">
            <v>41717</v>
          </cell>
          <cell r="N1137">
            <v>41717</v>
          </cell>
          <cell r="P1137" t="str">
            <v>0301-046001  JOHNSON CTY/WARRENSBURG</v>
          </cell>
          <cell r="Q1137">
            <v>22205.47</v>
          </cell>
          <cell r="R1137">
            <v>0</v>
          </cell>
        </row>
        <row r="1138">
          <cell r="A1138" t="str">
            <v>004569</v>
          </cell>
          <cell r="B1138" t="str">
            <v>LDC 2</v>
          </cell>
          <cell r="D1138" t="str">
            <v>no</v>
          </cell>
          <cell r="E1138" t="str">
            <v>20308132878</v>
          </cell>
          <cell r="F1138" t="str">
            <v>F0507</v>
          </cell>
          <cell r="G1138" t="str">
            <v>Rebuild Meter Install 2'' &amp; Lg (S)</v>
          </cell>
          <cell r="H1138" t="str">
            <v>Retire RK 3000 Steve Roncelli</v>
          </cell>
          <cell r="I1138" t="str">
            <v>posted to CPR</v>
          </cell>
          <cell r="J1138" t="str">
            <v>Retire RK 3000 Steve Roncelli: Higginsville: 15 E 21st St</v>
          </cell>
          <cell r="K1138" t="str">
            <v>Approved by: Ralph Janes on 08/13/2013,  The RK 3000 meter (meter# 00208077) at 15 E 21st St. (premise# 56384) is due for change out on the 2013 Time Limit Program. The existing load was gathered: 1,500 cfh. Retire the RK 3000 meter set on WO# 13-2878 and downsize to an AL-1000 meter.</v>
          </cell>
          <cell r="L1138">
            <v>41534</v>
          </cell>
          <cell r="M1138">
            <v>41600</v>
          </cell>
          <cell r="N1138">
            <v>41612.300231481502</v>
          </cell>
          <cell r="P1138" t="str">
            <v>0308-049004  LAFAYETTE CTY/HIGGINSVILLE</v>
          </cell>
          <cell r="Q1138">
            <v>783.19</v>
          </cell>
          <cell r="R1138">
            <v>9</v>
          </cell>
        </row>
        <row r="1139">
          <cell r="A1139" t="str">
            <v>004389</v>
          </cell>
          <cell r="B1139" t="str">
            <v>LDC 2</v>
          </cell>
          <cell r="D1139" t="str">
            <v>yes</v>
          </cell>
          <cell r="E1139" t="str">
            <v>20308143365</v>
          </cell>
          <cell r="F1139" t="str">
            <v>F0549</v>
          </cell>
          <cell r="G1139" t="str">
            <v>Street &amp; highway relocates - safety</v>
          </cell>
          <cell r="H1139" t="str">
            <v>22nd &amp; Shelby Repl PBS w 410'-2in P</v>
          </cell>
          <cell r="I1139" t="str">
            <v>posted to CPR</v>
          </cell>
          <cell r="J1139" t="str">
            <v>22nd &amp; Shelby Repl PBS w 410'-2in PE main: Higginsville: 22nd St and Shelby</v>
          </cell>
          <cell r="K1139" t="str">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ell>
          <cell r="L1139">
            <v>41718</v>
          </cell>
          <cell r="M1139">
            <v>41821</v>
          </cell>
          <cell r="N1139">
            <v>41858.747013888897</v>
          </cell>
          <cell r="O1139">
            <v>41730</v>
          </cell>
          <cell r="P1139" t="str">
            <v>0308-049004  LAFAYETTE CTY/HIGGINSVILLE</v>
          </cell>
          <cell r="Q1139">
            <v>14337.03</v>
          </cell>
          <cell r="R1139">
            <v>-51</v>
          </cell>
        </row>
        <row r="1140">
          <cell r="A1140" t="str">
            <v>006656</v>
          </cell>
          <cell r="B1140" t="str">
            <v>LDC 2</v>
          </cell>
          <cell r="D1140" t="str">
            <v>no</v>
          </cell>
          <cell r="E1140" t="str">
            <v>20301143878</v>
          </cell>
          <cell r="F1140" t="str">
            <v>F0507</v>
          </cell>
          <cell r="G1140" t="str">
            <v>Rebuild Meter Install 2'' &amp; Lg (S)</v>
          </cell>
          <cell r="H1140" t="str">
            <v>EGM - Swisher Acquistion</v>
          </cell>
          <cell r="I1140" t="str">
            <v>in service</v>
          </cell>
          <cell r="J1140" t="str">
            <v>EGM - Swisher Acquistion : Warrensburg: Install EGM Equipment - First Time Installation  3850 (32-403)</v>
          </cell>
          <cell r="K1140" t="str">
            <v>Approved by: Rob Kitterman on 10/14/2014,  Install Mercury MiniMax-AT-PT w/CNI-2 on Roots 5M meter no 01140210 to monitor daily gas usage of this transportation customer. Customer will reimburse company actual cost for EGM installation not to exceed $5,445.00, which should be coded to account 1072. ATTENTION: Plant &amp; Property Accounting, EGM work order, turn off A&amp;G indicator.</v>
          </cell>
          <cell r="L1140">
            <v>42454</v>
          </cell>
          <cell r="O1140">
            <v>42430</v>
          </cell>
          <cell r="P1140" t="str">
            <v>0301-046001  JOHNSON CTY/WARRENSBURG</v>
          </cell>
          <cell r="Q1140">
            <v>457.39</v>
          </cell>
          <cell r="R1140">
            <v>8</v>
          </cell>
        </row>
        <row r="1141">
          <cell r="A1141" t="str">
            <v>004079</v>
          </cell>
          <cell r="B1141" t="str">
            <v>LDC 2</v>
          </cell>
          <cell r="D1141" t="str">
            <v>no</v>
          </cell>
          <cell r="E1141" t="str">
            <v>20610132938</v>
          </cell>
          <cell r="F1141" t="str">
            <v>F0656</v>
          </cell>
          <cell r="G1141" t="str">
            <v>Meter &amp; regulator settings - 2" &amp; l</v>
          </cell>
          <cell r="H1141" t="str">
            <v>202 S High Install 3M meter setting</v>
          </cell>
          <cell r="I1141" t="str">
            <v>posted to CPR</v>
          </cell>
          <cell r="J1141" t="str">
            <v>202 S High Install 3M meter setting: Stockton: Stockton Jail 202 S. High</v>
          </cell>
          <cell r="K1141" t="str">
            <v>Approved by: Galen Shoemaker on 08/27/2013,  THIS JOB IS NECESSARY TO PROVIDE SERVICE TO THE NEW STOCKTON JAIL CURRENTLY UNDER CONSTRUCTION AT 202 SOUTH HIGH IN STOCKTON. WILL USE A 2&amp;quot; FLANGED B34IMRV REGULATOR WITH 3/8&amp;quot; ORIFICE AND PURPLE SPRING TO DELIVER 14&amp;quot; WC TO THE CUSTOMER. TOTAL CONNECTED DEMAND IS 2664 CFH. THERE WILL BE NO CHARGE TO THE CUSTOMER. SYSTEM 0860-S-1  MAOP=13 PSIG  MOP=13 PSIG SYSTEM OPERATES AT 10 PSIG</v>
          </cell>
          <cell r="L1141">
            <v>41533</v>
          </cell>
          <cell r="M1141">
            <v>41604</v>
          </cell>
          <cell r="N1141">
            <v>41604.605752314797</v>
          </cell>
          <cell r="P1141" t="str">
            <v>0610-017001  CEDAR CTY/STOCKTON</v>
          </cell>
          <cell r="Q1141">
            <v>2810.29</v>
          </cell>
          <cell r="R1141">
            <v>4</v>
          </cell>
        </row>
        <row r="1142">
          <cell r="A1142" t="str">
            <v>005451</v>
          </cell>
          <cell r="B1142" t="str">
            <v>LDC 2</v>
          </cell>
          <cell r="D1142" t="str">
            <v>yes</v>
          </cell>
          <cell r="E1142" t="str">
            <v>20801143585</v>
          </cell>
          <cell r="F1142" t="str">
            <v>F0634</v>
          </cell>
          <cell r="G1142" t="str">
            <v>Replace bare steel main - safety re</v>
          </cell>
          <cell r="H1142" t="str">
            <v>11th &amp; Broadway Repl PBS w 50'-2in</v>
          </cell>
          <cell r="I1142" t="str">
            <v>posted to CPR</v>
          </cell>
          <cell r="J1142" t="str">
            <v>11th &amp; Broadway Repl PBS w 50'-2in CS main: Monett: Replace Bare Steel Main - 3760 Safety Related (34-394)</v>
          </cell>
          <cell r="K1142" t="str">
            <v>Approved by: Galen Shoemaker on 06/06/2014,  To lay 50ft of 2in Coated Steel Main to replace 40ft of 2in Protected Bare Steel from WO 14582 and 10ft of 2in Coated Steel Main from WO 631926. Active #3 leak 14-31 will be repaired with this replacement. MAOP=44# MOP=40# SYSTEM=C-1 TEST=100#</v>
          </cell>
          <cell r="L1142">
            <v>41901</v>
          </cell>
          <cell r="M1142">
            <v>41913</v>
          </cell>
          <cell r="N1142">
            <v>42044.365694444401</v>
          </cell>
          <cell r="O1142">
            <v>41883</v>
          </cell>
          <cell r="P1142" t="str">
            <v>0801-005001  BARRY CTY/MONETT</v>
          </cell>
          <cell r="Q1142">
            <v>1870.32</v>
          </cell>
          <cell r="R1142">
            <v>303</v>
          </cell>
        </row>
        <row r="1143">
          <cell r="A1143" t="str">
            <v>003819</v>
          </cell>
          <cell r="B1143" t="str">
            <v>LDC 2</v>
          </cell>
          <cell r="D1143" t="str">
            <v>yes</v>
          </cell>
          <cell r="E1143" t="str">
            <v>20801050372</v>
          </cell>
          <cell r="F1143" t="str">
            <v>F0552</v>
          </cell>
          <cell r="G1143" t="str">
            <v>SLRP - block by block - contract</v>
          </cell>
          <cell r="H1143" t="str">
            <v>BWO SERVICE LINE REPL BLOCK CONTRAC</v>
          </cell>
          <cell r="I1143" t="str">
            <v>open</v>
          </cell>
          <cell r="J1143" t="str">
            <v>BWO SERVICE LINE REPL BLOCK CONTRACT</v>
          </cell>
          <cell r="K1143" t="str">
            <v>Service/Yard Line Replacement (SLRP): Contract Crew.  Block by Block - Planned replacement of all unprotected steel or copper in a single block.  (Monett - South Region)</v>
          </cell>
          <cell r="O1143">
            <v>41730</v>
          </cell>
          <cell r="P1143" t="str">
            <v>0801-005001  BARRY CTY/MONETT</v>
          </cell>
          <cell r="Q1143">
            <v>2423830.37</v>
          </cell>
          <cell r="R1143">
            <v>411897.2</v>
          </cell>
        </row>
        <row r="1144">
          <cell r="A1144" t="str">
            <v>004319</v>
          </cell>
          <cell r="B1144" t="str">
            <v>LDC 2</v>
          </cell>
          <cell r="D1144" t="str">
            <v>no</v>
          </cell>
          <cell r="E1144" t="str">
            <v>20801132637</v>
          </cell>
          <cell r="F1144" t="str">
            <v>F0556</v>
          </cell>
          <cell r="G1144" t="str">
            <v>Tools, instruments &amp; equipment</v>
          </cell>
          <cell r="H1144" t="str">
            <v>Pur Miller Bobcat 250</v>
          </cell>
          <cell r="I1144" t="str">
            <v>posted to CPR</v>
          </cell>
          <cell r="J1144" t="str">
            <v>Pur Miller Bobcat 250: Monett: Neosho</v>
          </cell>
          <cell r="K1144" t="str">
            <v>Approved by: Galen Shoemaker on 04/22/2013,  Purchase Miller Bobcat 250. welder to replace Neosho crew's Bobcat Welder.</v>
          </cell>
          <cell r="L1144">
            <v>41387</v>
          </cell>
          <cell r="M1144">
            <v>41410</v>
          </cell>
          <cell r="N1144">
            <v>41612.300219907404</v>
          </cell>
          <cell r="P1144" t="str">
            <v>0801-005001  BARRY CTY/MONETT</v>
          </cell>
          <cell r="Q1144">
            <v>6418.54</v>
          </cell>
          <cell r="R1144">
            <v>1</v>
          </cell>
        </row>
        <row r="1145">
          <cell r="A1145" t="str">
            <v>004254</v>
          </cell>
          <cell r="B1145" t="str">
            <v>LDC 2</v>
          </cell>
          <cell r="D1145" t="str">
            <v>no</v>
          </cell>
          <cell r="E1145" t="str">
            <v>20801132915</v>
          </cell>
          <cell r="F1145" t="str">
            <v>F0495</v>
          </cell>
          <cell r="G1145" t="str">
            <v>General structures</v>
          </cell>
          <cell r="H1145" t="str">
            <v>Install door awning</v>
          </cell>
          <cell r="I1145" t="str">
            <v>posted to CPR</v>
          </cell>
          <cell r="J1145" t="str">
            <v>Install door awning: Monett: Monett</v>
          </cell>
          <cell r="K1145" t="str">
            <v>Approved by: Regina George-Berry on 08/20/2013,  Install 5' X 9' fabric door awning at entrance to show-up area for protection from weather while using entry badge.</v>
          </cell>
          <cell r="L1145">
            <v>41506</v>
          </cell>
          <cell r="M1145">
            <v>41575</v>
          </cell>
          <cell r="N1145">
            <v>41576.418576388904</v>
          </cell>
          <cell r="P1145" t="str">
            <v>0801-005001  BARRY CTY/MONETT</v>
          </cell>
          <cell r="Q1145">
            <v>1138.28</v>
          </cell>
          <cell r="R1145">
            <v>0</v>
          </cell>
        </row>
        <row r="1146">
          <cell r="A1146" t="str">
            <v>003795</v>
          </cell>
          <cell r="B1146" t="str">
            <v>LDC 2</v>
          </cell>
          <cell r="D1146" t="str">
            <v>yes</v>
          </cell>
          <cell r="E1146" t="str">
            <v>20802132908</v>
          </cell>
          <cell r="F1146" t="str">
            <v>F0592</v>
          </cell>
          <cell r="G1146" t="str">
            <v>Replace bare steel main - safety re</v>
          </cell>
          <cell r="H1146" t="str">
            <v>Short St Repl PBS w 30'-2in CS main</v>
          </cell>
          <cell r="I1146" t="str">
            <v>posted to CPR</v>
          </cell>
          <cell r="J1146" t="str">
            <v>Short St Repl PBS w 30'-2in CS main: Pierce City: Short St. at alley South of Washington</v>
          </cell>
          <cell r="K1146" t="str">
            <v>Approved by: Galen Shoemaker on 09/23/2013,  To replace 20ft of 4in BS (JO9B) and 5ft of 2in CS (JO9B) and 5ft of 2in CS (65-4958) with 2in CS due to leakage and poor condition of main. MOP=30# MAOP=31# SYSTEM=S-6 TEST=100#</v>
          </cell>
          <cell r="L1146">
            <v>41729</v>
          </cell>
          <cell r="M1146">
            <v>41851</v>
          </cell>
          <cell r="N1146">
            <v>41858.745729166701</v>
          </cell>
          <cell r="O1146">
            <v>41730</v>
          </cell>
          <cell r="P1146" t="str">
            <v>0802-050010  LAWRENCE CTY/PIERCE</v>
          </cell>
          <cell r="Q1146">
            <v>7127.67</v>
          </cell>
          <cell r="R1146">
            <v>68</v>
          </cell>
        </row>
        <row r="1147">
          <cell r="A1147" t="str">
            <v>800396</v>
          </cell>
          <cell r="B1147" t="str">
            <v>LDC 2</v>
          </cell>
          <cell r="C1147" t="str">
            <v>03 - Bare Steel Replacement</v>
          </cell>
          <cell r="D1147" t="str">
            <v>yes</v>
          </cell>
          <cell r="F1147" t="str">
            <v>F0572</v>
          </cell>
          <cell r="G1147" t="str">
            <v>Main Replacement - ISRS (SW)</v>
          </cell>
          <cell r="H1147" t="str">
            <v>Repl w 11630F 2-4P Baxter/Randolph</v>
          </cell>
          <cell r="I1147" t="str">
            <v>open</v>
          </cell>
          <cell r="J1147" t="str">
            <v>Install 7240 Ft. of 2 inch PL IP Main and 4390 Ft. of 4 inch on Baxter Rd., Hickory St., Washington Ave., Oak St., Randolph St., Smith St., Trasher St., Morrow Ave., Summit St., Summit View and Ried Rd.</v>
          </cell>
          <cell r="K1147" t="str">
            <v>Abandon 374 Ft. of 2 inch PL IP Main, 4 Ft. of 4 inch PL IP Main, 10512Ft. of 2 inch ST IP Main, and 215 Ft. of 4” ST IP Main on the above mentioned streets. Total Service Tie-over =94; Total Service Abandoned = 12; Total Service Replace = 11 This main is being abandoned as part of FY16 Bare Steel Replacement Program</v>
          </cell>
          <cell r="P1147" t="str">
            <v>0806-066010  NEWTON CTY/NEOSHO</v>
          </cell>
          <cell r="Q1147">
            <v>0</v>
          </cell>
          <cell r="R1147">
            <v>11103</v>
          </cell>
        </row>
        <row r="1148">
          <cell r="A1148" t="str">
            <v>007862</v>
          </cell>
          <cell r="B1148" t="str">
            <v>LDC 2</v>
          </cell>
          <cell r="D1148" t="str">
            <v>yes</v>
          </cell>
          <cell r="E1148" t="str">
            <v>20812155156</v>
          </cell>
          <cell r="F1148" t="str">
            <v>F0634</v>
          </cell>
          <cell r="G1148" t="str">
            <v>Replace bare steel main - safety re</v>
          </cell>
          <cell r="H1148" t="str">
            <v>2in PBS and 2in PCS Main Replacemen</v>
          </cell>
          <cell r="I1148" t="str">
            <v>posted to CPR</v>
          </cell>
          <cell r="J1148" t="str">
            <v>2in PBS and 2in PCS Main Replacement: Republic: Replace Bare Steel Main - 3760 Safety Related (34-394)</v>
          </cell>
          <cell r="K1148" t="str">
            <v>Approved by: Kevin Driskell on 03/16/2015,  Replace 239' 2" PCS (WO's 641565 &amp; 666418) and 502' 2" PBS (WO J013B) with 715' 2" PE due to low reads.  Project Location: West Ave between Mill St &amp; Eagan St.  System: C-1.  MOP: 39.5 PSIG.  MAOP: 39.5 PSIG.  Design: 58 PSIG.  Test: 100 PSIG.  Price Per Foot: $48.54.</v>
          </cell>
          <cell r="L1148">
            <v>42199</v>
          </cell>
          <cell r="M1148">
            <v>42429</v>
          </cell>
          <cell r="N1148">
            <v>42527.511666666702</v>
          </cell>
          <cell r="O1148">
            <v>42186</v>
          </cell>
          <cell r="P1148" t="str">
            <v>0812-034002  GREENE CTY/REPUBLIC</v>
          </cell>
          <cell r="Q1148">
            <v>45407.15</v>
          </cell>
          <cell r="R1148">
            <v>-583.70000000000005</v>
          </cell>
        </row>
        <row r="1149">
          <cell r="A1149" t="str">
            <v>003879</v>
          </cell>
          <cell r="B1149" t="str">
            <v>LDC 2</v>
          </cell>
          <cell r="D1149" t="str">
            <v>yes</v>
          </cell>
          <cell r="E1149" t="str">
            <v>20813133153</v>
          </cell>
          <cell r="F1149" t="str">
            <v>F0592</v>
          </cell>
          <cell r="G1149" t="str">
            <v>Replace bare steel main - safety re</v>
          </cell>
          <cell r="H1149" t="str">
            <v>McHenry &amp; Main Repl PBS w 890'-2in</v>
          </cell>
          <cell r="I1149" t="str">
            <v>posted to CPR</v>
          </cell>
          <cell r="J1149" t="str">
            <v>McHenry &amp; Main Repl PBS w 890'-2in PE main: Billings: McHenry and Main</v>
          </cell>
          <cell r="K1149" t="str">
            <v>Approved by: Ken Thomas on 11/15/2013,  Abandon 890' - 2' PBS (WO#: A8605) and replace with 890' - 2" PE due to history of leakage. Project Location: McHenry and Main; Pressure System: S-1; MOP: 20 psig; MAOP: 20 psig; Design: 58 psig; Test: 100 psig; ISRS $24.58/ft</v>
          </cell>
          <cell r="L1149">
            <v>41689</v>
          </cell>
          <cell r="M1149">
            <v>41729</v>
          </cell>
          <cell r="N1149">
            <v>41733.309930555602</v>
          </cell>
          <cell r="O1149">
            <v>41730</v>
          </cell>
          <cell r="P1149" t="str">
            <v>0813-019001  CHRISTIAN CTY/BILLING</v>
          </cell>
          <cell r="Q1149">
            <v>26800.38</v>
          </cell>
          <cell r="R1149">
            <v>3882</v>
          </cell>
        </row>
        <row r="1150">
          <cell r="A1150" t="str">
            <v>800056</v>
          </cell>
          <cell r="B1150" t="str">
            <v>LDC 2</v>
          </cell>
          <cell r="D1150" t="str">
            <v>no</v>
          </cell>
          <cell r="F1150" t="str">
            <v>F0523</v>
          </cell>
          <cell r="G1150" t="str">
            <v>New Main Extensions (SW)</v>
          </cell>
          <cell r="H1150" t="str">
            <v>Walnut Creek Phase 2 Main Ext. -IUI</v>
          </cell>
          <cell r="I1150" t="str">
            <v>in service</v>
          </cell>
          <cell r="J1150" t="str">
            <v>560' of 2" PL to serve Walnut Creek Phase II subdivision- 12 Homes.  Project Location: Nixa System: C-0001. MOP: 44 PSIG. MAOP: 44 PSIG. Design: 66 PSIG. Test: 100 PSIG. Price Per Foot: $29.82/ft ($16,698.79)</v>
          </cell>
          <cell r="L1150">
            <v>42527</v>
          </cell>
          <cell r="O1150">
            <v>42583</v>
          </cell>
          <cell r="P1150" t="str">
            <v>0816-019004  CHRISTIAN CTY/NIXA</v>
          </cell>
          <cell r="Q1150">
            <v>8299.08</v>
          </cell>
          <cell r="R1150">
            <v>-1089</v>
          </cell>
        </row>
        <row r="1151">
          <cell r="A1151" t="str">
            <v>800101</v>
          </cell>
          <cell r="B1151" t="str">
            <v>LDC 2</v>
          </cell>
          <cell r="D1151" t="str">
            <v>no</v>
          </cell>
          <cell r="F1151" t="str">
            <v>F0523</v>
          </cell>
          <cell r="G1151" t="str">
            <v>New Main Extensions (SW)</v>
          </cell>
          <cell r="H1151" t="str">
            <v>Fremont Hills Main Extension</v>
          </cell>
          <cell r="I1151" t="str">
            <v>open</v>
          </cell>
          <cell r="J1151" t="str">
            <v>Install 20200 ft of 2 in pl and 15195 ft of 4 in pl to serve the City of Fremont. </v>
          </cell>
          <cell r="K1151" t="str">
            <v>This work order is a high profile new business project for MGE south of Springfield with an estimated cost that is over $1.3M.  It consists of installing approximately 35,000 feet of 4in and 2in plastic to serve a mostly existing golf course community with nearly 400 homes that are currently utilizing other energy sources - mainly propane &amp; electric.  C&amp;M is hoping to have Infrasource begin this job in mid-April, as it is going to take up to 8 months to complete.</v>
          </cell>
          <cell r="P1151" t="str">
            <v>0816-019004  CHRISTIAN CTY/NIXA</v>
          </cell>
          <cell r="Q1151">
            <v>1270795.56</v>
          </cell>
          <cell r="R1151">
            <v>-21165.5</v>
          </cell>
        </row>
        <row r="1152">
          <cell r="A1152" t="str">
            <v>005797</v>
          </cell>
          <cell r="B1152" t="str">
            <v>LDC 2</v>
          </cell>
          <cell r="D1152" t="str">
            <v>no</v>
          </cell>
          <cell r="E1152" t="str">
            <v>20816143643</v>
          </cell>
          <cell r="F1152" t="str">
            <v>F0523</v>
          </cell>
          <cell r="G1152" t="str">
            <v>New Main Extensions (SW)</v>
          </cell>
          <cell r="H1152" t="str">
            <v>Texas Dr Lay 65'- 2in PE Main Ext</v>
          </cell>
          <cell r="I1152" t="str">
            <v>posted to CPR</v>
          </cell>
          <cell r="J1152" t="str">
            <v>Texas Dr Lay 65'- 2in PE Main Ext: Nixa: New Main Extension - Company Crews  3760 (33-305)</v>
          </cell>
          <cell r="K1152" t="str">
            <v>Approved by: Galen Shoemaker on 07/28/2014,  Install 65' of 2" PE to provide service for Nixa Early Development Center.  Customer contribution of $1,870.  Project Location: Texas Dr. N of South St.  System: C-1.  MOP: 44 PSIG.  MAOP: 44 PSIG.  Design: 58 PSIG.  Test: 100 PSIG.  Price Per Foot. $26.11.</v>
          </cell>
          <cell r="L1152">
            <v>41816</v>
          </cell>
          <cell r="M1152">
            <v>41852</v>
          </cell>
          <cell r="N1152">
            <v>41978.5940625</v>
          </cell>
          <cell r="O1152">
            <v>41852</v>
          </cell>
          <cell r="P1152" t="str">
            <v>0816-019004  CHRISTIAN CTY/NIXA</v>
          </cell>
          <cell r="Q1152">
            <v>1036.26</v>
          </cell>
          <cell r="R1152">
            <v>0</v>
          </cell>
        </row>
        <row r="1153">
          <cell r="A1153" t="str">
            <v>004529</v>
          </cell>
          <cell r="B1153" t="str">
            <v>LDC 2</v>
          </cell>
          <cell r="D1153" t="str">
            <v>no</v>
          </cell>
          <cell r="E1153" t="str">
            <v>20816132596</v>
          </cell>
          <cell r="F1153" t="str">
            <v>F0597</v>
          </cell>
          <cell r="G1153" t="str">
            <v>Other</v>
          </cell>
          <cell r="H1153" t="str">
            <v>EGM Repl - Diversified Plastics</v>
          </cell>
          <cell r="I1153" t="str">
            <v>posted to CPR</v>
          </cell>
          <cell r="J1153" t="str">
            <v>EGM Repl - Diversified Plastics: Nixa: Hwy 14 - Nixa, Mo 65714</v>
          </cell>
          <cell r="K1153" t="str">
            <v>Approved by: Rob Kitterman on 04/10/2013,  Replace EGM equipment at Diversified Plastics with a new Mini-AT-PT, S/N: 13012225, &amp; Messenger Modem. Existing meter is a Roots 16M rotary meter# 08624859. The existing equipment was damaged beyond repair. Retire the damaged ECAT/ECI-II, S/N: 9405387 (installed on WO# 7405-001203) on this WO.</v>
          </cell>
          <cell r="L1153">
            <v>41373</v>
          </cell>
          <cell r="M1153">
            <v>41575</v>
          </cell>
          <cell r="N1153">
            <v>41576.418553240699</v>
          </cell>
          <cell r="P1153" t="str">
            <v>0816-019004  CHRISTIAN CTY/NIXA</v>
          </cell>
          <cell r="Q1153">
            <v>3696.75</v>
          </cell>
          <cell r="R1153">
            <v>5</v>
          </cell>
        </row>
        <row r="1154">
          <cell r="A1154" t="str">
            <v>004662</v>
          </cell>
          <cell r="B1154" t="str">
            <v>LDC 2</v>
          </cell>
          <cell r="D1154" t="str">
            <v>yes</v>
          </cell>
          <cell r="E1154" t="str">
            <v>20816133105</v>
          </cell>
          <cell r="F1154" t="str">
            <v>F0598</v>
          </cell>
          <cell r="G1154" t="str">
            <v>Replace steel &amp; plastic main</v>
          </cell>
          <cell r="H1154" t="str">
            <v>Cheynne &amp; Daisy Falls Reloc 290'-4i</v>
          </cell>
          <cell r="I1154" t="str">
            <v>posted to CPR</v>
          </cell>
          <cell r="J1154" t="str">
            <v>Cheynne &amp; Daisy Falls Reloc 290'-4in PE main: Nixa: Cheyenne and Daisy Falls Dr</v>
          </cell>
          <cell r="K1154" t="str">
            <v>Approved by: Galen Shoemaker on 10/24/2013,  Abandon 266' - 4in PE (WO#: 05-8492) and replace with 290' - 4in PE in order to relocate main into the easement it was intended to be in. Property owner wants to build a house with foot print near existing main, will not adjust existing easement and wants main in its intended easement. Project Location: Cheyenne and Daisy Falls Dr; Pressure System: C-1; MOP: 44 psig; MAOP: 44 psig; Design: 58 psig; Test: 100 psig;</v>
          </cell>
          <cell r="L1154">
            <v>41593</v>
          </cell>
          <cell r="M1154">
            <v>41653</v>
          </cell>
          <cell r="N1154">
            <v>41654.604027777801</v>
          </cell>
          <cell r="O1154">
            <v>41730</v>
          </cell>
          <cell r="P1154" t="str">
            <v>0816-019004  CHRISTIAN CTY/NIXA</v>
          </cell>
          <cell r="Q1154">
            <v>12237.33</v>
          </cell>
          <cell r="R1154">
            <v>997</v>
          </cell>
        </row>
        <row r="1155">
          <cell r="A1155" t="str">
            <v>008275</v>
          </cell>
          <cell r="B1155" t="str">
            <v>LDC 2</v>
          </cell>
          <cell r="D1155" t="str">
            <v>no</v>
          </cell>
          <cell r="E1155" t="str">
            <v>20903155211</v>
          </cell>
          <cell r="F1155" t="str">
            <v>F0676</v>
          </cell>
          <cell r="G1155" t="str">
            <v>Meter &amp; regulator settings - 2" &amp; l</v>
          </cell>
          <cell r="H1155" t="str">
            <v>The Parkway Phase I and II 7M Mtr</v>
          </cell>
          <cell r="I1155" t="str">
            <v>posted to CPR</v>
          </cell>
          <cell r="J1155" t="str">
            <v>The Parkway Phase I and II: Blue Springs: New Meter &amp; Reg Settings - 2&amp;quot; &amp; Larger 3820/3830 (33-382)</v>
          </cell>
          <cell r="K1155" t="str">
            <v>Approved by: Kevin Driskell on 04/20/2015,  Install a new 7M Rotary meter setting to serve one new commercial customer.  Note:  440' - 1-1/4" pe service line to be installed on BWO.</v>
          </cell>
          <cell r="L1155">
            <v>42184</v>
          </cell>
          <cell r="M1155">
            <v>42491</v>
          </cell>
          <cell r="N1155">
            <v>42528.313240740703</v>
          </cell>
          <cell r="O1155">
            <v>42186</v>
          </cell>
          <cell r="P1155" t="str">
            <v>0903-043026  JACKSON CTY/BLUE SPRINGS</v>
          </cell>
          <cell r="Q1155">
            <v>3190.68</v>
          </cell>
          <cell r="R1155">
            <v>-31.5</v>
          </cell>
        </row>
        <row r="1156">
          <cell r="A1156" t="str">
            <v>003870</v>
          </cell>
          <cell r="B1156" t="str">
            <v>LDC 2</v>
          </cell>
          <cell r="D1156" t="str">
            <v>no</v>
          </cell>
          <cell r="E1156" t="str">
            <v>20903132886</v>
          </cell>
          <cell r="F1156" t="str">
            <v>F0602</v>
          </cell>
          <cell r="G1156" t="str">
            <v>New business</v>
          </cell>
          <cell r="H1156" t="str">
            <v>Parkway Estates - 1A Lay 1120'-2in</v>
          </cell>
          <cell r="I1156" t="str">
            <v>posted to CPR</v>
          </cell>
          <cell r="J1156" t="str">
            <v>Parkway Estates - 1A Lay 1120'-2in PE main ext: Blue Springs: Adams Dairy Pkwy. &amp; Moreland School Rd.</v>
          </cell>
          <cell r="K1156" t="str">
            <v>Approved by: Ralph Janes on 08/13/2013,  Install 1120' of 2n PE main to serve Phase 1A of Parkway Estates. Pressure System is C-001 with a MOP and MAOP = 25 psig.</v>
          </cell>
          <cell r="L1156">
            <v>41610</v>
          </cell>
          <cell r="M1156">
            <v>41696</v>
          </cell>
          <cell r="N1156">
            <v>41698.505277777796</v>
          </cell>
          <cell r="O1156">
            <v>41730</v>
          </cell>
          <cell r="P1156" t="str">
            <v>0903-043026  JACKSON CTY/BLUE SPRINGS</v>
          </cell>
          <cell r="Q1156">
            <v>4002.48</v>
          </cell>
          <cell r="R1156">
            <v>2689</v>
          </cell>
        </row>
        <row r="1157">
          <cell r="A1157" t="str">
            <v>004394</v>
          </cell>
          <cell r="B1157" t="str">
            <v>LDC 2</v>
          </cell>
          <cell r="D1157" t="str">
            <v>yes</v>
          </cell>
          <cell r="E1157" t="str">
            <v>20908143266</v>
          </cell>
          <cell r="F1157" t="str">
            <v>F0578</v>
          </cell>
          <cell r="G1157" t="str">
            <v>Street &amp; Highway Relocates ISRS (S)</v>
          </cell>
          <cell r="H1157" t="str">
            <v>291 &amp; Commercial Reloc CS w 1659'-6</v>
          </cell>
          <cell r="I1157" t="str">
            <v>posted to CPR</v>
          </cell>
          <cell r="J1157" t="str">
            <v>291 &amp; Commercial Reloc CS w 1659'-6in PE: Harrisonville: 291 and Commercial Rock Haven MoDOT J4P1475</v>
          </cell>
          <cell r="K1157" t="str">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ell>
          <cell r="L1157">
            <v>41912</v>
          </cell>
          <cell r="M1157">
            <v>41912</v>
          </cell>
          <cell r="N1157">
            <v>42013.405879629601</v>
          </cell>
          <cell r="O1157">
            <v>41883</v>
          </cell>
          <cell r="P1157" t="str">
            <v>0908-016007  CASS CTY/HARRISONVILLE N</v>
          </cell>
          <cell r="Q1157">
            <v>33077.51</v>
          </cell>
          <cell r="R1157">
            <v>-2864</v>
          </cell>
        </row>
        <row r="1158">
          <cell r="A1158" t="str">
            <v>004026</v>
          </cell>
          <cell r="B1158" t="str">
            <v>LDC 2</v>
          </cell>
          <cell r="D1158" t="str">
            <v>no</v>
          </cell>
          <cell r="E1158" t="str">
            <v>20908132793</v>
          </cell>
          <cell r="F1158" t="str">
            <v>F0507</v>
          </cell>
          <cell r="G1158" t="str">
            <v>Rebuild Meter Install 2'' &amp; Lg (S)</v>
          </cell>
          <cell r="H1158" t="str">
            <v>Harrisonville ECC Rebuild 3M Meter</v>
          </cell>
          <cell r="I1158" t="str">
            <v>posted to CPR</v>
          </cell>
          <cell r="J1158" t="str">
            <v>Harrisonville ECC Rebuild 3M Meter Set: Harrisonville: 501 S Highland Dr</v>
          </cell>
          <cell r="K1158" t="str">
            <v>Approved by: Ralph Janes on 07/09/2013,  Rebuild a 3M rotary meter set at the building to replace the existing 11M Rotary meter set at the property line of 501 S Highland Drive on WO# 13-2793. The existing 11M Rotary meter set which serves 14&amp;quot; w.c. (meter# 07908532, premise 375753) is a property line set with 12' of 2&amp;quot; PE service line, due for remediation as a 20 year SLRP. Retire/abandon the 12' of 2&amp;quot; PE service line installed on wo# 87-2234. Also, retire wo# 82-4134 for the exisitng meter set. The current load for Harrisonville Early Childhood Center is approximately 2,100 cfh. Install 60' of 1-1/4in PE service line on a BWO. Tie back into the existing yard line on the outlet side of the meter set. 14&amp;quot; WC delivery pressure will still be required.</v>
          </cell>
          <cell r="L1158">
            <v>41478</v>
          </cell>
          <cell r="M1158">
            <v>41533</v>
          </cell>
          <cell r="N1158">
            <v>41710.614606481497</v>
          </cell>
          <cell r="P1158" t="str">
            <v>0908-016009  CASS CTY/HARRISONVILLE S</v>
          </cell>
          <cell r="Q1158">
            <v>4626.74</v>
          </cell>
          <cell r="R1158">
            <v>141</v>
          </cell>
        </row>
        <row r="1159">
          <cell r="A1159" t="str">
            <v>010517</v>
          </cell>
          <cell r="B1159" t="str">
            <v>LDC 2</v>
          </cell>
          <cell r="D1159" t="str">
            <v>no</v>
          </cell>
          <cell r="F1159" t="str">
            <v>F0639</v>
          </cell>
          <cell r="G1159" t="str">
            <v>EGM Equip-1st Time Installation</v>
          </cell>
          <cell r="H1159" t="str">
            <v>EGM - Fiorella's Jack Stack</v>
          </cell>
          <cell r="I1159" t="str">
            <v>open</v>
          </cell>
          <cell r="J1159" t="str">
            <v>Install Mercury MiniMax-AT-PT Corrector for  JA-DEL, Inc. dba Fiorella's Jack Stack at  1840 NW Chipman Rd in Lee's Summit to monitor daily gas usage of this transportation customer. Customer will reimburse company actual cost for EGM installation.</v>
          </cell>
          <cell r="P1159" t="str">
            <v>0901-016040  CASS CTY/LEE'S SUMMIT</v>
          </cell>
          <cell r="Q1159">
            <v>1945.53</v>
          </cell>
          <cell r="R1159">
            <v>9</v>
          </cell>
        </row>
        <row r="1160">
          <cell r="A1160" t="str">
            <v>800642</v>
          </cell>
          <cell r="B1160" t="str">
            <v>LDC 2</v>
          </cell>
          <cell r="C1160" t="str">
            <v>03 - Bare Steel Replacement</v>
          </cell>
          <cell r="D1160" t="str">
            <v>yes</v>
          </cell>
          <cell r="F1160" t="str">
            <v>F0604</v>
          </cell>
          <cell r="G1160" t="str">
            <v>Main Replacement - ISRS (S)</v>
          </cell>
          <cell r="H1160" t="str">
            <v>Repl w 5346F 2-4P East Dwntown Ph 5</v>
          </cell>
          <cell r="I1160" t="str">
            <v>open</v>
          </cell>
          <cell r="J1160" t="str">
            <v>Install 10 Ft of 4 in PL IP Main and 5336 Ft of 2 in PL IP Main along Green St, 5th, 6th, 7th St, 7th Ter, Douglas St, 9th St, and Miller St.</v>
          </cell>
          <cell r="K1160" t="str">
            <v>Abandon 2729 Ft of 4in ST MP Main, 2974 Ft of 2in ST MP Main, 15 Ft of 4in PL MP Main, 154 Ft of 2in PL MP Main at the above location.  Uprate 265 Ft of 6 in PL MP, 1728 Ft of 4in PL MP Main and 2149 Ft of 2" PL MP Main at the above location.  Total Service Tie-over = 69; Total Service Replacement = 4; Total Service Abandoned = 2; Total Service Upgrade = 69;  This main is being abandoned as part of FY16 Bare Steel Replacement Program.</v>
          </cell>
          <cell r="P1160" t="str">
            <v>0901-043021  JACKSON CTY/LEE'S SUMMIT OFFIC</v>
          </cell>
          <cell r="Q1160">
            <v>0</v>
          </cell>
          <cell r="R1160">
            <v>5872</v>
          </cell>
        </row>
        <row r="1161">
          <cell r="A1161" t="str">
            <v>010034</v>
          </cell>
          <cell r="B1161" t="str">
            <v>LDC 2</v>
          </cell>
          <cell r="D1161" t="str">
            <v>no</v>
          </cell>
          <cell r="F1161" t="str">
            <v>F1070</v>
          </cell>
          <cell r="G1161" t="str">
            <v>Remodel Lee Summit Location</v>
          </cell>
          <cell r="H1161" t="str">
            <v>LED Lighting Project - Lee's Summit</v>
          </cell>
          <cell r="I1161" t="str">
            <v>in service</v>
          </cell>
          <cell r="J1161" t="str">
            <v>LED Lighting Project - MGE - Lee's Summit</v>
          </cell>
          <cell r="L1161">
            <v>42521</v>
          </cell>
          <cell r="O1161">
            <v>42522</v>
          </cell>
          <cell r="P1161" t="str">
            <v>0901-043021  JACKSON CTY/LEE'S SUMMIT OFFIC</v>
          </cell>
          <cell r="Q1161">
            <v>18851.45</v>
          </cell>
          <cell r="R1161">
            <v>16787</v>
          </cell>
        </row>
        <row r="1162">
          <cell r="A1162" t="str">
            <v>800033</v>
          </cell>
          <cell r="B1162" t="str">
            <v>LDC 2</v>
          </cell>
          <cell r="D1162" t="str">
            <v>no</v>
          </cell>
          <cell r="F1162" t="str">
            <v>F0673</v>
          </cell>
          <cell r="G1162" t="str">
            <v>New Main Extensions (S)</v>
          </cell>
          <cell r="H1162" t="str">
            <v>6" pe main extension Summit Campus</v>
          </cell>
          <cell r="I1162" t="str">
            <v>in service</v>
          </cell>
          <cell r="J1162" t="str">
            <v>Install 3,225 feet of 6 inch and 2,380 feet of 2in plastic main to serve the new Summit Innovation campus. 2 commercial lots have already sold - MO Summit Innovation center &amp; Holiday Inn Express - application for service is being prepared.</v>
          </cell>
          <cell r="K1162" t="str">
            <v>This main extension will also get to the edge of a proposed commercial retail development - plat attached to work order.</v>
          </cell>
          <cell r="L1162">
            <v>42429</v>
          </cell>
          <cell r="O1162">
            <v>42461</v>
          </cell>
          <cell r="P1162" t="str">
            <v>0901-043021  JACKSON CTY/LEE'S SUMMIT OFFIC</v>
          </cell>
          <cell r="Q1162">
            <v>135028.03</v>
          </cell>
          <cell r="R1162">
            <v>-10801</v>
          </cell>
        </row>
        <row r="1163">
          <cell r="A1163" t="str">
            <v>009275</v>
          </cell>
          <cell r="B1163" t="str">
            <v>LDC 2</v>
          </cell>
          <cell r="D1163" t="str">
            <v>yes</v>
          </cell>
          <cell r="E1163" t="str">
            <v>20901155534</v>
          </cell>
          <cell r="F1163" t="str">
            <v>F0604</v>
          </cell>
          <cell r="G1163" t="str">
            <v>Main Replacement - ISRS (S)</v>
          </cell>
          <cell r="H1163" t="str">
            <v>Replace 4in pbs main</v>
          </cell>
          <cell r="I1163" t="str">
            <v>posted to CPR</v>
          </cell>
          <cell r="J1163" t="str">
            <v>Replace 4in pbs main: Lees Summit: Replace Bare Steel Main - 3760 Safety Related (34-394)</v>
          </cell>
          <cell r="K1163" t="str">
            <v>Approved by: Joe Hampton on 08/31/2015,  Replace and abandon 4" bare steel main by installing 1,575' - 4" pe main.  The City of Raytown to improve Blue Ridge Blvd and we wish to replace the bare steel main before they do so we do not cut new pavement in the future.  (ISRS)</v>
          </cell>
          <cell r="L1163">
            <v>42556</v>
          </cell>
          <cell r="M1163">
            <v>42615</v>
          </cell>
          <cell r="N1163">
            <v>42649.700266203698</v>
          </cell>
          <cell r="O1163">
            <v>42583</v>
          </cell>
          <cell r="P1163" t="str">
            <v>0901-043021  JACKSON CTY/LEE'S SUMMIT OFFIC</v>
          </cell>
          <cell r="Q1163">
            <v>76689.710000000006</v>
          </cell>
          <cell r="R1163">
            <v>-1057</v>
          </cell>
        </row>
        <row r="1164">
          <cell r="A1164" t="str">
            <v>006983</v>
          </cell>
          <cell r="B1164" t="str">
            <v>LDC 2</v>
          </cell>
          <cell r="D1164" t="str">
            <v>no</v>
          </cell>
          <cell r="E1164" t="str">
            <v>20901143984</v>
          </cell>
          <cell r="F1164" t="str">
            <v>F0554</v>
          </cell>
          <cell r="G1164" t="str">
            <v>Tools, Instruments &amp; Equipment (S)</v>
          </cell>
          <cell r="H1164" t="str">
            <v>Purchase Tools - Allegros</v>
          </cell>
          <cell r="I1164" t="str">
            <v>posted to CPR</v>
          </cell>
          <cell r="J1164" t="str">
            <v>Purchase Tools - Allegros: Lees Summit: Purchase Tools, Instruments &amp; Equipment  3940 (37-366)</v>
          </cell>
          <cell r="K1164" t="str">
            <v>Approved by: Ralph Janes on 11/20/2014,  Purchase 3 - Allegro MX Color units to allow corrosion to update our mapping system with GPS update capability.  Retirement Unit 94130000 - Corrosion Test Instrument.</v>
          </cell>
          <cell r="L1164">
            <v>42083</v>
          </cell>
          <cell r="M1164">
            <v>42248</v>
          </cell>
          <cell r="N1164">
            <v>42274.592708333301</v>
          </cell>
          <cell r="O1164">
            <v>42064</v>
          </cell>
          <cell r="P1164" t="str">
            <v>0901-043021  JACKSON CTY/LEE'S SUMMIT OFFIC</v>
          </cell>
          <cell r="Q1164">
            <v>22675.79</v>
          </cell>
          <cell r="R1164">
            <v>20</v>
          </cell>
        </row>
        <row r="1165">
          <cell r="A1165" t="str">
            <v>005770</v>
          </cell>
          <cell r="B1165" t="str">
            <v>LDC 2</v>
          </cell>
          <cell r="D1165" t="str">
            <v>no</v>
          </cell>
          <cell r="E1165" t="str">
            <v>20901143690</v>
          </cell>
          <cell r="F1165" t="str">
            <v>F0644</v>
          </cell>
          <cell r="G1165" t="str">
            <v>Meter &amp; Reg Settings 2" &amp; Lg (S)</v>
          </cell>
          <cell r="H1165" t="str">
            <v>Jackson Co Sheriff 3M Rotary Meter</v>
          </cell>
          <cell r="I1165" t="str">
            <v>posted to CPR</v>
          </cell>
          <cell r="J1165" t="str">
            <v>Jackson Co Sheriff 3M Rotary Meter Set: Lees Summit: New Meter &amp; Reg Settings - 2&amp;quot; &amp; Larger 3820/3830 (33-382)</v>
          </cell>
          <cell r="K1165" t="str">
            <v>Approved by: Ray Wilson on 07/23/2014,  Install 3M Rotary meter setting for one new commercial customer.  1-1/4" pe service line ran on BWO.</v>
          </cell>
          <cell r="L1165">
            <v>41870</v>
          </cell>
          <cell r="M1165">
            <v>41912</v>
          </cell>
          <cell r="N1165">
            <v>42013.428599537001</v>
          </cell>
          <cell r="O1165">
            <v>41852</v>
          </cell>
          <cell r="P1165" t="str">
            <v>0901-043021  JACKSON CTY/LEE'S SUMMIT OFFIC</v>
          </cell>
          <cell r="Q1165">
            <v>1942.77</v>
          </cell>
          <cell r="R1165">
            <v>-39</v>
          </cell>
        </row>
        <row r="1166">
          <cell r="A1166" t="str">
            <v>004316</v>
          </cell>
          <cell r="B1166" t="str">
            <v>LDC 2</v>
          </cell>
          <cell r="D1166" t="str">
            <v>no</v>
          </cell>
          <cell r="E1166" t="str">
            <v>20901132538</v>
          </cell>
          <cell r="F1166" t="str">
            <v>F0588</v>
          </cell>
          <cell r="G1166" t="str">
            <v>Transportation &amp; power operated equ</v>
          </cell>
          <cell r="H1166" t="str">
            <v>Pur 2013 For 1 Ton Diesel 4x4 w Cra</v>
          </cell>
          <cell r="I1166" t="str">
            <v>posted to CPR</v>
          </cell>
          <cell r="J1166" t="str">
            <v>Pur 2013 For 1 Ton Diesel 4x4 w Crane 8cyl: Lees Summit: Lees Summit FOP</v>
          </cell>
          <cell r="K1166" t="str">
            <v>Approved by: Ken Thomas on 04/08/2013,  Purchase 2013 Ford 1 Ton ext cab diesel dually 4x4 utility with crane, Lees Summit FOP.</v>
          </cell>
          <cell r="L1166">
            <v>41425</v>
          </cell>
          <cell r="M1166">
            <v>41564</v>
          </cell>
          <cell r="N1166">
            <v>41564</v>
          </cell>
          <cell r="P1166" t="str">
            <v>0901-043021  JACKSON CTY/LEE'S SUMMIT OFFIC</v>
          </cell>
          <cell r="Q1166">
            <v>54724.51</v>
          </cell>
          <cell r="R1166">
            <v>0</v>
          </cell>
        </row>
        <row r="1167">
          <cell r="A1167" t="str">
            <v>004306</v>
          </cell>
          <cell r="B1167" t="str">
            <v>LDC 2</v>
          </cell>
          <cell r="D1167" t="str">
            <v>no</v>
          </cell>
          <cell r="E1167" t="str">
            <v>20901132675</v>
          </cell>
          <cell r="F1167" t="str">
            <v>F0554</v>
          </cell>
          <cell r="G1167" t="str">
            <v>Tools, Instruments &amp; Equipment (S)</v>
          </cell>
          <cell r="H1167" t="str">
            <v>Purchase Tools - TDW 1-10IN Pluggin</v>
          </cell>
          <cell r="I1167" t="str">
            <v>posted to CPR</v>
          </cell>
          <cell r="J1167" t="str">
            <v>Purchase Tools - TDW 1-10IN Plugging Head: Lees Summit: 3025 SE Clover Dr</v>
          </cell>
          <cell r="K1167" t="str">
            <v>Approved by: Ralph Janes on 05/06/2013,  PURCHASE 1-10in plugging head to be used with the Shortstopp 275 machine-TDW part 08-01910-000. These will be used by the C&amp;M tapping crews at central to tap high pressure mains (that is located in the Lee Summit area). TDW only vendor that handles this equipment. These are not replacements.</v>
          </cell>
          <cell r="L1167">
            <v>41505</v>
          </cell>
          <cell r="M1167">
            <v>41575</v>
          </cell>
          <cell r="N1167">
            <v>41576.418472222198</v>
          </cell>
          <cell r="P1167" t="str">
            <v>0901-043050  JACKSON CTY/KC</v>
          </cell>
          <cell r="Q1167">
            <v>17095.939999999999</v>
          </cell>
          <cell r="R1167">
            <v>0</v>
          </cell>
        </row>
        <row r="1168">
          <cell r="A1168" t="str">
            <v>800583</v>
          </cell>
          <cell r="B1168" t="str">
            <v>LDC 2</v>
          </cell>
          <cell r="D1168" t="str">
            <v>no</v>
          </cell>
          <cell r="F1168" t="str">
            <v>F0523</v>
          </cell>
          <cell r="G1168" t="str">
            <v>New Main Extensions (SW)</v>
          </cell>
          <cell r="H1168" t="str">
            <v>Install 1537F 2P Fox Briar Plat 2</v>
          </cell>
          <cell r="I1168" t="str">
            <v>in service</v>
          </cell>
          <cell r="J1168" t="str">
            <v>New Main Extension - Install 1537 Ft of 2 in PL MP main for Fox Briar Plat 2 Subdivision located in Carl Junction.</v>
          </cell>
          <cell r="K1168" t="str">
            <v>Town 0513 Sector 0360.  16 total lots.  Cost: $45,410.04</v>
          </cell>
          <cell r="L1168">
            <v>42635</v>
          </cell>
          <cell r="O1168">
            <v>42614</v>
          </cell>
          <cell r="P1168" t="str">
            <v>0513-044020  JASPER CTY/CARL JUNCTION</v>
          </cell>
          <cell r="Q1168">
            <v>62259.040000000001</v>
          </cell>
          <cell r="R1168">
            <v>-6253.5</v>
          </cell>
        </row>
        <row r="1169">
          <cell r="A1169" t="str">
            <v>007312</v>
          </cell>
          <cell r="B1169" t="str">
            <v>LDC 2</v>
          </cell>
          <cell r="D1169" t="str">
            <v>no</v>
          </cell>
          <cell r="E1169" t="str">
            <v>21251144029</v>
          </cell>
          <cell r="F1169" t="str">
            <v>F0610</v>
          </cell>
          <cell r="G1169" t="str">
            <v>New business</v>
          </cell>
          <cell r="H1169" t="str">
            <v>Overlandridge 2nd Plat Main Ext</v>
          </cell>
          <cell r="I1169" t="str">
            <v>posted to CPR</v>
          </cell>
          <cell r="J1169" t="str">
            <v>Overlandridge 2nd Plat: Kansas City-Platte Co: New Main Extension - Contractor Crews  3760 (33-380)</v>
          </cell>
          <cell r="K1169" t="str">
            <v>Approved by: Gary Williams on 12/31/2014,  Extend main for 30 lots 39-68. (938' of 2'' PE and 675' of 4'' PE). 10' utility easement throughout the project. Pressure system C-041.</v>
          </cell>
          <cell r="L1169">
            <v>42134</v>
          </cell>
          <cell r="M1169">
            <v>42248</v>
          </cell>
          <cell r="N1169">
            <v>42284.723009259302</v>
          </cell>
          <cell r="O1169">
            <v>42156</v>
          </cell>
          <cell r="P1169" t="str">
            <v>1251-075010  PLATTE CTY/KANSAS CITY NORTH</v>
          </cell>
          <cell r="Q1169">
            <v>27046.77</v>
          </cell>
          <cell r="R1169">
            <v>-3657</v>
          </cell>
        </row>
        <row r="1170">
          <cell r="A1170" t="str">
            <v>008533</v>
          </cell>
          <cell r="B1170" t="str">
            <v>LDC 2</v>
          </cell>
          <cell r="D1170" t="str">
            <v>yes</v>
          </cell>
          <cell r="E1170" t="str">
            <v>21001155233</v>
          </cell>
          <cell r="F1170" t="str">
            <v>F0678</v>
          </cell>
          <cell r="G1170" t="str">
            <v>Replace bare steel main - safety re</v>
          </cell>
          <cell r="H1170" t="str">
            <v>Repl 333ft of 2in and 4in b/s main</v>
          </cell>
          <cell r="I1170" t="str">
            <v>posted to CPR</v>
          </cell>
          <cell r="J1170" t="str">
            <v>Repl 333ft of 2in and 4in b/s main w/ PE : St Joseph: Replace Bare Steel Main - 3760 Safety Related (34-394)</v>
          </cell>
          <cell r="K1170" t="str">
            <v>Approved by: Gary Williams on 05/20/2015,  Replace 305' of 2"b/s with 2"PE and 128' of 4"b/s with 4"PE due to down project.
Reopen 6-8-16 for late charge - permits per Shelly A.</v>
          </cell>
          <cell r="L1170">
            <v>42261</v>
          </cell>
          <cell r="M1170">
            <v>42369</v>
          </cell>
          <cell r="N1170">
            <v>42467.490648148101</v>
          </cell>
          <cell r="O1170">
            <v>42248</v>
          </cell>
          <cell r="P1170" t="str">
            <v>1001-010001  ST. JOSEPH CITY/BUCHANAN</v>
          </cell>
          <cell r="Q1170">
            <v>43340.6</v>
          </cell>
          <cell r="R1170">
            <v>-457</v>
          </cell>
        </row>
        <row r="1171">
          <cell r="A1171" t="str">
            <v>005696</v>
          </cell>
          <cell r="B1171" t="str">
            <v>LDC 2</v>
          </cell>
          <cell r="D1171" t="str">
            <v>no</v>
          </cell>
          <cell r="F1171" t="str">
            <v>F0495</v>
          </cell>
          <cell r="G1171" t="str">
            <v>General structures</v>
          </cell>
          <cell r="H1171" t="str">
            <v>Security Cameras - St. Joseph</v>
          </cell>
          <cell r="I1171" t="str">
            <v>posted to CPR</v>
          </cell>
          <cell r="J1171" t="str">
            <v>Install Genetec 6TB Archiver System</v>
          </cell>
          <cell r="K1171" t="str">
            <v>Complete per Al Moore 9-18-14 - AMM</v>
          </cell>
          <cell r="L1171">
            <v>41900</v>
          </cell>
          <cell r="M1171">
            <v>42156</v>
          </cell>
          <cell r="N1171">
            <v>42223.566018518497</v>
          </cell>
          <cell r="O1171">
            <v>41883</v>
          </cell>
          <cell r="P1171" t="str">
            <v>1001-010001  ST. JOSEPH CITY/BUCHANAN</v>
          </cell>
          <cell r="Q1171">
            <v>25101.77</v>
          </cell>
          <cell r="R1171">
            <v>14841</v>
          </cell>
        </row>
        <row r="1172">
          <cell r="A1172" t="str">
            <v>800137</v>
          </cell>
          <cell r="B1172" t="str">
            <v>LDC 2</v>
          </cell>
          <cell r="C1172" t="str">
            <v>03 - Bare Steel Replacement</v>
          </cell>
          <cell r="D1172" t="str">
            <v>yes</v>
          </cell>
          <cell r="F1172" t="str">
            <v>F0599</v>
          </cell>
          <cell r="G1172" t="str">
            <v>Main Replacement - ISRS (N)</v>
          </cell>
          <cell r="H1172" t="str">
            <v>St. Joe's South Phase 1C - MGE</v>
          </cell>
          <cell r="I1172" t="str">
            <v>in service</v>
          </cell>
          <cell r="J1172" t="str">
            <v>Install 3545 Ft of 2 in and 440 Ft of 4 in PL IP main for St. Joe's South Phase 1C. Abandon 3124 Ft of 2 in PBS, 1554 Ft of 4 in PBS, and 127 Ft of 4 in PCS (Poorly coated) LP main.</v>
          </cell>
          <cell r="K1172" t="str">
            <v>Uprate ~621' of 2'' PL LP and ~2027' of 4'' PL LP to IP on Lookout St, Belding St, 1st St, and Yale St. Total Service Estimate: 55 Tie-Overs, 27 Uprates, 2 Replacements, and 2 Abandonments. Main is being replaced as part of the FY 2016 Bare Steel Main Replacement Program.</v>
          </cell>
          <cell r="L1172">
            <v>42620</v>
          </cell>
          <cell r="O1172">
            <v>42614</v>
          </cell>
          <cell r="P1172" t="str">
            <v>1001-010001  ST. JOSEPH CITY/BUCHANAN</v>
          </cell>
          <cell r="Q1172">
            <v>186614</v>
          </cell>
          <cell r="R1172">
            <v>-2649.66</v>
          </cell>
        </row>
        <row r="1173">
          <cell r="A1173" t="str">
            <v>007790</v>
          </cell>
          <cell r="B1173" t="str">
            <v>LDC 2</v>
          </cell>
          <cell r="D1173" t="str">
            <v>yes</v>
          </cell>
          <cell r="E1173" t="str">
            <v>21001155067</v>
          </cell>
          <cell r="F1173" t="str">
            <v>F0678</v>
          </cell>
          <cell r="G1173" t="str">
            <v>Replace bare steel main - safety re</v>
          </cell>
          <cell r="H1173" t="str">
            <v>Repl 165ft of 3in BS w/ 4in PE.</v>
          </cell>
          <cell r="I1173" t="str">
            <v>posted to CPR</v>
          </cell>
          <cell r="J1173" t="str">
            <v>Repl 165ft of 3in BS w/ 4in PE.: St Joseph: Replace Bare Steel Main - 3760 Safety Related (34-394)</v>
          </cell>
          <cell r="K1173" t="str">
            <v>Approved by: Gary Williams on 03/03/2015,  Replace 165ft of 3in Bare steel with 4in Plastic Pipe due to down project.</v>
          </cell>
          <cell r="L1173">
            <v>42111</v>
          </cell>
          <cell r="M1173">
            <v>42217</v>
          </cell>
          <cell r="N1173">
            <v>42285.4230902778</v>
          </cell>
          <cell r="O1173">
            <v>42095</v>
          </cell>
          <cell r="P1173" t="str">
            <v>1001-010001  ST. JOSEPH CITY/BUCHANAN</v>
          </cell>
          <cell r="Q1173">
            <v>5435.84</v>
          </cell>
          <cell r="R1173">
            <v>-512</v>
          </cell>
        </row>
        <row r="1174">
          <cell r="A1174" t="str">
            <v>005467</v>
          </cell>
          <cell r="B1174" t="str">
            <v>LDC 2</v>
          </cell>
          <cell r="D1174" t="str">
            <v>yes</v>
          </cell>
          <cell r="E1174" t="str">
            <v>21001143536</v>
          </cell>
          <cell r="F1174" t="str">
            <v>F0678</v>
          </cell>
          <cell r="G1174" t="str">
            <v>Replace bare steel main - safety re</v>
          </cell>
          <cell r="H1174" t="str">
            <v>Monterey &amp; 16th Repl PBS w 406'-2in</v>
          </cell>
          <cell r="I1174" t="str">
            <v>posted to CPR</v>
          </cell>
          <cell r="J1174" t="str">
            <v>Monterey &amp; 16th Repl PBS w 406'-2in PE main: St Joseph: Replace Bare Steel Main - 3760 Safety Related (34-394)</v>
          </cell>
          <cell r="K1174" t="str">
            <v>Approved by: Gary Williams on 06/10/2014,  Replace PBS due to down project. Pressure system C-01</v>
          </cell>
          <cell r="L1174">
            <v>41880</v>
          </cell>
          <cell r="M1174">
            <v>41913</v>
          </cell>
          <cell r="N1174">
            <v>42041.669155092597</v>
          </cell>
          <cell r="O1174">
            <v>41883</v>
          </cell>
          <cell r="P1174" t="str">
            <v>1001-010001  ST. JOSEPH CITY/BUCHANAN</v>
          </cell>
          <cell r="Q1174">
            <v>2138.1999999999998</v>
          </cell>
          <cell r="R1174">
            <v>-514</v>
          </cell>
        </row>
        <row r="1175">
          <cell r="A1175" t="str">
            <v>004417</v>
          </cell>
          <cell r="B1175" t="str">
            <v>LDC 2</v>
          </cell>
          <cell r="D1175" t="str">
            <v>yes</v>
          </cell>
          <cell r="E1175" t="str">
            <v>21201050301</v>
          </cell>
          <cell r="F1175" t="str">
            <v>F0608</v>
          </cell>
          <cell r="G1175" t="str">
            <v>BWO Service Line Repl - ISRS (N)</v>
          </cell>
          <cell r="H1175" t="str">
            <v>BWO-REPLACE SERVICE</v>
          </cell>
          <cell r="I1175" t="str">
            <v>posted to CPR</v>
          </cell>
          <cell r="J1175" t="str">
            <v>BWO-REPLACE SERVICE</v>
          </cell>
          <cell r="K1175" t="str">
            <v>Project Type:B</v>
          </cell>
          <cell r="L1175">
            <v>41717</v>
          </cell>
          <cell r="M1175">
            <v>41717</v>
          </cell>
          <cell r="N1175">
            <v>41717</v>
          </cell>
          <cell r="O1175">
            <v>42278</v>
          </cell>
          <cell r="P1175" t="str">
            <v>1201-020042  CLAY CTY/KANSAS CITY (N PLANT)</v>
          </cell>
          <cell r="Q1175">
            <v>800</v>
          </cell>
          <cell r="R1175">
            <v>0</v>
          </cell>
        </row>
        <row r="1176">
          <cell r="A1176" t="str">
            <v>004223</v>
          </cell>
          <cell r="B1176" t="str">
            <v>LDC 2</v>
          </cell>
          <cell r="D1176" t="str">
            <v>yes</v>
          </cell>
          <cell r="E1176" t="str">
            <v>21231133214</v>
          </cell>
          <cell r="F1176" t="str">
            <v>F0665</v>
          </cell>
          <cell r="G1176" t="str">
            <v>Replace steel &amp; plastic main</v>
          </cell>
          <cell r="H1176" t="str">
            <v>3rd St Abandon 140'-1-1/4 PCS Main</v>
          </cell>
          <cell r="I1176" t="str">
            <v>posted to CPR</v>
          </cell>
          <cell r="J1176" t="str">
            <v>3rd St Abandon 140'-1-1/4 PCS Main : Stewartsville-DeKalb County: 3rd Street and Main Street (Hwy K)</v>
          </cell>
          <cell r="K1176" t="str">
            <v>Approved by: Gary Williams on 12/12/2013,  This work order is necessary due to private construction. 1-1/4" PCS gas main is no longer needed. Abandon 140' of 1-1/4" PCS main WO# 68-7245. Pressure System= S-049, MOP= 15PSIG, MAOP= 15PSIG.</v>
          </cell>
          <cell r="L1176">
            <v>41570</v>
          </cell>
          <cell r="M1176">
            <v>41712</v>
          </cell>
          <cell r="N1176">
            <v>41715.574374999997</v>
          </cell>
          <cell r="P1176" t="str">
            <v>1231-028004  DEKALB CTY/STEWARTSVILLE</v>
          </cell>
          <cell r="Q1176">
            <v>684.59</v>
          </cell>
          <cell r="R1176">
            <v>143</v>
          </cell>
        </row>
        <row r="1177">
          <cell r="A1177" t="str">
            <v>800419</v>
          </cell>
          <cell r="B1177" t="str">
            <v>LDC 2</v>
          </cell>
          <cell r="D1177" t="str">
            <v>no</v>
          </cell>
          <cell r="F1177" t="str">
            <v>F0547</v>
          </cell>
          <cell r="G1177" t="str">
            <v>Street &amp; Highway Relocates ISRS (N)</v>
          </cell>
          <cell r="H1177" t="str">
            <v>Rel w/ 1727F 6P Stewart Rd</v>
          </cell>
          <cell r="I1177" t="str">
            <v>in service</v>
          </cell>
          <cell r="J1177" t="str">
            <v>Install 1727' of 6'' PE. Abandon 1712' of 6'' STL, 129' of 2'' PE at Liberty Commons Stewart Rd. This relocation is for private development. Not reimbursable.</v>
          </cell>
          <cell r="K1177" t="str">
            <v>This relocation is for private development.  Costs are covered by the economic analysis - related project 800426 (main ext).</v>
          </cell>
          <cell r="L1177">
            <v>42660</v>
          </cell>
          <cell r="O1177">
            <v>42644</v>
          </cell>
          <cell r="P1177" t="str">
            <v>1207-020001  CLAY CTY/LIBERTY</v>
          </cell>
          <cell r="Q1177">
            <v>71874.39</v>
          </cell>
          <cell r="R1177">
            <v>507</v>
          </cell>
        </row>
        <row r="1178">
          <cell r="A1178" t="str">
            <v>005515</v>
          </cell>
          <cell r="B1178" t="str">
            <v>LDC 2</v>
          </cell>
          <cell r="D1178" t="str">
            <v>yes</v>
          </cell>
          <cell r="E1178" t="str">
            <v>21207143502</v>
          </cell>
          <cell r="F1178" t="str">
            <v>F0595</v>
          </cell>
          <cell r="G1178" t="str">
            <v>Street &amp; highway relocates</v>
          </cell>
          <cell r="H1178" t="str">
            <v>73rd Crt Reloc PCS w 325'-6in TF St</v>
          </cell>
          <cell r="I1178" t="str">
            <v>posted to CPR</v>
          </cell>
          <cell r="J1178" t="str">
            <v>73rd Crt Reloc PCS w 325'-6in TF Steel: Liberty: Relocate for Street &amp; Highway-Public Improvements (44-388)</v>
          </cell>
          <cell r="K1178" t="str">
            <v>Approved by: Gary Williams on 06/13/2014,  (ISRS)  Lay 325'-6in thin film for MODOT project J4I3005 under I-35.  Main needs to be 12' deep under the highway due to cuts.  No services to tie-over.  Retire 325'-10in PCS, WO 67-5537, Year 1967.  COST PER FOOT $132.92</v>
          </cell>
          <cell r="L1178">
            <v>41978</v>
          </cell>
          <cell r="M1178">
            <v>42155</v>
          </cell>
          <cell r="N1178">
            <v>42256.640810185199</v>
          </cell>
          <cell r="O1178">
            <v>41974</v>
          </cell>
          <cell r="P1178" t="str">
            <v>1207-020001  CLAY CTY/LIBERTY</v>
          </cell>
          <cell r="Q1178">
            <v>11210.85</v>
          </cell>
          <cell r="R1178">
            <v>330.5</v>
          </cell>
        </row>
        <row r="1179">
          <cell r="A1179" t="str">
            <v>007863</v>
          </cell>
          <cell r="B1179" t="str">
            <v>LDC 2</v>
          </cell>
          <cell r="D1179" t="str">
            <v>no</v>
          </cell>
          <cell r="E1179" t="str">
            <v>21215155232</v>
          </cell>
          <cell r="F1179" t="str">
            <v>F0654</v>
          </cell>
          <cell r="G1179" t="str">
            <v>New main extensions - less than 200</v>
          </cell>
          <cell r="H1179" t="str">
            <v>Pump Station 2inch Main Extension</v>
          </cell>
          <cell r="I1179" t="str">
            <v>posted to CPR</v>
          </cell>
          <cell r="J1179" t="str">
            <v>Pump Station 2inch Main Extension: Kearney: New Main Extension - Company Crews  3760 (33-305)</v>
          </cell>
          <cell r="K1179" t="str">
            <v>Approved by: Ray Wilson on 03/13/2015,  Install 110' of 2" PE to serve one new commercial customer.</v>
          </cell>
          <cell r="L1179">
            <v>42094</v>
          </cell>
          <cell r="M1179">
            <v>42248</v>
          </cell>
          <cell r="N1179">
            <v>42284.723414351902</v>
          </cell>
          <cell r="O1179">
            <v>42095</v>
          </cell>
          <cell r="P1179" t="str">
            <v>1215-020023  CLAY CTY/KEARNEY</v>
          </cell>
          <cell r="Q1179">
            <v>4394.7</v>
          </cell>
          <cell r="R1179">
            <v>-605</v>
          </cell>
        </row>
        <row r="1180">
          <cell r="A1180" t="str">
            <v>004514</v>
          </cell>
          <cell r="B1180" t="str">
            <v>LDC 2</v>
          </cell>
          <cell r="D1180" t="str">
            <v>no</v>
          </cell>
          <cell r="E1180" t="str">
            <v>21904132750</v>
          </cell>
          <cell r="F1180" t="str">
            <v>F0529</v>
          </cell>
          <cell r="G1180" t="str">
            <v>Meter Purchases - MGE</v>
          </cell>
          <cell r="H1180" t="str">
            <v>Pur 2000 AC250-TC Am Meters Oct</v>
          </cell>
          <cell r="I1180" t="str">
            <v>posted to CPR</v>
          </cell>
          <cell r="J1180" t="str">
            <v>Pur 2000 AC250-TC Am Meters October 2013: Kansas City CORP: Central Plant Meter Shop</v>
          </cell>
          <cell r="K1180" t="str">
            <v>Approved by: Rob Hack on 06/20/2013,  Retirement unit # 73003086 This work order for new domestic meters to be delivered October 2013.</v>
          </cell>
          <cell r="L1180">
            <v>41542</v>
          </cell>
          <cell r="M1180">
            <v>41578</v>
          </cell>
          <cell r="N1180">
            <v>41584.396331018499</v>
          </cell>
          <cell r="P1180" t="str">
            <v>1904-043050  JACKSON CTY/KC</v>
          </cell>
          <cell r="Q1180">
            <v>150707.69</v>
          </cell>
          <cell r="R1180">
            <v>0</v>
          </cell>
        </row>
        <row r="1181">
          <cell r="A1181" t="str">
            <v>004060</v>
          </cell>
          <cell r="B1181" t="str">
            <v>LDC 2</v>
          </cell>
          <cell r="D1181" t="str">
            <v>no</v>
          </cell>
          <cell r="E1181" t="str">
            <v>21904132863</v>
          </cell>
          <cell r="F1181" t="str">
            <v>F0642</v>
          </cell>
          <cell r="G1181" t="str">
            <v>Tools, Instruments &amp; Other Equip</v>
          </cell>
          <cell r="H1181" t="str">
            <v>Pur new vacuum pump for meter shop</v>
          </cell>
          <cell r="I1181" t="str">
            <v>posted to CPR</v>
          </cell>
          <cell r="J1181" t="str">
            <v>Pur new vacuum pump for meter shop: Kansas City-Jackson: Central Plant Meter Shop</v>
          </cell>
          <cell r="K1181" t="str">
            <v>Approved by: Rob Kitterman on 09/13/2013,  Purchase new vacuum pump, this is reqd due to additional proovers being put in service.  The old vacuum pump does not have the capacity to handle additional equipment load.  The current pump will not be retired.</v>
          </cell>
          <cell r="L1181">
            <v>41536</v>
          </cell>
          <cell r="M1181">
            <v>41670</v>
          </cell>
          <cell r="N1181">
            <v>41677.509768518503</v>
          </cell>
          <cell r="P1181" t="str">
            <v>1904-043050  JACKSON CTY/KC</v>
          </cell>
          <cell r="Q1181">
            <v>9422.86</v>
          </cell>
          <cell r="R1181">
            <v>0</v>
          </cell>
        </row>
        <row r="1182">
          <cell r="A1182" t="str">
            <v>008790</v>
          </cell>
          <cell r="B1182" t="str">
            <v>LDC 2</v>
          </cell>
          <cell r="D1182" t="str">
            <v>yes</v>
          </cell>
          <cell r="E1182" t="str">
            <v>21261155422</v>
          </cell>
          <cell r="F1182" t="str">
            <v>F0547</v>
          </cell>
          <cell r="G1182" t="str">
            <v>Street &amp; Highway Relocates ISRS (N)</v>
          </cell>
          <cell r="H1182" t="str">
            <v>4in PCS Relocation</v>
          </cell>
          <cell r="I1182" t="str">
            <v>posted to CPR</v>
          </cell>
          <cell r="J1182" t="str">
            <v>4in PCS Relocation: Kansas City-Rural: Relocate for Street &amp; Highway-Public Improvements (44-388)</v>
          </cell>
          <cell r="K1182" t="str">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ell>
          <cell r="L1182">
            <v>42244</v>
          </cell>
          <cell r="M1182">
            <v>42491</v>
          </cell>
          <cell r="N1182">
            <v>42528.472824074102</v>
          </cell>
          <cell r="O1182">
            <v>42217</v>
          </cell>
          <cell r="P1182" t="str">
            <v>1261-075025  PLATTE CTY/??? TWP</v>
          </cell>
          <cell r="Q1182">
            <v>42157.13</v>
          </cell>
          <cell r="R1182">
            <v>516</v>
          </cell>
        </row>
        <row r="1183">
          <cell r="A1183" t="str">
            <v>800223</v>
          </cell>
          <cell r="B1183" t="str">
            <v>LDC 2</v>
          </cell>
          <cell r="D1183" t="str">
            <v>no</v>
          </cell>
          <cell r="F1183" t="str">
            <v>F0614</v>
          </cell>
          <cell r="G1183" t="str">
            <v>Main Repl - Sys Reinforcement (N)</v>
          </cell>
          <cell r="H1183" t="str">
            <v>Reinforce w/ 13400F 8S Cookingham</v>
          </cell>
          <cell r="I1183" t="str">
            <v>open</v>
          </cell>
          <cell r="J1183" t="str">
            <v>Cookingham Reinforcement - 13,400’ of 8 steel main from N Agnes Ave to East of
NE Sherman Rd.</v>
          </cell>
          <cell r="P1183" t="str">
            <v>1271-020036  CLAY CTY/KANSAS CITY</v>
          </cell>
          <cell r="Q1183">
            <v>1410023.16</v>
          </cell>
          <cell r="R1183">
            <v>-14082</v>
          </cell>
        </row>
        <row r="1184">
          <cell r="A1184" t="str">
            <v>005213</v>
          </cell>
          <cell r="B1184" t="str">
            <v>LDC 2</v>
          </cell>
          <cell r="D1184" t="str">
            <v>no</v>
          </cell>
          <cell r="E1184" t="str">
            <v>21271132909</v>
          </cell>
          <cell r="F1184" t="str">
            <v>F0610</v>
          </cell>
          <cell r="G1184" t="str">
            <v>New business</v>
          </cell>
          <cell r="H1184" t="str">
            <v>NE Norton &amp; NE Myrtle Lay 993'-2;59</v>
          </cell>
          <cell r="I1184" t="str">
            <v>posted to CPR</v>
          </cell>
          <cell r="J1184" t="str">
            <v>NE Norton &amp; NE Myrtle Lay 993'-2;599'-4in PE main : Kansas City-Clay Co: New Main Extension - Contractor Crews  3760 (33-380)</v>
          </cell>
          <cell r="K1184" t="str">
            <v>Approved by: Gary Williams on 05/05/2014,  LAYING 599'-4" PE &amp; 993'-2" PE IN ORDER TO SERVE 25 LOTS.  LOTS 151-175.  CHECK W/ JIM OWENS FOR PROGRESS ON SITE; BEFORE STARTING PROJECT. COST PER FOOT=$16.03  1,592' x $8.50=$13,532.00  DEVELOPER TO CONTRIBUTE $13,532.00 BEFORE START OF PROJECT.</v>
          </cell>
          <cell r="L1184">
            <v>41842</v>
          </cell>
          <cell r="M1184">
            <v>41851</v>
          </cell>
          <cell r="N1184">
            <v>42223.565509259301</v>
          </cell>
          <cell r="O1184">
            <v>41883</v>
          </cell>
          <cell r="P1184" t="str">
            <v>1271-020036  CLAY CTY/KANSAS CITY</v>
          </cell>
          <cell r="Q1184">
            <v>16197.96</v>
          </cell>
          <cell r="R1184">
            <v>-3688.9</v>
          </cell>
        </row>
        <row r="1185">
          <cell r="A1185" t="str">
            <v>005188</v>
          </cell>
          <cell r="B1185" t="str">
            <v>LDC 2</v>
          </cell>
          <cell r="D1185" t="str">
            <v>no</v>
          </cell>
          <cell r="E1185" t="str">
            <v>21272143546</v>
          </cell>
          <cell r="F1185" t="str">
            <v>F0639</v>
          </cell>
          <cell r="G1185" t="str">
            <v>EGM Equip-1st Time Installation</v>
          </cell>
          <cell r="H1185" t="str">
            <v>EGM Repace - NKC Hospital</v>
          </cell>
          <cell r="I1185" t="str">
            <v>posted to CPR</v>
          </cell>
          <cell r="J1185" t="str">
            <v>EGM Repace - NKC Hospital: North Kansas City: Install EGM Equipment - First Time Installation  3850 (32-403)</v>
          </cell>
          <cell r="K1185" t="str">
            <v>Approved by: Rob Kitterman on 05/01/2014,  Replace EGM equipment with a new Mini-AT-PT, S/N: 13038780, &amp; Messenger Modem. Existing meter is a Roots T-60 125 Rockwell 8" Turbine meter# 00812495. The existing equipment was damaged beyond repair. Retire the damaged ECAT, S/N: 9405401 on this WO as well.</v>
          </cell>
          <cell r="L1185">
            <v>42443</v>
          </cell>
          <cell r="M1185">
            <v>42491</v>
          </cell>
          <cell r="N1185">
            <v>42772.501875000002</v>
          </cell>
          <cell r="O1185">
            <v>42430</v>
          </cell>
          <cell r="P1185" t="str">
            <v>1272-020043  CLAY CTY/NORTH KANSAS CITY</v>
          </cell>
          <cell r="Q1185">
            <v>3779.08</v>
          </cell>
          <cell r="R1185">
            <v>9</v>
          </cell>
        </row>
        <row r="1186">
          <cell r="A1186" t="str">
            <v>006330</v>
          </cell>
          <cell r="B1186" t="str">
            <v>LDC 2</v>
          </cell>
          <cell r="D1186" t="str">
            <v>no</v>
          </cell>
          <cell r="E1186" t="str">
            <v>21271143794</v>
          </cell>
          <cell r="F1186" t="str">
            <v>F0538</v>
          </cell>
          <cell r="G1186" t="str">
            <v>Other Communication Costs</v>
          </cell>
          <cell r="H1186" t="str">
            <v>Electrical Service and Meter for SC</v>
          </cell>
          <cell r="I1186" t="str">
            <v>in service</v>
          </cell>
          <cell r="J1186" t="str">
            <v>Electrical Service and Meter for SCADA Equipment : Kansas City-Clay Co: Other Capital Communications  3970 (41-415)</v>
          </cell>
          <cell r="K1186" t="str">
            <v>Approved by: Rob Kitterman on 09/09/2014,  Relocate SCADA point from DRS #51 at 46th and N. Oak site to DRS 52 at 42nd and N. Oak . Insufficiently powered, solar site. Smart transmitter. Land line phone circuitry. Single system pressure point. Old enclosure had severe damage, needed replacement.</v>
          </cell>
          <cell r="L1186">
            <v>42443</v>
          </cell>
          <cell r="O1186">
            <v>42430</v>
          </cell>
          <cell r="P1186" t="str">
            <v>1271-020036  CLAY CTY/KANSAS CITY</v>
          </cell>
          <cell r="Q1186">
            <v>13298.99</v>
          </cell>
          <cell r="R1186">
            <v>0</v>
          </cell>
        </row>
        <row r="1187">
          <cell r="A1187" t="str">
            <v>800799</v>
          </cell>
          <cell r="B1187" t="str">
            <v>LDC 2</v>
          </cell>
          <cell r="C1187" t="str">
            <v>01 - Cast Iron Strategic Replacement</v>
          </cell>
          <cell r="D1187" t="str">
            <v>yes</v>
          </cell>
          <cell r="F1187" t="str">
            <v>F0599</v>
          </cell>
          <cell r="G1187" t="str">
            <v>Main Replacement - ISRS (N)</v>
          </cell>
          <cell r="H1187" t="str">
            <v>Repl 8320F 2-4P Dunn Park Phase 1I</v>
          </cell>
          <cell r="I1187" t="str">
            <v>open</v>
          </cell>
          <cell r="J1187" t="str">
            <v>Install 4,565 Ft of 2 in PL IP main and 3,755 Ft of 4 in PL IP main on The Paseo Blvd, Brooklyn Ave, Prospect Ave, 70th St, 70th Ter, 71st St(Gregory Blvd).</v>
          </cell>
          <cell r="K1187" t="str">
            <v>Abandon 34 Ft of 4 in ST LP main, 99 Ft of 6 in ST LP main, 8 Ft of 12 in ST LP main, 160 Ft of 4 in CI LP main, 6,475 ft of 6 in CI LP main, 981 Ft of 10 in CI LP main, and 685 Ft of 12 in CI LP main at the above location.  Total Service Tie-over = 119; Total Service Replacement =40; Total Service Abandoned = 25;  This main is being abandoned as part of FY17 Bare Steel Replacement Program.</v>
          </cell>
          <cell r="P1187" t="str">
            <v>0401-043050  JACKSON CTY/KC</v>
          </cell>
          <cell r="Q1187">
            <v>0</v>
          </cell>
          <cell r="R1187">
            <v>8442</v>
          </cell>
        </row>
        <row r="1188">
          <cell r="A1188" t="str">
            <v>801178</v>
          </cell>
          <cell r="B1188" t="str">
            <v>LDC 2</v>
          </cell>
          <cell r="C1188" t="str">
            <v>09 - Facility Relocation due to Civic Improvement</v>
          </cell>
          <cell r="D1188" t="str">
            <v>yes</v>
          </cell>
          <cell r="F1188" t="str">
            <v>F0547</v>
          </cell>
          <cell r="G1188" t="str">
            <v>Street &amp; Highway Relocates ISRS (N)</v>
          </cell>
          <cell r="H1188" t="str">
            <v>Reloc 100F 6S 57th &amp; Norfleet Rd</v>
          </cell>
          <cell r="I1188" t="str">
            <v>open</v>
          </cell>
          <cell r="J1188" t="str">
            <v>Install ~ 100' of 6'' STL. Abandon ~90' of 6'' STL. 1 Service Tie over.</v>
          </cell>
          <cell r="K1188" t="str">
            <v>This project is due to Civic Improvement.</v>
          </cell>
          <cell r="P1188" t="str">
            <v>0401-043050  JACKSON CTY/KC</v>
          </cell>
          <cell r="Q1188">
            <v>0</v>
          </cell>
          <cell r="R1188">
            <v>90</v>
          </cell>
        </row>
        <row r="1189">
          <cell r="A1189" t="str">
            <v>801086</v>
          </cell>
          <cell r="B1189" t="str">
            <v>LDC 2</v>
          </cell>
          <cell r="D1189" t="str">
            <v>no</v>
          </cell>
          <cell r="F1189" t="str">
            <v>F0599</v>
          </cell>
          <cell r="G1189" t="str">
            <v>Main Replacement - ISRS (N)</v>
          </cell>
          <cell r="H1189" t="str">
            <v>Aband 979F 4-6P Ward Parkway</v>
          </cell>
          <cell r="I1189" t="str">
            <v>open</v>
          </cell>
          <cell r="J1189" t="str">
            <v>Abandon approx 803 ft of 6 in LP main, 68 ft of 4 in MP main, and 108 ft of 4 in MP PE main.</v>
          </cell>
          <cell r="P1189" t="str">
            <v>0401-043050  JACKSON CTY/KC</v>
          </cell>
          <cell r="Q1189">
            <v>0</v>
          </cell>
          <cell r="R1189">
            <v>910</v>
          </cell>
        </row>
        <row r="1190">
          <cell r="A1190" t="str">
            <v>800508</v>
          </cell>
          <cell r="B1190" t="str">
            <v>LDC 2</v>
          </cell>
          <cell r="C1190" t="str">
            <v>01 - Cast Iron Strategic Replacement</v>
          </cell>
          <cell r="D1190" t="str">
            <v>yes</v>
          </cell>
          <cell r="F1190" t="str">
            <v>F0599</v>
          </cell>
          <cell r="G1190" t="str">
            <v>Main Replacement - ISRS (N)</v>
          </cell>
          <cell r="H1190" t="str">
            <v>Repl 6730F 2-6P 63rd &amp; 55th Ph 1K</v>
          </cell>
          <cell r="I1190" t="str">
            <v>open</v>
          </cell>
          <cell r="J1190" t="str">
            <v>Install 4,310 Ft of 2-inch PL IP main and 2,420 Ft of 6-inch PL IP main on 59th St, Troost Ave, and Forest Ave in between 59th and 63rd Street.</v>
          </cell>
          <cell r="K1190" t="str">
            <v>Abandon 757 Ft of 12-inch CI LP main, 2,896 Ft of 4-inch CI LP main, 24 Ft of 6-inch CI LP main, 1,654 Ft of 8-inch CI LP main, 82 Ft of 2-inch PL LP main, 203 Ft of 3-inch PL LP main, 33 Ft of 4-inch PL LP main, 65 Ft of 12-inch ST LP main, 135 Ft of 3” ST LP main, 8 Ft of 4-inch ST LP main, 1,283 Ft of 6-inch ST LP main at the above location.  Total Service Tie-over = 89; Total Service Replacement = 22; Total Service Abandoned = 9;  This main is being abandoned as part of FY17 Bare Steel Replacement Program.</v>
          </cell>
          <cell r="P1190" t="str">
            <v>0401-043050  JACKSON CTY/KC</v>
          </cell>
          <cell r="Q1190">
            <v>0</v>
          </cell>
          <cell r="R1190">
            <v>7140</v>
          </cell>
        </row>
        <row r="1191">
          <cell r="A1191" t="str">
            <v>800756</v>
          </cell>
          <cell r="B1191" t="str">
            <v>LDC 2</v>
          </cell>
          <cell r="C1191" t="str">
            <v>03 - Bare Steel Replacement</v>
          </cell>
          <cell r="D1191" t="str">
            <v>yes</v>
          </cell>
          <cell r="F1191" t="str">
            <v>F0599</v>
          </cell>
          <cell r="G1191" t="str">
            <v>Main Replacement - ISRS (N)</v>
          </cell>
          <cell r="H1191" t="str">
            <v>Repl w 1353F 2P Grandview &amp; 115th</v>
          </cell>
          <cell r="I1191" t="str">
            <v>open</v>
          </cell>
          <cell r="J1191" t="str">
            <v>Install ~1353 ft of 2 in PL IP main along Grandview Rd between 115th and Martha Truman Rd.</v>
          </cell>
          <cell r="K1191" t="str">
            <v>Abandon ~1353 ft of 2 in ST IP main at above location.  Total Service Tie-over = 9.</v>
          </cell>
          <cell r="P1191" t="str">
            <v>0401-043050  JACKSON CTY/KC</v>
          </cell>
          <cell r="Q1191">
            <v>2872.28</v>
          </cell>
          <cell r="R1191">
            <v>-1710</v>
          </cell>
        </row>
        <row r="1192">
          <cell r="A1192" t="str">
            <v>800148</v>
          </cell>
          <cell r="B1192" t="str">
            <v>LDC 2</v>
          </cell>
          <cell r="C1192" t="str">
            <v>01 - Cast Iron Strategic Replacement</v>
          </cell>
          <cell r="D1192" t="str">
            <v>yes</v>
          </cell>
          <cell r="F1192" t="str">
            <v>F0599</v>
          </cell>
          <cell r="G1192" t="str">
            <v>Main Replacement - ISRS (N)</v>
          </cell>
          <cell r="H1192" t="str">
            <v>Repl w 3259F 2P Hwy 71&amp;Gregory PhH</v>
          </cell>
          <cell r="I1192" t="str">
            <v>open</v>
          </cell>
          <cell r="J1192" t="str">
            <v>Install 3259 ft of 2PL IP main and 1015 ft of 4PL IP main at 69th Street, Bellefontaine, Walrond, College, and Indiana Ave. Retire 1345 ft of 12 in CI LP, 2583 ft of 6 in CI LP &amp; 618 ft of 4 in CI LP.</v>
          </cell>
          <cell r="P1192" t="str">
            <v>0401-043050  JACKSON CTY/KC</v>
          </cell>
          <cell r="Q1192">
            <v>294961.84000000003</v>
          </cell>
          <cell r="R1192">
            <v>-4445</v>
          </cell>
        </row>
        <row r="1193">
          <cell r="A1193" t="str">
            <v>800623</v>
          </cell>
          <cell r="B1193" t="str">
            <v>LDC 2</v>
          </cell>
          <cell r="C1193" t="str">
            <v>01 - Cast Iron Strategic Replacement</v>
          </cell>
          <cell r="D1193" t="str">
            <v>yes</v>
          </cell>
          <cell r="F1193" t="str">
            <v>F0599</v>
          </cell>
          <cell r="G1193" t="str">
            <v>Main Replacement - ISRS (N)</v>
          </cell>
          <cell r="H1193" t="str">
            <v>Repl w/ 824F 4P 13th &amp; Brooklyn</v>
          </cell>
          <cell r="I1193" t="str">
            <v>open</v>
          </cell>
          <cell r="J1193" t="str">
            <v>Install 824 ft of 4 in PE LP main on Brooklyn and 13th Street. Retire 174 ft of 12 in CI LP main and 643 ft of 4 in CI LP main at above streets. Total Service Tie-over = 12; Total Service Replace = 3.</v>
          </cell>
          <cell r="P1193" t="str">
            <v>0401-043050  JACKSON CTY/KC</v>
          </cell>
          <cell r="Q1193">
            <v>112720.97</v>
          </cell>
          <cell r="R1193">
            <v>-1045</v>
          </cell>
        </row>
        <row r="1194">
          <cell r="A1194" t="str">
            <v>010879</v>
          </cell>
          <cell r="B1194" t="str">
            <v>LDC 2</v>
          </cell>
          <cell r="D1194" t="str">
            <v>no</v>
          </cell>
          <cell r="F1194" t="str">
            <v>F1152</v>
          </cell>
          <cell r="G1194" t="str">
            <v>Vehicle Purchases - MGE</v>
          </cell>
          <cell r="H1194" t="str">
            <v>Purchase (4) automobiles. MGE</v>
          </cell>
          <cell r="I1194" t="str">
            <v>posted to CPR</v>
          </cell>
          <cell r="J1194" t="str">
            <v>Purchase 4 Additional Automobiles MGE</v>
          </cell>
          <cell r="L1194">
            <v>42643</v>
          </cell>
          <cell r="M1194">
            <v>42733</v>
          </cell>
          <cell r="N1194">
            <v>42742.624918981499</v>
          </cell>
          <cell r="O1194">
            <v>42614</v>
          </cell>
          <cell r="P1194" t="str">
            <v>0401-043050  JACKSON CTY/KC</v>
          </cell>
          <cell r="Q1194">
            <v>84769.04</v>
          </cell>
          <cell r="R1194">
            <v>4</v>
          </cell>
        </row>
        <row r="1195">
          <cell r="A1195" t="str">
            <v>800359</v>
          </cell>
          <cell r="B1195" t="str">
            <v>LDC 2</v>
          </cell>
          <cell r="C1195" t="str">
            <v>01 - Cast Iron Strategic Replacement</v>
          </cell>
          <cell r="D1195" t="str">
            <v>yes</v>
          </cell>
          <cell r="F1195" t="str">
            <v>F0599</v>
          </cell>
          <cell r="G1195" t="str">
            <v>Main Replacement - ISRS (N)</v>
          </cell>
          <cell r="H1195" t="str">
            <v>63rd and Troost 12in CI repl</v>
          </cell>
          <cell r="I1195" t="str">
            <v>open</v>
          </cell>
          <cell r="J1195" t="str">
            <v> Install 15ft of 12 in LP STL and abandon 15 ft of 12 in CI - 63rd &amp; Troost.</v>
          </cell>
          <cell r="P1195" t="str">
            <v>0401-043050  JACKSON CTY/KC</v>
          </cell>
          <cell r="Q1195">
            <v>909.15</v>
          </cell>
          <cell r="R1195">
            <v>15</v>
          </cell>
        </row>
        <row r="1196">
          <cell r="A1196" t="str">
            <v>800029</v>
          </cell>
          <cell r="B1196" t="str">
            <v>LDC 2</v>
          </cell>
          <cell r="C1196" t="str">
            <v>02 - Cast Iron AOR Replacement</v>
          </cell>
          <cell r="D1196" t="str">
            <v>yes</v>
          </cell>
          <cell r="F1196" t="str">
            <v>F0599</v>
          </cell>
          <cell r="G1196" t="str">
            <v>Main Replacement - ISRS (N)</v>
          </cell>
          <cell r="H1196" t="str">
            <v>AOR - 2601 Smart Ave</v>
          </cell>
          <cell r="I1196" t="str">
            <v>posted to CPR</v>
          </cell>
          <cell r="J1196" t="str">
            <v>Install 520’ of 2’’ PE and 230’ of 4’’ PE. Abandon 151' of 3'' STL, 122' of 2'' STL, 5' of 4'' STL, 340’ of 6’’ CI.  Replacing Cast Iron due to AOR. Due 11/13/2015</v>
          </cell>
          <cell r="L1196">
            <v>42369</v>
          </cell>
          <cell r="M1196">
            <v>42704</v>
          </cell>
          <cell r="N1196">
            <v>42772.668634259302</v>
          </cell>
          <cell r="O1196">
            <v>42401</v>
          </cell>
          <cell r="P1196" t="str">
            <v>0401-043050  JACKSON CTY/KC</v>
          </cell>
          <cell r="Q1196">
            <v>81674.28</v>
          </cell>
          <cell r="R1196">
            <v>812.5</v>
          </cell>
        </row>
        <row r="1197">
          <cell r="A1197" t="str">
            <v>007924</v>
          </cell>
          <cell r="B1197" t="str">
            <v>LDC 2</v>
          </cell>
          <cell r="D1197" t="str">
            <v>no</v>
          </cell>
          <cell r="E1197" t="str">
            <v>20401155228</v>
          </cell>
          <cell r="F1197" t="str">
            <v>F0670</v>
          </cell>
          <cell r="G1197" t="str">
            <v>Tools, Instruments &amp; Equipment (N)</v>
          </cell>
          <cell r="H1197" t="str">
            <v>Purchase Audio Supply Yellow Box</v>
          </cell>
          <cell r="I1197" t="str">
            <v>posted to CPR</v>
          </cell>
          <cell r="J1197" t="str">
            <v>Purchase Audio Supply Yellow Box: Kansas City-Jackson: Purchase Tools, Instruments &amp; Equipment  3940 (37-366)</v>
          </cell>
          <cell r="K1197" t="str">
            <v>Approved by: Gary Williams on 03/18/2015,  For field base work force employees. Bore rig.</v>
          </cell>
          <cell r="L1197">
            <v>42122</v>
          </cell>
          <cell r="M1197">
            <v>42491</v>
          </cell>
          <cell r="N1197">
            <v>42527.511782407397</v>
          </cell>
          <cell r="O1197">
            <v>42095</v>
          </cell>
          <cell r="P1197" t="str">
            <v>0401-043050  JACKSON CTY/KC</v>
          </cell>
          <cell r="Q1197">
            <v>3805.26</v>
          </cell>
          <cell r="R1197">
            <v>1</v>
          </cell>
        </row>
        <row r="1198">
          <cell r="A1198" t="str">
            <v>007502</v>
          </cell>
          <cell r="B1198" t="str">
            <v>LDC 2</v>
          </cell>
          <cell r="D1198" t="str">
            <v>no</v>
          </cell>
          <cell r="E1198" t="str">
            <v>20401155101</v>
          </cell>
          <cell r="F1198" t="str">
            <v>F0610</v>
          </cell>
          <cell r="G1198" t="str">
            <v>New business</v>
          </cell>
          <cell r="H1198" t="str">
            <v>2in PE Main Extension</v>
          </cell>
          <cell r="I1198" t="str">
            <v>posted to CPR</v>
          </cell>
          <cell r="J1198" t="str">
            <v>2in PE Main Extension: Kansas City-Jackson: New Main Extension - Contractor Crews  3760 (33-380)</v>
          </cell>
          <cell r="K1198" t="str">
            <v>Approved by: Gary Williams on 01/26/2015,  Extend 2'' PE Main 130' in order to serve house 2217 E. 21st St. System C-001.</v>
          </cell>
          <cell r="L1198">
            <v>42045</v>
          </cell>
          <cell r="M1198">
            <v>42248</v>
          </cell>
          <cell r="N1198">
            <v>42284.723124999997</v>
          </cell>
          <cell r="O1198">
            <v>42036</v>
          </cell>
          <cell r="P1198" t="str">
            <v>0401-043050  JACKSON CTY/KC</v>
          </cell>
          <cell r="Q1198">
            <v>14332.04</v>
          </cell>
          <cell r="R1198">
            <v>-30.5</v>
          </cell>
        </row>
        <row r="1199">
          <cell r="A1199" t="str">
            <v>007930</v>
          </cell>
          <cell r="B1199" t="str">
            <v>LDC 2</v>
          </cell>
          <cell r="D1199" t="str">
            <v>no</v>
          </cell>
          <cell r="E1199" t="str">
            <v>20401155250</v>
          </cell>
          <cell r="F1199" t="str">
            <v>F0658</v>
          </cell>
          <cell r="G1199" t="str">
            <v>Services -  2" &amp; larger</v>
          </cell>
          <cell r="H1199" t="str">
            <v>2inch Service Line</v>
          </cell>
          <cell r="I1199" t="str">
            <v>posted to CPR</v>
          </cell>
          <cell r="J1199" t="str">
            <v>2inch Service Line: Kansas City-Jackson: New Services 2in &amp; Larger  3800 (33-381)</v>
          </cell>
          <cell r="K1199" t="str">
            <v>Approved by: Ray Wilson on 03/25/2015,  Install 70' of 2"PE service line to serve apartment complex. Service line was cut off back in 2012 due to leak and no gas usage since 2008. Under new management.</v>
          </cell>
          <cell r="L1199">
            <v>42095</v>
          </cell>
          <cell r="M1199">
            <v>42248</v>
          </cell>
          <cell r="N1199">
            <v>42284.3446527778</v>
          </cell>
          <cell r="O1199">
            <v>42095</v>
          </cell>
          <cell r="P1199" t="str">
            <v>0401-043050  JACKSON CTY/KC</v>
          </cell>
          <cell r="Q1199">
            <v>2995.33</v>
          </cell>
          <cell r="R1199">
            <v>-61</v>
          </cell>
        </row>
        <row r="1200">
          <cell r="A1200" t="str">
            <v>007532</v>
          </cell>
          <cell r="B1200" t="str">
            <v>LDC 2</v>
          </cell>
          <cell r="D1200" t="str">
            <v>yes</v>
          </cell>
          <cell r="E1200" t="str">
            <v>20401143855</v>
          </cell>
          <cell r="F1200" t="str">
            <v>F0599</v>
          </cell>
          <cell r="G1200" t="str">
            <v>Main Replacement - ISRS (N)</v>
          </cell>
          <cell r="H1200" t="str">
            <v>Cast Iron Replacement Proj Phase 4</v>
          </cell>
          <cell r="I1200" t="str">
            <v>posted to CPR</v>
          </cell>
          <cell r="J1200" t="str">
            <v>Cast Iron Replacement Project Phase 4: Kansas City-Jackson: Replace Cast Iron Main - 3760 Safety Related (34-412)</v>
          </cell>
          <cell r="K1200" t="str">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ell>
          <cell r="L1200">
            <v>42193</v>
          </cell>
          <cell r="M1200">
            <v>42309</v>
          </cell>
          <cell r="N1200">
            <v>42436.4303587963</v>
          </cell>
          <cell r="O1200">
            <v>42186</v>
          </cell>
          <cell r="P1200" t="str">
            <v>0401-043050  JACKSON CTY/KC</v>
          </cell>
          <cell r="Q1200">
            <v>1126581.6599999999</v>
          </cell>
          <cell r="R1200">
            <v>-12025.75</v>
          </cell>
        </row>
        <row r="1201">
          <cell r="A1201" t="str">
            <v>007154</v>
          </cell>
          <cell r="B1201" t="str">
            <v>LDC 2</v>
          </cell>
          <cell r="D1201" t="str">
            <v>no</v>
          </cell>
          <cell r="E1201" t="str">
            <v>20401143992</v>
          </cell>
          <cell r="F1201" t="str">
            <v>F0670</v>
          </cell>
          <cell r="G1201" t="str">
            <v>Tools, Instruments &amp; Equipment (N)</v>
          </cell>
          <cell r="H1201" t="str">
            <v>Tools Chicago Pneumatic 35LB breake</v>
          </cell>
          <cell r="I1201" t="str">
            <v>posted to CPR</v>
          </cell>
          <cell r="J1201" t="str">
            <v>Tools Chicago Pneumatic 35LB breaker : Kansas City-Jackson: Purchase Tools, Instruments &amp; Equipment  3940 (37-366)</v>
          </cell>
          <cell r="K1201" t="str">
            <v>Approved by: Gary Williams on 12/15/2014,  This is not a replacement tool. Tools will be used in new crew truck.</v>
          </cell>
          <cell r="L1201">
            <v>42010</v>
          </cell>
          <cell r="M1201">
            <v>42035</v>
          </cell>
          <cell r="N1201">
            <v>42044.360370370399</v>
          </cell>
          <cell r="O1201">
            <v>42005</v>
          </cell>
          <cell r="P1201" t="str">
            <v>0401-043050  JACKSON CTY/KC</v>
          </cell>
          <cell r="Q1201">
            <v>830.48</v>
          </cell>
          <cell r="R1201">
            <v>1</v>
          </cell>
        </row>
        <row r="1202">
          <cell r="A1202" t="str">
            <v>007160</v>
          </cell>
          <cell r="B1202" t="str">
            <v>LDC 2</v>
          </cell>
          <cell r="D1202" t="str">
            <v>no</v>
          </cell>
          <cell r="E1202" t="str">
            <v>20401143998</v>
          </cell>
          <cell r="F1202" t="str">
            <v>F0670</v>
          </cell>
          <cell r="G1202" t="str">
            <v>Tools, Instruments &amp; Equipment (N)</v>
          </cell>
          <cell r="H1202" t="str">
            <v>TOOLS-CHICAGO PNEUMATIC CP-4RV EART</v>
          </cell>
          <cell r="I1202" t="str">
            <v>posted to CPR</v>
          </cell>
          <cell r="J1202" t="str">
            <v>TOOLS-CHICAGO PNEUMATIC CP-4RV EARTH SAND : Kansas City-Jackson: Purchase Tools, Instruments &amp; Equipment  3940 (37-366)</v>
          </cell>
          <cell r="K1202" t="str">
            <v>Approved by: Gary Williams on 12/15/2014,  THIS IS NOT A REPLACEMENT PURCHASE IS FOR NEW CREW TRUCK.</v>
          </cell>
          <cell r="L1202">
            <v>42017</v>
          </cell>
          <cell r="M1202">
            <v>42035</v>
          </cell>
          <cell r="N1202">
            <v>42044.360393518502</v>
          </cell>
          <cell r="O1202">
            <v>42005</v>
          </cell>
          <cell r="P1202" t="str">
            <v>0401-043050  JACKSON CTY/KC</v>
          </cell>
          <cell r="Q1202">
            <v>1066.8900000000001</v>
          </cell>
          <cell r="R1202">
            <v>1</v>
          </cell>
        </row>
        <row r="1203">
          <cell r="A1203" t="str">
            <v>006603</v>
          </cell>
          <cell r="B1203" t="str">
            <v>LDC 2</v>
          </cell>
          <cell r="D1203" t="str">
            <v>yes</v>
          </cell>
          <cell r="E1203" t="str">
            <v>20401143826</v>
          </cell>
          <cell r="F1203" t="str">
            <v>F0613</v>
          </cell>
          <cell r="G1203" t="str">
            <v>Replace bare steel main - safety re</v>
          </cell>
          <cell r="H1203" t="str">
            <v>3in PBS Main Replacement</v>
          </cell>
          <cell r="I1203" t="str">
            <v>posted to CPR</v>
          </cell>
          <cell r="J1203" t="str">
            <v>3in PBS Main Replacement: Kansas City-Jackson: Replace Bare Steel Main - 3760 Safety Related (34-394)</v>
          </cell>
          <cell r="K1203" t="str">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ell>
          <cell r="L1203">
            <v>41964</v>
          </cell>
          <cell r="M1203">
            <v>42063</v>
          </cell>
          <cell r="N1203">
            <v>42160.553819444402</v>
          </cell>
          <cell r="O1203">
            <v>41974</v>
          </cell>
          <cell r="P1203" t="str">
            <v>0401-043050  JACKSON CTY/KC</v>
          </cell>
          <cell r="Q1203">
            <v>11730.39</v>
          </cell>
          <cell r="R1203">
            <v>-208</v>
          </cell>
        </row>
        <row r="1204">
          <cell r="A1204" t="str">
            <v>006420</v>
          </cell>
          <cell r="B1204" t="str">
            <v>LDC 2</v>
          </cell>
          <cell r="D1204" t="str">
            <v>no</v>
          </cell>
          <cell r="E1204" t="str">
            <v>20401143721</v>
          </cell>
          <cell r="F1204" t="str">
            <v>F0636</v>
          </cell>
          <cell r="G1204" t="str">
            <v>Replace steel &amp; plastic main</v>
          </cell>
          <cell r="H1204" t="str">
            <v>4inch Main Abandonment 5300 Municip</v>
          </cell>
          <cell r="I1204" t="str">
            <v>cancelled</v>
          </cell>
          <cell r="J1204" t="str">
            <v>4inch Main Abandonment 5300 Municipal: Kansas City-Jackson: Replace Coated Steel &amp; Plastic Main - 3760 (34-396)</v>
          </cell>
          <cell r="K1204" t="str">
            <v>Approved by: Gary Williams on 09/12/2014,  Abandon  1,543' of 4" steel due to coupled joins. Will install new main to serve new CNG station with 135PSIG.</v>
          </cell>
          <cell r="N1204">
            <v>42016</v>
          </cell>
          <cell r="P1204" t="str">
            <v>0401-043050  JACKSON CTY/KC</v>
          </cell>
          <cell r="Q1204">
            <v>0</v>
          </cell>
          <cell r="R1204">
            <v>0</v>
          </cell>
        </row>
        <row r="1205">
          <cell r="A1205" t="str">
            <v>005535</v>
          </cell>
          <cell r="B1205" t="str">
            <v>LDC 2</v>
          </cell>
          <cell r="D1205" t="str">
            <v>no</v>
          </cell>
          <cell r="E1205" t="str">
            <v>20401143629</v>
          </cell>
          <cell r="F1205" t="str">
            <v>F0639</v>
          </cell>
          <cell r="G1205" t="str">
            <v>EGM Equip-1st Time Installation</v>
          </cell>
          <cell r="H1205" t="str">
            <v>EGM - Eagle Ridge Inc</v>
          </cell>
          <cell r="I1205" t="str">
            <v>posted to CPR</v>
          </cell>
          <cell r="J1205" t="str">
            <v>EGM - Eagle Ridge Inc: Kansas City-Jackson: Install EGM Equipment - First Time Installation  3850 (32-403)</v>
          </cell>
          <cell r="K1205" t="str">
            <v>Approved by: Rob Kitterman on 06/17/2014,  Install Mercury MiniMax-AT-PT w/ Messenger Modem S/N:13066412 on Roots 3M meter no 08067335 to monitor daily gas usage of this transportation customer. Customer will reimburse company actual cost for EGM installation not to exceed $5,445.00, which should be coded to account 1072. ATTENTION: Plant &amp; Property Accounting, EGM work order, turn off A&amp;G indicator.</v>
          </cell>
          <cell r="L1205">
            <v>42443</v>
          </cell>
          <cell r="M1205">
            <v>42491</v>
          </cell>
          <cell r="N1205">
            <v>42528.313206018502</v>
          </cell>
          <cell r="O1205">
            <v>42461</v>
          </cell>
          <cell r="P1205" t="str">
            <v>0401-043050  JACKSON CTY/KC</v>
          </cell>
          <cell r="Q1205">
            <v>-199.44</v>
          </cell>
          <cell r="R1205">
            <v>9</v>
          </cell>
        </row>
        <row r="1206">
          <cell r="A1206" t="str">
            <v>003969</v>
          </cell>
          <cell r="B1206" t="str">
            <v>LDC 2</v>
          </cell>
          <cell r="D1206" t="str">
            <v>yes</v>
          </cell>
          <cell r="E1206" t="str">
            <v>20401050325</v>
          </cell>
          <cell r="F1206" t="str">
            <v>F0524</v>
          </cell>
          <cell r="G1206" t="str">
            <v>BWO CI Joint Encapsulation ISRS (N)</v>
          </cell>
          <cell r="H1206" t="str">
            <v>BWO-Encapsulation Cast Iron Joints</v>
          </cell>
          <cell r="I1206" t="str">
            <v>open</v>
          </cell>
          <cell r="J1206" t="str">
            <v>BWO-Encapsulation Cast Iron Joints</v>
          </cell>
          <cell r="K1206" t="str">
            <v>Encapsulation of Cast Iron Joints</v>
          </cell>
          <cell r="O1206">
            <v>41730</v>
          </cell>
          <cell r="P1206" t="str">
            <v>0401-043050  JACKSON CTY/KC</v>
          </cell>
          <cell r="Q1206">
            <v>18074419.399999999</v>
          </cell>
          <cell r="R1206">
            <v>1898507.44</v>
          </cell>
        </row>
        <row r="1207">
          <cell r="A1207" t="str">
            <v>004115</v>
          </cell>
          <cell r="B1207" t="str">
            <v>LDC 2</v>
          </cell>
          <cell r="D1207" t="str">
            <v>no</v>
          </cell>
          <cell r="E1207" t="str">
            <v>20401133007</v>
          </cell>
          <cell r="F1207" t="str">
            <v>F0639</v>
          </cell>
          <cell r="G1207" t="str">
            <v>EGM Equip-1st Time Installation</v>
          </cell>
          <cell r="H1207" t="str">
            <v>EGM - KC Hangers, LLC</v>
          </cell>
          <cell r="I1207" t="str">
            <v>posted to CPR</v>
          </cell>
          <cell r="J1207" t="str">
            <v>EGM - KC Hangers, LLC: Kansas City-Jackson: 13852 Wyandotte St - KC, MO 64145</v>
          </cell>
          <cell r="K1207" t="str">
            <v>Approved by: Rob Kitterman on 09/24/2013,  Install Mercury MiniMax-AT-T w/ Messenger Modem S/N: 13038774 on Roots 2M meter no 00337423 to monitor daily gas usage of this transportation customer. Customer will reimburse company actual cost for EGM installation not to exceed $5,445.00, which should be coded to account 1072. ATTENTION: Plant &amp; Property Accounting, EGM work order, turn off A&amp;G indicator.</v>
          </cell>
          <cell r="L1207">
            <v>41547</v>
          </cell>
          <cell r="M1207">
            <v>41670</v>
          </cell>
          <cell r="N1207">
            <v>41677.509826388901</v>
          </cell>
          <cell r="P1207" t="str">
            <v>0401-043050  JACKSON CTY/KC</v>
          </cell>
          <cell r="Q1207">
            <v>272.83999999999997</v>
          </cell>
          <cell r="R1207">
            <v>4</v>
          </cell>
        </row>
        <row r="1208">
          <cell r="A1208" t="str">
            <v>004567</v>
          </cell>
          <cell r="B1208" t="str">
            <v>LDC 2</v>
          </cell>
          <cell r="D1208" t="str">
            <v>yes</v>
          </cell>
          <cell r="E1208" t="str">
            <v>20401132982</v>
          </cell>
          <cell r="F1208" t="str">
            <v>F0663</v>
          </cell>
          <cell r="G1208" t="str">
            <v>Replace bare steel main - safety re</v>
          </cell>
          <cell r="H1208" t="str">
            <v>27th &amp; Lawn Repl CI/PBS w 2118'-6in</v>
          </cell>
          <cell r="I1208" t="str">
            <v>posted to CPR</v>
          </cell>
          <cell r="J1208" t="str">
            <v>27th &amp; Lawn Repl CI/PBS w 2118'-6in PE: Kansas City-Jackson: 27th and Lawn</v>
          </cell>
          <cell r="K1208" t="str">
            <v>Approved by: Steve Lindsey on 11/20/2013,  Replace 6" PBS, 12" CI, and 8" CI with 2,118'-6" PE, 50'-12in steel, 15'-8in steel, and 172'-4in PE.  Leak is on 6" PBS at the intersection of 27th and Lawn due to corrosion.  Tie over 21 services.  Lay main in greenway if possible.  Replace two services at 2414 and 2621 Lawn.  Retire 50'-12in CI, BK20P10, 15'-8in CI, BK15P91; 3'-8in BS; 3'-6in CI, BK15P91, 172'-6in CI, BK25P93; 67'-6in BS, WO 57826, yr 1960; 84'-6in CI, BK25P92; 640'-6in BS, BK20P82; 3'-6in BS; 3'-6in CI, BK22P20; 581'-6in BS, BK22P20; 686'-6in BS, BK20P81.</v>
          </cell>
          <cell r="L1208">
            <v>41692</v>
          </cell>
          <cell r="M1208">
            <v>41729</v>
          </cell>
          <cell r="N1208">
            <v>41733.309872685197</v>
          </cell>
          <cell r="O1208">
            <v>41730</v>
          </cell>
          <cell r="P1208" t="str">
            <v>0401-043050  JACKSON CTY/KC</v>
          </cell>
          <cell r="Q1208">
            <v>282349.14</v>
          </cell>
          <cell r="R1208">
            <v>8442.7999999999993</v>
          </cell>
        </row>
        <row r="1209">
          <cell r="A1209" t="str">
            <v>004720</v>
          </cell>
          <cell r="B1209" t="str">
            <v>LDC 2</v>
          </cell>
          <cell r="D1209" t="str">
            <v>no</v>
          </cell>
          <cell r="E1209" t="str">
            <v>28780600000</v>
          </cell>
          <cell r="F1209" t="str">
            <v>F0702</v>
          </cell>
          <cell r="G1209" t="str">
            <v>Meter &amp; House Reg Work MGE</v>
          </cell>
          <cell r="H1209" t="str">
            <v>Turn Off &amp; Succession Ord MGE</v>
          </cell>
          <cell r="I1209" t="str">
            <v>open</v>
          </cell>
          <cell r="J1209" t="str">
            <v>Turn Off &amp; Succession Ord MGE</v>
          </cell>
          <cell r="P1209" t="str">
            <v>Expense Only</v>
          </cell>
          <cell r="Q1209">
            <v>7896107.7999999998</v>
          </cell>
          <cell r="R1209">
            <v>135577.63</v>
          </cell>
        </row>
        <row r="1210">
          <cell r="A1210" t="str">
            <v>004814</v>
          </cell>
          <cell r="B1210" t="str">
            <v>LDC 2</v>
          </cell>
          <cell r="D1210" t="str">
            <v>no</v>
          </cell>
          <cell r="E1210" t="str">
            <v>29280000000</v>
          </cell>
          <cell r="F1210" t="str">
            <v>F0729</v>
          </cell>
          <cell r="G1210" t="str">
            <v>Regulatory Commission MGE</v>
          </cell>
          <cell r="H1210" t="str">
            <v>Regulatory Commission MGE</v>
          </cell>
          <cell r="I1210" t="str">
            <v>open</v>
          </cell>
          <cell r="J1210" t="str">
            <v>Regulatory Commission MGE</v>
          </cell>
          <cell r="P1210" t="str">
            <v>Expense Only</v>
          </cell>
          <cell r="Q1210">
            <v>209702.47</v>
          </cell>
          <cell r="R1210">
            <v>0</v>
          </cell>
        </row>
        <row r="1211">
          <cell r="A1211" t="str">
            <v>800978</v>
          </cell>
          <cell r="B1211" t="str">
            <v>LDC 2</v>
          </cell>
          <cell r="D1211" t="str">
            <v>no</v>
          </cell>
          <cell r="F1211" t="str">
            <v>F0523</v>
          </cell>
          <cell r="G1211" t="str">
            <v>New Main Extensions (SW)</v>
          </cell>
          <cell r="H1211" t="str">
            <v>Install 390F 2P 2611 Winfield</v>
          </cell>
          <cell r="I1211" t="str">
            <v>in service</v>
          </cell>
          <cell r="J1211" t="str">
            <v>Install ~ 390 Ft of 2 in PL MP Main for 2611 Winfield Ave in Joplin MO.</v>
          </cell>
          <cell r="K1211" t="str">
            <v>Total Load is 250 CFH.  Necessary to serve a new residential home being built by Molandco Construction.  Will be passing a 2nd lot also owned by Molandco that they will also be using gas by year 2. This home will have a gas furnace, range and gas logs.</v>
          </cell>
          <cell r="L1211">
            <v>42706</v>
          </cell>
          <cell r="O1211">
            <v>42705</v>
          </cell>
          <cell r="P1211" t="str">
            <v>0501-044001  JASPER CTY/JOPLIN</v>
          </cell>
          <cell r="Q1211">
            <v>12577.9</v>
          </cell>
          <cell r="R1211">
            <v>-394</v>
          </cell>
        </row>
        <row r="1212">
          <cell r="A1212" t="str">
            <v>800398</v>
          </cell>
          <cell r="B1212" t="str">
            <v>LDC 2</v>
          </cell>
          <cell r="C1212" t="str">
            <v>03 - Bare Steel Replacement</v>
          </cell>
          <cell r="D1212" t="str">
            <v>yes</v>
          </cell>
          <cell r="F1212" t="str">
            <v>F0572</v>
          </cell>
          <cell r="G1212" t="str">
            <v>Main Replacement - ISRS (SW)</v>
          </cell>
          <cell r="H1212" t="str">
            <v>Repl w 395F 6P 5th and Water</v>
          </cell>
          <cell r="I1212" t="str">
            <v>open</v>
          </cell>
          <cell r="J1212" t="str">
            <v>Install 395 Ft. of 6 inch PL LP Main and 345 Ft. of 10" ST Casing on Fifth Street.</v>
          </cell>
          <cell r="K1212" t="str">
            <v>Abandon 4 Ft. of 3 inch ST LP Main, 149 Ft. of 4 inch PL LP Main, 10 Ft. of 4 inch St LP Main, and 182 Ft. of 6 inch PL LP Main along Fifth Street.  Total Service Tie-over = 5; Total Serice Abandoned = 1.  This main is being replaced due to deficient CP readings and as part of FY16 Bare Steel Replacement Program.  BST Replacement under KCSR Railroad at 5th and Water due to CP issue. Town: 0501 Sector: 0011 Sys: C-002 MOP: 1.1 MAOP: 1.1</v>
          </cell>
          <cell r="P1212" t="str">
            <v>0501-044001  JASPER CTY/JOPLIN</v>
          </cell>
          <cell r="Q1212">
            <v>12411.28</v>
          </cell>
          <cell r="R1212">
            <v>-1469</v>
          </cell>
        </row>
        <row r="1213">
          <cell r="A1213" t="str">
            <v>004288</v>
          </cell>
          <cell r="B1213" t="str">
            <v>LDC 2</v>
          </cell>
          <cell r="D1213" t="str">
            <v>yes</v>
          </cell>
          <cell r="E1213" t="str">
            <v>20501050301</v>
          </cell>
          <cell r="F1213" t="str">
            <v>F0541</v>
          </cell>
          <cell r="G1213" t="str">
            <v>Replace existing protected steel, p</v>
          </cell>
          <cell r="H1213" t="str">
            <v>BWO-REPLACE SERVICE</v>
          </cell>
          <cell r="I1213" t="str">
            <v>open</v>
          </cell>
          <cell r="J1213" t="str">
            <v>BWO-REPLACE SERVICE</v>
          </cell>
          <cell r="K1213" t="str">
            <v>Replacement and/or removal of existing protected steel or plastic (Joplin - South Region)</v>
          </cell>
          <cell r="O1213">
            <v>41730</v>
          </cell>
          <cell r="P1213" t="str">
            <v>0501-044001  JASPER CTY/JOPLIN</v>
          </cell>
          <cell r="Q1213">
            <v>1548215.89</v>
          </cell>
          <cell r="R1213">
            <v>27283.8</v>
          </cell>
        </row>
        <row r="1214">
          <cell r="A1214" t="str">
            <v>800036</v>
          </cell>
          <cell r="B1214" t="str">
            <v>LDC 2</v>
          </cell>
          <cell r="C1214" t="str">
            <v>09 - Facility Relocation due to Civic Improvement</v>
          </cell>
          <cell r="D1214" t="str">
            <v>yes</v>
          </cell>
          <cell r="F1214" t="str">
            <v>F0572</v>
          </cell>
          <cell r="G1214" t="str">
            <v>Main Replacement - ISRS (SW)</v>
          </cell>
          <cell r="H1214" t="str">
            <v>20th and Maiden Lane Relocation</v>
          </cell>
          <cell r="I1214" t="str">
            <v>posted to CPR</v>
          </cell>
          <cell r="J1214" t="str">
            <v>Replace 187ft of 4in PE Main (WO 951918) with 160ft of 4in PE Main due to City of Joplin Road Improvements. D:05 T:01 Sector: 0028 System: C-1 MAOP: 58 MOP:58 Design: 66 Test: 100 $66.09/ft</v>
          </cell>
          <cell r="K1214" t="str">
            <v>Estimates also include 40ft of 2in Pls</v>
          </cell>
          <cell r="L1214">
            <v>42352</v>
          </cell>
          <cell r="M1214">
            <v>42583</v>
          </cell>
          <cell r="N1214">
            <v>42620.420219907399</v>
          </cell>
          <cell r="O1214">
            <v>42339</v>
          </cell>
          <cell r="P1214" t="str">
            <v>0501-044001  JASPER CTY/JOPLIN</v>
          </cell>
          <cell r="Q1214">
            <v>18855.29</v>
          </cell>
          <cell r="R1214">
            <v>1246</v>
          </cell>
        </row>
        <row r="1215">
          <cell r="A1215" t="str">
            <v>008403</v>
          </cell>
          <cell r="B1215" t="str">
            <v>LDC 2</v>
          </cell>
          <cell r="D1215" t="str">
            <v>no</v>
          </cell>
          <cell r="E1215" t="str">
            <v>20501155298</v>
          </cell>
          <cell r="F1215" t="str">
            <v>F0677</v>
          </cell>
          <cell r="G1215" t="str">
            <v>New business</v>
          </cell>
          <cell r="H1215" t="str">
            <v>4in PE MAIN EXTENSION FOR 803 ANDRE</v>
          </cell>
          <cell r="I1215" t="str">
            <v>posted to CPR</v>
          </cell>
          <cell r="J1215" t="str">
            <v>4in PE MAIN EXTENSION FOR 803 ANDREA AVE: Joplin: New Main Extension - Contractor Crews  3760 (33-380)</v>
          </cell>
          <cell r="K1215" t="str">
            <v>Approved by: Michael Fornelli on 05/04/2015,  Install 155' of 4" PE main on system C-100 at 803 Andrea Ave to accomodate new customers. This main extension will allow future services to be added to the system. A 75' main extension would cover customer. The company elects to lay the rest of the main for future expansion.  
Division: 05 Town: 06 Sector: 0109 System: C-100 MAOP: 30 psig MOP: 30 psig Test: 100 psig</v>
          </cell>
          <cell r="L1215">
            <v>42165</v>
          </cell>
          <cell r="M1215">
            <v>42248</v>
          </cell>
          <cell r="N1215">
            <v>42284.723622685196</v>
          </cell>
          <cell r="O1215">
            <v>42156</v>
          </cell>
          <cell r="P1215" t="str">
            <v>0501-044001  JASPER CTY/JOPLIN</v>
          </cell>
          <cell r="Q1215">
            <v>13149.38</v>
          </cell>
          <cell r="R1215">
            <v>-739.38</v>
          </cell>
        </row>
        <row r="1216">
          <cell r="A1216" t="str">
            <v>007881</v>
          </cell>
          <cell r="B1216" t="str">
            <v>LDC 2</v>
          </cell>
          <cell r="D1216" t="str">
            <v>yes</v>
          </cell>
          <cell r="E1216" t="str">
            <v>20501155166</v>
          </cell>
          <cell r="F1216" t="str">
            <v>F0664</v>
          </cell>
          <cell r="G1216" t="str">
            <v>Street &amp; Hwy Relocates ISRS (SW)</v>
          </cell>
          <cell r="H1216" t="str">
            <v>Relocate 4in PE for Storm Improveme</v>
          </cell>
          <cell r="I1216" t="str">
            <v>posted to CPR</v>
          </cell>
          <cell r="J1216" t="str">
            <v>Relocate 4in PE for Storm Improvement : Joplin: Relocate for Street &amp; Highway-Public Improvements (44-388)</v>
          </cell>
          <cell r="K1216" t="str">
            <v>Approved by: Joe Hampton on 03/18/2015,  Abandon 2062' - 3" PCS (WO#'s: 62-1835, 66-1176, 68-2183, 79-1016), and 93' - 4" PE (WO#'s: 99-8571, 00-0929) and replace with 2815' - 4" PE due to proposed storm water improvement project for the City of Joplin. Project Location: 28th and Pennsylvania; Pressure System: C-2/C-3; MOP: 1.5psig/8.00 psig; MAOP: 1.5 psig/8.50 psig; Design: 58 psig; Test: 100 psig; $57.47/ft ISRS</v>
          </cell>
          <cell r="L1216">
            <v>42131</v>
          </cell>
          <cell r="M1216">
            <v>42217</v>
          </cell>
          <cell r="N1216">
            <v>42284.723425925898</v>
          </cell>
          <cell r="O1216">
            <v>42125</v>
          </cell>
          <cell r="P1216" t="str">
            <v>0501-044001  JASPER CTY/JOPLIN</v>
          </cell>
          <cell r="Q1216">
            <v>176249.07</v>
          </cell>
          <cell r="R1216">
            <v>-7652.5</v>
          </cell>
        </row>
        <row r="1217">
          <cell r="A1217" t="str">
            <v>006425</v>
          </cell>
          <cell r="B1217" t="str">
            <v>LDC 2</v>
          </cell>
          <cell r="D1217" t="str">
            <v>no</v>
          </cell>
          <cell r="E1217" t="str">
            <v>20501143806</v>
          </cell>
          <cell r="F1217" t="str">
            <v>F0485</v>
          </cell>
          <cell r="G1217" t="str">
            <v>Tools, Instruments &amp; Equipment (SW)</v>
          </cell>
          <cell r="H1217" t="str">
            <v>Purchase Tools RD8000 Locator Jopli</v>
          </cell>
          <cell r="I1217" t="str">
            <v>posted to CPR</v>
          </cell>
          <cell r="J1217" t="str">
            <v>Purchase Tools RD8000 Locator Joplin C&amp;M: Joplin: Purchase Tools, Instruments &amp; Equipment  3940 (37-366)</v>
          </cell>
          <cell r="K1217" t="str">
            <v>Approved by: Galen Shoemaker on 09/11/2014,  Purchase new Radiodetection RD8000 PDL receiver and TX-10 Watt transmitter locator for Joplin C&amp;M Corrosion Control work. This needs to be purchased before the end of September.</v>
          </cell>
          <cell r="L1217">
            <v>41911</v>
          </cell>
          <cell r="M1217">
            <v>42063</v>
          </cell>
          <cell r="N1217">
            <v>42067.763449074097</v>
          </cell>
          <cell r="O1217">
            <v>42005</v>
          </cell>
          <cell r="P1217" t="str">
            <v>0501-044001  JASPER CTY/JOPLIN</v>
          </cell>
          <cell r="Q1217">
            <v>6628.21</v>
          </cell>
          <cell r="R1217">
            <v>2</v>
          </cell>
        </row>
        <row r="1218">
          <cell r="A1218" t="str">
            <v>004176</v>
          </cell>
          <cell r="B1218" t="str">
            <v>LDC 2</v>
          </cell>
          <cell r="D1218" t="str">
            <v>yes</v>
          </cell>
          <cell r="E1218" t="str">
            <v>20501132432</v>
          </cell>
          <cell r="F1218" t="str">
            <v>F0575</v>
          </cell>
          <cell r="G1218" t="str">
            <v>Replace steel &amp; plastic main</v>
          </cell>
          <cell r="H1218" t="str">
            <v>7th &amp; Malang Repl PCS w 280'-4in PE</v>
          </cell>
          <cell r="I1218" t="str">
            <v>posted to CPR</v>
          </cell>
          <cell r="J1218" t="str">
            <v>7th &amp; Malang Repl PCS w 280'-4in PE: Joplin: 7th and Malang</v>
          </cell>
          <cell r="K1218" t="str">
            <v>Approved by: Galen Shoemaker on 02/15/2013,  Abandon 227' - 4in PCS (WO#:74-7313) and replace with 280' - 4in PE to clear CP 12-307. Project Location: 7th and Malang; Pressure System: C-1; MOP: 58 psig; MAOP: 58 psig; Design: 58 psig; Test: 100 psig; $47.96/ft</v>
          </cell>
          <cell r="L1218">
            <v>41470</v>
          </cell>
          <cell r="M1218">
            <v>41564</v>
          </cell>
          <cell r="N1218">
            <v>41564.624699074098</v>
          </cell>
          <cell r="P1218" t="str">
            <v>0501-044001  JASPER CTY/JOPLIN</v>
          </cell>
          <cell r="Q1218">
            <v>19934.310000000001</v>
          </cell>
          <cell r="R1218">
            <v>1043</v>
          </cell>
        </row>
        <row r="1219">
          <cell r="A1219" t="str">
            <v>004330</v>
          </cell>
          <cell r="B1219" t="str">
            <v>LDC 2</v>
          </cell>
          <cell r="D1219" t="str">
            <v>no</v>
          </cell>
          <cell r="E1219" t="str">
            <v>20501132671</v>
          </cell>
          <cell r="F1219" t="str">
            <v>F0611</v>
          </cell>
          <cell r="G1219" t="str">
            <v>Meter &amp; regulator replacements - 2"</v>
          </cell>
          <cell r="H1219" t="str">
            <v>Calvary Baptist Rebuild 7M mtr set</v>
          </cell>
          <cell r="I1219" t="str">
            <v>posted to CPR</v>
          </cell>
          <cell r="J1219" t="str">
            <v>Calvary Baptist Rebuild 7M mtr set: Joplin: Calvary Baptist 5000 Brookwood Dr</v>
          </cell>
          <cell r="K1219" t="str">
            <v>Approved by: Galen Shoemaker on 05/03/2013,  WILL INSTALL PREFAB SETTING FOR 7M ROOTS METER. METER WILL BE MOVED TO THE BUILDING IN CONJUNCTION WITH WIDENING OF 50TH STREET FOR MERCY HOSPITAL. TOTAL DEMAND FOR CHURCH IS 4216 CFH. SETTING AND METER WILL BE SIZED FOR FUTURE DEMAND OF 2300 CFH CONNECTED TO OLD MESSENGER COLLEGE GYMNASIUM TO BE OBTAINED BY THE CHURCH AFTER COMPLETION OF MERCY HOSPITAL. GYMNASIUM IS ADDRESSED AS 300 E 50TH ST. WILL USE 2in FLANGED B34IMRV REGULATOR SET AT 7in WC DELIVERY. NO RELIEF IS NECESSARY. WORK ORDER WILL RETIRE WORK ORDER 83-6509 SYSTEM JOPLIN C-1  MAOP=58 PSIG  MOP=5PSIG</v>
          </cell>
          <cell r="L1219">
            <v>41428</v>
          </cell>
          <cell r="M1219">
            <v>41575</v>
          </cell>
          <cell r="N1219">
            <v>41576.418518518498</v>
          </cell>
          <cell r="P1219" t="str">
            <v>0501-044001  JASPER CTY/JOPLIN</v>
          </cell>
          <cell r="Q1219">
            <v>5525.99</v>
          </cell>
          <cell r="R1219">
            <v>11</v>
          </cell>
        </row>
        <row r="1220">
          <cell r="A1220" t="str">
            <v>012563</v>
          </cell>
          <cell r="B1220" t="str">
            <v>LDC 2</v>
          </cell>
          <cell r="D1220" t="str">
            <v>no</v>
          </cell>
          <cell r="F1220" t="str">
            <v>F0639</v>
          </cell>
          <cell r="G1220" t="str">
            <v>EGM Equip-1st Time Installation</v>
          </cell>
          <cell r="H1220" t="str">
            <v>EGM - Walmart (Webb City Madison)</v>
          </cell>
          <cell r="I1220" t="str">
            <v>open</v>
          </cell>
          <cell r="J1220" t="str">
            <v>Mini-Max AT-PT Corrector for Walmart at 1212 S Madison St to monitor daily gas usage. Customer will reimburse company actual cost for EGM installation not to exceed $5,445.</v>
          </cell>
          <cell r="K1220" t="str">
            <v>meter no 000441356</v>
          </cell>
          <cell r="P1220" t="str">
            <v>0502-044006  JASPER CTY/WEBB CITY</v>
          </cell>
          <cell r="Q1220">
            <v>1971.95</v>
          </cell>
          <cell r="R1220">
            <v>1</v>
          </cell>
        </row>
        <row r="1221">
          <cell r="A1221" t="str">
            <v>800178</v>
          </cell>
          <cell r="B1221" t="str">
            <v>LDC 2</v>
          </cell>
          <cell r="C1221" t="str">
            <v>03 - Bare Steel Replacement</v>
          </cell>
          <cell r="D1221" t="str">
            <v>yes</v>
          </cell>
          <cell r="F1221" t="str">
            <v>F0572</v>
          </cell>
          <cell r="G1221" t="str">
            <v>Main Replacement - ISRS (SW)</v>
          </cell>
          <cell r="H1221" t="str">
            <v>Webb City Phase 1E Grid Repl</v>
          </cell>
          <cell r="I1221" t="str">
            <v>in service</v>
          </cell>
          <cell r="J1221" t="str">
            <v>Install 4495 Ft of 2in PL IP main for Webb City Phase 1E. Abandon 204 Ft of 2 in PL, 446 Ft of 4 in PL,105 Ft of 1-1/4 in, 2489 Ft of 2 in and 408 Ft of 4 in PCS (Majority poorly coated),360 Ft of 3 in and 870 Ft of 4 in PBS LP main.</v>
          </cell>
          <cell r="K1221" t="str">
            <v>Total Service Estimate: 82 Service Tie-Overs, 2 Service Replacements, and 23 Service Abandonments. Main is being replaced as part of the FY 2016 Bare Steel Main Replacement Program.</v>
          </cell>
          <cell r="L1221">
            <v>42670</v>
          </cell>
          <cell r="O1221">
            <v>42644</v>
          </cell>
          <cell r="P1221" t="str">
            <v>0502-044006  JASPER CTY/WEBB CITY</v>
          </cell>
          <cell r="Q1221">
            <v>623431.28</v>
          </cell>
          <cell r="R1221">
            <v>-13984.1633</v>
          </cell>
        </row>
        <row r="1222">
          <cell r="A1222" t="str">
            <v>800040</v>
          </cell>
          <cell r="B1222" t="str">
            <v>LDC 2</v>
          </cell>
          <cell r="D1222" t="str">
            <v>no</v>
          </cell>
          <cell r="F1222" t="str">
            <v>F0523</v>
          </cell>
          <cell r="G1222" t="str">
            <v>New Main Extensions (SW)</v>
          </cell>
          <cell r="H1222" t="str">
            <v>Webb City Main Extension-Mercy Med</v>
          </cell>
          <cell r="I1222" t="str">
            <v>in service</v>
          </cell>
          <cell r="J1222" t="str">
            <v>Install 435' 4" PE main extension at Madison &amp; Fountain Rd. for new customer - Mercy Medical Clinic.</v>
          </cell>
          <cell r="K1222" t="str">
            <v>This extension will uprate a portion of the C-1 System to the C-100 System. Project Location: Webb City. Division:05 Town: 02 Sector: 0008A System: C-100. MOP: 30 PSIG. MAOP: 30 PSIG. Design: 66 PSIG. Test: 100 PSIG. Cost: $51.77/ft</v>
          </cell>
          <cell r="L1222">
            <v>42310</v>
          </cell>
          <cell r="O1222">
            <v>42339</v>
          </cell>
          <cell r="P1222" t="str">
            <v>0502-044006  JASPER CTY/WEBB CITY</v>
          </cell>
          <cell r="Q1222">
            <v>46231.55</v>
          </cell>
          <cell r="R1222">
            <v>-120</v>
          </cell>
        </row>
        <row r="1223">
          <cell r="A1223" t="str">
            <v>010497</v>
          </cell>
          <cell r="B1223" t="str">
            <v>LDC 2</v>
          </cell>
          <cell r="D1223" t="str">
            <v>no</v>
          </cell>
          <cell r="F1223" t="str">
            <v>F1153</v>
          </cell>
          <cell r="G1223" t="str">
            <v>Power Operated Equip - MGE</v>
          </cell>
          <cell r="H1223" t="str">
            <v>Purchase (1) Equipment Float. MGE</v>
          </cell>
          <cell r="I1223" t="str">
            <v>posted to CPR</v>
          </cell>
          <cell r="J1223" t="str">
            <v>Purchase Equipment Float - Replacement for burned unit #76012</v>
          </cell>
          <cell r="L1223">
            <v>42644</v>
          </cell>
          <cell r="M1223">
            <v>42733</v>
          </cell>
          <cell r="N1223">
            <v>42742.6249074074</v>
          </cell>
          <cell r="O1223">
            <v>42644</v>
          </cell>
          <cell r="P1223" t="str">
            <v>0101-043050  JACKSON CTY/KC</v>
          </cell>
          <cell r="Q1223">
            <v>19710.7</v>
          </cell>
          <cell r="R1223">
            <v>1</v>
          </cell>
        </row>
        <row r="1224">
          <cell r="A1224" t="str">
            <v>006849</v>
          </cell>
          <cell r="B1224" t="str">
            <v>LDC 2</v>
          </cell>
          <cell r="D1224" t="str">
            <v>no</v>
          </cell>
          <cell r="E1224" t="str">
            <v>20101143945</v>
          </cell>
          <cell r="F1224" t="str">
            <v>F0529</v>
          </cell>
          <cell r="G1224" t="str">
            <v>Meter Purchases - MGE</v>
          </cell>
          <cell r="H1224" t="str">
            <v>Pur 2000 I-250 Itron Mtrs May 2015</v>
          </cell>
          <cell r="I1224" t="str">
            <v>posted to CPR</v>
          </cell>
          <cell r="J1224" t="str">
            <v>Pur 2000 I-250 Itron Mtrs May 2015: Kansas City CORP: Purchase Domestic Diaphragm  Meters - 3810 (32-398)</v>
          </cell>
          <cell r="K1224" t="str">
            <v>Approved by: Steve Holcomb on 11/04/2014,  Purchase I-250 Itron / Sprague Meters 0940605 with Sprague AMR Ert attached for 2015 Sample Meter Program.</v>
          </cell>
          <cell r="L1224">
            <v>42185</v>
          </cell>
          <cell r="M1224">
            <v>42186</v>
          </cell>
          <cell r="N1224">
            <v>42223.566689814797</v>
          </cell>
          <cell r="O1224">
            <v>42186</v>
          </cell>
          <cell r="P1224" t="str">
            <v>0101-043050  JACKSON CTY/KC</v>
          </cell>
          <cell r="Q1224">
            <v>186578.91</v>
          </cell>
          <cell r="R1224">
            <v>2000</v>
          </cell>
        </row>
        <row r="1225">
          <cell r="A1225" t="str">
            <v>004090</v>
          </cell>
          <cell r="B1225" t="str">
            <v>LDC 2</v>
          </cell>
          <cell r="D1225" t="str">
            <v>no</v>
          </cell>
          <cell r="E1225" t="str">
            <v>20101121430</v>
          </cell>
          <cell r="F1225" t="str">
            <v>F0492</v>
          </cell>
          <cell r="G1225" t="str">
            <v>Special projects</v>
          </cell>
          <cell r="H1225" t="str">
            <v>CPR Asset Corrections</v>
          </cell>
          <cell r="I1225" t="str">
            <v>posted to CPR</v>
          </cell>
          <cell r="J1225" t="str">
            <v>CPR Asset Corrections: Kansas City CORP: 3420 Broadway</v>
          </cell>
          <cell r="K1225" t="str">
            <v>Approved by: Regina George-Berry on 06/01/2012,  Property assets CPR corrections relating to credit balances by vintage years,required maintenance to clean up records and possible adjustments as needed.  This will also benefit depreciation studies to correct credit balances by vintage years.</v>
          </cell>
          <cell r="L1225">
            <v>41695</v>
          </cell>
          <cell r="M1225">
            <v>41695</v>
          </cell>
          <cell r="N1225">
            <v>41695</v>
          </cell>
          <cell r="O1225">
            <v>41760</v>
          </cell>
          <cell r="P1225" t="str">
            <v>0101-043050  JACKSON CTY/KC</v>
          </cell>
          <cell r="Q1225">
            <v>12682.67</v>
          </cell>
          <cell r="R1225">
            <v>22</v>
          </cell>
        </row>
        <row r="1226">
          <cell r="A1226" t="str">
            <v>800705</v>
          </cell>
          <cell r="B1226" t="str">
            <v>LDC 2</v>
          </cell>
          <cell r="D1226" t="str">
            <v>no</v>
          </cell>
          <cell r="F1226" t="str">
            <v>F0673</v>
          </cell>
          <cell r="G1226" t="str">
            <v>New Main Extensions (S)</v>
          </cell>
          <cell r="H1226" t="str">
            <v>Install 630F 2-4P Market Square TH</v>
          </cell>
          <cell r="I1226" t="str">
            <v>in service</v>
          </cell>
          <cell r="J1226" t="str">
            <v>Install ~340 Ft of 2" PL LP Main, ~290 Ft of 4" PL LP Main. Market Square Townhomes at 300 N. Main</v>
          </cell>
          <cell r="K1226" t="str">
            <v>Twelve (12) residential condominiums located at 300 N. Main St in Independence.  Two stories.  One meter for each condo.  All (12) units have Gas Furnace and Hot Water Heaters. (6) units have gas fireplaces.  (1) unit has a gas range. A developer is building 12 new townhomes in 2 rows of 6 each.  We need to run a main extension to feed 2 dead end mains which will run in an easement behind each row with 6 service taps.  Total connected load for each of the 12 units is 200 cfh 7/29/2016 Lonny Branstuder Install ~340 Ft of 2" PL LP Main, ~290 Ft of 4" PL LP Main, ~328 Ft of 1" PL LP Service Line. Install 1" Service Line with 1" Risers to 12 individual townhomes. This is a new business project.</v>
          </cell>
          <cell r="L1226">
            <v>42654</v>
          </cell>
          <cell r="O1226">
            <v>42644</v>
          </cell>
          <cell r="P1226" t="str">
            <v>0201-043001  JACKSON CTY/INDEPENDENCE</v>
          </cell>
          <cell r="Q1226">
            <v>45689.85</v>
          </cell>
          <cell r="R1226">
            <v>-2103</v>
          </cell>
        </row>
        <row r="1227">
          <cell r="A1227" t="str">
            <v>011420</v>
          </cell>
          <cell r="B1227" t="str">
            <v>LDC 2</v>
          </cell>
          <cell r="D1227" t="str">
            <v>no</v>
          </cell>
          <cell r="F1227" t="str">
            <v>F0644</v>
          </cell>
          <cell r="G1227" t="str">
            <v>Meter &amp; Reg Settings 2" &amp; Lg (S)</v>
          </cell>
          <cell r="H1227" t="str">
            <v>Menards 7M Rotary Meter Set</v>
          </cell>
          <cell r="I1227" t="str">
            <v>in service</v>
          </cell>
          <cell r="J1227" t="str">
            <v>Install a new 7M Rotary Meter for one new commercial customer Menards at 4101 S little Blue Pkwy</v>
          </cell>
          <cell r="K1227" t="str">
            <v>Maximo 15214968</v>
          </cell>
          <cell r="L1227">
            <v>42647</v>
          </cell>
          <cell r="O1227">
            <v>42736</v>
          </cell>
          <cell r="P1227" t="str">
            <v>0201-043001  JACKSON CTY/INDEPENDENCE</v>
          </cell>
          <cell r="Q1227">
            <v>3363.87</v>
          </cell>
          <cell r="R1227">
            <v>-35</v>
          </cell>
        </row>
        <row r="1228">
          <cell r="A1228" t="str">
            <v>006671</v>
          </cell>
          <cell r="B1228" t="str">
            <v>LDC 2</v>
          </cell>
          <cell r="D1228" t="str">
            <v>yes</v>
          </cell>
          <cell r="E1228" t="str">
            <v>20201143851</v>
          </cell>
          <cell r="F1228" t="str">
            <v>F0604</v>
          </cell>
          <cell r="G1228" t="str">
            <v>Main Replacement - ISRS (S)</v>
          </cell>
          <cell r="H1228" t="str">
            <v>Replace PBS Northern and 27th</v>
          </cell>
          <cell r="I1228" t="str">
            <v>posted to CPR</v>
          </cell>
          <cell r="J1228" t="str">
            <v>Replace PBS Northern and 27th: Independence: Replace Bare Steel Main - 3760 Safety Related (34-394)</v>
          </cell>
          <cell r="K1228" t="str">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ell>
          <cell r="L1228">
            <v>42200</v>
          </cell>
          <cell r="M1228">
            <v>42429</v>
          </cell>
          <cell r="N1228">
            <v>42527.510925925897</v>
          </cell>
          <cell r="O1228">
            <v>42186</v>
          </cell>
          <cell r="P1228" t="str">
            <v>0201-043001  JACKSON CTY/INDEPENDENCE</v>
          </cell>
          <cell r="Q1228">
            <v>485154.51</v>
          </cell>
          <cell r="R1228">
            <v>-13395.5</v>
          </cell>
        </row>
        <row r="1229">
          <cell r="A1229" t="str">
            <v>004396</v>
          </cell>
          <cell r="B1229" t="str">
            <v>LDC 2</v>
          </cell>
          <cell r="D1229" t="str">
            <v>yes</v>
          </cell>
          <cell r="E1229" t="str">
            <v>20201133137</v>
          </cell>
          <cell r="F1229" t="str">
            <v>F0604</v>
          </cell>
          <cell r="G1229" t="str">
            <v>Main Replacement - ISRS (S)</v>
          </cell>
          <cell r="H1229" t="str">
            <v>Farley Ave Repl PBS w 9325'-2;285'-</v>
          </cell>
          <cell r="I1229" t="str">
            <v>posted to CPR</v>
          </cell>
          <cell r="J1229" t="str">
            <v>Farley Ave Repl PBS w 9325'-2;285'-4in PE main: Independence: Farley and 24 Hwy</v>
          </cell>
          <cell r="K1229" t="str">
            <v>Approved by: Steve Lindsey on 11/26/2013,  Replace and abandon 219' - 1'1/4" pbs main (wo Unknown in 1926), 120' - 2" pbs main (wo 31006 in 1951), 106' - 4" pcs main (wo 82-1072), 144' - 4" pbs main (wo 30488 in 1950), 107' - 6" pbs main (wo 32567 in 1951), 835' of 6" PBS main (wo 149), 6487' - 4" pbs main (wo 149 in 1926), 130' of 4" PBS main (wo 26470), and 1132' of 4" PBS main (wo A2732) by installing 9325' of 2" PE and 285' of 4" PE on WO# 13-3137. By tying into the intermediate pressure system C-175 (MOP=52 psig and MAOP=58 psig) we are able to run 2" PE which will allow us to eventually remove 3 District Regulator Stations. We have replaced some bare steel main in this neighborhood due to leakage in 1997, on 2 different work orders in 2003, in 2005 and on 2 different work orders in 2012.  We currently have a crew replacing more of the 1926 vintage bare steel on Smart Ave on work order 13-2920 due to leakage.   We have cleared/repaired 19 leaks on the main in this work order since LDS went online and have one active leak. Since we have a crew there now we believe it is prudent to keep them there to get rid of the rest of the bare main in the area while we prioritize and design for the accelerated main replacement program.  Pressure System C-001 MOP = 1.38 psig and MAOP = 1.5 psig. Cost per foot = $28.41 (ISRS)</v>
          </cell>
          <cell r="L1229">
            <v>41656</v>
          </cell>
          <cell r="M1229">
            <v>41729</v>
          </cell>
          <cell r="N1229">
            <v>41733.309849537</v>
          </cell>
          <cell r="O1229">
            <v>41730</v>
          </cell>
          <cell r="P1229" t="str">
            <v>0201-043001  JACKSON CTY/INDEPENDENCE</v>
          </cell>
          <cell r="Q1229">
            <v>376148.09</v>
          </cell>
          <cell r="R1229">
            <v>30918</v>
          </cell>
        </row>
        <row r="1230">
          <cell r="A1230" t="str">
            <v>004244</v>
          </cell>
          <cell r="B1230" t="str">
            <v>LDC 2</v>
          </cell>
          <cell r="D1230" t="str">
            <v>no</v>
          </cell>
          <cell r="E1230" t="str">
            <v>20201133222</v>
          </cell>
          <cell r="F1230" t="str">
            <v>F0600</v>
          </cell>
          <cell r="G1230" t="str">
            <v>Station Rebuild &amp; Repl ISRS (N)</v>
          </cell>
          <cell r="H1230" t="str">
            <v>30th &amp; Santa Fe Retire DRS 74</v>
          </cell>
          <cell r="I1230" t="str">
            <v>posted to CPR</v>
          </cell>
          <cell r="J1230" t="str">
            <v>30th &amp; Santa Fe Retire DRS 74 : Independence: 30th and Santa Fe</v>
          </cell>
          <cell r="K1230" t="str">
            <v>Approved by: Ray Wilson on 12/19/2013,  Retire DRS 74 (WO# 07-2258) at 30th and Santa Fe on WO# 13-3222. The DRS will no longer be required after completion of WO# 13-3218. It will be cut out of the ground and returned to the LS office for future use.</v>
          </cell>
          <cell r="L1230">
            <v>41710</v>
          </cell>
          <cell r="M1230">
            <v>41883</v>
          </cell>
          <cell r="N1230">
            <v>41919.557939814797</v>
          </cell>
          <cell r="P1230" t="str">
            <v>0201-043001  JACKSON CTY/INDEPENDENCE</v>
          </cell>
          <cell r="Q1230">
            <v>13214.49</v>
          </cell>
          <cell r="R1230">
            <v>6</v>
          </cell>
        </row>
        <row r="1231">
          <cell r="A1231" t="str">
            <v>004341</v>
          </cell>
          <cell r="B1231" t="str">
            <v>LDC 2</v>
          </cell>
          <cell r="D1231" t="str">
            <v>no</v>
          </cell>
          <cell r="E1231" t="str">
            <v>20201132860</v>
          </cell>
          <cell r="F1231" t="str">
            <v>F0507</v>
          </cell>
          <cell r="G1231" t="str">
            <v>Rebuild Meter Install 2'' &amp; Lg (S)</v>
          </cell>
          <cell r="H1231" t="str">
            <v>Retire AL 2300 Speaks Memorial Chap</v>
          </cell>
          <cell r="I1231" t="str">
            <v>posted to CPR</v>
          </cell>
          <cell r="J1231" t="str">
            <v>Retire AL 2300 Speaks Memorial Chapel: Independence: 1438 W Lexington</v>
          </cell>
          <cell r="K1231" t="str">
            <v>Approved by: Ralph Janes on 07/31/2013,  The AL 2300 meter (meter# 00046703) at 1438 W Lexington Ave (premise# 200384873) is due for change out on the 2013 Time Limit Program. The existing load was gathered: 2,000 cfh. Retire the AL 2300 meter set (not installed on a work order) on WO# 13-2860 and downsize to an AL-1000 meter.</v>
          </cell>
          <cell r="L1231">
            <v>41589</v>
          </cell>
          <cell r="M1231">
            <v>41626</v>
          </cell>
          <cell r="N1231">
            <v>41630.722210648099</v>
          </cell>
          <cell r="P1231" t="str">
            <v>0201-043001  JACKSON CTY/INDEPENDENCE</v>
          </cell>
          <cell r="Q1231">
            <v>339.82</v>
          </cell>
          <cell r="R1231">
            <v>5</v>
          </cell>
        </row>
        <row r="1232">
          <cell r="A1232" t="str">
            <v>010855</v>
          </cell>
          <cell r="B1232" t="str">
            <v>LDC 2</v>
          </cell>
          <cell r="D1232" t="str">
            <v>no</v>
          </cell>
          <cell r="F1232" t="str">
            <v>F1071</v>
          </cell>
          <cell r="G1232" t="str">
            <v>MGE Misc Capital</v>
          </cell>
          <cell r="H1232" t="str">
            <v>Independence- Concrete Blocks</v>
          </cell>
          <cell r="I1232" t="str">
            <v>in service</v>
          </cell>
          <cell r="J1232" t="str">
            <v>Install 2x2x6' concrete blocks in driveway entrance to protect traffic from ditch - Independence.</v>
          </cell>
          <cell r="L1232">
            <v>42490</v>
          </cell>
          <cell r="O1232">
            <v>42522</v>
          </cell>
          <cell r="P1232" t="str">
            <v>0201-043001  JACKSON CTY/INDEPENDENCE</v>
          </cell>
          <cell r="Q1232">
            <v>1182.48</v>
          </cell>
          <cell r="R1232">
            <v>1100</v>
          </cell>
        </row>
        <row r="1233">
          <cell r="A1233" t="str">
            <v>005951</v>
          </cell>
          <cell r="B1233" t="str">
            <v>LDC 2</v>
          </cell>
          <cell r="D1233" t="str">
            <v>yes</v>
          </cell>
          <cell r="E1233" t="str">
            <v>20301143713</v>
          </cell>
          <cell r="F1233" t="str">
            <v>F0503</v>
          </cell>
          <cell r="G1233" t="str">
            <v>Rectifier New/Repl ISRS (N)</v>
          </cell>
          <cell r="H1233" t="str">
            <v>Walnut Grove Rectifier  0256 Reloca</v>
          </cell>
          <cell r="I1233" t="str">
            <v>in service</v>
          </cell>
          <cell r="J1233" t="str">
            <v>Walnut Grove Rectifier  0256 Relocation: Warrensburg: Replace Rectifier/Groundbed  3760 (46-406)Lees Summit</v>
          </cell>
          <cell r="K1233" t="str">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ell>
          <cell r="L1233">
            <v>42151</v>
          </cell>
          <cell r="O1233">
            <v>42186</v>
          </cell>
          <cell r="P1233" t="str">
            <v>0301-046001  JOHNSON CTY/WARRENSBURG</v>
          </cell>
          <cell r="Q1233">
            <v>23473.85</v>
          </cell>
          <cell r="R1233">
            <v>-587</v>
          </cell>
        </row>
        <row r="1234">
          <cell r="A1234" t="str">
            <v>004447</v>
          </cell>
          <cell r="B1234" t="str">
            <v>LDC 2</v>
          </cell>
          <cell r="D1234" t="str">
            <v>no</v>
          </cell>
          <cell r="E1234" t="str">
            <v>20301132844</v>
          </cell>
          <cell r="F1234" t="str">
            <v>F0673</v>
          </cell>
          <cell r="G1234" t="str">
            <v>New Main Extensions (S)</v>
          </cell>
          <cell r="H1234" t="str">
            <v>Kelsay Crt Lay 230'-2in PE CANCEL</v>
          </cell>
          <cell r="I1234" t="str">
            <v>cancelled</v>
          </cell>
          <cell r="J1234" t="str">
            <v>Kelsay Crt Lay 230'-2in PE main: Warrensburg: Kelsay Ct and Rich Blvd Cayhill Ph 3</v>
          </cell>
          <cell r="K1234" t="str">
            <v>Approved by: Ralph Janes on 07/31/2013,  Install 230' of 2in PE main in Kelsay Ct. and 280' of 2in PE main in the cul-de-sac of Rich Blvd. Main extensions are to serve Phase 3 of Cayhill.  PER SARA BRYANT 12-15-14 - TRF CHARGES TO WO 006611 AND CANCEL 004447</v>
          </cell>
          <cell r="L1234">
            <v>42093</v>
          </cell>
          <cell r="N1234">
            <v>42282.442511574103</v>
          </cell>
          <cell r="P1234" t="str">
            <v>0301-046001  JOHNSON CTY/WARRENSBURG</v>
          </cell>
          <cell r="Q1234">
            <v>0</v>
          </cell>
          <cell r="R1234">
            <v>0</v>
          </cell>
        </row>
        <row r="1235">
          <cell r="A1235" t="str">
            <v>800566</v>
          </cell>
          <cell r="B1235" t="str">
            <v>LDC 2</v>
          </cell>
          <cell r="C1235" t="str">
            <v>03 - Bare Steel Replacement</v>
          </cell>
          <cell r="D1235" t="str">
            <v>yes</v>
          </cell>
          <cell r="F1235" t="str">
            <v>F0604</v>
          </cell>
          <cell r="G1235" t="str">
            <v>Main Replacement - ISRS (S)</v>
          </cell>
          <cell r="H1235" t="str">
            <v>Repl w/ 3425F 2P 12th &amp; Lipper</v>
          </cell>
          <cell r="I1235" t="str">
            <v>open</v>
          </cell>
          <cell r="J1235" t="str">
            <v>Install 3,425F 2PL MP Main and abandon 3,351F 2S MP Main - 12th &amp; Lipper.  Total Service Tie-over = 63, total service Replace = 4 (129F).</v>
          </cell>
          <cell r="K1235" t="str">
            <v>This main is being replaced as part of the strategic bare steel replacement plan.
This main replacement will clear 4 active leaks</v>
          </cell>
          <cell r="P1235" t="str">
            <v>0308-049004  LAFAYETTE CTY/HIGGINSVILLE</v>
          </cell>
          <cell r="Q1235">
            <v>0</v>
          </cell>
          <cell r="R1235">
            <v>3351</v>
          </cell>
        </row>
        <row r="1236">
          <cell r="A1236" t="str">
            <v>006235</v>
          </cell>
          <cell r="B1236" t="str">
            <v>LDC 2</v>
          </cell>
          <cell r="D1236" t="str">
            <v>no</v>
          </cell>
          <cell r="E1236" t="str">
            <v>20301143778</v>
          </cell>
          <cell r="F1236" t="str">
            <v>F0554</v>
          </cell>
          <cell r="G1236" t="str">
            <v>Tools, Instruments &amp; Equipment (S)</v>
          </cell>
          <cell r="H1236" t="str">
            <v>Purchase Tools - Squeeze Off Tools</v>
          </cell>
          <cell r="I1236" t="str">
            <v>posted to CPR</v>
          </cell>
          <cell r="J1236" t="str">
            <v>Purchase Tools - Squeeze Off Tools: Warrensburg: Purchase Tools, Instruments &amp; Equipment  3940 (37-366)</v>
          </cell>
          <cell r="K1236" t="str">
            <v>Approved by: Ralph Janes on 09/02/2014,  Purchase 10 Mustang GLS-26 Ground Level Squeeze Off Tools for the Warrensburg I&amp;S Crews.  Retirement Unit 94760030 - Squeeze-Off Tools Plastic Pipe.</v>
          </cell>
          <cell r="L1236">
            <v>41913</v>
          </cell>
          <cell r="M1236">
            <v>42248</v>
          </cell>
          <cell r="N1236">
            <v>42276.3606365741</v>
          </cell>
          <cell r="O1236">
            <v>42095</v>
          </cell>
          <cell r="P1236" t="str">
            <v>0301-046001  JOHNSON CTY/WARRENSBURG</v>
          </cell>
          <cell r="Q1236">
            <v>8715.5300000000007</v>
          </cell>
          <cell r="R1236">
            <v>21</v>
          </cell>
        </row>
        <row r="1237">
          <cell r="A1237" t="str">
            <v>800736</v>
          </cell>
          <cell r="B1237" t="str">
            <v>LDC 2</v>
          </cell>
          <cell r="D1237" t="str">
            <v>no</v>
          </cell>
          <cell r="F1237" t="str">
            <v>F0523</v>
          </cell>
          <cell r="G1237" t="str">
            <v>New Main Extensions (SW)</v>
          </cell>
          <cell r="H1237" t="str">
            <v>Install 175F 2P 56 Parkwood Place</v>
          </cell>
          <cell r="I1237" t="str">
            <v>in service</v>
          </cell>
          <cell r="J1237" t="str">
            <v>Install ~ 175 Ft of 2 in PL IP Main on Parkwood Pl W of Plymouth Hills Dr in Monett.</v>
          </cell>
          <cell r="K1237" t="str">
            <v>1 Residence @ 250 cfh.</v>
          </cell>
          <cell r="L1237">
            <v>42657</v>
          </cell>
          <cell r="O1237">
            <v>42644</v>
          </cell>
          <cell r="P1237" t="str">
            <v>0801-005001  BARRY CTY/MONETT</v>
          </cell>
          <cell r="Q1237">
            <v>2656.55</v>
          </cell>
          <cell r="R1237">
            <v>-336</v>
          </cell>
        </row>
        <row r="1238">
          <cell r="A1238" t="str">
            <v>004199</v>
          </cell>
          <cell r="B1238" t="str">
            <v>LDC 2</v>
          </cell>
          <cell r="D1238" t="str">
            <v>yes</v>
          </cell>
          <cell r="E1238" t="str">
            <v>20932132895</v>
          </cell>
          <cell r="F1238" t="str">
            <v>F0502</v>
          </cell>
          <cell r="G1238" t="str">
            <v>34-394-100-PIPESAFE</v>
          </cell>
          <cell r="H1238" t="str">
            <v>155th St  Extension to Facilitate H</v>
          </cell>
          <cell r="I1238" t="str">
            <v>posted to CPR</v>
          </cell>
          <cell r="J1238" t="str">
            <v>155th St  Extension to Facilitate Hydro Test: Raymore: 155th Street West of Fox Ridge Drive</v>
          </cell>
          <cell r="K1238" t="str">
            <v>Approved by: Randy Spector on 08/28/2013,  This work order is necessary to install 1053 feet of 2&amp;quot; Plexco Polyethelene 2406 pipe from just south of the DRS west of Fox Ridge Drive north to 155th Street thence; west to 9200 E. 155th Street at the meter. This will eleminate both of these meters from being on the Cass County  12&amp;quot; Transmission main. The 2&amp;quot; Full Flow tee will be tapped south of the Remote Outlet valve on the 6&amp;quot; PE for Raymore DRS 10. The DRS 10 has a 50 PSIG MOP and 58 PSIG MAOP. Install the 2&amp;quot; PE as close to the North R\W line of 155th Street as possible. Tie both 9200 E. 155th and 9300 E. 155th Street over to the new 2&amp;quot; PE therefore, eleminating the first cut regulators in the yard. Thence, retire 606 feet of 2&amp;quot; PCS pipe origanally installed on work order 90-5590.</v>
          </cell>
          <cell r="L1238">
            <v>41603</v>
          </cell>
          <cell r="M1238">
            <v>41654</v>
          </cell>
          <cell r="N1238">
            <v>41654.603981481501</v>
          </cell>
          <cell r="O1238">
            <v>41730</v>
          </cell>
          <cell r="P1238" t="str">
            <v>0932-016022  CASS CTY/RAYMORE</v>
          </cell>
          <cell r="Q1238">
            <v>24134.6</v>
          </cell>
          <cell r="R1238">
            <v>3218</v>
          </cell>
        </row>
        <row r="1239">
          <cell r="A1239" t="str">
            <v>800578</v>
          </cell>
          <cell r="B1239" t="str">
            <v>LDC 2</v>
          </cell>
          <cell r="C1239" t="str">
            <v>03 - Bare Steel Replacement</v>
          </cell>
          <cell r="D1239" t="str">
            <v>yes</v>
          </cell>
          <cell r="F1239" t="str">
            <v>F0572</v>
          </cell>
          <cell r="G1239" t="str">
            <v>Main Replacement - ISRS (SW)</v>
          </cell>
          <cell r="H1239" t="str">
            <v>Repl w/ 2920F 2-4P Neosho C-0002</v>
          </cell>
          <cell r="I1239" t="str">
            <v>open</v>
          </cell>
          <cell r="J1239" t="str">
            <v>Install 1695 Ft 2in PL IP and 1225 Ft 4in PL IP, abandon 666 Ft of PL LP, 1393 Ft of 2in ST, 710 Ft of 4 ST and uprate 1020 Ft of PL LP to IP Main - Neosho BST Phase 2.</v>
          </cell>
          <cell r="K1239" t="str">
            <v>This main is being replaced as part of the FY16 Bare Steel Replacement.</v>
          </cell>
          <cell r="P1239" t="str">
            <v>0806-066010  NEWTON CTY/NEOSHO</v>
          </cell>
          <cell r="Q1239">
            <v>0</v>
          </cell>
          <cell r="R1239">
            <v>2769</v>
          </cell>
        </row>
        <row r="1240">
          <cell r="A1240" t="str">
            <v>800301</v>
          </cell>
          <cell r="B1240" t="str">
            <v>LDC 2</v>
          </cell>
          <cell r="C1240" t="str">
            <v>03 - Bare Steel Replacement</v>
          </cell>
          <cell r="D1240" t="str">
            <v>yes</v>
          </cell>
          <cell r="F1240" t="str">
            <v>F0572</v>
          </cell>
          <cell r="G1240" t="str">
            <v>Main Replacement - ISRS (SW)</v>
          </cell>
          <cell r="H1240" t="str">
            <v>Repl w/ 10454F 2-4P Republic Ph1</v>
          </cell>
          <cell r="I1240" t="str">
            <v>open</v>
          </cell>
          <cell r="J1240" t="str">
            <v>Install 3339 ft of 2in PL IP and 7115 Ft of 4 in PL IP. Abandon 22 Ft of 1.25 in PL IP, 332 Ft of 2in PL IP, 8676 Ft of 2 in ST IP, and 1280 Ft of 4 in ST IP in Republic, MO.</v>
          </cell>
          <cell r="K1240" t="str">
            <v>This main is being replaced as part of FY16 Bare Steel Replacement Program.</v>
          </cell>
          <cell r="P1240" t="str">
            <v>0812-034002  GREENE CTY/REPUBLIC</v>
          </cell>
          <cell r="Q1240">
            <v>0</v>
          </cell>
          <cell r="R1240">
            <v>10310</v>
          </cell>
        </row>
        <row r="1241">
          <cell r="A1241" t="str">
            <v>007671</v>
          </cell>
          <cell r="B1241" t="str">
            <v>LDC 2</v>
          </cell>
          <cell r="D1241" t="str">
            <v>no</v>
          </cell>
          <cell r="E1241" t="str">
            <v>20815144061</v>
          </cell>
          <cell r="F1241" t="str">
            <v>F0523</v>
          </cell>
          <cell r="G1241" t="str">
            <v>New Main Extensions (SW)</v>
          </cell>
          <cell r="H1241" t="str">
            <v>Lay 260 ft of 2in Plastic Main</v>
          </cell>
          <cell r="I1241" t="str">
            <v>posted to CPR</v>
          </cell>
          <cell r="J1241" t="str">
            <v>Lay 260 ft of 2in Plastic Main: Ozark: New Main Extension - Company Crews  3760 (33-305)</v>
          </cell>
          <cell r="K1241" t="str">
            <v>Approved by: Galen Shoemaker on 12/26/2014,  To lay 260ft of 2in Plastic Main to serve one new customer. After one allowance, customer will pay a deposit of $2035.00. MOP=56# MAOP=56# SYSTEM=S-2 TEST=100#</v>
          </cell>
          <cell r="L1241">
            <v>42136</v>
          </cell>
          <cell r="M1241">
            <v>42248</v>
          </cell>
          <cell r="N1241">
            <v>42284.723321759302</v>
          </cell>
          <cell r="O1241">
            <v>42125</v>
          </cell>
          <cell r="P1241" t="str">
            <v>0815-019006  CHRISTIAN CTY/OZARK</v>
          </cell>
          <cell r="Q1241">
            <v>5661.71</v>
          </cell>
          <cell r="R1241">
            <v>-325</v>
          </cell>
        </row>
        <row r="1242">
          <cell r="A1242" t="str">
            <v>004501</v>
          </cell>
          <cell r="B1242" t="str">
            <v>LDC 2</v>
          </cell>
          <cell r="D1242" t="str">
            <v>yes</v>
          </cell>
          <cell r="E1242" t="str">
            <v>20801050301</v>
          </cell>
          <cell r="F1242" t="str">
            <v>F0659</v>
          </cell>
          <cell r="G1242" t="str">
            <v>BWO Service Line Repl - ISRS (SW)</v>
          </cell>
          <cell r="H1242" t="str">
            <v>BWO-Repl Svc w/ Pls (SW Reg)</v>
          </cell>
          <cell r="I1242" t="str">
            <v>open</v>
          </cell>
          <cell r="J1242" t="str">
            <v>BWO-Replace Service w/ Plastic (Southwest Region)</v>
          </cell>
          <cell r="K1242" t="str">
            <v>Project Type:B</v>
          </cell>
          <cell r="O1242">
            <v>41730</v>
          </cell>
          <cell r="P1242" t="str">
            <v>0801-005001  BARRY CTY/MONETT</v>
          </cell>
          <cell r="Q1242">
            <v>2439545.9300000002</v>
          </cell>
          <cell r="R1242">
            <v>69230.539999999994</v>
          </cell>
        </row>
        <row r="1243">
          <cell r="A1243" t="str">
            <v>007324</v>
          </cell>
          <cell r="B1243" t="str">
            <v>LDC 2</v>
          </cell>
          <cell r="D1243" t="str">
            <v>yes</v>
          </cell>
          <cell r="E1243" t="str">
            <v>20806143833</v>
          </cell>
          <cell r="F1243" t="str">
            <v>F0573</v>
          </cell>
          <cell r="G1243" t="str">
            <v>Replace bare steel main - safety re</v>
          </cell>
          <cell r="H1243" t="str">
            <v>Repl HWY Crossing Due to Desser Cou</v>
          </cell>
          <cell r="I1243" t="str">
            <v>posted to CPR</v>
          </cell>
          <cell r="J1243" t="str">
            <v>Repl HWY Crossing Due to Desser Couplings: Neosho: Replace Bare Steel Main - 3760 Safety Related (34-394)</v>
          </cell>
          <cell r="K1243" t="str">
            <v>Approved by: Steve Holcomb on 01/06/2015,  *MODOT PERMIT REQUIRED* Abandon 1150' - 2" PBS (WO#'s A8023B, A9457) and 170' - 2" PCS (WO#'s 65-4776, 67-3013) and replace with 165' - 2" PE and 1250' - 4" Thinfilm Coated Steel pipe to remove dresser fitting from under Business Hwy 71 that is creating a short in the rectifier system. This work order will create a better rectifier feed from the new Peterson Rd rectifier to the rest of Neosho. Project Location: Bus HWY 71 and South St; Pressure System: C-1; MOP: 42 psig; MAOP: 42 psig; Design: 58 psig; Test: 100 psig; ISRS $60.01/ft</v>
          </cell>
          <cell r="L1243">
            <v>42156</v>
          </cell>
          <cell r="M1243">
            <v>42247</v>
          </cell>
          <cell r="N1243">
            <v>42285.4218287037</v>
          </cell>
          <cell r="O1243">
            <v>42156</v>
          </cell>
          <cell r="P1243" t="str">
            <v>0806-066010  NEWTON CTY/NEOSHO</v>
          </cell>
          <cell r="Q1243">
            <v>39260.99</v>
          </cell>
          <cell r="R1243">
            <v>-68</v>
          </cell>
        </row>
        <row r="1244">
          <cell r="A1244" t="str">
            <v>007325</v>
          </cell>
          <cell r="B1244" t="str">
            <v>LDC 2</v>
          </cell>
          <cell r="D1244" t="str">
            <v>no</v>
          </cell>
          <cell r="E1244" t="str">
            <v>20809144051</v>
          </cell>
          <cell r="F1244" t="str">
            <v>F0598</v>
          </cell>
          <cell r="G1244" t="str">
            <v>Replace steel &amp; plastic main</v>
          </cell>
          <cell r="H1244" t="str">
            <v>Retire 30ft of 2in Coated Steel Mai</v>
          </cell>
          <cell r="I1244" t="str">
            <v>posted to CPR</v>
          </cell>
          <cell r="J1244" t="str">
            <v>Retire 30ft of 2in Coated Steel Main: Aurora: Replace Coated Steel &amp; Plastic Main - 3760 (34-396)</v>
          </cell>
          <cell r="K1244" t="str">
            <v>Approved by: Galen Shoemaker on 12/26/2014,  To retire 30 ft of 2 in Coated Steel Main from WO 67-6846. MAOP=45# MOP=42# SYSTEM=S-9</v>
          </cell>
          <cell r="L1244">
            <v>41950</v>
          </cell>
          <cell r="M1244">
            <v>42248</v>
          </cell>
          <cell r="N1244">
            <v>42377.3507986111</v>
          </cell>
          <cell r="O1244">
            <v>42339</v>
          </cell>
          <cell r="P1244" t="str">
            <v>0809-050003  LAWRENCE CTY/AURORA</v>
          </cell>
          <cell r="Q1244">
            <v>289.74</v>
          </cell>
          <cell r="R1244">
            <v>31</v>
          </cell>
        </row>
        <row r="1245">
          <cell r="A1245" t="str">
            <v>800375</v>
          </cell>
          <cell r="B1245" t="str">
            <v>LDC 2</v>
          </cell>
          <cell r="D1245" t="str">
            <v>no</v>
          </cell>
          <cell r="F1245" t="str">
            <v>F0523</v>
          </cell>
          <cell r="G1245" t="str">
            <v>New Main Extensions (SW)</v>
          </cell>
          <cell r="H1245" t="str">
            <v>2065ft Main Ext Old Castle Est Ph2</v>
          </cell>
          <cell r="I1245" t="str">
            <v>posted to CPR</v>
          </cell>
          <cell r="J1245" t="str">
            <v>2065ft Main Extension to Serve Old Castle Phase 2. Install 1440ft of 2in PL and 625ft of 4in PL to accommodate new subdivision. Design is over-sized to accommodate future growth. Minimum sizing required is all 2in PL main.</v>
          </cell>
          <cell r="K1245" t="str">
            <v>Per Alison Spalding the Estimate and the As Built are properly reflected with a difference in footage of 745 Feet.
Town: 0816 Sector: A1309
System: C-0001
MOP: 44
Cost: $66,374.46    $32.14/ft</v>
          </cell>
          <cell r="L1245">
            <v>42557</v>
          </cell>
          <cell r="M1245">
            <v>42674</v>
          </cell>
          <cell r="N1245">
            <v>42772.668726851902</v>
          </cell>
          <cell r="O1245">
            <v>42583</v>
          </cell>
          <cell r="P1245" t="str">
            <v>0816-019004  CHRISTIAN CTY/NIXA</v>
          </cell>
          <cell r="Q1245">
            <v>15240.1</v>
          </cell>
          <cell r="R1245">
            <v>-5522.5</v>
          </cell>
        </row>
        <row r="1246">
          <cell r="A1246" t="str">
            <v>003911</v>
          </cell>
          <cell r="B1246" t="str">
            <v>LDC 2</v>
          </cell>
          <cell r="D1246" t="str">
            <v>yes</v>
          </cell>
          <cell r="E1246" t="str">
            <v>20816133244</v>
          </cell>
          <cell r="F1246" t="str">
            <v>F0598</v>
          </cell>
          <cell r="G1246" t="str">
            <v>Replace steel &amp; plastic main</v>
          </cell>
          <cell r="H1246" t="str">
            <v>Kings Mead Ret 20'-2in PE Main</v>
          </cell>
          <cell r="I1246" t="str">
            <v>posted to CPR</v>
          </cell>
          <cell r="J1246" t="str">
            <v>Kings Mead Ret 20'-2in PE Main: Nixa: Kings Mead Cir</v>
          </cell>
          <cell r="K1246" t="str">
            <v>Approved by: Galen Shoemaker on 12/26/2013,  To retire 20 ft of 2in Plastic Main from WO 08-5219 that laid on private property where new construction is taking place. MOP=44# MAOP=44# SYSTEM C-1</v>
          </cell>
          <cell r="L1246">
            <v>41626</v>
          </cell>
          <cell r="M1246">
            <v>41729</v>
          </cell>
          <cell r="N1246">
            <v>41732.346226851798</v>
          </cell>
          <cell r="P1246" t="str">
            <v>0816-019004  CHRISTIAN CTY/NIXA</v>
          </cell>
          <cell r="Q1246">
            <v>902.63</v>
          </cell>
          <cell r="R1246">
            <v>29</v>
          </cell>
        </row>
        <row r="1247">
          <cell r="A1247" t="str">
            <v>006972</v>
          </cell>
          <cell r="B1247" t="str">
            <v>LDC 2</v>
          </cell>
          <cell r="D1247" t="str">
            <v>yes</v>
          </cell>
          <cell r="E1247" t="str">
            <v>20902143920</v>
          </cell>
          <cell r="F1247" t="str">
            <v>F0604</v>
          </cell>
          <cell r="G1247" t="str">
            <v>Main Replacement - ISRS (S)</v>
          </cell>
          <cell r="H1247" t="str">
            <v>Replace PBS 0403 S of 67th Terr</v>
          </cell>
          <cell r="I1247" t="str">
            <v>posted to CPR</v>
          </cell>
          <cell r="J1247" t="str">
            <v>Replace PBS 0403 S of 67th Terr: Raytown: Replace Bare Steel Main - 3760 Safety Related (34-394)</v>
          </cell>
          <cell r="K1247" t="str">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ell>
          <cell r="L1247">
            <v>42314</v>
          </cell>
          <cell r="M1247">
            <v>42429</v>
          </cell>
          <cell r="N1247">
            <v>42527.511203703703</v>
          </cell>
          <cell r="O1247">
            <v>42370</v>
          </cell>
          <cell r="P1247" t="str">
            <v>0902-043025  JACKSON CTY/RAYTOWN</v>
          </cell>
          <cell r="Q1247">
            <v>189822.44</v>
          </cell>
          <cell r="R1247">
            <v>-8434</v>
          </cell>
        </row>
        <row r="1248">
          <cell r="A1248" t="str">
            <v>004484</v>
          </cell>
          <cell r="B1248" t="str">
            <v>LDC 2</v>
          </cell>
          <cell r="D1248" t="str">
            <v>yes</v>
          </cell>
          <cell r="E1248" t="str">
            <v>20904132819</v>
          </cell>
          <cell r="F1248" t="str">
            <v>F0514</v>
          </cell>
          <cell r="G1248" t="str">
            <v>Other relocates</v>
          </cell>
          <cell r="H1248" t="str">
            <v>155 &amp; Corrington Repl PCS w 101'-4i</v>
          </cell>
          <cell r="I1248" t="str">
            <v>posted to CPR</v>
          </cell>
          <cell r="J1248" t="str">
            <v>155 &amp; Corrington Repl PCS w 101'-4in CS main: Grandview: 155th and Corrington</v>
          </cell>
          <cell r="K1248" t="str">
            <v>Approved by: Ralph Janes on 07/24/2013,  Relocate 101' of 4in PCS main for road grading and storm sewer installation. Lindsey Construction is building Fairways at Grand Summit apartment complex at 155th St (County Line Rd) and Corrington Ave. The city is requiring they build a new city street - Corrington Ave. There will be 2' grade cuts for road subgrade as well as new storm sewer installed. Lower 95' span of 4in thin film 3' deeper than existing to allow for this construction. Project is reimbursable. Retire 95' of 4in PCS (PBS?) from WO# 62-0289.</v>
          </cell>
          <cell r="L1248">
            <v>41488</v>
          </cell>
          <cell r="M1248">
            <v>41564</v>
          </cell>
          <cell r="N1248">
            <v>41564.624699074098</v>
          </cell>
          <cell r="P1248" t="str">
            <v>0904-043031  JACKSON CTY/GRANDVIEW</v>
          </cell>
          <cell r="Q1248">
            <v>1209.1099999999999</v>
          </cell>
          <cell r="R1248">
            <v>259.89999999999998</v>
          </cell>
        </row>
        <row r="1249">
          <cell r="A1249" t="str">
            <v>800131</v>
          </cell>
          <cell r="B1249" t="str">
            <v>LDC 2</v>
          </cell>
          <cell r="C1249" t="str">
            <v>03 - Bare Steel Replacement</v>
          </cell>
          <cell r="D1249" t="str">
            <v>yes</v>
          </cell>
          <cell r="F1249" t="str">
            <v>F0604</v>
          </cell>
          <cell r="G1249" t="str">
            <v>Main Replacement - ISRS (S)</v>
          </cell>
          <cell r="H1249" t="str">
            <v>Repl w/ 7363F 2&amp;4P Belton Ph2C</v>
          </cell>
          <cell r="I1249" t="str">
            <v>open</v>
          </cell>
          <cell r="J1249" t="str">
            <v>Install 3676 Ft of 2 in and 3687 Ft of 4 in PL IP Main for Belton Phase 2C. Abandon 390 Ft of 2 in PL, 3083 Ft of 2 in ST, 36 Ft of 3 in PL, 10 Ft of 3 in ST, 282 Ft of 4 in PL and 3833 Ft of 4 in ST IP Main.</v>
          </cell>
          <cell r="K1249" t="str">
            <v>This main is being replaced as part of the FY16 Bare Steel Replacement Program.  Total service tie-over = 125; Total service abandoned = 3</v>
          </cell>
          <cell r="P1249" t="str">
            <v>0906-016001  CASS CTY/BELTON W OF MULLIN RD</v>
          </cell>
          <cell r="Q1249">
            <v>2403.6799999999998</v>
          </cell>
          <cell r="R1249">
            <v>7634</v>
          </cell>
        </row>
        <row r="1250">
          <cell r="A1250" t="str">
            <v>800187</v>
          </cell>
          <cell r="B1250" t="str">
            <v>LDC 2</v>
          </cell>
          <cell r="D1250" t="str">
            <v>no</v>
          </cell>
          <cell r="F1250" t="str">
            <v>F0673</v>
          </cell>
          <cell r="G1250" t="str">
            <v>New Main Extensions (S)</v>
          </cell>
          <cell r="H1250" t="str">
            <v>Loch Lloyd North - West Ridge Main</v>
          </cell>
          <cell r="I1250" t="str">
            <v>completed</v>
          </cell>
          <cell r="J1250" t="str">
            <v>Install 2,550 feet of 4 inch plastic main to serve 14 new residential lots - Loch Lloyd North - West Ridge. These are going to be very large homes. Most will probably have over 2000 cfh load.</v>
          </cell>
          <cell r="L1250">
            <v>42551</v>
          </cell>
          <cell r="M1250">
            <v>42704</v>
          </cell>
          <cell r="O1250">
            <v>42522</v>
          </cell>
          <cell r="P1250" t="str">
            <v>0906-016001  CASS CTY/BELTON W OF MULLIN RD</v>
          </cell>
          <cell r="Q1250">
            <v>26761.61</v>
          </cell>
          <cell r="R1250">
            <v>-5064</v>
          </cell>
        </row>
        <row r="1251">
          <cell r="A1251" t="str">
            <v>800731</v>
          </cell>
          <cell r="B1251" t="str">
            <v>LDC 2</v>
          </cell>
          <cell r="D1251" t="str">
            <v>no</v>
          </cell>
          <cell r="F1251" t="str">
            <v>F0673</v>
          </cell>
          <cell r="G1251" t="str">
            <v>New Main Extensions (S)</v>
          </cell>
          <cell r="H1251" t="str">
            <v>Inst 6570F 2-4-6P Jackson Co Parks</v>
          </cell>
          <cell r="I1251" t="str">
            <v>open</v>
          </cell>
          <cell r="J1251" t="str">
            <v>Install 3400 feet of 2" PE, 2110 feet of 4" PE, and 1060 feet of 6" PE to serve new commercial customer.</v>
          </cell>
          <cell r="K1251" t="str">
            <v>BUILDING 3310 IS AN EXISTING BUILDING THAT IS USING ALTERNATIVE FUEL AND BUILDING 3314 IS A NEW CONSTRUCTION. GAS LOAD FOR 3310 IS 500 CFH &amp; 3314 IS 600 CFH. CUSTOMER REQUESTED THAT THE PROJECTS BE TREATED AS ONE. ADDRESS - 3310 IS THE RANGER-RECREATION BUILDING ADDRESS - 3314 IS THE JCP &amp; R FLEMING PARK MAINTENANCE FACILITY MAIN - SERVICE LINE AND 2 METERS.</v>
          </cell>
          <cell r="P1251" t="str">
            <v>0901-043021  JACKSON CTY/LEE'S SUMMIT OFFIC</v>
          </cell>
          <cell r="Q1251">
            <v>-36006</v>
          </cell>
          <cell r="R1251">
            <v>0</v>
          </cell>
        </row>
        <row r="1252">
          <cell r="A1252" t="str">
            <v>800725</v>
          </cell>
          <cell r="B1252" t="str">
            <v>LDC 2</v>
          </cell>
          <cell r="D1252" t="str">
            <v>no</v>
          </cell>
          <cell r="F1252" t="str">
            <v>F0673</v>
          </cell>
          <cell r="G1252" t="str">
            <v>New Main Extensions (S)</v>
          </cell>
          <cell r="H1252" t="str">
            <v>Install 2280F 2-4P Walmart - Main</v>
          </cell>
          <cell r="I1252" t="str">
            <v>in service</v>
          </cell>
          <cell r="J1252" t="str">
            <v>Install ~1960 Ft of 4" PL IP Main.  Install ~ 320 Ft of 2" PL IP Service  with 2" Flanged Riser.</v>
          </cell>
          <cell r="K1252" t="str">
            <v>CUSTOMER IS REQUESTING 5 PSI, GAS LOAD INFORMATION 11,589 CFH'S.  
Total Load = 11,589 cfh.  This is a new commercial business project.</v>
          </cell>
          <cell r="L1252">
            <v>42641</v>
          </cell>
          <cell r="O1252">
            <v>42614</v>
          </cell>
          <cell r="P1252" t="str">
            <v>0901-043021  JACKSON CTY/LEE'S SUMMIT OFFIC</v>
          </cell>
          <cell r="Q1252">
            <v>32510.19</v>
          </cell>
          <cell r="R1252">
            <v>-5380.25</v>
          </cell>
        </row>
        <row r="1253">
          <cell r="A1253" t="str">
            <v>008070</v>
          </cell>
          <cell r="B1253" t="str">
            <v>LDC 2</v>
          </cell>
          <cell r="D1253" t="str">
            <v>no</v>
          </cell>
          <cell r="E1253" t="str">
            <v>20901143660</v>
          </cell>
          <cell r="F1253" t="str">
            <v>F0673</v>
          </cell>
          <cell r="G1253" t="str">
            <v>New Main Extensions (S)</v>
          </cell>
          <cell r="H1253" t="str">
            <v>Mill Creek at Summit Mill 3rd Plat</v>
          </cell>
          <cell r="I1253" t="str">
            <v>posted to CPR</v>
          </cell>
          <cell r="J1253" t="str">
            <v>Mill Creek at Summit Mill 3rd Plat: Lees Summit: New Main Extension - Company Crews  3760 (33-305)</v>
          </cell>
          <cell r="K1253" t="str">
            <v>Approved by: Ralph Janes on 09/25/2014,  Install 2,060' - 2" pe main extension to serve 38 new residentail lots.</v>
          </cell>
          <cell r="L1253">
            <v>42157</v>
          </cell>
          <cell r="M1253">
            <v>42460</v>
          </cell>
          <cell r="N1253">
            <v>42557.552453703698</v>
          </cell>
          <cell r="O1253">
            <v>42156</v>
          </cell>
          <cell r="P1253" t="str">
            <v>0901-043021  JACKSON CTY/LEE'S SUMMIT OFFIC</v>
          </cell>
          <cell r="Q1253">
            <v>7918.23</v>
          </cell>
          <cell r="R1253">
            <v>-4676</v>
          </cell>
        </row>
        <row r="1254">
          <cell r="A1254" t="str">
            <v>004224</v>
          </cell>
          <cell r="B1254" t="str">
            <v>LDC 2</v>
          </cell>
          <cell r="D1254" t="str">
            <v>no</v>
          </cell>
          <cell r="E1254" t="str">
            <v>20901133226</v>
          </cell>
          <cell r="F1254" t="str">
            <v>F0554</v>
          </cell>
          <cell r="G1254" t="str">
            <v>Tools, Instruments &amp; Equipment (S)</v>
          </cell>
          <cell r="H1254" t="str">
            <v>Pur Confined Space Equip</v>
          </cell>
          <cell r="I1254" t="str">
            <v>posted to CPR</v>
          </cell>
          <cell r="J1254" t="str">
            <v>Pur Confined Space Equip: Lees Summit: Lees Summit</v>
          </cell>
          <cell r="K1254" t="str">
            <v>Approved by: Steve Holcomb on 12/17/2013,  Purchase  blower for ventilation in confine spaces and one for rescue.</v>
          </cell>
          <cell r="L1254">
            <v>41577</v>
          </cell>
          <cell r="M1254">
            <v>41654</v>
          </cell>
          <cell r="N1254">
            <v>41654.604097222204</v>
          </cell>
          <cell r="P1254" t="str">
            <v>0901-043021  JACKSON CTY/LEE'S SUMMIT OFFIC</v>
          </cell>
          <cell r="Q1254">
            <v>4004.75</v>
          </cell>
          <cell r="R1254">
            <v>0</v>
          </cell>
        </row>
        <row r="1255">
          <cell r="A1255" t="str">
            <v>004011</v>
          </cell>
          <cell r="B1255" t="str">
            <v>LDC 2</v>
          </cell>
          <cell r="D1255" t="str">
            <v>yes</v>
          </cell>
          <cell r="E1255" t="str">
            <v>20901133118</v>
          </cell>
          <cell r="F1255" t="str">
            <v>F0623</v>
          </cell>
          <cell r="G1255" t="str">
            <v>Street &amp; highway relocates</v>
          </cell>
          <cell r="H1255" t="str">
            <v>150 &amp; DocHenry Reloc 90'-8in PCS Mo</v>
          </cell>
          <cell r="I1255" t="str">
            <v>posted to CPR</v>
          </cell>
          <cell r="J1255" t="str">
            <v>150 &amp; DocHenry Reloc 90'-8in PCS MoDOT : Lees Summit: 150 and Doc Henry</v>
          </cell>
          <cell r="K1255" t="str">
            <v>Approved by: Ralph Janes on 11/01/2013,  MoDOT Project J4S2149 - shoulder improvements with new culverts/ditch grading on 150 in Greenwood. Install a 10'x70'x10' dogleg (90' total new 8" PCS) in the existing 8" PCS main on the west side of Doc Henry. Retire 70' - 8" PCS (WO# 66-3364). The main is in private easement on the west side of Doc Henry, so this project is 100% reimbursable.</v>
          </cell>
          <cell r="L1255">
            <v>41624</v>
          </cell>
          <cell r="M1255">
            <v>41697</v>
          </cell>
          <cell r="N1255">
            <v>41698.505219907398</v>
          </cell>
          <cell r="O1255">
            <v>41760</v>
          </cell>
          <cell r="P1255" t="str">
            <v>0901-043021  JACKSON CTY/LEE'S SUMMIT OFFIC</v>
          </cell>
          <cell r="Q1255">
            <v>1415.66</v>
          </cell>
          <cell r="R1255">
            <v>219</v>
          </cell>
        </row>
        <row r="1256">
          <cell r="A1256" t="str">
            <v>005511</v>
          </cell>
          <cell r="B1256" t="str">
            <v>LDC 2</v>
          </cell>
          <cell r="D1256" t="str">
            <v>no</v>
          </cell>
          <cell r="E1256" t="str">
            <v>20513143619</v>
          </cell>
          <cell r="F1256" t="str">
            <v>F0677</v>
          </cell>
          <cell r="G1256" t="str">
            <v>New business</v>
          </cell>
          <cell r="H1256" t="str">
            <v>305 Gold Leaf Lay 190'-4in PE main</v>
          </cell>
          <cell r="I1256" t="str">
            <v>posted to CPR</v>
          </cell>
          <cell r="J1256" t="str">
            <v>305 Gold Leaf Lay 190'-4in PE main ext: Carl Junction: New Main Extension - Contractor Crews  3760 (33-380)</v>
          </cell>
          <cell r="K1256" t="str">
            <v>Approved by: Galen Shoemaker on 06/16/2014,  Install 190' - 4" PE to provide service to 305 Gold Leaf. Customer will not be required to contribute anything as a 75' main extension would catch them. Company elects to lay the extra main in order to get to either property line for future expansion. Project Location: Gold Leaf and Black Thorn; Pressure System: S-2; MOP: 20 psig; MAOP: 21 psig; Design: 58 psig; Test: 100 psig; $41.22/ft</v>
          </cell>
          <cell r="L1256">
            <v>41852</v>
          </cell>
          <cell r="M1256">
            <v>42248</v>
          </cell>
          <cell r="N1256">
            <v>42284.721770833297</v>
          </cell>
          <cell r="O1256">
            <v>41883</v>
          </cell>
          <cell r="P1256" t="str">
            <v>0513-044020  JASPER CTY/CARL JUNCTION</v>
          </cell>
          <cell r="Q1256">
            <v>10432.41</v>
          </cell>
          <cell r="R1256">
            <v>-1245</v>
          </cell>
        </row>
        <row r="1257">
          <cell r="A1257" t="str">
            <v>006198</v>
          </cell>
          <cell r="B1257" t="str">
            <v>LDC 2</v>
          </cell>
          <cell r="D1257" t="str">
            <v>no</v>
          </cell>
          <cell r="E1257" t="str">
            <v>20601143769</v>
          </cell>
          <cell r="F1257" t="str">
            <v>F0496</v>
          </cell>
          <cell r="G1257" t="str">
            <v>New main extensions - less than 200</v>
          </cell>
          <cell r="H1257" t="str">
            <v>93ft 2in PE Gas Main Extension</v>
          </cell>
          <cell r="I1257" t="str">
            <v>posted to CPR</v>
          </cell>
          <cell r="J1257" t="str">
            <v>93ft 2in PE Gas Main Extension: Carthage: New Main Extension - Company Crews  3760 (33-305)</v>
          </cell>
          <cell r="K1257" t="str">
            <v>Approved by: Galen Shoemaker on 08/28/2014,  Install 93' of 2" PE for new service. No customer contribution due to customer could be served with a 75' main extension, but Company elected to lay extra to square everything up.  Project Location: Intersection of Mimosa Rd and Centennial St.  System: C-4.  MOP: 10 PSIG.  MAOP: 10 PSIG.  Design: 58 PSIG.  Test: 100 PSIG.  Price Per Foot: $22.53.</v>
          </cell>
          <cell r="L1257">
            <v>41818</v>
          </cell>
          <cell r="M1257">
            <v>42063</v>
          </cell>
          <cell r="N1257">
            <v>42160.553506944401</v>
          </cell>
          <cell r="O1257">
            <v>41883</v>
          </cell>
          <cell r="P1257" t="str">
            <v>0601-044025  JASPER CTY/CARTHAGE</v>
          </cell>
          <cell r="Q1257">
            <v>2207.0500000000002</v>
          </cell>
          <cell r="R1257">
            <v>-88</v>
          </cell>
        </row>
        <row r="1258">
          <cell r="A1258" t="str">
            <v>004099</v>
          </cell>
          <cell r="B1258" t="str">
            <v>LDC 2</v>
          </cell>
          <cell r="D1258" t="str">
            <v>no</v>
          </cell>
          <cell r="E1258" t="str">
            <v>20601143447</v>
          </cell>
          <cell r="F1258" t="str">
            <v>F0677</v>
          </cell>
          <cell r="G1258" t="str">
            <v>New business</v>
          </cell>
          <cell r="H1258" t="str">
            <v>Ashley Dr Lay 20'-2in PE main ext</v>
          </cell>
          <cell r="I1258" t="str">
            <v>cancelled</v>
          </cell>
          <cell r="J1258" t="str">
            <v>Ashley Dr Lay 20'-2in PE main ext: Carthage: Shannon and Ashley</v>
          </cell>
          <cell r="K1258" t="str">
            <v>Approved by: Galen Shoemaker on 03/21/2014,  Extend main with 20' - 2" PE to provide service to 1353 Ashley Dr. No customer contribution after customer allowance. Project Location: Ashley and Shannon; Pressure System: C-3; MOP: 35 psig; MAOP: 35 psig; Design: 58 psig; Test: 100 psig;
Cancel 4-28-14 per Janice W. - enough main to provide service to 1353 Ashley</v>
          </cell>
          <cell r="N1258">
            <v>41933</v>
          </cell>
          <cell r="P1258" t="str">
            <v>0601-044025  JASPER CTY/CARTHAGE</v>
          </cell>
          <cell r="Q1258">
            <v>0</v>
          </cell>
          <cell r="R1258">
            <v>0</v>
          </cell>
        </row>
        <row r="1259">
          <cell r="A1259" t="str">
            <v>800365</v>
          </cell>
          <cell r="B1259" t="str">
            <v>LDC 2</v>
          </cell>
          <cell r="D1259" t="str">
            <v>no</v>
          </cell>
          <cell r="F1259" t="str">
            <v>F0647</v>
          </cell>
          <cell r="G1259" t="str">
            <v>New Main Extensions (N)</v>
          </cell>
          <cell r="H1259" t="str">
            <v>1951 NW 87TH TER MAIN EXT - IUI</v>
          </cell>
          <cell r="I1259" t="str">
            <v>in service</v>
          </cell>
          <cell r="J1259" t="str">
            <v>Pathfinder Elementary School - Install 255' of 2" PE at 1951 NW 87th Terr. 5,200 CFH 2PSIG.</v>
          </cell>
          <cell r="L1259">
            <v>42669</v>
          </cell>
          <cell r="O1259">
            <v>42644</v>
          </cell>
          <cell r="P1259" t="str">
            <v>1251-075010  PLATTE CTY/KANSAS CITY NORTH</v>
          </cell>
          <cell r="Q1259">
            <v>66479.17</v>
          </cell>
          <cell r="R1259">
            <v>-1073</v>
          </cell>
        </row>
        <row r="1260">
          <cell r="A1260" t="str">
            <v>009123</v>
          </cell>
          <cell r="B1260" t="str">
            <v>LDC 2</v>
          </cell>
          <cell r="D1260" t="str">
            <v>yes</v>
          </cell>
          <cell r="E1260" t="str">
            <v>21251155431</v>
          </cell>
          <cell r="F1260" t="str">
            <v>F0547</v>
          </cell>
          <cell r="G1260" t="str">
            <v>Street &amp; Highway Relocates ISRS (N)</v>
          </cell>
          <cell r="H1260" t="str">
            <v>12in PCS Relocation - 7B</v>
          </cell>
          <cell r="I1260" t="str">
            <v>posted to CPR</v>
          </cell>
          <cell r="J1260" t="str">
            <v>12in PCS Relocation - 7B: Kansas City-Platte Co: Relocate for Street &amp; Highway-Public Improvements (44-388)</v>
          </cell>
          <cell r="K1260" t="str">
            <v>Approved by: Joe Hampton on 08/01/2015,  ISRS Relocate 12'' PCS main due to public improvement new storm structure and grade cut. Pressure system C-039 - 135 psig. Coordinate with engineering for staking at least 2 weeks before construction.</v>
          </cell>
          <cell r="L1260">
            <v>42387</v>
          </cell>
          <cell r="M1260">
            <v>42615</v>
          </cell>
          <cell r="N1260">
            <v>42649.700162036999</v>
          </cell>
          <cell r="O1260">
            <v>42401</v>
          </cell>
          <cell r="P1260" t="str">
            <v>1251-075010  PLATTE CTY/KANSAS CITY NORTH</v>
          </cell>
          <cell r="Q1260">
            <v>84109.15</v>
          </cell>
          <cell r="R1260">
            <v>500</v>
          </cell>
        </row>
        <row r="1261">
          <cell r="A1261" t="str">
            <v>007783</v>
          </cell>
          <cell r="B1261" t="str">
            <v>LDC 2</v>
          </cell>
          <cell r="D1261" t="str">
            <v>no</v>
          </cell>
          <cell r="E1261" t="str">
            <v>21251155190</v>
          </cell>
          <cell r="F1261" t="str">
            <v>F0610</v>
          </cell>
          <cell r="G1261" t="str">
            <v>New business</v>
          </cell>
          <cell r="H1261" t="str">
            <v>4in PE Main Extension - System Rein</v>
          </cell>
          <cell r="I1261" t="str">
            <v>posted to CPR</v>
          </cell>
          <cell r="J1261" t="str">
            <v>4in PE Main Extension - System Reinforcement: Kansas City-Platte Co: New Main Extension - Contractor Crews  3760 (33-380)</v>
          </cell>
          <cell r="K1261" t="str">
            <v>Approved by: Joe Hampton on 03/05/2015,  Install 3860' of 4'' PE for system reinforcement. This is to gain an additional feed to this area. This will create a combine feed for the following 2 systems that are both 25PSIG, S-659 and S-652.</v>
          </cell>
          <cell r="L1261">
            <v>42104</v>
          </cell>
          <cell r="M1261">
            <v>42248</v>
          </cell>
          <cell r="N1261">
            <v>42284.723356481503</v>
          </cell>
          <cell r="O1261">
            <v>42095</v>
          </cell>
          <cell r="P1261" t="str">
            <v>1251-075010  PLATTE CTY/KANSAS CITY NORTH</v>
          </cell>
          <cell r="Q1261">
            <v>115146.92</v>
          </cell>
          <cell r="R1261">
            <v>-7717</v>
          </cell>
        </row>
        <row r="1262">
          <cell r="A1262" t="str">
            <v>008631</v>
          </cell>
          <cell r="B1262" t="str">
            <v>LDC 2</v>
          </cell>
          <cell r="D1262" t="str">
            <v>no</v>
          </cell>
          <cell r="E1262" t="str">
            <v>21258155227</v>
          </cell>
          <cell r="F1262" t="str">
            <v>F0610</v>
          </cell>
          <cell r="G1262" t="str">
            <v>New business</v>
          </cell>
          <cell r="H1262" t="str">
            <v>Montebella 2nd Plat - Main Ext</v>
          </cell>
          <cell r="I1262" t="str">
            <v>posted to CPR</v>
          </cell>
          <cell r="J1262" t="str">
            <v>Montebella 2nd Plat: Riverside: New Main Extension - Contractor Crews  3760 (33-380)</v>
          </cell>
          <cell r="K1262" t="str">
            <v>Approved by: Gary Williams on 03/19/2015,  Montebella 2nd Plat. Install 1495' of 2'' PE and 1549' of 4'' PE to serve 52 lots 85-138. Pressure system C-041, 45 psig. 15' utility easement throughout the project. Customer contribution before start of project $25,874.00 - check rec'd 5-29-15 per WOES.</v>
          </cell>
          <cell r="L1262">
            <v>42250</v>
          </cell>
          <cell r="M1262">
            <v>42309</v>
          </cell>
          <cell r="N1262">
            <v>42436.430694444403</v>
          </cell>
          <cell r="O1262">
            <v>42248</v>
          </cell>
          <cell r="P1262" t="str">
            <v>1258-075017  PLATTE CTY/RIVERSIDE</v>
          </cell>
          <cell r="Q1262">
            <v>40595.99</v>
          </cell>
          <cell r="R1262">
            <v>-6266</v>
          </cell>
        </row>
        <row r="1263">
          <cell r="A1263" t="str">
            <v>007397</v>
          </cell>
          <cell r="B1263" t="str">
            <v>LDC 2</v>
          </cell>
          <cell r="D1263" t="str">
            <v>no</v>
          </cell>
          <cell r="F1263" t="str">
            <v>F0483</v>
          </cell>
          <cell r="G1263" t="str">
            <v>Meter &amp; regulator settings - 2" &amp; l</v>
          </cell>
          <cell r="H1263" t="str">
            <v>Install CNI2 Devices MGE St Joseph</v>
          </cell>
          <cell r="I1263" t="str">
            <v>posted to CPR</v>
          </cell>
          <cell r="J1263" t="str">
            <v>These units will provide load profile on MGE's Transportation Gas customers hour by hour including daily corrected and uncorrected consumption.</v>
          </cell>
          <cell r="K1263" t="str">
            <v>Furthermore, the units are necessary to provide reports for accurate billing of MGE Gas Transportation accounts.</v>
          </cell>
          <cell r="L1263">
            <v>42156</v>
          </cell>
          <cell r="M1263">
            <v>42278</v>
          </cell>
          <cell r="N1263">
            <v>42317.383541666699</v>
          </cell>
          <cell r="O1263">
            <v>42156</v>
          </cell>
          <cell r="P1263" t="str">
            <v>1001-010001  ST. JOSEPH CITY/BUCHANAN</v>
          </cell>
          <cell r="Q1263">
            <v>17751.05</v>
          </cell>
          <cell r="R1263">
            <v>108</v>
          </cell>
        </row>
        <row r="1264">
          <cell r="A1264" t="str">
            <v>006790</v>
          </cell>
          <cell r="B1264" t="str">
            <v>LDC 2</v>
          </cell>
          <cell r="D1264" t="str">
            <v>yes</v>
          </cell>
          <cell r="E1264" t="str">
            <v>21001143860</v>
          </cell>
          <cell r="F1264" t="str">
            <v>F0678</v>
          </cell>
          <cell r="G1264" t="str">
            <v>Replace bare steel main - safety re</v>
          </cell>
          <cell r="H1264" t="str">
            <v>Replace 202ft of PBS with 202ft of</v>
          </cell>
          <cell r="I1264" t="str">
            <v>posted to CPR</v>
          </cell>
          <cell r="J1264" t="str">
            <v>Replace 202ft of PBS with 202ft of PE: St Joseph: Replace Bare Steel Main - 3760 Safety Related (34-394)</v>
          </cell>
          <cell r="K1264" t="str">
            <v>Approved by: Gary Williams on 10/16/2014,  Lay 202ft of 2"PLASTIC MAIN.To replace bare steel main due to down project.</v>
          </cell>
          <cell r="L1264">
            <v>42028</v>
          </cell>
          <cell r="M1264">
            <v>42217</v>
          </cell>
          <cell r="N1264">
            <v>42285.420960648102</v>
          </cell>
          <cell r="O1264">
            <v>42005</v>
          </cell>
          <cell r="P1264" t="str">
            <v>1001-010001  ST. JOSEPH CITY/BUCHANAN</v>
          </cell>
          <cell r="Q1264">
            <v>3912.05</v>
          </cell>
          <cell r="R1264">
            <v>107</v>
          </cell>
        </row>
        <row r="1265">
          <cell r="A1265" t="str">
            <v>009229</v>
          </cell>
          <cell r="B1265" t="str">
            <v>LDC 2</v>
          </cell>
          <cell r="D1265" t="str">
            <v>yes</v>
          </cell>
          <cell r="E1265" t="str">
            <v>20910155505</v>
          </cell>
          <cell r="F1265" t="str">
            <v>F0604</v>
          </cell>
          <cell r="G1265" t="str">
            <v>Main Replacement - ISRS (S)</v>
          </cell>
          <cell r="H1265" t="str">
            <v>Replace 2 PE/PCS/PBS &amp; 4in PCS</v>
          </cell>
          <cell r="I1265" t="str">
            <v>posted to CPR</v>
          </cell>
          <cell r="J1265" t="str">
            <v>Replace 2in PE/PCS/PBS &amp; 4in PCS/PBS: Holden: Replace Bare Steel Main - 3760 Safety Related (34-394)</v>
          </cell>
          <cell r="K1265" t="str">
            <v>Approved by: Joe Hampton on 08/20/2015,  Replace and Abandon 383'- 2" PBS (44608), 105'- 2" PBS (41459), 478'- 2" PBS (A4651), 25'- 2" PCS (751631), 345'- 2" PBS (N/A), 102'- 2" PE (747828), 542'- 4" PBS (N/A), 20'- 4" PCS (N/A), 517'- 4" PCS (A7974), 790'- 4" PCS (781080), 12'- 2" PCS (781079), 939'- 4" PCS (664800), &amp; 17'- 4" PCS (N/A). Uprate 861'- 2" PE (974135), 175'- 2" PE (E360931), 71'- 2" PCS (735943), 50'- 2" PCS (52051), 181'- 2" PCS (52027), 241'- 2" PCS (51553), 749'- 2" PCS (A4651), 347'- 2" PCS (671525), 1356'- 2" PCS (751631), 138'- 2" PCS (725190), &amp; 273'- 2" PCS (674949) to 60 psi.Main currently runs on Madison Ave, Second St, Alden St, Gordon St, Cockrell Ave and Crittenden Ave
FCOMP 9-21-16 per Maximo</v>
          </cell>
          <cell r="L1265">
            <v>42634</v>
          </cell>
          <cell r="M1265">
            <v>42674</v>
          </cell>
          <cell r="N1265">
            <v>42772.668483796297</v>
          </cell>
          <cell r="O1265">
            <v>42614</v>
          </cell>
          <cell r="P1265" t="str">
            <v>0910-046008  JOHNSON CTY/HOLDEN</v>
          </cell>
          <cell r="Q1265">
            <v>277986.65999999997</v>
          </cell>
          <cell r="R1265">
            <v>-4594</v>
          </cell>
        </row>
        <row r="1266">
          <cell r="A1266" t="str">
            <v>006854</v>
          </cell>
          <cell r="B1266" t="str">
            <v>LDC 2</v>
          </cell>
          <cell r="D1266" t="str">
            <v>no</v>
          </cell>
          <cell r="E1266" t="str">
            <v>20901143874</v>
          </cell>
          <cell r="F1266" t="str">
            <v>F0672</v>
          </cell>
          <cell r="G1266" t="str">
            <v>Main Repl - Sys Reinforcement (S)</v>
          </cell>
          <cell r="H1266" t="str">
            <v>Reinforce Woods Chappel Rd West of</v>
          </cell>
          <cell r="I1266" t="str">
            <v>posted to CPR</v>
          </cell>
          <cell r="J1266" t="str">
            <v>Reinforce Woods Chappel Rd West of Liggett Road: Lees Summit: Replace Steel &amp; Plastic Main - System Reinforcement (43-419)</v>
          </cell>
          <cell r="K1266" t="str">
            <v>Approved by: Ralph Janes on 10/16/2014,  Install 1,530' - 4" pe main extension to connect Lee's Summit Pressure System C-013 to Blue Springs Pressure System S-029.  Note:  This Work Order 14-3874 is for the portion of this reinforcement project that lies in the City of Lee's Summit and Work Order 14-3875 is for the portion of this reinforcement project that lies in the City of Blue Springs.  LS work order 14-3874 is estimated at $42,914.44, BS work order 14-3845 is estimated at $64,110.94.  The total project estimated cost is $107,025.38.  This is the Eastern most dead end of Lee's Summit Pressure System C-013 which continues to grow to the East.  The tie in point for these work orders is approximately 8,000' from our nearest chart on Lee's Summit Pressure System C-013 which recorded a drop from the MOP of 25 psig to 10 psig on 01/06/14.</v>
          </cell>
          <cell r="L1266">
            <v>42024</v>
          </cell>
          <cell r="M1266">
            <v>42063</v>
          </cell>
          <cell r="N1266">
            <v>42160.5539699074</v>
          </cell>
          <cell r="O1266">
            <v>42005</v>
          </cell>
          <cell r="P1266" t="str">
            <v>0901-043021  JACKSON CTY/LEE'S SUMMIT OFFIC</v>
          </cell>
          <cell r="Q1266">
            <v>89590.36</v>
          </cell>
          <cell r="R1266">
            <v>-5502</v>
          </cell>
        </row>
        <row r="1267">
          <cell r="A1267" t="str">
            <v>004272</v>
          </cell>
          <cell r="B1267" t="str">
            <v>LDC 2</v>
          </cell>
          <cell r="D1267" t="str">
            <v>no</v>
          </cell>
          <cell r="E1267" t="str">
            <v>21001133047</v>
          </cell>
          <cell r="F1267" t="str">
            <v>F0503</v>
          </cell>
          <cell r="G1267" t="str">
            <v>Rectifier New/Repl ISRS (N)</v>
          </cell>
          <cell r="H1267" t="str">
            <v>Riverview Rectifier 661 Relocation</v>
          </cell>
          <cell r="I1267" t="str">
            <v>posted to CPR</v>
          </cell>
          <cell r="J1267" t="str">
            <v>Riverview Rectifier 661 Relocation: St Joseph: I-29 and East Lake Boulevard</v>
          </cell>
          <cell r="K1267" t="str">
            <v>Approved by: Gary Williams on 10/07/2013,  This work order is necessary to relocate the Riverview rectifer and ground bed, #661, currently located at 724 Riverview to I-29 &amp; East Lake Road. This ground bed has failed and multiple attempts to revive it has been unsuccessful. The existing rectifier will be utilized on the new location. This work order will be for the groundbed material and cost to establish a new electrical service at the new location. The original rectifier and ground bed was installed on work order 97-7528. The designed bare pipe to be protected is on Riveriview, West Ayr Lawn and East Ayr Lawn, resulting in a current demand of 14 amps. The new ground bed will consist of 10 3"X60 anodes with a designed output of 20 amps.</v>
          </cell>
          <cell r="L1267">
            <v>41614</v>
          </cell>
          <cell r="M1267">
            <v>41684</v>
          </cell>
          <cell r="N1267">
            <v>41695.556655092601</v>
          </cell>
          <cell r="O1267">
            <v>41730</v>
          </cell>
          <cell r="P1267" t="str">
            <v>1001-010001  ST. JOSEPH CITY/BUCHANAN</v>
          </cell>
          <cell r="Q1267">
            <v>29830.59</v>
          </cell>
          <cell r="R1267">
            <v>718</v>
          </cell>
        </row>
        <row r="1268">
          <cell r="A1268" t="str">
            <v>003835</v>
          </cell>
          <cell r="B1268" t="str">
            <v>LDC 2</v>
          </cell>
          <cell r="D1268" t="str">
            <v>no</v>
          </cell>
          <cell r="E1268" t="str">
            <v>21001121708</v>
          </cell>
          <cell r="F1268" t="str">
            <v>F0588</v>
          </cell>
          <cell r="G1268" t="str">
            <v>Transportation &amp; power operated equ</v>
          </cell>
          <cell r="H1268" t="str">
            <v>Retire Big Trucks</v>
          </cell>
          <cell r="I1268" t="str">
            <v>posted to CPR</v>
          </cell>
          <cell r="J1268" t="str">
            <v>Retire Big Trucks: St Joseph: St Joseph</v>
          </cell>
          <cell r="K1268" t="str">
            <v>Approved by: Ken Thomas on 09/11/2012,  Retirement for big trucks as assigned for replacement of new big trucks.</v>
          </cell>
          <cell r="L1268">
            <v>41244</v>
          </cell>
          <cell r="M1268">
            <v>41394</v>
          </cell>
          <cell r="N1268">
            <v>41394</v>
          </cell>
          <cell r="P1268" t="str">
            <v>1001-010001  ST. JOSEPH CITY/BUCHANAN</v>
          </cell>
          <cell r="Q1268">
            <v>137605.34</v>
          </cell>
          <cell r="R1268">
            <v>7</v>
          </cell>
        </row>
        <row r="1269">
          <cell r="A1269" t="str">
            <v>004639</v>
          </cell>
          <cell r="B1269" t="str">
            <v>LDC 2</v>
          </cell>
          <cell r="D1269" t="str">
            <v>no</v>
          </cell>
          <cell r="E1269" t="str">
            <v>21001132976</v>
          </cell>
          <cell r="F1269" t="str">
            <v>F0483</v>
          </cell>
          <cell r="G1269" t="str">
            <v>Meter &amp; regulator settings - 2" &amp; l</v>
          </cell>
          <cell r="H1269" t="str">
            <v>HOLIDAY INN EXPRESS-3M 3600 N Villa</v>
          </cell>
          <cell r="I1269" t="str">
            <v>posted to CPR</v>
          </cell>
          <cell r="J1269" t="str">
            <v>HOLIDAY INN EXPRESS-3M 3600 N Village Dr: St Joseph: 3600 N VILLAGE DR</v>
          </cell>
          <cell r="K1269" t="str">
            <v>Approved by: Gary Williams on 11/15/2013,  THIS WORK ORDER IS NECESSARY TO SET 3M METER SET TO SERVICE ONE COMMERCIAL BUILDING. LOAD 1,316 CFH. SET  A 1 1/4IN AMERCIAL 3000 RELIANCE REQULATOR AT 7IN WC WITH A 1IN 289L RELIEF SET AT 10IN WC.</v>
          </cell>
          <cell r="L1269">
            <v>41593</v>
          </cell>
          <cell r="M1269">
            <v>42491</v>
          </cell>
          <cell r="N1269">
            <v>42527.354409722197</v>
          </cell>
          <cell r="O1269">
            <v>42186</v>
          </cell>
          <cell r="P1269" t="str">
            <v>1001-010001  ST. JOSEPH CITY/BUCHANAN</v>
          </cell>
          <cell r="Q1269">
            <v>1088.8</v>
          </cell>
          <cell r="R1269">
            <v>0</v>
          </cell>
        </row>
        <row r="1270">
          <cell r="A1270" t="str">
            <v>004191</v>
          </cell>
          <cell r="B1270" t="str">
            <v>LDC 2</v>
          </cell>
          <cell r="D1270" t="str">
            <v>no</v>
          </cell>
          <cell r="E1270" t="str">
            <v>21001133140</v>
          </cell>
          <cell r="F1270" t="str">
            <v>F0533</v>
          </cell>
          <cell r="G1270" t="str">
            <v>Services -  2" &amp; larger</v>
          </cell>
          <cell r="H1270" t="str">
            <v>NE ELEM-2in SERVICE LINE</v>
          </cell>
          <cell r="I1270" t="str">
            <v>posted to CPR</v>
          </cell>
          <cell r="J1270" t="str">
            <v>NE ELEM-2in SERVICE LINE: St Joseph: 4901 COOK RD</v>
          </cell>
          <cell r="K1270" t="str">
            <v>Approved by: Gary Williams on 11/15/2013,  LAYING 650FT-2IN PE SERVICE LINE FOR ELEMENTARTY SCHOOL. LOAD (5,027CFH).</v>
          </cell>
          <cell r="L1270">
            <v>41669</v>
          </cell>
          <cell r="M1270">
            <v>41718</v>
          </cell>
          <cell r="N1270">
            <v>41719.593136574098</v>
          </cell>
          <cell r="O1270">
            <v>41730</v>
          </cell>
          <cell r="P1270" t="str">
            <v>1001-010001  ST. JOSEPH CITY/BUCHANAN</v>
          </cell>
          <cell r="Q1270">
            <v>10947.43</v>
          </cell>
          <cell r="R1270">
            <v>1799</v>
          </cell>
        </row>
        <row r="1271">
          <cell r="A1271" t="str">
            <v>004192</v>
          </cell>
          <cell r="B1271" t="str">
            <v>LDC 2</v>
          </cell>
          <cell r="D1271" t="str">
            <v>no</v>
          </cell>
          <cell r="E1271" t="str">
            <v>21001132392</v>
          </cell>
          <cell r="F1271" t="str">
            <v>F0483</v>
          </cell>
          <cell r="G1271" t="str">
            <v>Meter &amp; regulator settings - 2" &amp; l</v>
          </cell>
          <cell r="H1271" t="str">
            <v>BOEHRINGER INGELHEIM 7M METER SET</v>
          </cell>
          <cell r="I1271" t="str">
            <v>posted to CPR</v>
          </cell>
          <cell r="J1271" t="str">
            <v>BOEHRINGER INGELHEIM 7M METER SET: St Joseph: 5701 PROVIDENCE HILL</v>
          </cell>
          <cell r="K1271" t="str">
            <v>Approved by: Gary Williams on 10/07/2013,  This work order is necessary to install a 7M roots meter to serve one commercial customer. We will set a CL-34-2 Regulator with a relief valve (289H-41) at 2PSIG with a 3/8 orifice size, BROWN spring at pilot regulator with a connect load of 6,585 cfh.</v>
          </cell>
          <cell r="L1271">
            <v>41591</v>
          </cell>
          <cell r="M1271">
            <v>41716</v>
          </cell>
          <cell r="N1271">
            <v>41719.593171296299</v>
          </cell>
          <cell r="P1271" t="str">
            <v>1001-010001  ST. JOSEPH CITY/BUCHANAN</v>
          </cell>
          <cell r="Q1271">
            <v>2014.1</v>
          </cell>
          <cell r="R1271">
            <v>42</v>
          </cell>
        </row>
        <row r="1272">
          <cell r="A1272" t="str">
            <v>004345</v>
          </cell>
          <cell r="B1272" t="str">
            <v>LDC 2</v>
          </cell>
          <cell r="D1272" t="str">
            <v>no</v>
          </cell>
          <cell r="E1272" t="str">
            <v>21001133072</v>
          </cell>
          <cell r="F1272" t="str">
            <v>F0647</v>
          </cell>
          <cell r="G1272" t="str">
            <v>New Main Extensions (N)</v>
          </cell>
          <cell r="H1272" t="str">
            <v>511 N 15th Lay 125'-2in PE main</v>
          </cell>
          <cell r="I1272" t="str">
            <v>posted to CPR</v>
          </cell>
          <cell r="J1272" t="str">
            <v>511 N 15th Lay 125'-2in PE main: St Joseph: 511 N 15TH ST</v>
          </cell>
          <cell r="K1272" t="str">
            <v>Approved by: Gary Williams on 10/21/2013,  Laying 125ft -2 in pe main ext tie-in 4in pe (WO#97-4845) on east side of N 15th St &amp; Faraon St to service 1 residential customer. No charge to customer MGE abandoned main (WO#51917)2/23/2006.</v>
          </cell>
          <cell r="L1272">
            <v>41570</v>
          </cell>
          <cell r="M1272">
            <v>41626</v>
          </cell>
          <cell r="N1272">
            <v>41627.5828819444</v>
          </cell>
          <cell r="O1272">
            <v>41730</v>
          </cell>
          <cell r="P1272" t="str">
            <v>1001-010001  ST. JOSEPH CITY/BUCHANAN</v>
          </cell>
          <cell r="Q1272">
            <v>3394.22</v>
          </cell>
          <cell r="R1272">
            <v>679</v>
          </cell>
        </row>
        <row r="1273">
          <cell r="A1273" t="str">
            <v>003900</v>
          </cell>
          <cell r="B1273" t="str">
            <v>LDC 2</v>
          </cell>
          <cell r="D1273" t="str">
            <v>no</v>
          </cell>
          <cell r="E1273" t="str">
            <v>21202132808</v>
          </cell>
          <cell r="F1273" t="str">
            <v>F0654</v>
          </cell>
          <cell r="G1273" t="str">
            <v>New main extensions - less than 200</v>
          </cell>
          <cell r="H1273" t="str">
            <v>NE 138th Lay 2000'-2in main ext</v>
          </cell>
          <cell r="I1273" t="str">
            <v>posted to CPR</v>
          </cell>
          <cell r="J1273" t="str">
            <v>NE 138th Lay 2000'-2in main ext: Smithville: NE 138TH ST and N EASTERN RD</v>
          </cell>
          <cell r="K1273" t="str">
            <v>Approved by: Kevin Driskell on 08/02/2013,  Install 1,100' of 2in PE main and Reg Station #755 (WO#13-2809) to serve 2 customers. This will eliminate the existing service that is on private property. See drawing for details. Pressure System= S-755, MOP= 25PSIG, MAOP= 58PSIG.</v>
          </cell>
          <cell r="L1273">
            <v>41535</v>
          </cell>
          <cell r="M1273">
            <v>41670</v>
          </cell>
          <cell r="N1273">
            <v>41677.509756944397</v>
          </cell>
          <cell r="O1273">
            <v>41730</v>
          </cell>
          <cell r="P1273" t="str">
            <v>1202-020006  CLAY CTY/SMITHVILLE</v>
          </cell>
          <cell r="Q1273">
            <v>11522.9</v>
          </cell>
          <cell r="R1273">
            <v>2686</v>
          </cell>
        </row>
        <row r="1274">
          <cell r="A1274" t="str">
            <v>801070</v>
          </cell>
          <cell r="B1274" t="str">
            <v>LDC 2</v>
          </cell>
          <cell r="C1274" t="str">
            <v>03 - Bare Steel Replacement</v>
          </cell>
          <cell r="D1274" t="str">
            <v>yes</v>
          </cell>
          <cell r="F1274" t="str">
            <v>F0547</v>
          </cell>
          <cell r="G1274" t="str">
            <v>Street &amp; Highway Relocates ISRS (N)</v>
          </cell>
          <cell r="H1274" t="str">
            <v>Reloc 250F 2P PBS CLAYCOMO IUI</v>
          </cell>
          <cell r="I1274" t="str">
            <v>open</v>
          </cell>
          <cell r="J1274" t="str">
            <v>This WO replaces WO# 00840501.  Install ~ 250 ft of 2 in IP PE main - E Park Ave.</v>
          </cell>
          <cell r="K1274" t="str">
            <v>Abandon ~ 230 ft of 2 in IP ST main.  Total Service Tie Overs=  4.  This main is being relocated due to the existing main being exposed  and located within a creek.</v>
          </cell>
          <cell r="P1274" t="str">
            <v>1203-020008  CLAY CTY/CLAYCOMO</v>
          </cell>
          <cell r="Q1274">
            <v>0</v>
          </cell>
          <cell r="R1274">
            <v>230</v>
          </cell>
        </row>
        <row r="1275">
          <cell r="A1275" t="str">
            <v>801066</v>
          </cell>
          <cell r="B1275" t="str">
            <v>LDC 2</v>
          </cell>
          <cell r="C1275" t="str">
            <v>09 - Facility Relocation due to Civic Improvement</v>
          </cell>
          <cell r="D1275" t="str">
            <v>yes</v>
          </cell>
          <cell r="F1275" t="str">
            <v>F0547</v>
          </cell>
          <cell r="G1275" t="str">
            <v>Street &amp; Highway Relocates ISRS (N)</v>
          </cell>
          <cell r="H1275" t="str">
            <v>Reloc 1560F 4P Forest @ Hwy 291</v>
          </cell>
          <cell r="I1275" t="str">
            <v>open</v>
          </cell>
          <cell r="J1275" t="str">
            <v>Install ~1560 ft of 4 in PL IP main along Forest Ave, north of Highway 291.</v>
          </cell>
          <cell r="K1275" t="str">
            <v>Retire ~1503 ft of 4 in ST IP main at above location.  Total Service Tie-over = 3.  This relocation is being done as a public improvement.</v>
          </cell>
          <cell r="P1275" t="str">
            <v>1207-020001  CLAY CTY/LIBERTY</v>
          </cell>
          <cell r="Q1275">
            <v>42584.98</v>
          </cell>
          <cell r="R1275">
            <v>-2056.5</v>
          </cell>
        </row>
        <row r="1276">
          <cell r="A1276" t="str">
            <v>800478</v>
          </cell>
          <cell r="B1276" t="str">
            <v>LDC 2</v>
          </cell>
          <cell r="D1276" t="str">
            <v>no</v>
          </cell>
          <cell r="F1276" t="str">
            <v>F0673</v>
          </cell>
          <cell r="G1276" t="str">
            <v>New Main Extensions (S)</v>
          </cell>
          <cell r="H1276" t="str">
            <v>Camping World Main Ext</v>
          </cell>
          <cell r="I1276" t="str">
            <v>in service</v>
          </cell>
          <cell r="J1276" t="str">
            <v>Install 995' - 4" plastic main extension to serve one new commercial customer. 210' - 1/2" plastic service line to be installed on BWO. 385' - 2" plastic main and 210' - 1/2" plastic service line is minimum to serve.&lt;!-- RICH TEXT</v>
          </cell>
          <cell r="K1276" t="str">
            <v>Check for customer contribution of $7856.70 is attached in Maximo.</v>
          </cell>
          <cell r="L1276">
            <v>42556</v>
          </cell>
          <cell r="O1276">
            <v>42583</v>
          </cell>
          <cell r="P1276" t="str">
            <v>0925-043035  JACKSON CTY/GRAIN VALLEY</v>
          </cell>
          <cell r="Q1276">
            <v>34601.5</v>
          </cell>
          <cell r="R1276">
            <v>-1998</v>
          </cell>
        </row>
        <row r="1277">
          <cell r="A1277" t="str">
            <v>800515</v>
          </cell>
          <cell r="B1277" t="str">
            <v>LDC 2</v>
          </cell>
          <cell r="C1277" t="str">
            <v>09 - Facility Relocation due to Civic Improvement</v>
          </cell>
          <cell r="D1277" t="str">
            <v>yes</v>
          </cell>
          <cell r="F1277" t="str">
            <v>F0578</v>
          </cell>
          <cell r="G1277" t="str">
            <v>Street &amp; Highway Relocates ISRS (S)</v>
          </cell>
          <cell r="H1277" t="str">
            <v>Rel w/ 3105f 2-4P Johnson Dr Storm</v>
          </cell>
          <cell r="I1277" t="str">
            <v>in service</v>
          </cell>
          <cell r="J1277" t="str">
            <v>Install 530' - 2" plastic, 2,560' - 4" plastic and 15' - 6" plastic main to relocate 2822 ft 2in, 4in &amp; 6in existing coated steel main to allow the City to rebuild the street and install new storm structures.</v>
          </cell>
          <cell r="L1277">
            <v>42654</v>
          </cell>
          <cell r="O1277">
            <v>42644</v>
          </cell>
          <cell r="P1277" t="str">
            <v>0928-049014  LAFAYETTE CTY/ODESSA</v>
          </cell>
          <cell r="Q1277">
            <v>261544.25</v>
          </cell>
          <cell r="R1277">
            <v>-5539</v>
          </cell>
        </row>
        <row r="1278">
          <cell r="A1278" t="str">
            <v>007573</v>
          </cell>
          <cell r="B1278" t="str">
            <v>LDC 2</v>
          </cell>
          <cell r="D1278" t="str">
            <v>yes</v>
          </cell>
          <cell r="E1278" t="str">
            <v>20928155115</v>
          </cell>
          <cell r="F1278" t="str">
            <v>F0578</v>
          </cell>
          <cell r="G1278" t="str">
            <v>Street &amp; Highway Relocates ISRS (S)</v>
          </cell>
          <cell r="H1278" t="str">
            <v>Install two doglegs MoDOT J3S3040</v>
          </cell>
          <cell r="I1278" t="str">
            <v>posted to CPR</v>
          </cell>
          <cell r="J1278" t="str">
            <v>Install two doglegs MoDOT J3S3040: Odessa: Relocate for Street &amp; Highway-Public Improvements (44-388)</v>
          </cell>
          <cell r="K1278" t="str">
            <v>Approved by: Kevin Driskell on 02/02/2015,  MoDOT project J3S3040. Install two doglegs for MoDOT improvement project to Hwy 131 in Odessa. Install 5'x30'x5' 4" thin film vertical dogleg to retire 30' - 4" PCS (WO# 61-1511) and 4'x10'x4' 2" thin film vertical dogleg to retire 10' - 2" PCS (WO# 61-1513). (ISRS)</v>
          </cell>
          <cell r="L1278">
            <v>42159</v>
          </cell>
          <cell r="M1278">
            <v>42216</v>
          </cell>
          <cell r="N1278">
            <v>42284.723240740699</v>
          </cell>
          <cell r="O1278">
            <v>42156</v>
          </cell>
          <cell r="P1278" t="str">
            <v>0928-049014  LAFAYETTE CTY/ODESSA</v>
          </cell>
          <cell r="Q1278">
            <v>3411.74</v>
          </cell>
          <cell r="R1278">
            <v>-7</v>
          </cell>
        </row>
        <row r="1279">
          <cell r="A1279" t="str">
            <v>003786</v>
          </cell>
          <cell r="B1279" t="str">
            <v>LDC 2</v>
          </cell>
          <cell r="D1279" t="str">
            <v>no</v>
          </cell>
          <cell r="E1279" t="str">
            <v>21904132766</v>
          </cell>
          <cell r="F1279" t="str">
            <v>F0577</v>
          </cell>
          <cell r="G1279" t="str">
            <v>ERT Purchases</v>
          </cell>
          <cell r="H1279" t="str">
            <v>Pur 2020 Am Res 100G Erts Dec 2013</v>
          </cell>
          <cell r="I1279" t="str">
            <v>posted to CPR</v>
          </cell>
          <cell r="J1279" t="str">
            <v>Pur 2020 Am Res 100G Erts Dec 2013: Kansas City CORP: Central Plant Meter Shop</v>
          </cell>
          <cell r="K1279" t="str">
            <v>Approved by: Rob Hack on 07/01/2013,  Purchase 2020 American Erts (95198300) These Erts ship to American Meter in December 2013 for meters January 2014.</v>
          </cell>
          <cell r="L1279">
            <v>41593</v>
          </cell>
          <cell r="M1279">
            <v>41626</v>
          </cell>
          <cell r="N1279">
            <v>41630.722071759301</v>
          </cell>
          <cell r="P1279" t="str">
            <v>1904-043050  JACKSON CTY/KC</v>
          </cell>
          <cell r="Q1279">
            <v>92144.320000000007</v>
          </cell>
          <cell r="R1279">
            <v>0</v>
          </cell>
        </row>
        <row r="1280">
          <cell r="A1280" t="str">
            <v>800605</v>
          </cell>
          <cell r="B1280" t="str">
            <v>LDC 2</v>
          </cell>
          <cell r="C1280" t="str">
            <v>09 - Facility Relocation due to Civic Improvement</v>
          </cell>
          <cell r="D1280" t="str">
            <v>yes</v>
          </cell>
          <cell r="F1280" t="str">
            <v>F0547</v>
          </cell>
          <cell r="G1280" t="str">
            <v>Street &amp; Highway Relocates ISRS (N)</v>
          </cell>
          <cell r="H1280" t="str">
            <v>Reloc 1195F 4-6P Pleasant Valley</v>
          </cell>
          <cell r="I1280" t="str">
            <v>open</v>
          </cell>
          <cell r="J1280" t="str">
            <v>Install ~80 ft of 4 in PL IP main and ~1115 ft of 6 in PL IP main along Pleasant Valley Rd, west of N Brighton.</v>
          </cell>
          <cell r="K1280" t="str">
            <v>Retire ~63 ft of 4 in PL IP main and ~1080 ft of 6 in ST IP main at above location.  No services to tie-over or replace.  This work is being done due to City of Gladstone  and City of Kansas City, MO public improvement project.  Main is being relocated due to street cuts and due to widening of road.</v>
          </cell>
          <cell r="P1280" t="str">
            <v>1271-020036  CLAY CTY/KANSAS CITY</v>
          </cell>
          <cell r="Q1280">
            <v>49059.55</v>
          </cell>
          <cell r="R1280">
            <v>-2916</v>
          </cell>
        </row>
        <row r="1281">
          <cell r="A1281" t="str">
            <v>009023</v>
          </cell>
          <cell r="B1281" t="str">
            <v>LDC 2</v>
          </cell>
          <cell r="D1281" t="str">
            <v>no</v>
          </cell>
          <cell r="E1281" t="str">
            <v>21271155192</v>
          </cell>
          <cell r="F1281" t="str">
            <v>F0610</v>
          </cell>
          <cell r="G1281" t="str">
            <v>New business</v>
          </cell>
          <cell r="H1281" t="str">
            <v>Amber Lakes 5th Plat Main Ext</v>
          </cell>
          <cell r="I1281" t="str">
            <v>posted to CPR</v>
          </cell>
          <cell r="J1281" t="str">
            <v>Amber Lakes 5th Plat: Kansas City-Clay Co: New Main Extension - Contractor Crews  3760 (33-380)</v>
          </cell>
          <cell r="K1281" t="str">
            <v>Approved by: Ray Wilson on 07/27/2015,  Install 1,370' of 2" PE and 810' of 4" PE to serve 33 new cutomers lots 487 thru 519. MEA No. 1271-4517 - received payment $18,530 7-13-15 per WOES.</v>
          </cell>
          <cell r="L1281">
            <v>42241</v>
          </cell>
          <cell r="M1281">
            <v>42370</v>
          </cell>
          <cell r="N1281">
            <v>42496.560844907399</v>
          </cell>
          <cell r="O1281">
            <v>42339</v>
          </cell>
          <cell r="P1281" t="str">
            <v>1271-020036  CLAY CTY/KANSAS CITY</v>
          </cell>
          <cell r="Q1281">
            <v>29237.35</v>
          </cell>
          <cell r="R1281">
            <v>-4847</v>
          </cell>
        </row>
        <row r="1282">
          <cell r="A1282" t="str">
            <v>004170</v>
          </cell>
          <cell r="B1282" t="str">
            <v>LDC 2</v>
          </cell>
          <cell r="D1282" t="str">
            <v>no</v>
          </cell>
          <cell r="E1282" t="str">
            <v>21271132394</v>
          </cell>
          <cell r="F1282" t="str">
            <v>F0610</v>
          </cell>
          <cell r="G1282" t="str">
            <v>New business</v>
          </cell>
          <cell r="H1282" t="str">
            <v>NE 82ND TER Lay 700'-2in PE main ex</v>
          </cell>
          <cell r="I1282" t="str">
            <v>posted to CPR</v>
          </cell>
          <cell r="J1282" t="str">
            <v>NE 82ND TER Lay 700'-2in PE main ext: Kansas City-Clay Co: NE 82ND TER AND N BOOTH AVE SHOAL CREEK VILLAGE</v>
          </cell>
          <cell r="K1282" t="str">
            <v>Approved by: Kevin Driskell on 06/19/2013,  Laying 700ft-2in pe main tie-in 4in pe main (WO#08-2584). To service 3 commercial business. The main will lay in road right-away. Mop30# Maop 33# Pressure System C-001. ECONOMIC EVALUATION WILL COVER COST OF PROJECT. COST PER FOOT $17.58.</v>
          </cell>
          <cell r="L1282">
            <v>41584</v>
          </cell>
          <cell r="M1282">
            <v>41654</v>
          </cell>
          <cell r="N1282">
            <v>41654.604039351798</v>
          </cell>
          <cell r="O1282">
            <v>41730</v>
          </cell>
          <cell r="P1282" t="str">
            <v>1271-020036  CLAY CTY/KANSAS CITY</v>
          </cell>
          <cell r="Q1282">
            <v>7876.31</v>
          </cell>
          <cell r="R1282">
            <v>952</v>
          </cell>
        </row>
        <row r="1283">
          <cell r="A1283" t="str">
            <v>006801</v>
          </cell>
          <cell r="B1283" t="str">
            <v>LDC 2</v>
          </cell>
          <cell r="D1283" t="str">
            <v>no</v>
          </cell>
          <cell r="E1283" t="str">
            <v>20101143941</v>
          </cell>
          <cell r="F1283" t="str">
            <v>F0529</v>
          </cell>
          <cell r="G1283" t="str">
            <v>Meter Purchases - MGE</v>
          </cell>
          <cell r="H1283" t="str">
            <v>Pur 2000 I-250 Itron Mtrs Mar 2015</v>
          </cell>
          <cell r="I1283" t="str">
            <v>posted to CPR</v>
          </cell>
          <cell r="J1283" t="str">
            <v>Pur 2000 I-250 Itron Mtrs March 2015: Kansas City CORP: Purchase Domestic Diaphragm  Meters - 3810 (32-398)</v>
          </cell>
          <cell r="K1283" t="str">
            <v>Approved by: Steve Holcomb on 11/04/2014,  Purchase I-250 Itron / Sprague Meters 0940605 with Sprague Ert attached for 2015 Sample Meter Program.   
Complete per 5-15 meter report - AMM</v>
          </cell>
          <cell r="L1283">
            <v>42125</v>
          </cell>
          <cell r="M1283">
            <v>42186</v>
          </cell>
          <cell r="N1283">
            <v>42223.566574074102</v>
          </cell>
          <cell r="O1283">
            <v>42125</v>
          </cell>
          <cell r="P1283" t="str">
            <v>1904-043050  JACKSON CTY/KC</v>
          </cell>
          <cell r="Q1283">
            <v>185133.06</v>
          </cell>
          <cell r="R1283">
            <v>2000</v>
          </cell>
        </row>
        <row r="1284">
          <cell r="A1284" t="str">
            <v>005112</v>
          </cell>
          <cell r="B1284" t="str">
            <v>LDC 2</v>
          </cell>
          <cell r="D1284" t="str">
            <v>yes</v>
          </cell>
          <cell r="E1284" t="str">
            <v>21001143359</v>
          </cell>
          <cell r="F1284" t="str">
            <v>F0636</v>
          </cell>
          <cell r="G1284" t="str">
            <v>Replace steel &amp; plastic main</v>
          </cell>
          <cell r="H1284" t="str">
            <v>11TH &amp; BROADWAY Repl 103'-2in PE ma</v>
          </cell>
          <cell r="I1284" t="str">
            <v>posted to CPR</v>
          </cell>
          <cell r="J1284" t="str">
            <v>11TH &amp; BROADWAY Repl 103'-2in PE main Reinfor: St Joseph: Replace Coated Steel &amp; Plastic Main - 3760 (34-396)</v>
          </cell>
          <cell r="K1284" t="str">
            <v>Approved by: Gary Williams on 04/28/2014,  TO LAY 103FT-2IN PE MAIN TO REPLACE 103FT-1 1/8 PE (WO#74-2599). Due to increased load.</v>
          </cell>
          <cell r="L1284">
            <v>41781</v>
          </cell>
          <cell r="M1284">
            <v>41820</v>
          </cell>
          <cell r="N1284">
            <v>41918.763993055603</v>
          </cell>
          <cell r="O1284">
            <v>41760</v>
          </cell>
          <cell r="P1284" t="str">
            <v>1001-010001  ST. JOSEPH CITY/BUCHANAN</v>
          </cell>
          <cell r="Q1284">
            <v>3467.49</v>
          </cell>
          <cell r="R1284">
            <v>62</v>
          </cell>
        </row>
        <row r="1285">
          <cell r="A1285" t="str">
            <v>013154</v>
          </cell>
          <cell r="B1285" t="str">
            <v>LDC 2</v>
          </cell>
          <cell r="D1285" t="str">
            <v>no</v>
          </cell>
          <cell r="F1285" t="str">
            <v>F0538</v>
          </cell>
          <cell r="G1285" t="str">
            <v>Other Communication Costs</v>
          </cell>
          <cell r="H1285" t="str">
            <v>Rosemount SP Transmitter #2088G3</v>
          </cell>
          <cell r="I1285" t="str">
            <v>open</v>
          </cell>
          <cell r="J1285" t="str">
            <v>Install Rosemount SP Transmitter model #2088G3 at the Eastwood Hills SCADA system measurement point at 6161 E 64th to replace one damaged beyond repair.</v>
          </cell>
          <cell r="K1285" t="str">
            <v>Per Matt Taylor.  Experitec -  Quote # JDM-161208-239717</v>
          </cell>
          <cell r="P1285" t="str">
            <v>0401-043050  JACKSON CTY/KC</v>
          </cell>
          <cell r="Q1285">
            <v>1566.05</v>
          </cell>
          <cell r="R1285">
            <v>1</v>
          </cell>
        </row>
        <row r="1286">
          <cell r="A1286" t="str">
            <v>008795</v>
          </cell>
          <cell r="B1286" t="str">
            <v>LDC 2</v>
          </cell>
          <cell r="D1286" t="str">
            <v>no</v>
          </cell>
          <cell r="F1286" t="str">
            <v>F0950</v>
          </cell>
          <cell r="G1286" t="str">
            <v>Power Operated Eq - MGE</v>
          </cell>
          <cell r="H1286" t="str">
            <v>Purchase 7 equipment floats MGE*</v>
          </cell>
          <cell r="I1286" t="str">
            <v>posted to CPR</v>
          </cell>
          <cell r="J1286" t="str">
            <v>Purchase 7 equipment floats for new crews MGE*</v>
          </cell>
          <cell r="L1286">
            <v>42644</v>
          </cell>
          <cell r="M1286">
            <v>42733</v>
          </cell>
          <cell r="N1286">
            <v>42742.624629629601</v>
          </cell>
          <cell r="O1286">
            <v>42644</v>
          </cell>
          <cell r="P1286" t="str">
            <v>0401-043050  JACKSON CTY/KC</v>
          </cell>
          <cell r="Q1286">
            <v>69363.899999999994</v>
          </cell>
          <cell r="R1286">
            <v>7</v>
          </cell>
        </row>
        <row r="1287">
          <cell r="A1287" t="str">
            <v>800720</v>
          </cell>
          <cell r="B1287" t="str">
            <v>LDC 2</v>
          </cell>
          <cell r="C1287" t="str">
            <v>06 - Other Legacy Main Material Replacement</v>
          </cell>
          <cell r="D1287" t="str">
            <v>yes</v>
          </cell>
          <cell r="F1287" t="str">
            <v>F0599</v>
          </cell>
          <cell r="G1287" t="str">
            <v>Main Replacement - ISRS (N)</v>
          </cell>
          <cell r="H1287" t="str">
            <v>Repl w 4138F 2-4P Hwy 71 Gregory-M</v>
          </cell>
          <cell r="I1287" t="str">
            <v>open</v>
          </cell>
          <cell r="J1287" t="str">
            <v>Install ~2230 ft of 2 in PL IP main, ~1908 ft of 4 in PL IP main, and ~250 ft of 4 in ST IP main on 75th Ter and Monroe Ave. Phase M.</v>
          </cell>
          <cell r="K1287" t="str">
            <v>Retire ~2139 ft of 2 in ST IP main and ~2132 ft of 4 in ST IP main at above location.  Total Service Tie-over = 6; Total Service Replacement = 9.</v>
          </cell>
          <cell r="P1287" t="str">
            <v>0401-043050  JACKSON CTY/KC</v>
          </cell>
          <cell r="Q1287">
            <v>0</v>
          </cell>
          <cell r="R1287">
            <v>4271</v>
          </cell>
        </row>
        <row r="1288">
          <cell r="A1288" t="str">
            <v>800500</v>
          </cell>
          <cell r="B1288" t="str">
            <v>LDC 2</v>
          </cell>
          <cell r="C1288" t="str">
            <v>01 - Cast Iron Strategic Replacement</v>
          </cell>
          <cell r="D1288" t="str">
            <v>yes</v>
          </cell>
          <cell r="F1288" t="str">
            <v>F0599</v>
          </cell>
          <cell r="G1288" t="str">
            <v>Main Replacement - ISRS (N)</v>
          </cell>
          <cell r="H1288" t="str">
            <v>Repl w 6805F 2-4P 63rd &amp; 55th St 1E</v>
          </cell>
          <cell r="I1288" t="str">
            <v>open</v>
          </cell>
          <cell r="J1288" t="str">
            <v>Install 5,480 Ft of 2-inch PL IP main on Charlotte St, Rockhill Rd, Harrison St, 59th St and 62nd St and install 1,325 Ft of 4-inch PL IP main on 58th St between Holmes St and Troost Ave - Phase 1E</v>
          </cell>
          <cell r="K1288" t="str">
            <v>Abandon 1,559 Ft of 4-inch CI LP, 1,961 Ft of 6-inch CI LP, 101 Ft of 8-inch CI LP, 173 Ft of 2-inch ST LP, 1,272 Ft of 3-inch of ST LP, 530 Ft of 4-inch ST LP, and 9 Ft of 6-inch ST LP at the above location.  Total Service Tie-over = 118; Total Service Replacement =44; Total Service Abandoned = 2;  4 Service Replacement was switched to service tie-over due to SLRP Replacement after work order approval.  (Total Service Tie-over = 122; Total Service Replacement = 40).  This main is being replaced as part of FY16 Bare Steel Replacement Program.</v>
          </cell>
          <cell r="P1288" t="str">
            <v>0401-043050  JACKSON CTY/KC</v>
          </cell>
          <cell r="Q1288">
            <v>0</v>
          </cell>
          <cell r="R1288">
            <v>5605</v>
          </cell>
        </row>
        <row r="1289">
          <cell r="A1289" t="str">
            <v>800585</v>
          </cell>
          <cell r="B1289" t="str">
            <v>LDC 2</v>
          </cell>
          <cell r="C1289" t="str">
            <v>03 - Bare Steel Replacement</v>
          </cell>
          <cell r="D1289" t="str">
            <v>yes</v>
          </cell>
          <cell r="F1289" t="str">
            <v>F0547</v>
          </cell>
          <cell r="G1289" t="str">
            <v>Street &amp; Highway Relocates ISRS (N)</v>
          </cell>
          <cell r="H1289" t="str">
            <v>Repl w 3574F 2-4P Marlborough Ph 4</v>
          </cell>
          <cell r="I1289" t="str">
            <v>cancelled</v>
          </cell>
          <cell r="J1289" t="str">
            <v>#800585 is being replaced by #800867 ---------- Install ~ 914 ft of 2 in PL MP main and ~2660 ft of 4 in PL MP main on Troost, 79th Ter, and 78th Ter. </v>
          </cell>
          <cell r="K1289" t="str">
            <v>#800585 is being replaced by #800867 ---------- Retire ~ 8 ft of 2 in PL MP main, ~20 ft of 4 in PL MP main, ~748 ft of 2 in ST MP main, ~1448 ft of 3 in ST MP main, ~1598 ft of 4 in ST MP main at above locations. Total Service Tie-over = 33; Total Service Replace = 6.</v>
          </cell>
          <cell r="N1289">
            <v>42604.679675925901</v>
          </cell>
          <cell r="P1289" t="str">
            <v>0401-043050  JACKSON CTY/KC</v>
          </cell>
          <cell r="Q1289">
            <v>0</v>
          </cell>
          <cell r="R1289">
            <v>3822</v>
          </cell>
        </row>
        <row r="1290">
          <cell r="A1290" t="str">
            <v>011287</v>
          </cell>
          <cell r="B1290" t="str">
            <v>LDC 2</v>
          </cell>
          <cell r="D1290" t="str">
            <v>no</v>
          </cell>
          <cell r="F1290" t="str">
            <v>F0639</v>
          </cell>
          <cell r="G1290" t="str">
            <v>EGM Equip-1st Time Installation</v>
          </cell>
          <cell r="H1290" t="str">
            <v>EGM Replace KC BaptTemp South</v>
          </cell>
          <cell r="I1290" t="str">
            <v>open</v>
          </cell>
          <cell r="J1290" t="str">
            <v>Replace MiniMax-AT-PT for KC Bapt Temp South at 5420 Blue Ridge Cutoff PS to monitor daily gas usage for this customer.</v>
          </cell>
          <cell r="K1290" t="str">
            <v>meter no 000951034</v>
          </cell>
          <cell r="P1290" t="str">
            <v>0401-043050  JACKSON CTY/KC</v>
          </cell>
          <cell r="Q1290">
            <v>2627.65</v>
          </cell>
          <cell r="R1290">
            <v>9</v>
          </cell>
        </row>
        <row r="1291">
          <cell r="A1291" t="str">
            <v>011280</v>
          </cell>
          <cell r="B1291" t="str">
            <v>LDC 2</v>
          </cell>
          <cell r="D1291" t="str">
            <v>no</v>
          </cell>
          <cell r="F1291" t="str">
            <v>F0639</v>
          </cell>
          <cell r="G1291" t="str">
            <v>EGM Equip-1st Time Installation</v>
          </cell>
          <cell r="H1291" t="str">
            <v>EGM - Mars Petcare Greenies #1</v>
          </cell>
          <cell r="I1291" t="str">
            <v>open</v>
          </cell>
          <cell r="J1291" t="str">
            <v>Mini Max AT-PT Corrector for Mars Petcare, Greenies #1 at 1315 N Chouteau Trfwy to monitor daily gas usage. Customer will reimburse company actual cost for EGM installation not to exceed $5,445.</v>
          </cell>
          <cell r="K1291" t="str">
            <v>meter no 008463781</v>
          </cell>
          <cell r="P1291" t="str">
            <v>0401-043050  JACKSON CTY/KC</v>
          </cell>
          <cell r="Q1291">
            <v>2081.41</v>
          </cell>
          <cell r="R1291">
            <v>9</v>
          </cell>
        </row>
        <row r="1292">
          <cell r="A1292" t="str">
            <v>011378</v>
          </cell>
          <cell r="B1292" t="str">
            <v>LDC 2</v>
          </cell>
          <cell r="D1292" t="str">
            <v>no</v>
          </cell>
          <cell r="F1292" t="str">
            <v>F1153</v>
          </cell>
          <cell r="G1292" t="str">
            <v>Power Operated Equip - MGE</v>
          </cell>
          <cell r="H1292" t="str">
            <v>Purchase (2) Service Trucks MGE</v>
          </cell>
          <cell r="I1292" t="str">
            <v>open</v>
          </cell>
          <cell r="J1292" t="str">
            <v>Purchase 2 additional medium sized service trucks for KC area</v>
          </cell>
          <cell r="P1292" t="str">
            <v>0401-043050  JACKSON CTY/KC</v>
          </cell>
          <cell r="Q1292">
            <v>222222.48</v>
          </cell>
          <cell r="R1292">
            <v>2</v>
          </cell>
        </row>
        <row r="1293">
          <cell r="A1293" t="str">
            <v>800358</v>
          </cell>
          <cell r="B1293" t="str">
            <v>LDC 2</v>
          </cell>
          <cell r="C1293" t="str">
            <v>09 - Facility Relocation due to Civic Improvement</v>
          </cell>
          <cell r="D1293" t="str">
            <v>yes</v>
          </cell>
          <cell r="F1293" t="str">
            <v>F0547</v>
          </cell>
          <cell r="G1293" t="str">
            <v>Street &amp; Highway Relocates ISRS (N)</v>
          </cell>
          <cell r="H1293" t="str">
            <v>State Line Rd Main relocation-IUI</v>
          </cell>
          <cell r="I1293" t="str">
            <v>in service</v>
          </cell>
          <cell r="J1293" t="str">
            <v>INSTALLING 300FT OF 6" PE, ABANDONED 315' OF 6"ST FOR CIVIC IMPROVEMENT ON STATE LINE RD.</v>
          </cell>
          <cell r="L1293">
            <v>42627</v>
          </cell>
          <cell r="O1293">
            <v>42614</v>
          </cell>
          <cell r="P1293" t="str">
            <v>0401-043050  JACKSON CTY/KC</v>
          </cell>
          <cell r="Q1293">
            <v>63854.83</v>
          </cell>
          <cell r="R1293">
            <v>423</v>
          </cell>
        </row>
        <row r="1294">
          <cell r="A1294" t="str">
            <v>010183</v>
          </cell>
          <cell r="B1294" t="str">
            <v>LDC 2</v>
          </cell>
          <cell r="D1294" t="str">
            <v>no</v>
          </cell>
          <cell r="F1294" t="str">
            <v>F0538</v>
          </cell>
          <cell r="G1294" t="str">
            <v>Other Communication Costs</v>
          </cell>
          <cell r="H1294" t="str">
            <v>Pur Palmer Chart Recorders for KC</v>
          </cell>
          <cell r="I1294" t="str">
            <v>in service</v>
          </cell>
          <cell r="J1294" t="str">
            <v>Purchase 6 Palmer 8in Chart Recorders (0-100# Range) and 1 Palmer 8in Chart Recorder  (Dual Pen) to replace unrepairable charts for the the KC Region.</v>
          </cell>
          <cell r="K1294" t="str">
            <v>Request from Tom McGill per Kevin A.</v>
          </cell>
          <cell r="L1294">
            <v>42643</v>
          </cell>
          <cell r="O1294">
            <v>42614</v>
          </cell>
          <cell r="P1294" t="str">
            <v>0401-043050  JACKSON CTY/KC</v>
          </cell>
          <cell r="Q1294">
            <v>6909.08</v>
          </cell>
          <cell r="R1294">
            <v>8</v>
          </cell>
        </row>
        <row r="1295">
          <cell r="A1295" t="str">
            <v>009803</v>
          </cell>
          <cell r="B1295" t="str">
            <v>LDC 2</v>
          </cell>
          <cell r="D1295" t="str">
            <v>no</v>
          </cell>
          <cell r="F1295" t="str">
            <v>F0639</v>
          </cell>
          <cell r="G1295" t="str">
            <v>EGM Equip-1st Time Installation</v>
          </cell>
          <cell r="H1295" t="str">
            <v>EGM - Properties Plus, LLC</v>
          </cell>
          <cell r="I1295" t="str">
            <v>in service</v>
          </cell>
          <cell r="J1295" t="str">
            <v>Install MiniMax-AT-PT for Properties Plus, LLC, 420 E. Armour Blvd, Kansas City, MO 64109 monitor daily gas usage for this customer.  Customer will reimburse company actual cost for EGM installation not to exceed $5,445.</v>
          </cell>
          <cell r="L1295">
            <v>42443</v>
          </cell>
          <cell r="O1295">
            <v>42461</v>
          </cell>
          <cell r="P1295" t="str">
            <v>0401-043050  JACKSON CTY/KC</v>
          </cell>
          <cell r="Q1295">
            <v>1936.31</v>
          </cell>
          <cell r="R1295">
            <v>9</v>
          </cell>
        </row>
        <row r="1296">
          <cell r="A1296" t="str">
            <v>009013</v>
          </cell>
          <cell r="B1296" t="str">
            <v>LDC 2</v>
          </cell>
          <cell r="D1296" t="str">
            <v>no</v>
          </cell>
          <cell r="F1296" t="str">
            <v>F0950</v>
          </cell>
          <cell r="G1296" t="str">
            <v>Power Operated Eq - MGE</v>
          </cell>
          <cell r="H1296" t="str">
            <v>Purchase 3 Const.Trailers MGE</v>
          </cell>
          <cell r="I1296" t="str">
            <v>posted to CPR</v>
          </cell>
          <cell r="J1296" t="str">
            <v>Purchase 3 construction trailers to be used by new crews at MGE</v>
          </cell>
          <cell r="L1296">
            <v>42338</v>
          </cell>
          <cell r="M1296">
            <v>42400</v>
          </cell>
          <cell r="N1296">
            <v>42467.490775462997</v>
          </cell>
          <cell r="O1296">
            <v>42339</v>
          </cell>
          <cell r="P1296" t="str">
            <v>0401-043050  JACKSON CTY/KC</v>
          </cell>
          <cell r="Q1296">
            <v>35551.06</v>
          </cell>
          <cell r="R1296">
            <v>4</v>
          </cell>
        </row>
        <row r="1297">
          <cell r="A1297" t="str">
            <v>800230</v>
          </cell>
          <cell r="B1297" t="str">
            <v>LDC 2</v>
          </cell>
          <cell r="C1297" t="str">
            <v>01 - Cast Iron Strategic Replacement</v>
          </cell>
          <cell r="D1297" t="str">
            <v>yes</v>
          </cell>
          <cell r="F1297" t="str">
            <v>F0599</v>
          </cell>
          <cell r="G1297" t="str">
            <v>Main Replacement - ISRS (N)</v>
          </cell>
          <cell r="H1297" t="str">
            <v>5227 Norton CI Replacement - IUI</v>
          </cell>
          <cell r="I1297" t="str">
            <v>in service</v>
          </cell>
          <cell r="J1297" t="str">
            <v>Install 1,535' of 2'' PE &amp; 1,465' of 4'' PE - Norton Ave. Abandon 1003' of 6'' CI, 42' of 4'' PE, 516' of 4'' CI, 148' of 2'' PE, 457' of 4" Coated Stl (Majority installed prior to 1966), 706' of 4" Bare Stl &amp; 257' of 2" Bare Stl.</v>
          </cell>
          <cell r="K1297" t="str">
            <v>This replacement is due to graphitization and is due 2/13/2016.  The main to be abandon is on the C-001 Pressure System 1.1PSIG, and the new main will be tied into the C-175KCLS Pressure System 50PSIG.</v>
          </cell>
          <cell r="L1297">
            <v>42674</v>
          </cell>
          <cell r="O1297">
            <v>42644</v>
          </cell>
          <cell r="P1297" t="str">
            <v>0401-043050  JACKSON CTY/KC</v>
          </cell>
          <cell r="Q1297">
            <v>184144.05</v>
          </cell>
          <cell r="R1297">
            <v>-3297.5</v>
          </cell>
        </row>
        <row r="1298">
          <cell r="A1298" t="str">
            <v>008548</v>
          </cell>
          <cell r="B1298" t="str">
            <v>LDC 2</v>
          </cell>
          <cell r="D1298" t="str">
            <v>yes</v>
          </cell>
          <cell r="E1298" t="str">
            <v>20401155359</v>
          </cell>
          <cell r="F1298" t="str">
            <v>F0599</v>
          </cell>
          <cell r="G1298" t="str">
            <v>Main Replacement - ISRS (N)</v>
          </cell>
          <cell r="H1298" t="str">
            <v>AOR - 8in CI Replacement</v>
          </cell>
          <cell r="I1298" t="str">
            <v>posted to CPR</v>
          </cell>
          <cell r="J1298" t="str">
            <v>AOR - 8in CI Replacement: Kansas City-Jackson: Replace Cast Iron Main - 3760 Safety Related (34-412)</v>
          </cell>
          <cell r="K1298" t="str">
            <v>Approved by: Gary Williams on 05/20/2015,  Replace approximately 50' of 8'' CI with 8'' PCS due to AOR. This replacement is due 08/09/2015. Pressure system C-001.</v>
          </cell>
          <cell r="L1298">
            <v>42207</v>
          </cell>
          <cell r="M1298">
            <v>42309</v>
          </cell>
          <cell r="N1298">
            <v>42436.430694444403</v>
          </cell>
          <cell r="O1298">
            <v>42217</v>
          </cell>
          <cell r="P1298" t="str">
            <v>0401-043050  JACKSON CTY/KC</v>
          </cell>
          <cell r="Q1298">
            <v>51216.34</v>
          </cell>
          <cell r="R1298">
            <v>-39</v>
          </cell>
        </row>
        <row r="1299">
          <cell r="A1299" t="str">
            <v>007216</v>
          </cell>
          <cell r="B1299" t="str">
            <v>LDC 2</v>
          </cell>
          <cell r="D1299" t="str">
            <v>no</v>
          </cell>
          <cell r="E1299" t="str">
            <v>20401143989</v>
          </cell>
          <cell r="F1299" t="str">
            <v>F0670</v>
          </cell>
          <cell r="G1299" t="str">
            <v>Tools, Instruments &amp; Equipment (N)</v>
          </cell>
          <cell r="H1299" t="str">
            <v>PURCHASE TOOLS-17 SQUEEZE OFF TOOLS</v>
          </cell>
          <cell r="I1299" t="str">
            <v>posted to CPR</v>
          </cell>
          <cell r="J1299" t="str">
            <v>PURCHASE TOOLS-17 SQUEEZE OFF TOOLS: Kansas City-Jackson: Purchase Tools, Instruments &amp; Equipment  3940 (37-366)</v>
          </cell>
          <cell r="K1299" t="str">
            <v>Approved by: Gary Williams on 12/01/2014,  PURCHASE 17 NEW MUSTANG GLS-26 GOUND LEVEL SQUEEZE OFF TOOLS FOR CENTRAL PLANT-DUE TO CHANGE IN STANDARDS. SQUEESE- OFF TOOLS FOR PLASTIC PIPE.</v>
          </cell>
          <cell r="L1299">
            <v>42011</v>
          </cell>
          <cell r="M1299">
            <v>42035</v>
          </cell>
          <cell r="N1299">
            <v>42044.360393518502</v>
          </cell>
          <cell r="O1299">
            <v>42005</v>
          </cell>
          <cell r="P1299" t="str">
            <v>0401-043050  JACKSON CTY/KC</v>
          </cell>
          <cell r="Q1299">
            <v>14609.94</v>
          </cell>
          <cell r="R1299">
            <v>17</v>
          </cell>
        </row>
        <row r="1300">
          <cell r="A1300" t="str">
            <v>004282</v>
          </cell>
          <cell r="B1300" t="str">
            <v>LDC 2</v>
          </cell>
          <cell r="D1300" t="str">
            <v>yes</v>
          </cell>
          <cell r="E1300" t="str">
            <v>20401050363</v>
          </cell>
          <cell r="F1300" t="str">
            <v>F0583</v>
          </cell>
          <cell r="G1300" t="str">
            <v>SLRP - meter &amp; regulator replacemen</v>
          </cell>
          <cell r="H1300" t="str">
            <v>BWO REPL MTR/REG SETTING COMPANY SL</v>
          </cell>
          <cell r="I1300" t="str">
            <v>open</v>
          </cell>
          <cell r="J1300" t="str">
            <v>BWO REPL MTR/REG SETTING COMPANY SLRP</v>
          </cell>
          <cell r="K1300" t="str">
            <v>Service/Yard Line Replacement (SLRP): Company Crew.  Rebuild meter/regulator setting (exclude regulator) (Kansas City - Central Region).</v>
          </cell>
          <cell r="O1300">
            <v>41730</v>
          </cell>
          <cell r="P1300" t="str">
            <v>0401-043050  JACKSON CTY/KC</v>
          </cell>
          <cell r="Q1300">
            <v>1907083.49</v>
          </cell>
          <cell r="R1300">
            <v>187251.33</v>
          </cell>
        </row>
        <row r="1301">
          <cell r="A1301" t="str">
            <v>006910</v>
          </cell>
          <cell r="B1301" t="str">
            <v>LDC 2</v>
          </cell>
          <cell r="D1301" t="str">
            <v>yes</v>
          </cell>
          <cell r="E1301" t="str">
            <v>20401143936</v>
          </cell>
          <cell r="F1301" t="str">
            <v>F0500</v>
          </cell>
          <cell r="G1301" t="str">
            <v>Replace cast iron main - CPI / prio</v>
          </cell>
          <cell r="H1301" t="str">
            <v>4in CI Replacement</v>
          </cell>
          <cell r="I1301" t="str">
            <v>posted to CPR</v>
          </cell>
          <cell r="J1301" t="str">
            <v>4in CI Replacement: Kansas City-Jackson: Replace Cast Iron Main - 3760 Safety Related (34-412)</v>
          </cell>
          <cell r="K1301" t="str">
            <v>Approved by: Gary Williams on 11/11/2014,  Replace 4'' CI with 4'' PE along Myrtle north of 39th St due to leak in the area. Tie into existing 4" cast iron main at 38th and Myrtle. There are 9 Replacement Services to charge to blanket work order and 8 service tie overs.</v>
          </cell>
          <cell r="L1301">
            <v>41990</v>
          </cell>
          <cell r="M1301">
            <v>42035</v>
          </cell>
          <cell r="N1301">
            <v>42131.408159722203</v>
          </cell>
          <cell r="O1301">
            <v>41974</v>
          </cell>
          <cell r="P1301" t="str">
            <v>0401-043050  JACKSON CTY/KC</v>
          </cell>
          <cell r="Q1301">
            <v>26663.09</v>
          </cell>
          <cell r="R1301">
            <v>-100.5</v>
          </cell>
        </row>
        <row r="1302">
          <cell r="A1302" t="str">
            <v>005031</v>
          </cell>
          <cell r="B1302" t="str">
            <v>LDC 2</v>
          </cell>
          <cell r="D1302" t="str">
            <v>no</v>
          </cell>
          <cell r="E1302" t="str">
            <v>20401143481</v>
          </cell>
          <cell r="F1302" t="str">
            <v>F0658</v>
          </cell>
          <cell r="G1302" t="str">
            <v>Services -  2" &amp; larger</v>
          </cell>
          <cell r="H1302" t="str">
            <v>OPUS DESIGN BUILDING -2IN SERVICE L</v>
          </cell>
          <cell r="I1302" t="str">
            <v>posted to CPR</v>
          </cell>
          <cell r="J1302" t="str">
            <v>OPUS DESIGN BUILDING -2IN SERVICE LINE: Kansas City-Jackson: New Services 2&amp;quot; &amp; Larger  3800 (33-381)</v>
          </cell>
          <cell r="K1302" t="str">
            <v>Approved by: Kevin Driskell on 04/18/2014,  Laying 200ft-2in plexco service line. Tie-in 4in plexco main (WO#95-1615).Economic Evaluation paid for this project.</v>
          </cell>
          <cell r="L1302">
            <v>41990</v>
          </cell>
          <cell r="M1302">
            <v>42155</v>
          </cell>
          <cell r="N1302">
            <v>42160.552650463003</v>
          </cell>
          <cell r="O1302">
            <v>41974</v>
          </cell>
          <cell r="P1302" t="str">
            <v>0401-043050  JACKSON CTY/KC</v>
          </cell>
          <cell r="Q1302">
            <v>2056.89</v>
          </cell>
          <cell r="R1302">
            <v>-654</v>
          </cell>
        </row>
        <row r="1303">
          <cell r="A1303" t="str">
            <v>004172</v>
          </cell>
          <cell r="B1303" t="str">
            <v>LDC 2</v>
          </cell>
          <cell r="D1303" t="str">
            <v>no</v>
          </cell>
          <cell r="E1303" t="str">
            <v>20401132606</v>
          </cell>
          <cell r="F1303" t="str">
            <v>F0639</v>
          </cell>
          <cell r="G1303" t="str">
            <v>EGM Equip-1st Time Installation</v>
          </cell>
          <cell r="H1303" t="str">
            <v>EGM - Rivergate Ventures</v>
          </cell>
          <cell r="I1303" t="str">
            <v>posted to CPR</v>
          </cell>
          <cell r="J1303" t="str">
            <v>EGM - Rivergate Ventures: Kansas City-Jackson: 630 Broadway St., Kansas City, MO 64118</v>
          </cell>
          <cell r="K1303" t="str">
            <v>Approved by: Rob Kitterman on 04/12/2013,  Install Mercury MiniMax-AT-T S/N:13004323 on Roots 7M meter no 09651660 to monitor daily gas usage of this transportation customer. Customer will reimburse company actual cost for EGM installation not to exceed $5,445.00, which should be coded to account 1072. ATTENTION: Plant &amp; Property Accounting, EGM work order, turn off A&amp;G indicator.  **NOTE**  This Mercury MiniMax-AT-T S/N:13004323 replaces Mercury MiniMax-AT-T S/N:13004324 which was lost or stolen from the service truck prior to being installed.</v>
          </cell>
          <cell r="L1303">
            <v>41374</v>
          </cell>
          <cell r="M1303">
            <v>42491</v>
          </cell>
          <cell r="N1303">
            <v>42528.313078703701</v>
          </cell>
          <cell r="O1303">
            <v>42095</v>
          </cell>
          <cell r="P1303" t="str">
            <v>0401-043050  JACKSON CTY/KC</v>
          </cell>
          <cell r="Q1303">
            <v>-156.86000000000001</v>
          </cell>
          <cell r="R1303">
            <v>8</v>
          </cell>
        </row>
        <row r="1304">
          <cell r="A1304" t="str">
            <v>004298</v>
          </cell>
          <cell r="B1304" t="str">
            <v>LDC 2</v>
          </cell>
          <cell r="D1304" t="str">
            <v>yes</v>
          </cell>
          <cell r="E1304" t="str">
            <v>20401121683</v>
          </cell>
          <cell r="F1304" t="str">
            <v>F0547</v>
          </cell>
          <cell r="G1304" t="str">
            <v>Street &amp; Highway Relocates ISRS (N)</v>
          </cell>
          <cell r="H1304" t="str">
            <v>27th &amp; Troost Reloc CI w 2198'-6in</v>
          </cell>
          <cell r="I1304" t="str">
            <v>posted to CPR</v>
          </cell>
          <cell r="J1304" t="str">
            <v>27th &amp; Troost Reloc CI w 2198'-6in PE main: Kansas City-Jackson: Troost Ave from 27th to 30th</v>
          </cell>
          <cell r="K1304" t="str">
            <v>Approved by: Rob Hack on 03/01/2013,  (ISRS) This work is due to public improvement project. Lay 2,198 feet of 6in PE, 105 feet of 12in steel, 30 feet of 2in steel, and 10 feet of 8in steel.  Abandon 3,156 feet of CI. Tie-over 7 services.  Replace 2 services.  Relocated pipe along Troost will be west of existing CI pipe at 4 feet minimum.  Cost per foot $84.16</v>
          </cell>
          <cell r="L1304">
            <v>41467</v>
          </cell>
          <cell r="M1304">
            <v>41547</v>
          </cell>
          <cell r="N1304">
            <v>41603.384733796302</v>
          </cell>
          <cell r="O1304">
            <v>41730</v>
          </cell>
          <cell r="P1304" t="str">
            <v>0401-043050  JACKSON CTY/KC</v>
          </cell>
          <cell r="Q1304">
            <v>184298.49</v>
          </cell>
          <cell r="R1304">
            <v>7841.5</v>
          </cell>
        </row>
        <row r="1305">
          <cell r="A1305" t="str">
            <v>004466</v>
          </cell>
          <cell r="B1305" t="str">
            <v>LDC 2</v>
          </cell>
          <cell r="D1305" t="str">
            <v>no</v>
          </cell>
          <cell r="E1305" t="str">
            <v>20401132999</v>
          </cell>
          <cell r="F1305" t="str">
            <v>F0597</v>
          </cell>
          <cell r="G1305" t="str">
            <v>Other</v>
          </cell>
          <cell r="H1305" t="str">
            <v>Replace EGM - Rockhurst-Massman</v>
          </cell>
          <cell r="I1305" t="str">
            <v>posted to CPR</v>
          </cell>
          <cell r="J1305" t="str">
            <v>Replace EGM - Rockhurst-Massman: Kansas City-Jackson: 53rd &amp; Tracy - KC, MO 66085</v>
          </cell>
          <cell r="K1305" t="str">
            <v>Approved by: Rob Kitterman on 09/24/2013,  Replace EGM equipment at Rockhurst - Massman with a new Mini-AT-PT, S/N: 13012226, &amp; Messenger Modem. Existing meter is a Roots 11M rotary meter# 09949151. The existing equipment was damaged beyond repair.</v>
          </cell>
          <cell r="L1305">
            <v>41578</v>
          </cell>
          <cell r="M1305">
            <v>41662</v>
          </cell>
          <cell r="N1305">
            <v>41676.633402777799</v>
          </cell>
          <cell r="P1305" t="str">
            <v>0401-043050  JACKSON CTY/KC</v>
          </cell>
          <cell r="Q1305">
            <v>2961.89</v>
          </cell>
          <cell r="R1305">
            <v>4</v>
          </cell>
        </row>
        <row r="1306">
          <cell r="A1306" t="str">
            <v>004455</v>
          </cell>
          <cell r="B1306" t="str">
            <v>LDC 2</v>
          </cell>
          <cell r="D1306" t="str">
            <v>no</v>
          </cell>
          <cell r="E1306" t="str">
            <v>20401133021</v>
          </cell>
          <cell r="F1306" t="str">
            <v>F0670</v>
          </cell>
          <cell r="G1306" t="str">
            <v>Tools, Instruments &amp; Equipment (N)</v>
          </cell>
          <cell r="H1306" t="str">
            <v>PUR 3 2-4IN IPS MULTI-CLAMP KITS</v>
          </cell>
          <cell r="I1306" t="str">
            <v>posted to CPR</v>
          </cell>
          <cell r="J1306" t="str">
            <v>PUR 3 2-4IN IPS MULTI-CLAMP KITS: Kansas City-Jackson: 7500 E 35TH TER</v>
          </cell>
          <cell r="K1306" t="str">
            <v>Approved by: Gary Williams on 09/26/2013,  PURCHASING 3- 2" to 4" IPS MULTI CLAMP KITS. USED BY C&amp;M CREWS AT CENTRAL TO SQUEEZE OFF PLASTIC PIPES. RECEIVED A QUOTE FROM GROEBNER FOR $788.28 ALSO ISCO INDUSTRIES $715.00. 1- IS NEW, 2-ARE REPLACEMENTS STOLEN FROM CREW TRUCK #21333 THE OTHER UNKNOWN.</v>
          </cell>
          <cell r="L1306">
            <v>41556</v>
          </cell>
          <cell r="M1306">
            <v>41600</v>
          </cell>
          <cell r="N1306">
            <v>41603.384710648097</v>
          </cell>
          <cell r="P1306" t="str">
            <v>0401-043050  JACKSON CTY/KC</v>
          </cell>
          <cell r="Q1306">
            <v>7464.77</v>
          </cell>
          <cell r="R1306">
            <v>4</v>
          </cell>
        </row>
        <row r="1307">
          <cell r="A1307" t="str">
            <v>004646</v>
          </cell>
          <cell r="B1307" t="str">
            <v>LDC 2</v>
          </cell>
          <cell r="D1307" t="str">
            <v>no</v>
          </cell>
          <cell r="E1307" t="str">
            <v>20401143293</v>
          </cell>
          <cell r="F1307" t="str">
            <v>F0597</v>
          </cell>
          <cell r="G1307" t="str">
            <v>Other</v>
          </cell>
          <cell r="H1307" t="str">
            <v>EGM - CNI2 Bulk Order</v>
          </cell>
          <cell r="I1307" t="str">
            <v>in service</v>
          </cell>
          <cell r="J1307" t="str">
            <v>EGM - CNI2 Bulk Order: Kansas City-Jackson: Broadway - KC, MO</v>
          </cell>
          <cell r="K1307" t="str">
            <v>Approved by: Steve Lindsey on 01/16/2014,  This is a field ops business case savings.  Conversion to cellular communication and Honeywell/Laclede administration.</v>
          </cell>
          <cell r="L1307">
            <v>42443</v>
          </cell>
          <cell r="O1307">
            <v>42430</v>
          </cell>
          <cell r="P1307" t="str">
            <v>0401-043050  JACKSON CTY/KC</v>
          </cell>
          <cell r="Q1307">
            <v>375020.97</v>
          </cell>
          <cell r="R1307">
            <v>2043.86</v>
          </cell>
        </row>
        <row r="1308">
          <cell r="A1308" t="str">
            <v>004580</v>
          </cell>
          <cell r="B1308" t="str">
            <v>LDC 2</v>
          </cell>
          <cell r="D1308" t="str">
            <v>no</v>
          </cell>
          <cell r="E1308" t="str">
            <v>20401133241</v>
          </cell>
          <cell r="F1308" t="str">
            <v>F0660</v>
          </cell>
          <cell r="G1308" t="str">
            <v>Meter &amp; Reg Settings 2" &amp; Lg (N)</v>
          </cell>
          <cell r="H1308" t="str">
            <v>Cancel Cargill 56M Roots</v>
          </cell>
          <cell r="I1308" t="str">
            <v>cancelled</v>
          </cell>
          <cell r="J1308" t="str">
            <v>Cargill 56M Roots: Kansas City-Jackson: 2334 ROCHESTER.  CANCEL work not being scheduled to do.  Cargill is not getting service at this time. 3/17/2014</v>
          </cell>
          <cell r="K1308" t="str">
            <v>Approved by: Mike Fornelli on 01/14/2013,  This work is necessary to install a 56M Roots meter to serve one new commercial customer.We will install two 3in 441-57s regulators in a worker monitor set. The worker will be set at 15psig with the monitor set at 17psig with a 1in 289H warning relief set at 16.5psig for a connected load of 225,000cfh.</v>
          </cell>
          <cell r="N1308">
            <v>41731</v>
          </cell>
          <cell r="P1308" t="str">
            <v>0401-043050  JACKSON CTY/KC</v>
          </cell>
          <cell r="Q1308">
            <v>0</v>
          </cell>
          <cell r="R1308">
            <v>0</v>
          </cell>
        </row>
        <row r="1309">
          <cell r="A1309" t="str">
            <v>010898</v>
          </cell>
          <cell r="B1309" t="str">
            <v>LDC 2</v>
          </cell>
          <cell r="D1309" t="str">
            <v>no</v>
          </cell>
          <cell r="F1309" t="str">
            <v>F0732</v>
          </cell>
          <cell r="G1309" t="str">
            <v>Transportation &amp; Eq Clrg MGE</v>
          </cell>
          <cell r="H1309" t="str">
            <v>TRN LDC2 Supv Exp</v>
          </cell>
          <cell r="I1309" t="str">
            <v>open</v>
          </cell>
          <cell r="J1309" t="str">
            <v>TRN LDC2 Supv Exp</v>
          </cell>
          <cell r="P1309" t="str">
            <v>Expense Only</v>
          </cell>
          <cell r="Q1309">
            <v>38376.400000000001</v>
          </cell>
          <cell r="R1309">
            <v>0</v>
          </cell>
        </row>
        <row r="1310">
          <cell r="A1310" t="str">
            <v>004787</v>
          </cell>
          <cell r="B1310" t="str">
            <v>LDC 2</v>
          </cell>
          <cell r="D1310" t="str">
            <v>no</v>
          </cell>
          <cell r="E1310" t="str">
            <v>28930800000</v>
          </cell>
          <cell r="F1310" t="str">
            <v>F0712</v>
          </cell>
          <cell r="G1310" t="str">
            <v>Maintenance of Meters MGE</v>
          </cell>
          <cell r="H1310" t="str">
            <v>Mtce Lrg Mtr &amp; Corr Exp MGE</v>
          </cell>
          <cell r="I1310" t="str">
            <v>open</v>
          </cell>
          <cell r="J1310" t="str">
            <v>Mtce Lrg Mtr &amp; Corr Exp MGE</v>
          </cell>
          <cell r="P1310" t="str">
            <v>Expense Only</v>
          </cell>
          <cell r="Q1310">
            <v>39403.56</v>
          </cell>
          <cell r="R1310">
            <v>92.5</v>
          </cell>
        </row>
        <row r="1311">
          <cell r="A1311" t="str">
            <v>004796</v>
          </cell>
          <cell r="B1311" t="str">
            <v>LDC 2</v>
          </cell>
          <cell r="D1311" t="str">
            <v>no</v>
          </cell>
          <cell r="E1311" t="str">
            <v>29030440000</v>
          </cell>
          <cell r="F1311" t="str">
            <v>F0716</v>
          </cell>
          <cell r="G1311" t="str">
            <v>Cust Rec &amp; Collection Exp MGE</v>
          </cell>
          <cell r="H1311" t="str">
            <v>Cust NPSO - Reconnects MGE</v>
          </cell>
          <cell r="I1311" t="str">
            <v>open</v>
          </cell>
          <cell r="J1311" t="str">
            <v>Cust NPSO - Reconnects MGE</v>
          </cell>
          <cell r="P1311" t="str">
            <v>Expense Only</v>
          </cell>
          <cell r="Q1311">
            <v>1745518.64</v>
          </cell>
          <cell r="R1311">
            <v>33383.25</v>
          </cell>
        </row>
        <row r="1312">
          <cell r="A1312" t="str">
            <v>004792</v>
          </cell>
          <cell r="B1312" t="str">
            <v>LDC 2</v>
          </cell>
          <cell r="D1312" t="str">
            <v>no</v>
          </cell>
          <cell r="E1312" t="str">
            <v>29020000000</v>
          </cell>
          <cell r="F1312" t="str">
            <v>F0715</v>
          </cell>
          <cell r="G1312" t="str">
            <v>Meter Reading MGE</v>
          </cell>
          <cell r="H1312" t="str">
            <v>Meter Reading MGE</v>
          </cell>
          <cell r="I1312" t="str">
            <v>open</v>
          </cell>
          <cell r="J1312" t="str">
            <v>Meter Reading MGE</v>
          </cell>
          <cell r="P1312" t="str">
            <v>Expense Only</v>
          </cell>
          <cell r="Q1312">
            <v>978981.55</v>
          </cell>
          <cell r="R1312">
            <v>32057.583299999998</v>
          </cell>
        </row>
        <row r="1313">
          <cell r="A1313" t="str">
            <v>004849</v>
          </cell>
          <cell r="B1313" t="str">
            <v>LDC 2</v>
          </cell>
          <cell r="D1313" t="str">
            <v>no</v>
          </cell>
          <cell r="E1313" t="str">
            <v>29302310000</v>
          </cell>
          <cell r="F1313" t="str">
            <v>F0698</v>
          </cell>
          <cell r="G1313" t="str">
            <v>Misc General Expenses - MGE</v>
          </cell>
          <cell r="H1313" t="str">
            <v>Misc General Expense - MGE</v>
          </cell>
          <cell r="I1313" t="str">
            <v>open</v>
          </cell>
          <cell r="J1313" t="str">
            <v>Misc General Expense - MGE</v>
          </cell>
          <cell r="P1313" t="str">
            <v>Expense Only</v>
          </cell>
          <cell r="Q1313">
            <v>2350.8200000000002</v>
          </cell>
          <cell r="R1313">
            <v>-38</v>
          </cell>
        </row>
        <row r="1314">
          <cell r="A1314" t="str">
            <v>004747</v>
          </cell>
          <cell r="B1314" t="str">
            <v>LDC 2</v>
          </cell>
          <cell r="D1314" t="str">
            <v>no</v>
          </cell>
          <cell r="E1314" t="str">
            <v>28900000000</v>
          </cell>
          <cell r="F1314" t="str">
            <v>F0709</v>
          </cell>
          <cell r="G1314" t="str">
            <v>Mtce Meas &amp; Reg C&amp;I MGE</v>
          </cell>
          <cell r="H1314" t="str">
            <v>Mtce Meas &amp; Reg C&amp;I MGE</v>
          </cell>
          <cell r="I1314" t="str">
            <v>open</v>
          </cell>
          <cell r="J1314" t="str">
            <v>Mtce Meas &amp; Reg C&amp;I MGE</v>
          </cell>
          <cell r="P1314" t="str">
            <v>Expense Only</v>
          </cell>
          <cell r="Q1314">
            <v>322102.83</v>
          </cell>
          <cell r="R1314">
            <v>17841.23</v>
          </cell>
        </row>
        <row r="1315">
          <cell r="A1315" t="str">
            <v>004726</v>
          </cell>
          <cell r="B1315" t="str">
            <v>LDC 2</v>
          </cell>
          <cell r="D1315" t="str">
            <v>no</v>
          </cell>
          <cell r="E1315" t="str">
            <v>28790300000</v>
          </cell>
          <cell r="F1315" t="str">
            <v>F0703</v>
          </cell>
          <cell r="G1315" t="str">
            <v>Customer Service Work MGE</v>
          </cell>
          <cell r="H1315" t="str">
            <v>CIE 1020 Calls MGE</v>
          </cell>
          <cell r="I1315" t="str">
            <v>open</v>
          </cell>
          <cell r="J1315" t="str">
            <v>CIE 1020 Calls MGE</v>
          </cell>
          <cell r="P1315" t="str">
            <v>Expense Only</v>
          </cell>
          <cell r="Q1315">
            <v>7940216.9299999997</v>
          </cell>
          <cell r="R1315">
            <v>148912.34</v>
          </cell>
        </row>
        <row r="1316">
          <cell r="A1316" t="str">
            <v>004718</v>
          </cell>
          <cell r="B1316" t="str">
            <v>LDC 2</v>
          </cell>
          <cell r="D1316" t="str">
            <v>no</v>
          </cell>
          <cell r="E1316" t="str">
            <v>28780100000</v>
          </cell>
          <cell r="F1316" t="str">
            <v>F0702</v>
          </cell>
          <cell r="G1316" t="str">
            <v>Meter &amp; House Reg Work MGE</v>
          </cell>
          <cell r="H1316" t="str">
            <v>Meter &amp; House Reg Work MGE</v>
          </cell>
          <cell r="I1316" t="str">
            <v>open</v>
          </cell>
          <cell r="J1316" t="str">
            <v>Meter &amp; House Reg Work MGE</v>
          </cell>
          <cell r="P1316" t="str">
            <v>Expense Only</v>
          </cell>
          <cell r="Q1316">
            <v>4750746.83</v>
          </cell>
          <cell r="R1316">
            <v>-226528.67</v>
          </cell>
        </row>
        <row r="1317">
          <cell r="A1317" t="str">
            <v>004687</v>
          </cell>
          <cell r="B1317" t="str">
            <v>LDC 2</v>
          </cell>
          <cell r="D1317" t="str">
            <v>no</v>
          </cell>
          <cell r="E1317" t="str">
            <v>21832000000</v>
          </cell>
          <cell r="F1317" t="str">
            <v>F0681</v>
          </cell>
          <cell r="G1317" t="str">
            <v>Prelim Survey Chgs-Oth MGE</v>
          </cell>
          <cell r="H1317" t="str">
            <v>Prelim Survey Chgs-Oth MGE</v>
          </cell>
          <cell r="I1317" t="str">
            <v>open</v>
          </cell>
          <cell r="J1317" t="str">
            <v>Prelim Survey Chgs-Oth MGE</v>
          </cell>
          <cell r="P1317" t="str">
            <v>Expense Only</v>
          </cell>
          <cell r="Q1317">
            <v>-1184.4100000000001</v>
          </cell>
          <cell r="R1317">
            <v>0</v>
          </cell>
        </row>
        <row r="1318">
          <cell r="A1318" t="str">
            <v>004823</v>
          </cell>
          <cell r="B1318" t="str">
            <v>LDC 2</v>
          </cell>
          <cell r="D1318" t="str">
            <v>no</v>
          </cell>
          <cell r="E1318" t="str">
            <v>222820STMGP</v>
          </cell>
          <cell r="F1318" t="str">
            <v>F0688</v>
          </cell>
          <cell r="G1318" t="str">
            <v>Misc Cur &amp; Accr Liab-EPA MGE</v>
          </cell>
          <cell r="H1318" t="str">
            <v>Prov Res-St Joseph MGP Clean</v>
          </cell>
          <cell r="I1318" t="str">
            <v>open</v>
          </cell>
          <cell r="J1318" t="str">
            <v>Prov Res-St Joseph MGP Clean</v>
          </cell>
          <cell r="P1318" t="str">
            <v>Expense Only</v>
          </cell>
          <cell r="Q1318">
            <v>8196.48</v>
          </cell>
          <cell r="R1318">
            <v>0</v>
          </cell>
        </row>
        <row r="1319">
          <cell r="A1319" t="str">
            <v>008805</v>
          </cell>
          <cell r="B1319" t="str">
            <v>LDC 2</v>
          </cell>
          <cell r="D1319" t="str">
            <v>no</v>
          </cell>
          <cell r="E1319" t="str">
            <v>20501155407</v>
          </cell>
          <cell r="F1319" t="str">
            <v>F0493</v>
          </cell>
          <cell r="G1319" t="str">
            <v>Other main replacements - system re</v>
          </cell>
          <cell r="H1319" t="str">
            <v>1305ft 4in Gas Main Repl (Tornado)</v>
          </cell>
          <cell r="I1319" t="str">
            <v>posted to CPR</v>
          </cell>
          <cell r="J1319" t="str">
            <v>1305ft 4in Gas Main Replacement: Joplin: Replace Steel &amp; Plastic Main - System Reinforcement (43-419) **Joplin Tornado**</v>
          </cell>
          <cell r="K1319" t="str">
            <v>Approved by: Joe Hampton on 06/26/2015,  ***JOPLIN TORNADO***.  Install 1315' 4" PE main replacement for new customers at 2301 &amp; 2305 Jackson Ave.  Project Location: Jackson Ave between 23rd St &amp; 26th St.  System: C-1.  MOP: 58 PSIG.  MAOP: 58 PSIG.  Design: 66 PSIG.  Test: 100 PSIG.  Price Per Foot: $43.72</v>
          </cell>
          <cell r="L1319">
            <v>42200</v>
          </cell>
          <cell r="M1319">
            <v>42491</v>
          </cell>
          <cell r="N1319">
            <v>42772.5019791667</v>
          </cell>
          <cell r="O1319">
            <v>42217</v>
          </cell>
          <cell r="P1319" t="str">
            <v>0501-044001  JASPER CTY/JOPLIN</v>
          </cell>
          <cell r="Q1319">
            <v>2.13</v>
          </cell>
          <cell r="R1319">
            <v>-4372</v>
          </cell>
        </row>
        <row r="1320">
          <cell r="A1320" t="str">
            <v>008211</v>
          </cell>
          <cell r="B1320" t="str">
            <v>LDC 2</v>
          </cell>
          <cell r="D1320" t="str">
            <v>no</v>
          </cell>
          <cell r="E1320" t="str">
            <v>20501155289</v>
          </cell>
          <cell r="F1320" t="str">
            <v>F0485</v>
          </cell>
          <cell r="G1320" t="str">
            <v>Tools, Instruments &amp; Equipment (SW)</v>
          </cell>
          <cell r="H1320" t="str">
            <v>Tools Purchase 5 Tornado Complete U</v>
          </cell>
          <cell r="I1320" t="str">
            <v>posted to CPR</v>
          </cell>
          <cell r="J1320" t="str">
            <v>Tools Purchase 5 Tornado Complete Unit for Joplin: Joplin: Purchase Tools, Instruments &amp; Equipment  3940 (37-366)</v>
          </cell>
          <cell r="K1320" t="str">
            <v>Approved by: Michael Fornelli on 04/14/2015,  Purchase 5 Tornado Complete Units (Powerhead and Lower Unit) for Joplin C&amp;M.</v>
          </cell>
          <cell r="L1320">
            <v>42230</v>
          </cell>
          <cell r="M1320">
            <v>42491</v>
          </cell>
          <cell r="N1320">
            <v>42527.511863425898</v>
          </cell>
          <cell r="O1320">
            <v>42217</v>
          </cell>
          <cell r="P1320" t="str">
            <v>0501-044001  JASPER CTY/JOPLIN</v>
          </cell>
          <cell r="Q1320">
            <v>2485.98</v>
          </cell>
          <cell r="R1320">
            <v>5</v>
          </cell>
        </row>
        <row r="1321">
          <cell r="A1321" t="str">
            <v>007509</v>
          </cell>
          <cell r="B1321" t="str">
            <v>LDC 2</v>
          </cell>
          <cell r="D1321" t="str">
            <v>no</v>
          </cell>
          <cell r="E1321" t="str">
            <v>20501155070</v>
          </cell>
          <cell r="F1321" t="str">
            <v>F0677</v>
          </cell>
          <cell r="G1321" t="str">
            <v>New business</v>
          </cell>
          <cell r="H1321" t="str">
            <v>Sadie Ct Main Extension</v>
          </cell>
          <cell r="I1321" t="str">
            <v>posted to CPR</v>
          </cell>
          <cell r="J1321" t="str">
            <v>Sadie Ct Main Extension: Joplin: New Main Extension - Contractor Crews  3760 (33-380)</v>
          </cell>
          <cell r="K1321" t="str">
            <v>Approved by: Michael Fornelli on 01/10/2015,  Install 120' of 2" PE for new service.  Customer will contribute $495.00 towards cost of the new main.  Project Location: Sadie Ct. E of Chandler Ave.  System: C-100.  MOP: 30 PSIG.  MAOP: 30 PSIG.  Design: 58 PSIG.  Test: 100 PSIG.  Price Per Foot: $49.45.</v>
          </cell>
          <cell r="L1321">
            <v>42045</v>
          </cell>
          <cell r="M1321">
            <v>42248</v>
          </cell>
          <cell r="N1321">
            <v>42284.723159722198</v>
          </cell>
          <cell r="O1321">
            <v>42036</v>
          </cell>
          <cell r="P1321" t="str">
            <v>0501-044001  JASPER CTY/JOPLIN</v>
          </cell>
          <cell r="Q1321">
            <v>6072.16</v>
          </cell>
          <cell r="R1321">
            <v>-631</v>
          </cell>
        </row>
        <row r="1322">
          <cell r="A1322" t="str">
            <v>006667</v>
          </cell>
          <cell r="B1322" t="str">
            <v>LDC 2</v>
          </cell>
          <cell r="D1322" t="str">
            <v>yes</v>
          </cell>
          <cell r="E1322" t="str">
            <v>20501143697</v>
          </cell>
          <cell r="F1322" t="str">
            <v>F0572</v>
          </cell>
          <cell r="G1322" t="str">
            <v>Main Replacement - ISRS (SW)</v>
          </cell>
          <cell r="H1322" t="str">
            <v>Repl with 375ft of 2in PE due to CP</v>
          </cell>
          <cell r="I1322" t="str">
            <v>posted to CPR</v>
          </cell>
          <cell r="J1322" t="str">
            <v>Repl with 375ft of 2in PE due to CP: Joplin: Replace Bare Steel Main - 3760 Safety Related (34-394)</v>
          </cell>
          <cell r="K1322" t="str">
            <v>Approved by: Galen Shoemaker on 10/11/2014,  Abandon 217' - 2" PBS (WO# 36687) and 156' - 2" PCS (WO#'s: 61456, 62-5224) and replace with 325' - 2" PE to clear CP 14-053. Project Location "C" St and Alley West of Main; Pressure System: C-2; MOP: 1.5 psig; MAOP: 1.5 psig; Design: 58 psig; Test: 100 psig; $35.86/ft ISRS</v>
          </cell>
          <cell r="L1322">
            <v>41969</v>
          </cell>
          <cell r="M1322">
            <v>42063</v>
          </cell>
          <cell r="N1322">
            <v>42160.553912037001</v>
          </cell>
          <cell r="O1322">
            <v>41974</v>
          </cell>
          <cell r="P1322" t="str">
            <v>0501-044001  JASPER CTY/JOPLIN</v>
          </cell>
          <cell r="Q1322">
            <v>4375.13</v>
          </cell>
          <cell r="R1322">
            <v>-1023</v>
          </cell>
        </row>
        <row r="1323">
          <cell r="A1323" t="str">
            <v>003854</v>
          </cell>
          <cell r="B1323" t="str">
            <v>LDC 2</v>
          </cell>
          <cell r="D1323" t="str">
            <v>yes</v>
          </cell>
          <cell r="E1323" t="str">
            <v>20501121864</v>
          </cell>
          <cell r="F1323" t="str">
            <v>F0657</v>
          </cell>
          <cell r="G1323" t="str">
            <v>Services - 2" &amp; larger</v>
          </cell>
          <cell r="H1323" t="str">
            <v>CANCEL Reloc Serv - Mars</v>
          </cell>
          <cell r="I1323" t="str">
            <v>cancelled</v>
          </cell>
          <cell r="J1323" t="str">
            <v>Reloc Service to Mars - 20th &amp; State Line: Joplin: 20th and State Line Rd  CANCEL due to customer no longer need project. 3/5/2013</v>
          </cell>
          <cell r="K1323" t="str">
            <v>Approved by: Galen Shoemaker on 11/08/2012,  Customer requested service line to be moved and regulated prior to entering their building. Replace 180' - 4in PCS service (WO#:02-3936) with 65' - 4in PE and 140' - 6in thinfilm. Customer will contribute $24,081.15 prior to work. Work to be done in conjunction with WO#:12-1866. Project Location: 20th and State Line; Pressure System: C-1; MOP: 58 psig; MAOP: 58 psig; Design: 58 psig; Test: 100 psig;</v>
          </cell>
          <cell r="N1323">
            <v>41704</v>
          </cell>
          <cell r="P1323" t="str">
            <v>0501-044001  JASPER CTY/JOPLIN</v>
          </cell>
          <cell r="Q1323">
            <v>0</v>
          </cell>
          <cell r="R1323">
            <v>1616.6</v>
          </cell>
        </row>
        <row r="1324">
          <cell r="A1324" t="str">
            <v>005456</v>
          </cell>
          <cell r="B1324" t="str">
            <v>LDC 2</v>
          </cell>
          <cell r="D1324" t="str">
            <v>yes</v>
          </cell>
          <cell r="E1324" t="str">
            <v>20504143350</v>
          </cell>
          <cell r="F1324" t="str">
            <v>F0544</v>
          </cell>
          <cell r="G1324" t="str">
            <v>Replace bare steel main - safety re</v>
          </cell>
          <cell r="H1324" t="str">
            <v>Repl Steel in Alba due to Leakage</v>
          </cell>
          <cell r="I1324" t="str">
            <v>posted to CPR</v>
          </cell>
          <cell r="J1324" t="str">
            <v>Repl Steel in Alba due to Leakage: Alba: Replace Bare Steel Main - 3760 Safety Related (34-394)</v>
          </cell>
          <cell r="K1324" t="str">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ell>
          <cell r="L1324">
            <v>42178</v>
          </cell>
          <cell r="M1324">
            <v>42217</v>
          </cell>
          <cell r="N1324">
            <v>42496.5598032407</v>
          </cell>
          <cell r="O1324">
            <v>42217</v>
          </cell>
          <cell r="P1324" t="str">
            <v>0504-044012  JASPER CTY/ALBA</v>
          </cell>
          <cell r="Q1324">
            <v>995889.42</v>
          </cell>
          <cell r="R1324">
            <v>-11656</v>
          </cell>
        </row>
        <row r="1325">
          <cell r="A1325" t="str">
            <v>011156</v>
          </cell>
          <cell r="B1325" t="str">
            <v>LDC 2</v>
          </cell>
          <cell r="D1325" t="str">
            <v>no</v>
          </cell>
          <cell r="F1325" t="str">
            <v>F1152</v>
          </cell>
          <cell r="G1325" t="str">
            <v>Vehicle Purchases - MGE</v>
          </cell>
          <cell r="H1325" t="str">
            <v>Retire 13 Pick Up Trucks MGE</v>
          </cell>
          <cell r="I1325" t="str">
            <v>posted to CPR</v>
          </cell>
          <cell r="J1325" t="str">
            <v>Retire MGE Units 12696,12432,12612,12712,12717,12721,12604,12528,12566,12577,12613           12643. and 12713</v>
          </cell>
          <cell r="L1325">
            <v>42521</v>
          </cell>
          <cell r="M1325">
            <v>42521</v>
          </cell>
          <cell r="N1325">
            <v>42557.553055555603</v>
          </cell>
          <cell r="P1325" t="str">
            <v>0101-043050  JACKSON CTY/KC</v>
          </cell>
          <cell r="Q1325">
            <v>158623.85999999999</v>
          </cell>
          <cell r="R1325">
            <v>19</v>
          </cell>
        </row>
        <row r="1326">
          <cell r="A1326" t="str">
            <v>007494</v>
          </cell>
          <cell r="B1326" t="str">
            <v>LDC 2</v>
          </cell>
          <cell r="D1326" t="str">
            <v>no</v>
          </cell>
          <cell r="F1326" t="str">
            <v>F0951</v>
          </cell>
          <cell r="G1326" t="str">
            <v>Vehicle Purchase MGE</v>
          </cell>
          <cell r="H1326" t="str">
            <v>Retire 1 Ford Ranger &amp; 1 Fusion MGE</v>
          </cell>
          <cell r="I1326" t="str">
            <v>posted to CPR</v>
          </cell>
          <cell r="J1326" t="str">
            <v>Retire Unit 12670 - 2009 Ford Ranger S/N 1FTYR14E59PA47369
Retire Unit 30126 - 2006 Ford Fusion S/N 3FAFP07196R144357</v>
          </cell>
          <cell r="K1326" t="str">
            <v>Complete per Sharon email 4-2-15 - AMM</v>
          </cell>
          <cell r="L1326">
            <v>42095</v>
          </cell>
          <cell r="M1326">
            <v>42156</v>
          </cell>
          <cell r="N1326">
            <v>42193.495416666701</v>
          </cell>
          <cell r="P1326" t="str">
            <v>0101-043050  JACKSON CTY/KC</v>
          </cell>
          <cell r="Q1326">
            <v>21367.119999999999</v>
          </cell>
          <cell r="R1326">
            <v>3</v>
          </cell>
        </row>
        <row r="1327">
          <cell r="A1327" t="str">
            <v>013353</v>
          </cell>
          <cell r="B1327" t="str">
            <v>LDC 2</v>
          </cell>
          <cell r="D1327" t="str">
            <v>no</v>
          </cell>
          <cell r="F1327" t="str">
            <v>F0644</v>
          </cell>
          <cell r="G1327" t="str">
            <v>Meter &amp; Reg Settings 2" &amp; Lg (S)</v>
          </cell>
          <cell r="H1327" t="str">
            <v>3M Rotary Meter Mid Continent Libra</v>
          </cell>
          <cell r="I1327" t="str">
            <v>open</v>
          </cell>
          <cell r="J1327" t="str">
            <v>Rebuild and retire the existing property line 3000 Rockwell Meter Set (WO Unknown by installing a new 3M Rotary Meter Set. Mid Continent Library - 901 N Spring Street.</v>
          </cell>
          <cell r="K1327" t="str">
            <v>New meter will be set at the building in conjunction with service line workorder 15646182 - Project 004153.  Maximo WO 15726316 for 3M Meter</v>
          </cell>
          <cell r="P1327" t="str">
            <v>0201-043001  JACKSON CTY/INDEPENDENCE</v>
          </cell>
          <cell r="Q1327">
            <v>2112.2399999999998</v>
          </cell>
          <cell r="R1327">
            <v>-77.5</v>
          </cell>
        </row>
        <row r="1328">
          <cell r="A1328" t="str">
            <v>012568</v>
          </cell>
          <cell r="B1328" t="str">
            <v>LDC 2</v>
          </cell>
          <cell r="D1328" t="str">
            <v>no</v>
          </cell>
          <cell r="F1328" t="str">
            <v>F0639</v>
          </cell>
          <cell r="G1328" t="str">
            <v>EGM Equip-1st Time Installation</v>
          </cell>
          <cell r="H1328" t="str">
            <v>EGM - Truman Library (Indep McCoy)</v>
          </cell>
          <cell r="I1328" t="str">
            <v>open</v>
          </cell>
          <cell r="J1328" t="str">
            <v>Mini-Max AT-PT Corrector for HS Truman Library at 1200 N McCoy St to monitor daily gas usage. Customer will reimburse company actual cost for EGM installation not to exceed $5,445.</v>
          </cell>
          <cell r="K1328" t="str">
            <v>meter no 005335092</v>
          </cell>
          <cell r="P1328" t="str">
            <v>0201-043001  JACKSON CTY/INDEPENDENCE</v>
          </cell>
          <cell r="Q1328">
            <v>1971.95</v>
          </cell>
          <cell r="R1328">
            <v>1</v>
          </cell>
        </row>
        <row r="1329">
          <cell r="A1329" t="str">
            <v>800528</v>
          </cell>
          <cell r="B1329" t="str">
            <v>LDC 2</v>
          </cell>
          <cell r="C1329" t="str">
            <v>03 - Bare Steel Replacement</v>
          </cell>
          <cell r="D1329" t="str">
            <v>yes</v>
          </cell>
          <cell r="F1329" t="str">
            <v>F0604</v>
          </cell>
          <cell r="G1329" t="str">
            <v>Main Replacement - ISRS (S)</v>
          </cell>
          <cell r="H1329" t="str">
            <v>Repl w 2550F 20S Hwy291 MORiver Sou</v>
          </cell>
          <cell r="I1329" t="str">
            <v>open</v>
          </cell>
          <cell r="J1329" t="str">
            <v>Install 2550’ of 20in STL along Hwy 291 at the Missouri River Crossing - South Phase. Abandon 2510’ of 8in STL at the same location.</v>
          </cell>
          <cell r="K1329" t="str">
            <v>Main replacement project south phase.
ISRS recoverable</v>
          </cell>
          <cell r="P1329" t="str">
            <v>0201-043001  JACKSON CTY/INDEPENDENCE</v>
          </cell>
          <cell r="Q1329">
            <v>1075173.08</v>
          </cell>
          <cell r="R1329">
            <v>8256</v>
          </cell>
        </row>
        <row r="1330">
          <cell r="A1330" t="str">
            <v>800433</v>
          </cell>
          <cell r="B1330" t="str">
            <v>LDC 2</v>
          </cell>
          <cell r="C1330" t="str">
            <v>03 - Bare Steel Replacement</v>
          </cell>
          <cell r="D1330" t="str">
            <v>yes</v>
          </cell>
          <cell r="F1330" t="str">
            <v>F0604</v>
          </cell>
          <cell r="G1330" t="str">
            <v>Main Replacement - ISRS (S)</v>
          </cell>
          <cell r="H1330" t="str">
            <v>Repl Bare Steel Main-Brookside</v>
          </cell>
          <cell r="I1330" t="str">
            <v>in service</v>
          </cell>
          <cell r="J1330" t="str">
            <v>Install 845' - 4" plastic main to retire and abandon 843' - 4" bare steel main (1929 vintage) by connecting to plastic on each side - Brookside S of Wilson Rd.</v>
          </cell>
          <cell r="L1330">
            <v>42611</v>
          </cell>
          <cell r="O1330">
            <v>42583</v>
          </cell>
          <cell r="P1330" t="str">
            <v>0201-043001  JACKSON CTY/INDEPENDENCE</v>
          </cell>
          <cell r="Q1330">
            <v>91328.65</v>
          </cell>
          <cell r="R1330">
            <v>-289.25</v>
          </cell>
        </row>
        <row r="1331">
          <cell r="A1331" t="str">
            <v>800236</v>
          </cell>
          <cell r="B1331" t="str">
            <v>LDC 2</v>
          </cell>
          <cell r="C1331" t="str">
            <v>03 - Bare Steel Replacement</v>
          </cell>
          <cell r="D1331" t="str">
            <v>yes</v>
          </cell>
          <cell r="F1331" t="str">
            <v>F0604</v>
          </cell>
          <cell r="G1331" t="str">
            <v>Main Replacement - ISRS (S)</v>
          </cell>
          <cell r="H1331" t="str">
            <v>CP15-12 Replace 2" pbs main</v>
          </cell>
          <cell r="I1331" t="str">
            <v>completed</v>
          </cell>
          <cell r="J1331" t="str">
            <v>Install 995 feet of 2 inch plastic main to abandon 527 feet of 2 inch bare steel main installed in 1937, 239 feet of 2 inch bare steel installed in 1938 and 203 feet of 2 inch bare steel main installed in 1940. Cedar Ave and Maywood Ave.</v>
          </cell>
          <cell r="L1331">
            <v>42450</v>
          </cell>
          <cell r="M1331">
            <v>42766</v>
          </cell>
          <cell r="O1331">
            <v>42461</v>
          </cell>
          <cell r="P1331" t="str">
            <v>0201-043001  JACKSON CTY/INDEPENDENCE</v>
          </cell>
          <cell r="Q1331">
            <v>139801.99</v>
          </cell>
          <cell r="R1331">
            <v>-134.5</v>
          </cell>
        </row>
        <row r="1332">
          <cell r="A1332" t="str">
            <v>007511</v>
          </cell>
          <cell r="B1332" t="str">
            <v>LDC 2</v>
          </cell>
          <cell r="D1332" t="str">
            <v>yes</v>
          </cell>
          <cell r="E1332" t="str">
            <v>20201155085</v>
          </cell>
          <cell r="F1332" t="str">
            <v>F0604</v>
          </cell>
          <cell r="G1332" t="str">
            <v>Main Replacement - ISRS (S)</v>
          </cell>
          <cell r="H1332" t="str">
            <v>Replace 4in PBS 23rd and Arlington</v>
          </cell>
          <cell r="I1332" t="str">
            <v>posted to CPR</v>
          </cell>
          <cell r="J1332" t="str">
            <v>Replace 4in PBS 23rd and Arlington with 2in PE: Independence: Replace Bare Steel Main - 3760 Safety Related (34-394)</v>
          </cell>
          <cell r="K1332" t="str">
            <v>Approved by: Steve Holcomb on 01/23/2015,  Accelerated Main Replacement Project: Replace and abandon 3114' of 4" PBS, 8' - 2" PCS, and 117' - 4" PCS with 3230' - 2" PE main. See pipe tab for details. The existing main is on the S-083 pressure system, MOP = MAOP = 1.88 psig. Replace with 2" PE on the C-500 system on WO# 15-5085 so that DRS 83 can be eliminated (retirement WO# 15-5086). ISRS  Price per ft = $44.13</v>
          </cell>
          <cell r="L1332">
            <v>42164</v>
          </cell>
          <cell r="M1332">
            <v>42217</v>
          </cell>
          <cell r="N1332">
            <v>42284.723171296297</v>
          </cell>
          <cell r="O1332">
            <v>42156</v>
          </cell>
          <cell r="P1332" t="str">
            <v>0201-043001  JACKSON CTY/INDEPENDENCE</v>
          </cell>
          <cell r="Q1332">
            <v>108517.15</v>
          </cell>
          <cell r="R1332">
            <v>-4036</v>
          </cell>
        </row>
        <row r="1333">
          <cell r="A1333" t="str">
            <v>004167</v>
          </cell>
          <cell r="B1333" t="str">
            <v>LDC 2</v>
          </cell>
          <cell r="D1333" t="str">
            <v>yes</v>
          </cell>
          <cell r="E1333" t="str">
            <v>20201121985</v>
          </cell>
          <cell r="F1333" t="str">
            <v>F0604</v>
          </cell>
          <cell r="G1333" t="str">
            <v>Main Replacement - ISRS (S)</v>
          </cell>
          <cell r="H1333" t="str">
            <v>Blue Ridge Blvd Repl PBS w 285'-2in</v>
          </cell>
          <cell r="I1333" t="str">
            <v>posted to CPR</v>
          </cell>
          <cell r="J1333" t="str">
            <v>Blue Ridge Blvd Repl PBS w 285'-2in PE main: Independence: 1725 Blue Ridge Blvd</v>
          </cell>
          <cell r="K1333" t="str">
            <v>Approved by: Ralph Janes on 02/08/2013,  Main to abandon: 277' of 2in pbs (132' from wo# 42808 AND 145' from wo# 39142). Replace with 285' of 2in PE along Blue Ridge Blvd on wo# 12-1985. We have a class 3 leak at 1725 Blue Ridge Blvd. Infrasource to bore in the pipe, MGE crews to do everything else.</v>
          </cell>
          <cell r="L1333">
            <v>41436</v>
          </cell>
          <cell r="M1333">
            <v>41600</v>
          </cell>
          <cell r="N1333">
            <v>41603.384652777801</v>
          </cell>
          <cell r="P1333" t="str">
            <v>0201-043001  JACKSON CTY/INDEPENDENCE</v>
          </cell>
          <cell r="Q1333">
            <v>13079.11</v>
          </cell>
          <cell r="R1333">
            <v>988.5</v>
          </cell>
        </row>
        <row r="1334">
          <cell r="A1334" t="str">
            <v>004613</v>
          </cell>
          <cell r="B1334" t="str">
            <v>LDC 2</v>
          </cell>
          <cell r="D1334" t="str">
            <v>no</v>
          </cell>
          <cell r="E1334" t="str">
            <v>20201050302</v>
          </cell>
          <cell r="F1334" t="str">
            <v>F0645</v>
          </cell>
          <cell r="G1334" t="str">
            <v>BWO New Mtr/Reg Install &lt;2'' (S)</v>
          </cell>
          <cell r="H1334" t="str">
            <v>BWO-NEW METER SETS</v>
          </cell>
          <cell r="I1334" t="str">
            <v>posted to CPR</v>
          </cell>
          <cell r="J1334" t="str">
            <v>BWO-NEW METER SETS</v>
          </cell>
          <cell r="K1334" t="str">
            <v>Project Type:B</v>
          </cell>
          <cell r="L1334">
            <v>41717</v>
          </cell>
          <cell r="M1334">
            <v>41717</v>
          </cell>
          <cell r="N1334">
            <v>41717</v>
          </cell>
          <cell r="P1334" t="str">
            <v>0201-043001  JACKSON CTY/INDEPENDENCE</v>
          </cell>
          <cell r="Q1334">
            <v>2018.97</v>
          </cell>
          <cell r="R1334">
            <v>159</v>
          </cell>
        </row>
        <row r="1335">
          <cell r="A1335" t="str">
            <v>009519</v>
          </cell>
          <cell r="B1335" t="str">
            <v>LDC 2</v>
          </cell>
          <cell r="D1335" t="str">
            <v>no</v>
          </cell>
          <cell r="F1335" t="str">
            <v>F0639</v>
          </cell>
          <cell r="G1335" t="str">
            <v>EGM Equip-1st Time Installation</v>
          </cell>
          <cell r="H1335" t="str">
            <v>EGM - UMC - Warrensburg</v>
          </cell>
          <cell r="I1335" t="str">
            <v>open</v>
          </cell>
          <cell r="J1335" t="str">
            <v>Install Mercury MiniMax-AT-PT for UMC in Warrensburg to monitor daily gas usage of this transportation customer. Customer will reimburse company actual cost for EGM installation not to exceed $5,445.00.</v>
          </cell>
          <cell r="P1335" t="str">
            <v>0301-046001  JOHNSON CTY/WARRENSBURG</v>
          </cell>
          <cell r="Q1335">
            <v>2753.97</v>
          </cell>
          <cell r="R1335">
            <v>9</v>
          </cell>
        </row>
        <row r="1336">
          <cell r="A1336" t="str">
            <v>009017</v>
          </cell>
          <cell r="B1336" t="str">
            <v>LDC 2</v>
          </cell>
          <cell r="D1336" t="str">
            <v>no</v>
          </cell>
          <cell r="E1336" t="str">
            <v>20201155305</v>
          </cell>
          <cell r="F1336" t="str">
            <v>F0602</v>
          </cell>
          <cell r="G1336" t="str">
            <v>New business</v>
          </cell>
          <cell r="H1336" t="str">
            <v>Oreilly Auto Parts- Main Ext</v>
          </cell>
          <cell r="I1336" t="str">
            <v>posted to CPR</v>
          </cell>
          <cell r="J1336" t="str">
            <v>Oreilly Auto Parts: Independence: New Main Extension - Contractor Crews  3760 (33-380)</v>
          </cell>
          <cell r="K1336" t="str">
            <v>Approved by: Kevin Driskell on 07/27/2015,  Install 75' - 2" pe main extension to serve one new commercial customer.  120' - 1/2" pe service line to be installed on BWO.</v>
          </cell>
          <cell r="L1336">
            <v>42250</v>
          </cell>
          <cell r="M1336">
            <v>42461</v>
          </cell>
          <cell r="N1336">
            <v>42496.5608333333</v>
          </cell>
          <cell r="O1336">
            <v>42248</v>
          </cell>
          <cell r="P1336" t="str">
            <v>0201-043001  JACKSON CTY/INDEPENDENCE</v>
          </cell>
          <cell r="Q1336">
            <v>5235.54</v>
          </cell>
          <cell r="R1336">
            <v>-603.5</v>
          </cell>
        </row>
        <row r="1337">
          <cell r="A1337" t="str">
            <v>007518</v>
          </cell>
          <cell r="B1337" t="str">
            <v>LDC 2</v>
          </cell>
          <cell r="D1337" t="str">
            <v>no</v>
          </cell>
          <cell r="E1337" t="str">
            <v>20201155088</v>
          </cell>
          <cell r="F1337" t="str">
            <v>F0606</v>
          </cell>
          <cell r="G1337" t="str">
            <v>Station rebuild &amp; replacement</v>
          </cell>
          <cell r="H1337" t="str">
            <v>Retire DRS 225 23rd and Haden</v>
          </cell>
          <cell r="I1337" t="str">
            <v>posted to CPR</v>
          </cell>
          <cell r="J1337" t="str">
            <v>Retire DRS 225 23rd and Haden: Independence: Rebuild District/TB Stations  3780/3790 (45-387)</v>
          </cell>
          <cell r="K1337" t="str">
            <v>Approved by: Kevin Driskell on 01/23/2015,  Remove and retire DRS 225 (WO# 91-1312) as it will not be needed after the completion of WO# 15-5087. The 2" Rockwell 461S and 2" Fisher 133L regulators will be junked.</v>
          </cell>
          <cell r="L1337">
            <v>42177</v>
          </cell>
          <cell r="M1337">
            <v>42216</v>
          </cell>
          <cell r="N1337">
            <v>42317.4836574074</v>
          </cell>
          <cell r="P1337" t="str">
            <v>0201-043001  JACKSON CTY/INDEPENDENCE</v>
          </cell>
          <cell r="Q1337">
            <v>1748.89</v>
          </cell>
          <cell r="R1337">
            <v>5</v>
          </cell>
        </row>
        <row r="1338">
          <cell r="A1338" t="str">
            <v>004409</v>
          </cell>
          <cell r="B1338" t="str">
            <v>LDC 2</v>
          </cell>
          <cell r="D1338" t="str">
            <v>no</v>
          </cell>
          <cell r="E1338" t="str">
            <v>20201050300</v>
          </cell>
          <cell r="F1338" t="str">
            <v>F0550</v>
          </cell>
          <cell r="G1338" t="str">
            <v>BWO New Service Line Install (S)</v>
          </cell>
          <cell r="H1338" t="str">
            <v>BWO-NEW SERVICES</v>
          </cell>
          <cell r="I1338" t="str">
            <v>posted to CPR</v>
          </cell>
          <cell r="J1338" t="str">
            <v>BWO-NEW SERVICES</v>
          </cell>
          <cell r="K1338" t="str">
            <v>Project Type:B</v>
          </cell>
          <cell r="L1338">
            <v>41717</v>
          </cell>
          <cell r="M1338">
            <v>41717</v>
          </cell>
          <cell r="N1338">
            <v>41717</v>
          </cell>
          <cell r="O1338">
            <v>41730</v>
          </cell>
          <cell r="P1338" t="str">
            <v>0201-043001  JACKSON CTY/INDEPENDENCE</v>
          </cell>
          <cell r="Q1338">
            <v>3233.84</v>
          </cell>
          <cell r="R1338">
            <v>-256.5</v>
          </cell>
        </row>
        <row r="1339">
          <cell r="A1339" t="str">
            <v>005697</v>
          </cell>
          <cell r="B1339" t="str">
            <v>LDC 2</v>
          </cell>
          <cell r="D1339" t="str">
            <v>no</v>
          </cell>
          <cell r="F1339" t="str">
            <v>F0495</v>
          </cell>
          <cell r="G1339" t="str">
            <v>General structures</v>
          </cell>
          <cell r="H1339" t="str">
            <v>Security Cameras - Warrensburg</v>
          </cell>
          <cell r="I1339" t="str">
            <v>posted to CPR</v>
          </cell>
          <cell r="J1339" t="str">
            <v>Install Genetec 4TB Archiver System</v>
          </cell>
          <cell r="K1339" t="str">
            <v>Complete per Al Moore 9-18-14 - AMM</v>
          </cell>
          <cell r="L1339">
            <v>41900</v>
          </cell>
          <cell r="M1339">
            <v>42156</v>
          </cell>
          <cell r="N1339">
            <v>42223.566018518497</v>
          </cell>
          <cell r="O1339">
            <v>41883</v>
          </cell>
          <cell r="P1339" t="str">
            <v>0301-046001  JOHNSON CTY/WARRENSBURG</v>
          </cell>
          <cell r="Q1339">
            <v>17837.689999999999</v>
          </cell>
          <cell r="R1339">
            <v>11218</v>
          </cell>
        </row>
        <row r="1340">
          <cell r="A1340" t="str">
            <v>011284</v>
          </cell>
          <cell r="B1340" t="str">
            <v>LDC 2</v>
          </cell>
          <cell r="D1340" t="str">
            <v>no</v>
          </cell>
          <cell r="F1340" t="str">
            <v>F0639</v>
          </cell>
          <cell r="G1340" t="str">
            <v>EGM Equip-1st Time Installation</v>
          </cell>
          <cell r="H1340" t="str">
            <v>EGM - Continental Deli Foods Boiler</v>
          </cell>
          <cell r="I1340" t="str">
            <v>open</v>
          </cell>
          <cell r="J1340" t="str">
            <v>Mini AT-PT Corrector for Continental Deli Foods - Boiler at 1901 St Louis Ave in Corcordia to monitor daily gas usage. Customer will reimburse company actual cost for EGM installation not to exceed $5,445.</v>
          </cell>
          <cell r="K1340" t="str">
            <v>meter no 001140257</v>
          </cell>
          <cell r="P1340" t="str">
            <v>0307-049001  LAFAYETTE CTY/CONCORDIA</v>
          </cell>
          <cell r="Q1340">
            <v>2503.36</v>
          </cell>
          <cell r="R1340">
            <v>9</v>
          </cell>
        </row>
        <row r="1341">
          <cell r="A1341" t="str">
            <v>800597</v>
          </cell>
          <cell r="B1341" t="str">
            <v>LDC 2</v>
          </cell>
          <cell r="C1341" t="str">
            <v>03 - Bare Steel Replacement</v>
          </cell>
          <cell r="D1341" t="str">
            <v>yes</v>
          </cell>
          <cell r="F1341" t="str">
            <v>F0604</v>
          </cell>
          <cell r="G1341" t="str">
            <v>Main Replacement - ISRS (S)</v>
          </cell>
          <cell r="H1341" t="str">
            <v>Repl w 8860F 2-4P Alma Phase 1</v>
          </cell>
          <cell r="I1341" t="str">
            <v>open</v>
          </cell>
          <cell r="J1341" t="str">
            <v>Install 4760 Ft of 2 in and 4100 Ft of 4 in PL MP main for Alma Strategic Grid Phase 1. Abandon 22 Ft of 1.25 in PL, 1576 Ft of 2 in PL, 279 Ft of 1.25 in ST and 7645 Ft of 2 in ST MP main. FY16 Bare Steel Replacement Program.</v>
          </cell>
          <cell r="P1341" t="str">
            <v>0310-049008  LAFAYETTE CTY/ALMA</v>
          </cell>
          <cell r="Q1341">
            <v>172704.16</v>
          </cell>
          <cell r="R1341">
            <v>-26817</v>
          </cell>
        </row>
        <row r="1342">
          <cell r="A1342" t="str">
            <v>800277</v>
          </cell>
          <cell r="B1342" t="str">
            <v>LDC 2</v>
          </cell>
          <cell r="C1342" t="str">
            <v>03 - Bare Steel Replacement</v>
          </cell>
          <cell r="D1342" t="str">
            <v>yes</v>
          </cell>
          <cell r="F1342" t="str">
            <v>F0604</v>
          </cell>
          <cell r="G1342" t="str">
            <v>Main Replacement - ISRS (S)</v>
          </cell>
          <cell r="H1342" t="str">
            <v>Repl 11776F 2-4P Carrollton Ph D</v>
          </cell>
          <cell r="I1342" t="str">
            <v>open</v>
          </cell>
          <cell r="J1342" t="str">
            <v>Install 8758 Ft of 2 in and 3018 Ft of 4 in PL IP main for Carrollton Phase D. Abandon 167 Ft of 2 in PL, 36 Ft of 4 in PL, 120 Ft of 1.25 in ST, 8815 Ft of 2 in ST, 2862 ft of 4 in ST and 470 Ft of 6 in ST.</v>
          </cell>
          <cell r="K1342" t="str">
            <v>Uprate ~ 102 Ft of 1 ¼ in PL LP main and ~1901 Ft of 2in PL LP main on N. Virginia St, Green St, E Benton St, and the alley between Kincheloe and E 3rd ST. 
Total Service Tie-over = 125; Total Service Replace = 6; Total Service Abandoned = 40.  This main is being abandoned as part of FY16 Bare Steel Replacement Program</v>
          </cell>
          <cell r="P1342" t="str">
            <v>0312-014001  CARROLL CTY/CARROLLTON</v>
          </cell>
          <cell r="Q1342">
            <v>418880.83</v>
          </cell>
          <cell r="R1342">
            <v>-27299</v>
          </cell>
        </row>
        <row r="1343">
          <cell r="A1343" t="str">
            <v>008630</v>
          </cell>
          <cell r="B1343" t="str">
            <v>LDC 2</v>
          </cell>
          <cell r="D1343" t="str">
            <v>yes</v>
          </cell>
          <cell r="E1343" t="str">
            <v>20317155362</v>
          </cell>
          <cell r="F1343" t="str">
            <v>F0604</v>
          </cell>
          <cell r="G1343" t="str">
            <v>Main Replacement - ISRS (S)</v>
          </cell>
          <cell r="H1343" t="str">
            <v>Spring St.- Replace 2in PBS</v>
          </cell>
          <cell r="I1343" t="str">
            <v>in service</v>
          </cell>
          <cell r="J1343" t="str">
            <v>Spring St.- Replace 2in PBS: Fayette: Replace Bare Steel Main - 3760 Safety Related (34-394)</v>
          </cell>
          <cell r="K1343" t="str">
            <v>Approved by: Kevin Driskell on 05/27/2015,  Replace bare steel in Fayette on Spring Street between Park Rd and Herndon St.  Install 1209' of 2" PE.  Abandon 825' of 2" BS, 290' of 3" BS and 100' of 2" CS.  (ISRS)</v>
          </cell>
          <cell r="L1343">
            <v>42341</v>
          </cell>
          <cell r="O1343">
            <v>42401</v>
          </cell>
          <cell r="P1343" t="str">
            <v>0317-040001  HOWARD CTY/FAYETTE</v>
          </cell>
          <cell r="Q1343">
            <v>74854.210000000006</v>
          </cell>
          <cell r="R1343">
            <v>-2142.5</v>
          </cell>
        </row>
        <row r="1344">
          <cell r="A1344" t="str">
            <v>005150</v>
          </cell>
          <cell r="B1344" t="str">
            <v>LDC 2</v>
          </cell>
          <cell r="D1344" t="str">
            <v>no</v>
          </cell>
          <cell r="E1344" t="str">
            <v>20609143524</v>
          </cell>
          <cell r="F1344" t="str">
            <v>F0597</v>
          </cell>
          <cell r="G1344" t="str">
            <v>Other</v>
          </cell>
          <cell r="H1344" t="str">
            <v>EGM Repl - Foam Fabricators 417 W I</v>
          </cell>
          <cell r="I1344" t="str">
            <v>in service</v>
          </cell>
          <cell r="J1344" t="str">
            <v>EGM Repl - Foam Fabricators 417 W Industrial: El Dorado Springs: Other Measurement Capital Expenses 3810/3820 (32-408)</v>
          </cell>
          <cell r="K1344" t="str">
            <v>Approved by: Rob Kitterman on 04/30/2014,  Replace EGM equipment at Foam Fabricators with a new Mini-AT-PT, S/N: 13063863, &amp; Messenger Modem. Existing meter is a 11000 ID Romet ROtary meter# 00863801. The existing equipment was damaged beyond repair. Retire the damaged MiniPT/SIP, S/N: 9413607 on this WO as well.
Customer will not be billed.</v>
          </cell>
          <cell r="L1344">
            <v>42430</v>
          </cell>
          <cell r="O1344">
            <v>42522</v>
          </cell>
          <cell r="P1344" t="str">
            <v>0609-017013  CEDAR CTY/ELDORADO SPRINGS</v>
          </cell>
          <cell r="Q1344">
            <v>2567.91</v>
          </cell>
          <cell r="R1344">
            <v>9</v>
          </cell>
        </row>
        <row r="1345">
          <cell r="A1345" t="str">
            <v>800462</v>
          </cell>
          <cell r="B1345" t="str">
            <v>LDC 2</v>
          </cell>
          <cell r="C1345" t="str">
            <v>03 - Bare Steel Replacement</v>
          </cell>
          <cell r="D1345" t="str">
            <v>yes</v>
          </cell>
          <cell r="F1345" t="str">
            <v>F0572</v>
          </cell>
          <cell r="G1345" t="str">
            <v>Main Replacement - ISRS (SW)</v>
          </cell>
          <cell r="H1345" t="str">
            <v>Repl w 6854F 2-4P Republic Phase 2</v>
          </cell>
          <cell r="I1345" t="str">
            <v>open</v>
          </cell>
          <cell r="J1345" t="str">
            <v>Install 6034 ft of 2in PL and 820 Ft of 4in PL and abandon 48 Ft of 1.25in PL, 418 Ft of 2in PL, 6651 Ft of 2in ST, and 20 Ft of 4in ST in Republic, MO. This main is being abandoned as part of FY16 Bare Steel Replacement Program&lt;!</v>
          </cell>
          <cell r="P1345" t="str">
            <v>0812-034002  GREENE CTY/REPUBLIC</v>
          </cell>
          <cell r="Q1345">
            <v>403.33</v>
          </cell>
          <cell r="R1345">
            <v>7137</v>
          </cell>
        </row>
        <row r="1346">
          <cell r="A1346" t="str">
            <v>800423</v>
          </cell>
          <cell r="B1346" t="str">
            <v>LDC 2</v>
          </cell>
          <cell r="C1346" t="str">
            <v>09 - Facility Relocation due to Civic Improvement</v>
          </cell>
          <cell r="D1346" t="str">
            <v>yes</v>
          </cell>
          <cell r="F1346" t="str">
            <v>F0664</v>
          </cell>
          <cell r="G1346" t="str">
            <v>Street &amp; Hwy Relocates ISRS (SW)</v>
          </cell>
          <cell r="H1346" t="str">
            <v>Rel w/ 325F 4P 11th St &amp; Hartley</v>
          </cell>
          <cell r="I1346" t="str">
            <v>in service</v>
          </cell>
          <cell r="J1346" t="str">
            <v>Install 325 Ft of 4 in PL IP Main at 11th St and Hartley St.  Abandon 306 Ft of 4 in PL IP Main at above location. Main is being relocated due to civic improvements.</v>
          </cell>
          <cell r="L1346">
            <v>42551</v>
          </cell>
          <cell r="O1346">
            <v>42522</v>
          </cell>
          <cell r="P1346" t="str">
            <v>0815-019006  CHRISTIAN CTY/OZARK</v>
          </cell>
          <cell r="Q1346">
            <v>1346.57</v>
          </cell>
          <cell r="R1346">
            <v>-456</v>
          </cell>
        </row>
        <row r="1347">
          <cell r="A1347" t="str">
            <v>007595</v>
          </cell>
          <cell r="B1347" t="str">
            <v>LDC 2</v>
          </cell>
          <cell r="D1347" t="str">
            <v>no</v>
          </cell>
          <cell r="E1347" t="str">
            <v>20812155136</v>
          </cell>
          <cell r="F1347" t="str">
            <v>F0556</v>
          </cell>
          <cell r="G1347" t="str">
            <v>Tools, instruments &amp; equipment</v>
          </cell>
          <cell r="H1347" t="str">
            <v>Pur Smart-Cal Calibration Sta Repub</v>
          </cell>
          <cell r="I1347" t="str">
            <v>posted to CPR</v>
          </cell>
          <cell r="J1347" t="str">
            <v>Tools Purchase Smart-Cal Calibration For Republic: Republic: Purchase Tools, Instruments &amp; Equipment  3940 (37-366)</v>
          </cell>
          <cell r="K1347" t="str">
            <v>Approved by: Michael Fornelli on 02/05/2015,  Purchase one Smart-Cal Calibration Station for Sensit Gold CGI's for Republic Shop.</v>
          </cell>
          <cell r="L1347">
            <v>42100</v>
          </cell>
          <cell r="M1347">
            <v>42491</v>
          </cell>
          <cell r="N1347">
            <v>42527.511562500003</v>
          </cell>
          <cell r="O1347">
            <v>42095</v>
          </cell>
          <cell r="P1347" t="str">
            <v>0812-034002  GREENE CTY/REPUBLIC</v>
          </cell>
          <cell r="Q1347">
            <v>4959.74</v>
          </cell>
          <cell r="R1347">
            <v>2</v>
          </cell>
        </row>
        <row r="1348">
          <cell r="A1348" t="str">
            <v>800386</v>
          </cell>
          <cell r="B1348" t="str">
            <v>LDC 2</v>
          </cell>
          <cell r="C1348" t="str">
            <v>03 - Bare Steel Replacement</v>
          </cell>
          <cell r="D1348" t="str">
            <v>yes</v>
          </cell>
          <cell r="F1348" t="str">
            <v>F0572</v>
          </cell>
          <cell r="G1348" t="str">
            <v>Main Replacement - ISRS (SW)</v>
          </cell>
          <cell r="H1348" t="str">
            <v>Repl w/ 1533F 2P Hwy 37 &amp; Walnut</v>
          </cell>
          <cell r="I1348" t="str">
            <v>posted to CPR</v>
          </cell>
          <cell r="J1348" t="str">
            <v>Install 1533 Ft of 2 PL IP main on Commercial St and Elm St. Abandon 396 Ft of 2 in ST and 1131 Ft of 4 in ST LP main on Front and Elm St.</v>
          </cell>
          <cell r="K1348" t="str">
            <v>This main is being replaced as part of FY16 Bare Steel Replacement Program and is needed due to low reads (.850 and lower). Crews cannot keep readings above .850.</v>
          </cell>
          <cell r="L1348">
            <v>42551</v>
          </cell>
          <cell r="M1348">
            <v>42643</v>
          </cell>
          <cell r="N1348">
            <v>42744.3464930556</v>
          </cell>
          <cell r="O1348">
            <v>42522</v>
          </cell>
          <cell r="P1348" t="str">
            <v>0802-050010  LAWRENCE CTY/PIERCE</v>
          </cell>
          <cell r="Q1348">
            <v>53587.97</v>
          </cell>
          <cell r="R1348">
            <v>-1605.5</v>
          </cell>
        </row>
        <row r="1349">
          <cell r="A1349" t="str">
            <v>800461</v>
          </cell>
          <cell r="B1349" t="str">
            <v>LDC 2</v>
          </cell>
          <cell r="D1349" t="str">
            <v>no</v>
          </cell>
          <cell r="F1349" t="str">
            <v>F0523</v>
          </cell>
          <cell r="G1349" t="str">
            <v>New Main Extensions (SW)</v>
          </cell>
          <cell r="H1349" t="str">
            <v>Main Ext Bradley St Diamond MO</v>
          </cell>
          <cell r="I1349" t="str">
            <v>posted to CPR</v>
          </cell>
          <cell r="J1349" t="str">
            <v>Main Extension - Install 630ft of 2in PE to serve one new residence at 106 Bradley St in Diamond, Mo.  Town:0807 Sector: A1312 MOP: 30 MAOP: 30 SYS: S-0001 Cost: $20,695.88     $32.85/ft</v>
          </cell>
          <cell r="L1349">
            <v>42551</v>
          </cell>
          <cell r="M1349">
            <v>42674</v>
          </cell>
          <cell r="N1349">
            <v>42742.625335648103</v>
          </cell>
          <cell r="O1349">
            <v>42522</v>
          </cell>
          <cell r="P1349" t="str">
            <v>0807-066019  NEWTON CTY/DIAMOND</v>
          </cell>
          <cell r="Q1349">
            <v>39206.980000000003</v>
          </cell>
          <cell r="R1349">
            <v>-803.25</v>
          </cell>
        </row>
        <row r="1350">
          <cell r="A1350" t="str">
            <v>007865</v>
          </cell>
          <cell r="B1350" t="str">
            <v>LDC 2</v>
          </cell>
          <cell r="D1350" t="str">
            <v>yes</v>
          </cell>
          <cell r="E1350" t="str">
            <v>20813155154</v>
          </cell>
          <cell r="F1350" t="str">
            <v>F0634</v>
          </cell>
          <cell r="G1350" t="str">
            <v>Replace bare steel main - safety re</v>
          </cell>
          <cell r="H1350" t="str">
            <v>2in PBS Main Replacement</v>
          </cell>
          <cell r="I1350" t="str">
            <v>posted to CPR</v>
          </cell>
          <cell r="J1350" t="str">
            <v>2in PBS Main Replacement: Billings: Replace Bare Steel Main - 3760 Safety Related (34-394)</v>
          </cell>
          <cell r="K1350" t="str">
            <v>Approved by: Michael Fornelli on 03/16/2015,  Replace 395' 2" PBS (WO J010B) with 395' 2" PE due to low reads.  Project Location: Commercial St NE of Washington St.  System: S-1.  MOP: 20 PSIG.  MAOP: 20 PSIG.  Design: 58 PSIG.  Test: 100 PSIG.  Price Per Foot: $48.00.</v>
          </cell>
          <cell r="L1350">
            <v>42163</v>
          </cell>
          <cell r="M1350">
            <v>42247</v>
          </cell>
          <cell r="N1350">
            <v>42284.723414351902</v>
          </cell>
          <cell r="O1350">
            <v>42156</v>
          </cell>
          <cell r="P1350" t="str">
            <v>0813-019001  CHRISTIAN CTY/BILLING</v>
          </cell>
          <cell r="Q1350">
            <v>28235.94</v>
          </cell>
          <cell r="R1350">
            <v>-364</v>
          </cell>
        </row>
        <row r="1351">
          <cell r="A1351" t="str">
            <v>800958</v>
          </cell>
          <cell r="B1351" t="str">
            <v>LDC 2</v>
          </cell>
          <cell r="D1351" t="str">
            <v>no</v>
          </cell>
          <cell r="F1351" t="str">
            <v>F0523</v>
          </cell>
          <cell r="G1351" t="str">
            <v>New Main Extensions (SW)</v>
          </cell>
          <cell r="H1351" t="str">
            <v>Install 2210F 2-4 Old Castle Ph 3&amp;4</v>
          </cell>
          <cell r="I1351" t="str">
            <v>open</v>
          </cell>
          <cell r="J1351" t="str">
            <v>Install 1190 Ft of 4 in PL IP Main &amp; 1020 Ft of 2 in PL IP Main for Old Castle Estates Phase III &amp; IV to provide service to 45 new residential lots in Nixa.</v>
          </cell>
          <cell r="K1351" t="str">
            <v>250 CFH per load for total load of 11,250 CFH</v>
          </cell>
          <cell r="P1351" t="str">
            <v>0816-019004  CHRISTIAN CTY/NIXA</v>
          </cell>
          <cell r="Q1351">
            <v>64412.86</v>
          </cell>
          <cell r="R1351">
            <v>418.5</v>
          </cell>
        </row>
        <row r="1352">
          <cell r="A1352" t="str">
            <v>009242</v>
          </cell>
          <cell r="B1352" t="str">
            <v>LDC 2</v>
          </cell>
          <cell r="D1352" t="str">
            <v>no</v>
          </cell>
          <cell r="E1352" t="str">
            <v>20817155516</v>
          </cell>
          <cell r="F1352" t="str">
            <v>F0523</v>
          </cell>
          <cell r="G1352" t="str">
            <v>New Main Extensions (SW)</v>
          </cell>
          <cell r="H1352" t="str">
            <v>New Main Ext 75ft 2in Plastic</v>
          </cell>
          <cell r="I1352" t="str">
            <v>posted to CPR</v>
          </cell>
          <cell r="J1352" t="str">
            <v>New Main Ext 75ft 2in Plastic: CRANE: New Main Extension - Company Crews  3760 (33-305)</v>
          </cell>
          <cell r="K1352" t="str">
            <v>Approved by: Michael Fornelli on 08/20/2015,  To lay 75ft of 2in Plastic Main to serve new Dollar General Store. No deposit required after one up front allowance. MOP=20# MAOP=20# SYSTEM=S-2 TEST=100#</v>
          </cell>
          <cell r="L1352">
            <v>42270</v>
          </cell>
          <cell r="M1352">
            <v>42370</v>
          </cell>
          <cell r="N1352">
            <v>42496.618518518502</v>
          </cell>
          <cell r="O1352">
            <v>42278</v>
          </cell>
          <cell r="P1352" t="str">
            <v>0817-090001  STONE CTY/CRANE</v>
          </cell>
          <cell r="Q1352">
            <v>4832.92</v>
          </cell>
          <cell r="R1352">
            <v>-480.5</v>
          </cell>
        </row>
        <row r="1353">
          <cell r="A1353" t="str">
            <v>006658</v>
          </cell>
          <cell r="B1353" t="str">
            <v>LDC 2</v>
          </cell>
          <cell r="D1353" t="str">
            <v>no</v>
          </cell>
          <cell r="E1353" t="str">
            <v>20821143867</v>
          </cell>
          <cell r="F1353" t="str">
            <v>F0523</v>
          </cell>
          <cell r="G1353" t="str">
            <v>New Main Extensions (SW)</v>
          </cell>
          <cell r="H1353" t="str">
            <v>Lay 300 ft 2in Plastic Main Ext</v>
          </cell>
          <cell r="I1353" t="str">
            <v>posted to CPR</v>
          </cell>
          <cell r="J1353" t="str">
            <v>Lay 300 ft 2in Plastic Main: Cassville: New Main Extension - Company Crews  3760 (33-305)</v>
          </cell>
          <cell r="K1353" t="str">
            <v>Approved by: Galen Shoemaker on 10/10/2014,  To lay 300ft of 2in plastic main in order to relocate an existing customer's service off of a neighboring property under the Service Line Replacement Program. MOP=25# MAOP=58# SYSTEM=S-2310 TEST=100#</v>
          </cell>
          <cell r="L1353">
            <v>42048</v>
          </cell>
          <cell r="M1353">
            <v>42248</v>
          </cell>
          <cell r="N1353">
            <v>42284.722534722197</v>
          </cell>
          <cell r="O1353">
            <v>42036</v>
          </cell>
          <cell r="P1353" t="str">
            <v>0821-005011  BARRY CTY/CASSVILLE</v>
          </cell>
          <cell r="Q1353">
            <v>4170.5200000000004</v>
          </cell>
          <cell r="R1353">
            <v>-599</v>
          </cell>
        </row>
        <row r="1354">
          <cell r="A1354" t="str">
            <v>005330</v>
          </cell>
          <cell r="B1354" t="str">
            <v>LDC 2</v>
          </cell>
          <cell r="D1354" t="str">
            <v>yes</v>
          </cell>
          <cell r="E1354" t="str">
            <v>20903143574</v>
          </cell>
          <cell r="F1354" t="str">
            <v>F0514</v>
          </cell>
          <cell r="G1354" t="str">
            <v>Other relocates</v>
          </cell>
          <cell r="H1354" t="str">
            <v>Timber Creek Dr Reloc 2in PE</v>
          </cell>
          <cell r="I1354" t="str">
            <v>posted to CPR</v>
          </cell>
          <cell r="J1354" t="str">
            <v>Timber Creek Dr Reloc 2in PE : Blue Springs: Other Relocates - Per Customer Request - Contribution (44-390)</v>
          </cell>
          <cell r="K1354" t="str">
            <v>Approved by: Ralph Janes on 05/15/2014,  Relocate 2" PE main for storm installation for private development in the Estates of Chapman Farms. Install 30' of 2" PE in a 5'x20'x5' dogleg and abandon 20' - 2" PE (WO# 07-1698). This project is reimbursable.</v>
          </cell>
          <cell r="L1354">
            <v>41775</v>
          </cell>
          <cell r="M1354">
            <v>42004</v>
          </cell>
          <cell r="N1354">
            <v>42011</v>
          </cell>
          <cell r="P1354" t="str">
            <v>0903-043026  JACKSON CTY/BLUE SPRINGS</v>
          </cell>
          <cell r="Q1354">
            <v>-1383.55</v>
          </cell>
          <cell r="R1354">
            <v>15</v>
          </cell>
        </row>
        <row r="1355">
          <cell r="A1355" t="str">
            <v>004327</v>
          </cell>
          <cell r="B1355" t="str">
            <v>LDC 2</v>
          </cell>
          <cell r="D1355" t="str">
            <v>no</v>
          </cell>
          <cell r="E1355" t="str">
            <v>20903132861</v>
          </cell>
          <cell r="F1355" t="str">
            <v>F0507</v>
          </cell>
          <cell r="G1355" t="str">
            <v>Rebuild Meter Install 2'' &amp; Lg (S)</v>
          </cell>
          <cell r="H1355" t="str">
            <v>Remove 3M Rotary Meter Setting Gold</v>
          </cell>
          <cell r="I1355" t="str">
            <v>posted to CPR</v>
          </cell>
          <cell r="J1355" t="str">
            <v>Remove 3M Rotary Meter Setting Golden Corral: Blue Springs: 1203 SW State Route 7</v>
          </cell>
          <cell r="K1355" t="str">
            <v>Approved by: Ralph Janes on 07/30/2013,  Remove and dismantle the 3M rotary meter setting (meter #00036196, installed on WO# 01-3075) due to inactivity.</v>
          </cell>
          <cell r="L1355">
            <v>41494</v>
          </cell>
          <cell r="M1355">
            <v>41575</v>
          </cell>
          <cell r="N1355">
            <v>41576.418587963002</v>
          </cell>
          <cell r="P1355" t="str">
            <v>0903-043026  JACKSON CTY/BLUE SPRINGS</v>
          </cell>
          <cell r="Q1355">
            <v>2038.86</v>
          </cell>
          <cell r="R1355">
            <v>5</v>
          </cell>
        </row>
        <row r="1356">
          <cell r="A1356" t="str">
            <v>004537</v>
          </cell>
          <cell r="B1356" t="str">
            <v>LDC 2</v>
          </cell>
          <cell r="D1356" t="str">
            <v>yes</v>
          </cell>
          <cell r="E1356" t="str">
            <v>20903121197</v>
          </cell>
          <cell r="F1356" t="str">
            <v>F0605</v>
          </cell>
          <cell r="G1356" t="str">
            <v>Replace steel &amp; plastic main</v>
          </cell>
          <cell r="H1356" t="str">
            <v>4th &amp; Lakeview Repl 4" PCS</v>
          </cell>
          <cell r="I1356" t="str">
            <v>posted to CPR</v>
          </cell>
          <cell r="J1356" t="str">
            <v>Replace 4in and 2in PCS 4th and Lakeview: Blue Springs: 4th and Lakeview</v>
          </cell>
          <cell r="K1356" t="str">
            <v>Approved by: Ralph Janes on 03/09/2012,  Replace and remove 4' of 4in PCS (WO# 61-3180) and 6' of 2in PCS (WO# 61-3181) with leaking 2in tap gate valve with 4' of 4in thin film and 6' of 2in thin film. ISRS</v>
          </cell>
          <cell r="L1356">
            <v>41457</v>
          </cell>
          <cell r="M1356">
            <v>41533</v>
          </cell>
          <cell r="N1356">
            <v>41562.537268518499</v>
          </cell>
          <cell r="P1356" t="str">
            <v>0903-043026  JACKSON CTY/BLUE SPRINGS</v>
          </cell>
          <cell r="Q1356">
            <v>9496.26</v>
          </cell>
          <cell r="R1356">
            <v>100</v>
          </cell>
        </row>
        <row r="1357">
          <cell r="A1357" t="str">
            <v>800199</v>
          </cell>
          <cell r="B1357" t="str">
            <v>LDC 2</v>
          </cell>
          <cell r="C1357" t="str">
            <v>03 - Bare Steel Replacement</v>
          </cell>
          <cell r="D1357" t="str">
            <v>yes</v>
          </cell>
          <cell r="F1357" t="str">
            <v>F0604</v>
          </cell>
          <cell r="G1357" t="str">
            <v>Main Replacement - ISRS (S)</v>
          </cell>
          <cell r="H1357" t="str">
            <v>Replace 8" PBS Main-Loch Lloyd</v>
          </cell>
          <cell r="I1357" t="str">
            <v>completed</v>
          </cell>
          <cell r="J1357" t="str">
            <v>Replace and abandon 510 feet of 8 inch bare steel feeder main by installing 520 feet of 8 inch coated steel main - Loch Lloyd Pkwy. Per Alison Spalding the Estimate and the As Built are properly reflected with a difference in footage of 265 Feet.</v>
          </cell>
          <cell r="K1357" t="str">
            <v>This 1929 vintage bare steel main is in a 50 foot easement between some high end residential lots that are currently having large houses constructed. Plan to replace the main before house construction and extensive landscaping is complete.</v>
          </cell>
          <cell r="L1357">
            <v>42508</v>
          </cell>
          <cell r="M1357">
            <v>42766</v>
          </cell>
          <cell r="O1357">
            <v>42491</v>
          </cell>
          <cell r="P1357" t="str">
            <v>0906-016001  CASS CTY/BELTON W OF MULLIN RD</v>
          </cell>
          <cell r="Q1357">
            <v>152626.76</v>
          </cell>
          <cell r="R1357">
            <v>203.3699</v>
          </cell>
        </row>
        <row r="1358">
          <cell r="A1358" t="str">
            <v>800132</v>
          </cell>
          <cell r="B1358" t="str">
            <v>LDC 2</v>
          </cell>
          <cell r="C1358" t="str">
            <v>03 - Bare Steel Replacement</v>
          </cell>
          <cell r="D1358" t="str">
            <v>yes</v>
          </cell>
          <cell r="F1358" t="str">
            <v>F0604</v>
          </cell>
          <cell r="G1358" t="str">
            <v>Main Replacement - ISRS (S)</v>
          </cell>
          <cell r="H1358" t="str">
            <v>FY16 Strategic Grid MGE - Belton Ph</v>
          </cell>
          <cell r="I1358" t="str">
            <v>open</v>
          </cell>
          <cell r="J1358" t="str">
            <v>Install 3774 Ft of 2 in PL IP main for Belton Phase 2D. Abandon 44 Ft of 2in PL, 3579 Ft of 2 in PBS, 342 Ft of 2 in, 5 Ft of 4 in, and 39 Ft of 6 in PCS (Majority poorly coated) IP main.</v>
          </cell>
          <cell r="K1358" t="str">
            <v>This main is being abandoned as part of FY16 Bare Steel Replacement Program</v>
          </cell>
          <cell r="P1358" t="str">
            <v>0906-016001  CASS CTY/BELTON W OF MULLIN RD</v>
          </cell>
          <cell r="Q1358">
            <v>0</v>
          </cell>
          <cell r="R1358">
            <v>4009</v>
          </cell>
        </row>
        <row r="1359">
          <cell r="A1359" t="str">
            <v>004363</v>
          </cell>
          <cell r="B1359" t="str">
            <v>LDC 2</v>
          </cell>
          <cell r="D1359" t="str">
            <v>no</v>
          </cell>
          <cell r="E1359" t="str">
            <v>20903143410</v>
          </cell>
          <cell r="F1359" t="str">
            <v>F0507</v>
          </cell>
          <cell r="G1359" t="str">
            <v>Rebuild Meter Install 2'' &amp; Lg (S)</v>
          </cell>
          <cell r="H1359" t="str">
            <v>Fike 5M Rotary rebuild SLRP</v>
          </cell>
          <cell r="I1359" t="str">
            <v>posted to CPR</v>
          </cell>
          <cell r="J1359" t="str">
            <v>Fike 5M Rotary rebuild SLRP: Blue Springs: 704 SW 10th Street</v>
          </cell>
          <cell r="K1359" t="str">
            <v>Approved by: Ralph Janes on 03/07/2014,  20 Years SLRP at Fike building (meter #00862577, installed on WO# 87-4927).  Rebuild a 5M rotary meter set at the building.</v>
          </cell>
          <cell r="L1359">
            <v>41717</v>
          </cell>
          <cell r="M1359">
            <v>41882</v>
          </cell>
          <cell r="N1359">
            <v>41887.6818055556</v>
          </cell>
          <cell r="O1359">
            <v>41730</v>
          </cell>
          <cell r="P1359" t="str">
            <v>0903-043026  JACKSON CTY/BLUE SPRINGS</v>
          </cell>
          <cell r="Q1359">
            <v>5425.86</v>
          </cell>
          <cell r="R1359">
            <v>92</v>
          </cell>
        </row>
        <row r="1360">
          <cell r="A1360" t="str">
            <v>800254</v>
          </cell>
          <cell r="B1360" t="str">
            <v>LDC 2</v>
          </cell>
          <cell r="C1360" t="str">
            <v>03 - Bare Steel Replacement</v>
          </cell>
          <cell r="D1360" t="str">
            <v>yes</v>
          </cell>
          <cell r="F1360" t="str">
            <v>F0604</v>
          </cell>
          <cell r="G1360" t="str">
            <v>Main Replacement - ISRS (S)</v>
          </cell>
          <cell r="H1360" t="str">
            <v>Pleasant Hill Main Replacement- Pha</v>
          </cell>
          <cell r="I1360" t="str">
            <v>in service</v>
          </cell>
          <cell r="J1360" t="str">
            <v>Install 2603 Ft 2 in PL IP, 2707 Ft 4 in PL IP, &amp; 1969 Ft  6 in PL IP main on Commercial St, Oakland St, Miller St, Walnut St, Front St, 2nd St, Harrison St, Jefferson St, Webster St, Hwy 58, &amp; Main St (Pleasant Hill).  Abandon various - see Notes.</v>
          </cell>
          <cell r="K1360" t="str">
            <v>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ell>
          <cell r="L1360">
            <v>42667</v>
          </cell>
          <cell r="O1360">
            <v>42644</v>
          </cell>
          <cell r="P1360" t="str">
            <v>0909-016012  CASS CTY/PLEASANT HILL</v>
          </cell>
          <cell r="Q1360">
            <v>398256.85</v>
          </cell>
          <cell r="R1360">
            <v>-8439.5</v>
          </cell>
        </row>
        <row r="1361">
          <cell r="A1361" t="str">
            <v>004667</v>
          </cell>
          <cell r="B1361" t="str">
            <v>LDC 2</v>
          </cell>
          <cell r="D1361" t="str">
            <v>no</v>
          </cell>
          <cell r="E1361" t="str">
            <v>20824132806</v>
          </cell>
          <cell r="F1361" t="str">
            <v>F0528</v>
          </cell>
          <cell r="G1361" t="str">
            <v>Rebuild Meter Install 2'' &amp; Lg (SW)</v>
          </cell>
          <cell r="H1361" t="str">
            <v>Crowder Votech Rebuild 11M mtr set</v>
          </cell>
          <cell r="I1361" t="str">
            <v>posted to CPR</v>
          </cell>
          <cell r="J1361" t="str">
            <v>Crowder Votech Rebuild 11M mtr set: Crowder: Crowder Votech 601 Laclede</v>
          </cell>
          <cell r="K1361" t="str">
            <v>Approved by: Galen Shoemaker on 07/10/2013,  INSTALL PREFAB SETTING FOR 11M ROTARY METER.  SETTING WILL BE MOVED TO THE BUILDING AND SERVED FROM A NEW 1 1/4in PLASTIC SERVICE. WILL USE 2in FLANGED B34 IMRV REGULATOR WITH PURPLE SPRING TO DELIVER 14in WC TO A TOTAL CONNECTED DEMAND OF 7000 CFH. NEW SETTING IS SIZED FOR ADDITIONAL FUTURE DEMAND. WORK ORDER WILL RETIRE SETTING FOR A 5000 CLASS METER AND 2in REGULATOR INSTALLED ON WORK ORDER 70-0266. THERE WILL BE NO CHARGE TO THE CUSTOMER FOR THE SETTING. SYSTEM 0824-S-4 MAOP=30 PSIG MOP=30 PSIG</v>
          </cell>
          <cell r="L1361">
            <v>41473</v>
          </cell>
          <cell r="M1361">
            <v>41575</v>
          </cell>
          <cell r="N1361">
            <v>41576.418530092596</v>
          </cell>
          <cell r="P1361" t="str">
            <v>0824-066011  NEWTON CTY/NEOSHO TWP</v>
          </cell>
          <cell r="Q1361">
            <v>5118.8599999999997</v>
          </cell>
          <cell r="R1361">
            <v>5</v>
          </cell>
        </row>
        <row r="1362">
          <cell r="A1362" t="str">
            <v>800965</v>
          </cell>
          <cell r="B1362" t="str">
            <v>LDC 2</v>
          </cell>
          <cell r="D1362" t="str">
            <v>no</v>
          </cell>
          <cell r="F1362" t="str">
            <v>F0673</v>
          </cell>
          <cell r="G1362" t="str">
            <v>New Main Extensions (S)</v>
          </cell>
          <cell r="H1362" t="str">
            <v>Install 2015F 2P Napa Valley 3</v>
          </cell>
          <cell r="I1362" t="str">
            <v>in service</v>
          </cell>
          <cell r="J1362" t="str">
            <v>Install 2,015 feet of 2" plastic main to serve 31 new residential customers.</v>
          </cell>
          <cell r="K1362" t="str">
            <v>Phase 3 Subdivision - (31) Residential lots, Single Family Detached. (Lots 116-146).</v>
          </cell>
          <cell r="L1362">
            <v>42705</v>
          </cell>
          <cell r="O1362">
            <v>42705</v>
          </cell>
          <cell r="P1362" t="str">
            <v>0901-043021  JACKSON CTY/LEE'S SUMMIT OFFIC</v>
          </cell>
          <cell r="Q1362">
            <v>24399.33</v>
          </cell>
          <cell r="R1362">
            <v>-4556.5</v>
          </cell>
        </row>
        <row r="1363">
          <cell r="A1363" t="str">
            <v>800557</v>
          </cell>
          <cell r="B1363" t="str">
            <v>LDC 2</v>
          </cell>
          <cell r="C1363" t="str">
            <v>03 - Bare Steel Replacement</v>
          </cell>
          <cell r="D1363" t="str">
            <v>yes</v>
          </cell>
          <cell r="F1363" t="str">
            <v>F0604</v>
          </cell>
          <cell r="G1363" t="str">
            <v>Main Replacement - ISRS (S)</v>
          </cell>
          <cell r="H1363" t="str">
            <v>Repl 4185F 8S Colbern Feeder Main</v>
          </cell>
          <cell r="I1363" t="str">
            <v>in service</v>
          </cell>
          <cell r="J1363" t="str">
            <v>Install 4185' of 8" HP STL. Abandon 4,194' of 10" STL - Colbern Rd.</v>
          </cell>
          <cell r="K1363" t="str">
            <v>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ell>
          <cell r="L1363">
            <v>42650</v>
          </cell>
          <cell r="O1363">
            <v>42644</v>
          </cell>
          <cell r="P1363" t="str">
            <v>0901-043021  JACKSON CTY/LEE'S SUMMIT OFFIC</v>
          </cell>
          <cell r="Q1363">
            <v>454829.93</v>
          </cell>
          <cell r="R1363">
            <v>15</v>
          </cell>
        </row>
        <row r="1364">
          <cell r="A1364" t="str">
            <v>800495</v>
          </cell>
          <cell r="B1364" t="str">
            <v>LDC 2</v>
          </cell>
          <cell r="D1364" t="str">
            <v>no</v>
          </cell>
          <cell r="F1364" t="str">
            <v>F0673</v>
          </cell>
          <cell r="G1364" t="str">
            <v>New Main Extensions (S)</v>
          </cell>
          <cell r="H1364" t="str">
            <v>Inst 380F 4P Storage Mart NB</v>
          </cell>
          <cell r="I1364" t="str">
            <v>in service</v>
          </cell>
          <cell r="J1364" t="str">
            <v>Install 380' - 4" PE Main at Storage Mart 3920 S State Rt 291.</v>
          </cell>
          <cell r="L1364">
            <v>42565</v>
          </cell>
          <cell r="O1364">
            <v>42583</v>
          </cell>
          <cell r="P1364" t="str">
            <v>0901-043021  JACKSON CTY/LEE'S SUMMIT OFFIC</v>
          </cell>
          <cell r="Q1364">
            <v>6509.23</v>
          </cell>
          <cell r="R1364">
            <v>-839.5</v>
          </cell>
        </row>
        <row r="1365">
          <cell r="A1365" t="str">
            <v>009134</v>
          </cell>
          <cell r="B1365" t="str">
            <v>LDC 2</v>
          </cell>
          <cell r="D1365" t="str">
            <v>no</v>
          </cell>
          <cell r="E1365" t="str">
            <v>20901155492</v>
          </cell>
          <cell r="F1365" t="str">
            <v>F0676</v>
          </cell>
          <cell r="G1365" t="str">
            <v>Meter &amp; regulator settings - 2" &amp; l</v>
          </cell>
          <cell r="H1365" t="str">
            <v>Johnnys Tavern - Inst 3M Meter</v>
          </cell>
          <cell r="I1365" t="str">
            <v>posted to CPR</v>
          </cell>
          <cell r="J1365" t="str">
            <v>Johnnys Tavern: Lees Summit: New Meter &amp; Reg Settings - 2ind  &amp; Larger 3820/3830 (33-382)</v>
          </cell>
          <cell r="K1365" t="str">
            <v>Approved by: Kevin Driskell on 08/09/2015,  Install a 3M Rotary meter setting to serve one new commercial customer.</v>
          </cell>
          <cell r="L1365">
            <v>42242</v>
          </cell>
          <cell r="M1365">
            <v>42491</v>
          </cell>
          <cell r="N1365">
            <v>42528.313321759299</v>
          </cell>
          <cell r="O1365">
            <v>42248</v>
          </cell>
          <cell r="P1365" t="str">
            <v>0901-043021  JACKSON CTY/LEE'S SUMMIT OFFIC</v>
          </cell>
          <cell r="Q1365">
            <v>1898.07</v>
          </cell>
          <cell r="R1365">
            <v>-51</v>
          </cell>
        </row>
        <row r="1366">
          <cell r="A1366" t="str">
            <v>005796</v>
          </cell>
          <cell r="B1366" t="str">
            <v>LDC 2</v>
          </cell>
          <cell r="D1366" t="str">
            <v>no</v>
          </cell>
          <cell r="E1366" t="str">
            <v>20901143672</v>
          </cell>
          <cell r="F1366" t="str">
            <v>F0642</v>
          </cell>
          <cell r="G1366" t="str">
            <v>Tools, Instruments &amp; Other Equip</v>
          </cell>
          <cell r="H1366" t="str">
            <v>Pur 2 Sensit Gold CGI Model E</v>
          </cell>
          <cell r="I1366" t="str">
            <v>posted to CPR</v>
          </cell>
          <cell r="J1366" t="str">
            <v>Pur 2 Sensit Gold CGI Model E: Lees Summit: Purchase Tools, Instruments &amp; Equipment  3940 (37-366)</v>
          </cell>
          <cell r="K1366" t="str">
            <v>Approved by: Rob Kitterman on 07/24/2014,  Purchase 2 - Sensit Golf CGI Model for the two additional employees that are being added to the Lee's Summit P&amp;M Department due to the changes in the union contract.</v>
          </cell>
          <cell r="L1366">
            <v>41890</v>
          </cell>
          <cell r="M1366">
            <v>42491</v>
          </cell>
          <cell r="N1366">
            <v>42527.510775463001</v>
          </cell>
          <cell r="O1366">
            <v>41883</v>
          </cell>
          <cell r="P1366" t="str">
            <v>0901-043021  JACKSON CTY/LEE'S SUMMIT OFFIC</v>
          </cell>
          <cell r="Q1366">
            <v>3766.28</v>
          </cell>
          <cell r="R1366">
            <v>2</v>
          </cell>
        </row>
        <row r="1367">
          <cell r="A1367" t="str">
            <v>003860</v>
          </cell>
          <cell r="B1367" t="str">
            <v>LDC 2</v>
          </cell>
          <cell r="D1367" t="str">
            <v>yes</v>
          </cell>
          <cell r="E1367" t="str">
            <v>20901132813</v>
          </cell>
          <cell r="F1367" t="str">
            <v>F0580</v>
          </cell>
          <cell r="G1367" t="str">
            <v>Replace steel &amp; plastic main</v>
          </cell>
          <cell r="H1367" t="str">
            <v>CNG Fueling Sta Repl w 365'-6in PE</v>
          </cell>
          <cell r="I1367" t="str">
            <v>posted to CPR</v>
          </cell>
          <cell r="J1367" t="str">
            <v>CNG Fueling Sta Repl w 365'-6in PE main: Lees Summit: Transport Drive</v>
          </cell>
          <cell r="K1367" t="str">
            <v>Approved by: Ralph Janes on 07/25/2013,  Replace 332' of 2in PE main with 365' of 6in PE main to effectively serve new CNG Fueling Station on WO# 13-2813. 6in PE service line to be installed on wo# 13-2814. 23M Rotary meter set to be built on wo# 13-2816.</v>
          </cell>
          <cell r="L1367">
            <v>41499</v>
          </cell>
          <cell r="M1367">
            <v>41564</v>
          </cell>
          <cell r="N1367">
            <v>41564.624699074098</v>
          </cell>
          <cell r="P1367" t="str">
            <v>0901-043021  JACKSON CTY/LEE'S SUMMIT OFFIC</v>
          </cell>
          <cell r="Q1367">
            <v>18089.8</v>
          </cell>
          <cell r="R1367">
            <v>960</v>
          </cell>
        </row>
        <row r="1368">
          <cell r="A1368" t="str">
            <v>003875</v>
          </cell>
          <cell r="B1368" t="str">
            <v>LDC 2</v>
          </cell>
          <cell r="D1368" t="str">
            <v>no</v>
          </cell>
          <cell r="E1368" t="str">
            <v>20901132855</v>
          </cell>
          <cell r="F1368" t="str">
            <v>F0507</v>
          </cell>
          <cell r="G1368" t="str">
            <v>Rebuild Meter Install 2'' &amp; Lg (S)</v>
          </cell>
          <cell r="H1368" t="str">
            <v>Retire RK 3000 Perkins Restaurant</v>
          </cell>
          <cell r="I1368" t="str">
            <v>posted to CPR</v>
          </cell>
          <cell r="J1368" t="str">
            <v>Retire RK 3000 Perkins Restaurant: Lees Summit: 1001 SE Hamblen Rd</v>
          </cell>
          <cell r="K1368" t="str">
            <v>Approved by: Ralph Janes on 07/31/2013,  The RK 3000 meter (meter# 00016831) at 1001 SE Hamblen Rd (premise# 2086771) is due for change out on the 2013 Time Limit Program. The existing load was gathered: 2,000 cfh. Retire the RK 3000 meter set (original WO# 91-2184) on WO# 13-2855 and downsize to an AL-1000 meter.</v>
          </cell>
          <cell r="L1368">
            <v>41493</v>
          </cell>
          <cell r="M1368">
            <v>41575</v>
          </cell>
          <cell r="N1368">
            <v>41576.418611111098</v>
          </cell>
          <cell r="P1368" t="str">
            <v>0901-043021  JACKSON CTY/LEE'S SUMMIT OFFIC</v>
          </cell>
          <cell r="Q1368">
            <v>697.69</v>
          </cell>
          <cell r="R1368">
            <v>6</v>
          </cell>
        </row>
        <row r="1369">
          <cell r="A1369" t="str">
            <v>800064</v>
          </cell>
          <cell r="B1369" t="str">
            <v>LDC 2</v>
          </cell>
          <cell r="C1369" t="str">
            <v>03 - Bare Steel Replacement</v>
          </cell>
          <cell r="D1369" t="str">
            <v>yes</v>
          </cell>
          <cell r="F1369" t="str">
            <v>F0572</v>
          </cell>
          <cell r="G1369" t="str">
            <v>Main Replacement - ISRS (SW)</v>
          </cell>
          <cell r="H1369" t="str">
            <v>Repl w/ 3152F 2-4P 48th &amp; Rangeline</v>
          </cell>
          <cell r="I1369" t="str">
            <v>in service</v>
          </cell>
          <cell r="J1369" t="str">
            <v>Install 466 Ft of 2in PL IP, 2686 Ft of 4in PL MP and abandon 117 Ft of 1.25in PL IP main, 20 Ft of 3in PL IP, 15 Ft of 4 in PL IP, 100 Ft of 1in ST IP, 2790 Ft of 3 in ST IP, and 223 Ft of 12 in ST IP main in Leawood, Mo - 48th &amp; Range Line.</v>
          </cell>
          <cell r="K1369" t="str">
            <v>Main being replaced due to cathodic protection - corrosion issues.</v>
          </cell>
          <cell r="L1369">
            <v>42668</v>
          </cell>
          <cell r="O1369">
            <v>42644</v>
          </cell>
          <cell r="P1369" t="str">
            <v>0512-066006  NEWTON CTY/LEAWOOD</v>
          </cell>
          <cell r="Q1369">
            <v>275407.5</v>
          </cell>
          <cell r="R1369">
            <v>-8551.6</v>
          </cell>
        </row>
        <row r="1370">
          <cell r="A1370" t="str">
            <v>008754</v>
          </cell>
          <cell r="B1370" t="str">
            <v>LDC 2</v>
          </cell>
          <cell r="D1370" t="str">
            <v>no</v>
          </cell>
          <cell r="E1370" t="str">
            <v>20501155392</v>
          </cell>
          <cell r="F1370" t="str">
            <v>F0657</v>
          </cell>
          <cell r="G1370" t="str">
            <v>Services - 2" &amp; larger</v>
          </cell>
          <cell r="H1370" t="str">
            <v>2 in service High School</v>
          </cell>
          <cell r="I1370" t="str">
            <v>in service</v>
          </cell>
          <cell r="J1370" t="str">
            <v>2 in service relocation to serve CJ R1 High School : Carl Junction: Replace Services 2in &amp; Larger - 3800 (42-385)  NOT REIMBURSABLE IN WOES</v>
          </cell>
          <cell r="K1370" t="str">
            <v>Approved by: Michael Fornelli on 06/17/2015,  Replace and Install 180'- 2" PE service to Carl Junction High School. To be installed in conjunction with associated meter WO. Project Location: 806 W HWZY Z; Pressure System: C-1; MOP: 40 psig; MAOP: 60 psig; Design: 100 psig; Test: 100 psig; $44.69/ft</v>
          </cell>
          <cell r="L1370">
            <v>42212</v>
          </cell>
          <cell r="O1370">
            <v>42278</v>
          </cell>
          <cell r="P1370" t="str">
            <v>0513-044020  JASPER CTY/CARL JUNCTION</v>
          </cell>
          <cell r="Q1370">
            <v>5831.92</v>
          </cell>
          <cell r="R1370">
            <v>-718</v>
          </cell>
        </row>
        <row r="1371">
          <cell r="A1371" t="str">
            <v>005686</v>
          </cell>
          <cell r="B1371" t="str">
            <v>LDC 2</v>
          </cell>
          <cell r="D1371" t="str">
            <v>no</v>
          </cell>
          <cell r="E1371" t="str">
            <v>21258143652</v>
          </cell>
          <cell r="F1371" t="str">
            <v>F0658</v>
          </cell>
          <cell r="G1371" t="str">
            <v>Services -  2" &amp; larger</v>
          </cell>
          <cell r="H1371" t="str">
            <v>5233 NW 41 MARTINREA-4in SERVICE LI</v>
          </cell>
          <cell r="I1371" t="str">
            <v>posted to CPR</v>
          </cell>
          <cell r="J1371" t="str">
            <v>5233 NW 41 MARTINREA-4in SERVICE LINE : Riverside: New Services 2&amp;quot; &amp; Larger  3800 (33-381)</v>
          </cell>
          <cell r="K1371" t="str">
            <v>Approved by: Kevin Driskell on 07/11/2014,  LAYING 540FT-4IN PE SERVICE LINE TO SERVICE 1 COMMERCIAL BUILDING. LOAD (17,230 CFH). ECONOMIC EVALUATION WILL COVER COST OF PROJECT.</v>
          </cell>
          <cell r="L1371">
            <v>41906</v>
          </cell>
          <cell r="M1371">
            <v>41943</v>
          </cell>
          <cell r="N1371">
            <v>41950.5762384259</v>
          </cell>
          <cell r="O1371">
            <v>41913</v>
          </cell>
          <cell r="P1371" t="str">
            <v>1258-075017  PLATTE CTY/RIVERSIDE</v>
          </cell>
          <cell r="Q1371">
            <v>17627.14</v>
          </cell>
          <cell r="R1371">
            <v>-1932.5</v>
          </cell>
        </row>
        <row r="1372">
          <cell r="A1372" t="str">
            <v>800308</v>
          </cell>
          <cell r="B1372" t="str">
            <v>LDC 2</v>
          </cell>
          <cell r="C1372" t="str">
            <v>08 - Cast Iron or Bare Steel Replacement - Leaks</v>
          </cell>
          <cell r="D1372" t="str">
            <v>yes</v>
          </cell>
          <cell r="F1372" t="str">
            <v>F0599</v>
          </cell>
          <cell r="G1372" t="str">
            <v>Main Replacement - ISRS (N)</v>
          </cell>
          <cell r="H1372" t="str">
            <v>Dewey and Rosine Replacement</v>
          </cell>
          <cell r="I1372" t="str">
            <v>in service</v>
          </cell>
          <cell r="J1372" t="str">
            <v>Install 347ft of 2in PE. Abandon 321ft of 3in BS at Dewey &amp; Rosine. This work is due to main leaking in nearby sewer.</v>
          </cell>
          <cell r="L1372">
            <v>42551</v>
          </cell>
          <cell r="O1372">
            <v>42522</v>
          </cell>
          <cell r="P1372" t="str">
            <v>1001-010001  ST. JOSEPH CITY/BUCHANAN</v>
          </cell>
          <cell r="Q1372">
            <v>10100.99</v>
          </cell>
          <cell r="R1372">
            <v>321</v>
          </cell>
        </row>
        <row r="1373">
          <cell r="A1373" t="str">
            <v>009228</v>
          </cell>
          <cell r="B1373" t="str">
            <v>LDC 2</v>
          </cell>
          <cell r="D1373" t="str">
            <v>yes</v>
          </cell>
          <cell r="E1373" t="str">
            <v>20910155499</v>
          </cell>
          <cell r="F1373" t="str">
            <v>F0604</v>
          </cell>
          <cell r="G1373" t="str">
            <v>Main Replacement - ISRS (S)</v>
          </cell>
          <cell r="H1373" t="str">
            <v>Replace 2/3 PBS/PCS &amp; 4in PCS</v>
          </cell>
          <cell r="I1373" t="str">
            <v>posted to CPR</v>
          </cell>
          <cell r="J1373" t="str">
            <v>Replace 2/3in PBS/PCS &amp; 4in PCS: Holden: Replace Bare Steel Main - 3760 Safety Related (34-394)</v>
          </cell>
          <cell r="K1373" t="str">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ell>
          <cell r="L1373">
            <v>42426</v>
          </cell>
          <cell r="M1373">
            <v>42491</v>
          </cell>
          <cell r="N1373">
            <v>42586.569733796299</v>
          </cell>
          <cell r="O1373">
            <v>42401</v>
          </cell>
          <cell r="P1373" t="str">
            <v>0910-046008  JOHNSON CTY/HOLDEN</v>
          </cell>
          <cell r="Q1373">
            <v>328593.06</v>
          </cell>
          <cell r="R1373">
            <v>-5533.88</v>
          </cell>
        </row>
        <row r="1374">
          <cell r="A1374" t="str">
            <v>003851</v>
          </cell>
          <cell r="B1374" t="str">
            <v>LDC 2</v>
          </cell>
          <cell r="D1374" t="str">
            <v>no</v>
          </cell>
          <cell r="E1374" t="str">
            <v>21001132539</v>
          </cell>
          <cell r="F1374" t="str">
            <v>F0588</v>
          </cell>
          <cell r="G1374" t="str">
            <v>Transportation &amp; power operated equ</v>
          </cell>
          <cell r="H1374" t="str">
            <v>Pur 2013 Ford 4x4 Utility w Crane 8</v>
          </cell>
          <cell r="I1374" t="str">
            <v>posted to CPR</v>
          </cell>
          <cell r="J1374" t="str">
            <v>Pur 2013 Ford 4x4 Utility w Crane 8cyl: St Joseph: St Joseph FOP</v>
          </cell>
          <cell r="K1374" t="str">
            <v>Approved by: Ken Thomas on 04/08/2013,  Purchase 2013 Ford 3/4 tone 4x4 Utility body with Crane, St Joseph FOP.</v>
          </cell>
          <cell r="L1374">
            <v>41425</v>
          </cell>
          <cell r="M1374">
            <v>41662</v>
          </cell>
          <cell r="N1374">
            <v>41666.581168981502</v>
          </cell>
          <cell r="P1374" t="str">
            <v>1001-010001  ST. JOSEPH CITY/BUCHANAN</v>
          </cell>
          <cell r="Q1374">
            <v>42034.54</v>
          </cell>
          <cell r="R1374">
            <v>0</v>
          </cell>
        </row>
        <row r="1375">
          <cell r="A1375" t="str">
            <v>004399</v>
          </cell>
          <cell r="B1375" t="str">
            <v>LDC 2</v>
          </cell>
          <cell r="D1375" t="str">
            <v>no</v>
          </cell>
          <cell r="E1375" t="str">
            <v>21001050308</v>
          </cell>
          <cell r="F1375" t="str">
            <v>F0488</v>
          </cell>
          <cell r="G1375" t="str">
            <v>Replace meter &amp; regulator installat</v>
          </cell>
          <cell r="H1375" t="str">
            <v>BWO-REPL METER SETS LESS 2"</v>
          </cell>
          <cell r="I1375" t="str">
            <v>open</v>
          </cell>
          <cell r="J1375" t="str">
            <v>BWO-REPL METER SETS LESS 2"</v>
          </cell>
          <cell r="K1375" t="str">
            <v>Project Type:B</v>
          </cell>
          <cell r="O1375">
            <v>41730</v>
          </cell>
          <cell r="P1375" t="str">
            <v>1001-010001  ST. JOSEPH CITY/BUCHANAN</v>
          </cell>
          <cell r="Q1375">
            <v>249505.21</v>
          </cell>
          <cell r="R1375">
            <v>116166.5</v>
          </cell>
        </row>
        <row r="1376">
          <cell r="A1376" t="str">
            <v>011135</v>
          </cell>
          <cell r="B1376" t="str">
            <v>LDC 2</v>
          </cell>
          <cell r="D1376" t="str">
            <v>no</v>
          </cell>
          <cell r="F1376" t="str">
            <v>F1071</v>
          </cell>
          <cell r="G1376" t="str">
            <v>MGE Misc Capital</v>
          </cell>
          <cell r="H1376" t="str">
            <v>Lathrop- Window AC Replacement</v>
          </cell>
          <cell r="I1376" t="str">
            <v>in service</v>
          </cell>
          <cell r="J1376" t="str">
            <v>Remove/dispose existing Air Conditioner unit and install new 24,000 BTU window AC with remote at Lathrop facility.</v>
          </cell>
          <cell r="K1376" t="str">
            <v>Nothing on books to retire - AMM</v>
          </cell>
          <cell r="L1376">
            <v>42582</v>
          </cell>
          <cell r="O1376">
            <v>42614</v>
          </cell>
          <cell r="P1376" t="str">
            <v>1235-021004  CLINTON CTY/LATHROP</v>
          </cell>
          <cell r="Q1376">
            <v>2848.69</v>
          </cell>
          <cell r="R1376">
            <v>2650</v>
          </cell>
        </row>
        <row r="1377">
          <cell r="A1377" t="str">
            <v>011239</v>
          </cell>
          <cell r="B1377" t="str">
            <v>LDC 2</v>
          </cell>
          <cell r="D1377" t="str">
            <v>yes</v>
          </cell>
          <cell r="F1377" t="str">
            <v>F1191</v>
          </cell>
          <cell r="G1377" t="str">
            <v>Station Rebuild &amp; Repl ISRS (S)</v>
          </cell>
          <cell r="H1377" t="str">
            <v>SCADA Measuring Point-Hwy 291</v>
          </cell>
          <cell r="I1377" t="str">
            <v>open</v>
          </cell>
          <cell r="J1377" t="str">
            <v>Add a SCADA measuring point to the 20" piping bridge replacement project on Hwy 291. The flow analysis information will be useful to the operational/planning needs of Gas Supply and System Planning Departments.</v>
          </cell>
          <cell r="K1377" t="str">
            <v>Related WOs 800024 and 800528</v>
          </cell>
          <cell r="P1377" t="str">
            <v>1241-020001  CLAY CTY/LIBERTY</v>
          </cell>
          <cell r="Q1377">
            <v>34050.800000000003</v>
          </cell>
          <cell r="R1377">
            <v>10</v>
          </cell>
        </row>
        <row r="1378">
          <cell r="A1378" t="str">
            <v>800112</v>
          </cell>
          <cell r="B1378" t="str">
            <v>LDC 2</v>
          </cell>
          <cell r="C1378" t="str">
            <v>03 - Bare Steel Replacement</v>
          </cell>
          <cell r="D1378" t="str">
            <v>yes</v>
          </cell>
          <cell r="F1378" t="str">
            <v>F0599</v>
          </cell>
          <cell r="G1378" t="str">
            <v>Main Replacement - ISRS (N)</v>
          </cell>
          <cell r="H1378" t="str">
            <v>Liberty - Grid Phase C</v>
          </cell>
          <cell r="I1378" t="str">
            <v>open</v>
          </cell>
          <cell r="J1378" t="str">
            <v>Install 985 Ft of 2 in PL IP main for Liberty Grid Phase C. Abandon 710 Ft of 2 in ST and 387 Ft of 4 in ST LP main. Uprate 620 Ft of 2 in PL and 1859 Ft of 3 in ST LP main to IP. FY 2016 Bare Steel Main Replacement Program.</v>
          </cell>
          <cell r="P1378" t="str">
            <v>1207-020001  CLAY CTY/LIBERTY</v>
          </cell>
          <cell r="Q1378">
            <v>131213.71</v>
          </cell>
          <cell r="R1378">
            <v>-3857.5</v>
          </cell>
        </row>
        <row r="1379">
          <cell r="A1379" t="str">
            <v>003857</v>
          </cell>
          <cell r="B1379" t="str">
            <v>LDC 2</v>
          </cell>
          <cell r="D1379" t="str">
            <v>no</v>
          </cell>
          <cell r="E1379" t="str">
            <v>21207132667</v>
          </cell>
          <cell r="F1379" t="str">
            <v>F0542</v>
          </cell>
          <cell r="G1379" t="str">
            <v>New District Regulator Stations (N)</v>
          </cell>
          <cell r="H1379" t="str">
            <v>Hwy 33 &amp; Lightburne New DRS 750</v>
          </cell>
          <cell r="I1379" t="str">
            <v>posted to CPR</v>
          </cell>
          <cell r="J1379" t="str">
            <v>Hwy 33 &amp; Lightburne New DRS 750: Liberty: NE LIGHTBURNE RD/HWY 33</v>
          </cell>
          <cell r="K1379" t="str">
            <v>Approved by: Kevin Driskell on 05/30/2013,  BUILD NEW DISTRICT REGULATOR STATION #750; IN ORDER TO SERVE NEW CHURCH NEEDING 7in W.C. PRESSURE.  THIS W.O. GOES WITH 13-2626 LIBERTY UNITED METHODIST CHURCH.  COORDINATE ALL WORK W/ TOM MCGILL OF P&amp;M.  THIS DRS WILL UTILIZE (2) REGULATORS-ROCKWELL/EQUIMETER/CENSUS 461-57S  125 LB FL BODY 2in - WITH 11/16in SINGLE VALVE AND 11/16in DOUBLE VALVE.  FISHER RELIEF VALVE (289H-44)1&amp;quot; WILL HAVE 15-50# FOR RELIEF VALVE.  DISTRICT REGULATOR STATION #750 WILL OPERATE AT: MAOP-58#, MOP-25#, MINOP-25#.  RELIEF VALVE-28#, MONITOR-30#, OPERATOR-25#.  2in TF STEEL MAIN WILL TIE-IN OFF EXISTING 6in PC STEEL(71-4740) ON EXISTING SYSTEM WITH MOP-80#, MAOP-100#, S-031 SYSTEM.  OUTLET OF S-750 WILL HAVE MOP-25#, MAOP-58#.</v>
          </cell>
          <cell r="L1379">
            <v>41625</v>
          </cell>
          <cell r="M1379">
            <v>41670</v>
          </cell>
          <cell r="N1379">
            <v>41677.509733796302</v>
          </cell>
          <cell r="O1379">
            <v>41730</v>
          </cell>
          <cell r="P1379" t="str">
            <v>1207-020001  CLAY CTY/LIBERTY</v>
          </cell>
          <cell r="Q1379">
            <v>24862.74</v>
          </cell>
          <cell r="R1379">
            <v>288.89999999999998</v>
          </cell>
        </row>
        <row r="1380">
          <cell r="A1380" t="str">
            <v>004259</v>
          </cell>
          <cell r="B1380" t="str">
            <v>LDC 2</v>
          </cell>
          <cell r="D1380" t="str">
            <v>yes</v>
          </cell>
          <cell r="E1380" t="str">
            <v>21207132922</v>
          </cell>
          <cell r="F1380" t="str">
            <v>F0587</v>
          </cell>
          <cell r="G1380" t="str">
            <v>Services - 2" &amp; larger</v>
          </cell>
          <cell r="H1380" t="str">
            <v>HOLLAND 1916 INC-REPL-4IN SERVLINE</v>
          </cell>
          <cell r="I1380" t="str">
            <v>posted to CPR</v>
          </cell>
          <cell r="J1380" t="str">
            <v>HOLLAND 1916 INC-REPL-4IN SERVLINE: Liberty: 2901 HEARTLAND DR</v>
          </cell>
          <cell r="K1380" t="str">
            <v>Approved by: Kevin Driskell on 09/18/2013,  REPLACING - 14ft-1in cs and 482ft-1-1/4 pe service with 100ft - 4in th film to first cut, 430ft- 4in pe service line  due to commercial account adding addtional load (20,000 cfh). ECONOMIC EVALUATION WILL COVER COST OF PROJECT.</v>
          </cell>
          <cell r="L1380">
            <v>41626</v>
          </cell>
          <cell r="M1380">
            <v>41698</v>
          </cell>
          <cell r="N1380">
            <v>41704.711631944403</v>
          </cell>
          <cell r="O1380">
            <v>41730</v>
          </cell>
          <cell r="P1380" t="str">
            <v>1207-020001  CLAY CTY/LIBERTY</v>
          </cell>
          <cell r="Q1380">
            <v>19070.349999999999</v>
          </cell>
          <cell r="R1380">
            <v>648.29999999999995</v>
          </cell>
        </row>
        <row r="1381">
          <cell r="A1381" t="str">
            <v>012716</v>
          </cell>
          <cell r="B1381" t="str">
            <v>LDC 2</v>
          </cell>
          <cell r="D1381" t="str">
            <v>no</v>
          </cell>
          <cell r="F1381" t="str">
            <v>F0639</v>
          </cell>
          <cell r="G1381" t="str">
            <v>EGM Equip-1st Time Installation</v>
          </cell>
          <cell r="H1381" t="str">
            <v>EGM - Walmart (Cameron N Walnut)</v>
          </cell>
          <cell r="I1381" t="str">
            <v>open</v>
          </cell>
          <cell r="J1381" t="str">
            <v>Mini-Max AT-PT Corrector for Walmart at 2000 N Walnut St to monitor daily gas usage. Customer will reimburse company actual cost for EGM installation not to exceed $5,445.</v>
          </cell>
          <cell r="K1381" t="str">
            <v>meter no 008192863</v>
          </cell>
          <cell r="P1381" t="str">
            <v>1219-021001  CLINTON CTY/CAMERON</v>
          </cell>
          <cell r="Q1381">
            <v>1971.95</v>
          </cell>
          <cell r="R1381">
            <v>1</v>
          </cell>
        </row>
        <row r="1382">
          <cell r="A1382" t="str">
            <v>800615</v>
          </cell>
          <cell r="B1382" t="str">
            <v>LDC 2</v>
          </cell>
          <cell r="D1382" t="str">
            <v>no</v>
          </cell>
          <cell r="F1382" t="str">
            <v>F0673</v>
          </cell>
          <cell r="G1382" t="str">
            <v>New Main Extensions (S)</v>
          </cell>
          <cell r="H1382" t="str">
            <v>Install 410F 2P 1460 NW Olympic A</v>
          </cell>
          <cell r="I1382" t="str">
            <v>in service</v>
          </cell>
          <cell r="J1382" t="str">
            <v>Install ~410 Ft of 2 PL IP Main - KC Industrial Park - Olympic Bldg  Install  2 service lines. Each line is ~165 Ft of 1-1/4 PL Service, with 2" Flanged Risers. CFH= 3,800.</v>
          </cell>
          <cell r="L1382">
            <v>42655</v>
          </cell>
          <cell r="O1382">
            <v>42644</v>
          </cell>
          <cell r="P1382" t="str">
            <v>0925-043035  JACKSON CTY/GRAIN VALLEY</v>
          </cell>
          <cell r="Q1382">
            <v>17112.05</v>
          </cell>
          <cell r="R1382">
            <v>-635</v>
          </cell>
        </row>
        <row r="1383">
          <cell r="A1383" t="str">
            <v>003876</v>
          </cell>
          <cell r="B1383" t="str">
            <v>LDC 2</v>
          </cell>
          <cell r="D1383" t="str">
            <v>yes</v>
          </cell>
          <cell r="E1383" t="str">
            <v>21274132678</v>
          </cell>
          <cell r="F1383" t="str">
            <v>F0547</v>
          </cell>
          <cell r="G1383" t="str">
            <v>Street &amp; Highway Relocates ISRS (N)</v>
          </cell>
          <cell r="H1383" t="str">
            <v>NE 68th Reloc PCS w 682'-4in PE mai</v>
          </cell>
          <cell r="I1383" t="str">
            <v>posted to CPR</v>
          </cell>
          <cell r="J1383" t="str">
            <v>NE 68th Reloc PCS w 682'-4in PE main: Gladstone: NE 68th and Woodland Ave. Gladstone</v>
          </cell>
          <cell r="K1383" t="str">
            <v>Approved by: Gary Williams on 10/15/2013,  To relocate 625'-3in gas main due to drainage improvements by the city of Gladstone. 682'-4in PE (WO 13-2678) will be used to replace the 3in PCS. (Original work orders - 80' 66-2514 / 200' 66-4278 / 120' 66-0042 / 115' 68-6171 / 110' 66-3670).</v>
          </cell>
          <cell r="L1383">
            <v>41603</v>
          </cell>
          <cell r="M1383">
            <v>41654</v>
          </cell>
          <cell r="N1383">
            <v>41654.603981481501</v>
          </cell>
          <cell r="O1383">
            <v>41730</v>
          </cell>
          <cell r="P1383" t="str">
            <v>1274-020045  CLAY CTY/GLADSTONE</v>
          </cell>
          <cell r="Q1383">
            <v>58864.73</v>
          </cell>
          <cell r="R1383">
            <v>2439.1</v>
          </cell>
        </row>
        <row r="1384">
          <cell r="A1384" t="str">
            <v>007193</v>
          </cell>
          <cell r="B1384" t="str">
            <v>LDC 2</v>
          </cell>
          <cell r="D1384" t="str">
            <v>no</v>
          </cell>
          <cell r="E1384" t="str">
            <v>20101144030</v>
          </cell>
          <cell r="F1384" t="str">
            <v>F0577</v>
          </cell>
          <cell r="G1384" t="str">
            <v>ERT Purchases</v>
          </cell>
          <cell r="H1384" t="str">
            <v>Purchase 10000 Erts July 2015</v>
          </cell>
          <cell r="I1384" t="str">
            <v>posted to CPR</v>
          </cell>
          <cell r="J1384" t="str">
            <v>Purchase 10000 Erts July 2015: Kansas City CORP: Purchase ERT (Electronic Reading Transmitter)  3971 (32-312)</v>
          </cell>
          <cell r="K1384" t="str">
            <v>Approved by: Steve Holcomb on 12/08/2014,  Ert Change Out Program.</v>
          </cell>
          <cell r="L1384">
            <v>42128</v>
          </cell>
          <cell r="M1384">
            <v>42461</v>
          </cell>
          <cell r="N1384">
            <v>42496.560150463003</v>
          </cell>
          <cell r="O1384">
            <v>42186</v>
          </cell>
          <cell r="P1384" t="str">
            <v>1904-043050  JACKSON CTY/KC</v>
          </cell>
          <cell r="Q1384">
            <v>385560</v>
          </cell>
          <cell r="R1384">
            <v>10000</v>
          </cell>
        </row>
        <row r="1385">
          <cell r="A1385" t="str">
            <v>003782</v>
          </cell>
          <cell r="B1385" t="str">
            <v>LDC 2</v>
          </cell>
          <cell r="D1385" t="str">
            <v>no</v>
          </cell>
          <cell r="E1385" t="str">
            <v>21904143397</v>
          </cell>
          <cell r="F1385" t="str">
            <v>F0577</v>
          </cell>
          <cell r="G1385" t="str">
            <v>ERT Purchases</v>
          </cell>
          <cell r="H1385" t="str">
            <v>Purc 5000 100G Erts Pepl Program Se</v>
          </cell>
          <cell r="I1385" t="str">
            <v>posted to CPR</v>
          </cell>
          <cell r="J1385" t="str">
            <v>Purc 5000 100G Erts Pepl Program September 2014: Kansas City CORP: Central Plant Meter Shop</v>
          </cell>
          <cell r="K1385" t="str">
            <v>Approved by: Steve Lindsey on 03/18/2014,  Purchase domestic 100G Am Erts 5198300 Rk 5198310 for the Ert Replacement Program.</v>
          </cell>
          <cell r="L1385">
            <v>41912</v>
          </cell>
          <cell r="M1385">
            <v>41944</v>
          </cell>
          <cell r="N1385">
            <v>41978.592187499999</v>
          </cell>
          <cell r="O1385">
            <v>41883</v>
          </cell>
          <cell r="P1385" t="str">
            <v>1904-043050  JACKSON CTY/KC</v>
          </cell>
          <cell r="Q1385">
            <v>222780</v>
          </cell>
          <cell r="R1385">
            <v>5000</v>
          </cell>
        </row>
        <row r="1386">
          <cell r="A1386" t="str">
            <v>004581</v>
          </cell>
          <cell r="B1386" t="str">
            <v>LDC 2</v>
          </cell>
          <cell r="D1386" t="str">
            <v>no</v>
          </cell>
          <cell r="E1386" t="str">
            <v>21904132978</v>
          </cell>
          <cell r="F1386" t="str">
            <v>F0577</v>
          </cell>
          <cell r="G1386" t="str">
            <v>ERT Purchases</v>
          </cell>
          <cell r="H1386" t="str">
            <v>Pur Itron 700 Commerical Erts</v>
          </cell>
          <cell r="I1386" t="str">
            <v>posted to CPR</v>
          </cell>
          <cell r="J1386" t="str">
            <v>Pur Itron 700 Commerical Erts: Kansas City CORP: Meter Shop Central Plant</v>
          </cell>
          <cell r="K1386" t="str">
            <v>Approved by: Steve Holcomb on 09/23/2013,  Purchase new erts for stock.Ert Senses/Rockwell Commerical 5198500 and American Commerical 5198400.</v>
          </cell>
          <cell r="L1386">
            <v>41578</v>
          </cell>
          <cell r="M1386">
            <v>41608</v>
          </cell>
          <cell r="N1386">
            <v>41612.300092592603</v>
          </cell>
          <cell r="P1386" t="str">
            <v>1904-043050  JACKSON CTY/KC</v>
          </cell>
          <cell r="Q1386">
            <v>51475.5</v>
          </cell>
          <cell r="R1386">
            <v>0</v>
          </cell>
        </row>
        <row r="1387">
          <cell r="A1387" t="str">
            <v>007530</v>
          </cell>
          <cell r="B1387" t="str">
            <v>LDC 2</v>
          </cell>
          <cell r="D1387" t="str">
            <v>yes</v>
          </cell>
          <cell r="E1387" t="str">
            <v>21271155078</v>
          </cell>
          <cell r="F1387" t="str">
            <v>F0501</v>
          </cell>
          <cell r="G1387" t="str">
            <v>Station rebuild &amp; replacement</v>
          </cell>
          <cell r="H1387" t="str">
            <v>Rebuild DRS 607</v>
          </cell>
          <cell r="I1387" t="str">
            <v>posted to CPR</v>
          </cell>
          <cell r="J1387" t="str">
            <v>Rebuild DRS 607: Kansas City-Clay Co: Rebuild District/TB Stations  3780/3790 (45-387)</v>
          </cell>
          <cell r="K1387" t="str">
            <v>Approved by: Gary Williams on 01/29/2015,  Replace DRS 607 due to leaks, it currently has 2 settings for the monitor and operator. Rebuild so that operator and monitor are in one setting. Inlet system C-015 90 psig. Outlet system S-607 25 psig.</v>
          </cell>
          <cell r="L1387">
            <v>42111</v>
          </cell>
          <cell r="M1387">
            <v>42217</v>
          </cell>
          <cell r="N1387">
            <v>42496.433680555601</v>
          </cell>
          <cell r="O1387">
            <v>42156</v>
          </cell>
          <cell r="P1387" t="str">
            <v>1271-020036  CLAY CTY/KANSAS CITY</v>
          </cell>
          <cell r="Q1387">
            <v>14972.87</v>
          </cell>
          <cell r="R1387">
            <v>-190</v>
          </cell>
        </row>
        <row r="1388">
          <cell r="A1388" t="str">
            <v>004972</v>
          </cell>
          <cell r="B1388" t="str">
            <v>LDC 2</v>
          </cell>
          <cell r="D1388" t="str">
            <v>yes</v>
          </cell>
          <cell r="E1388" t="str">
            <v>21272143466</v>
          </cell>
          <cell r="F1388" t="str">
            <v>F0612</v>
          </cell>
          <cell r="G1388" t="str">
            <v>Services - 2" &amp; larger - safety</v>
          </cell>
          <cell r="H1388" t="str">
            <v>101 E 9th Repl CS w 2in PE Service</v>
          </cell>
          <cell r="I1388" t="str">
            <v>posted to CPR</v>
          </cell>
          <cell r="J1388" t="str">
            <v>101 E 9th Repl CS w 2in PE Service Line : North Kansas City: Replace Services 2&amp;quot; &amp; Larger - Safety Prgm - 3800 (42-386)</v>
          </cell>
          <cell r="K1388" t="str">
            <v>Approved by: Kevin Driskell on 04/08/2014,  REPLACING 160ft-2in cs service line with 2in pe service line. Due to leak on service line.</v>
          </cell>
          <cell r="L1388">
            <v>41751</v>
          </cell>
          <cell r="M1388">
            <v>41820</v>
          </cell>
          <cell r="N1388">
            <v>41887.681863425903</v>
          </cell>
          <cell r="O1388">
            <v>41760</v>
          </cell>
          <cell r="P1388" t="str">
            <v>1272-020043  CLAY CTY/NORTH KANSAS CITY</v>
          </cell>
          <cell r="Q1388">
            <v>2212.48</v>
          </cell>
          <cell r="R1388">
            <v>-131</v>
          </cell>
        </row>
        <row r="1389">
          <cell r="A1389" t="str">
            <v>008363</v>
          </cell>
          <cell r="B1389" t="str">
            <v>LDC 2</v>
          </cell>
          <cell r="D1389" t="str">
            <v>no</v>
          </cell>
          <cell r="E1389" t="str">
            <v>21272155328</v>
          </cell>
          <cell r="F1389" t="str">
            <v>F0587</v>
          </cell>
          <cell r="G1389" t="str">
            <v>Services - 2" &amp; larger</v>
          </cell>
          <cell r="H1389" t="str">
            <v>2inch Service Abandonment</v>
          </cell>
          <cell r="I1389" t="str">
            <v>posted to CPR</v>
          </cell>
          <cell r="J1389" t="str">
            <v>2inch Service Abandonment: North Kansas City: Replace Services 2&amp;quot; &amp; Larger - 3800 (42-385)</v>
          </cell>
          <cell r="K1389" t="str">
            <v>Approved by: Ray Wilson on 04/30/2015,  Abandon 112' of 2" PCS service no longer needed. No Service card on file.</v>
          </cell>
          <cell r="L1389">
            <v>42122</v>
          </cell>
          <cell r="M1389">
            <v>42248</v>
          </cell>
          <cell r="N1389">
            <v>42284.723564814798</v>
          </cell>
          <cell r="P1389" t="str">
            <v>1272-020043  CLAY CTY/NORTH KANSAS CITY</v>
          </cell>
          <cell r="Q1389">
            <v>886.14</v>
          </cell>
          <cell r="R1389">
            <v>121</v>
          </cell>
        </row>
        <row r="1390">
          <cell r="A1390" t="str">
            <v>013554</v>
          </cell>
          <cell r="B1390" t="str">
            <v>LDC 2</v>
          </cell>
          <cell r="D1390" t="str">
            <v>no</v>
          </cell>
          <cell r="F1390" t="str">
            <v>F1370</v>
          </cell>
          <cell r="G1390" t="str">
            <v>MGE Misc IT Hardware/Software</v>
          </cell>
          <cell r="H1390" t="str">
            <v>AV Equipment for Kansas City</v>
          </cell>
          <cell r="I1390" t="str">
            <v>open</v>
          </cell>
          <cell r="J1390" t="str">
            <v>Provide funds to purchase four replacement projectors and a video cart for the Kansas City Central and Lee's Summit locations. The projectors were on lease and have been returned to the supplier. The video cart is additional hardware and will allow portable AV functionality in Kansas City.</v>
          </cell>
          <cell r="P1390" t="str">
            <v>0401-043050  JACKSON CTY/KC</v>
          </cell>
          <cell r="Q1390">
            <v>29233.759999999998</v>
          </cell>
          <cell r="R1390">
            <v>0</v>
          </cell>
        </row>
        <row r="1391">
          <cell r="A1391" t="str">
            <v>800794</v>
          </cell>
          <cell r="B1391" t="str">
            <v>LDC 2</v>
          </cell>
          <cell r="C1391" t="str">
            <v>01 - Cast Iron Strategic Replacement</v>
          </cell>
          <cell r="D1391" t="str">
            <v>yes</v>
          </cell>
          <cell r="F1391" t="str">
            <v>F0599</v>
          </cell>
          <cell r="G1391" t="str">
            <v>Main Replacement - ISRS (N)</v>
          </cell>
          <cell r="H1391" t="str">
            <v>Inst 5455F 12P Header Dunn Park&amp;71</v>
          </cell>
          <cell r="I1391" t="str">
            <v>open</v>
          </cell>
          <cell r="J1391" t="str">
            <v>Install 5390 Ft of 12 in PL LP header main, 60 Ft of 4 in PL IP main, and 5 Ft of 2 in PL IP main on Troost Ave and 67th Street in between 63rd Street and 67th Street; as well as in between Troost Ave and Woodland Ave. Phase 1A</v>
          </cell>
          <cell r="K1391" t="str">
            <v>Total Service Tie-over = 8; Total Service Replacement = 6; Total Service Abandoned = 3;   This main is being installed as part of FY17 Cast Iron Replacement Program. Note: related cast iron main abandonments will be done in a later phase when the reg station is abandoned</v>
          </cell>
          <cell r="P1391" t="str">
            <v>0401-043050  JACKSON CTY/KC</v>
          </cell>
          <cell r="Q1391">
            <v>19883.650000000001</v>
          </cell>
          <cell r="R1391">
            <v>-7018</v>
          </cell>
        </row>
        <row r="1392">
          <cell r="A1392" t="str">
            <v>800159</v>
          </cell>
          <cell r="B1392" t="str">
            <v>LDC 2</v>
          </cell>
          <cell r="C1392" t="str">
            <v>01 - Cast Iron Strategic Replacement</v>
          </cell>
          <cell r="D1392" t="str">
            <v>yes</v>
          </cell>
          <cell r="F1392" t="str">
            <v>F0599</v>
          </cell>
          <cell r="G1392" t="str">
            <v>Main Replacement - ISRS (N)</v>
          </cell>
          <cell r="H1392" t="str">
            <v>N Budd Park CI Repl Phase 1H</v>
          </cell>
          <cell r="I1392" t="str">
            <v>open</v>
          </cell>
          <cell r="J1392" t="str">
            <v>Install 4773 Ft of 2 in and 118 Ft of 4 in PL IP main for N Budd Park Phase 1H.  Abandon 150 Ft of 2 in PL, 125 Ft of 2 in ST, 561 Ft of 4 in CI, 1992 Ft of 6 CI and 2304 ft of 8 in CI LP main.</v>
          </cell>
          <cell r="K1392" t="str">
            <v>This main is being replaced as part of FY16 Cast Iron Replacement Program.
Uprate ~1260 Ft of 2 in PL LP main on N Chouteau Traffic Way.
Total Service Tie-over = 105; Total Service Abandoned = 15; Total Service Replace = 35; Total Service Upgrade = 0.</v>
          </cell>
          <cell r="P1392" t="str">
            <v>0401-043050  JACKSON CTY/KC</v>
          </cell>
          <cell r="Q1392">
            <v>0</v>
          </cell>
          <cell r="R1392">
            <v>5132</v>
          </cell>
        </row>
        <row r="1393">
          <cell r="A1393" t="str">
            <v>010053</v>
          </cell>
          <cell r="B1393" t="str">
            <v>LDC 2</v>
          </cell>
          <cell r="D1393" t="str">
            <v>no</v>
          </cell>
          <cell r="F1393" t="str">
            <v>F0639</v>
          </cell>
          <cell r="G1393" t="str">
            <v>EGM Equip-1st Time Installation</v>
          </cell>
          <cell r="H1393" t="str">
            <v>EGM Cerner Properties -Three Trls</v>
          </cell>
          <cell r="I1393" t="str">
            <v>open</v>
          </cell>
          <cell r="J1393" t="str">
            <v>Mini AT-PT Corrector for Cerner Properties Inc. Three Trails Campus, 9091 Hillcrest Rd, KCMO to monitor daily gas usage.  Customer will reimburse company actual cost for EGM installation not to exceed $5,445.</v>
          </cell>
          <cell r="P1393" t="str">
            <v>0401-043050  JACKSON CTY/KC</v>
          </cell>
          <cell r="Q1393">
            <v>2479.3000000000002</v>
          </cell>
          <cell r="R1393">
            <v>9</v>
          </cell>
        </row>
        <row r="1394">
          <cell r="A1394" t="str">
            <v>008431</v>
          </cell>
          <cell r="B1394" t="str">
            <v>LDC 2</v>
          </cell>
          <cell r="D1394" t="str">
            <v>no</v>
          </cell>
          <cell r="F1394" t="str">
            <v>F0950</v>
          </cell>
          <cell r="G1394" t="str">
            <v>Power Operated Eq - MGE</v>
          </cell>
          <cell r="H1394" t="str">
            <v>Purchase 1 Welder MGE</v>
          </cell>
          <cell r="I1394" t="str">
            <v>posted to CPR</v>
          </cell>
          <cell r="J1394" t="str">
            <v>Purchase 1 Welder MGE</v>
          </cell>
          <cell r="L1394">
            <v>42277</v>
          </cell>
          <cell r="M1394">
            <v>42400</v>
          </cell>
          <cell r="N1394">
            <v>42467.490636574097</v>
          </cell>
          <cell r="O1394">
            <v>42339</v>
          </cell>
          <cell r="P1394" t="str">
            <v>0401-043050  JACKSON CTY/KC</v>
          </cell>
          <cell r="Q1394">
            <v>15804.09</v>
          </cell>
          <cell r="R1394">
            <v>1</v>
          </cell>
        </row>
        <row r="1395">
          <cell r="A1395" t="str">
            <v>007923</v>
          </cell>
          <cell r="B1395" t="str">
            <v>LDC 2</v>
          </cell>
          <cell r="D1395" t="str">
            <v>no</v>
          </cell>
          <cell r="E1395" t="str">
            <v>20401155240</v>
          </cell>
          <cell r="F1395" t="str">
            <v>F0538</v>
          </cell>
          <cell r="G1395" t="str">
            <v>Other Communication Costs</v>
          </cell>
          <cell r="H1395" t="str">
            <v>Equipment/Tool - KCMO</v>
          </cell>
          <cell r="I1395" t="str">
            <v>in service</v>
          </cell>
          <cell r="J1395" t="str">
            <v>Equipment/Tool - KCMO: Kansas City-Jackson: Install RTU Equipment - First Time Installation  3970 (41-414)</v>
          </cell>
          <cell r="K1395" t="str">
            <v>Approved by: Gary Williams on 03/19/2015,  Experitec Quote #JDM-150309-144133 - Purchase 1) Hart Scientific Smart Transmitter Programmer - Rosemount, Model 475 Field COmmunicator - Trade In Promo - Cost $5,171.20</v>
          </cell>
          <cell r="L1395">
            <v>42443</v>
          </cell>
          <cell r="O1395">
            <v>42461</v>
          </cell>
          <cell r="P1395" t="str">
            <v>0401-043050  JACKSON CTY/KC</v>
          </cell>
          <cell r="Q1395">
            <v>5647.56</v>
          </cell>
          <cell r="R1395">
            <v>1</v>
          </cell>
        </row>
        <row r="1396">
          <cell r="A1396" t="str">
            <v>005953</v>
          </cell>
          <cell r="B1396" t="str">
            <v>LDC 2</v>
          </cell>
          <cell r="D1396" t="str">
            <v>no</v>
          </cell>
          <cell r="E1396" t="str">
            <v>20401143454</v>
          </cell>
          <cell r="F1396" t="str">
            <v>F0610</v>
          </cell>
          <cell r="G1396" t="str">
            <v>New business</v>
          </cell>
          <cell r="H1396" t="str">
            <v>City of KC City CNG Station Main Ex</v>
          </cell>
          <cell r="I1396" t="str">
            <v>posted to CPR</v>
          </cell>
          <cell r="J1396" t="str">
            <v>City of Kansas City CNG Station: Kansas City-Jackson: New Main Extension - Contractor Crews  3760 (33-380)</v>
          </cell>
          <cell r="K1396" t="str">
            <v>Approved by: Gary Williams on 08/11/2014,  This work order is necessary to serve City of Kansas City CNG Station requiring additional pressure. The existing 4in steel main is dressered together so Laclede/MGE has elected to remove DRS 354 (WO#14-3719) and replace existing main abandonment (WO#143721). Pressure test new main 225PSIG. Per Susan Marx in Sales, the economic evaluation more than covers the cost of the main replacement.</v>
          </cell>
          <cell r="L1396">
            <v>41914</v>
          </cell>
          <cell r="M1396">
            <v>41943</v>
          </cell>
          <cell r="N1396">
            <v>42041.669305555602</v>
          </cell>
          <cell r="O1396">
            <v>41913</v>
          </cell>
          <cell r="P1396" t="str">
            <v>0401-043050  JACKSON CTY/KC</v>
          </cell>
          <cell r="Q1396">
            <v>87692.15</v>
          </cell>
          <cell r="R1396">
            <v>-1486</v>
          </cell>
        </row>
        <row r="1397">
          <cell r="A1397" t="str">
            <v>006746</v>
          </cell>
          <cell r="B1397" t="str">
            <v>LDC 2</v>
          </cell>
          <cell r="D1397" t="str">
            <v>no</v>
          </cell>
          <cell r="E1397" t="str">
            <v>20401143912</v>
          </cell>
          <cell r="F1397" t="str">
            <v>F0639</v>
          </cell>
          <cell r="G1397" t="str">
            <v>EGM Equip-1st Time Installation</v>
          </cell>
          <cell r="H1397" t="str">
            <v>EGM - Americare Systems Inc, dba Su</v>
          </cell>
          <cell r="I1397" t="str">
            <v>in service</v>
          </cell>
          <cell r="J1397" t="str">
            <v>EGM - Americare Systems Inc, dba Summit View Terr: Kansas City-Jackson: Install EGM Equipment - First Time Installation  3850 (32-403)</v>
          </cell>
          <cell r="K1397" t="str">
            <v>Approved by: Rob Kitterman on 10/23/2014,  Install Mercury MiniMax-AT-PT (S/N: 13094592) with CNI-2 on Romet 7000 ID meter no 00862580 to monitor daily gas usage of this transportation customer. Customer will reimburse company actual cost for EGM installation not to exceed $5,445.00, which should be coded to account 1072. ATTENTION: Plant &amp; Property Accounting, EGM work order, turn off A&amp;G indicator.</v>
          </cell>
          <cell r="L1397">
            <v>42443</v>
          </cell>
          <cell r="O1397">
            <v>42430</v>
          </cell>
          <cell r="P1397" t="str">
            <v>0401-043050  JACKSON CTY/KC</v>
          </cell>
          <cell r="Q1397">
            <v>-7.25</v>
          </cell>
          <cell r="R1397">
            <v>35</v>
          </cell>
        </row>
        <row r="1398">
          <cell r="A1398" t="str">
            <v>006712</v>
          </cell>
          <cell r="B1398" t="str">
            <v>LDC 2</v>
          </cell>
          <cell r="D1398" t="str">
            <v>no</v>
          </cell>
          <cell r="E1398" t="str">
            <v>20401143880</v>
          </cell>
          <cell r="F1398" t="str">
            <v>F0597</v>
          </cell>
          <cell r="G1398" t="str">
            <v>Other</v>
          </cell>
          <cell r="H1398" t="str">
            <v>CNG Corrector</v>
          </cell>
          <cell r="I1398" t="str">
            <v>posted to CPR</v>
          </cell>
          <cell r="J1398" t="str">
            <v>CNG Corrector: Kansas City-Jackson: Other Measurement Capital Expenses  3810/3820 (32-408)</v>
          </cell>
          <cell r="K1398" t="str">
            <v>Approved by: Rob Kitterman on 10/15/2014,  This work is necessary to purchase ERT/ corrector equipment for the CNG station for the city of Kansas City.</v>
          </cell>
          <cell r="L1398">
            <v>41974</v>
          </cell>
          <cell r="M1398">
            <v>42248</v>
          </cell>
          <cell r="N1398">
            <v>42270.488680555602</v>
          </cell>
          <cell r="O1398">
            <v>41974</v>
          </cell>
          <cell r="P1398" t="str">
            <v>0401-043050  JACKSON CTY/KC</v>
          </cell>
          <cell r="Q1398">
            <v>2274.7800000000002</v>
          </cell>
          <cell r="R1398">
            <v>21</v>
          </cell>
        </row>
        <row r="1399">
          <cell r="A1399" t="str">
            <v>005790</v>
          </cell>
          <cell r="B1399" t="str">
            <v>LDC 2</v>
          </cell>
          <cell r="D1399" t="str">
            <v>no</v>
          </cell>
          <cell r="E1399" t="str">
            <v>20401143700</v>
          </cell>
          <cell r="F1399" t="str">
            <v>F0588</v>
          </cell>
          <cell r="G1399" t="str">
            <v>Transportation &amp; power operated equ</v>
          </cell>
          <cell r="H1399" t="str">
            <v>PUR-2 WELLS CARGO EXPRESS WAGON TRA</v>
          </cell>
          <cell r="I1399" t="str">
            <v>posted to CPR</v>
          </cell>
          <cell r="J1399" t="str">
            <v>PUR-2 WELLS CARGO EXPRESS WAGON TRAILER: Kansas City-Jackson: Transportation/Power Operated Equip 392/396 (50-908)</v>
          </cell>
          <cell r="K1399" t="str">
            <v>Approved by: Gary Williams on 07/28/2014,  PURCHASE-2 WELLSCARGO EXPRESS WAGON ENCLOSED TRAILER EW1622. THESE TRAILERS WILL BE USED BY THE C&amp;M CREWS AT CENTRAL.</v>
          </cell>
          <cell r="L1399">
            <v>41993</v>
          </cell>
          <cell r="M1399">
            <v>42248</v>
          </cell>
          <cell r="N1399">
            <v>42496.559907407398</v>
          </cell>
          <cell r="O1399">
            <v>41974</v>
          </cell>
          <cell r="P1399" t="str">
            <v>0401-043050  JACKSON CTY/KC</v>
          </cell>
          <cell r="Q1399">
            <v>21842</v>
          </cell>
          <cell r="R1399">
            <v>2741</v>
          </cell>
        </row>
        <row r="1400">
          <cell r="A1400" t="str">
            <v>005683</v>
          </cell>
          <cell r="B1400" t="str">
            <v>LDC 2</v>
          </cell>
          <cell r="D1400" t="str">
            <v>yes</v>
          </cell>
          <cell r="E1400" t="str">
            <v>20401143656</v>
          </cell>
          <cell r="F1400" t="str">
            <v>F0547</v>
          </cell>
          <cell r="G1400" t="str">
            <v>Street &amp; Highway Relocates ISRS (N)</v>
          </cell>
          <cell r="H1400" t="str">
            <v>92nd Ter &amp; Holmes Reloc PBS w 30'-6</v>
          </cell>
          <cell r="I1400" t="str">
            <v>posted to CPR</v>
          </cell>
          <cell r="J1400" t="str">
            <v>92nd Ter &amp; Holmes Reloc PBS w 30'-6in CS: Kansas City-Jackson: Relocate for Street &amp; Highway-Public Improvements (44-388)</v>
          </cell>
          <cell r="K1400" t="str">
            <v>Approved by: Kevin Driskell on 07/07/2014,  This work order is due to publice improvement project. Removal and installation of new curb inlet box (conflict is with new larger box). Contact Eric Bachman (913-961-5884) with Mega Ind. before start of project for site visit.</v>
          </cell>
          <cell r="L1400">
            <v>41865</v>
          </cell>
          <cell r="M1400">
            <v>41882</v>
          </cell>
          <cell r="N1400">
            <v>41978.594039351803</v>
          </cell>
          <cell r="O1400">
            <v>41852</v>
          </cell>
          <cell r="P1400" t="str">
            <v>0401-043050  JACKSON CTY/KC</v>
          </cell>
          <cell r="Q1400">
            <v>5304.11</v>
          </cell>
          <cell r="R1400">
            <v>-7.5</v>
          </cell>
        </row>
        <row r="1401">
          <cell r="A1401" t="str">
            <v>005537</v>
          </cell>
          <cell r="B1401" t="str">
            <v>LDC 2</v>
          </cell>
          <cell r="D1401" t="str">
            <v>no</v>
          </cell>
          <cell r="E1401" t="str">
            <v>20401143631</v>
          </cell>
          <cell r="F1401" t="str">
            <v>F0639</v>
          </cell>
          <cell r="G1401" t="str">
            <v>EGM Equip-1st Time Installation</v>
          </cell>
          <cell r="H1401" t="str">
            <v>EGM - A-1 Paint Powder and Sandblas</v>
          </cell>
          <cell r="I1401" t="str">
            <v>posted to CPR</v>
          </cell>
          <cell r="J1401" t="str">
            <v>EGM - A-1 Paint Powder and Sandblasting: Kansas City-Jackson: Install EGM Equipment - First Time Installation  3850 (32-403)</v>
          </cell>
          <cell r="K1401" t="str">
            <v>Approved by: Rob Kitterman on 06/17/2014,  Install Mercury MiniMax-AT-PT w/ Messenger Modem S/N: 13066411 on Roots 23M meter no 00864055 to monitor daily gas usage of this transportation customer. Customer will reimburse company actual cost for EGM installation not to exceed $5,445.00, which should be coded to account 1072. ATTENTION: Plant &amp; Property Accounting, EGM work order, turn off A&amp;G indicator.</v>
          </cell>
          <cell r="L1401">
            <v>42443</v>
          </cell>
          <cell r="M1401">
            <v>42491</v>
          </cell>
          <cell r="N1401">
            <v>42528.3132175926</v>
          </cell>
          <cell r="O1401">
            <v>42430</v>
          </cell>
          <cell r="P1401" t="str">
            <v>0401-043050  JACKSON CTY/KC</v>
          </cell>
          <cell r="Q1401">
            <v>-199.44</v>
          </cell>
          <cell r="R1401">
            <v>9</v>
          </cell>
        </row>
        <row r="1402">
          <cell r="A1402" t="str">
            <v>005450</v>
          </cell>
          <cell r="B1402" t="str">
            <v>LDC 2</v>
          </cell>
          <cell r="D1402" t="str">
            <v>no</v>
          </cell>
          <cell r="E1402" t="str">
            <v>20401143608</v>
          </cell>
          <cell r="F1402" t="str">
            <v>F0670</v>
          </cell>
          <cell r="G1402" t="str">
            <v>Tools, Instruments &amp; Equipment (N)</v>
          </cell>
          <cell r="H1402" t="str">
            <v>PUR-1 MILLING ACCESSORY KIT</v>
          </cell>
          <cell r="I1402" t="str">
            <v>posted to CPR</v>
          </cell>
          <cell r="J1402" t="str">
            <v>PUR-1 MILLING ACCESSORY KIT: Kansas City-Jackson: Purchase Tools, Instruments &amp; Equipment  3940 (37-366)</v>
          </cell>
          <cell r="K1402" t="str">
            <v>Approved by: Gary Williams on 06/06/2014,  PURCHASE-1 MILLING ACCESSORY KIT #660100KT. THIS WILL BE USED BY THE WELDERS AT CENTRAL PLANT. THESE WERE NEEDED TO BE USE WITH THE VERTICAL MILLDRILL (WO#14-3523). THESE ARE NOT REPLACEMENTS.</v>
          </cell>
          <cell r="L1402">
            <v>41911</v>
          </cell>
          <cell r="M1402">
            <v>41912</v>
          </cell>
          <cell r="N1402">
            <v>41950.725277777798</v>
          </cell>
          <cell r="O1402">
            <v>41883</v>
          </cell>
          <cell r="P1402" t="str">
            <v>0401-043050  JACKSON CTY/KC</v>
          </cell>
          <cell r="Q1402">
            <v>1299.72</v>
          </cell>
          <cell r="R1402">
            <v>3</v>
          </cell>
        </row>
        <row r="1403">
          <cell r="A1403" t="str">
            <v>005170</v>
          </cell>
          <cell r="B1403" t="str">
            <v>LDC 2</v>
          </cell>
          <cell r="D1403" t="str">
            <v>no</v>
          </cell>
          <cell r="E1403" t="str">
            <v>20401143526</v>
          </cell>
          <cell r="F1403" t="str">
            <v>F0639</v>
          </cell>
          <cell r="G1403" t="str">
            <v>EGM Equip-1st Time Installation</v>
          </cell>
          <cell r="H1403" t="str">
            <v>EGM - Far Lings Inc</v>
          </cell>
          <cell r="I1403" t="str">
            <v>posted to CPR</v>
          </cell>
          <cell r="J1403" t="str">
            <v>EGM - Far Lings Inc: Kansas City-Jackson: Install EGM Equipment - First Time Installation  3850 (32-403)</v>
          </cell>
          <cell r="K1403" t="str">
            <v>Approved by: Rob Kitterman on 05/01/2014,  Install Mercury MiniMax-AT-PT w/ Messenger Modem S/N:1113065 on Roots 7M meter no 00657670 to monitor daily gas usage of this transportation customer. Customer will reimburse company actual cost for EGM installation not to exceed $5,445.00, which should be coded to account 1072. ATTENTION: Plant &amp; Property Accounting, EGM work order, turn off A&amp;G indicator.</v>
          </cell>
          <cell r="L1403">
            <v>42443</v>
          </cell>
          <cell r="M1403">
            <v>42491</v>
          </cell>
          <cell r="N1403">
            <v>42528.313101851803</v>
          </cell>
          <cell r="O1403">
            <v>42430</v>
          </cell>
          <cell r="P1403" t="str">
            <v>0401-043050  JACKSON CTY/KC</v>
          </cell>
          <cell r="Q1403">
            <v>-59.5</v>
          </cell>
          <cell r="R1403">
            <v>9</v>
          </cell>
        </row>
        <row r="1404">
          <cell r="A1404" t="str">
            <v>004274</v>
          </cell>
          <cell r="B1404" t="str">
            <v>LDC 2</v>
          </cell>
          <cell r="D1404" t="str">
            <v>no</v>
          </cell>
          <cell r="E1404" t="str">
            <v>20401133044</v>
          </cell>
          <cell r="F1404" t="str">
            <v>F0670</v>
          </cell>
          <cell r="G1404" t="str">
            <v>Tools, Instruments &amp; Equipment (N)</v>
          </cell>
          <cell r="H1404" t="str">
            <v>PURCHASE-1 MUELLER H-607 OPERATOR</v>
          </cell>
          <cell r="I1404" t="str">
            <v>posted to CPR</v>
          </cell>
          <cell r="J1404" t="str">
            <v>PURCHASE-1 MUELLER H-607 OPERATOR: Kansas City-Jackson: 7500 E 35TH TER</v>
          </cell>
          <cell r="K1404" t="str">
            <v>Approved by: Gary Williams on 10/07/2013,  PURCHASING-1 MUELLER H-607 OPERATOR, USED BY THE TAPPING CREW AT CENTRAL. THIS IS A HYDRAULIC OPERATOR USED FOR TAPPING GAS MAINS. MUELLER IS THE ONLY VENDOR THAT HANDLES THIS MACHINE. THIS IS A REPLACEMENT. THE REPAIR COST ($2897.10) ALMOST AS MUCH TO BUY AN NEW ONE.</v>
          </cell>
          <cell r="L1404">
            <v>41576</v>
          </cell>
          <cell r="M1404">
            <v>41626</v>
          </cell>
          <cell r="N1404">
            <v>41630.722152777802</v>
          </cell>
          <cell r="P1404" t="str">
            <v>0401-043050  JACKSON CTY/KC</v>
          </cell>
          <cell r="Q1404">
            <v>5449.8</v>
          </cell>
          <cell r="R1404">
            <v>2</v>
          </cell>
        </row>
        <row r="1405">
          <cell r="A1405" t="str">
            <v>004003</v>
          </cell>
          <cell r="B1405" t="str">
            <v>LDC 2</v>
          </cell>
          <cell r="D1405" t="str">
            <v>yes</v>
          </cell>
          <cell r="E1405" t="str">
            <v>20401132773</v>
          </cell>
          <cell r="F1405" t="str">
            <v>F0600</v>
          </cell>
          <cell r="G1405" t="str">
            <v>Station Rebuild &amp; Repl ISRS (N)</v>
          </cell>
          <cell r="H1405" t="str">
            <v>Relocate DRS 258 Mayfair</v>
          </cell>
          <cell r="I1405" t="str">
            <v>posted to CPR</v>
          </cell>
          <cell r="J1405" t="str">
            <v>Relocate DRS 258 Mayfair: Kansas City-Jackson: Blue River Road North of Red Bridge</v>
          </cell>
          <cell r="K1405" t="str">
            <v>Approved by: Rob Hack on 07/02/2013,  Relocate reg station 258 at 107th and Holmes (Ernie's) to Blue River Road in the park. This is in conjunction with the 20inch replacement project WO# 13-2322. Inlet 16in PCS system S-16329, MOP 280 PSIG, MAOP 280 PSIG, TEST 830 PSIG. Outlet 16in PCS system C-061, MOP 185 PSIG, MAOP 250 PSIG, TEST 830 PSIG. This DRS will utilize existing valves and regulators. This will include removing all facilities at existing Mayfair Station and cleanup.Include building and footings.</v>
          </cell>
          <cell r="L1405">
            <v>41549</v>
          </cell>
          <cell r="M1405">
            <v>42216</v>
          </cell>
          <cell r="N1405">
            <v>42404.754872685196</v>
          </cell>
          <cell r="O1405">
            <v>42005</v>
          </cell>
          <cell r="P1405" t="str">
            <v>0401-043050  JACKSON CTY/KC</v>
          </cell>
          <cell r="Q1405">
            <v>157496.16</v>
          </cell>
          <cell r="R1405">
            <v>51527</v>
          </cell>
        </row>
        <row r="1406">
          <cell r="A1406" t="str">
            <v>004312</v>
          </cell>
          <cell r="B1406" t="str">
            <v>LDC 2</v>
          </cell>
          <cell r="D1406" t="str">
            <v>yes</v>
          </cell>
          <cell r="E1406" t="str">
            <v>20401132457</v>
          </cell>
          <cell r="F1406" t="str">
            <v>F0604</v>
          </cell>
          <cell r="G1406" t="str">
            <v>Main Replacement - ISRS (S)</v>
          </cell>
          <cell r="H1406" t="str">
            <v>Canyon Dr Ret DRS 308 I/O Piping</v>
          </cell>
          <cell r="I1406" t="str">
            <v>posted to CPR</v>
          </cell>
          <cell r="J1406" t="str">
            <v>Canyon Dr Ret DRS 308 I/O Piping: Kansas City-Jackson: Canyon Drive</v>
          </cell>
          <cell r="K1406" t="str">
            <v>Approved by: Ralph Janes on 04/09/2013,  CUT AND CAP INLET AND OUTLET PIPING TO DRS 308 ON WO# 13-2457. DRS 308 WILL BE RELOCATED/REBUILT ON WO# 13-2456 AND WO# 13-2458 (FOR THE NEW I/O PIPING). ABANDON 15' OF 2in PBS INLET PIPING (FRO WO# 69-0358). ALSO, ABANDON 15' OF 2in PCS OUTLET PIPING (FROM WO# BD28). MUST REBUILD DRS 308 ON WO# 13-2456 AND 13-2458 BEFORE CONSTRUCTION ON WO# 13-2457 BEGINS.</v>
          </cell>
          <cell r="L1406">
            <v>41590</v>
          </cell>
          <cell r="M1406">
            <v>41653</v>
          </cell>
          <cell r="N1406">
            <v>41654.604120370401</v>
          </cell>
          <cell r="P1406" t="str">
            <v>0401-043050  JACKSON CTY/KC</v>
          </cell>
          <cell r="Q1406">
            <v>3876.56</v>
          </cell>
          <cell r="R1406">
            <v>87</v>
          </cell>
        </row>
        <row r="1407">
          <cell r="A1407" t="str">
            <v>004355</v>
          </cell>
          <cell r="B1407" t="str">
            <v>LDC 2</v>
          </cell>
          <cell r="D1407" t="str">
            <v>yes</v>
          </cell>
          <cell r="E1407" t="str">
            <v>20401133098</v>
          </cell>
          <cell r="F1407" t="str">
            <v>F0636</v>
          </cell>
          <cell r="G1407" t="str">
            <v>Replace steel &amp; plastic main</v>
          </cell>
          <cell r="H1407" t="str">
            <v>Hillcrest Rd Abandon 1916'-3IN PE</v>
          </cell>
          <cell r="I1407" t="str">
            <v>posted to CPR</v>
          </cell>
          <cell r="J1407" t="str">
            <v>Hillcrest Rd Abandon 1916'-3IN PE : Kansas City-Jackson: HILLCREST RD &amp; 87TH ST</v>
          </cell>
          <cell r="K1407" t="str">
            <v>Approved by: Kevin Driskell on 10/29/2013,  PINCH OFF AND CAP - 3 IN PE (89-9919); WHICH LIES ON WEST SIDE OF HILLCREST RD.  (SEE DESIGN &amp; AS-RECORDED.)  CAP AT LEAST 5 FT WEST OF 2 IN PE (90-5531) MAIN; WHICH HEADS NORTH TO SERVE 'MOPED OR GO-CART MAINTENANCE BUILDING'.  DEMOLITION CREWS AWAITING THIS ABANDONMENT; BEFORE THEY CAN DEMOLISH EXISTING BUILDINGS.</v>
          </cell>
          <cell r="L1407">
            <v>41590</v>
          </cell>
          <cell r="M1407">
            <v>41729</v>
          </cell>
          <cell r="N1407">
            <v>41733.309976851902</v>
          </cell>
          <cell r="P1407" t="str">
            <v>0401-043050  JACKSON CTY/KC</v>
          </cell>
          <cell r="Q1407">
            <v>11834.41</v>
          </cell>
          <cell r="R1407">
            <v>1311</v>
          </cell>
        </row>
        <row r="1408">
          <cell r="A1408" t="str">
            <v>004328</v>
          </cell>
          <cell r="B1408" t="str">
            <v>LDC 2</v>
          </cell>
          <cell r="D1408" t="str">
            <v>no</v>
          </cell>
          <cell r="E1408" t="str">
            <v>20401133160</v>
          </cell>
          <cell r="F1408" t="str">
            <v>F0588</v>
          </cell>
          <cell r="G1408" t="str">
            <v>Transportation &amp; power operated equ</v>
          </cell>
          <cell r="H1408" t="str">
            <v>Pur 2013 2x4 Case backhoe w extend-</v>
          </cell>
          <cell r="I1408" t="str">
            <v>posted to CPR</v>
          </cell>
          <cell r="J1408" t="str">
            <v>Pur 2013 2x4 Case backhoe w extend-hoe: Kansas City-Jackson: Central FOP</v>
          </cell>
          <cell r="K1408" t="str">
            <v>Approved by: Ken Thomas on 11/14/2013,  Purchase one 2013 2x4 Case backhoe with extend-hoe.</v>
          </cell>
          <cell r="L1408">
            <v>41695</v>
          </cell>
          <cell r="M1408">
            <v>41710</v>
          </cell>
          <cell r="N1408">
            <v>41710.614571759303</v>
          </cell>
          <cell r="P1408" t="str">
            <v>0401-043050  JACKSON CTY/KC</v>
          </cell>
          <cell r="Q1408">
            <v>69148.97</v>
          </cell>
          <cell r="R1408">
            <v>0</v>
          </cell>
        </row>
        <row r="1409">
          <cell r="A1409" t="str">
            <v>003816</v>
          </cell>
          <cell r="B1409" t="str">
            <v>LDC 2</v>
          </cell>
          <cell r="D1409" t="str">
            <v>yes</v>
          </cell>
          <cell r="E1409" t="str">
            <v>20401050360</v>
          </cell>
          <cell r="F1409" t="str">
            <v>F0558</v>
          </cell>
          <cell r="G1409" t="str">
            <v>SLRP - immediate response - company</v>
          </cell>
          <cell r="H1409" t="str">
            <v>BWO SERVICE LINE LEAK RESPONSIVE</v>
          </cell>
          <cell r="I1409" t="str">
            <v>open</v>
          </cell>
          <cell r="J1409" t="str">
            <v>BWO SERVICE LINE LEAK RESPONSIVE COMP</v>
          </cell>
          <cell r="K1409" t="str">
            <v>Service/Yard Line Replacement (SLRP): Company Crew.  Immediate response - replacement single unprotected steel or copper  (Kansas City - Central Region)</v>
          </cell>
          <cell r="O1409">
            <v>41730</v>
          </cell>
          <cell r="P1409" t="str">
            <v>0401-043050  JACKSON CTY/KC</v>
          </cell>
          <cell r="Q1409">
            <v>3760039.75</v>
          </cell>
          <cell r="R1409">
            <v>35115.1</v>
          </cell>
        </row>
        <row r="1410">
          <cell r="A1410" t="str">
            <v>006175</v>
          </cell>
          <cell r="B1410" t="str">
            <v>LDC 2</v>
          </cell>
          <cell r="D1410" t="str">
            <v>no</v>
          </cell>
          <cell r="F1410" t="str">
            <v>F0679</v>
          </cell>
          <cell r="G1410" t="str">
            <v>Manage Storeroom Ops MGE</v>
          </cell>
          <cell r="H1410" t="str">
            <v>Outside Inspection - Stock Item MGE</v>
          </cell>
          <cell r="I1410" t="str">
            <v>open</v>
          </cell>
          <cell r="J1410" t="str">
            <v>Outside Inspection for Stock Item - MGE</v>
          </cell>
          <cell r="K1410" t="str">
            <v>Requesed by Mike Harvey 8-27-14</v>
          </cell>
          <cell r="P1410" t="str">
            <v>Expense Only</v>
          </cell>
          <cell r="Q1410">
            <v>11395.5</v>
          </cell>
          <cell r="R1410">
            <v>41477</v>
          </cell>
        </row>
        <row r="1411">
          <cell r="A1411" t="str">
            <v>004774</v>
          </cell>
          <cell r="B1411" t="str">
            <v>LDC 2</v>
          </cell>
          <cell r="D1411" t="str">
            <v>no</v>
          </cell>
          <cell r="E1411" t="str">
            <v>21846500000</v>
          </cell>
          <cell r="F1411" t="str">
            <v>F0682</v>
          </cell>
          <cell r="G1411" t="str">
            <v>Non-Productive Ops MGE</v>
          </cell>
          <cell r="H1411" t="str">
            <v>Non Prod Lab  - Gen Cost MGE</v>
          </cell>
          <cell r="I1411" t="str">
            <v>open</v>
          </cell>
          <cell r="J1411" t="str">
            <v>Non Prod Lab  - Gen Cost MGE</v>
          </cell>
          <cell r="P1411" t="str">
            <v>Expense Only</v>
          </cell>
          <cell r="Q1411">
            <v>6120372.3099999996</v>
          </cell>
          <cell r="R1411">
            <v>116448.11</v>
          </cell>
        </row>
        <row r="1412">
          <cell r="A1412" t="str">
            <v>004799</v>
          </cell>
          <cell r="B1412" t="str">
            <v>LDC 2</v>
          </cell>
          <cell r="D1412" t="str">
            <v>no</v>
          </cell>
          <cell r="E1412" t="str">
            <v>29080100000</v>
          </cell>
          <cell r="F1412" t="str">
            <v>F0718</v>
          </cell>
          <cell r="G1412" t="str">
            <v>Customer Assistance MGE</v>
          </cell>
          <cell r="H1412" t="str">
            <v>Weatherization Program MGE</v>
          </cell>
          <cell r="I1412" t="str">
            <v>open</v>
          </cell>
          <cell r="J1412" t="str">
            <v>Weatherization Program MGE</v>
          </cell>
          <cell r="P1412" t="str">
            <v>Expense Only</v>
          </cell>
          <cell r="Q1412">
            <v>628748</v>
          </cell>
          <cell r="R1412">
            <v>0</v>
          </cell>
        </row>
        <row r="1413">
          <cell r="A1413" t="str">
            <v>004848</v>
          </cell>
          <cell r="B1413" t="str">
            <v>LDC 2</v>
          </cell>
          <cell r="D1413" t="str">
            <v>no</v>
          </cell>
          <cell r="E1413" t="str">
            <v>29302300000</v>
          </cell>
          <cell r="F1413" t="str">
            <v>F0698</v>
          </cell>
          <cell r="G1413" t="str">
            <v>Misc General Expenses - MGE</v>
          </cell>
          <cell r="H1413" t="str">
            <v>Dues &amp; Memberships MGE</v>
          </cell>
          <cell r="I1413" t="str">
            <v>open</v>
          </cell>
          <cell r="J1413" t="str">
            <v>Dues &amp; Memberships MGE</v>
          </cell>
          <cell r="P1413" t="str">
            <v>Expense Only</v>
          </cell>
          <cell r="Q1413">
            <v>162134.79</v>
          </cell>
          <cell r="R1413">
            <v>3</v>
          </cell>
        </row>
        <row r="1414">
          <cell r="A1414" t="str">
            <v>004723</v>
          </cell>
          <cell r="B1414" t="str">
            <v>LDC 2</v>
          </cell>
          <cell r="D1414" t="str">
            <v>no</v>
          </cell>
          <cell r="E1414" t="str">
            <v>28790100000</v>
          </cell>
          <cell r="F1414" t="str">
            <v>F0703</v>
          </cell>
          <cell r="G1414" t="str">
            <v>Customer Service Work MGE</v>
          </cell>
          <cell r="H1414" t="str">
            <v>CIE Other Non Billable MGE</v>
          </cell>
          <cell r="I1414" t="str">
            <v>open</v>
          </cell>
          <cell r="J1414" t="str">
            <v>CIE Other Non Billable MGE</v>
          </cell>
          <cell r="P1414" t="str">
            <v>Expense Only</v>
          </cell>
          <cell r="Q1414">
            <v>16881.259999999998</v>
          </cell>
          <cell r="R1414">
            <v>-7620.65</v>
          </cell>
        </row>
        <row r="1415">
          <cell r="A1415" t="str">
            <v>004711</v>
          </cell>
          <cell r="B1415" t="str">
            <v>LDC 2</v>
          </cell>
          <cell r="D1415" t="str">
            <v>no</v>
          </cell>
          <cell r="E1415" t="str">
            <v>24264000000</v>
          </cell>
          <cell r="F1415" t="str">
            <v>F0693</v>
          </cell>
          <cell r="G1415" t="str">
            <v>Inc Deduct Civic/Political MGE</v>
          </cell>
          <cell r="H1415" t="str">
            <v>Inc Deduct Civic/Political MGE</v>
          </cell>
          <cell r="I1415" t="str">
            <v>open</v>
          </cell>
          <cell r="J1415" t="str">
            <v>Inc Deduct Civic/Political MGE</v>
          </cell>
          <cell r="P1415" t="str">
            <v>Expense Only</v>
          </cell>
          <cell r="Q1415">
            <v>305974.86</v>
          </cell>
          <cell r="R1415">
            <v>1165</v>
          </cell>
        </row>
        <row r="1416">
          <cell r="A1416" t="str">
            <v>004709</v>
          </cell>
          <cell r="B1416" t="str">
            <v>LDC 2</v>
          </cell>
          <cell r="D1416" t="str">
            <v>no</v>
          </cell>
          <cell r="E1416" t="str">
            <v>24261000000</v>
          </cell>
          <cell r="F1416" t="str">
            <v>F0691</v>
          </cell>
          <cell r="G1416" t="str">
            <v>Oth Inc Deduct-Donations MGE</v>
          </cell>
          <cell r="H1416" t="str">
            <v>Oth Inc Deduct-Donations MGE</v>
          </cell>
          <cell r="I1416" t="str">
            <v>open</v>
          </cell>
          <cell r="J1416" t="str">
            <v>Oth Inc Deduct-Donations MGE</v>
          </cell>
          <cell r="P1416" t="str">
            <v>Expense Only</v>
          </cell>
          <cell r="Q1416">
            <v>273554.21999999997</v>
          </cell>
          <cell r="R1416">
            <v>15409</v>
          </cell>
        </row>
        <row r="1417">
          <cell r="A1417" t="str">
            <v>004684</v>
          </cell>
          <cell r="B1417" t="str">
            <v>LDC 2</v>
          </cell>
          <cell r="D1417" t="str">
            <v>no</v>
          </cell>
          <cell r="E1417" t="str">
            <v>218SGSAEXWH</v>
          </cell>
          <cell r="F1417" t="str">
            <v>F0680</v>
          </cell>
          <cell r="G1417" t="str">
            <v>Regulatory Assets MGE</v>
          </cell>
          <cell r="H1417" t="str">
            <v>Reg At Eng Eff SGS WHD Cst MG</v>
          </cell>
          <cell r="I1417" t="str">
            <v>open</v>
          </cell>
          <cell r="J1417" t="str">
            <v>Reg At Eng Eff SGS WHD Cst MG</v>
          </cell>
          <cell r="P1417" t="str">
            <v>Expense Only</v>
          </cell>
          <cell r="Q1417">
            <v>280</v>
          </cell>
          <cell r="R1417">
            <v>0</v>
          </cell>
        </row>
        <row r="1418">
          <cell r="A1418" t="str">
            <v>004829</v>
          </cell>
          <cell r="B1418" t="str">
            <v>LDC 2</v>
          </cell>
          <cell r="D1418" t="str">
            <v>no</v>
          </cell>
          <cell r="E1418" t="str">
            <v>21650100000</v>
          </cell>
          <cell r="F1418" t="str">
            <v>F0736</v>
          </cell>
          <cell r="G1418" t="str">
            <v>Prepayments MGE</v>
          </cell>
          <cell r="H1418" t="str">
            <v>Prepayments - Insurance MGE</v>
          </cell>
          <cell r="I1418" t="str">
            <v>open</v>
          </cell>
          <cell r="J1418" t="str">
            <v>Prepayments - Insurance MGE</v>
          </cell>
          <cell r="P1418" t="str">
            <v>Expense Only</v>
          </cell>
          <cell r="Q1418">
            <v>4586345.55</v>
          </cell>
          <cell r="R1418">
            <v>0</v>
          </cell>
        </row>
        <row r="1419">
          <cell r="A1419" t="str">
            <v>800475</v>
          </cell>
          <cell r="B1419" t="str">
            <v>LDC 2</v>
          </cell>
          <cell r="C1419" t="str">
            <v>03 - Bare Steel Replacement</v>
          </cell>
          <cell r="D1419" t="str">
            <v>yes</v>
          </cell>
          <cell r="F1419" t="str">
            <v>F0572</v>
          </cell>
          <cell r="G1419" t="str">
            <v>Main Replacement - ISRS (SW)</v>
          </cell>
          <cell r="H1419" t="str">
            <v>Repl w 4030F 2-4P Park and Jackson</v>
          </cell>
          <cell r="I1419" t="str">
            <v>open</v>
          </cell>
          <cell r="J1419" t="str">
            <v>Install 284 Ft of 2 in and 3746 Ft of 4 in PL MP main on Jackson St, Byers St, Pearl St, 45th St, 46th St, Park Ln, and Circle Dr. Abandon 5 Ft of 2 in PL, 45 Ft of 3 in PL, 100 Ft of 4 in PL and 3951 Ft of 3 in ST MP main.</v>
          </cell>
          <cell r="K1419" t="str">
            <v>Total Service Tie-over = 28; Total Service Abandoned = 1; Total Service Replace = 3.
Main being replaced due to failed CP reads with CP15-073 system and bare steel replacement.</v>
          </cell>
          <cell r="P1419" t="str">
            <v>0501-044001  JASPER CTY/JOPLIN</v>
          </cell>
          <cell r="Q1419">
            <v>352980.33</v>
          </cell>
          <cell r="R1419">
            <v>-8632.9501</v>
          </cell>
        </row>
        <row r="1420">
          <cell r="A1420" t="str">
            <v>010873</v>
          </cell>
          <cell r="B1420" t="str">
            <v>LDC 2</v>
          </cell>
          <cell r="D1420" t="str">
            <v>no</v>
          </cell>
          <cell r="F1420" t="str">
            <v>F0538</v>
          </cell>
          <cell r="G1420" t="str">
            <v>Other Communication Costs</v>
          </cell>
          <cell r="H1420" t="str">
            <v>Purch Static Pressure Transmitters</v>
          </cell>
          <cell r="I1420" t="str">
            <v>in service</v>
          </cell>
          <cell r="J1420" t="str">
            <v>Purchase &amp; install new Static Pressure Transmitters to replace equipment damaged beyond repair. Purchase from Rosemont - 1 Unit for Cass County TB in Grandview, MO. 2 for Rangeline DRS &amp; 1 for Stateline DRS in Joplin.</v>
          </cell>
          <cell r="L1420">
            <v>42643</v>
          </cell>
          <cell r="O1420">
            <v>42614</v>
          </cell>
          <cell r="P1420" t="str">
            <v>0501-044001  JASPER CTY/JOPLIN</v>
          </cell>
          <cell r="Q1420">
            <v>14570.24</v>
          </cell>
          <cell r="R1420">
            <v>8</v>
          </cell>
        </row>
        <row r="1421">
          <cell r="A1421" t="str">
            <v>800333</v>
          </cell>
          <cell r="B1421" t="str">
            <v>LDC 2</v>
          </cell>
          <cell r="C1421" t="str">
            <v>09 - Facility Relocation due to Civic Improvement</v>
          </cell>
          <cell r="D1421" t="str">
            <v>yes</v>
          </cell>
          <cell r="F1421" t="str">
            <v>F0664</v>
          </cell>
          <cell r="G1421" t="str">
            <v>Street &amp; Hwy Relocates ISRS (SW)</v>
          </cell>
          <cell r="H1421" t="str">
            <v>Third and High Abandonment due to C</v>
          </cell>
          <cell r="I1421" t="str">
            <v>completed</v>
          </cell>
          <cell r="J1421" t="str">
            <v>303ft of 2in BST main along High Ave to be abandoned due to civic improvements. One service will be tied-over to the existing 4in PL IP main paralleling the existing 2in BST main.TownCode: 0501 Sector: 0010
$6,187.33 ($20.42/ft).</v>
          </cell>
          <cell r="K1421" t="str">
            <v>Main Abandonment due to Civic Improvements.</v>
          </cell>
          <cell r="L1421">
            <v>42444</v>
          </cell>
          <cell r="M1421">
            <v>42674</v>
          </cell>
          <cell r="O1421">
            <v>42461</v>
          </cell>
          <cell r="P1421" t="str">
            <v>0501-044001  JASPER CTY/JOPLIN</v>
          </cell>
          <cell r="Q1421">
            <v>7750.18</v>
          </cell>
          <cell r="R1421">
            <v>2173.5</v>
          </cell>
        </row>
        <row r="1422">
          <cell r="A1422" t="str">
            <v>006435</v>
          </cell>
          <cell r="B1422" t="str">
            <v>LDC 2</v>
          </cell>
          <cell r="D1422" t="str">
            <v>yes</v>
          </cell>
          <cell r="E1422" t="str">
            <v>20501143720</v>
          </cell>
          <cell r="F1422" t="str">
            <v>F0575</v>
          </cell>
          <cell r="G1422" t="str">
            <v>Replace steel &amp; plastic main</v>
          </cell>
          <cell r="H1422" t="str">
            <v>Lower 167ft of 2in PE</v>
          </cell>
          <cell r="I1422" t="str">
            <v>posted to CPR</v>
          </cell>
          <cell r="J1422" t="str">
            <v>Lower 167ft of 2in PE : Joplin: Replace Coated Steel &amp; Plastic Main - 3760 (34-396)</v>
          </cell>
          <cell r="K1422" t="str">
            <v>Approved by: Galen Shoemaker on 09/15/2014,  Lower 167' - 2" PE main (WO#: 92-6050) due to construction over shallow main. Project Location: Doughboy Dr North of 32nd St; Pressure System: C-1; MOP: 58 psig; MAOP: 58 psig; Design: 58 psig; Test: 100 psig; $34.34/ft</v>
          </cell>
          <cell r="L1422">
            <v>41856</v>
          </cell>
          <cell r="M1422">
            <v>42248</v>
          </cell>
          <cell r="N1422">
            <v>42284.722291666701</v>
          </cell>
          <cell r="O1422">
            <v>41913</v>
          </cell>
          <cell r="P1422" t="str">
            <v>0501-044001  JASPER CTY/JOPLIN</v>
          </cell>
          <cell r="Q1422">
            <v>4209.18</v>
          </cell>
          <cell r="R1422">
            <v>-518</v>
          </cell>
        </row>
        <row r="1423">
          <cell r="A1423" t="str">
            <v>006668</v>
          </cell>
          <cell r="B1423" t="str">
            <v>LDC 2</v>
          </cell>
          <cell r="D1423" t="str">
            <v>yes</v>
          </cell>
          <cell r="E1423" t="str">
            <v>20501143694</v>
          </cell>
          <cell r="F1423" t="str">
            <v>F0572</v>
          </cell>
          <cell r="G1423" t="str">
            <v>Main Replacement - ISRS (SW)</v>
          </cell>
          <cell r="H1423" t="str">
            <v>Repl with 510ft of 4in PE due to CP</v>
          </cell>
          <cell r="I1423" t="str">
            <v>posted to CPR</v>
          </cell>
          <cell r="J1423" t="str">
            <v>Repl with 510ft of 4in PE due to CP : Joplin: Replace Bare Steel Main - 3760 Safety Related (34-394)</v>
          </cell>
          <cell r="K1423" t="str">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ell>
          <cell r="L1423">
            <v>42033</v>
          </cell>
          <cell r="M1423">
            <v>42154</v>
          </cell>
          <cell r="N1423">
            <v>42256.641539351796</v>
          </cell>
          <cell r="O1423">
            <v>42036</v>
          </cell>
          <cell r="P1423" t="str">
            <v>0501-044001  JASPER CTY/JOPLIN</v>
          </cell>
          <cell r="Q1423">
            <v>13496.94</v>
          </cell>
          <cell r="R1423">
            <v>9349.8799999999992</v>
          </cell>
        </row>
        <row r="1424">
          <cell r="A1424" t="str">
            <v>004021</v>
          </cell>
          <cell r="B1424" t="str">
            <v>LDC 2</v>
          </cell>
          <cell r="D1424" t="str">
            <v>no</v>
          </cell>
          <cell r="E1424" t="str">
            <v>20501143435</v>
          </cell>
          <cell r="F1424" t="str">
            <v>F0677</v>
          </cell>
          <cell r="G1424" t="str">
            <v>New business</v>
          </cell>
          <cell r="H1424" t="str">
            <v>20th &amp; Rex Lay 1335'-2in PE main ex</v>
          </cell>
          <cell r="I1424" t="str">
            <v>posted to CPR</v>
          </cell>
          <cell r="J1424" t="str">
            <v>20th &amp; Rex Lay 1335'-2in PE main ext: Joplin: 20th and Rex</v>
          </cell>
          <cell r="K1424" t="str">
            <v>Approved by: Galen Shoemaker on 03/19/2014,  Install 1335' - 2" PE main in new 15' easement (Book: 2316; Page: 1976-1979) to provide service to new apartment complex, Villas at the Plaza. Customer will not contribute anything prior to work due to economic evaluation. Project Location: 20th and Rex; Pressure System: C-6; MOP: 20 psig; MAOP: 20 psig; Design: 58 psig; Test: 100 psig; $33.07/ft</v>
          </cell>
          <cell r="L1424">
            <v>41794</v>
          </cell>
          <cell r="M1424">
            <v>42461</v>
          </cell>
          <cell r="N1424">
            <v>42496.558715277803</v>
          </cell>
          <cell r="O1424">
            <v>41913</v>
          </cell>
          <cell r="P1424" t="str">
            <v>0501-044001  JASPER CTY/JOPLIN</v>
          </cell>
          <cell r="Q1424">
            <v>47672.43</v>
          </cell>
          <cell r="R1424">
            <v>-3334</v>
          </cell>
        </row>
        <row r="1425">
          <cell r="A1425" t="str">
            <v>004526</v>
          </cell>
          <cell r="B1425" t="str">
            <v>LDC 2</v>
          </cell>
          <cell r="D1425" t="str">
            <v>no</v>
          </cell>
          <cell r="E1425" t="str">
            <v>20501132614</v>
          </cell>
          <cell r="F1425" t="str">
            <v>F0677</v>
          </cell>
          <cell r="G1425" t="str">
            <v>New business</v>
          </cell>
          <cell r="H1425" t="str">
            <v>35th St Lay 215'-2in PE main ext</v>
          </cell>
          <cell r="I1425" t="str">
            <v>posted to CPR</v>
          </cell>
          <cell r="J1425" t="str">
            <v>35th St Lay 215'-2in PE main ext: Joplin: 515 E 35th Street</v>
          </cell>
          <cell r="K1425" t="str">
            <v>Approved by: Galen Shoemaker on 04/19/2013,  Extend main with 215' - 2in PE to provide service to 515 E 35th St. Customer will provide $1,265.00 after customer allowance. Project Location: 35th and Kentucky; Pressure System: C-3; MOP: 8.00 psig; MAOP: 8.50 psig; Design: 58 psig; Test: 100 psig; $29.92/ft</v>
          </cell>
          <cell r="L1425">
            <v>41446</v>
          </cell>
          <cell r="M1425">
            <v>41578</v>
          </cell>
          <cell r="N1425">
            <v>41584.396412037</v>
          </cell>
          <cell r="O1425">
            <v>41730</v>
          </cell>
          <cell r="P1425" t="str">
            <v>0501-044001  JASPER CTY/JOPLIN</v>
          </cell>
          <cell r="Q1425">
            <v>5075.33</v>
          </cell>
          <cell r="R1425">
            <v>799</v>
          </cell>
        </row>
        <row r="1426">
          <cell r="A1426" t="str">
            <v>004080</v>
          </cell>
          <cell r="B1426" t="str">
            <v>LDC 2</v>
          </cell>
          <cell r="D1426" t="str">
            <v>no</v>
          </cell>
          <cell r="E1426" t="str">
            <v>20501143420</v>
          </cell>
          <cell r="F1426" t="str">
            <v>F0496</v>
          </cell>
          <cell r="G1426" t="str">
            <v>New main extensions - less than 200</v>
          </cell>
          <cell r="H1426" t="str">
            <v>Annelise Ln Lay 2040'-6;1670'-2in P</v>
          </cell>
          <cell r="I1426" t="str">
            <v>posted to CPR</v>
          </cell>
          <cell r="J1426" t="str">
            <v>Annelise Ln Lay 2040'-6;1670'-2in PE main ext: Joplin: Annelise Ln W of John Duffy Dr S of 32nd St</v>
          </cell>
          <cell r="K1426" t="str">
            <v>Approved by: Steve Lindsey on 03/18/2014,  Install 2040' of 6" PE and 1670' of 2" PE for new customer.  Customer has contributed $35,145.  Project Location: Annelise Ln, W of John Duffy Dr, S of 32nd St.  Pressure System: C-1.  MOP: 58 PSIG.  MAOP: 58 PSIG.  Design: 58 PSIG.  Test: 100 PSIG.  Price Per Foot: $35.65.</v>
          </cell>
          <cell r="L1426">
            <v>41808</v>
          </cell>
          <cell r="M1426">
            <v>42461</v>
          </cell>
          <cell r="N1426">
            <v>42496.558738425898</v>
          </cell>
          <cell r="O1426">
            <v>41913</v>
          </cell>
          <cell r="P1426" t="str">
            <v>0501-044001  JASPER CTY/JOPLIN</v>
          </cell>
          <cell r="Q1426">
            <v>77872.61</v>
          </cell>
          <cell r="R1426">
            <v>-7720</v>
          </cell>
        </row>
        <row r="1427">
          <cell r="A1427" t="str">
            <v>004597</v>
          </cell>
          <cell r="B1427" t="str">
            <v>LDC 2</v>
          </cell>
          <cell r="D1427" t="str">
            <v>yes</v>
          </cell>
          <cell r="E1427" t="str">
            <v>20501050360</v>
          </cell>
          <cell r="F1427" t="str">
            <v>F0632</v>
          </cell>
          <cell r="G1427" t="str">
            <v>SLRP - immediate response - company</v>
          </cell>
          <cell r="H1427" t="str">
            <v>BWO SERVICE LINE LEAK RESPONSIVE CO</v>
          </cell>
          <cell r="I1427" t="str">
            <v>open</v>
          </cell>
          <cell r="J1427" t="str">
            <v>BWO SERVICE LINE LEAK RESPONSIVE COMP</v>
          </cell>
          <cell r="K1427" t="str">
            <v>Service/Yard Line Replacement (SLRP): Company Crew.  Immediate response - replacement single unprotected steel or copper  (Joplin - South Region)</v>
          </cell>
          <cell r="O1427">
            <v>41883</v>
          </cell>
          <cell r="P1427" t="str">
            <v>0501-044001  JASPER CTY/JOPLIN</v>
          </cell>
          <cell r="Q1427">
            <v>6364.34</v>
          </cell>
          <cell r="R1427">
            <v>77</v>
          </cell>
        </row>
        <row r="1428">
          <cell r="A1428" t="str">
            <v>004066</v>
          </cell>
          <cell r="B1428" t="str">
            <v>LDC 2</v>
          </cell>
          <cell r="D1428" t="str">
            <v>no</v>
          </cell>
          <cell r="E1428" t="str">
            <v>20502132942</v>
          </cell>
          <cell r="F1428" t="str">
            <v>F0657</v>
          </cell>
          <cell r="G1428" t="str">
            <v>Services - 2" &amp; larger</v>
          </cell>
          <cell r="H1428" t="str">
            <v>Lower 155'-4in PE Service-Elev Chg</v>
          </cell>
          <cell r="I1428" t="str">
            <v>posted to CPR</v>
          </cell>
          <cell r="J1428" t="str">
            <v>Lower 155'-4in PE Service-Elev Chg: Webb City: 515 Ware</v>
          </cell>
          <cell r="K1428" t="str">
            <v>Approved by: Galen Shoemaker on 08/29/2013,  Abandon 154' - 4in PE to allow customer to lower elevation of parking lot close to building. When customer is ready, replace with 155' - 4in PE. Existing tap, 151' - 4in PE (WO#: 01-3382), and meter set will be left in place and reused. Customer will contribute $2000 prior to work. Project Location: Missouri Metal Recyclers 515 Ware; Pressure System: C-2; MOP: 1.50 psig; MAOP: 1.50 psig; Design: 58 psig; Test: 100 psig;</v>
          </cell>
          <cell r="L1428">
            <v>41586</v>
          </cell>
          <cell r="M1428">
            <v>41698</v>
          </cell>
          <cell r="N1428">
            <v>41704.711666666699</v>
          </cell>
          <cell r="P1428" t="str">
            <v>0502-044006  JASPER CTY/WEBB CITY</v>
          </cell>
          <cell r="Q1428">
            <v>2697.24</v>
          </cell>
          <cell r="R1428">
            <v>726</v>
          </cell>
        </row>
        <row r="1429">
          <cell r="A1429" t="str">
            <v>005251</v>
          </cell>
          <cell r="B1429" t="str">
            <v>LDC 2</v>
          </cell>
          <cell r="D1429" t="str">
            <v>yes</v>
          </cell>
          <cell r="E1429" t="str">
            <v>20506143552</v>
          </cell>
          <cell r="F1429" t="str">
            <v>F0664</v>
          </cell>
          <cell r="G1429" t="str">
            <v>Street &amp; Hwy Relocates ISRS (SW)</v>
          </cell>
          <cell r="H1429" t="str">
            <v>171 &amp; Pearl Repl PBS w 625'-2in PE</v>
          </cell>
          <cell r="I1429" t="str">
            <v>posted to CPR</v>
          </cell>
          <cell r="J1429" t="str">
            <v>171 &amp; Pearl Repl PBS w 625'-2in PE main: Airport Drive: Relocate for Street &amp; Highway-Public Improvements (44-388)</v>
          </cell>
          <cell r="K1429" t="str">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ell>
          <cell r="L1429">
            <v>41767</v>
          </cell>
          <cell r="M1429">
            <v>41821</v>
          </cell>
          <cell r="N1429">
            <v>41936.6258101852</v>
          </cell>
          <cell r="O1429">
            <v>41821</v>
          </cell>
          <cell r="P1429" t="str">
            <v>0506-044008  JASPER CTY/AIRPORT DRIVE</v>
          </cell>
          <cell r="Q1429">
            <v>6574.73</v>
          </cell>
          <cell r="R1429">
            <v>-521</v>
          </cell>
        </row>
        <row r="1430">
          <cell r="A1430" t="str">
            <v>008088</v>
          </cell>
          <cell r="B1430" t="str">
            <v>LDC 2</v>
          </cell>
          <cell r="D1430" t="str">
            <v>no</v>
          </cell>
          <cell r="F1430" t="str">
            <v>F0951</v>
          </cell>
          <cell r="G1430" t="str">
            <v>Vehicle Purchase MGE</v>
          </cell>
          <cell r="H1430" t="str">
            <v>Retire 31 Trucks and 1 Trailer-MGE</v>
          </cell>
          <cell r="I1430" t="str">
            <v>posted to CPR</v>
          </cell>
          <cell r="J1430" t="str">
            <v>Retire 31 MGE Trucks and 1 trailer - attached is detail</v>
          </cell>
          <cell r="L1430">
            <v>42247</v>
          </cell>
          <cell r="M1430">
            <v>42247</v>
          </cell>
          <cell r="N1430">
            <v>42345.490324074097</v>
          </cell>
          <cell r="P1430" t="str">
            <v>0101-043050  JACKSON CTY/KC</v>
          </cell>
          <cell r="Q1430">
            <v>301923.27</v>
          </cell>
          <cell r="R1430">
            <v>37</v>
          </cell>
        </row>
        <row r="1431">
          <cell r="A1431" t="str">
            <v>009815</v>
          </cell>
          <cell r="B1431" t="str">
            <v>LDC 2</v>
          </cell>
          <cell r="D1431" t="str">
            <v>no</v>
          </cell>
          <cell r="F1431" t="str">
            <v>F1111</v>
          </cell>
          <cell r="G1431" t="str">
            <v>MGE System Planning Model</v>
          </cell>
          <cell r="H1431" t="str">
            <v>SynerGEE model for MGE distribution</v>
          </cell>
          <cell r="I1431" t="str">
            <v>in service</v>
          </cell>
          <cell r="J1431" t="str">
            <v>Develop overall SynerGee Model for MGE distribution system.</v>
          </cell>
          <cell r="K1431" t="str">
            <v>Requested per Mark Vlaich</v>
          </cell>
          <cell r="L1431">
            <v>42735</v>
          </cell>
          <cell r="O1431">
            <v>42736</v>
          </cell>
          <cell r="P1431" t="str">
            <v>0101-043050  JACKSON CTY/KC</v>
          </cell>
          <cell r="Q1431">
            <v>189576.02</v>
          </cell>
          <cell r="R1431">
            <v>209142</v>
          </cell>
        </row>
        <row r="1432">
          <cell r="A1432" t="str">
            <v>011283</v>
          </cell>
          <cell r="B1432" t="str">
            <v>LDC 2</v>
          </cell>
          <cell r="D1432" t="str">
            <v>no</v>
          </cell>
          <cell r="F1432" t="str">
            <v>F0639</v>
          </cell>
          <cell r="G1432" t="str">
            <v>EGM Equip-1st Time Installation</v>
          </cell>
          <cell r="H1432" t="str">
            <v>EGM - Independence Pwr &amp; Light</v>
          </cell>
          <cell r="I1432" t="str">
            <v>open</v>
          </cell>
          <cell r="J1432" t="str">
            <v>Mini AT-PT Corrector for Independence Power &amp; Light at Hwy 291 &amp; Salisbury to monitor daily gas usage. Customer will reimburse company actual cost for EGM installation not to exceed $5,445.</v>
          </cell>
          <cell r="K1432" t="str">
            <v>meter no 002402686</v>
          </cell>
          <cell r="P1432" t="str">
            <v>0201-043001  JACKSON CTY/INDEPENDENCE</v>
          </cell>
          <cell r="Q1432">
            <v>2621.19</v>
          </cell>
          <cell r="R1432">
            <v>9</v>
          </cell>
        </row>
        <row r="1433">
          <cell r="A1433" t="str">
            <v>800550</v>
          </cell>
          <cell r="B1433" t="str">
            <v>LDC 2</v>
          </cell>
          <cell r="C1433" t="str">
            <v>03 - Bare Steel Replacement</v>
          </cell>
          <cell r="D1433" t="str">
            <v>yes</v>
          </cell>
          <cell r="F1433" t="str">
            <v>F0604</v>
          </cell>
          <cell r="G1433" t="str">
            <v>Main Replacement - ISRS (S)</v>
          </cell>
          <cell r="H1433" t="str">
            <v>Repl w/ 795F 4P Hayward Ave</v>
          </cell>
          <cell r="I1433" t="str">
            <v>in service</v>
          </cell>
          <cell r="J1433" t="str">
            <v>Install 795' of 4'' PE - Hayward Ave. Abandon 774' of 4'' Bare Steel - Main replacement due to city paving this street. 3 Tie overs</v>
          </cell>
          <cell r="L1433">
            <v>42573</v>
          </cell>
          <cell r="O1433">
            <v>42583</v>
          </cell>
          <cell r="P1433" t="str">
            <v>0201-043001  JACKSON CTY/INDEPENDENCE</v>
          </cell>
          <cell r="Q1433">
            <v>52227.23</v>
          </cell>
          <cell r="R1433">
            <v>-1015</v>
          </cell>
        </row>
        <row r="1434">
          <cell r="A1434" t="str">
            <v>800430</v>
          </cell>
          <cell r="B1434" t="str">
            <v>LDC 2</v>
          </cell>
          <cell r="C1434" t="str">
            <v>03 - Bare Steel Replacement</v>
          </cell>
          <cell r="D1434" t="str">
            <v>yes</v>
          </cell>
          <cell r="F1434" t="str">
            <v>F0604</v>
          </cell>
          <cell r="G1434" t="str">
            <v>Main Replacement - ISRS (S)</v>
          </cell>
          <cell r="H1434" t="str">
            <v>Repl w 4625F 2-4P TCLea&amp;Rogers Ph1</v>
          </cell>
          <cell r="I1434" t="str">
            <v>in service</v>
          </cell>
          <cell r="J1434" t="str">
            <v>Install 3430 Ft of 2in PL IP, 1195 Ft of 4in PL IP, abandon 130 ft of 2in PL LP, 118 Ft of 4in PL LP, 939 Ft of 2in ST LP, 3443 Ft of 4in ST LP Main on T.C. Lea Rd, Westwood Dr, Westwood Ct, and Waldo Dr.</v>
          </cell>
          <cell r="K1434" t="str">
            <v>This main is being replaced as part of the FY16 Bare Steel Replacement Program.
Total service tie overs = 88; Total service abandon = 5; Total service replace = 5</v>
          </cell>
          <cell r="L1434">
            <v>42583</v>
          </cell>
          <cell r="O1434">
            <v>42644</v>
          </cell>
          <cell r="P1434" t="str">
            <v>0201-043001  JACKSON CTY/INDEPENDENCE</v>
          </cell>
          <cell r="Q1434">
            <v>337359.45</v>
          </cell>
          <cell r="R1434">
            <v>911.25</v>
          </cell>
        </row>
        <row r="1435">
          <cell r="A1435" t="str">
            <v>004301</v>
          </cell>
          <cell r="B1435" t="str">
            <v>LDC 2</v>
          </cell>
          <cell r="D1435" t="str">
            <v>yes</v>
          </cell>
          <cell r="E1435" t="str">
            <v>20201132463</v>
          </cell>
          <cell r="F1435" t="str">
            <v>F0578</v>
          </cell>
          <cell r="G1435" t="str">
            <v>Street &amp; Highway Relocates ISRS (S)</v>
          </cell>
          <cell r="H1435" t="str">
            <v>39th St Bridge  Reloc 1545'-6in PE</v>
          </cell>
          <cell r="I1435" t="str">
            <v>posted to CPR</v>
          </cell>
          <cell r="J1435" t="str">
            <v>39th St Bridge  Reloc 1545'-6in PE: Independence: 39th St and Selsa</v>
          </cell>
          <cell r="K1435" t="str">
            <v>Approved by: Regina George-Berry on 03/07/2013,  Public Improvement Project: Street and Bridge Improvements 39th Street for City of Independence. City Project 70511103; Federal Project BRM-3379(430); Bridge No 21250381. Relocate 1545' of 6in PE to new utility easement for road widening and bridge replacement, using 5' of 2in PE to tie onto existing 2in PE on Selsa Rd. Main to retire: 1510' - 6in PE (WO# 00-2190); 32' - 2in PE (WO# 06-1395); 40' - 2in PE (WO# 07-2261). Price per ft $48.98 (ISRS)</v>
          </cell>
          <cell r="L1435">
            <v>41512</v>
          </cell>
          <cell r="M1435">
            <v>41564</v>
          </cell>
          <cell r="N1435">
            <v>41627.582905092597</v>
          </cell>
          <cell r="O1435">
            <v>41730</v>
          </cell>
          <cell r="P1435" t="str">
            <v>0201-043001  JACKSON CTY/INDEPENDENCE</v>
          </cell>
          <cell r="Q1435">
            <v>128896.39</v>
          </cell>
          <cell r="R1435">
            <v>5354</v>
          </cell>
        </row>
        <row r="1436">
          <cell r="A1436" t="str">
            <v>004245</v>
          </cell>
          <cell r="B1436" t="str">
            <v>LDC 2</v>
          </cell>
          <cell r="D1436" t="str">
            <v>no</v>
          </cell>
          <cell r="E1436" t="str">
            <v>20201132879</v>
          </cell>
          <cell r="F1436" t="str">
            <v>F0507</v>
          </cell>
          <cell r="G1436" t="str">
            <v>Rebuild Meter Install 2'' &amp; Lg (S)</v>
          </cell>
          <cell r="H1436" t="str">
            <v>Hidden Lake 5M Meter Set</v>
          </cell>
          <cell r="I1436" t="str">
            <v>posted to CPR</v>
          </cell>
          <cell r="J1436" t="str">
            <v>Hidden Lake 5M Meter Set: Independence: 11400 Hidden Lake Dr</v>
          </cell>
          <cell r="K1436" t="str">
            <v>Approved by: Ralph Janes on 08/13/2013,  The AL 2300 meter (meter# 05444943) at 11400 Hidden Lake Dr. (premise 100014049) is due for change out on the 2013 Time Limit Program. The existing load was gathered: 3,900 cfh. Retire the AL 2300 meter set (original WO# 925344) and rebuild with 5M Rotary meter set on WO# 13-2879.</v>
          </cell>
          <cell r="L1436">
            <v>41562</v>
          </cell>
          <cell r="M1436">
            <v>41626</v>
          </cell>
          <cell r="N1436">
            <v>41630.722164351901</v>
          </cell>
          <cell r="P1436" t="str">
            <v>0201-043001  JACKSON CTY/INDEPENDENCE</v>
          </cell>
          <cell r="Q1436">
            <v>3760.78</v>
          </cell>
          <cell r="R1436">
            <v>87</v>
          </cell>
        </row>
        <row r="1437">
          <cell r="A1437" t="str">
            <v>009135</v>
          </cell>
          <cell r="B1437" t="str">
            <v>LDC 2</v>
          </cell>
          <cell r="D1437" t="str">
            <v>no</v>
          </cell>
          <cell r="E1437" t="str">
            <v>20301155478</v>
          </cell>
          <cell r="F1437" t="str">
            <v>F0676</v>
          </cell>
          <cell r="G1437" t="str">
            <v>Meter &amp; regulator settings - 2" &amp; l</v>
          </cell>
          <cell r="H1437" t="str">
            <v>IHOP Inst 3M Meter</v>
          </cell>
          <cell r="I1437" t="str">
            <v>posted to CPR</v>
          </cell>
          <cell r="J1437" t="str">
            <v>IHOP: Warrensburg: New Meter &amp; Reg Settings - 2in &amp; Larger 3820/3830 (33-382)</v>
          </cell>
          <cell r="K1437" t="str">
            <v>Approved by: Kevin Driskell on 08/03/2015,  Install a 3M Rotary meter setting to serve one new commercial customer.  1-1/4" pe service line to be installed on BWO.</v>
          </cell>
          <cell r="L1437">
            <v>42278</v>
          </cell>
          <cell r="M1437">
            <v>42278</v>
          </cell>
          <cell r="N1437">
            <v>42314.376493055599</v>
          </cell>
          <cell r="O1437">
            <v>42278</v>
          </cell>
          <cell r="P1437" t="str">
            <v>0301-046001  JOHNSON CTY/WARRENSBURG</v>
          </cell>
          <cell r="Q1437">
            <v>1533.3</v>
          </cell>
          <cell r="R1437">
            <v>-30</v>
          </cell>
        </row>
        <row r="1438">
          <cell r="A1438" t="str">
            <v>008693</v>
          </cell>
          <cell r="B1438" t="str">
            <v>LDC 2</v>
          </cell>
          <cell r="D1438" t="str">
            <v>no</v>
          </cell>
          <cell r="E1438" t="str">
            <v>20201155380</v>
          </cell>
          <cell r="F1438" t="str">
            <v>F0507</v>
          </cell>
          <cell r="G1438" t="str">
            <v>Rebuild Meter Install 2'' &amp; Lg (S)</v>
          </cell>
          <cell r="H1438" t="str">
            <v>Rebuild 3M Rotary Meter Set</v>
          </cell>
          <cell r="I1438" t="str">
            <v>posted to CPR</v>
          </cell>
          <cell r="J1438" t="str">
            <v>Rebuild 3M Rotary Meter Set: Independence: Replace Meter &amp; Reg 2&amp;quot; &amp;  Larger - 3820/3830 (32-404)</v>
          </cell>
          <cell r="K1438" t="str">
            <v>Approved by: Kevin Driskell on 06/08/2015,  The AL1400 meter at 14909 E Truman Road (premise #1723, meter #Z5356085, installed on BWO is due for change out on Time Limit.  Existing load:  2,600 cfh.  Rebuild a 3M rotary meter setting and retire the existing meter set.</v>
          </cell>
          <cell r="L1438">
            <v>42228</v>
          </cell>
          <cell r="M1438">
            <v>42491</v>
          </cell>
          <cell r="N1438">
            <v>42528.313275462999</v>
          </cell>
          <cell r="O1438">
            <v>42217</v>
          </cell>
          <cell r="P1438" t="str">
            <v>0201-043001  JACKSON CTY/INDEPENDENCE</v>
          </cell>
          <cell r="Q1438">
            <v>2845.73</v>
          </cell>
          <cell r="R1438">
            <v>-56.5</v>
          </cell>
        </row>
        <row r="1439">
          <cell r="A1439" t="str">
            <v>006845</v>
          </cell>
          <cell r="B1439" t="str">
            <v>LDC 2</v>
          </cell>
          <cell r="D1439" t="str">
            <v>yes</v>
          </cell>
          <cell r="E1439" t="str">
            <v>20201143934</v>
          </cell>
          <cell r="F1439" t="str">
            <v>F0604</v>
          </cell>
          <cell r="G1439" t="str">
            <v>Main Replacement - ISRS (S)</v>
          </cell>
          <cell r="H1439" t="str">
            <v>Replace 2in PCS &amp; 2in PBS m</v>
          </cell>
          <cell r="I1439" t="str">
            <v>posted to CPR</v>
          </cell>
          <cell r="J1439" t="str">
            <v>Replace 2in PCS &amp; 2in PBS main: Independence: Replace Bare Steel Main - 3760 Safety Related (34-394)</v>
          </cell>
          <cell r="K1439" t="str">
            <v>Approved by: Steve Holcomb on 11/05/2014,  Main Replacement project: Replace and abandon existing mains on C-009 pressure system with 7,744' - 2" of PE on C-500 intermediate pressure system between Turner St and Ann St and Independence Ave and Truman Rd. One of the DRS feeding this C-009 pressure system was hit by a car.  We are choosing to replace the bare steel main and uprate the system rather than rebuilding the damaged DRS.  85 tie-overs. Summary of main to abandon (see pipe tab for details): 4,822' - 2" PBS, 2,589' - 2" PCS, 32' - 4" PCS, and 57' - 2" PE. Price per ft = $24.93.  Note: DRS #87 and DRS #90 to be retired on separate work orders. (ISRS)</v>
          </cell>
          <cell r="L1439">
            <v>42090</v>
          </cell>
          <cell r="M1439">
            <v>42124</v>
          </cell>
          <cell r="N1439">
            <v>42223.566608796304</v>
          </cell>
          <cell r="O1439">
            <v>42095</v>
          </cell>
          <cell r="P1439" t="str">
            <v>0201-043001  JACKSON CTY/INDEPENDENCE</v>
          </cell>
          <cell r="Q1439">
            <v>279909.31</v>
          </cell>
          <cell r="R1439">
            <v>-9516.25</v>
          </cell>
        </row>
        <row r="1440">
          <cell r="A1440" t="str">
            <v>005735</v>
          </cell>
          <cell r="B1440" t="str">
            <v>LDC 2</v>
          </cell>
          <cell r="D1440" t="str">
            <v>yes</v>
          </cell>
          <cell r="E1440" t="str">
            <v>20201133055</v>
          </cell>
          <cell r="F1440" t="str">
            <v>F0580</v>
          </cell>
          <cell r="G1440" t="str">
            <v>Replace steel &amp; plastic main</v>
          </cell>
          <cell r="H1440" t="str">
            <v>Jones St Ret DRS 117 &amp; I/O piping T</v>
          </cell>
          <cell r="I1440" t="str">
            <v>posted to CPR</v>
          </cell>
          <cell r="J1440" t="str">
            <v>Jones St Ret DRS 117 &amp; I/O piping Tie-in 10'-2in  : Independence: Replace Coated Steel &amp; Plastic Main - 3760 (34-396)</v>
          </cell>
          <cell r="K1440" t="str">
            <v>Approved by: Ralph Janes on 07/14/2014,  Tie together C-500 and S-117 by replacing 25' of 4in pcs main and 25' of 2in pcs main (wo# B1855C) with 10' of 2in thin film after uprate of pressure system S-117 (MOP=MAOP = 22 oz) to pressure system C-500 (MOP=30 psig and MOAP=44 psig). DRS 117 will be removed and retired on wo# 13-3056.</v>
          </cell>
          <cell r="L1440">
            <v>42060</v>
          </cell>
          <cell r="M1440">
            <v>42094</v>
          </cell>
          <cell r="N1440">
            <v>42193.494791666701</v>
          </cell>
          <cell r="O1440">
            <v>42064</v>
          </cell>
          <cell r="P1440" t="str">
            <v>0201-043001  JACKSON CTY/INDEPENDENCE</v>
          </cell>
          <cell r="Q1440">
            <v>3266.32</v>
          </cell>
          <cell r="R1440">
            <v>35</v>
          </cell>
        </row>
        <row r="1441">
          <cell r="A1441" t="str">
            <v>004949</v>
          </cell>
          <cell r="B1441" t="str">
            <v>LDC 2</v>
          </cell>
          <cell r="D1441" t="str">
            <v>yes</v>
          </cell>
          <cell r="E1441" t="str">
            <v>20312143471</v>
          </cell>
          <cell r="F1441" t="str">
            <v>F0604</v>
          </cell>
          <cell r="G1441" t="str">
            <v>Main Replacement - ISRS (S)</v>
          </cell>
          <cell r="H1441" t="str">
            <v>Folger Repl PBS w 1350'-2in PE main</v>
          </cell>
          <cell r="I1441" t="str">
            <v>posted to CPR</v>
          </cell>
          <cell r="J1441" t="str">
            <v>Folger Repl PBS w 1350'-2in PE main: Carrollton: Replace Bare Steel Main - 3760 Safety Related (34-394)</v>
          </cell>
          <cell r="K1441" t="str">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ell>
          <cell r="L1441">
            <v>41880</v>
          </cell>
          <cell r="M1441">
            <v>41973</v>
          </cell>
          <cell r="N1441">
            <v>42072.424328703702</v>
          </cell>
          <cell r="O1441">
            <v>41944</v>
          </cell>
          <cell r="P1441" t="str">
            <v>0312-014001  CARROLL CTY/CARROLLTON</v>
          </cell>
          <cell r="Q1441">
            <v>16939.84</v>
          </cell>
          <cell r="R1441">
            <v>-1028.5</v>
          </cell>
        </row>
        <row r="1442">
          <cell r="A1442" t="str">
            <v>004322</v>
          </cell>
          <cell r="B1442" t="str">
            <v>LDC 2</v>
          </cell>
          <cell r="D1442" t="str">
            <v>no</v>
          </cell>
          <cell r="E1442" t="str">
            <v>20322122015</v>
          </cell>
          <cell r="F1442" t="str">
            <v>F0672</v>
          </cell>
          <cell r="G1442" t="str">
            <v>Main Repl - Sys Reinforcement (S)</v>
          </cell>
          <cell r="H1442" t="str">
            <v>Commercial &amp; Franklin DRS 2 Cap I/O</v>
          </cell>
          <cell r="I1442" t="str">
            <v>posted to CPR</v>
          </cell>
          <cell r="J1442" t="str">
            <v>Commercial &amp; Franklin DRS 2 Cap I/O Piping: Windsor: Alley between Commercial and Franklin</v>
          </cell>
          <cell r="K1442" t="str">
            <v>Approved by: Ralph Janes on 01/10/2013,  CUT AND CAP INLET AND OUTLET PIPING TO DRS 2 ON WO# 12-2015. DRS 2 WILL BE REMOVED AND RETIRED ON WO# 12-2014. ABANDON 25' OF 4in PBS INLET PIPING. ALSO, ABANDON 16' OF 4in PBS OUTLET PIPING. MUST REBUILD DRS 4 ON WO# 12-2016 BEFORE CONSTRUCTION ON WO# 12-2014 AND/OR WO# 12-2015 BEGINS.</v>
          </cell>
          <cell r="L1442">
            <v>41508</v>
          </cell>
          <cell r="M1442">
            <v>41600</v>
          </cell>
          <cell r="N1442">
            <v>41603.384664351797</v>
          </cell>
          <cell r="O1442">
            <v>41730</v>
          </cell>
          <cell r="P1442" t="str">
            <v>0322-037001  HENRY CTY/WINDSOR</v>
          </cell>
          <cell r="Q1442">
            <v>8992.85</v>
          </cell>
          <cell r="R1442">
            <v>103</v>
          </cell>
        </row>
        <row r="1443">
          <cell r="A1443" t="str">
            <v>800715</v>
          </cell>
          <cell r="B1443" t="str">
            <v>LDC 2</v>
          </cell>
          <cell r="C1443" t="str">
            <v>03 - Bare Steel Replacement</v>
          </cell>
          <cell r="D1443" t="str">
            <v>yes</v>
          </cell>
          <cell r="F1443" t="str">
            <v>F0572</v>
          </cell>
          <cell r="G1443" t="str">
            <v>Main Replacement - ISRS (SW)</v>
          </cell>
          <cell r="H1443" t="str">
            <v>Repl w 5884F 2-4P Monett Phase 1C</v>
          </cell>
          <cell r="I1443" t="str">
            <v>open</v>
          </cell>
          <cell r="J1443" t="str">
            <v>Install 3146 ft of 2in PL IP and 2738 Ft of 4in PL IP and abandon 545 Ft of 2in PL, 40 Ft of 4in PL, 5971 Ft of 2in ST, and 15 Ft of 4in ST in Monett, MO.</v>
          </cell>
          <cell r="K1443" t="str">
            <v>This main is being abandoned as part of FY16 Bare Steel Replacement Program.</v>
          </cell>
          <cell r="P1443" t="str">
            <v>0801-005001  BARRY CTY/MONETT</v>
          </cell>
          <cell r="Q1443">
            <v>0</v>
          </cell>
          <cell r="R1443">
            <v>6571</v>
          </cell>
        </row>
        <row r="1444">
          <cell r="A1444" t="str">
            <v>800232</v>
          </cell>
          <cell r="B1444" t="str">
            <v>LDC 2</v>
          </cell>
          <cell r="D1444" t="str">
            <v>no</v>
          </cell>
          <cell r="F1444" t="str">
            <v>F0523</v>
          </cell>
          <cell r="G1444" t="str">
            <v>New Main Extensions (SW)</v>
          </cell>
          <cell r="H1444" t="str">
            <v>350f 4in Main Ext 22020 Lawrence</v>
          </cell>
          <cell r="I1444" t="str">
            <v>in service</v>
          </cell>
          <cell r="J1444" t="str">
            <v>350ft - 4in PL Main Extension to serve Restaurant/Bar and one LP house in Auroa, Missouri. Address: 22020 Lawerence Street and 19943 E Prospect. System: S-0009 MAOP: 45 MOP: 42 Div: 08 Twn: 09 Sector: C1509 $49.05/ft ($17,167.63) - MGE Crew to be used</v>
          </cell>
          <cell r="L1444">
            <v>42551</v>
          </cell>
          <cell r="O1444">
            <v>42522</v>
          </cell>
          <cell r="P1444" t="str">
            <v>0809-050003  LAWRENCE CTY/AURORA</v>
          </cell>
          <cell r="Q1444">
            <v>2392.5100000000002</v>
          </cell>
          <cell r="R1444">
            <v>-728</v>
          </cell>
        </row>
        <row r="1445">
          <cell r="A1445" t="str">
            <v>004459</v>
          </cell>
          <cell r="B1445" t="str">
            <v>LDC 2</v>
          </cell>
          <cell r="D1445" t="str">
            <v>yes</v>
          </cell>
          <cell r="E1445" t="str">
            <v>20813133159</v>
          </cell>
          <cell r="F1445" t="str">
            <v>F0592</v>
          </cell>
          <cell r="G1445" t="str">
            <v>Replace bare steel main - safety re</v>
          </cell>
          <cell r="H1445" t="str">
            <v>Geneve Repl PBS w  310'-2in PE main</v>
          </cell>
          <cell r="I1445" t="str">
            <v>posted to CPR</v>
          </cell>
          <cell r="J1445" t="str">
            <v>Geneve Repl PBS w  310'-2in PE main: Billings: Geneve and Main</v>
          </cell>
          <cell r="K1445" t="str">
            <v>Approved by: Ken Thomas on 11/20/2013,  Abandon 303' - 2' PBS (WO#'s: J07262, 60285) and replace with 310' - 2" PE due to history of leakage and isolated bare steel. Project Location: Geneve and Main; Pressure System: S-1; MOP: 20 psig; MAOP: 20 psig; Design: 58 psig; Test: 100 psig; ISRS $44.70/ft</v>
          </cell>
          <cell r="L1445">
            <v>41635</v>
          </cell>
          <cell r="M1445">
            <v>41697</v>
          </cell>
          <cell r="N1445">
            <v>41698.505243055602</v>
          </cell>
          <cell r="O1445">
            <v>41730</v>
          </cell>
          <cell r="P1445" t="str">
            <v>0813-019001  CHRISTIAN CTY/BILLING</v>
          </cell>
          <cell r="Q1445">
            <v>17012.16</v>
          </cell>
          <cell r="R1445">
            <v>1244.3</v>
          </cell>
        </row>
        <row r="1446">
          <cell r="A1446" t="str">
            <v>006670</v>
          </cell>
          <cell r="B1446" t="str">
            <v>LDC 2</v>
          </cell>
          <cell r="D1446" t="str">
            <v>no</v>
          </cell>
          <cell r="E1446" t="str">
            <v>20932143803</v>
          </cell>
          <cell r="F1446" t="str">
            <v>F0606</v>
          </cell>
          <cell r="G1446" t="str">
            <v>Station rebuild &amp; replacement</v>
          </cell>
          <cell r="H1446" t="str">
            <v>Rebuild DRS 4 Madison and Foxwood</v>
          </cell>
          <cell r="I1446" t="str">
            <v>posted to CPR</v>
          </cell>
          <cell r="J1446" t="str">
            <v>Rebuild DRS 4 Madison and Foxwood: Raymore: Rebuild District/TB Stations  3780/3790 (45-387)</v>
          </cell>
          <cell r="K1446" t="str">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ell>
          <cell r="L1446">
            <v>42318</v>
          </cell>
          <cell r="M1446">
            <v>42429</v>
          </cell>
          <cell r="N1446">
            <v>42772.501898148097</v>
          </cell>
          <cell r="O1446">
            <v>42309</v>
          </cell>
          <cell r="P1446" t="str">
            <v>0932-016022  CASS CTY/RAYMORE</v>
          </cell>
          <cell r="Q1446">
            <v>31025.45</v>
          </cell>
          <cell r="R1446">
            <v>-63.5</v>
          </cell>
        </row>
        <row r="1447">
          <cell r="A1447" t="str">
            <v>008633</v>
          </cell>
          <cell r="B1447" t="str">
            <v>LDC 2</v>
          </cell>
          <cell r="D1447" t="str">
            <v>yes</v>
          </cell>
          <cell r="E1447" t="str">
            <v>20806155332</v>
          </cell>
          <cell r="F1447" t="str">
            <v>F0634</v>
          </cell>
          <cell r="G1447" t="str">
            <v>Replace bare steel main - safety re</v>
          </cell>
          <cell r="H1447" t="str">
            <v>2in PBS replacement due to CP and L</v>
          </cell>
          <cell r="I1447" t="str">
            <v>posted to CPR</v>
          </cell>
          <cell r="J1447" t="str">
            <v>2in PBS replacement due to CP and Leaks: Neosho: Replace Bare Steel Main - 3760 Safety Related (34-394)</v>
          </cell>
          <cell r="K1447" t="str">
            <v>Approved by: Michael Fornelli on 05/28/2015,  Replace 308' of 2" PBS with 2" PE due to leaks and corrosion found on system. Pressure System: C-0001 MAOP: 42 psig MOP: 42 psig Design: 66 psig Test: 100 psig ISRS</v>
          </cell>
          <cell r="L1447">
            <v>42123</v>
          </cell>
          <cell r="M1447">
            <v>42248</v>
          </cell>
          <cell r="N1447">
            <v>42284.723634259302</v>
          </cell>
          <cell r="O1447">
            <v>42186</v>
          </cell>
          <cell r="P1447" t="str">
            <v>0806-066010  NEWTON CTY/NEOSHO</v>
          </cell>
          <cell r="Q1447">
            <v>9014.52</v>
          </cell>
          <cell r="R1447">
            <v>19.5</v>
          </cell>
        </row>
        <row r="1448">
          <cell r="A1448" t="str">
            <v>006982</v>
          </cell>
          <cell r="B1448" t="str">
            <v>LDC 2</v>
          </cell>
          <cell r="D1448" t="str">
            <v>yes</v>
          </cell>
          <cell r="E1448" t="str">
            <v>20806143870</v>
          </cell>
          <cell r="F1448" t="str">
            <v>F0573</v>
          </cell>
          <cell r="G1448" t="str">
            <v>Replace bare steel main - safety re</v>
          </cell>
          <cell r="H1448" t="str">
            <v>Repl 2in PBS Due to CP Hickory</v>
          </cell>
          <cell r="I1448" t="str">
            <v>posted to CPR</v>
          </cell>
          <cell r="J1448" t="str">
            <v>Repl 2in PBS Due to CP Hickory and St John: Neosho: Replace Bare Steel Main - 3760 Safety Related (34-394)</v>
          </cell>
          <cell r="K1448" t="str">
            <v>Approved by: Galen Shoemaker on 11/20/2014,  Abandon 691' - 2" PBS (WO# J04800) and 3' - 2" PCS (WO# LK 12-134) and replace with 690' - 2" PE to clear CP 14-54 and remove isolated bare steel. Project Location: Hickory and St John; Pressure System: C-1; MOP: 42 psig; MAOP: 42 psig; Design: 58 psig; Test: 100 psig; ISRS $30.91/ft</v>
          </cell>
          <cell r="L1448">
            <v>42151</v>
          </cell>
          <cell r="M1448">
            <v>42217</v>
          </cell>
          <cell r="N1448">
            <v>42345.490243055603</v>
          </cell>
          <cell r="O1448">
            <v>42156</v>
          </cell>
          <cell r="P1448" t="str">
            <v>0806-066010  NEWTON CTY/NEOSHO</v>
          </cell>
          <cell r="Q1448">
            <v>28622.38</v>
          </cell>
          <cell r="R1448">
            <v>28</v>
          </cell>
        </row>
        <row r="1449">
          <cell r="A1449" t="str">
            <v>800195</v>
          </cell>
          <cell r="B1449" t="str">
            <v>LDC 2</v>
          </cell>
          <cell r="D1449" t="str">
            <v>no</v>
          </cell>
          <cell r="F1449" t="str">
            <v>F0664</v>
          </cell>
          <cell r="G1449" t="str">
            <v>Street &amp; Hwy Relocates ISRS (SW)</v>
          </cell>
          <cell r="H1449" t="str">
            <v>1059 Daisy Falls Main Relocation du</v>
          </cell>
          <cell r="I1449" t="str">
            <v>in service</v>
          </cell>
          <cell r="J1449" t="str">
            <v>Relocate 60'of 4" PE at 1059 Daisy Falls, Nixa. This relocation is necessitated by customer request due to home driveway installation.</v>
          </cell>
          <cell r="K1449" t="str">
            <v>Division: 08 Town: 16 Sector: A1408. Pressure System: C-0001 MAOP:44 psig MOP: 44 psig Design: 66 psig Test: 100 psig $54.20/ft ($3,251.97) - MGE CREW Not reimbursable per Ken Stegall 12-18-15 - AMM</v>
          </cell>
          <cell r="L1449">
            <v>42376</v>
          </cell>
          <cell r="O1449">
            <v>42461</v>
          </cell>
          <cell r="P1449" t="str">
            <v>0816-019004  CHRISTIAN CTY/NIXA</v>
          </cell>
          <cell r="Q1449">
            <v>4864.2</v>
          </cell>
          <cell r="R1449">
            <v>-419</v>
          </cell>
        </row>
        <row r="1450">
          <cell r="A1450" t="str">
            <v>006977</v>
          </cell>
          <cell r="B1450" t="str">
            <v>LDC 2</v>
          </cell>
          <cell r="D1450" t="str">
            <v>yes</v>
          </cell>
          <cell r="E1450" t="str">
            <v>20902143919</v>
          </cell>
          <cell r="F1450" t="str">
            <v>F0604</v>
          </cell>
          <cell r="G1450" t="str">
            <v>Main Replacement - ISRS (S)</v>
          </cell>
          <cell r="H1450" t="str">
            <v>Replace PBS 0403 0603</v>
          </cell>
          <cell r="I1450" t="str">
            <v>posted to CPR</v>
          </cell>
          <cell r="J1450" t="str">
            <v>Replace PBS 0403 0603: Raytown: Replace Bare Steel Main - 3760 Safety Related (34-394)</v>
          </cell>
          <cell r="K1450" t="str">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ell>
          <cell r="L1450">
            <v>42314</v>
          </cell>
          <cell r="M1450">
            <v>42429</v>
          </cell>
          <cell r="N1450">
            <v>42528.471736111103</v>
          </cell>
          <cell r="O1450">
            <v>42370</v>
          </cell>
          <cell r="P1450" t="str">
            <v>0902-043025  JACKSON CTY/RAYTOWN</v>
          </cell>
          <cell r="Q1450">
            <v>484139.92</v>
          </cell>
          <cell r="R1450">
            <v>-11026.5</v>
          </cell>
        </row>
        <row r="1451">
          <cell r="A1451" t="str">
            <v>006839</v>
          </cell>
          <cell r="B1451" t="str">
            <v>LDC 2</v>
          </cell>
          <cell r="D1451" t="str">
            <v>yes</v>
          </cell>
          <cell r="E1451" t="str">
            <v>20902143856</v>
          </cell>
          <cell r="F1451" t="str">
            <v>F0604</v>
          </cell>
          <cell r="G1451" t="str">
            <v>Main Replacement - ISRS (S)</v>
          </cell>
          <cell r="H1451" t="str">
            <v>Replace 2in PBS main</v>
          </cell>
          <cell r="I1451" t="str">
            <v>posted to CPR</v>
          </cell>
          <cell r="J1451" t="str">
            <v>Replace 2in PBS main: Raytown: Replace Bare Steel Main - 3760 Safety Related (34-394)</v>
          </cell>
          <cell r="K1451" t="str">
            <v>Approved by: Steve Holcomb on 11/05/2014,  Replace and Abandon 2,726'- 2"PBS (A5385B). Main currently runs on 59 St Terr. between Farley Ave and Kentucky St. and on Farley Ave and Kentucky St south of 59th St. (ISRS)$28.81 per foot.</v>
          </cell>
          <cell r="L1451">
            <v>42102</v>
          </cell>
          <cell r="M1451">
            <v>42124</v>
          </cell>
          <cell r="N1451">
            <v>42223.566597222198</v>
          </cell>
          <cell r="O1451">
            <v>42095</v>
          </cell>
          <cell r="P1451" t="str">
            <v>0902-043025  JACKSON CTY/RAYTOWN</v>
          </cell>
          <cell r="Q1451">
            <v>79818.42</v>
          </cell>
          <cell r="R1451">
            <v>-3206.25</v>
          </cell>
        </row>
        <row r="1452">
          <cell r="A1452" t="str">
            <v>801087</v>
          </cell>
          <cell r="B1452" t="str">
            <v>LDC 2</v>
          </cell>
          <cell r="D1452" t="str">
            <v>no</v>
          </cell>
          <cell r="F1452" t="str">
            <v>F0673</v>
          </cell>
          <cell r="G1452" t="str">
            <v>New Main Extensions (S)</v>
          </cell>
          <cell r="H1452" t="str">
            <v>Install 1250F 2-4P Chapman Farms</v>
          </cell>
          <cell r="I1452" t="str">
            <v>open</v>
          </cell>
          <cell r="J1452" t="str">
            <v>Install ~940 Ft of 2" PL IP Main, ~310 Ft of 4" PL IP Main - Villas at Chapman Farms - 2.</v>
          </cell>
          <cell r="K1452" t="str">
            <v>(30) single family detached homes located at SW 2nd &amp; SW Wind Garden Circle in Blue Springs.  Project Type: Main Extension (MEXTE) to serve 30 residential lots.</v>
          </cell>
          <cell r="P1452" t="str">
            <v>0903-043026  JACKSON CTY/BLUE SPRINGS</v>
          </cell>
          <cell r="Q1452">
            <v>619.86</v>
          </cell>
          <cell r="R1452">
            <v>-30</v>
          </cell>
        </row>
        <row r="1453">
          <cell r="A1453" t="str">
            <v>801052</v>
          </cell>
          <cell r="B1453" t="str">
            <v>LDC 2</v>
          </cell>
          <cell r="D1453" t="str">
            <v>no</v>
          </cell>
          <cell r="F1453" t="str">
            <v>F0673</v>
          </cell>
          <cell r="G1453" t="str">
            <v>New Main Extensions (S)</v>
          </cell>
          <cell r="H1453" t="str">
            <v>Install 3000F 2-6P Ridgewood Place</v>
          </cell>
          <cell r="I1453" t="str">
            <v>open</v>
          </cell>
          <cell r="J1453" t="str">
            <v>Install 2665 ft of 2" plastic main and 335 ft of 6" plastic main for 39 new homes - Ridgewood Place at Chapman Farms 1.</v>
          </cell>
          <cell r="K1453" t="str">
            <v>39 lots - single family detached featuring gas furnace, gas water heaters and fireplaces.  7 Highway &amp; SW Mason School Rd - Lee's Summit.</v>
          </cell>
          <cell r="P1453" t="str">
            <v>0903-043026  JACKSON CTY/BLUE SPRINGS</v>
          </cell>
          <cell r="Q1453">
            <v>783.03</v>
          </cell>
          <cell r="R1453">
            <v>-54</v>
          </cell>
        </row>
        <row r="1454">
          <cell r="A1454" t="str">
            <v>006757</v>
          </cell>
          <cell r="B1454" t="str">
            <v>LDC 2</v>
          </cell>
          <cell r="D1454" t="str">
            <v>no</v>
          </cell>
          <cell r="E1454" t="str">
            <v>20906143928</v>
          </cell>
          <cell r="F1454" t="str">
            <v>F0639</v>
          </cell>
          <cell r="G1454" t="str">
            <v>EGM Equip-1st Time Installation</v>
          </cell>
          <cell r="H1454" t="str">
            <v>EGM Cosentinos Price Chopper - Belt</v>
          </cell>
          <cell r="I1454" t="str">
            <v>in service</v>
          </cell>
          <cell r="J1454" t="str">
            <v>EGM Cosentinos Price Chopper - Belton: Belton: Install EGM Equipment - First Time Installation  3850 (32-403)</v>
          </cell>
          <cell r="K1454" t="str">
            <v>Approved by: Rob Kitterman on 10/28/2014,  Install Mercury MiniMax-AT-PT (S/N: 13094596) with CNI-2 (S/N: 13072603) on Roots 5M meter no 01022712 to monitor daily gas usage of this transportation customer. Customer will reimburse company actual cost for EGM installation not to exceed $5,445.00, which should be coded to account 1072. ATTENTION: Plant &amp; Property Accounting, EGM work order, turn off A&amp;G indicator.</v>
          </cell>
          <cell r="L1454">
            <v>42443</v>
          </cell>
          <cell r="O1454">
            <v>42430</v>
          </cell>
          <cell r="P1454" t="str">
            <v>0906-016001  CASS CTY/BELTON W OF MULLIN RD</v>
          </cell>
          <cell r="Q1454">
            <v>-8.7899999999999991</v>
          </cell>
          <cell r="R1454">
            <v>35</v>
          </cell>
        </row>
        <row r="1455">
          <cell r="A1455" t="str">
            <v>801104</v>
          </cell>
          <cell r="B1455" t="str">
            <v>LDC 2</v>
          </cell>
          <cell r="C1455" t="str">
            <v>09 - Facility Relocation due to Civic Improvement</v>
          </cell>
          <cell r="D1455" t="str">
            <v>yes</v>
          </cell>
          <cell r="F1455" t="str">
            <v>F0578</v>
          </cell>
          <cell r="G1455" t="str">
            <v>Street &amp; Highway Relocates ISRS (S)</v>
          </cell>
          <cell r="H1455" t="str">
            <v>Reloc 705F 4P-8S Hwy291 Harisonvile</v>
          </cell>
          <cell r="I1455" t="str">
            <v>open</v>
          </cell>
          <cell r="J1455" t="str">
            <v>Install ~ 325 Ft of 4" PL IP Main, ~380 Ft of 8" ST IP Main.</v>
          </cell>
          <cell r="K1455" t="str">
            <v>Abandon ~310 Ft of 4" PL IP Main, ~366 Ft of 8" ST IP Main.  Total Service Tie-overs: 2.  Project Type: Main Relocation (MRELO) for Civic Improvement. MODOT.</v>
          </cell>
          <cell r="P1455" t="str">
            <v>0908-016007  CASS CTY/HARRISONVILLE N</v>
          </cell>
          <cell r="Q1455">
            <v>0</v>
          </cell>
          <cell r="R1455">
            <v>676</v>
          </cell>
        </row>
        <row r="1456">
          <cell r="A1456" t="str">
            <v>800480</v>
          </cell>
          <cell r="B1456" t="str">
            <v>LDC 2</v>
          </cell>
          <cell r="C1456" t="str">
            <v>03 - Bare Steel Replacement</v>
          </cell>
          <cell r="D1456" t="str">
            <v>yes</v>
          </cell>
          <cell r="F1456" t="str">
            <v>F0604</v>
          </cell>
          <cell r="G1456" t="str">
            <v>Main Replacement - ISRS (S)</v>
          </cell>
          <cell r="H1456" t="str">
            <v>Repl 9430F 2-4P Pleasant Hill Ph 8</v>
          </cell>
          <cell r="I1456" t="str">
            <v>open</v>
          </cell>
          <cell r="J1456" t="str">
            <v>Install 5223 Ft of 2 in PL IP main and 4207 Ft of 4 in PL IP main on Matthes St, Lexington St, Carrol Dr, Lee Ln, Richmond Dr, Russell Rd, Ridge Tree St, and Woodlawn Dr.</v>
          </cell>
          <cell r="K1456" t="str">
            <v>Abandon 10 Ft of 2 in PL IP main, 15 Ft of 4 in PL IP main, 2944 Ft of 2 in ST IP main, 1272 Ft of 3 in ST IP main, and 5000 Ft of 4 in ST IP main at the above locations.  Total Service Tie-over = 99; Total Service Abandoned = 2; Total Service Replace = 7; Total Service Upgrade = 0.  This main is being abandoned as part of FY16 Bare Steel Replacement Program.</v>
          </cell>
          <cell r="P1456" t="str">
            <v>0909-016012  CASS CTY/PLEASANT HILL</v>
          </cell>
          <cell r="Q1456">
            <v>0</v>
          </cell>
          <cell r="R1456">
            <v>9241</v>
          </cell>
        </row>
        <row r="1457">
          <cell r="A1457" t="str">
            <v>007828</v>
          </cell>
          <cell r="B1457" t="str">
            <v>LDC 2</v>
          </cell>
          <cell r="D1457" t="str">
            <v>yes</v>
          </cell>
          <cell r="E1457" t="str">
            <v>20906155221</v>
          </cell>
          <cell r="F1457" t="str">
            <v>F0604</v>
          </cell>
          <cell r="G1457" t="str">
            <v>Main Replacement - ISRS (S)</v>
          </cell>
          <cell r="H1457" t="str">
            <v>Replace 2in pbs main</v>
          </cell>
          <cell r="I1457" t="str">
            <v>posted to CPR</v>
          </cell>
          <cell r="J1457" t="str">
            <v>Replace 2in pbs main: Belton: Replace Bare Steel Main - 3760 Safety Related (34-394)</v>
          </cell>
          <cell r="K1457" t="str">
            <v>Approved by: Joe Hampton on 03/13/2015,  Replace and abandon 1,363' - 2" pbs, 163. - 2" pcs and 380' - 2" pe main by installing 1,880' - 2" pe main to clear a 5 year old #3 leak. (ISRS)</v>
          </cell>
          <cell r="L1457">
            <v>42184</v>
          </cell>
          <cell r="M1457">
            <v>42216</v>
          </cell>
          <cell r="N1457">
            <v>42284.723402777803</v>
          </cell>
          <cell r="O1457">
            <v>42186</v>
          </cell>
          <cell r="P1457" t="str">
            <v>0906-016001  CASS CTY/BELTON W OF MULLIN RD</v>
          </cell>
          <cell r="Q1457">
            <v>95014.31</v>
          </cell>
          <cell r="R1457">
            <v>-1456</v>
          </cell>
        </row>
        <row r="1458">
          <cell r="A1458" t="str">
            <v>800084</v>
          </cell>
          <cell r="B1458" t="str">
            <v>LDC 2</v>
          </cell>
          <cell r="C1458" t="str">
            <v>03 - Bare Steel Replacement</v>
          </cell>
          <cell r="D1458" t="str">
            <v>yes</v>
          </cell>
          <cell r="F1458" t="str">
            <v>F0604</v>
          </cell>
          <cell r="G1458" t="str">
            <v>Main Replacement - ISRS (S)</v>
          </cell>
          <cell r="H1458" t="str">
            <v>Holden Grid Phase 2H</v>
          </cell>
          <cell r="I1458" t="str">
            <v>in service</v>
          </cell>
          <cell r="J1458" t="str">
            <v>Install 7745 Ft of 2 in PL IP main on 4th St, Vine St, MO-58, Main &amp; 9th St. for Holden Ph 2H. Abandon 607 Ft 2in PL, 3401 Ft 2in ST, 1073 Ft 4in PL &amp; 2499 Ft 4 in ST main at above locations.</v>
          </cell>
          <cell r="K1458" t="str">
            <v>Total Service Tie-over =71; Total Service Replacement =4; Total Service Abandoned =16; Total Service Upgrade =0. This main is being abandoned as part of FY16 Bare Steel Replacement Program</v>
          </cell>
          <cell r="L1458">
            <v>42669</v>
          </cell>
          <cell r="O1458">
            <v>42644</v>
          </cell>
          <cell r="P1458" t="str">
            <v>0910-046008  JOHNSON CTY/HOLDEN</v>
          </cell>
          <cell r="Q1458">
            <v>488841.4</v>
          </cell>
          <cell r="R1458">
            <v>-10017.5</v>
          </cell>
        </row>
        <row r="1459">
          <cell r="A1459" t="str">
            <v>011340</v>
          </cell>
          <cell r="B1459" t="str">
            <v>LDC 2</v>
          </cell>
          <cell r="D1459" t="str">
            <v>no</v>
          </cell>
          <cell r="F1459" t="str">
            <v>F0644</v>
          </cell>
          <cell r="G1459" t="str">
            <v>Meter &amp; Reg Settings 2" &amp; Lg (S)</v>
          </cell>
          <cell r="H1459" t="str">
            <v>3rd Street Social 3M Meter Set</v>
          </cell>
          <cell r="I1459" t="str">
            <v>in service</v>
          </cell>
          <cell r="J1459" t="str">
            <v>Install a 3M Rotary Meter Set to serve one new commerical customer at 123 SE 3rd St.</v>
          </cell>
          <cell r="L1459">
            <v>42512</v>
          </cell>
          <cell r="O1459">
            <v>42614</v>
          </cell>
          <cell r="P1459" t="str">
            <v>0901-043020  JACKSON CTY/LEE'S SUMMIT</v>
          </cell>
          <cell r="Q1459">
            <v>443.02</v>
          </cell>
          <cell r="R1459">
            <v>16</v>
          </cell>
        </row>
        <row r="1460">
          <cell r="A1460" t="str">
            <v>013653</v>
          </cell>
          <cell r="B1460" t="str">
            <v>LDC 2</v>
          </cell>
          <cell r="D1460" t="str">
            <v>no</v>
          </cell>
          <cell r="F1460" t="str">
            <v>F0644</v>
          </cell>
          <cell r="G1460" t="str">
            <v>Meter &amp; Reg Settings 2" &amp; Lg (S)</v>
          </cell>
          <cell r="H1460" t="str">
            <v>LS Community Church 3M</v>
          </cell>
          <cell r="I1460" t="str">
            <v>open</v>
          </cell>
          <cell r="J1460" t="str">
            <v>Replace and retire existing 750 diaphragm meter set by installing a new 3M rotary meter set due to increased load - Lees Summit Community Church at 1440 SW Jefferson St.</v>
          </cell>
          <cell r="K1460" t="str">
            <v>Maximo WO 15614264</v>
          </cell>
          <cell r="P1460" t="str">
            <v>0901-043021  JACKSON CTY/LEE'S SUMMIT OFFIC</v>
          </cell>
          <cell r="Q1460">
            <v>421.01</v>
          </cell>
          <cell r="R1460">
            <v>-54.5</v>
          </cell>
        </row>
        <row r="1461">
          <cell r="A1461" t="str">
            <v>004045</v>
          </cell>
          <cell r="B1461" t="str">
            <v>LDC 2</v>
          </cell>
          <cell r="D1461" t="str">
            <v>no</v>
          </cell>
          <cell r="E1461" t="str">
            <v>20901143375</v>
          </cell>
          <cell r="F1461" t="str">
            <v>F0507</v>
          </cell>
          <cell r="G1461" t="str">
            <v>Rebuild Meter Install 2'' &amp; Lg (S)</v>
          </cell>
          <cell r="H1461" t="str">
            <v>Remove 2M Rotary Meter</v>
          </cell>
          <cell r="I1461" t="str">
            <v>posted to CPR</v>
          </cell>
          <cell r="J1461" t="str">
            <v>Remove 2M Rotary Meter: Lees Summit: 3751 NE Ralph Powell Road</v>
          </cell>
          <cell r="K1461" t="str">
            <v>Approved by: Ralph Janes on 03/06/2014,  Remove and dismantle the 3M rotary meter setting (meter #00447750, installed on WO# 05-9414) due to inactivity.</v>
          </cell>
          <cell r="L1461">
            <v>41711</v>
          </cell>
          <cell r="M1461">
            <v>41729</v>
          </cell>
          <cell r="N1461">
            <v>41733.495636574102</v>
          </cell>
          <cell r="P1461" t="str">
            <v>0901-043021  JACKSON CTY/LEE'S SUMMIT OFFIC</v>
          </cell>
          <cell r="Q1461">
            <v>1044.6400000000001</v>
          </cell>
          <cell r="R1461">
            <v>5</v>
          </cell>
        </row>
        <row r="1462">
          <cell r="A1462" t="str">
            <v>004002</v>
          </cell>
          <cell r="B1462" t="str">
            <v>LDC 2</v>
          </cell>
          <cell r="D1462" t="str">
            <v>no</v>
          </cell>
          <cell r="E1462" t="str">
            <v>20901133162</v>
          </cell>
          <cell r="F1462" t="str">
            <v>F0588</v>
          </cell>
          <cell r="G1462" t="str">
            <v>Transportation &amp; power operated equ</v>
          </cell>
          <cell r="H1462" t="str">
            <v>Pur 2013 2x4 Case backhoe with exte</v>
          </cell>
          <cell r="I1462" t="str">
            <v>posted to CPR</v>
          </cell>
          <cell r="J1462" t="str">
            <v>Pur 2013 2x4 Case backhoe with extend-hoe.: Lees Summit: Lees Summit</v>
          </cell>
          <cell r="K1462" t="str">
            <v>Approved by: Ken Thomas on 11/14/2013,  Purchase one 2013 2x4 Case backhoe with extend-hoe.</v>
          </cell>
          <cell r="L1462">
            <v>41695</v>
          </cell>
          <cell r="M1462">
            <v>41710</v>
          </cell>
          <cell r="N1462">
            <v>41710.614571759303</v>
          </cell>
          <cell r="P1462" t="str">
            <v>0901-043021  JACKSON CTY/LEE'S SUMMIT OFFIC</v>
          </cell>
          <cell r="Q1462">
            <v>69148.97</v>
          </cell>
          <cell r="R1462">
            <v>0</v>
          </cell>
        </row>
        <row r="1463">
          <cell r="A1463" t="str">
            <v>005020</v>
          </cell>
          <cell r="B1463" t="str">
            <v>LDC 2</v>
          </cell>
          <cell r="D1463" t="str">
            <v>no</v>
          </cell>
          <cell r="E1463" t="str">
            <v>20911143499</v>
          </cell>
          <cell r="F1463" t="str">
            <v>F0602</v>
          </cell>
          <cell r="G1463" t="str">
            <v>New business</v>
          </cell>
          <cell r="H1463" t="str">
            <v>101 E Cannon Dr Lay 255'-2in PE mai</v>
          </cell>
          <cell r="I1463" t="str">
            <v>posted to CPR</v>
          </cell>
          <cell r="J1463" t="str">
            <v>101 E Cannon Dr Lay 255'-2in PE main ext: Lone Jack: New Main Extension - Contractor Crews  3760 (33-380)</v>
          </cell>
          <cell r="K1463" t="str">
            <v>Approved by: Ralph Janes on 04/16/2014,  Install 255' - 2" pe main extension to serve one new commercial customer.  260' - 1/2" pe service line to be installed on BWO.</v>
          </cell>
          <cell r="L1463">
            <v>41750</v>
          </cell>
          <cell r="M1463">
            <v>41821</v>
          </cell>
          <cell r="N1463">
            <v>41953.447523148097</v>
          </cell>
          <cell r="O1463">
            <v>41760</v>
          </cell>
          <cell r="P1463" t="str">
            <v>0901-043032  JACKSON CTY/LONE JACK</v>
          </cell>
          <cell r="Q1463">
            <v>7807.21</v>
          </cell>
          <cell r="R1463">
            <v>-857</v>
          </cell>
        </row>
        <row r="1464">
          <cell r="A1464" t="str">
            <v>005798</v>
          </cell>
          <cell r="B1464" t="str">
            <v>LDC 2</v>
          </cell>
          <cell r="D1464" t="str">
            <v>no</v>
          </cell>
          <cell r="E1464" t="str">
            <v>20512143677</v>
          </cell>
          <cell r="F1464" t="str">
            <v>F0496</v>
          </cell>
          <cell r="G1464" t="str">
            <v>New main extensions - less than 200</v>
          </cell>
          <cell r="H1464" t="str">
            <v>Swallow Ln Lay 205'-2in PE main ext</v>
          </cell>
          <cell r="I1464" t="str">
            <v>posted to CPR</v>
          </cell>
          <cell r="J1464" t="str">
            <v>Swallow Ln Lay 205'-2in PE main ext: Leewood/Silver Creek: New Main Extension - Company Crews  3760 (33-305)</v>
          </cell>
          <cell r="K1464" t="str">
            <v>Approved by: Galen Shoemaker on 07/24/2014,  Install 205' 4" PE to proved service to new customer.  Customer will contribute $1430 towards cost of new main.  Project Location: Swallow Ln S of Highland Dr.
System: S-1.  MOP: 30 PSIG.  MAOP: 30 PSIG.  Design: 58 PSIG.  Test: 100 PSIG.  Price Per Foot: $46.23.</v>
          </cell>
          <cell r="L1464">
            <v>41921</v>
          </cell>
          <cell r="M1464">
            <v>42063</v>
          </cell>
          <cell r="N1464">
            <v>42160.553368055596</v>
          </cell>
          <cell r="O1464">
            <v>41944</v>
          </cell>
          <cell r="P1464" t="str">
            <v>0512-066006  NEWTON CTY/LEAWOOD</v>
          </cell>
          <cell r="Q1464">
            <v>13465.16</v>
          </cell>
          <cell r="R1464">
            <v>-571</v>
          </cell>
        </row>
        <row r="1465">
          <cell r="A1465" t="str">
            <v>004201</v>
          </cell>
          <cell r="B1465" t="str">
            <v>LDC 2</v>
          </cell>
          <cell r="D1465" t="str">
            <v>no</v>
          </cell>
          <cell r="E1465" t="str">
            <v>20602132889</v>
          </cell>
          <cell r="F1465" t="str">
            <v>F0677</v>
          </cell>
          <cell r="G1465" t="str">
            <v>New business</v>
          </cell>
          <cell r="H1465" t="str">
            <v>Hwy K Jasper Stone Lay 1975'-6in PE</v>
          </cell>
          <cell r="I1465" t="str">
            <v>posted to CPR</v>
          </cell>
          <cell r="J1465" t="str">
            <v>Hwy K Jasper Stone Lay 1975'-6in PE main: Jasper: HWY K Jasper Stone</v>
          </cell>
          <cell r="K1465" t="str">
            <v>Approved by: Steve Holcomb on 09/03/2013,  Extend main with 1975' - 6in PE to provide service to Jasper Stone. Customer will contribute $115,418.00 prior to work for main extension, 6in service line (WO#: 13-2890), and 16M meter set (WO#: 13-2891). Project Location: Outer Rd and Hwy K; Pressure System: S-1; MOP: 15 psig; MAOP: 20 psig; Design: 58 psig; Test: 100 psig; $38.13/ft</v>
          </cell>
          <cell r="L1465">
            <v>41584</v>
          </cell>
          <cell r="M1465">
            <v>41681</v>
          </cell>
          <cell r="N1465">
            <v>41695.5566666667</v>
          </cell>
          <cell r="O1465">
            <v>41730</v>
          </cell>
          <cell r="P1465" t="str">
            <v>0602-044033  JASPER CTY/JASPER</v>
          </cell>
          <cell r="Q1465">
            <v>576.57000000000005</v>
          </cell>
          <cell r="R1465">
            <v>4474</v>
          </cell>
        </row>
        <row r="1466">
          <cell r="A1466" t="str">
            <v>004473</v>
          </cell>
          <cell r="B1466" t="str">
            <v>LDC 2</v>
          </cell>
          <cell r="D1466" t="str">
            <v>no</v>
          </cell>
          <cell r="E1466" t="str">
            <v>20603133180</v>
          </cell>
          <cell r="F1466" t="str">
            <v>F0611</v>
          </cell>
          <cell r="G1466" t="str">
            <v>Meter &amp; regulator replacements - 2"</v>
          </cell>
          <cell r="H1466" t="str">
            <v>200 W 7th Prefab 11M Rotary Lamar S</v>
          </cell>
          <cell r="I1466" t="str">
            <v>posted to CPR</v>
          </cell>
          <cell r="J1466" t="str">
            <v>200 W 7th Prefab 11M Rotary Lamar School: Lamar: Lamar School 200 W. 7th Lamar</v>
          </cell>
          <cell r="K1466" t="str">
            <v>Approved by: Ken Thomas on 11/25/2013,  THIS WORK IS NECESSARY DUE TO AN EXPANSION AT THE SCHOOL. THE EXISTING SERVICE AND 11M ROTARY SETTING ARE IN CONFLICT WITH THE PLANNED EXPANSION. THERE IS A SHORT LEAD TIME AS THE SCHOOL DID NOT INFORM MGE OF THE EXPANSION. MGE WILL BE REIMBURSED FOR THE COST OF THE WORK WHEN COMPLETE. WILL USE PREFAB SETTING FOR 11M ROTARY METER. WILL USE 2"FLANGED CL34-1 REGULATOR WITH ORANGE CLOSING SPRING, RED/WHITE PILOT SPRING AND 3/4" ORIFICE TO DELIVER 2 PSIG TO THE CUSTOMER. WILL USE 1" FISHER 289H RELIEF SET AT 4 PSIG FOR OVERPRESSURE PROTECTION.WORK ORDER WILL RETIRE 11M SETTING FROM AN UNKNOWN WORK ORDER. SYSTEM 0603-C-1 MAOP=12PSIG  MOP=12PSIG</v>
          </cell>
          <cell r="L1466">
            <v>41617</v>
          </cell>
          <cell r="M1466">
            <v>41670</v>
          </cell>
          <cell r="N1466">
            <v>41677.509780092601</v>
          </cell>
          <cell r="O1466">
            <v>42005</v>
          </cell>
          <cell r="P1466" t="str">
            <v>0603-006001  BARTON CTY/LAMAR</v>
          </cell>
          <cell r="Q1466">
            <v>9104.0300000000007</v>
          </cell>
          <cell r="R1466">
            <v>17</v>
          </cell>
        </row>
        <row r="1467">
          <cell r="A1467" t="str">
            <v>009027</v>
          </cell>
          <cell r="B1467" t="str">
            <v>LDC 2</v>
          </cell>
          <cell r="D1467" t="str">
            <v>no</v>
          </cell>
          <cell r="E1467" t="str">
            <v>20605155350</v>
          </cell>
          <cell r="F1467" t="str">
            <v>F0630</v>
          </cell>
          <cell r="G1467" t="str">
            <v>Meter &amp; Reg Settings 2" &amp; Lg (SW)</v>
          </cell>
          <cell r="H1467" t="str">
            <v>Inst. Prefab Setting For 7M Rotary</v>
          </cell>
          <cell r="I1467" t="str">
            <v>cancelled</v>
          </cell>
          <cell r="J1467" t="str">
            <v>Inst. Prefab Setting For 7M Rotary
: Golden City: New Meter &amp; Reg Settings -DUPLICATE -SEE 009196</v>
          </cell>
          <cell r="K1467" t="str">
            <v>Approved by: Michael Fornelli on 07/24/2015,  This job is necessary to serve a new irrigation operation in Golden City. Will install prefab setting for 7M rotary meter. Customer installing 5 turbocharged Cat 3406 engines with a demand of 1800 cfh each. Will deliver 35 psig. Will use 2" flanged CL34-2 reg with 1/2" orifice, orange closing spring and silver pilot spring. Wiill use 1" Fisher relief set at 40 psig. System 0605-S-2 MAOP=58 PSIG  MOP=55 PSIG</v>
          </cell>
          <cell r="N1467">
            <v>42235.666828703703</v>
          </cell>
          <cell r="P1467" t="str">
            <v>0605-006007  BARTON CTY/GOLDEN CITY</v>
          </cell>
          <cell r="Q1467">
            <v>0</v>
          </cell>
          <cell r="R1467">
            <v>-207</v>
          </cell>
        </row>
        <row r="1468">
          <cell r="A1468" t="str">
            <v>008807</v>
          </cell>
          <cell r="B1468" t="str">
            <v>LDC 2</v>
          </cell>
          <cell r="D1468" t="str">
            <v>no</v>
          </cell>
          <cell r="E1468" t="str">
            <v>21001155253</v>
          </cell>
          <cell r="F1468" t="str">
            <v>F0617</v>
          </cell>
          <cell r="G1468" t="str">
            <v>Street &amp; highway relocates</v>
          </cell>
          <cell r="H1468" t="str">
            <v>Abandon 178ft of 3in PE main</v>
          </cell>
          <cell r="I1468" t="str">
            <v>posted to CPR</v>
          </cell>
          <cell r="J1468" t="str">
            <v>Abandon 178ft of 3in PE main: St Joseph: Relocate for Street &amp; Highway-Public Improvements (44-388)</v>
          </cell>
          <cell r="K1468" t="str">
            <v>Approved by: Gary Williams on 06/29/2015,  Abandon 178ft of 3" PE DUE TO IMPROVEMENTS OF BUSINESS.</v>
          </cell>
          <cell r="L1468">
            <v>42191</v>
          </cell>
          <cell r="M1468">
            <v>42369</v>
          </cell>
          <cell r="N1468">
            <v>42467.490752314799</v>
          </cell>
          <cell r="P1468" t="str">
            <v>1001-010001  ST. JOSEPH CITY/BUCHANAN</v>
          </cell>
          <cell r="Q1468">
            <v>2718.82</v>
          </cell>
          <cell r="R1468">
            <v>194</v>
          </cell>
        </row>
        <row r="1469">
          <cell r="A1469" t="str">
            <v>008803</v>
          </cell>
          <cell r="B1469" t="str">
            <v>LDC 2</v>
          </cell>
          <cell r="D1469" t="str">
            <v>no</v>
          </cell>
          <cell r="E1469" t="str">
            <v>21001155244</v>
          </cell>
          <cell r="F1469" t="str">
            <v>F0533</v>
          </cell>
          <cell r="G1469" t="str">
            <v>Services -  2" &amp; larger</v>
          </cell>
          <cell r="H1469" t="str">
            <v>Upgrade service  line to Fitness ce</v>
          </cell>
          <cell r="I1469" t="str">
            <v>posted to CPR</v>
          </cell>
          <cell r="J1469" t="str">
            <v>Upgrade service  line to Fitness center: St Joseph: New Services 2in &amp; Larger  3800 (33-381)</v>
          </cell>
          <cell r="K1469" t="str">
            <v>Approved by: Gary Williams on 06/29/2015,  Upgrading there service line to a 2" service for adding on buildings. ECONOMIC EVALUATION WILL COVER COST OF SERVICE LINE.</v>
          </cell>
          <cell r="L1469">
            <v>42191</v>
          </cell>
          <cell r="M1469">
            <v>42369</v>
          </cell>
          <cell r="N1469">
            <v>42377.477002314801</v>
          </cell>
          <cell r="O1469">
            <v>42186</v>
          </cell>
          <cell r="P1469" t="str">
            <v>1001-010001  ST. JOSEPH CITY/BUCHANAN</v>
          </cell>
          <cell r="Q1469">
            <v>5046.99</v>
          </cell>
          <cell r="R1469">
            <v>-939</v>
          </cell>
        </row>
        <row r="1470">
          <cell r="A1470" t="str">
            <v>007904</v>
          </cell>
          <cell r="B1470" t="str">
            <v>LDC 2</v>
          </cell>
          <cell r="D1470" t="str">
            <v>yes</v>
          </cell>
          <cell r="E1470" t="str">
            <v>21001155068</v>
          </cell>
          <cell r="F1470" t="str">
            <v>F0678</v>
          </cell>
          <cell r="G1470" t="str">
            <v>Replace bare steel main - safety re</v>
          </cell>
          <cell r="H1470" t="str">
            <v>Repl 1396 ft of 4in BS w/ 4in PE</v>
          </cell>
          <cell r="I1470" t="str">
            <v>posted to CPR</v>
          </cell>
          <cell r="J1470" t="str">
            <v>Repl 1396 ft of 4in BS w/ 4in PE  : St Joseph: Replace Bare Steel Main - 3760 Safety Related (34-394)</v>
          </cell>
          <cell r="K1470" t="str">
            <v>Approved by: Joe Hampton on 03/18/2015,  Replace 1396ft of 4"BS main and 5ft of CS main with PE main due to down project.</v>
          </cell>
          <cell r="L1470">
            <v>42165</v>
          </cell>
          <cell r="M1470">
            <v>42217</v>
          </cell>
          <cell r="N1470">
            <v>42284.723472222198</v>
          </cell>
          <cell r="O1470">
            <v>42156</v>
          </cell>
          <cell r="P1470" t="str">
            <v>1001-010001  ST. JOSEPH CITY/BUCHANAN</v>
          </cell>
          <cell r="Q1470">
            <v>71764.23</v>
          </cell>
          <cell r="R1470">
            <v>-1256</v>
          </cell>
        </row>
        <row r="1471">
          <cell r="A1471" t="str">
            <v>005070</v>
          </cell>
          <cell r="B1471" t="str">
            <v>LDC 2</v>
          </cell>
          <cell r="D1471" t="str">
            <v>no</v>
          </cell>
          <cell r="E1471" t="str">
            <v>20601132350</v>
          </cell>
          <cell r="F1471" t="str">
            <v>F0677</v>
          </cell>
          <cell r="G1471" t="str">
            <v>New business</v>
          </cell>
          <cell r="H1471" t="str">
            <v>Rebekah St Lay 1005'-4in PE main ex</v>
          </cell>
          <cell r="I1471" t="str">
            <v>posted to CPR</v>
          </cell>
          <cell r="J1471" t="str">
            <v>Rebekah St Lay 1005'-4in PE main ext: Carthage: New Main Extension - Contractor Crews  3760 (33-380)</v>
          </cell>
          <cell r="K1471" t="str">
            <v>Approved by: Galen Shoemaker on 04/14/2014,  Install 1005' of 4" PE for new subdivision.  Customer will contribute $19030 towards this work order as well as work order 133097.  Project Location: Rebekah St N &amp; S of Wendy Ln and Caroline Pl W or Rebekah St.  System: C-4.  MOP: 10 PSIG.  MAOP: 10.5 PSIG.  Design: 58 PSIG.  Test: 100 PSIG.  Price Per Foot: $23.51.</v>
          </cell>
          <cell r="L1471">
            <v>41789</v>
          </cell>
          <cell r="M1471">
            <v>42216</v>
          </cell>
          <cell r="N1471">
            <v>42256.640277777798</v>
          </cell>
          <cell r="O1471">
            <v>41913</v>
          </cell>
          <cell r="P1471" t="str">
            <v>0601-044025  JASPER CTY/CARTHAGE</v>
          </cell>
          <cell r="Q1471">
            <v>13561.94</v>
          </cell>
          <cell r="R1471">
            <v>-1957</v>
          </cell>
        </row>
        <row r="1472">
          <cell r="A1472" t="str">
            <v>009226</v>
          </cell>
          <cell r="B1472" t="str">
            <v>LDC 2</v>
          </cell>
          <cell r="D1472" t="str">
            <v>no</v>
          </cell>
          <cell r="E1472" t="str">
            <v>21258155475</v>
          </cell>
          <cell r="F1472" t="str">
            <v>F0610</v>
          </cell>
          <cell r="G1472" t="str">
            <v>New business</v>
          </cell>
          <cell r="H1472" t="str">
            <v>4in PE Main Extension</v>
          </cell>
          <cell r="I1472" t="str">
            <v>posted to CPR</v>
          </cell>
          <cell r="J1472" t="str">
            <v>4in PE Main Extension: Riverside: New Main Extension - Contractor Crews  3760 (33-380)</v>
          </cell>
          <cell r="K1472" t="str">
            <v>Approved by: Ray Wilson on 08/21/2015,  Extend 4'' PE Main 1150' for new commercial customer. Customer to pay $9,312.00 before start of project (received 8-21-15). Pressury system S-713</v>
          </cell>
          <cell r="L1472">
            <v>42265</v>
          </cell>
          <cell r="M1472">
            <v>42461</v>
          </cell>
          <cell r="N1472">
            <v>42496.561261574097</v>
          </cell>
          <cell r="O1472">
            <v>42278</v>
          </cell>
          <cell r="P1472" t="str">
            <v>1258-075017  PLATTE CTY/RIVERSIDE</v>
          </cell>
          <cell r="Q1472">
            <v>17273.560000000001</v>
          </cell>
          <cell r="R1472">
            <v>-2468.5</v>
          </cell>
        </row>
        <row r="1473">
          <cell r="A1473" t="str">
            <v>800028</v>
          </cell>
          <cell r="B1473" t="str">
            <v>LDC 2</v>
          </cell>
          <cell r="C1473" t="str">
            <v>03 - Bare Steel Replacement</v>
          </cell>
          <cell r="D1473" t="str">
            <v>yes</v>
          </cell>
          <cell r="F1473" t="str">
            <v>F0599</v>
          </cell>
          <cell r="G1473" t="str">
            <v>Main Replacement - ISRS (N)</v>
          </cell>
          <cell r="H1473" t="str">
            <v>Liberty Header - Phase 3</v>
          </cell>
          <cell r="I1473" t="str">
            <v>in service</v>
          </cell>
          <cell r="J1473" t="str">
            <v>Install 2295 Ft of 4 in and 120 Ft of 2 in PL IP main on N Prairie St and S Prairie St for Liberty Phase 3 Header. There are 28 Service Tie-Overs. Main is being installed as part of the FY 2016 Bare Steel Replacement Program.</v>
          </cell>
          <cell r="L1473">
            <v>42674</v>
          </cell>
          <cell r="O1473">
            <v>42644</v>
          </cell>
          <cell r="P1473" t="str">
            <v>1207-020001  CLAY CTY/LIBERTY</v>
          </cell>
          <cell r="Q1473">
            <v>124637.28</v>
          </cell>
          <cell r="R1473">
            <v>-4870.25</v>
          </cell>
        </row>
        <row r="1474">
          <cell r="A1474" t="str">
            <v>008062</v>
          </cell>
          <cell r="B1474" t="str">
            <v>LDC 2</v>
          </cell>
          <cell r="D1474" t="str">
            <v>no</v>
          </cell>
          <cell r="E1474" t="str">
            <v>21219155186</v>
          </cell>
          <cell r="F1474" t="str">
            <v>F0610</v>
          </cell>
          <cell r="G1474" t="str">
            <v>New business</v>
          </cell>
          <cell r="H1474" t="str">
            <v>Boyles Motor Inc 4in PE Main Extens</v>
          </cell>
          <cell r="I1474" t="str">
            <v>posted to CPR</v>
          </cell>
          <cell r="J1474" t="str">
            <v>Boyles Motor Inc 4in PE Main Extension: Cameron-Clinton: New Main Extension - Contractor Crews  3760 (33-380)</v>
          </cell>
          <cell r="K1474" t="str">
            <v>Approved by: Ray Wilson on 03/03/2015,  Install 250' of 4" PE to serve one new commercial customer. This project will require a highway permit. New customer load is 600CFH. Customer needs to pay $1,487.00 before the start of project.</v>
          </cell>
          <cell r="L1474">
            <v>42145</v>
          </cell>
          <cell r="M1474">
            <v>42248</v>
          </cell>
          <cell r="N1474">
            <v>42284.723495370403</v>
          </cell>
          <cell r="O1474">
            <v>42186</v>
          </cell>
          <cell r="P1474" t="str">
            <v>1219-021001  CLINTON CTY/CAMERON</v>
          </cell>
          <cell r="Q1474">
            <v>10162.9</v>
          </cell>
          <cell r="R1474">
            <v>-866</v>
          </cell>
        </row>
        <row r="1475">
          <cell r="A1475" t="str">
            <v>005493</v>
          </cell>
          <cell r="B1475" t="str">
            <v>LDC 2</v>
          </cell>
          <cell r="D1475" t="str">
            <v>no</v>
          </cell>
          <cell r="E1475" t="str">
            <v>20925143603</v>
          </cell>
          <cell r="F1475" t="str">
            <v>F0676</v>
          </cell>
          <cell r="G1475" t="str">
            <v>Meter &amp; regulator settings - 2" &amp; l</v>
          </cell>
          <cell r="H1475" t="str">
            <v>Grain Valley HS 11M Meter Set</v>
          </cell>
          <cell r="I1475" t="str">
            <v>posted to CPR</v>
          </cell>
          <cell r="J1475" t="str">
            <v>Grain Valley HS 11M Meter Set: Grain Valley: New Meter &amp; Reg Settings - 2&amp;quot; &amp; Larger 3820/3830 (33-382)</v>
          </cell>
          <cell r="K1475" t="str">
            <v>Approved by: Ralph Janes on 06/05/2014,  Rebuild and retire the existing 11M Rotary meter setting (Work Order  ) by constructing a 16M Rotary meter setting.  Meter to be set at main line pressure with operator monitor regulators downstream set at 2 psig delivery pressure.  Existing load = 12,000 cfh.  New total connected load = 28,000 cfh.  970' of the 4" pe service line was installed on work order 13-2434 on 04/01/13 to get past a proposed retaining wall (actual cost = $19,399.08).  The final 120' of 4" pe service line and the riser to be installed on work order 14-3593</v>
          </cell>
          <cell r="L1475">
            <v>41845</v>
          </cell>
          <cell r="M1475">
            <v>42248</v>
          </cell>
          <cell r="N1475">
            <v>42270.482037037</v>
          </cell>
          <cell r="O1475">
            <v>41852</v>
          </cell>
          <cell r="P1475" t="str">
            <v>0925-043035  JACKSON CTY/GRAIN VALLEY</v>
          </cell>
          <cell r="Q1475">
            <v>13517.57</v>
          </cell>
          <cell r="R1475">
            <v>-100</v>
          </cell>
        </row>
        <row r="1476">
          <cell r="A1476" t="str">
            <v>005029</v>
          </cell>
          <cell r="B1476" t="str">
            <v>LDC 2</v>
          </cell>
          <cell r="D1476" t="str">
            <v>yes</v>
          </cell>
          <cell r="E1476" t="str">
            <v>20925143475</v>
          </cell>
          <cell r="F1476" t="str">
            <v>F0605</v>
          </cell>
          <cell r="G1476" t="str">
            <v>Replace steel &amp; plastic main</v>
          </cell>
          <cell r="H1476" t="str">
            <v>Repl bridle valve &amp; IO piping DRS 1</v>
          </cell>
          <cell r="I1476" t="str">
            <v>posted to CPR</v>
          </cell>
          <cell r="J1476" t="str">
            <v>Repl bridle valve &amp; IO piping DRS 1 0925: Grain Valley: Replace Coated Steel &amp; Plastic Main - 3760 (34-396)</v>
          </cell>
          <cell r="K1476" t="str">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ell>
          <cell r="L1476">
            <v>41990</v>
          </cell>
          <cell r="M1476">
            <v>42094</v>
          </cell>
          <cell r="N1476">
            <v>42193.494131944397</v>
          </cell>
          <cell r="O1476">
            <v>42005</v>
          </cell>
          <cell r="P1476" t="str">
            <v>0925-043035  JACKSON CTY/GRAIN VALLEY</v>
          </cell>
          <cell r="Q1476">
            <v>47431.27</v>
          </cell>
          <cell r="R1476">
            <v>275.27999999999997</v>
          </cell>
        </row>
        <row r="1477">
          <cell r="A1477" t="str">
            <v>007195</v>
          </cell>
          <cell r="B1477" t="str">
            <v>LDC 2</v>
          </cell>
          <cell r="D1477" t="str">
            <v>no</v>
          </cell>
          <cell r="E1477" t="str">
            <v>20101144032</v>
          </cell>
          <cell r="F1477" t="str">
            <v>F0577</v>
          </cell>
          <cell r="G1477" t="str">
            <v>ERT Purchases</v>
          </cell>
          <cell r="H1477" t="str">
            <v>Purchase 5000 Erts September 2015</v>
          </cell>
          <cell r="I1477" t="str">
            <v>posted to CPR</v>
          </cell>
          <cell r="J1477" t="str">
            <v>Purchase 5000 Erts September 2015: Kansas City CORP: Purchase ERT (Electronic Reading Transmitter)  3971 (32-312)</v>
          </cell>
          <cell r="K1477" t="str">
            <v>Approved by: Steve Holcomb on 12/08/2014,  Ert Change Out Program</v>
          </cell>
          <cell r="L1477">
            <v>42199</v>
          </cell>
          <cell r="M1477">
            <v>42461</v>
          </cell>
          <cell r="N1477">
            <v>42496.560150463003</v>
          </cell>
          <cell r="O1477">
            <v>42186</v>
          </cell>
          <cell r="P1477" t="str">
            <v>1904-043050  JACKSON CTY/KC</v>
          </cell>
          <cell r="Q1477">
            <v>192780</v>
          </cell>
          <cell r="R1477">
            <v>5000</v>
          </cell>
        </row>
        <row r="1478">
          <cell r="A1478" t="str">
            <v>004156</v>
          </cell>
          <cell r="B1478" t="str">
            <v>LDC 2</v>
          </cell>
          <cell r="D1478" t="str">
            <v>no</v>
          </cell>
          <cell r="E1478" t="str">
            <v>21904050303</v>
          </cell>
          <cell r="F1478" t="str">
            <v>F0525</v>
          </cell>
          <cell r="G1478" t="str">
            <v>BWO - meters retired</v>
          </cell>
          <cell r="H1478" t="str">
            <v>BWO - RETIRE METERS</v>
          </cell>
          <cell r="I1478" t="str">
            <v>open</v>
          </cell>
          <cell r="J1478" t="str">
            <v>BWO - RETIRE METERS</v>
          </cell>
          <cell r="K1478" t="str">
            <v>Project Type:B</v>
          </cell>
          <cell r="P1478" t="str">
            <v>1904-043050  JACKSON CTY/KC</v>
          </cell>
          <cell r="Q1478">
            <v>366030.89</v>
          </cell>
          <cell r="R1478">
            <v>18732</v>
          </cell>
        </row>
        <row r="1479">
          <cell r="A1479" t="str">
            <v>003885</v>
          </cell>
          <cell r="B1479" t="str">
            <v>LDC 2</v>
          </cell>
          <cell r="D1479" t="str">
            <v>yes</v>
          </cell>
          <cell r="E1479" t="str">
            <v>21261143281</v>
          </cell>
          <cell r="F1479" t="str">
            <v>F0636</v>
          </cell>
          <cell r="G1479" t="str">
            <v>Replace steel &amp; plastic main</v>
          </cell>
          <cell r="H1479" t="str">
            <v>NW 76th Repl PE w 40'-3in CS main</v>
          </cell>
          <cell r="I1479" t="str">
            <v>posted to CPR</v>
          </cell>
          <cell r="J1479" t="str">
            <v>NW 76th Repl PE w 40'-3in CS main: Platte County-Rural: NW 76th and John Anders Rd</v>
          </cell>
          <cell r="K1479" t="str">
            <v>Approved by: Kevin Driskell on 01/23/2014,  Lay 40'-4in thin film for DRS #758 (WO 14-3282).</v>
          </cell>
          <cell r="L1479">
            <v>41684</v>
          </cell>
          <cell r="M1479">
            <v>41729</v>
          </cell>
          <cell r="N1479">
            <v>41733.495601851901</v>
          </cell>
          <cell r="O1479">
            <v>41730</v>
          </cell>
          <cell r="P1479" t="str">
            <v>1261-075025  PLATTE CTY/??? TWP</v>
          </cell>
          <cell r="Q1479">
            <v>8752.23</v>
          </cell>
          <cell r="R1479">
            <v>42</v>
          </cell>
        </row>
        <row r="1480">
          <cell r="A1480" t="str">
            <v>007575</v>
          </cell>
          <cell r="B1480" t="str">
            <v>LDC 2</v>
          </cell>
          <cell r="D1480" t="str">
            <v>no</v>
          </cell>
          <cell r="E1480" t="str">
            <v>21271143929</v>
          </cell>
          <cell r="F1480" t="str">
            <v>F0610</v>
          </cell>
          <cell r="G1480" t="str">
            <v>New business</v>
          </cell>
          <cell r="H1480" t="str">
            <v>Pembrooke Estates - 5th Plat</v>
          </cell>
          <cell r="I1480" t="str">
            <v>posted to CPR</v>
          </cell>
          <cell r="J1480" t="str">
            <v>Pembrooke Estates - 5th Plat: Kansas City-Clay Co: New Main Extension - Contractor Crews  3760 (33-380)</v>
          </cell>
          <cell r="K1480" t="str">
            <v>Approved by: Gary Williams on 02/03/2015,  Laying 1,385' of 2" PE main to serve Pembrooke Estates - 5th Plat with 22 lots. Lots 162-183.</v>
          </cell>
          <cell r="L1480">
            <v>42079</v>
          </cell>
          <cell r="M1480">
            <v>42248</v>
          </cell>
          <cell r="N1480">
            <v>42284.723252314798</v>
          </cell>
          <cell r="O1480">
            <v>42095</v>
          </cell>
          <cell r="P1480" t="str">
            <v>1271-020036  CLAY CTY/KANSAS CITY</v>
          </cell>
          <cell r="Q1480">
            <v>11699.24</v>
          </cell>
          <cell r="R1480">
            <v>-2962</v>
          </cell>
        </row>
        <row r="1481">
          <cell r="A1481" t="str">
            <v>006743</v>
          </cell>
          <cell r="B1481" t="str">
            <v>LDC 2</v>
          </cell>
          <cell r="D1481" t="str">
            <v>no</v>
          </cell>
          <cell r="E1481" t="str">
            <v>21271143911</v>
          </cell>
          <cell r="F1481" t="str">
            <v>F0639</v>
          </cell>
          <cell r="G1481" t="str">
            <v>EGM Equip-1st Time Installation</v>
          </cell>
          <cell r="H1481" t="str">
            <v>EGM - Price Chopper 288 - KC - Ash</v>
          </cell>
          <cell r="I1481" t="str">
            <v>in service</v>
          </cell>
          <cell r="J1481" t="str">
            <v>EGM - Price Chopper 288 - KC - Ash: Kansas City-Clay Co: Install EGM Equipment - First Time Installation  3850 (32-403)</v>
          </cell>
          <cell r="K1481" t="str">
            <v>Approved by: Rob Kitterman on 10/23/2014,  Install Mercury MiniMax-AT-PT (S/N: 1394520) with CNI-2 on Roots 5M meter no 08066874 to monitor daily gas usage of this transportation customer. Customer will reimburse company actual cost for EGM installation not to exceed $5,445.00, which should be coded to account 1072. ATTENTION: Plant &amp; Property Accounting, EGM work order, turn off A&amp;G indicator.</v>
          </cell>
          <cell r="L1481">
            <v>42443</v>
          </cell>
          <cell r="O1481">
            <v>42430</v>
          </cell>
          <cell r="P1481" t="str">
            <v>1271-020036  CLAY CTY/KANSAS CITY</v>
          </cell>
          <cell r="Q1481">
            <v>-7.25</v>
          </cell>
          <cell r="R1481">
            <v>65</v>
          </cell>
        </row>
        <row r="1482">
          <cell r="A1482" t="str">
            <v>004951</v>
          </cell>
          <cell r="B1482" t="str">
            <v>LDC 2</v>
          </cell>
          <cell r="D1482" t="str">
            <v>no</v>
          </cell>
          <cell r="E1482" t="str">
            <v>21271143451</v>
          </cell>
          <cell r="F1482" t="str">
            <v>F0610</v>
          </cell>
          <cell r="G1482" t="str">
            <v>New business</v>
          </cell>
          <cell r="H1482" t="str">
            <v>N Spruce Lay 100'-2in PE main ext</v>
          </cell>
          <cell r="I1482" t="str">
            <v>posted to CPR</v>
          </cell>
          <cell r="J1482" t="str">
            <v>N Spruce Lay 100'-2in PE main ext: Kansas City-Clay Co: New Main Extension - Contractor Crews  3760 (33-380)</v>
          </cell>
          <cell r="K1482" t="str">
            <v>Approved by: Kevin Driskell on 04/04/2014,  LAY 100 FT-2IN PE.  NEEDED 100 FT-2IN PE TO SERVE 2 LOTS.  LOT 5 &amp; 6.  COST PER FOOT=$38.11.</v>
          </cell>
          <cell r="L1482">
            <v>41706</v>
          </cell>
          <cell r="M1482">
            <v>41821</v>
          </cell>
          <cell r="N1482">
            <v>42652.451805555596</v>
          </cell>
          <cell r="O1482">
            <v>42614</v>
          </cell>
          <cell r="P1482" t="str">
            <v>1271-020036  CLAY CTY/KANSAS CITY</v>
          </cell>
          <cell r="Q1482">
            <v>566.39</v>
          </cell>
          <cell r="R1482">
            <v>0</v>
          </cell>
        </row>
        <row r="1483">
          <cell r="A1483" t="str">
            <v>004950</v>
          </cell>
          <cell r="B1483" t="str">
            <v>LDC 2</v>
          </cell>
          <cell r="D1483" t="str">
            <v>no</v>
          </cell>
          <cell r="E1483" t="str">
            <v>21271143269</v>
          </cell>
          <cell r="F1483" t="str">
            <v>F0610</v>
          </cell>
          <cell r="G1483" t="str">
            <v>New business</v>
          </cell>
          <cell r="H1483" t="str">
            <v>N Evanston Lay 1376'-2;440'-4in PE</v>
          </cell>
          <cell r="I1483" t="str">
            <v>posted to CPR</v>
          </cell>
          <cell r="J1483" t="str">
            <v>N Evanston Lay 1376'-2;440'-4in PE main ext: Kansas City-Clay Co: New Main Extension - Contractor Crews  3760 (33-380)</v>
          </cell>
          <cell r="K1483" t="str">
            <v>Approved by: Kevin Driskell on 04/04/2014,  LAY 440'-4" PLEXCO &amp; 1,376'-2" PLEXCO IN ORDER TO SERVE 32 LOTS.  LOTS 1-32.  ROCK IN AREA.  1,816' x $8.50=$15,436.00  CUSTOMER TO CONTRIBUTE $15,436.00 BEFORE START OF PROJECT.  COST PER FOOT=$11.88.  Contribution $15,436 received 3-25-14 per WOES.</v>
          </cell>
          <cell r="L1483">
            <v>41859</v>
          </cell>
          <cell r="M1483">
            <v>41943</v>
          </cell>
          <cell r="N1483">
            <v>42044.362824074102</v>
          </cell>
          <cell r="O1483">
            <v>41883</v>
          </cell>
          <cell r="P1483" t="str">
            <v>1271-020036  CLAY CTY/KANSAS CITY</v>
          </cell>
          <cell r="Q1483">
            <v>20471.8</v>
          </cell>
          <cell r="R1483">
            <v>-4471</v>
          </cell>
        </row>
        <row r="1484">
          <cell r="A1484" t="str">
            <v>003953</v>
          </cell>
          <cell r="B1484" t="str">
            <v>LDC 2</v>
          </cell>
          <cell r="D1484" t="str">
            <v>no</v>
          </cell>
          <cell r="E1484" t="str">
            <v>21271132365</v>
          </cell>
          <cell r="F1484" t="str">
            <v>F0610</v>
          </cell>
          <cell r="G1484" t="str">
            <v>New business</v>
          </cell>
          <cell r="H1484" t="str">
            <v>91st &amp; Mersington Lay 689'-2in; 210</v>
          </cell>
          <cell r="I1484" t="str">
            <v>posted to CPR</v>
          </cell>
          <cell r="J1484" t="str">
            <v>91st &amp; Mersington Lay 689'-2in; 210'-4in main ext: Kansas City-Clay Co: HIGHLANDS OF NORTHVIEW 3</v>
          </cell>
          <cell r="K1484" t="str">
            <v>Approved by: Kevin Driskell on 01/30/2013,  LAY 689'-2in PE &amp; 210-4in PE IN ORDER TO SERVE 16 LOTS IN NEW SUBDIVISION.  LOTS 110-125.  TWO WAY FEED.  899ft X $8.50=$7,641.50  DEVELOPER TO PAY $7,641.50 BEFORE START OF PROJECT.  COST PER FOOT=$20.09</v>
          </cell>
          <cell r="L1484">
            <v>41414</v>
          </cell>
          <cell r="M1484">
            <v>41499</v>
          </cell>
          <cell r="N1484">
            <v>41603.384733796302</v>
          </cell>
          <cell r="O1484">
            <v>41730</v>
          </cell>
          <cell r="P1484" t="str">
            <v>1271-020036  CLAY CTY/KANSAS CITY</v>
          </cell>
          <cell r="Q1484">
            <v>12291.86</v>
          </cell>
          <cell r="R1484">
            <v>2472.5</v>
          </cell>
        </row>
        <row r="1485">
          <cell r="A1485" t="str">
            <v>004188</v>
          </cell>
          <cell r="B1485" t="str">
            <v>LDC 2</v>
          </cell>
          <cell r="D1485" t="str">
            <v>no</v>
          </cell>
          <cell r="E1485" t="str">
            <v>21271133147</v>
          </cell>
          <cell r="F1485" t="str">
            <v>F0660</v>
          </cell>
          <cell r="G1485" t="str">
            <v>Meter &amp; Reg Settings 2" &amp; Lg (N)</v>
          </cell>
          <cell r="H1485" t="str">
            <v>Sams Club 6247 11M mtr set</v>
          </cell>
          <cell r="I1485" t="str">
            <v>posted to CPR</v>
          </cell>
          <cell r="J1485" t="str">
            <v>Sams Club 6247 11M mtr set: Kansas City-Clay Co: 8130 N Church Rd</v>
          </cell>
          <cell r="K1485" t="str">
            <v>Approved by: Mike Fornelli on 11/13/2013,  This work is necessary to install an 11M Roots meter to serve one new commercial customer.We'll set a 2in CL-34-2 regulator at 2psig(5/8in orifice) with a 1in 289H relief set at 3psig for a connected load of 9924cfh.</v>
          </cell>
          <cell r="L1485">
            <v>41668</v>
          </cell>
          <cell r="M1485">
            <v>41718</v>
          </cell>
          <cell r="N1485">
            <v>41719.593148148102</v>
          </cell>
          <cell r="P1485" t="str">
            <v>1271-020036  CLAY CTY/KANSAS CITY</v>
          </cell>
          <cell r="Q1485">
            <v>6463.04</v>
          </cell>
          <cell r="R1485">
            <v>21</v>
          </cell>
        </row>
        <row r="1486">
          <cell r="A1486" t="str">
            <v>004102</v>
          </cell>
          <cell r="B1486" t="str">
            <v>LDC 2</v>
          </cell>
          <cell r="D1486" t="str">
            <v>no</v>
          </cell>
          <cell r="E1486" t="str">
            <v>21271143343</v>
          </cell>
          <cell r="F1486" t="str">
            <v>F0636</v>
          </cell>
          <cell r="G1486" t="str">
            <v>Replace steel &amp; plastic main</v>
          </cell>
          <cell r="H1486" t="str">
            <v>119th Ter &amp; N College Repl 200'-2in</v>
          </cell>
          <cell r="I1486" t="str">
            <v>posted to CPR</v>
          </cell>
          <cell r="J1486" t="str">
            <v>119th Ter &amp; N College Repl 200'-2in PE: Kansas City-Clay Co: 119th Ter and N College</v>
          </cell>
          <cell r="K1486" t="str">
            <v>Approved by: Kevin Driskell on 02/28/2014,  Replacement due to to exposed 2" main caused by erosion. Lay 200'-2in PE and retire 307'-2in PE Retire 1973, 73-3024.</v>
          </cell>
          <cell r="L1486">
            <v>41593</v>
          </cell>
          <cell r="M1486">
            <v>41729</v>
          </cell>
          <cell r="N1486">
            <v>41733.495590277802</v>
          </cell>
          <cell r="O1486">
            <v>41730</v>
          </cell>
          <cell r="P1486" t="str">
            <v>1271-020036  CLAY CTY/KANSAS CITY</v>
          </cell>
          <cell r="Q1486">
            <v>9145.89</v>
          </cell>
          <cell r="R1486">
            <v>684.1</v>
          </cell>
        </row>
        <row r="1487">
          <cell r="A1487" t="str">
            <v>007961</v>
          </cell>
          <cell r="B1487" t="str">
            <v>LDC 2</v>
          </cell>
          <cell r="D1487" t="str">
            <v>yes</v>
          </cell>
          <cell r="E1487" t="str">
            <v>21207155259</v>
          </cell>
          <cell r="F1487" t="str">
            <v>F0663</v>
          </cell>
          <cell r="G1487" t="str">
            <v>Replace bare steel main - safety re</v>
          </cell>
          <cell r="H1487" t="str">
            <v>3in PBS Main Replacement with 4</v>
          </cell>
          <cell r="I1487" t="str">
            <v>posted to CPR</v>
          </cell>
          <cell r="J1487" t="str">
            <v>3in PBS Main Replacement with 4in PE: Liberty: Replace Bare Steel Main - 3760 Safety Related (34-394)</v>
          </cell>
          <cell r="K1487" t="str">
            <v>Approved by: Ray Wilson on 03/27/2015,  Replace 180' of 3" PBS main with 180' of 4" PE due to leakage and install 1- new remote outlet valve at District Regulator Station 9. ISRS</v>
          </cell>
          <cell r="L1487">
            <v>42245</v>
          </cell>
          <cell r="M1487">
            <v>42247</v>
          </cell>
          <cell r="N1487">
            <v>42345.490312499998</v>
          </cell>
          <cell r="O1487">
            <v>42095</v>
          </cell>
          <cell r="P1487" t="str">
            <v>1207-020001  CLAY CTY/LIBERTY</v>
          </cell>
          <cell r="Q1487">
            <v>8526.61</v>
          </cell>
          <cell r="R1487">
            <v>-179</v>
          </cell>
        </row>
        <row r="1488">
          <cell r="A1488" t="str">
            <v>007139</v>
          </cell>
          <cell r="B1488" t="str">
            <v>LDC 2</v>
          </cell>
          <cell r="D1488" t="str">
            <v>no</v>
          </cell>
          <cell r="E1488" t="str">
            <v>21271143724</v>
          </cell>
          <cell r="F1488" t="str">
            <v>F0610</v>
          </cell>
          <cell r="G1488" t="str">
            <v>New business</v>
          </cell>
          <cell r="H1488" t="str">
            <v>Woodneath Farms, The Links-3</v>
          </cell>
          <cell r="I1488" t="str">
            <v>posted to CPR</v>
          </cell>
          <cell r="J1488" t="str">
            <v>Woodneath Farms, The Links-3: Kansas City-Clay Co: New Main Extension - Contractor Crews  3760 (33-380)</v>
          </cell>
          <cell r="K1488" t="str">
            <v>Approved by: Gary Williams on 12/02/2014,  Extend Gas main for Lots 337-386, 2235' of 2'' PE and 733' of 4'' PE. Install main 21' off curb /35' off centerline. There is a 15' U.E. available throughout. R/W is 50'.</v>
          </cell>
          <cell r="L1488">
            <v>42060</v>
          </cell>
          <cell r="M1488">
            <v>42216</v>
          </cell>
          <cell r="N1488">
            <v>42256.6418402778</v>
          </cell>
          <cell r="O1488">
            <v>42125</v>
          </cell>
          <cell r="P1488" t="str">
            <v>1271-020036  CLAY CTY/KANSAS CITY</v>
          </cell>
          <cell r="Q1488">
            <v>60030.93</v>
          </cell>
          <cell r="R1488">
            <v>-2209.1999999999998</v>
          </cell>
        </row>
        <row r="1489">
          <cell r="A1489" t="str">
            <v>800502</v>
          </cell>
          <cell r="B1489" t="str">
            <v>LDC 2</v>
          </cell>
          <cell r="C1489" t="str">
            <v>01 - Cast Iron Strategic Replacement</v>
          </cell>
          <cell r="D1489" t="str">
            <v>yes</v>
          </cell>
          <cell r="F1489" t="str">
            <v>F0599</v>
          </cell>
          <cell r="G1489" t="str">
            <v>Main Replacement - ISRS (N)</v>
          </cell>
          <cell r="H1489" t="str">
            <v>Repl w 5965F 2-4-6P 63rd &amp; 55th St</v>
          </cell>
          <cell r="I1489" t="str">
            <v>open</v>
          </cell>
          <cell r="J1489" t="str">
            <v>Install 1,965 Ft of 2-inch PL IP Main and 2,005 Ft of 4-inch Main on Holmes St and Charlotte St between 55th and 58th St and 1,995 Ft of 6-inch Main on 55th St between Oak St and Rockhill Rd.</v>
          </cell>
          <cell r="K1489" t="str">
            <v>Abandon 2,146 Ft of 4 In CI LP Main, 653 Ft of 8 In CI LP Main, 464 Ft of 3 In ST LP Main, 63 Ft of 3 In Coated ST LP Main and 1,286 Ft of 4 In ST LP Main at the above location. Total Service Tie-over = 144; Total Service Replacement =29; Total Service Abandoned = 1;  This main is being abandoned as part of FY16 Bare Steel Replacement Program.</v>
          </cell>
          <cell r="P1489" t="str">
            <v>0401-043050  JACKSON CTY/KC</v>
          </cell>
          <cell r="Q1489">
            <v>0</v>
          </cell>
          <cell r="R1489">
            <v>4612</v>
          </cell>
        </row>
        <row r="1490">
          <cell r="A1490" t="str">
            <v>011286</v>
          </cell>
          <cell r="B1490" t="str">
            <v>LDC 2</v>
          </cell>
          <cell r="D1490" t="str">
            <v>no</v>
          </cell>
          <cell r="F1490" t="str">
            <v>F0639</v>
          </cell>
          <cell r="G1490" t="str">
            <v>EGM Equip-1st Time Installation</v>
          </cell>
          <cell r="H1490" t="str">
            <v>EGM - KC Bapt Temp - West</v>
          </cell>
          <cell r="I1490" t="str">
            <v>open</v>
          </cell>
          <cell r="J1490" t="str">
            <v>Mini Max AT-PT Corrector for KC Bapt West Temp at 5420 Blue Ridge Cutoff PS in KC to monitor daily gas usage. Customer will reimburse company actual cost for EGM installation not to exceed $5,445.</v>
          </cell>
          <cell r="K1490" t="str">
            <v>meter no 001140253</v>
          </cell>
          <cell r="P1490" t="str">
            <v>0401-043050  JACKSON CTY/KC</v>
          </cell>
          <cell r="Q1490">
            <v>2627.6</v>
          </cell>
          <cell r="R1490">
            <v>9</v>
          </cell>
        </row>
        <row r="1491">
          <cell r="A1491" t="str">
            <v>800383</v>
          </cell>
          <cell r="B1491" t="str">
            <v>LDC 2</v>
          </cell>
          <cell r="C1491" t="str">
            <v>09 - Facility Relocation due to Civic Improvement</v>
          </cell>
          <cell r="D1491" t="str">
            <v>yes</v>
          </cell>
          <cell r="F1491" t="str">
            <v>F0547</v>
          </cell>
          <cell r="G1491" t="str">
            <v>Street &amp; Highway Relocates ISRS (N)</v>
          </cell>
          <cell r="H1491" t="str">
            <v>Target Marlborough East Ph 2 Reloc</v>
          </cell>
          <cell r="I1491" t="str">
            <v>open</v>
          </cell>
          <cell r="J1491" t="str">
            <v>Install 4758' of 2'' PE, 146' of 4'' PE. Abandon 2973' of 2'' PE, 136 ft of 4'' PE, and 1712' of 3'' STL. This project is necessary due to public improvement project Target Marlborough East Phase 2.</v>
          </cell>
          <cell r="K1491" t="str">
            <v>79 Service Tie overs, 6 Service Replacements, and 6 service upgrades</v>
          </cell>
          <cell r="P1491" t="str">
            <v>0401-043050  JACKSON CTY/KC</v>
          </cell>
          <cell r="Q1491">
            <v>380868.95</v>
          </cell>
          <cell r="R1491">
            <v>-9183.25</v>
          </cell>
        </row>
        <row r="1492">
          <cell r="A1492" t="str">
            <v>800157</v>
          </cell>
          <cell r="B1492" t="str">
            <v>LDC 2</v>
          </cell>
          <cell r="C1492" t="str">
            <v>01 - Cast Iron Strategic Replacement</v>
          </cell>
          <cell r="D1492" t="str">
            <v>yes</v>
          </cell>
          <cell r="F1492" t="str">
            <v>F0599</v>
          </cell>
          <cell r="G1492" t="str">
            <v>Main Replacement - ISRS (N)</v>
          </cell>
          <cell r="H1492" t="str">
            <v>N Budd Park CI Grid Repl Phase 1F</v>
          </cell>
          <cell r="I1492" t="str">
            <v>open</v>
          </cell>
          <cell r="J1492" t="str">
            <v>Install 2726 Ft of 4 in and 3566 Ft of 2 in PL IP main for Budd Park Phase 1F. Abandon 186 Ft of 4 in PBS, 932 Ft of 4 in CI, 48 Ft of 6 in PBS, 2483 Ft of 6 in CI, and 2328 Ft of 8 in CI LP main. FY16 Cast Iron Replacement Prog</v>
          </cell>
          <cell r="P1492" t="str">
            <v>0401-043050  JACKSON CTY/KC</v>
          </cell>
          <cell r="Q1492">
            <v>30243.33</v>
          </cell>
          <cell r="R1492">
            <v>-7865.25</v>
          </cell>
        </row>
        <row r="1493">
          <cell r="A1493" t="str">
            <v>009798</v>
          </cell>
          <cell r="B1493" t="str">
            <v>LDC 2</v>
          </cell>
          <cell r="D1493" t="str">
            <v>no</v>
          </cell>
          <cell r="F1493" t="str">
            <v>F0639</v>
          </cell>
          <cell r="G1493" t="str">
            <v>EGM Equip-1st Time Installation</v>
          </cell>
          <cell r="H1493" t="str">
            <v>EGM - Clean Energy CNG</v>
          </cell>
          <cell r="I1493" t="str">
            <v>in service</v>
          </cell>
          <cell r="J1493" t="str">
            <v>Install Mini-AT-PT for Clean Energy CNG at 5350 Municipal Ave, KC MO to monitor daily gas usage for this customer.  Customer will reimburse company actual cost for EGM installation not to exceed $5,445.</v>
          </cell>
          <cell r="L1493">
            <v>42443</v>
          </cell>
          <cell r="O1493">
            <v>42461</v>
          </cell>
          <cell r="P1493" t="str">
            <v>0401-043050  JACKSON CTY/KC</v>
          </cell>
          <cell r="Q1493">
            <v>2752.79</v>
          </cell>
          <cell r="R1493">
            <v>9</v>
          </cell>
        </row>
        <row r="1494">
          <cell r="A1494" t="str">
            <v>008801</v>
          </cell>
          <cell r="B1494" t="str">
            <v>LDC 2</v>
          </cell>
          <cell r="D1494" t="str">
            <v>no</v>
          </cell>
          <cell r="F1494" t="str">
            <v>F0950</v>
          </cell>
          <cell r="G1494" t="str">
            <v>Power Operated Eq - MGE</v>
          </cell>
          <cell r="H1494" t="str">
            <v>Purchase (1) pipe trailer. MGE*</v>
          </cell>
          <cell r="I1494" t="str">
            <v>posted to CPR</v>
          </cell>
          <cell r="J1494" t="str">
            <v>Purchase one 40' stick pipe trailer for new crews MGE*</v>
          </cell>
          <cell r="L1494">
            <v>42308</v>
          </cell>
          <cell r="M1494">
            <v>42400</v>
          </cell>
          <cell r="N1494">
            <v>42467.490752314799</v>
          </cell>
          <cell r="O1494">
            <v>42339</v>
          </cell>
          <cell r="P1494" t="str">
            <v>0401-043050  JACKSON CTY/KC</v>
          </cell>
          <cell r="Q1494">
            <v>14604.36</v>
          </cell>
          <cell r="R1494">
            <v>2</v>
          </cell>
        </row>
        <row r="1495">
          <cell r="A1495" t="str">
            <v>008695</v>
          </cell>
          <cell r="B1495" t="str">
            <v>LDC 2</v>
          </cell>
          <cell r="D1495" t="str">
            <v>no</v>
          </cell>
          <cell r="F1495" t="str">
            <v>F0850</v>
          </cell>
          <cell r="G1495" t="str">
            <v>Facilities - MGE - Remodel Svc Cen</v>
          </cell>
          <cell r="H1495" t="str">
            <v>MGE - Remodel Central Service Cente</v>
          </cell>
          <cell r="I1495" t="str">
            <v>in service</v>
          </cell>
          <cell r="J1495" t="str">
            <v>Remodel MGE Central Service Center 7500 E. 35th Terrace, Kansas City MO  64129</v>
          </cell>
          <cell r="K1495" t="str">
            <v>See attachment for list of items to retire from 3420 Broadway Building - Leasehold Structure Improvements</v>
          </cell>
          <cell r="L1495">
            <v>42308</v>
          </cell>
          <cell r="O1495">
            <v>42339</v>
          </cell>
          <cell r="P1495" t="str">
            <v>0401-043050  JACKSON CTY/KC</v>
          </cell>
          <cell r="Q1495">
            <v>4488497.93</v>
          </cell>
          <cell r="R1495">
            <v>443773</v>
          </cell>
        </row>
        <row r="1496">
          <cell r="A1496" t="str">
            <v>007822</v>
          </cell>
          <cell r="B1496" t="str">
            <v>LDC 2</v>
          </cell>
          <cell r="D1496" t="str">
            <v>no</v>
          </cell>
          <cell r="E1496" t="str">
            <v>20401155208</v>
          </cell>
          <cell r="F1496" t="str">
            <v>F0670</v>
          </cell>
          <cell r="G1496" t="str">
            <v>Tools, Instruments &amp; Equipment (N)</v>
          </cell>
          <cell r="H1496" t="str">
            <v>Purchase Locator Bag/Kit</v>
          </cell>
          <cell r="I1496" t="str">
            <v>posted to CPR</v>
          </cell>
          <cell r="J1496" t="str">
            <v>Purchase Locator Bag/Kit: Kansas City-Jackson: Purchase Tools, Instruments &amp; Equipment  3940 (37-366)</v>
          </cell>
          <cell r="K1496" t="str">
            <v>Approved by: Ray Wilson on 03/11/2015,  Purchase Locator Bag/Kit. This is not a replacement tool this is for our locators within the company.</v>
          </cell>
          <cell r="L1496">
            <v>42135</v>
          </cell>
          <cell r="M1496">
            <v>42491</v>
          </cell>
          <cell r="N1496">
            <v>42527.511655092603</v>
          </cell>
          <cell r="O1496">
            <v>42125</v>
          </cell>
          <cell r="P1496" t="str">
            <v>0401-043050  JACKSON CTY/KC</v>
          </cell>
          <cell r="Q1496">
            <v>9255.82</v>
          </cell>
          <cell r="R1496">
            <v>8</v>
          </cell>
        </row>
        <row r="1497">
          <cell r="A1497" t="str">
            <v>007793</v>
          </cell>
          <cell r="B1497" t="str">
            <v>LDC 2</v>
          </cell>
          <cell r="D1497" t="str">
            <v>no</v>
          </cell>
          <cell r="E1497" t="str">
            <v>20401155185</v>
          </cell>
          <cell r="F1497" t="str">
            <v>F0639</v>
          </cell>
          <cell r="G1497" t="str">
            <v>EGM Equip-1st Time Installation</v>
          </cell>
          <cell r="H1497" t="str">
            <v>EGM - Rockhurst University - Arrupe</v>
          </cell>
          <cell r="I1497" t="str">
            <v>in service</v>
          </cell>
          <cell r="J1497" t="str">
            <v>EGM - Rockhurst University - Arrupe Hall: Kansas City-Jackson: Install EGM Equipment - First Time Installation  3850 (32-403)</v>
          </cell>
          <cell r="K1497" t="str">
            <v>Approved by: Gary Williams on 03/03/2015,  Install Mercury Mini AT-PT (S/N:                   ) with CNI-2 (S/N:                 ) on Roots 5M-175 ID meter no 01300711 to monitor daily gas usage of this transportation customer. Customer will reimburse company actual cost for EGM installation not to exceed $5,445.00, which should be coded to account 1072. ATTENTION: Plant &amp; Property Accounting, EGM work order, turn off A&amp;G indicator.</v>
          </cell>
          <cell r="L1497">
            <v>42443</v>
          </cell>
          <cell r="O1497">
            <v>42461</v>
          </cell>
          <cell r="P1497" t="str">
            <v>0401-043050  JACKSON CTY/KC</v>
          </cell>
          <cell r="Q1497">
            <v>3191.83</v>
          </cell>
          <cell r="R1497">
            <v>49</v>
          </cell>
        </row>
        <row r="1498">
          <cell r="A1498" t="str">
            <v>005994</v>
          </cell>
          <cell r="B1498" t="str">
            <v>LDC 2</v>
          </cell>
          <cell r="D1498" t="str">
            <v>no</v>
          </cell>
          <cell r="E1498" t="str">
            <v>20401143416</v>
          </cell>
          <cell r="F1498" t="str">
            <v>F0610</v>
          </cell>
          <cell r="G1498" t="str">
            <v>New business</v>
          </cell>
          <cell r="H1498" t="str">
            <v>6'' PLASTIC MAIN EXTENSION</v>
          </cell>
          <cell r="I1498" t="str">
            <v>posted to CPR</v>
          </cell>
          <cell r="J1498" t="str">
            <v>6'' PLASTIC MAIN EXTENSION: Kansas City-Jackson: New Main Extension - Contractor Crews  3760 (33-380)</v>
          </cell>
          <cell r="K1498" t="str">
            <v>Approved by: Steve Holcomb on 08/18/2014,  (NEW MAIN EXTENSION) INSTALL 2,695' OF 6'' PLASTIC PIPE 2406 TO SERVE 8116 WILSON ROAD, THIS IS TO ELIMINATE THEIR EXISTING 8'' HOUSE LINE HANGING ON BUILDING AND CROSSING RIVER. COMPANY -(MOLY-COP). Service line to be installed on WO 14-3650.  Check for $94,905 received 8-11-14 per WOES.</v>
          </cell>
          <cell r="L1498">
            <v>41950</v>
          </cell>
          <cell r="M1498">
            <v>42248</v>
          </cell>
          <cell r="N1498">
            <v>42284.722094907404</v>
          </cell>
          <cell r="O1498">
            <v>41944</v>
          </cell>
          <cell r="P1498" t="str">
            <v>0401-043050  JACKSON CTY/KC</v>
          </cell>
          <cell r="Q1498">
            <v>83625.2</v>
          </cell>
          <cell r="R1498">
            <v>-5481.5</v>
          </cell>
        </row>
        <row r="1499">
          <cell r="A1499" t="str">
            <v>005677</v>
          </cell>
          <cell r="B1499" t="str">
            <v>LDC 2</v>
          </cell>
          <cell r="D1499" t="str">
            <v>yes</v>
          </cell>
          <cell r="E1499" t="str">
            <v>20401143586</v>
          </cell>
          <cell r="F1499" t="str">
            <v>F0599</v>
          </cell>
          <cell r="G1499" t="str">
            <v>Main Replacement - ISRS (N)</v>
          </cell>
          <cell r="H1499" t="str">
            <v>CI Repl due to graphitization</v>
          </cell>
          <cell r="I1499" t="str">
            <v>posted to CPR</v>
          </cell>
          <cell r="J1499" t="str">
            <v>CI Repl due to graphitization: Kansas City-Jackson: Replace Cast Iron Main - 3760 Safety Related (34-412)</v>
          </cell>
          <cell r="K1499" t="str">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ell>
          <cell r="L1499">
            <v>41936</v>
          </cell>
          <cell r="M1499">
            <v>42144</v>
          </cell>
          <cell r="N1499">
            <v>42193.494687500002</v>
          </cell>
          <cell r="O1499">
            <v>41913</v>
          </cell>
          <cell r="P1499" t="str">
            <v>0401-043050  JACKSON CTY/KC</v>
          </cell>
          <cell r="Q1499">
            <v>215607.26</v>
          </cell>
          <cell r="R1499">
            <v>-2886.5</v>
          </cell>
        </row>
        <row r="1500">
          <cell r="A1500" t="str">
            <v>005854</v>
          </cell>
          <cell r="B1500" t="str">
            <v>LDC 2</v>
          </cell>
          <cell r="D1500" t="str">
            <v>yes</v>
          </cell>
          <cell r="E1500" t="str">
            <v>20401143682</v>
          </cell>
          <cell r="F1500" t="str">
            <v>F0663</v>
          </cell>
          <cell r="G1500" t="str">
            <v>Replace bare steel main - safety re</v>
          </cell>
          <cell r="H1500" t="str">
            <v>Kensington &amp; E 112 Ter Reloc PB w 1</v>
          </cell>
          <cell r="I1500" t="str">
            <v>posted to CPR</v>
          </cell>
          <cell r="J1500" t="str">
            <v>Kensington &amp; E 112 Ter Reloc PB w 10'-2in CS main: Kansas City-Jackson: Replace Bare Steel Main - 3760 Safety Related (34-394)</v>
          </cell>
          <cell r="K1500" t="str">
            <v>Approved by: Kevin Driskell on 08/03/2014,  Relocated 2'' PBS because it was going through a curb inlet box. Pressure System C-26.</v>
          </cell>
          <cell r="L1500">
            <v>41789</v>
          </cell>
          <cell r="M1500">
            <v>41852</v>
          </cell>
          <cell r="N1500">
            <v>41936.6259027778</v>
          </cell>
          <cell r="O1500">
            <v>41852</v>
          </cell>
          <cell r="P1500" t="str">
            <v>0401-043050  JACKSON CTY/KC</v>
          </cell>
          <cell r="Q1500">
            <v>2216.5700000000002</v>
          </cell>
          <cell r="R1500">
            <v>80</v>
          </cell>
        </row>
        <row r="1501">
          <cell r="A1501" t="str">
            <v>004351</v>
          </cell>
          <cell r="B1501" t="str">
            <v>LDC 2</v>
          </cell>
          <cell r="D1501" t="str">
            <v>no</v>
          </cell>
          <cell r="E1501" t="str">
            <v>20401133023</v>
          </cell>
          <cell r="F1501" t="str">
            <v>F0670</v>
          </cell>
          <cell r="G1501" t="str">
            <v>Tools, Instruments &amp; Equipment (N)</v>
          </cell>
          <cell r="H1501" t="str">
            <v>PUR 3 ROCK DRILLS</v>
          </cell>
          <cell r="I1501" t="str">
            <v>posted to CPR</v>
          </cell>
          <cell r="J1501" t="str">
            <v>PUR 3 ROCK DRILLS: Kansas City-Jackson: 7500 E 35TH TER</v>
          </cell>
          <cell r="K1501" t="str">
            <v>Approved by: Gary Williams on 09/26/2013,  PURCHASING 3- ROCK DRILLS. THESE TOOLS ARE USED BY THE C&amp;M CREWS AT CENTRAL. THESE TOOLS ARE USED TO BREAK/REMOVE SOIL,ROCK ETC AWAY FROM UNDERGROUND GAS FACILITIES. RECEIVED QUOTES FROM OHIO POWER TOOL $804.05,HERTZ EQUIPMENT RENTAL $859.22 AND HEATH SALES AND SERVICE INC. $804.37. THESE ARE NOT REPLACEMENT TOOLS.</v>
          </cell>
          <cell r="L1501">
            <v>41567</v>
          </cell>
          <cell r="M1501">
            <v>41626</v>
          </cell>
          <cell r="N1501">
            <v>41630.722141203703</v>
          </cell>
          <cell r="P1501" t="str">
            <v>0401-043050  JACKSON CTY/KC</v>
          </cell>
          <cell r="Q1501">
            <v>5935.85</v>
          </cell>
          <cell r="R1501">
            <v>0</v>
          </cell>
        </row>
        <row r="1502">
          <cell r="A1502" t="str">
            <v>004969</v>
          </cell>
          <cell r="B1502" t="str">
            <v>LDC 2</v>
          </cell>
          <cell r="D1502" t="str">
            <v>no</v>
          </cell>
          <cell r="F1502" t="str">
            <v>F0680</v>
          </cell>
          <cell r="G1502" t="str">
            <v>Regulatory Assets MGE</v>
          </cell>
          <cell r="H1502" t="str">
            <v>Reg Ast Eng Eff SH Reb MG</v>
          </cell>
          <cell r="I1502" t="str">
            <v>open</v>
          </cell>
          <cell r="J1502" t="str">
            <v>Energy Efficiency - Space Heating Rebates MGE</v>
          </cell>
          <cell r="P1502" t="str">
            <v>Expense Only</v>
          </cell>
          <cell r="Q1502">
            <v>152321.41</v>
          </cell>
          <cell r="R1502">
            <v>0</v>
          </cell>
        </row>
        <row r="1503">
          <cell r="A1503" t="str">
            <v>004802</v>
          </cell>
          <cell r="B1503" t="str">
            <v>LDC 2</v>
          </cell>
          <cell r="D1503" t="str">
            <v>no</v>
          </cell>
          <cell r="E1503" t="str">
            <v>29120000000</v>
          </cell>
          <cell r="F1503" t="str">
            <v>F0720</v>
          </cell>
          <cell r="G1503" t="str">
            <v>Demo &amp; Selling - Res MGE</v>
          </cell>
          <cell r="H1503" t="str">
            <v>Demo &amp; Selling - Res MGE</v>
          </cell>
          <cell r="I1503" t="str">
            <v>open</v>
          </cell>
          <cell r="J1503" t="str">
            <v>Demo &amp; Selling - Res MGE</v>
          </cell>
          <cell r="P1503" t="str">
            <v>Expense Only</v>
          </cell>
          <cell r="Q1503">
            <v>2404563.83</v>
          </cell>
          <cell r="R1503">
            <v>388855.41</v>
          </cell>
        </row>
        <row r="1504">
          <cell r="A1504" t="str">
            <v>004798</v>
          </cell>
          <cell r="B1504" t="str">
            <v>LDC 2</v>
          </cell>
          <cell r="D1504" t="str">
            <v>no</v>
          </cell>
          <cell r="E1504" t="str">
            <v>29080000000</v>
          </cell>
          <cell r="F1504" t="str">
            <v>F0718</v>
          </cell>
          <cell r="G1504" t="str">
            <v>Customer Assistance MGE</v>
          </cell>
          <cell r="H1504" t="str">
            <v>Customer Assistance MGE</v>
          </cell>
          <cell r="I1504" t="str">
            <v>open</v>
          </cell>
          <cell r="J1504" t="str">
            <v>Customer Assistance MGE</v>
          </cell>
          <cell r="P1504" t="str">
            <v>Expense Only</v>
          </cell>
          <cell r="Q1504">
            <v>151603.42000000001</v>
          </cell>
          <cell r="R1504">
            <v>48546.46</v>
          </cell>
        </row>
        <row r="1505">
          <cell r="A1505" t="str">
            <v>004755</v>
          </cell>
          <cell r="B1505" t="str">
            <v>LDC 2</v>
          </cell>
          <cell r="D1505" t="str">
            <v>no</v>
          </cell>
          <cell r="E1505" t="str">
            <v>28930100000</v>
          </cell>
          <cell r="F1505" t="str">
            <v>F0712</v>
          </cell>
          <cell r="G1505" t="str">
            <v>Maintenance of Meters MGE</v>
          </cell>
          <cell r="H1505" t="str">
            <v>Mtce Res/Sm Comm Mtr MGE</v>
          </cell>
          <cell r="I1505" t="str">
            <v>open</v>
          </cell>
          <cell r="J1505" t="str">
            <v>Mtce Res/Sm Comm Mtr MGE</v>
          </cell>
          <cell r="P1505" t="str">
            <v>Expense Only</v>
          </cell>
          <cell r="Q1505">
            <v>12871.65</v>
          </cell>
          <cell r="R1505">
            <v>1108</v>
          </cell>
        </row>
        <row r="1506">
          <cell r="A1506" t="str">
            <v>004844</v>
          </cell>
          <cell r="B1506" t="str">
            <v>LDC 2</v>
          </cell>
          <cell r="D1506" t="str">
            <v>no</v>
          </cell>
          <cell r="E1506" t="str">
            <v>29260100360</v>
          </cell>
          <cell r="F1506" t="str">
            <v>F0727</v>
          </cell>
          <cell r="G1506" t="str">
            <v>Group Insurance MGE</v>
          </cell>
          <cell r="H1506" t="str">
            <v>Dental Expense MGE</v>
          </cell>
          <cell r="I1506" t="str">
            <v>open</v>
          </cell>
          <cell r="J1506" t="str">
            <v>Dental Expense MGE</v>
          </cell>
          <cell r="P1506" t="str">
            <v>Expense Only</v>
          </cell>
          <cell r="Q1506">
            <v>1215591.08</v>
          </cell>
          <cell r="R1506">
            <v>0</v>
          </cell>
        </row>
        <row r="1507">
          <cell r="A1507" t="str">
            <v>004721</v>
          </cell>
          <cell r="B1507" t="str">
            <v>LDC 2</v>
          </cell>
          <cell r="D1507" t="str">
            <v>no</v>
          </cell>
          <cell r="E1507" t="str">
            <v>28780700000</v>
          </cell>
          <cell r="F1507" t="str">
            <v>F0702</v>
          </cell>
          <cell r="G1507" t="str">
            <v>Meter &amp; House Reg Work MGE</v>
          </cell>
          <cell r="H1507" t="str">
            <v>Turn Ons MGE</v>
          </cell>
          <cell r="I1507" t="str">
            <v>open</v>
          </cell>
          <cell r="J1507" t="str">
            <v>Turn Ons MGE</v>
          </cell>
          <cell r="P1507" t="str">
            <v>Expense Only</v>
          </cell>
          <cell r="Q1507">
            <v>10271681.92</v>
          </cell>
          <cell r="R1507">
            <v>164395.69</v>
          </cell>
        </row>
        <row r="1508">
          <cell r="A1508" t="str">
            <v>004691</v>
          </cell>
          <cell r="B1508" t="str">
            <v>LDC 2</v>
          </cell>
          <cell r="D1508" t="str">
            <v>no</v>
          </cell>
          <cell r="E1508" t="str">
            <v>21841201000</v>
          </cell>
          <cell r="F1508" t="str">
            <v>F0732</v>
          </cell>
          <cell r="G1508" t="str">
            <v>Transportation &amp; Eq Clrg MGE</v>
          </cell>
          <cell r="H1508" t="str">
            <v>Fleet Clrg - 21841201000 MGE</v>
          </cell>
          <cell r="I1508" t="str">
            <v>open</v>
          </cell>
          <cell r="J1508" t="str">
            <v>Fleet Clrg - 21841201000 MGE</v>
          </cell>
          <cell r="P1508" t="str">
            <v>Expense Only</v>
          </cell>
          <cell r="Q1508">
            <v>437.25</v>
          </cell>
          <cell r="R1508">
            <v>0</v>
          </cell>
        </row>
        <row r="1509">
          <cell r="A1509" t="str">
            <v>800211</v>
          </cell>
          <cell r="B1509" t="str">
            <v>LDC 2</v>
          </cell>
          <cell r="D1509" t="str">
            <v>no</v>
          </cell>
          <cell r="F1509" t="str">
            <v>F0523</v>
          </cell>
          <cell r="G1509" t="str">
            <v>New Main Extensions (SW)</v>
          </cell>
          <cell r="H1509" t="str">
            <v>2400ft 4in Main Ext Schuber Mitch</v>
          </cell>
          <cell r="I1509" t="str">
            <v>posted to CPR</v>
          </cell>
          <cell r="J1509" t="str">
            <v>Install 2400ft of 4in PE and 20ft of 2in PE Schuber and Mitchell subdivision. Project Location: St. Louis Ave and Betenbough Way. System: C-11. MOP: 30 PSIG. MAOP: 30 PSIG. Design: 66 PSIG. Test: 100 PSIG. Price Per Foot: $42.72</v>
          </cell>
          <cell r="K1509" t="str">
            <v>Per Alison Spalding the Estimate and the As Built are properly reflected with a difference in footage of 315 Feet.</v>
          </cell>
          <cell r="L1509">
            <v>42551</v>
          </cell>
          <cell r="M1509">
            <v>42674</v>
          </cell>
          <cell r="N1509">
            <v>42742.6252662037</v>
          </cell>
          <cell r="O1509">
            <v>42522</v>
          </cell>
          <cell r="P1509" t="str">
            <v>0501-044001  JASPER CTY/JOPLIN</v>
          </cell>
          <cell r="Q1509">
            <v>82975.009999999995</v>
          </cell>
          <cell r="R1509">
            <v>-1799.6632999999999</v>
          </cell>
        </row>
        <row r="1510">
          <cell r="A1510" t="str">
            <v>009236</v>
          </cell>
          <cell r="B1510" t="str">
            <v>LDC 2</v>
          </cell>
          <cell r="D1510" t="str">
            <v>yes</v>
          </cell>
          <cell r="E1510" t="str">
            <v>20501155480</v>
          </cell>
          <cell r="F1510" t="str">
            <v>F0572</v>
          </cell>
          <cell r="G1510" t="str">
            <v>Main Replacement - ISRS (SW)</v>
          </cell>
          <cell r="H1510" t="str">
            <v>Wall Ave 2995' PBS Main Replacement</v>
          </cell>
          <cell r="I1510" t="str">
            <v>posted to CPR</v>
          </cell>
          <cell r="J1510" t="str">
            <v>Wall Ave 2995' PBS Main Replacement: Joplin: Replace Bare Steel Main - 3760 Safety Related (34-394)</v>
          </cell>
          <cell r="K1510" t="str">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 
Reopened per Cindy Peck for late paving charges - AMM 8-10-16</v>
          </cell>
          <cell r="L1510">
            <v>42346</v>
          </cell>
          <cell r="M1510">
            <v>42461</v>
          </cell>
          <cell r="N1510">
            <v>42557.552835648101</v>
          </cell>
          <cell r="O1510">
            <v>42339</v>
          </cell>
          <cell r="P1510" t="str">
            <v>0501-044001  JASPER CTY/JOPLIN</v>
          </cell>
          <cell r="Q1510">
            <v>248898.89</v>
          </cell>
          <cell r="R1510">
            <v>18894</v>
          </cell>
        </row>
        <row r="1511">
          <cell r="A1511" t="str">
            <v>003986</v>
          </cell>
          <cell r="B1511" t="str">
            <v>LDC 2</v>
          </cell>
          <cell r="D1511" t="str">
            <v>no</v>
          </cell>
          <cell r="E1511" t="str">
            <v>20501132385</v>
          </cell>
          <cell r="F1511" t="str">
            <v>F0667</v>
          </cell>
          <cell r="G1511" t="str">
            <v>Other relocates</v>
          </cell>
          <cell r="H1511" t="str">
            <v>6th &amp; Forest Abandon 435'-3in PBS/P</v>
          </cell>
          <cell r="I1511" t="str">
            <v>posted to CPR</v>
          </cell>
          <cell r="J1511" t="str">
            <v>6th &amp; Forest Abandon 435'-3in PBS/PCS main: Joplin: 6th and Forest</v>
          </cell>
          <cell r="K1511" t="str">
            <v>Approved by: Galen Shoemaker on 02/04/2013,  Abandon 335' - 3&amp;quot; PBS (WO#: NONE) and 100' - 3&amp;quot; PCS (WO#: 72-2461) due to McKinley School building expansion over existing main. 5M meter set will be relocated to East side of new building expansion and new 1 1/4&amp;quot; service will be ran from 58psig main in Forest Ave. Customer will contribute $3753.72 prior to work. Project Location: 6th and Forest; Pressure System: C-1; MOP: 58 psig; MAOP: 58 psig; Design: 58 psig; Test: 100 psig; ISRS</v>
          </cell>
          <cell r="L1511">
            <v>41480</v>
          </cell>
          <cell r="M1511">
            <v>41600</v>
          </cell>
          <cell r="N1511">
            <v>41604.605752314797</v>
          </cell>
          <cell r="P1511" t="str">
            <v>0501-044001  JASPER CTY/JOPLIN</v>
          </cell>
          <cell r="Q1511">
            <v>574.44000000000005</v>
          </cell>
          <cell r="R1511">
            <v>466</v>
          </cell>
        </row>
        <row r="1512">
          <cell r="A1512" t="str">
            <v>004531</v>
          </cell>
          <cell r="B1512" t="str">
            <v>LDC 2</v>
          </cell>
          <cell r="D1512" t="str">
            <v>yes</v>
          </cell>
          <cell r="E1512" t="str">
            <v>20501132499</v>
          </cell>
          <cell r="F1512" t="str">
            <v>F0544</v>
          </cell>
          <cell r="G1512" t="str">
            <v>Replace bare steel main - safety re</v>
          </cell>
          <cell r="H1512" t="str">
            <v>34th &amp; Indiana Repl PBS w 2590'-4in</v>
          </cell>
          <cell r="I1512" t="str">
            <v>posted to CPR</v>
          </cell>
          <cell r="J1512" t="str">
            <v>34th &amp; Indiana Repl PBS w 2590'-4in PE main Leakag: Joplin: 34th and Indiana</v>
          </cell>
          <cell r="K1512" t="str">
            <v>Approved by: Rob Hack on 03/25/2013,  Abandon 2483' - 3in PBS (WO#:A8542), 114' - 4in PBS (WO#'s: A7896B, NONE), 15' - 3in PCS (WO#: 70-2948) and replace with 65' - 4in Thinfilm and 2590' - 4in PE to clear one (1) active #3 Leak (Leak No. 08-0079) due 4/9/2013 and a history of leakage in this area. This work will also replace the outlet piping on DRS 01-69-C and install remote outlet valves for this station. Work order needs fast tracked due to approaching due date on #3 Leak. Project Location: 34th and Indiana; Pressure System: C-3; MOP: 8.00 psig; MAOP: 8.50 psig; Design: 58 psig; Test: 100 psig; $47.96/ft ISRS</v>
          </cell>
          <cell r="L1512">
            <v>41455</v>
          </cell>
          <cell r="M1512">
            <v>41547</v>
          </cell>
          <cell r="N1512">
            <v>41584.396412037</v>
          </cell>
          <cell r="O1512">
            <v>41730</v>
          </cell>
          <cell r="P1512" t="str">
            <v>0501-066001  NEWTON CTY/JOPLIN</v>
          </cell>
          <cell r="Q1512">
            <v>161506.14000000001</v>
          </cell>
          <cell r="R1512">
            <v>21422.799999999999</v>
          </cell>
        </row>
        <row r="1513">
          <cell r="A1513" t="str">
            <v>003992</v>
          </cell>
          <cell r="B1513" t="str">
            <v>LDC 2</v>
          </cell>
          <cell r="D1513" t="str">
            <v>no</v>
          </cell>
          <cell r="E1513" t="str">
            <v>20502132727</v>
          </cell>
          <cell r="F1513" t="str">
            <v>F0677</v>
          </cell>
          <cell r="G1513" t="str">
            <v>New business</v>
          </cell>
          <cell r="H1513" t="str">
            <v>Zora &amp; Hall Lay 110'-2" PE main ext</v>
          </cell>
          <cell r="I1513" t="str">
            <v>posted to CPR</v>
          </cell>
          <cell r="J1513" t="str">
            <v>Zora and Hall Ext Main w 110ft of 2in PE at: Webb City: Zora and Hall</v>
          </cell>
          <cell r="K1513" t="str">
            <v>Approved by: Galen Shoemaker on 06/10/2013,  Extend main with 110' - 2 in PE to provide service to new self storage business. Customer only needs 40' main extension, Company elects to lay 110' due to contract prices. Project Location: Zora and Hall; Pressure System: S-118; MOP: 8 psig: MAOP: 8 psig; Design: 58 psig; Test: 100 psig; $22.21/ft</v>
          </cell>
          <cell r="L1513">
            <v>41431</v>
          </cell>
          <cell r="M1513">
            <v>41564</v>
          </cell>
          <cell r="N1513">
            <v>41564.624745370398</v>
          </cell>
          <cell r="P1513" t="str">
            <v>0502-044006  JASPER CTY/WEBB CITY</v>
          </cell>
          <cell r="Q1513">
            <v>2258.48</v>
          </cell>
          <cell r="R1513">
            <v>630</v>
          </cell>
        </row>
        <row r="1514">
          <cell r="A1514" t="str">
            <v>005680</v>
          </cell>
          <cell r="B1514" t="str">
            <v>LDC 2</v>
          </cell>
          <cell r="D1514" t="str">
            <v>no</v>
          </cell>
          <cell r="E1514" t="str">
            <v>20506143646</v>
          </cell>
          <cell r="F1514" t="str">
            <v>F0677</v>
          </cell>
          <cell r="G1514" t="str">
            <v>New business</v>
          </cell>
          <cell r="H1514" t="str">
            <v>6421 Geneva Lay 220'-4in PE main ex</v>
          </cell>
          <cell r="I1514" t="str">
            <v>posted to CPR</v>
          </cell>
          <cell r="J1514" t="str">
            <v>6421 Geneva Lay 220'-4in PE main ext: Airport Drive: New Main Extension - Contractor Crews  3760 (33-380)</v>
          </cell>
          <cell r="K1514" t="str">
            <v>Approved by: Galen Shoemaker on 06/30/2014,  Extend main with 220' - 4" PE to provide service to 6421 Geneva. Customer could be served with 210', Company elects to lay additional 10' to prepare for future expansion in the area. Customer will contribute $1485 prior to work. Project Location: White Oak and Geneva; Pressure System: S-1; MOP: 18 psig; MAOP: 18 psig; Design: 58 psig; Test: 100 psig; $35.25/ft</v>
          </cell>
          <cell r="L1514">
            <v>41835</v>
          </cell>
          <cell r="M1514">
            <v>42248</v>
          </cell>
          <cell r="N1514">
            <v>42284.861608796302</v>
          </cell>
          <cell r="O1514">
            <v>41852</v>
          </cell>
          <cell r="P1514" t="str">
            <v>0506-044008  JASPER CTY/AIRPORT DRIVE</v>
          </cell>
          <cell r="Q1514">
            <v>11856.31</v>
          </cell>
          <cell r="R1514">
            <v>-704</v>
          </cell>
        </row>
        <row r="1515">
          <cell r="A1515" t="str">
            <v>012684</v>
          </cell>
          <cell r="B1515" t="str">
            <v>LDC 2</v>
          </cell>
          <cell r="D1515" t="str">
            <v>no</v>
          </cell>
          <cell r="F1515" t="str">
            <v>F1152</v>
          </cell>
          <cell r="G1515" t="str">
            <v>Vehicle Purchases - MGE</v>
          </cell>
          <cell r="H1515" t="str">
            <v>Retire 32 MGE Units</v>
          </cell>
          <cell r="I1515" t="str">
            <v>completed</v>
          </cell>
          <cell r="J1515" t="str">
            <v>Retire Units:12536,12561,12567,12594,12609,12614,12616,12619,12626,12640,12660,
12664,12666,12678,12692,12694,12697,12699,12701,12715,12718,12723,12729,12732,12734,12739,12750,21295,21285,21288,21298,21305</v>
          </cell>
          <cell r="L1515">
            <v>42735</v>
          </cell>
          <cell r="M1515">
            <v>42735</v>
          </cell>
          <cell r="P1515" t="str">
            <v>0101-043050  JACKSON CTY/KC</v>
          </cell>
          <cell r="Q1515">
            <v>635235.69999999995</v>
          </cell>
          <cell r="R1515">
            <v>45</v>
          </cell>
        </row>
        <row r="1516">
          <cell r="A1516" t="str">
            <v>003828</v>
          </cell>
          <cell r="B1516" t="str">
            <v>LDC 2</v>
          </cell>
          <cell r="D1516" t="str">
            <v>no</v>
          </cell>
          <cell r="E1516" t="str">
            <v>20501050300</v>
          </cell>
          <cell r="F1516" t="str">
            <v>F0589</v>
          </cell>
          <cell r="G1516" t="str">
            <v>BWO New Service Line Install (SW)</v>
          </cell>
          <cell r="H1516" t="str">
            <v>BWO-New Svc-Plastic (SW Reg)</v>
          </cell>
          <cell r="I1516" t="str">
            <v>open</v>
          </cell>
          <cell r="J1516" t="str">
            <v>BWO-New Services-Plastic (Southwest Region)</v>
          </cell>
          <cell r="K1516" t="str">
            <v>Project Type:B</v>
          </cell>
          <cell r="O1516">
            <v>41730</v>
          </cell>
          <cell r="P1516" t="str">
            <v>0501-044001  JASPER CTY/JOPLIN</v>
          </cell>
          <cell r="Q1516">
            <v>3691075.76</v>
          </cell>
          <cell r="R1516">
            <v>138028.0465</v>
          </cell>
        </row>
        <row r="1517">
          <cell r="A1517" t="str">
            <v>004264</v>
          </cell>
          <cell r="B1517" t="str">
            <v>LDC 2</v>
          </cell>
          <cell r="D1517" t="str">
            <v>no</v>
          </cell>
          <cell r="E1517" t="str">
            <v>20101143368</v>
          </cell>
          <cell r="F1517" t="str">
            <v>F0574</v>
          </cell>
          <cell r="G1517" t="str">
            <v>Office furniture &amp; equipment</v>
          </cell>
          <cell r="H1517" t="str">
            <v>Pur HP LaserJet Printer</v>
          </cell>
          <cell r="I1517" t="str">
            <v>posted to CPR</v>
          </cell>
          <cell r="J1517" t="str">
            <v>Pur HP LaserJet Printer: Kansas City CORP: Broadway</v>
          </cell>
          <cell r="K1517" t="str">
            <v>Approved by: Regina George-Berry on 02/18/2014,  Purchase HP LaserJet Enterprise P3015n printer - SN-VNB3S50253.  To be used for the union negotiations and Broadway building.</v>
          </cell>
          <cell r="L1517">
            <v>41688</v>
          </cell>
          <cell r="M1517">
            <v>41729</v>
          </cell>
          <cell r="N1517">
            <v>41733.495625000003</v>
          </cell>
          <cell r="P1517" t="str">
            <v>0101-043050  JACKSON CTY/KC</v>
          </cell>
          <cell r="Q1517">
            <v>950.5</v>
          </cell>
          <cell r="R1517">
            <v>0</v>
          </cell>
        </row>
        <row r="1518">
          <cell r="A1518" t="str">
            <v>004165</v>
          </cell>
          <cell r="B1518" t="str">
            <v>LDC 2</v>
          </cell>
          <cell r="D1518" t="str">
            <v>yes</v>
          </cell>
          <cell r="E1518" t="str">
            <v>20201121940</v>
          </cell>
          <cell r="F1518" t="str">
            <v>F0606</v>
          </cell>
          <cell r="G1518" t="str">
            <v>Station rebuild &amp; replacement</v>
          </cell>
          <cell r="H1518" t="str">
            <v>Retire DRS 195 Kiger and 25th St</v>
          </cell>
          <cell r="I1518" t="str">
            <v>posted to CPR</v>
          </cell>
          <cell r="J1518" t="str">
            <v>Retire DRS 195 Kiger and 25th St: Independence: Kiger and 25th St</v>
          </cell>
          <cell r="K1518" t="str">
            <v>Approved by: Ralph Janes on 11/13/2012,  Remove and retire DRS 195 (WO# 92-6742) as it will not be needed after the uprate of pressure system S-195 to C-500 and completion of WO# 12-1941. The 2 - 2in Fisher 133H regulators will be junked.</v>
          </cell>
          <cell r="L1518">
            <v>41947</v>
          </cell>
          <cell r="M1518">
            <v>41973</v>
          </cell>
          <cell r="N1518">
            <v>42071.592013888898</v>
          </cell>
          <cell r="P1518" t="str">
            <v>0201-043001  JACKSON CTY/INDEPENDENCE</v>
          </cell>
          <cell r="Q1518">
            <v>5971.92</v>
          </cell>
          <cell r="R1518">
            <v>10</v>
          </cell>
        </row>
        <row r="1519">
          <cell r="A1519" t="str">
            <v>004586</v>
          </cell>
          <cell r="B1519" t="str">
            <v>LDC 2</v>
          </cell>
          <cell r="D1519" t="str">
            <v>no</v>
          </cell>
          <cell r="E1519" t="str">
            <v>20201132927</v>
          </cell>
          <cell r="F1519" t="str">
            <v>F0671</v>
          </cell>
          <cell r="G1519" t="str">
            <v>Tools, Instruments &amp; Equipment</v>
          </cell>
          <cell r="H1519" t="str">
            <v>Pur 2 Sensit Gold CGIs</v>
          </cell>
          <cell r="I1519" t="str">
            <v>posted to CPR</v>
          </cell>
          <cell r="J1519" t="str">
            <v>Pur Sensit Gold CGIs: Independence: Independence Training Center</v>
          </cell>
          <cell r="K1519" t="str">
            <v>Approved by: Brian Dresel on 08/21/2013,  These Sensit Gold CGIs are necessary to conduct training on purging with nitrogen for employees and apprentices at the Training Center.</v>
          </cell>
          <cell r="L1519">
            <v>41534</v>
          </cell>
          <cell r="M1519">
            <v>41600</v>
          </cell>
          <cell r="N1519">
            <v>41603.384675925903</v>
          </cell>
          <cell r="P1519" t="str">
            <v>0201-043001  JACKSON CTY/INDEPENDENCE</v>
          </cell>
          <cell r="Q1519">
            <v>5553.85</v>
          </cell>
          <cell r="R1519">
            <v>0</v>
          </cell>
        </row>
        <row r="1520">
          <cell r="A1520" t="str">
            <v>008680</v>
          </cell>
          <cell r="B1520" t="str">
            <v>LDC 2</v>
          </cell>
          <cell r="D1520" t="str">
            <v>no</v>
          </cell>
          <cell r="E1520" t="str">
            <v>20301155376</v>
          </cell>
          <cell r="F1520" t="str">
            <v>F0554</v>
          </cell>
          <cell r="G1520" t="str">
            <v>Tools, Instruments &amp; Equipment (S)</v>
          </cell>
          <cell r="H1520" t="str">
            <v>Purchase Tools-Hole Hog-Warrnsburg</v>
          </cell>
          <cell r="I1520" t="str">
            <v>posted to CPR</v>
          </cell>
          <cell r="J1520" t="str">
            <v>Purchase Tools - Hole Hog: Warrensburg: Purchase Tools, Instruments &amp; Equipment  3940 (37-366)</v>
          </cell>
          <cell r="K1520" t="str">
            <v>Approved by: Kevin Driskell on 06/01/2015,  Purchase 1 New = 1-3/4" Hole Hog for the Warrensburg C&amp;M Crews.  Retirement Unit 94065001.  Retire 1 of the 2 units purchased on work order 024195</v>
          </cell>
          <cell r="L1520">
            <v>42223</v>
          </cell>
          <cell r="M1520">
            <v>42491</v>
          </cell>
          <cell r="N1520">
            <v>42527.512372685203</v>
          </cell>
          <cell r="O1520">
            <v>42217</v>
          </cell>
          <cell r="P1520" t="str">
            <v>0301-046001  JOHNSON CTY/WARRENSBURG</v>
          </cell>
          <cell r="Q1520">
            <v>6671.6</v>
          </cell>
          <cell r="R1520">
            <v>2</v>
          </cell>
        </row>
        <row r="1521">
          <cell r="A1521" t="str">
            <v>005554</v>
          </cell>
          <cell r="B1521" t="str">
            <v>LDC 2</v>
          </cell>
          <cell r="D1521" t="str">
            <v>no</v>
          </cell>
          <cell r="E1521" t="str">
            <v>20301143506</v>
          </cell>
          <cell r="F1521" t="str">
            <v>F0673</v>
          </cell>
          <cell r="G1521" t="str">
            <v>New Main Extensions (S)</v>
          </cell>
          <cell r="H1521" t="str">
            <v>Cooper Blvd Lay 800'-2in PE main ex</v>
          </cell>
          <cell r="I1521" t="str">
            <v>posted to CPR</v>
          </cell>
          <cell r="J1521" t="str">
            <v>Cooper Blvd Lay 800'-2in PE main ext: Warrensburg: New Main Extension - Company Crews  3760 (33-305)</v>
          </cell>
          <cell r="K1521" t="str">
            <v>Approved by: Ralph Janes on 06/05/2014,  Install 800' - 2" pe main to serve one new commercial building.  Install 40' - 1-1/4" pe service line on BWO with an 11 meter header. Reopened 1-26-15 per Adel Wallave to pay invoice - AMM</v>
          </cell>
          <cell r="L1521">
            <v>41912</v>
          </cell>
          <cell r="M1521">
            <v>41912</v>
          </cell>
          <cell r="N1521">
            <v>42012.721863425897</v>
          </cell>
          <cell r="O1521">
            <v>41883</v>
          </cell>
          <cell r="P1521" t="str">
            <v>0301-046001  JOHNSON CTY/WARRENSBURG</v>
          </cell>
          <cell r="Q1521">
            <v>38655.699999999997</v>
          </cell>
          <cell r="R1521">
            <v>-1292</v>
          </cell>
        </row>
        <row r="1522">
          <cell r="A1522" t="str">
            <v>004265</v>
          </cell>
          <cell r="B1522" t="str">
            <v>LDC 2</v>
          </cell>
          <cell r="D1522" t="str">
            <v>yes</v>
          </cell>
          <cell r="E1522" t="str">
            <v>20301132993</v>
          </cell>
          <cell r="F1522" t="str">
            <v>F0580</v>
          </cell>
          <cell r="G1522" t="str">
            <v>Replace steel &amp; plastic main</v>
          </cell>
          <cell r="H1522" t="str">
            <v>South Town Border DRS45</v>
          </cell>
          <cell r="I1522" t="str">
            <v>posted to CPR</v>
          </cell>
          <cell r="J1522" t="str">
            <v>South Town Border DRS45: Warrensburg: Fern Hill Rd and SW 11 Rd</v>
          </cell>
          <cell r="K1522" t="str">
            <v>Approved by: Ralph Janes on 09/19/2013,  Move drip for odorant tank and tie 8in PCS to 4in PCS down stream with 4' of 4in thin film. Main to abandon: 2' of 4in PCS from wo# A7311A.</v>
          </cell>
          <cell r="L1522">
            <v>41514</v>
          </cell>
          <cell r="M1522">
            <v>41599</v>
          </cell>
          <cell r="N1522">
            <v>41603.384687500002</v>
          </cell>
          <cell r="O1522">
            <v>41730</v>
          </cell>
          <cell r="P1522" t="str">
            <v>0301-046001  JOHNSON CTY/WARRENSBURG</v>
          </cell>
          <cell r="Q1522">
            <v>4604.87</v>
          </cell>
          <cell r="R1522">
            <v>35</v>
          </cell>
        </row>
        <row r="1523">
          <cell r="A1523" t="str">
            <v>004509</v>
          </cell>
          <cell r="B1523" t="str">
            <v>LDC 2</v>
          </cell>
          <cell r="D1523" t="str">
            <v>yes</v>
          </cell>
          <cell r="E1523" t="str">
            <v>20305132454</v>
          </cell>
          <cell r="F1523" t="str">
            <v>F0605</v>
          </cell>
          <cell r="G1523" t="str">
            <v>Replace steel &amp; plastic main</v>
          </cell>
          <cell r="H1523" t="str">
            <v>Locust St Repl PCS w 55'-2in PE mai</v>
          </cell>
          <cell r="I1523" t="str">
            <v>posted to CPR</v>
          </cell>
          <cell r="J1523" t="str">
            <v>Locust St Repl PCS w 55'-2in PE main: Sweet Springs: 914 S Locust St</v>
          </cell>
          <cell r="K1523" t="str">
            <v>Approved by: Ralph Janes on 02/28/2013,  Main to abandon: 10' of 2in PCS from wo# E318760 and 55' of 2in PCS from wo# 633590. Replace with 65' of 2&amp;quot; PE. All abandonments and replacements go on wo# 13-2454. Reason for construction: number 3 leak under 127 Highway.</v>
          </cell>
          <cell r="L1523">
            <v>41487</v>
          </cell>
          <cell r="M1523">
            <v>41564</v>
          </cell>
          <cell r="N1523">
            <v>41564.6247337963</v>
          </cell>
          <cell r="P1523" t="str">
            <v>0305-086001  SALINE CTY/SWEET SPRINGS</v>
          </cell>
          <cell r="Q1523">
            <v>4801.38</v>
          </cell>
          <cell r="R1523">
            <v>229</v>
          </cell>
        </row>
        <row r="1524">
          <cell r="A1524" t="str">
            <v>006236</v>
          </cell>
          <cell r="B1524" t="str">
            <v>LDC 2</v>
          </cell>
          <cell r="D1524" t="str">
            <v>no</v>
          </cell>
          <cell r="E1524" t="str">
            <v>20301143777</v>
          </cell>
          <cell r="F1524" t="str">
            <v>F0554</v>
          </cell>
          <cell r="G1524" t="str">
            <v>Tools, Instruments &amp; Equipment (S)</v>
          </cell>
          <cell r="H1524" t="str">
            <v>Purchase Tools - Electrofusion Proc</v>
          </cell>
          <cell r="I1524" t="str">
            <v>posted to CPR</v>
          </cell>
          <cell r="J1524" t="str">
            <v>Purchase Tools - Electrofusion Processor: Warrensburg: Purchase Tools, Instruments &amp; Equipment  3940 (37-366)</v>
          </cell>
          <cell r="K1524" t="str">
            <v>Approved by: Ralph Janes on 09/02/2014,  Purchase 2 new Central Electrofusion Processors with Adapter Tips for the Warrensburg C&amp;M Crews.  Retirement Unit 94659000 - Pipe Plastic Heat Fusion Equipment.  the following units will be retired:  2 - Central Barcode Processors - Work Order 01-3265.  1 - Electro Fusion Processor - 02-4196.  1 - 1" Mini Mac w/Heater - Work Order 03-5913.</v>
          </cell>
          <cell r="L1524">
            <v>41960</v>
          </cell>
          <cell r="M1524">
            <v>41973</v>
          </cell>
          <cell r="N1524">
            <v>42160.553530092599</v>
          </cell>
          <cell r="O1524">
            <v>41944</v>
          </cell>
          <cell r="P1524" t="str">
            <v>0301-046001  JOHNSON CTY/WARRENSBURG</v>
          </cell>
          <cell r="Q1524">
            <v>16127.79</v>
          </cell>
          <cell r="R1524">
            <v>25</v>
          </cell>
        </row>
        <row r="1525">
          <cell r="A1525" t="str">
            <v>004052</v>
          </cell>
          <cell r="B1525" t="str">
            <v>LDC 2</v>
          </cell>
          <cell r="D1525" t="str">
            <v>no</v>
          </cell>
          <cell r="E1525" t="str">
            <v>20314132961</v>
          </cell>
          <cell r="F1525" t="str">
            <v>F0673</v>
          </cell>
          <cell r="G1525" t="str">
            <v>New Main Extensions (S)</v>
          </cell>
          <cell r="H1525" t="str">
            <v>3rd St Lay 75'-2in PE main ext</v>
          </cell>
          <cell r="I1525" t="str">
            <v>posted to CPR</v>
          </cell>
          <cell r="J1525" t="str">
            <v>3rd St Lay 75'-2in PE main ext: Waverly: 3rd St and Missouri St</v>
          </cell>
          <cell r="K1525" t="str">
            <v>Approved by: Ralph Janes on 09/10/2013,  Install 75' of 2in PE main to serve new customer at 300 Missouri St.</v>
          </cell>
          <cell r="L1525">
            <v>41491</v>
          </cell>
          <cell r="M1525">
            <v>41599</v>
          </cell>
          <cell r="N1525">
            <v>41603.384733796302</v>
          </cell>
          <cell r="O1525">
            <v>41730</v>
          </cell>
          <cell r="P1525" t="str">
            <v>0314-049008  LAFAYETTE CTY/ALMA</v>
          </cell>
          <cell r="Q1525">
            <v>1800.77</v>
          </cell>
          <cell r="R1525">
            <v>97</v>
          </cell>
        </row>
        <row r="1526">
          <cell r="A1526" t="str">
            <v>004022</v>
          </cell>
          <cell r="B1526" t="str">
            <v>LDC 2</v>
          </cell>
          <cell r="D1526" t="str">
            <v>yes</v>
          </cell>
          <cell r="E1526" t="str">
            <v>20608132770</v>
          </cell>
          <cell r="F1526" t="str">
            <v>F0598</v>
          </cell>
          <cell r="G1526" t="str">
            <v>Replace steel &amp; plastic main</v>
          </cell>
          <cell r="H1526" t="str">
            <v>Main St Retire 150'-1 1/4 in PE Mai</v>
          </cell>
          <cell r="I1526" t="str">
            <v>posted to CPR</v>
          </cell>
          <cell r="J1526" t="str">
            <v>Main St Retire 150'-1 1/4 in PE Main: Jerico Springs: Main St at Long St</v>
          </cell>
          <cell r="K1526" t="str">
            <v>Approved by: Galen Shoemaker on 07/09/2013,  To retire 150ft of 1 1/4in Plastic Main from WO 90-9421. Main not in use and property it sits on is overgrown and inaccessible. MOP=10# MAOP=10# SYSTEM=S-1</v>
          </cell>
          <cell r="L1526">
            <v>41491</v>
          </cell>
          <cell r="M1526">
            <v>41564</v>
          </cell>
          <cell r="N1526">
            <v>41627.582916666703</v>
          </cell>
          <cell r="P1526" t="str">
            <v>0608-017012  CEDAR CTY/JERICO SPRINGS</v>
          </cell>
          <cell r="Q1526">
            <v>332.84</v>
          </cell>
          <cell r="R1526">
            <v>154</v>
          </cell>
        </row>
        <row r="1527">
          <cell r="A1527" t="str">
            <v>005955</v>
          </cell>
          <cell r="B1527" t="str">
            <v>LDC 2</v>
          </cell>
          <cell r="D1527" t="str">
            <v>no</v>
          </cell>
          <cell r="E1527" t="str">
            <v>20801143663</v>
          </cell>
          <cell r="F1527" t="str">
            <v>F0598</v>
          </cell>
          <cell r="G1527" t="str">
            <v>Replace steel &amp; plastic main</v>
          </cell>
          <cell r="H1527" t="str">
            <v>Retire 42ft of 2in PCS Main</v>
          </cell>
          <cell r="I1527" t="str">
            <v>posted to CPR</v>
          </cell>
          <cell r="J1527" t="str">
            <v>Retire 42ft of 2in PCS Main: Monett: Replace Coated Steel &amp; Plastic Main - 3760 (34-396)</v>
          </cell>
          <cell r="K1527" t="str">
            <v>Approved by: Galen Shoemaker on 08/09/2014,  To retire 42ft of 2 in Coated Steel Main from WO 64-2084. This retirement will clear active leak #14-32.</v>
          </cell>
          <cell r="L1527">
            <v>41807</v>
          </cell>
          <cell r="M1527">
            <v>41882</v>
          </cell>
          <cell r="N1527">
            <v>41978.594085648103</v>
          </cell>
          <cell r="P1527" t="str">
            <v>0801-005001  BARRY CTY/MONETT</v>
          </cell>
          <cell r="Q1527">
            <v>861.68</v>
          </cell>
          <cell r="R1527">
            <v>49</v>
          </cell>
        </row>
        <row r="1528">
          <cell r="A1528" t="str">
            <v>005685</v>
          </cell>
          <cell r="B1528" t="str">
            <v>LDC 2</v>
          </cell>
          <cell r="D1528" t="str">
            <v>no</v>
          </cell>
          <cell r="E1528" t="str">
            <v>20804143666</v>
          </cell>
          <cell r="F1528" t="str">
            <v>F0656</v>
          </cell>
          <cell r="G1528" t="str">
            <v>Meter &amp; regulator settings - 2" &amp; l</v>
          </cell>
          <cell r="H1528" t="str">
            <v>500 Mt Vernon Rd 5M Meter setting</v>
          </cell>
          <cell r="I1528" t="str">
            <v>posted to CPR</v>
          </cell>
          <cell r="J1528" t="str">
            <v>500 Mt Vernon Rd 5M Meter setting: Mount Vernon: New Meter &amp; Reg Settings - 2in &amp; Larger 3820/3830 (33-382)</v>
          </cell>
          <cell r="K1528" t="str">
            <v>Approved by: Galen Shoemaker on 07/10/2014,  Will install 3" prefab setting for 5M Roots meter to serve the new Walmart at 500 Mt. Vernon Blvd. will use 2" flanged CL 34-2 regulator with 3/8" orifice, orange closing spring and green pilot spring to deliver 5 psig. Will use 1" Fisher 289H-42 relief set at 7 psig for overpressure protection. System S-3  MAOP=25 PSIG  MOP=25 PSIG</v>
          </cell>
          <cell r="L1528">
            <v>41856</v>
          </cell>
          <cell r="M1528">
            <v>42248</v>
          </cell>
          <cell r="N1528">
            <v>42270.483506944402</v>
          </cell>
          <cell r="O1528">
            <v>41883</v>
          </cell>
          <cell r="P1528" t="str">
            <v>0804-050005  LAWRENCE CTY/MT. VERNON</v>
          </cell>
          <cell r="Q1528">
            <v>4619.26</v>
          </cell>
          <cell r="R1528">
            <v>2</v>
          </cell>
        </row>
        <row r="1529">
          <cell r="A1529" t="str">
            <v>008199</v>
          </cell>
          <cell r="B1529" t="str">
            <v>LDC 2</v>
          </cell>
          <cell r="D1529" t="str">
            <v>no</v>
          </cell>
          <cell r="E1529" t="str">
            <v>20806155270</v>
          </cell>
          <cell r="F1529" t="str">
            <v>F0556</v>
          </cell>
          <cell r="G1529" t="str">
            <v>Tools, instruments &amp; equipment</v>
          </cell>
          <cell r="H1529" t="str">
            <v>Pur One Autofuse Electrofusion Proc</v>
          </cell>
          <cell r="I1529" t="str">
            <v>posted to CPR</v>
          </cell>
          <cell r="J1529" t="str">
            <v>Pur One Autofuse Electrofusion Processor Neosho: Neosho: Purchase Tools, Instruments &amp; Equipment  3940 (37-366)</v>
          </cell>
          <cell r="K1529" t="str">
            <v>Approved by: Michael Fornelli on 04/14/2015,  To purchase one new Autofuse Universal Processor 120V with quick disconnect, 25 ft leads with MTD Universal Tips (4.7, 4.0 MM) Autoscan Barcode reader and carrier case from M.T. Deason for Neosho C&amp;M. Quoted $3000.00.</v>
          </cell>
          <cell r="L1529">
            <v>42200</v>
          </cell>
          <cell r="M1529">
            <v>42461</v>
          </cell>
          <cell r="N1529">
            <v>42496.560462963003</v>
          </cell>
          <cell r="O1529">
            <v>42186</v>
          </cell>
          <cell r="P1529" t="str">
            <v>0806-066010  NEWTON CTY/NEOSHO</v>
          </cell>
          <cell r="Q1529">
            <v>3172.64</v>
          </cell>
          <cell r="R1529">
            <v>13</v>
          </cell>
        </row>
        <row r="1530">
          <cell r="A1530" t="str">
            <v>800614</v>
          </cell>
          <cell r="B1530" t="str">
            <v>LDC 2</v>
          </cell>
          <cell r="C1530" t="str">
            <v>03 - Bare Steel Replacement</v>
          </cell>
          <cell r="D1530" t="str">
            <v>yes</v>
          </cell>
          <cell r="F1530" t="str">
            <v>F0572</v>
          </cell>
          <cell r="G1530" t="str">
            <v>Main Replacement - ISRS (SW)</v>
          </cell>
          <cell r="H1530" t="str">
            <v>Repl w 2875F 2-4P Marionville Ph G</v>
          </cell>
          <cell r="I1530" t="str">
            <v>open</v>
          </cell>
          <cell r="J1530" t="str">
            <v>Install 475 Ft. of 2 in. PL IP Main and 2400 Ft. of 4 in. PL IP Main on Central Ave., Benton St., Water St., Washington St., and Linn St.</v>
          </cell>
          <cell r="K1530" t="str">
            <v>Abandon 84 Ft. of 4 in. PL IP Main, 579 Ft. of 2 in. ST IP Main, 56 Ft. of 2 in. PL IP Main and 2182 Ft. of 4 in. ST IP Main on the mentioned above streets.  Total service tie overs = 5; Total service abandon = 2;  This main is being replaced as part of the FY16 Bare Steel Replacement Program.</v>
          </cell>
          <cell r="P1530" t="str">
            <v>0810-050015  LAWRENCE CTY/MARIONVILLE</v>
          </cell>
          <cell r="Q1530">
            <v>0</v>
          </cell>
          <cell r="R1530">
            <v>2769</v>
          </cell>
        </row>
        <row r="1531">
          <cell r="A1531" t="str">
            <v>007596</v>
          </cell>
          <cell r="B1531" t="str">
            <v>LDC 2</v>
          </cell>
          <cell r="D1531" t="str">
            <v>no</v>
          </cell>
          <cell r="E1531" t="str">
            <v>20801155135</v>
          </cell>
          <cell r="F1531" t="str">
            <v>F0556</v>
          </cell>
          <cell r="G1531" t="str">
            <v>Tools, instruments &amp; equipment</v>
          </cell>
          <cell r="H1531" t="str">
            <v>Pur Smart-Cal Calibration Sta Monet</v>
          </cell>
          <cell r="I1531" t="str">
            <v>posted to CPR</v>
          </cell>
          <cell r="J1531" t="str">
            <v>Tools Purchase Smart-Cal Calibration for Monett: Monett: Purchase Tools, Instruments &amp; Equipment  3940 (37-366)</v>
          </cell>
          <cell r="K1531" t="str">
            <v>Approved by: Michael Fornelli on 02/05/2015,  Purchase one Smart-Cal Calibration Station for Sensit Gold CGI's for Monett Shop.</v>
          </cell>
          <cell r="L1531">
            <v>42100</v>
          </cell>
          <cell r="M1531">
            <v>42491</v>
          </cell>
          <cell r="N1531">
            <v>42527.511562500003</v>
          </cell>
          <cell r="O1531">
            <v>42095</v>
          </cell>
          <cell r="P1531" t="str">
            <v>0801-005001  BARRY CTY/MONETT</v>
          </cell>
          <cell r="Q1531">
            <v>4959.7299999999996</v>
          </cell>
          <cell r="R1531">
            <v>2</v>
          </cell>
        </row>
        <row r="1532">
          <cell r="A1532" t="str">
            <v>004160</v>
          </cell>
          <cell r="B1532" t="str">
            <v>LDC 2</v>
          </cell>
          <cell r="D1532" t="str">
            <v>no</v>
          </cell>
          <cell r="E1532" t="str">
            <v>20801050308</v>
          </cell>
          <cell r="F1532" t="str">
            <v>F0565</v>
          </cell>
          <cell r="G1532" t="str">
            <v>Replace meter &amp; regulator installat</v>
          </cell>
          <cell r="H1532" t="str">
            <v>BWO-REPL METER SETS LESS 2"</v>
          </cell>
          <cell r="I1532" t="str">
            <v>open</v>
          </cell>
          <cell r="J1532" t="str">
            <v>BWO-REPL METER SETS LESS 2"</v>
          </cell>
          <cell r="K1532" t="str">
            <v>Project Type:B</v>
          </cell>
          <cell r="O1532">
            <v>41730</v>
          </cell>
          <cell r="P1532" t="str">
            <v>0801-005001  BARRY CTY/MONETT</v>
          </cell>
          <cell r="Q1532">
            <v>371391.04</v>
          </cell>
          <cell r="R1532">
            <v>43181</v>
          </cell>
        </row>
        <row r="1533">
          <cell r="A1533" t="str">
            <v>003985</v>
          </cell>
          <cell r="B1533" t="str">
            <v>LDC 2</v>
          </cell>
          <cell r="D1533" t="str">
            <v>no</v>
          </cell>
          <cell r="E1533" t="str">
            <v>20815121904</v>
          </cell>
          <cell r="F1533" t="str">
            <v>F0523</v>
          </cell>
          <cell r="G1533" t="str">
            <v>New Main Extensions (SW)</v>
          </cell>
          <cell r="H1533" t="str">
            <v>Warwick Dr Lay 275'-2in PE main ext</v>
          </cell>
          <cell r="I1533" t="str">
            <v>posted to CPR</v>
          </cell>
          <cell r="J1533" t="str">
            <v>Warwick Dr Lay 275'-2in PE main ext: Ozark: Warwick Dr and Vintage Dr</v>
          </cell>
          <cell r="K1533" t="str">
            <v>Approved by: Galen Shoemaker on 11/07/2012,  Extend main with 275' - 2&amp;quot; PE pipe to provide service to 4 lots in Grand Haven Estates Phase 3. Customer will contribute $3025 prior to work. Project Location: Warwick and Vintage; Pressure System: S-232; MOP: 58 psig; MAOP: 58 psig; Design: 58 psig; Test: 100 psig; $36.48/ft</v>
          </cell>
          <cell r="L1533">
            <v>41424</v>
          </cell>
          <cell r="M1533">
            <v>41475</v>
          </cell>
          <cell r="N1533">
            <v>41584.396435185197</v>
          </cell>
          <cell r="O1533">
            <v>41730</v>
          </cell>
          <cell r="P1533" t="str">
            <v>0815-019006  CHRISTIAN CTY/OZARK</v>
          </cell>
          <cell r="Q1533">
            <v>3889.11</v>
          </cell>
          <cell r="R1533">
            <v>1102</v>
          </cell>
        </row>
        <row r="1534">
          <cell r="A1534" t="str">
            <v>004349</v>
          </cell>
          <cell r="B1534" t="str">
            <v>LDC 2</v>
          </cell>
          <cell r="D1534" t="str">
            <v>no</v>
          </cell>
          <cell r="E1534" t="str">
            <v>20822143443</v>
          </cell>
          <cell r="F1534" t="str">
            <v>F0656</v>
          </cell>
          <cell r="G1534" t="str">
            <v>Meter &amp; regulator settings - 2" &amp; l</v>
          </cell>
          <cell r="H1534" t="str">
            <v>FEMA Install 3M Roots Mtr setting</v>
          </cell>
          <cell r="I1534" t="str">
            <v>posted to CPR</v>
          </cell>
          <cell r="J1534" t="str">
            <v>FEMA Install 3M Roots Mtr setting: Clever: Clever School FEMA 103 S Public Ave</v>
          </cell>
          <cell r="K1534" t="str">
            <v>Approved by: Galen Shoemaker on 03/20/2014,  WILL INSTALL NEW 2" PREFAB SETTING FOR 3M ROOTS METER TO SERVE NEW FEMA STRUCTURE AT CLEVER SCHOOL LOCATED AT 103 S PUBLIC IN CLEVER. WILL USE 2" FLANGED B34IMRV REGULATOR WITH 3/8 ORIFICE, GREEN SPRING, IND INTERNAL RELIEF TO DELIVER 7" WC. TOTAL CONNECTED DEMAND IS 3326 CFH. BASED ON THE INVESTMENT ALLOWANCE, THERE WILL BE NO CHARGE TO THE CUSTOMER. SYSTEM 0822-S-1  MAOP=32PSIG  MOP=32PSIG</v>
          </cell>
          <cell r="L1534">
            <v>41739</v>
          </cell>
          <cell r="M1534">
            <v>41904</v>
          </cell>
          <cell r="N1534">
            <v>41914.6511342593</v>
          </cell>
          <cell r="O1534">
            <v>41760</v>
          </cell>
          <cell r="P1534" t="str">
            <v>0822-019008  CHRISTIAN CTY/CLEVER</v>
          </cell>
          <cell r="Q1534">
            <v>3521.97</v>
          </cell>
          <cell r="R1534">
            <v>6</v>
          </cell>
        </row>
        <row r="1535">
          <cell r="A1535" t="str">
            <v>800792</v>
          </cell>
          <cell r="B1535" t="str">
            <v>LDC 2</v>
          </cell>
          <cell r="D1535" t="str">
            <v>no</v>
          </cell>
          <cell r="F1535" t="str">
            <v>F0604</v>
          </cell>
          <cell r="G1535" t="str">
            <v>Main Replacement - ISRS (S)</v>
          </cell>
          <cell r="H1535" t="str">
            <v>Aband 65F 1 1/4P Heather/Cambridge</v>
          </cell>
          <cell r="I1535" t="str">
            <v>open</v>
          </cell>
          <cell r="J1535" t="str">
            <v>Abandon ~65 Ft of 1-1/4" PL IP Main that was installed on WO 889341.</v>
          </cell>
          <cell r="K1535" t="str">
            <v>The tee was leaking and it was discovered that none of the services feeding the surrounding houses are fed from this 1-1/4" main.</v>
          </cell>
          <cell r="P1535" t="str">
            <v>0906-016001  CASS CTY/BELTON W OF MULLIN RD</v>
          </cell>
          <cell r="Q1535">
            <v>76.19</v>
          </cell>
          <cell r="R1535">
            <v>2</v>
          </cell>
        </row>
        <row r="1536">
          <cell r="A1536" t="str">
            <v>800259</v>
          </cell>
          <cell r="B1536" t="str">
            <v>LDC 2</v>
          </cell>
          <cell r="C1536" t="str">
            <v>03 - Bare Steel Replacement</v>
          </cell>
          <cell r="D1536" t="str">
            <v>yes</v>
          </cell>
          <cell r="F1536" t="str">
            <v>F0604</v>
          </cell>
          <cell r="G1536" t="str">
            <v>Main Replacement - ISRS (S)</v>
          </cell>
          <cell r="H1536" t="str">
            <v>Repl w/ 8606F 2P Pleasant Hill Ph6</v>
          </cell>
          <cell r="I1536" t="str">
            <v>open</v>
          </cell>
          <cell r="J1536" t="str">
            <v>Install 8606 Ft of 2 in and 4096 Ft of 4 in PL IP main for Pleasant Hill Phase 6. Abandon 392 Ft of 2 in PL, 30 Ft of 3 in PL, 100 Ft of 4 in PL, 9288 Ft of 2 in ST and 3504 Ft of 3 in ST IP main.</v>
          </cell>
          <cell r="K1536" t="str">
            <v>FY16 Bare Steel Replacement Program</v>
          </cell>
          <cell r="P1536" t="str">
            <v>0909-016012  CASS CTY/PLEASANT HILL</v>
          </cell>
          <cell r="Q1536">
            <v>4007.04</v>
          </cell>
          <cell r="R1536">
            <v>13314</v>
          </cell>
        </row>
        <row r="1537">
          <cell r="A1537" t="str">
            <v>800713</v>
          </cell>
          <cell r="B1537" t="str">
            <v>LDC 2</v>
          </cell>
          <cell r="D1537" t="str">
            <v>no</v>
          </cell>
          <cell r="F1537" t="str">
            <v>F0523</v>
          </cell>
          <cell r="G1537" t="str">
            <v>New Main Extensions (SW)</v>
          </cell>
          <cell r="H1537" t="str">
            <v>Install 788F 2P Coyote Pass</v>
          </cell>
          <cell r="I1537" t="str">
            <v>completed</v>
          </cell>
          <cell r="J1537" t="str">
            <v>Install ~788 ft 2 in IP PE main extension to provide gas service to both a new home and convert an existing home (propane) at the south end of Coyote Pass in Ash Grove.</v>
          </cell>
          <cell r="L1537">
            <v>42627</v>
          </cell>
          <cell r="M1537">
            <v>42766</v>
          </cell>
          <cell r="O1537">
            <v>42614</v>
          </cell>
          <cell r="P1537" t="str">
            <v>0832-034005  GREENE CTY/ASH GROVE</v>
          </cell>
          <cell r="Q1537">
            <v>23315.55</v>
          </cell>
          <cell r="R1537">
            <v>-1147.5</v>
          </cell>
        </row>
        <row r="1538">
          <cell r="A1538" t="str">
            <v>801128</v>
          </cell>
          <cell r="B1538" t="str">
            <v>LDC 2</v>
          </cell>
          <cell r="D1538" t="str">
            <v>no</v>
          </cell>
          <cell r="F1538" t="str">
            <v>F0673</v>
          </cell>
          <cell r="G1538" t="str">
            <v>New Main Extensions (S)</v>
          </cell>
          <cell r="H1538" t="str">
            <v>Inst 995F 2P Chapel Ridge Townhomes</v>
          </cell>
          <cell r="I1538" t="str">
            <v>open</v>
          </cell>
          <cell r="J1538" t="str">
            <v>Install 995' of 2" plastic main in 3 separate extensions.</v>
          </cell>
          <cell r="K1538" t="str">
            <v>Luxury Townhomes located on NE Aiken Drive &amp; NE Aiken Circle in Lee's Summit. (31) Townhome Units served by (8) meters. Load for each Townhome: 140 cfh There is also (1) Clubhouse set up under separate SCI opportunity.</v>
          </cell>
          <cell r="P1538" t="str">
            <v>0901-043021  JACKSON CTY/LEE'S SUMMIT OFFIC</v>
          </cell>
          <cell r="Q1538">
            <v>2426.5</v>
          </cell>
          <cell r="R1538">
            <v>-2370</v>
          </cell>
        </row>
        <row r="1539">
          <cell r="A1539" t="str">
            <v>008239</v>
          </cell>
          <cell r="B1539" t="str">
            <v>LDC 2</v>
          </cell>
          <cell r="D1539" t="str">
            <v>no</v>
          </cell>
          <cell r="E1539" t="str">
            <v>20901155283</v>
          </cell>
          <cell r="F1539" t="str">
            <v>F0507</v>
          </cell>
          <cell r="G1539" t="str">
            <v>Rebuild Meter Install 2'' &amp; Lg (S)</v>
          </cell>
          <cell r="H1539" t="str">
            <v>Freshwood Apts 11M Rotary Rebuild S</v>
          </cell>
          <cell r="I1539" t="str">
            <v>posted to CPR</v>
          </cell>
          <cell r="J1539" t="str">
            <v>Freshwood Apts 11M Rotary Rebuild SLRP: Lees Summit: Replace Meter &amp; Reg 2in &amp;  Larger - 3820/3830 (32-404)</v>
          </cell>
          <cell r="K1539" t="str">
            <v>Approved by: Kevin Driskell on 04/20/2015,  20 Year SLRP at Freshwood Apts, 1 NW Obrien Rd (meter #00281819, installed on WO# 71-4690, premise #378133).  Rebuild a 11M rotary meter set at the building.  Total Connected load = 9,260 cfh.</v>
          </cell>
          <cell r="L1539">
            <v>42206</v>
          </cell>
          <cell r="M1539">
            <v>42491</v>
          </cell>
          <cell r="N1539">
            <v>42622.457662036999</v>
          </cell>
          <cell r="O1539">
            <v>42186</v>
          </cell>
          <cell r="P1539" t="str">
            <v>0901-043021  JACKSON CTY/LEE'S SUMMIT OFFIC</v>
          </cell>
          <cell r="Q1539">
            <v>2042.07</v>
          </cell>
          <cell r="R1539">
            <v>-55</v>
          </cell>
        </row>
        <row r="1540">
          <cell r="A1540" t="str">
            <v>007704</v>
          </cell>
          <cell r="B1540" t="str">
            <v>LDC 2</v>
          </cell>
          <cell r="D1540" t="str">
            <v>no</v>
          </cell>
          <cell r="E1540" t="str">
            <v>20901155163</v>
          </cell>
          <cell r="F1540" t="str">
            <v>F0554</v>
          </cell>
          <cell r="G1540" t="str">
            <v>Tools, Instruments &amp; Equipment (S)</v>
          </cell>
          <cell r="H1540" t="str">
            <v>Purchase Tools - Vertical Mill Dril</v>
          </cell>
          <cell r="I1540" t="str">
            <v>posted to CPR</v>
          </cell>
          <cell r="J1540" t="str">
            <v>Purchase Tools - Vertical Mill Drill: Lees Summit: Purchase Tools, Instruments &amp; Equipment  3940 (37-366)</v>
          </cell>
          <cell r="K1540" t="str">
            <v>Approved by: Kevin Driskell on 02/23/2015,  Purchase 1 new Baileigh Vertical Midd Drill VMD-40G Drill Press for use by the South Region Welding Shop - Retirement Unit 94173000.</v>
          </cell>
          <cell r="L1540">
            <v>42320</v>
          </cell>
          <cell r="M1540">
            <v>42491</v>
          </cell>
          <cell r="N1540">
            <v>42527.511608796303</v>
          </cell>
          <cell r="O1540">
            <v>42461</v>
          </cell>
          <cell r="P1540" t="str">
            <v>0901-043021  JACKSON CTY/LEE'S SUMMIT OFFIC</v>
          </cell>
          <cell r="Q1540">
            <v>3056.86</v>
          </cell>
          <cell r="R1540">
            <v>1</v>
          </cell>
        </row>
        <row r="1541">
          <cell r="A1541" t="str">
            <v>004517</v>
          </cell>
          <cell r="B1541" t="str">
            <v>LDC 2</v>
          </cell>
          <cell r="D1541" t="str">
            <v>no</v>
          </cell>
          <cell r="E1541" t="str">
            <v>20901121989</v>
          </cell>
          <cell r="F1541" t="str">
            <v>F0602</v>
          </cell>
          <cell r="G1541" t="str">
            <v>New business</v>
          </cell>
          <cell r="H1541" t="str">
            <v>NW Whitman Dr Lay 855'-2;295'-4in P</v>
          </cell>
          <cell r="I1541" t="str">
            <v>posted to CPR</v>
          </cell>
          <cell r="J1541" t="str">
            <v>NW Whitman Dr Lay 855'-2;295'-4in PE main ext: Lees Summit: NW Whitman Dr &amp; NW Thoreau Dr Winterset Valley Ph</v>
          </cell>
          <cell r="K1541" t="str">
            <v>Approved by: Ralph Janes on 04/12/2013,  Install 855' of 2in PE main and 295' of 4in PE main to serve lots 1313-1334 in Winterset Valley for Phase 7A. Pressure system is C-017 with a MOP and MAOP = 55 psig.</v>
          </cell>
          <cell r="L1541">
            <v>41463</v>
          </cell>
          <cell r="M1541">
            <v>41578</v>
          </cell>
          <cell r="N1541">
            <v>41584.396388888897</v>
          </cell>
          <cell r="P1541" t="str">
            <v>0901-043021  JACKSON CTY/LEE'S SUMMIT OFFIC</v>
          </cell>
          <cell r="Q1541">
            <v>8268.68</v>
          </cell>
          <cell r="R1541">
            <v>2772</v>
          </cell>
        </row>
        <row r="1542">
          <cell r="A1542" t="str">
            <v>006084</v>
          </cell>
          <cell r="B1542" t="str">
            <v>LDC 2</v>
          </cell>
          <cell r="D1542" t="str">
            <v>no</v>
          </cell>
          <cell r="E1542" t="str">
            <v>21001143748</v>
          </cell>
          <cell r="F1542" t="str">
            <v>F0560</v>
          </cell>
          <cell r="G1542" t="str">
            <v>Tools, instruments &amp; equipment</v>
          </cell>
          <cell r="H1542" t="str">
            <v>MTD UNIVERSAL PROCESSOR</v>
          </cell>
          <cell r="I1542" t="str">
            <v>posted to CPR</v>
          </cell>
          <cell r="J1542" t="str">
            <v>MTD UNIVERSAL PROCESSOR: St Joseph: Purchase Tools, Instruments &amp; Equipment  3940 (37-366)</v>
          </cell>
          <cell r="K1542" t="str">
            <v>Approved by: Gary Williams on 08/20/2014,  To replace stolen ones on crew truck.Replace the processor for truck# 21360 that was stolen on 8/14/2014.Also replace processor for truck# 21359 that was stolen on 8/14/2014.</v>
          </cell>
          <cell r="L1542">
            <v>41981</v>
          </cell>
          <cell r="M1542">
            <v>42217</v>
          </cell>
          <cell r="N1542">
            <v>42244</v>
          </cell>
          <cell r="O1542">
            <v>42005</v>
          </cell>
          <cell r="P1542" t="str">
            <v>1001-010001  ST. JOSEPH CITY/BUCHANAN</v>
          </cell>
          <cell r="Q1542">
            <v>0</v>
          </cell>
          <cell r="R1542">
            <v>8</v>
          </cell>
        </row>
        <row r="1543">
          <cell r="A1543" t="str">
            <v>007905</v>
          </cell>
          <cell r="B1543" t="str">
            <v>LDC 2</v>
          </cell>
          <cell r="D1543" t="str">
            <v>no</v>
          </cell>
          <cell r="E1543" t="str">
            <v>20901155234</v>
          </cell>
          <cell r="F1543" t="str">
            <v>F0507</v>
          </cell>
          <cell r="G1543" t="str">
            <v>Rebuild Meter Install 2'' &amp; Lg (S)</v>
          </cell>
          <cell r="H1543" t="str">
            <v>Remove 3M Rotary Meter SLRP</v>
          </cell>
          <cell r="I1543" t="str">
            <v>posted to CPR</v>
          </cell>
          <cell r="J1543" t="str">
            <v>Remove 3M Rotary Meter SLRP: Lees Summit: Replace Meter &amp; Reg 2&amp;quot; &amp;  Larger - 3820/3830 (32-404)</v>
          </cell>
          <cell r="K1543" t="str">
            <v>Approved by: Kevin Driskell on 03/18/2015,  Remove and dismantle the 3M rotary meter set (meter #08066224, installed on WO# 81-0745, premise #380525) at 611 NW Libby Lane.  The service line is being replaced on the SLRP program.  The total connected load is 1,180 cfh so a 1000 class diaphragm meter will be set on a BWO to serve the customer.</v>
          </cell>
          <cell r="L1543">
            <v>42101</v>
          </cell>
          <cell r="M1543">
            <v>42124</v>
          </cell>
          <cell r="N1543">
            <v>42223.566979166702</v>
          </cell>
          <cell r="O1543">
            <v>42186</v>
          </cell>
          <cell r="P1543" t="str">
            <v>0901-043021  JACKSON CTY/LEE'S SUMMIT OFFIC</v>
          </cell>
          <cell r="Q1543">
            <v>688.95</v>
          </cell>
          <cell r="R1543">
            <v>5</v>
          </cell>
        </row>
        <row r="1544">
          <cell r="A1544" t="str">
            <v>004414</v>
          </cell>
          <cell r="B1544" t="str">
            <v>LDC 2</v>
          </cell>
          <cell r="D1544" t="str">
            <v>yes</v>
          </cell>
          <cell r="E1544" t="str">
            <v>20901050370</v>
          </cell>
          <cell r="F1544" t="str">
            <v>F0555</v>
          </cell>
          <cell r="G1544" t="str">
            <v>SLRP - immediate response - contrac</v>
          </cell>
          <cell r="H1544" t="str">
            <v>BWO SERVICE LINE REPL CONTRACT-SLRP</v>
          </cell>
          <cell r="I1544" t="str">
            <v>open</v>
          </cell>
          <cell r="J1544" t="str">
            <v>BWO SERVICE LINE REPL CONTRACT-SLRP</v>
          </cell>
          <cell r="K1544" t="str">
            <v>Service/Yard Line Replacement (SLRP): Contract Crew.  Immediate response - replacement single unprotected steel or copper  (Lee's Summit - East Region)</v>
          </cell>
          <cell r="O1544">
            <v>41730</v>
          </cell>
          <cell r="P1544" t="str">
            <v>0901-043021  JACKSON CTY/LEE'S SUMMIT OFFIC</v>
          </cell>
          <cell r="Q1544">
            <v>949373.07</v>
          </cell>
          <cell r="R1544">
            <v>-526.5</v>
          </cell>
        </row>
        <row r="1545">
          <cell r="A1545" t="str">
            <v>004601</v>
          </cell>
          <cell r="B1545" t="str">
            <v>LDC 2</v>
          </cell>
          <cell r="D1545" t="str">
            <v>yes</v>
          </cell>
          <cell r="E1545" t="str">
            <v>21001050371</v>
          </cell>
          <cell r="F1545" t="str">
            <v>F0591</v>
          </cell>
          <cell r="G1545" t="str">
            <v>SLRP - modified block by block - co</v>
          </cell>
          <cell r="H1545" t="str">
            <v>BWO SERVICE LINE REPL MODIFIED BLOC</v>
          </cell>
          <cell r="I1545" t="str">
            <v>open</v>
          </cell>
          <cell r="J1545" t="str">
            <v>BWO SERVICE LINE REPL MODIFIED BLOCK CONT</v>
          </cell>
          <cell r="K1545" t="str">
            <v>Service/Yard Line Replacement (SLRP): Contract Crew.  Modified Block by Block - Planned replacement of unprotected steel or copper  (St. Joseph)</v>
          </cell>
          <cell r="O1545">
            <v>41821</v>
          </cell>
          <cell r="P1545" t="str">
            <v>1001-010001  ST. JOSEPH CITY/BUCHANAN</v>
          </cell>
          <cell r="Q1545">
            <v>1104.78</v>
          </cell>
          <cell r="R1545">
            <v>-62</v>
          </cell>
        </row>
        <row r="1546">
          <cell r="A1546" t="str">
            <v>003970</v>
          </cell>
          <cell r="B1546" t="str">
            <v>LDC 2</v>
          </cell>
          <cell r="D1546" t="str">
            <v>yes</v>
          </cell>
          <cell r="E1546" t="str">
            <v>21001050360</v>
          </cell>
          <cell r="F1546" t="str">
            <v>F0490</v>
          </cell>
          <cell r="G1546" t="str">
            <v>SLRP - immediate response - company</v>
          </cell>
          <cell r="H1546" t="str">
            <v>BWO SERVICE LINE LEAK RESPONSIVE CO</v>
          </cell>
          <cell r="I1546" t="str">
            <v>open</v>
          </cell>
          <cell r="J1546" t="str">
            <v>BWO SERVICE LINE LEAK RESPONSIVE COMP</v>
          </cell>
          <cell r="K1546" t="str">
            <v>Project Type:B</v>
          </cell>
          <cell r="P1546" t="str">
            <v>1001-010001  ST. JOSEPH CITY/BUCHANAN</v>
          </cell>
          <cell r="Q1546">
            <v>4488.0200000000004</v>
          </cell>
          <cell r="R1546">
            <v>51</v>
          </cell>
        </row>
        <row r="1547">
          <cell r="A1547" t="str">
            <v>012144</v>
          </cell>
          <cell r="B1547" t="str">
            <v>LDC 2</v>
          </cell>
          <cell r="D1547" t="str">
            <v>yes</v>
          </cell>
          <cell r="F1547" t="str">
            <v>F0600</v>
          </cell>
          <cell r="G1547" t="str">
            <v>Station Rebuild &amp; Repl ISRS (N)</v>
          </cell>
          <cell r="H1547" t="str">
            <v>Aband reg stn-N Water &amp; Gordan #5</v>
          </cell>
          <cell r="I1547" t="str">
            <v>open</v>
          </cell>
          <cell r="J1547" t="str">
            <v>Abandon Regulator Station #5 (N WATER &amp; GORDON)</v>
          </cell>
          <cell r="K1547" t="str">
            <v>Retire regulators, valves, piping, control systems, and related appurtenance of the IP to LP regulator station at N Water &amp; Doniphan St.This regulator retirement is also related to the Bare Steel Abandonment work associated with Liberty Grid Phase B WO# 14414615  and cannot be abandoned until all of that phase has been completed. This station is no longer required for the IP pressure gas distribution system</v>
          </cell>
          <cell r="P1547" t="str">
            <v>1207-020001  CLAY CTY/LIBERTY</v>
          </cell>
          <cell r="Q1547">
            <v>1987.57</v>
          </cell>
          <cell r="R1547">
            <v>0</v>
          </cell>
        </row>
        <row r="1548">
          <cell r="A1548" t="str">
            <v>003801</v>
          </cell>
          <cell r="B1548" t="str">
            <v>LDC 2</v>
          </cell>
          <cell r="D1548" t="str">
            <v>yes</v>
          </cell>
          <cell r="E1548" t="str">
            <v>21219132984</v>
          </cell>
          <cell r="F1548" t="str">
            <v>F0547</v>
          </cell>
          <cell r="G1548" t="str">
            <v>Street &amp; Highway Relocates ISRS (N)</v>
          </cell>
          <cell r="H1548" t="str">
            <v>S Walnut Repl PE w 9'-4in PE main</v>
          </cell>
          <cell r="I1548" t="str">
            <v>posted to CPR</v>
          </cell>
          <cell r="J1548" t="str">
            <v>S Walnut Repl PE w 9'-4in PE main: Cameron-Clinton: S Walnut and Cornhill</v>
          </cell>
          <cell r="K1548" t="str">
            <v>Approved by: Kevin Driskell on 09/23/2013,  Relocate 9' of 4'' PE main around storm structure (original WO 13-2516). S-056 pressure system.</v>
          </cell>
          <cell r="L1548">
            <v>41492</v>
          </cell>
          <cell r="M1548">
            <v>41626</v>
          </cell>
          <cell r="N1548">
            <v>41627.5828819444</v>
          </cell>
          <cell r="O1548">
            <v>41730</v>
          </cell>
          <cell r="P1548" t="str">
            <v>1219-021001  CLINTON CTY/CAMERON</v>
          </cell>
          <cell r="Q1548">
            <v>2642.54</v>
          </cell>
          <cell r="R1548">
            <v>50</v>
          </cell>
        </row>
        <row r="1549">
          <cell r="A1549" t="str">
            <v>008804</v>
          </cell>
          <cell r="B1549" t="str">
            <v>LDC 2</v>
          </cell>
          <cell r="D1549" t="str">
            <v>yes</v>
          </cell>
          <cell r="E1549" t="str">
            <v>20928155427</v>
          </cell>
          <cell r="F1549" t="str">
            <v>F0578</v>
          </cell>
          <cell r="G1549" t="str">
            <v>Street &amp; Highway Relocates ISRS (S)</v>
          </cell>
          <cell r="H1549" t="str">
            <v>Relocate 2in pcs main</v>
          </cell>
          <cell r="I1549" t="str">
            <v>posted to CPR</v>
          </cell>
          <cell r="J1549" t="str">
            <v>Relocate 2in pcs main: Odessa: Relocate for Street &amp; Highway-Public Improvements (44-388)</v>
          </cell>
          <cell r="K1549" t="str">
            <v>Approved by: Kevin Driskell on 06/28/2015,  Relocate and abandon 20' - 2" pes main by installing 25' - 2" pcs main to allow MODot to replace Water Main on MoDOT project J3S3040. (ISRS)</v>
          </cell>
          <cell r="L1549">
            <v>42213</v>
          </cell>
          <cell r="M1549">
            <v>42460</v>
          </cell>
          <cell r="N1549">
            <v>42557.5527546296</v>
          </cell>
          <cell r="O1549">
            <v>42217</v>
          </cell>
          <cell r="P1549" t="str">
            <v>0928-049014  LAFAYETTE CTY/ODESSA</v>
          </cell>
          <cell r="Q1549">
            <v>22944.25</v>
          </cell>
          <cell r="R1549">
            <v>84.5</v>
          </cell>
        </row>
        <row r="1550">
          <cell r="A1550" t="str">
            <v>006732</v>
          </cell>
          <cell r="B1550" t="str">
            <v>LDC 2</v>
          </cell>
          <cell r="D1550" t="str">
            <v>no</v>
          </cell>
          <cell r="E1550" t="str">
            <v>20101143885</v>
          </cell>
          <cell r="F1550" t="str">
            <v>F0577</v>
          </cell>
          <cell r="G1550" t="str">
            <v>ERT Purchases</v>
          </cell>
          <cell r="H1550" t="str">
            <v>Purchase New 100G ERTs Nat &amp; Spragu</v>
          </cell>
          <cell r="I1550" t="str">
            <v>posted to CPR</v>
          </cell>
          <cell r="J1550" t="str">
            <v>Purchase New 100G National and Sprague Erts : Kansas City CORP: Purchase ERT (Electronic Reading Transmitter)  3971 (32-312)</v>
          </cell>
          <cell r="K1550" t="str">
            <v>Approved by: Steve Holcomb on 10/17/2014,  Purchase the following erts for stock  National/Lancaster 00-40-010 and Sprague 51-98-320.   
Complete per 2-15 meter report - AMM</v>
          </cell>
          <cell r="L1550">
            <v>42036</v>
          </cell>
          <cell r="M1550">
            <v>42156</v>
          </cell>
          <cell r="N1550">
            <v>42185.7281828704</v>
          </cell>
          <cell r="O1550">
            <v>42125</v>
          </cell>
          <cell r="P1550" t="str">
            <v>1904-043050  JACKSON CTY/KC</v>
          </cell>
          <cell r="Q1550">
            <v>285815.76</v>
          </cell>
          <cell r="R1550">
            <v>6400</v>
          </cell>
        </row>
        <row r="1551">
          <cell r="A1551" t="str">
            <v>008362</v>
          </cell>
          <cell r="B1551" t="str">
            <v>LDC 2</v>
          </cell>
          <cell r="D1551" t="str">
            <v>yes</v>
          </cell>
          <cell r="E1551" t="str">
            <v>21271155315</v>
          </cell>
          <cell r="F1551" t="str">
            <v>F0547</v>
          </cell>
          <cell r="G1551" t="str">
            <v>Street &amp; Highway Relocates ISRS (N)</v>
          </cell>
          <cell r="H1551" t="str">
            <v>Relocate 40ft of 4in PE at Vivion a</v>
          </cell>
          <cell r="I1551" t="str">
            <v>posted to CPR</v>
          </cell>
          <cell r="J1551" t="str">
            <v>Relocate 40ft of 4in PE at Vivion and Jackson: Kansas City-Clay Co: Relocate for Street &amp; Highway-Public Improvements (44-388)</v>
          </cell>
          <cell r="K1551" t="str">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ell>
          <cell r="L1551">
            <v>42187</v>
          </cell>
          <cell r="M1551">
            <v>42309</v>
          </cell>
          <cell r="N1551">
            <v>42436.430625000001</v>
          </cell>
          <cell r="O1551">
            <v>42186</v>
          </cell>
          <cell r="P1551" t="str">
            <v>1271-020036  CLAY CTY/KANSAS CITY</v>
          </cell>
          <cell r="Q1551">
            <v>4667.55</v>
          </cell>
          <cell r="R1551">
            <v>-519</v>
          </cell>
        </row>
        <row r="1552">
          <cell r="A1552" t="str">
            <v>004145</v>
          </cell>
          <cell r="B1552" t="str">
            <v>LDC 2</v>
          </cell>
          <cell r="D1552" t="str">
            <v>yes</v>
          </cell>
          <cell r="E1552" t="str">
            <v>21001050325</v>
          </cell>
          <cell r="F1552" t="str">
            <v>F0531</v>
          </cell>
          <cell r="G1552" t="str">
            <v>Encapsulation - cast iron joints</v>
          </cell>
          <cell r="H1552" t="str">
            <v>BWO-Encapsulation Cast Iron Joints</v>
          </cell>
          <cell r="I1552" t="str">
            <v>open</v>
          </cell>
          <cell r="J1552" t="str">
            <v>BWO-Encapsulation Cast Iron Joints</v>
          </cell>
          <cell r="P1552" t="str">
            <v>1001-010001  ST. JOSEPH CITY/BUCHANAN</v>
          </cell>
          <cell r="Q1552">
            <v>144434.23999999999</v>
          </cell>
          <cell r="R1552">
            <v>424</v>
          </cell>
        </row>
        <row r="1553">
          <cell r="A1553" t="str">
            <v>007963</v>
          </cell>
          <cell r="B1553" t="str">
            <v>LDC 2</v>
          </cell>
          <cell r="D1553" t="str">
            <v>no</v>
          </cell>
          <cell r="E1553" t="str">
            <v>01271155251</v>
          </cell>
          <cell r="F1553" t="str">
            <v>F0639</v>
          </cell>
          <cell r="G1553" t="str">
            <v>EGM Equip-1st Time Installation</v>
          </cell>
          <cell r="H1553" t="str">
            <v>EGM - North Kansas City YMCA - NKCM</v>
          </cell>
          <cell r="I1553" t="str">
            <v>in service</v>
          </cell>
          <cell r="J1553" t="str">
            <v>EGM - North Kansas City YMCA - NKCMO: Kansas City-Clay Co: Install EGM Equipment - First Time Installation  3850 (32-403)</v>
          </cell>
          <cell r="K1553" t="str">
            <v>Approved by: Gary Williams on 03/27/2015,  Install Mercury MiniMax-AT-PT (S/N: 13098668) with CNI-2 (S/N: 13072656) on Roots 11M 175 TQM meter no 00931620 to monitor daily gas usage of this transportation customer. Customer will reimburse company actual cost for EGM installation not to exceed $5,445.00, which should be coded to account 1072. ATTENTION: Plant &amp; Property Accounting, EGM work order, turn off A&amp;G indicator.</v>
          </cell>
          <cell r="L1553">
            <v>42443</v>
          </cell>
          <cell r="O1553">
            <v>42461</v>
          </cell>
          <cell r="P1553" t="str">
            <v>1271-020036  CLAY CTY/KANSAS CITY</v>
          </cell>
          <cell r="Q1553">
            <v>2989.28</v>
          </cell>
          <cell r="R1553">
            <v>23</v>
          </cell>
        </row>
        <row r="1554">
          <cell r="A1554" t="str">
            <v>800147</v>
          </cell>
          <cell r="B1554" t="str">
            <v>LDC 2</v>
          </cell>
          <cell r="C1554" t="str">
            <v>01 - Cast Iron Strategic Replacement</v>
          </cell>
          <cell r="D1554" t="str">
            <v>yes</v>
          </cell>
          <cell r="F1554" t="str">
            <v>F0599</v>
          </cell>
          <cell r="G1554" t="str">
            <v>Main Replacement - ISRS (N)</v>
          </cell>
          <cell r="H1554" t="str">
            <v>Repl w 6372F 2-6P 71 &amp; Gregory PhG</v>
          </cell>
          <cell r="I1554" t="str">
            <v>open</v>
          </cell>
          <cell r="J1554" t="str">
            <v>Install  5039ft of 2in PL IP main and 1333ft of 6in PL IP main along 69th, Gregory, Chestnut, S Benton, and Agnes. Retire 6088ft of 6in CI LP main, 103ft of 6in PE LP, 355ft of 6in STL at above locations.</v>
          </cell>
          <cell r="K1554" t="str">
            <v>This main is being replaced as part of FY16 Cast Iron Replacement Program.</v>
          </cell>
          <cell r="P1554" t="str">
            <v>0401-043050  JACKSON CTY/KC</v>
          </cell>
          <cell r="Q1554">
            <v>694742.02</v>
          </cell>
          <cell r="R1554">
            <v>-5768</v>
          </cell>
        </row>
        <row r="1555">
          <cell r="A1555" t="str">
            <v>800031</v>
          </cell>
          <cell r="B1555" t="str">
            <v>LDC 2</v>
          </cell>
          <cell r="C1555" t="str">
            <v>02 - Cast Iron AOR Replacement</v>
          </cell>
          <cell r="D1555" t="str">
            <v>yes</v>
          </cell>
          <cell r="F1555" t="str">
            <v>F0599</v>
          </cell>
          <cell r="G1555" t="str">
            <v>Main Replacement - ISRS (N)</v>
          </cell>
          <cell r="H1555" t="str">
            <v>AOR - 2021 Elmwood</v>
          </cell>
          <cell r="I1555" t="str">
            <v>posted to CPR</v>
          </cell>
          <cell r="J1555" t="str">
            <v>Install 200ft of 6in PE and abandon 200ft of 8in cast iron at 2021 Elmwood due to Angle of Repose. Due 11/13/2015</v>
          </cell>
          <cell r="L1555">
            <v>42348</v>
          </cell>
          <cell r="M1555">
            <v>42704</v>
          </cell>
          <cell r="N1555">
            <v>42772.668703703697</v>
          </cell>
          <cell r="O1555">
            <v>42401</v>
          </cell>
          <cell r="P1555" t="str">
            <v>0401-043050  JACKSON CTY/KC</v>
          </cell>
          <cell r="Q1555">
            <v>57971.13</v>
          </cell>
          <cell r="R1555">
            <v>-368.75</v>
          </cell>
        </row>
        <row r="1556">
          <cell r="A1556" t="str">
            <v>800021</v>
          </cell>
          <cell r="B1556" t="str">
            <v>LDC 2</v>
          </cell>
          <cell r="C1556" t="str">
            <v>02 - Cast Iron AOR Replacement</v>
          </cell>
          <cell r="D1556" t="str">
            <v>yes</v>
          </cell>
          <cell r="F1556" t="str">
            <v>F0599</v>
          </cell>
          <cell r="G1556" t="str">
            <v>Main Replacement - ISRS (N)</v>
          </cell>
          <cell r="H1556" t="str">
            <v>AOR - 50th and Walnut</v>
          </cell>
          <cell r="I1556" t="str">
            <v>in service</v>
          </cell>
          <cell r="J1556" t="str">
            <v>Install approximately 980ft of 2in PE. Abandon approximately 267ft of 3in PE, 550ft of 3in BSTL, and 109ft of 4in CI. The 4'' CI was in AOR and the replacement is due 10/28/2015.</v>
          </cell>
          <cell r="L1556">
            <v>42361</v>
          </cell>
          <cell r="O1556">
            <v>42401</v>
          </cell>
          <cell r="P1556" t="str">
            <v>0401-043050  JACKSON CTY/KC</v>
          </cell>
          <cell r="Q1556">
            <v>142594.04999999999</v>
          </cell>
          <cell r="R1556">
            <v>378</v>
          </cell>
        </row>
        <row r="1557">
          <cell r="A1557" t="str">
            <v>009117</v>
          </cell>
          <cell r="B1557" t="str">
            <v>LDC 2</v>
          </cell>
          <cell r="D1557" t="str">
            <v>no</v>
          </cell>
          <cell r="F1557" t="str">
            <v>F0852</v>
          </cell>
          <cell r="G1557" t="str">
            <v>Security equipment - MGE</v>
          </cell>
          <cell r="H1557" t="str">
            <v>Security Access Conv. Central Plant</v>
          </cell>
          <cell r="I1557" t="str">
            <v>in service</v>
          </cell>
          <cell r="J1557" t="str">
            <v>Convert access control system to Genetec/Mercury hardware.  Add 6 new doors to the genetec platform and add viking intercom.</v>
          </cell>
          <cell r="K1557" t="str">
            <v>Revised estimate 11-4-15</v>
          </cell>
          <cell r="L1557">
            <v>42369</v>
          </cell>
          <cell r="O1557">
            <v>42339</v>
          </cell>
          <cell r="P1557" t="str">
            <v>0401-043050  JACKSON CTY/KC</v>
          </cell>
          <cell r="Q1557">
            <v>75494.740000000005</v>
          </cell>
          <cell r="R1557">
            <v>61126</v>
          </cell>
        </row>
        <row r="1558">
          <cell r="A1558" t="str">
            <v>007715</v>
          </cell>
          <cell r="B1558" t="str">
            <v>LDC 2</v>
          </cell>
          <cell r="D1558" t="str">
            <v>no</v>
          </cell>
          <cell r="E1558" t="str">
            <v>20401155160</v>
          </cell>
          <cell r="F1558" t="str">
            <v>F0670</v>
          </cell>
          <cell r="G1558" t="str">
            <v>Tools, Instruments &amp; Equipment (N)</v>
          </cell>
          <cell r="H1558" t="str">
            <v>Purchase Tools Scrapers/Boring Mach</v>
          </cell>
          <cell r="I1558" t="str">
            <v>posted to CPR</v>
          </cell>
          <cell r="J1558" t="str">
            <v>Purchase Tools, Instruments &amp; Equipment: Kansas City-Jackson:  3940 (37-366)</v>
          </cell>
          <cell r="K1558" t="str">
            <v>Approved by: Ray Wilson on 02/26/2015,  Purchase Tools Scrapers and Boring Machine for North Plant Crews.</v>
          </cell>
          <cell r="L1558">
            <v>42157</v>
          </cell>
          <cell r="M1558">
            <v>42491</v>
          </cell>
          <cell r="N1558">
            <v>42527.511643518497</v>
          </cell>
          <cell r="O1558">
            <v>42156</v>
          </cell>
          <cell r="P1558" t="str">
            <v>0401-043050  JACKSON CTY/KC</v>
          </cell>
          <cell r="Q1558">
            <v>6949.81</v>
          </cell>
          <cell r="R1558">
            <v>4</v>
          </cell>
        </row>
        <row r="1559">
          <cell r="A1559" t="str">
            <v>007714</v>
          </cell>
          <cell r="B1559" t="str">
            <v>LDC 2</v>
          </cell>
          <cell r="D1559" t="str">
            <v>no</v>
          </cell>
          <cell r="E1559" t="str">
            <v>20401155161</v>
          </cell>
          <cell r="F1559" t="str">
            <v>F0670</v>
          </cell>
          <cell r="G1559" t="str">
            <v>Tools, Instruments &amp; Equipment (N)</v>
          </cell>
          <cell r="H1559" t="str">
            <v>Purch 4 Fusion Machines &amp;Clamp Inse</v>
          </cell>
          <cell r="I1559" t="str">
            <v>posted to CPR</v>
          </cell>
          <cell r="J1559" t="str">
            <v>Purchase Fusion Machine and Clamp Inserts: Kansas City-Jackson: Purchase Tools, Instruments &amp; Equipment  3940 (37-366)</v>
          </cell>
          <cell r="K1559" t="str">
            <v>Approved by: Ray Wilson on 02/25/2015,  New machines for Field Base work force</v>
          </cell>
          <cell r="L1559">
            <v>42144</v>
          </cell>
          <cell r="M1559">
            <v>42491</v>
          </cell>
          <cell r="N1559">
            <v>42527.511631944399</v>
          </cell>
          <cell r="O1559">
            <v>42125</v>
          </cell>
          <cell r="P1559" t="str">
            <v>0401-043050  JACKSON CTY/KC</v>
          </cell>
          <cell r="Q1559">
            <v>9468.52</v>
          </cell>
          <cell r="R1559">
            <v>48</v>
          </cell>
        </row>
        <row r="1560">
          <cell r="A1560" t="str">
            <v>007794</v>
          </cell>
          <cell r="B1560" t="str">
            <v>LDC 2</v>
          </cell>
          <cell r="D1560" t="str">
            <v>no</v>
          </cell>
          <cell r="E1560" t="str">
            <v>20401155170</v>
          </cell>
          <cell r="F1560" t="str">
            <v>F0639</v>
          </cell>
          <cell r="G1560" t="str">
            <v>EGM Equip-1st Time Installation</v>
          </cell>
          <cell r="H1560" t="str">
            <v>EGM - City of KCMO-Water Services D</v>
          </cell>
          <cell r="I1560" t="str">
            <v>in service</v>
          </cell>
          <cell r="J1560" t="str">
            <v>EGM - City of KCMO-Water Services Dept: Kansas City-Jackson: Install EGM Equipment - First Time Installation  3850 (32-403)</v>
          </cell>
          <cell r="K1560" t="str">
            <v>Approved by: Gary Williams on 03/03/2015,  Install Mercury Mini AT-PT (S/N: 13063865) with CNI-2 (S/N:                 ) on Roots 16M 175 ID meter no 00648565 to monitor daily gas usage of this transportation customer. Customer will reimburse company actual cost for EGM installation not to exceed $5,445.00, which should be coded to account 1072. ATTENTION: Plant &amp; Property Accounting, EGM work order, turn off A&amp;G indicator.</v>
          </cell>
          <cell r="L1560">
            <v>42443</v>
          </cell>
          <cell r="O1560">
            <v>42461</v>
          </cell>
          <cell r="P1560" t="str">
            <v>0401-043050  JACKSON CTY/KC</v>
          </cell>
          <cell r="Q1560">
            <v>3465.48</v>
          </cell>
          <cell r="R1560">
            <v>49</v>
          </cell>
        </row>
        <row r="1561">
          <cell r="A1561" t="str">
            <v>003932</v>
          </cell>
          <cell r="B1561" t="str">
            <v>LDC 2</v>
          </cell>
          <cell r="D1561" t="str">
            <v>yes</v>
          </cell>
          <cell r="E1561" t="str">
            <v>20401050361</v>
          </cell>
          <cell r="F1561" t="str">
            <v>F0486</v>
          </cell>
          <cell r="G1561" t="str">
            <v>SLRP - modified block by block - co</v>
          </cell>
          <cell r="H1561" t="str">
            <v>BWO SERVICES REPL MODIFIED BLOCK CO</v>
          </cell>
          <cell r="I1561" t="str">
            <v>open</v>
          </cell>
          <cell r="J1561" t="str">
            <v>BWO SERVICES REPL MODIFIED BLOCK COMPANY</v>
          </cell>
          <cell r="K1561" t="str">
            <v>Service/Yard Line Replacement (SLRP): Company Crew.  Modified Block by Block - Planned replacement of all unprotected steel or copper in a single block.  (Kansas City - Central Region)</v>
          </cell>
          <cell r="O1561">
            <v>41730</v>
          </cell>
          <cell r="P1561" t="str">
            <v>0401-043050  JACKSON CTY/KC</v>
          </cell>
          <cell r="Q1561">
            <v>8498478.5099999998</v>
          </cell>
          <cell r="R1561">
            <v>81855.62</v>
          </cell>
        </row>
        <row r="1562">
          <cell r="A1562" t="str">
            <v>007316</v>
          </cell>
          <cell r="B1562" t="str">
            <v>LDC 2</v>
          </cell>
          <cell r="D1562" t="str">
            <v>yes</v>
          </cell>
          <cell r="E1562" t="str">
            <v>20401144046</v>
          </cell>
          <cell r="F1562" t="str">
            <v>F0599</v>
          </cell>
          <cell r="G1562" t="str">
            <v>Main Replacement - ISRS (N)</v>
          </cell>
          <cell r="H1562" t="str">
            <v>AOR 4in CI Replacement</v>
          </cell>
          <cell r="I1562" t="str">
            <v>posted to CPR</v>
          </cell>
          <cell r="J1562" t="str">
            <v>AOR 4in CI Replacement: Kansas City-Jackson: Replace Cast Iron Main - 3760 Safety Related (34-412)</v>
          </cell>
          <cell r="K1562" t="str">
            <v>Approved by: Gary Williams on 12/31/2014,  Replace due to AOR at 1227 Stratford Rd (Coupling exposed). CI break 13-1045 will also be taken care of in this replacement. Install 240' of 4'' PE. 1224 nd 1232 Stratford Rd are replacement services. 4 tie overs. Bypass needed.</v>
          </cell>
          <cell r="L1562">
            <v>42033</v>
          </cell>
          <cell r="M1562">
            <v>42063</v>
          </cell>
          <cell r="N1562">
            <v>42160.5541435185</v>
          </cell>
          <cell r="O1562">
            <v>42036</v>
          </cell>
          <cell r="P1562" t="str">
            <v>0401-043050  JACKSON CTY/KC</v>
          </cell>
          <cell r="Q1562">
            <v>6261.06</v>
          </cell>
          <cell r="R1562">
            <v>-525</v>
          </cell>
        </row>
        <row r="1563">
          <cell r="A1563" t="str">
            <v>006717</v>
          </cell>
          <cell r="B1563" t="str">
            <v>LDC 2</v>
          </cell>
          <cell r="D1563" t="str">
            <v>no</v>
          </cell>
          <cell r="E1563" t="str">
            <v>20401143883</v>
          </cell>
          <cell r="F1563" t="str">
            <v>F0658</v>
          </cell>
          <cell r="G1563" t="str">
            <v>Services -  2" &amp; larger</v>
          </cell>
          <cell r="H1563" t="str">
            <v>2in Service - Gautreaux</v>
          </cell>
          <cell r="I1563" t="str">
            <v>posted to CPR</v>
          </cell>
          <cell r="J1563" t="str">
            <v>2in Service - Gautreaux: Kansas City-Jackson: New Services 2&amp;quot; &amp; Larger  3800 (33-381)</v>
          </cell>
          <cell r="K1563" t="str">
            <v>Approved by: Gary Williams on 10/20/2014,  Install 180' of 2'' PE Service to serve one new residential customer. 1223 W 56th St (1,200CFH.</v>
          </cell>
          <cell r="L1563">
            <v>42009</v>
          </cell>
          <cell r="M1563">
            <v>42063</v>
          </cell>
          <cell r="N1563">
            <v>42067.763518518499</v>
          </cell>
          <cell r="O1563">
            <v>42036</v>
          </cell>
          <cell r="P1563" t="str">
            <v>0401-043050  JACKSON CTY/KC</v>
          </cell>
          <cell r="Q1563">
            <v>5850.06</v>
          </cell>
          <cell r="R1563">
            <v>-741</v>
          </cell>
        </row>
        <row r="1564">
          <cell r="A1564" t="str">
            <v>006710</v>
          </cell>
          <cell r="B1564" t="str">
            <v>LDC 2</v>
          </cell>
          <cell r="D1564" t="str">
            <v>yes</v>
          </cell>
          <cell r="E1564" t="str">
            <v>20401143776</v>
          </cell>
          <cell r="F1564" t="str">
            <v>F0587</v>
          </cell>
          <cell r="G1564" t="str">
            <v>Services - 2" &amp; larger</v>
          </cell>
          <cell r="H1564" t="str">
            <v>2100 CENTRAL AVE-REPL SERVICE LINE</v>
          </cell>
          <cell r="I1564" t="str">
            <v>posted to CPR</v>
          </cell>
          <cell r="J1564" t="str">
            <v>2100 CENTRAL AVE-REPL SERVICE LINE: Kansas City-Jackson: Replace Services 2in &amp; Larger - 3800 (42-385)</v>
          </cell>
          <cell r="K1564" t="str">
            <v>Approved by: Gary Williams on 10/20/2014,  Abandon 1 1/4'' service, install 40' 2'' PE service line for 2100 Central Ave due to load increase. Pressure System C-001.</v>
          </cell>
          <cell r="L1564">
            <v>42079</v>
          </cell>
          <cell r="M1564">
            <v>42248</v>
          </cell>
          <cell r="N1564">
            <v>42270.524490740703</v>
          </cell>
          <cell r="O1564">
            <v>42125</v>
          </cell>
          <cell r="P1564" t="str">
            <v>0401-043050  JACKSON CTY/KC</v>
          </cell>
          <cell r="Q1564">
            <v>494.47</v>
          </cell>
          <cell r="R1564">
            <v>-20</v>
          </cell>
        </row>
        <row r="1565">
          <cell r="A1565" t="str">
            <v>006415</v>
          </cell>
          <cell r="B1565" t="str">
            <v>LDC 2</v>
          </cell>
          <cell r="D1565" t="str">
            <v>no</v>
          </cell>
          <cell r="E1565" t="str">
            <v>20401143785</v>
          </cell>
          <cell r="F1565" t="str">
            <v>F0670</v>
          </cell>
          <cell r="G1565" t="str">
            <v>Tools, Instruments &amp; Equipment (N)</v>
          </cell>
          <cell r="H1565" t="str">
            <v>Purchase 5 Cleco Triple Scalers</v>
          </cell>
          <cell r="I1565" t="str">
            <v>posted to CPR</v>
          </cell>
          <cell r="J1565" t="str">
            <v>Purchase 5 Cleco Triple Scaler : Kansas City-Jackson: Purchase Tools, Instruments &amp; Equipment  3940 (37-366)</v>
          </cell>
          <cell r="K1565" t="str">
            <v>Approved by: Gary Williams on 09/12/2014,  PURCHASE 5 CLECO TRIPLE SCALER 
2 FIELD BASE 2 STREET CREW 1 STATION B.
RECIEVED QUOTE FROM DGI SUPPLY 
ALL NEW THESE ARE NOT REPLACEMENT TOOLS.</v>
          </cell>
          <cell r="L1565">
            <v>41942</v>
          </cell>
          <cell r="M1565">
            <v>42004</v>
          </cell>
          <cell r="N1565">
            <v>42345.490185185197</v>
          </cell>
          <cell r="O1565">
            <v>41974</v>
          </cell>
          <cell r="P1565" t="str">
            <v>0401-043050  JACKSON CTY/KC</v>
          </cell>
          <cell r="Q1565">
            <v>4124.37</v>
          </cell>
          <cell r="R1565">
            <v>5</v>
          </cell>
        </row>
        <row r="1566">
          <cell r="A1566" t="str">
            <v>005297</v>
          </cell>
          <cell r="B1566" t="str">
            <v>LDC 2</v>
          </cell>
          <cell r="D1566" t="str">
            <v>no</v>
          </cell>
          <cell r="E1566" t="str">
            <v>20401143576</v>
          </cell>
          <cell r="F1566" t="str">
            <v>F0492</v>
          </cell>
          <cell r="G1566" t="str">
            <v>Special projects</v>
          </cell>
          <cell r="H1566" t="str">
            <v>Pur Voice Recorder Disaster Recover</v>
          </cell>
          <cell r="I1566" t="str">
            <v>posted to CPR</v>
          </cell>
          <cell r="J1566" t="str">
            <v>Pur Voice Recorder Disaster Recovery: Kansas City-Jackson: Special Projects - IT Telecom</v>
          </cell>
          <cell r="K1566" t="str">
            <v>Approved by: Steve Holcomb on 05/15/2014,  Purchase and install voice recorder at the Central Plant Diaster Recovery location from Calibre Solution.  This will also include the interaction rtrieval, real-time monitor, reporting and ashboards.  On-site installation, configuraton and remote web based training is provided.</v>
          </cell>
          <cell r="L1566">
            <v>41792</v>
          </cell>
          <cell r="M1566">
            <v>42491</v>
          </cell>
          <cell r="N1566">
            <v>42528.471238425896</v>
          </cell>
          <cell r="O1566">
            <v>41913</v>
          </cell>
          <cell r="P1566" t="str">
            <v>0401-043050  JACKSON CTY/KC</v>
          </cell>
          <cell r="Q1566">
            <v>29218.560000000001</v>
          </cell>
          <cell r="R1566">
            <v>29141</v>
          </cell>
        </row>
        <row r="1567">
          <cell r="A1567" t="str">
            <v>004271</v>
          </cell>
          <cell r="B1567" t="str">
            <v>LDC 2</v>
          </cell>
          <cell r="D1567" t="str">
            <v>yes</v>
          </cell>
          <cell r="E1567" t="str">
            <v>20401133039</v>
          </cell>
          <cell r="F1567" t="str">
            <v>F0599</v>
          </cell>
          <cell r="G1567" t="str">
            <v>Main Replacement - ISRS (N)</v>
          </cell>
          <cell r="H1567" t="str">
            <v>AOR 2552 Chelsea Repl CI with 40'-6</v>
          </cell>
          <cell r="I1567" t="str">
            <v>posted to CPR</v>
          </cell>
          <cell r="J1567" t="str">
            <v>AOR 2552 Chelsea Repl CI with 40'-6in PE main: Kansas City-Jackson: 2551 Chelsea</v>
          </cell>
          <cell r="K1567" t="str">
            <v>Approved by: Gary Williams on 12/02/2013,  AOR.  Replace 40'-6in CI with 6in PE.  13' of CI was exposed at 2551 Chelsea.  Tie-over two services and replace one service (2553 Chelsea).Retire 35'-6in CI, B30P88; 5'-6in CI, B18P103.</v>
          </cell>
          <cell r="L1567">
            <v>41649</v>
          </cell>
          <cell r="M1567">
            <v>41698</v>
          </cell>
          <cell r="N1567">
            <v>41704.711643518502</v>
          </cell>
          <cell r="O1567">
            <v>41730</v>
          </cell>
          <cell r="P1567" t="str">
            <v>0401-043050  JACKSON CTY/KC</v>
          </cell>
          <cell r="Q1567">
            <v>21094.57</v>
          </cell>
          <cell r="R1567">
            <v>115</v>
          </cell>
        </row>
        <row r="1568">
          <cell r="A1568" t="str">
            <v>003988</v>
          </cell>
          <cell r="B1568" t="str">
            <v>LDC 2</v>
          </cell>
          <cell r="D1568" t="str">
            <v>yes</v>
          </cell>
          <cell r="E1568" t="str">
            <v>20401132526</v>
          </cell>
          <cell r="F1568" t="str">
            <v>F0547</v>
          </cell>
          <cell r="G1568" t="str">
            <v>Street &amp; Highway Relocates ISRS (N)</v>
          </cell>
          <cell r="H1568" t="str">
            <v>Carondolet &amp; Stateline Reloc 50'-2i</v>
          </cell>
          <cell r="I1568" t="str">
            <v>posted to CPR</v>
          </cell>
          <cell r="J1568" t="str">
            <v>Carondolet &amp; Stateline Reloc 50'-2in PE main: Kansas City-Jackson: CARONDOLET DR &amp; STATE LINE RD</v>
          </cell>
          <cell r="K1568" t="str">
            <v>Approved by: Kevin Driskell on 04/08/2013,  Relocate 50' of 2in PE due to public improvement, grade cuts will put existing gas main at 15in deep. Install 1-1/4in bypass for service to UMB Bank. Retire 10'-2in CS, 1992 wo 92-6977; 40'-2in PE 2009 wo 09-6139.</v>
          </cell>
          <cell r="L1568">
            <v>41437</v>
          </cell>
          <cell r="M1568">
            <v>41608</v>
          </cell>
          <cell r="N1568">
            <v>41612.300138888902</v>
          </cell>
          <cell r="O1568">
            <v>41730</v>
          </cell>
          <cell r="P1568" t="str">
            <v>0401-043050  JACKSON CTY/KC</v>
          </cell>
          <cell r="Q1568">
            <v>14322.81</v>
          </cell>
          <cell r="R1568">
            <v>1839</v>
          </cell>
        </row>
        <row r="1569">
          <cell r="A1569" t="str">
            <v>004109</v>
          </cell>
          <cell r="B1569" t="str">
            <v>LDC 2</v>
          </cell>
          <cell r="D1569" t="str">
            <v>no</v>
          </cell>
          <cell r="E1569" t="str">
            <v>20401132772</v>
          </cell>
          <cell r="F1569" t="str">
            <v>F0654</v>
          </cell>
          <cell r="G1569" t="str">
            <v>New main extensions - less than 200</v>
          </cell>
          <cell r="H1569" t="str">
            <v>Gregory Blvd &amp; Chestnut I/O Piping</v>
          </cell>
          <cell r="I1569" t="str">
            <v>posted to CPR</v>
          </cell>
          <cell r="J1569" t="str">
            <v>Gregory Blvd &amp; Chestnut I/O Piping: Kansas City-Jackson: Gregory blvd and Chestnut ave</v>
          </cell>
          <cell r="K1569" t="str">
            <v>Approved by: Gary Williams on 02/03/2014,  New main extension is for new 4in reg station (WO 13-2768). The new reg station will replace reg station on Indiana and Gregory. Inlet 4in PCS system C-175KCLS, MOP 50 PSIG, MAOP 58 PSIG, DESIGN 58 PSIG, TEST 100 PSIG. Outlet 6in PCS system S-114B, MOP 1.1 PSIG, MAOP 2.2 PSIG, DESIGN 58 PSIG, TEST 100 PSIG.</v>
          </cell>
          <cell r="L1569">
            <v>41747</v>
          </cell>
          <cell r="M1569">
            <v>41670</v>
          </cell>
          <cell r="N1569">
            <v>42071.5770023148</v>
          </cell>
          <cell r="O1569">
            <v>41974</v>
          </cell>
          <cell r="P1569" t="str">
            <v>0401-043050  JACKSON CTY/KC</v>
          </cell>
          <cell r="Q1569">
            <v>13156.01</v>
          </cell>
          <cell r="R1569">
            <v>-183</v>
          </cell>
        </row>
        <row r="1570">
          <cell r="A1570" t="str">
            <v>004056</v>
          </cell>
          <cell r="B1570" t="str">
            <v>LDC 2</v>
          </cell>
          <cell r="D1570" t="str">
            <v>yes</v>
          </cell>
          <cell r="E1570" t="str">
            <v>20401133168</v>
          </cell>
          <cell r="F1570" t="str">
            <v>F0613</v>
          </cell>
          <cell r="G1570" t="str">
            <v>Replace bare steel main - safety re</v>
          </cell>
          <cell r="H1570" t="str">
            <v>23rd &amp; Topping Repl CU/BS w 645'-2;</v>
          </cell>
          <cell r="I1570" t="str">
            <v>posted to CPR</v>
          </cell>
          <cell r="J1570" t="str">
            <v>23rd &amp; Topping Repl CU/BS w 645'-2;45'-4in PE main: Kansas City-Jackson: 23rd St and Topping Ave</v>
          </cell>
          <cell r="K1570" t="str">
            <v>Approved by: Gary Williams on 11/25/2013,  ISRS. This work is necessary to remove existing copper main.  To replace 55' of 1.5" copper (WO#67-1018), 218' of 4" PBS (WO# 2691) and 372' of 2" PBS (WO# 3610).  Main is on the C-175KCLS pressure system with a MOP=50psig and MAOP=58psig. There will 9 service tie overs and 1 steel replacement charged to BWO.</v>
          </cell>
          <cell r="L1570">
            <v>41689</v>
          </cell>
          <cell r="M1570">
            <v>41729</v>
          </cell>
          <cell r="N1570">
            <v>41733.309907407398</v>
          </cell>
          <cell r="O1570">
            <v>41730</v>
          </cell>
          <cell r="P1570" t="str">
            <v>0401-043050  JACKSON CTY/KC</v>
          </cell>
          <cell r="Q1570">
            <v>52623.040000000001</v>
          </cell>
          <cell r="R1570">
            <v>1579</v>
          </cell>
        </row>
        <row r="1571">
          <cell r="A1571" t="str">
            <v>004533</v>
          </cell>
          <cell r="B1571" t="str">
            <v>LDC 2</v>
          </cell>
          <cell r="D1571" t="str">
            <v>no</v>
          </cell>
          <cell r="E1571" t="str">
            <v>20401133146</v>
          </cell>
          <cell r="F1571" t="str">
            <v>F0660</v>
          </cell>
          <cell r="G1571" t="str">
            <v>Meter &amp; Reg Settings 2" &amp; Lg (N)</v>
          </cell>
          <cell r="H1571" t="str">
            <v>KC Bier 3M mtr set</v>
          </cell>
          <cell r="I1571" t="str">
            <v>posted to CPR</v>
          </cell>
          <cell r="J1571" t="str">
            <v>KC Bier 3M mtr set: Kansas City-Jackson: 310 W 79th</v>
          </cell>
          <cell r="K1571" t="str">
            <v>Approved by: Mike Fornelli on 11/13/2013,  This work is necessary to install a 3M Roots meter to serve one new commercial customer. We'll set a 2in Reilance 3000 regulator at 7in WC with a 1in 289L relief set at 10in WC for the connected load of 2025cfh.</v>
          </cell>
          <cell r="L1571">
            <v>41595</v>
          </cell>
          <cell r="M1571">
            <v>41670</v>
          </cell>
          <cell r="N1571">
            <v>41677.509814814803</v>
          </cell>
          <cell r="P1571" t="str">
            <v>0401-043050  JACKSON CTY/KC</v>
          </cell>
          <cell r="Q1571">
            <v>1946.36</v>
          </cell>
          <cell r="R1571">
            <v>44</v>
          </cell>
        </row>
        <row r="1572">
          <cell r="A1572" t="str">
            <v>004332</v>
          </cell>
          <cell r="B1572" t="str">
            <v>LDC 2</v>
          </cell>
          <cell r="D1572" t="str">
            <v>yes</v>
          </cell>
          <cell r="E1572" t="str">
            <v>20401132827</v>
          </cell>
          <cell r="F1572" t="str">
            <v>F0599</v>
          </cell>
          <cell r="G1572" t="str">
            <v>Main Replacement - ISRS (N)</v>
          </cell>
          <cell r="H1572" t="str">
            <v>AOR 7027 Agnes Blvd Repl CI w 30'-6</v>
          </cell>
          <cell r="I1572" t="str">
            <v>posted to CPR</v>
          </cell>
          <cell r="J1572" t="str">
            <v>AOR 7027 Agnes Blvd Repl CI w 30'-6in PE main: Kansas City-Jackson: 7027 Agnes Blvd</v>
          </cell>
          <cell r="K1572" t="str">
            <v>Approved by: Kevin Driskell on 07/26/2013,  AOR.  Replace 30' of 6in CI with 6in PE due to angle of repose.  Six feet of pipe was exposed at 7027 Agnes. Digtrack ticket TL130990228.  This job must be completed by Oct. 9, 2013.  COST PER FOOT $784.60</v>
          </cell>
          <cell r="L1572">
            <v>41536</v>
          </cell>
          <cell r="M1572">
            <v>41597</v>
          </cell>
          <cell r="N1572">
            <v>41676.633414351803</v>
          </cell>
          <cell r="O1572">
            <v>41730</v>
          </cell>
          <cell r="P1572" t="str">
            <v>0401-043050  JACKSON CTY/KC</v>
          </cell>
          <cell r="Q1572">
            <v>14479.16</v>
          </cell>
          <cell r="R1572">
            <v>640</v>
          </cell>
        </row>
        <row r="1573">
          <cell r="A1573" t="str">
            <v>004387</v>
          </cell>
          <cell r="B1573" t="str">
            <v>LDC 2</v>
          </cell>
          <cell r="D1573" t="str">
            <v>yes</v>
          </cell>
          <cell r="E1573" t="str">
            <v>20401143328</v>
          </cell>
          <cell r="F1573" t="str">
            <v>F0500</v>
          </cell>
          <cell r="G1573" t="str">
            <v>Replace cast iron main - CPI / prio</v>
          </cell>
          <cell r="H1573" t="str">
            <v>25th &amp; Indiana Repl CI w 500'-4;379</v>
          </cell>
          <cell r="I1573" t="str">
            <v>posted to CPR</v>
          </cell>
          <cell r="J1573" t="str">
            <v>25th &amp; Indiana Repl CI w 500'-4;379'-6in PE main: Kansas City-Jackson: Indiana and 25th St</v>
          </cell>
          <cell r="K1573" t="str">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ell>
          <cell r="L1573">
            <v>41829</v>
          </cell>
          <cell r="M1573">
            <v>41829</v>
          </cell>
          <cell r="N1573">
            <v>41953.447048611102</v>
          </cell>
          <cell r="O1573">
            <v>41821</v>
          </cell>
          <cell r="P1573" t="str">
            <v>0401-043050  JACKSON CTY/KC</v>
          </cell>
          <cell r="Q1573">
            <v>112399.73</v>
          </cell>
          <cell r="R1573">
            <v>-981.5</v>
          </cell>
        </row>
        <row r="1574">
          <cell r="A1574" t="str">
            <v>007214</v>
          </cell>
          <cell r="B1574" t="str">
            <v>LDC 2</v>
          </cell>
          <cell r="D1574" t="str">
            <v>no</v>
          </cell>
          <cell r="F1574" t="str">
            <v>F0991</v>
          </cell>
          <cell r="G1574" t="str">
            <v>Facilities - Short Property - MGE</v>
          </cell>
          <cell r="H1574" t="str">
            <v>Purchase Short Property - MGE</v>
          </cell>
          <cell r="I1574" t="str">
            <v>posted to CPR</v>
          </cell>
          <cell r="J1574" t="str">
            <v>Purchase Short property at 7651 Interstate 70, Kansas City, MO</v>
          </cell>
          <cell r="L1574">
            <v>42004</v>
          </cell>
          <cell r="M1574">
            <v>42004</v>
          </cell>
          <cell r="N1574">
            <v>42160.633657407401</v>
          </cell>
          <cell r="O1574">
            <v>42005</v>
          </cell>
          <cell r="P1574" t="str">
            <v>0401-020036  CLAY CTY/KANSAS CITY</v>
          </cell>
          <cell r="Q1574">
            <v>302432.65000000002</v>
          </cell>
          <cell r="R1574">
            <v>2300</v>
          </cell>
        </row>
        <row r="1575">
          <cell r="A1575" t="str">
            <v>008085</v>
          </cell>
          <cell r="B1575" t="str">
            <v>LDC 2</v>
          </cell>
          <cell r="D1575" t="str">
            <v>no</v>
          </cell>
          <cell r="F1575" t="str">
            <v>F0730</v>
          </cell>
          <cell r="G1575" t="str">
            <v>Admin &amp; Gen - Rent  MGE</v>
          </cell>
          <cell r="H1575" t="str">
            <v>KC Duplicate Rent Expense</v>
          </cell>
          <cell r="I1575" t="str">
            <v>open</v>
          </cell>
          <cell r="J1575" t="str">
            <v>KC Duplicate Rent Expense</v>
          </cell>
          <cell r="P1575" t="str">
            <v>Expense Only</v>
          </cell>
          <cell r="Q1575">
            <v>453143.29</v>
          </cell>
          <cell r="R1575">
            <v>0</v>
          </cell>
        </row>
        <row r="1576">
          <cell r="A1576" t="str">
            <v>005545</v>
          </cell>
          <cell r="B1576" t="str">
            <v>LDC 2</v>
          </cell>
          <cell r="D1576" t="str">
            <v>no</v>
          </cell>
          <cell r="F1576" t="str">
            <v>F0688</v>
          </cell>
          <cell r="G1576" t="str">
            <v>Misc Cur &amp; Accr Liab-EPA MGE</v>
          </cell>
          <cell r="H1576" t="str">
            <v>MGE Pension Prof Svcs</v>
          </cell>
          <cell r="I1576" t="str">
            <v>open</v>
          </cell>
          <cell r="J1576" t="str">
            <v>MGE Pension Professional Services</v>
          </cell>
          <cell r="P1576" t="str">
            <v>Expense Only</v>
          </cell>
          <cell r="Q1576">
            <v>167337.09</v>
          </cell>
          <cell r="R1576">
            <v>0</v>
          </cell>
        </row>
        <row r="1577">
          <cell r="A1577" t="str">
            <v>004842</v>
          </cell>
          <cell r="B1577" t="str">
            <v>LDC 2</v>
          </cell>
          <cell r="D1577" t="str">
            <v>no</v>
          </cell>
          <cell r="E1577" t="str">
            <v>29250800000</v>
          </cell>
          <cell r="F1577" t="str">
            <v>F0725</v>
          </cell>
          <cell r="G1577" t="str">
            <v>Injuries and Damages MGE</v>
          </cell>
          <cell r="H1577" t="str">
            <v>Inj&amp;Dam-Cost Safety Prev MGE</v>
          </cell>
          <cell r="I1577" t="str">
            <v>open</v>
          </cell>
          <cell r="J1577" t="str">
            <v>Inj&amp;Dam-Cost Safety Prev MGE</v>
          </cell>
          <cell r="P1577" t="str">
            <v>Expense Only</v>
          </cell>
          <cell r="Q1577">
            <v>106651.42</v>
          </cell>
          <cell r="R1577">
            <v>71055</v>
          </cell>
        </row>
        <row r="1578">
          <cell r="A1578" t="str">
            <v>004734</v>
          </cell>
          <cell r="B1578" t="str">
            <v>LDC 2</v>
          </cell>
          <cell r="D1578" t="str">
            <v>no</v>
          </cell>
          <cell r="E1578" t="str">
            <v>28870100000</v>
          </cell>
          <cell r="F1578" t="str">
            <v>F0700</v>
          </cell>
          <cell r="G1578" t="str">
            <v>Maintenance of Mains - MGE</v>
          </cell>
          <cell r="H1578" t="str">
            <v>Maint of Gas Mains Gen MGE</v>
          </cell>
          <cell r="I1578" t="str">
            <v>open</v>
          </cell>
          <cell r="J1578" t="str">
            <v>Maint of Gas Mains Gen MGE</v>
          </cell>
          <cell r="P1578" t="str">
            <v>Expense Only</v>
          </cell>
          <cell r="Q1578">
            <v>18575757.719999999</v>
          </cell>
          <cell r="R1578">
            <v>1210220.2793000001</v>
          </cell>
        </row>
        <row r="1579">
          <cell r="A1579" t="str">
            <v>004688</v>
          </cell>
          <cell r="B1579" t="str">
            <v>LDC 2</v>
          </cell>
          <cell r="D1579" t="str">
            <v>no</v>
          </cell>
          <cell r="E1579" t="str">
            <v>21841101000</v>
          </cell>
          <cell r="F1579" t="str">
            <v>F0732</v>
          </cell>
          <cell r="G1579" t="str">
            <v>Transportation &amp; Eq Clrg MGE</v>
          </cell>
          <cell r="H1579" t="str">
            <v>Fleet Clrg - 21841101000 MGE</v>
          </cell>
          <cell r="I1579" t="str">
            <v>open</v>
          </cell>
          <cell r="J1579" t="str">
            <v>Fleet Clrg - 21841101000 MGE</v>
          </cell>
          <cell r="P1579" t="str">
            <v>Expense Only</v>
          </cell>
          <cell r="Q1579">
            <v>9999173.9900000002</v>
          </cell>
          <cell r="R1579">
            <v>6535792.8499999996</v>
          </cell>
        </row>
        <row r="1580">
          <cell r="A1580" t="str">
            <v>004858</v>
          </cell>
          <cell r="B1580" t="str">
            <v>LDC 2</v>
          </cell>
          <cell r="D1580" t="str">
            <v>no</v>
          </cell>
          <cell r="E1580" t="str">
            <v>29200000100</v>
          </cell>
          <cell r="F1580" t="str">
            <v>F0738</v>
          </cell>
          <cell r="G1580" t="str">
            <v>A&amp;G Salaries - MGE</v>
          </cell>
          <cell r="H1580" t="str">
            <v>A&amp;G Salaries Mgmt-Allowed MGE</v>
          </cell>
          <cell r="I1580" t="str">
            <v>open</v>
          </cell>
          <cell r="J1580" t="str">
            <v>A&amp;G Salaries Mgmt-Allowed MGE</v>
          </cell>
          <cell r="P1580" t="str">
            <v>Expense Only</v>
          </cell>
          <cell r="Q1580">
            <v>1400770.74</v>
          </cell>
          <cell r="R1580">
            <v>73302.16</v>
          </cell>
        </row>
        <row r="1581">
          <cell r="A1581" t="str">
            <v>004837</v>
          </cell>
          <cell r="B1581" t="str">
            <v>LDC 2</v>
          </cell>
          <cell r="D1581" t="str">
            <v>no</v>
          </cell>
          <cell r="E1581" t="str">
            <v>29210500000</v>
          </cell>
          <cell r="F1581" t="str">
            <v>F0723</v>
          </cell>
          <cell r="G1581" t="str">
            <v>Gen Office Sup&amp; Exp MGE</v>
          </cell>
          <cell r="H1581" t="str">
            <v>Maint and Lease Exp MGE</v>
          </cell>
          <cell r="I1581" t="str">
            <v>open</v>
          </cell>
          <cell r="J1581" t="str">
            <v>Maint and Lease Exp MGE</v>
          </cell>
          <cell r="P1581" t="str">
            <v>Expense Only</v>
          </cell>
          <cell r="Q1581">
            <v>326203.39</v>
          </cell>
          <cell r="R1581">
            <v>0</v>
          </cell>
        </row>
        <row r="1582">
          <cell r="A1582" t="str">
            <v>800403</v>
          </cell>
          <cell r="B1582" t="str">
            <v>LDC 2</v>
          </cell>
          <cell r="C1582" t="str">
            <v>03 - Bare Steel Replacement</v>
          </cell>
          <cell r="D1582" t="str">
            <v>yes</v>
          </cell>
          <cell r="F1582" t="str">
            <v>F0572</v>
          </cell>
          <cell r="G1582" t="str">
            <v>Main Replacement - ISRS (SW)</v>
          </cell>
          <cell r="H1582" t="str">
            <v>Repl w/ 740F 2P 3rd and McKinley</v>
          </cell>
          <cell r="I1582" t="str">
            <v>in service</v>
          </cell>
          <cell r="J1582" t="str">
            <v>Install 740 Ft of 2 in PL LP main on McKinley Ave in between W 1st St and W 3rd St. Abandon 10 Ft of 2 in PL, 814 Ft of 2 in ST and 5 Ft of 3 in ST main.</v>
          </cell>
          <cell r="K1582" t="str">
            <v>This main is being replaced due to failed CP reads and is part of the bare steel replacement program.</v>
          </cell>
          <cell r="L1582">
            <v>42611</v>
          </cell>
          <cell r="O1582">
            <v>42583</v>
          </cell>
          <cell r="P1582" t="str">
            <v>0501-044001  JASPER CTY/JOPLIN</v>
          </cell>
          <cell r="Q1582">
            <v>79249.17</v>
          </cell>
          <cell r="R1582">
            <v>9343</v>
          </cell>
        </row>
        <row r="1583">
          <cell r="A1583" t="str">
            <v>008129</v>
          </cell>
          <cell r="B1583" t="str">
            <v>LDC 2</v>
          </cell>
          <cell r="D1583" t="str">
            <v>yes</v>
          </cell>
          <cell r="E1583" t="str">
            <v>20501155247</v>
          </cell>
          <cell r="F1583" t="str">
            <v>F0575</v>
          </cell>
          <cell r="G1583" t="str">
            <v>Replace steel &amp; plastic main</v>
          </cell>
          <cell r="H1583" t="str">
            <v>2in PCS Main Replacement</v>
          </cell>
          <cell r="I1583" t="str">
            <v>posted to CPR</v>
          </cell>
          <cell r="J1583" t="str">
            <v>2in PCS Main Replacement: Joplin: Replace Coated Steel &amp; Plastic Main - 3760 (34-396)</v>
          </cell>
          <cell r="K1583" t="str">
            <v>Approved by: Michael Fornelli on 03/31/2015,  Replace 1' 2" PE (WO 095446) &amp; 204' 2" PCS (WO 716190) with 205' 2" PE due to isolated steel while cleaning up 20 year SLRP's.  Project Location: 7th St W of Travis Acres Ln.  System: C-1.  MOP: 58 PSIG.  MAOP: 58 PSIG.  Design: 58 PSIG.  Test: 100 PSIG.  Price Per Foot: $43.49.</v>
          </cell>
          <cell r="L1583">
            <v>42088</v>
          </cell>
          <cell r="M1583">
            <v>42370</v>
          </cell>
          <cell r="N1583">
            <v>42527.511828703697</v>
          </cell>
          <cell r="O1583">
            <v>42339</v>
          </cell>
          <cell r="P1583" t="str">
            <v>0501-044001  JASPER CTY/JOPLIN</v>
          </cell>
          <cell r="Q1583">
            <v>840.21</v>
          </cell>
          <cell r="R1583">
            <v>-14</v>
          </cell>
        </row>
        <row r="1584">
          <cell r="A1584" t="str">
            <v>007652</v>
          </cell>
          <cell r="B1584" t="str">
            <v>LDC 2</v>
          </cell>
          <cell r="D1584" t="str">
            <v>yes</v>
          </cell>
          <cell r="E1584" t="str">
            <v>20501155106</v>
          </cell>
          <cell r="F1584" t="str">
            <v>F0544</v>
          </cell>
          <cell r="G1584" t="str">
            <v>Replace bare steel main - safety re</v>
          </cell>
          <cell r="H1584" t="str">
            <v>2in PBS Main Replacement</v>
          </cell>
          <cell r="I1584" t="str">
            <v>posted to CPR</v>
          </cell>
          <cell r="J1584" t="str">
            <v>2in PBS Main Replacement: Joplin: Replace Bare Steel Main - 3760 Safety Related (34-394)</v>
          </cell>
          <cell r="K1584" t="str">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ell>
          <cell r="L1584">
            <v>42094</v>
          </cell>
          <cell r="M1584">
            <v>42247</v>
          </cell>
          <cell r="N1584">
            <v>42284.723310185203</v>
          </cell>
          <cell r="O1584">
            <v>42095</v>
          </cell>
          <cell r="P1584" t="str">
            <v>0501-044001  JASPER CTY/JOPLIN</v>
          </cell>
          <cell r="Q1584">
            <v>35275.08</v>
          </cell>
          <cell r="R1584">
            <v>907.26</v>
          </cell>
        </row>
        <row r="1585">
          <cell r="A1585" t="str">
            <v>007396</v>
          </cell>
          <cell r="B1585" t="str">
            <v>LDC 2</v>
          </cell>
          <cell r="D1585" t="str">
            <v>yes</v>
          </cell>
          <cell r="E1585" t="str">
            <v>20501155072</v>
          </cell>
          <cell r="F1585" t="str">
            <v>F0544</v>
          </cell>
          <cell r="G1585" t="str">
            <v>Replace bare steel main - safety re</v>
          </cell>
          <cell r="H1585" t="str">
            <v>12th St and Geneva Ave PBS Replacem</v>
          </cell>
          <cell r="I1585" t="str">
            <v>posted to CPR</v>
          </cell>
          <cell r="J1585" t="str">
            <v>12th St and Geneva Ave PBS Replacement: Joplin: Replace Bare Steel Main - 3760 Safety Related (34-394)</v>
          </cell>
          <cell r="K1585" t="str">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ell>
          <cell r="L1585">
            <v>42191</v>
          </cell>
          <cell r="M1585">
            <v>42429</v>
          </cell>
          <cell r="N1585">
            <v>42527.511412036998</v>
          </cell>
          <cell r="O1585">
            <v>42217</v>
          </cell>
          <cell r="P1585" t="str">
            <v>0501-044001  JASPER CTY/JOPLIN</v>
          </cell>
          <cell r="Q1585">
            <v>230052.51</v>
          </cell>
          <cell r="R1585">
            <v>66172.5</v>
          </cell>
        </row>
        <row r="1586">
          <cell r="A1586" t="str">
            <v>006664</v>
          </cell>
          <cell r="B1586" t="str">
            <v>LDC 2</v>
          </cell>
          <cell r="D1586" t="str">
            <v>yes</v>
          </cell>
          <cell r="E1586" t="str">
            <v>20501143695</v>
          </cell>
          <cell r="F1586" t="str">
            <v>F0572</v>
          </cell>
          <cell r="G1586" t="str">
            <v>Main Replacement - ISRS (SW)</v>
          </cell>
          <cell r="H1586" t="str">
            <v>Repl with 875ft of 4in PE due to CP</v>
          </cell>
          <cell r="I1586" t="str">
            <v>posted to CPR</v>
          </cell>
          <cell r="J1586" t="str">
            <v>Repl with 875ft of 4in PE due to CP: Joplin: Replace Bare Steel Main - 3760 Safety Related (34-394)</v>
          </cell>
          <cell r="K1586" t="str">
            <v>Approved by: Galen Shoemaker on 10/11/2014,  Abandon 396' - 3" PBS (WO# NONE), 476' - 4" PBS (WO# NONE), and 19' - 4" PE (WO# 93-1770) and replace with 875' - 4" PE to clear CP 14-054 due to isolated bare steel. Project Location: "C" and Moffet; Pressure System: C-2; MOP: 1.5 psig; MAOP: 1.5 psig; Design: 58 psig; Test: 100 psig; $56.59/ft ISRS</v>
          </cell>
          <cell r="L1586">
            <v>41969</v>
          </cell>
          <cell r="M1586">
            <v>42063</v>
          </cell>
          <cell r="N1586">
            <v>42160.553865740701</v>
          </cell>
          <cell r="O1586">
            <v>42005</v>
          </cell>
          <cell r="P1586" t="str">
            <v>0501-044001  JASPER CTY/JOPLIN</v>
          </cell>
          <cell r="Q1586">
            <v>16746.54</v>
          </cell>
          <cell r="R1586">
            <v>3203</v>
          </cell>
        </row>
        <row r="1587">
          <cell r="A1587" t="str">
            <v>003959</v>
          </cell>
          <cell r="B1587" t="str">
            <v>LDC 2</v>
          </cell>
          <cell r="D1587" t="str">
            <v>no</v>
          </cell>
          <cell r="E1587" t="str">
            <v>20501121642</v>
          </cell>
          <cell r="F1587" t="str">
            <v>F0639</v>
          </cell>
          <cell r="G1587" t="str">
            <v>EGM Equip-1st Time Installation</v>
          </cell>
          <cell r="H1587" t="str">
            <v>EGM  Mid America Precision Products</v>
          </cell>
          <cell r="I1587" t="str">
            <v>posted to CPR</v>
          </cell>
          <cell r="J1587" t="str">
            <v>EGM  Mid America Precision Products LLC 2: Joplin: 1927 West 4th Street, Joplin, MO 64801</v>
          </cell>
          <cell r="K1587" t="str">
            <v>Approved by: Rob Kitterman on 08/29/2012,  Install Mercury MiniMax-AT-T on Roots 11M meter no 09921358 to monitor daily gas usage of this transportation customer. Customer will reimburse company actual cost for EGM installation not to exceed $5,445.00, which should be coded to account 1072. ATTENTION: Plant &amp; Property Accounting, EGM work order, turn off A&amp;G indicator.</v>
          </cell>
          <cell r="L1587">
            <v>41548</v>
          </cell>
          <cell r="M1587">
            <v>41575</v>
          </cell>
          <cell r="N1587">
            <v>41576.418611111098</v>
          </cell>
          <cell r="P1587" t="str">
            <v>0501-044001  JASPER CTY/JOPLIN</v>
          </cell>
          <cell r="Q1587">
            <v>0</v>
          </cell>
          <cell r="R1587">
            <v>4</v>
          </cell>
        </row>
        <row r="1588">
          <cell r="A1588" t="str">
            <v>004058</v>
          </cell>
          <cell r="B1588" t="str">
            <v>LDC 2</v>
          </cell>
          <cell r="D1588" t="str">
            <v>no</v>
          </cell>
          <cell r="E1588" t="str">
            <v>20501132902</v>
          </cell>
          <cell r="F1588" t="str">
            <v>F0485</v>
          </cell>
          <cell r="G1588" t="str">
            <v>Tools, Instruments &amp; Equipment (SW)</v>
          </cell>
          <cell r="H1588" t="str">
            <v>Pur Smart Manometer Model DN2000</v>
          </cell>
          <cell r="I1588" t="str">
            <v>posted to CPR</v>
          </cell>
          <cell r="J1588" t="str">
            <v>Pur Smart Manometer Model DN2000: Joplin: Joplin P and M</v>
          </cell>
          <cell r="K1588" t="str">
            <v>Approved by: Galen Shoemaker on 08/14/2013,  Purchase one Smart Manometer model ZM200-DN2000 with Case from Meriam Process Technologies to be used by Joplin P&amp;M department. Unit will replace a unit that is no longer repairable due to age. Item will be purchased on Hoofnagle P-Card</v>
          </cell>
          <cell r="L1588">
            <v>41500</v>
          </cell>
          <cell r="M1588">
            <v>41575</v>
          </cell>
          <cell r="N1588">
            <v>41576.418576388904</v>
          </cell>
          <cell r="P1588" t="str">
            <v>0501-044001  JASPER CTY/JOPLIN</v>
          </cell>
          <cell r="Q1588">
            <v>1077</v>
          </cell>
          <cell r="R1588">
            <v>0</v>
          </cell>
        </row>
        <row r="1589">
          <cell r="A1589" t="str">
            <v>005069</v>
          </cell>
          <cell r="B1589" t="str">
            <v>LDC 2</v>
          </cell>
          <cell r="D1589" t="str">
            <v>no</v>
          </cell>
          <cell r="E1589" t="str">
            <v>20501143507</v>
          </cell>
          <cell r="F1589" t="str">
            <v>F0538</v>
          </cell>
          <cell r="G1589" t="str">
            <v>Other Communication Costs</v>
          </cell>
          <cell r="H1589" t="str">
            <v>SCADA - Toms Station</v>
          </cell>
          <cell r="I1589" t="str">
            <v>in service</v>
          </cell>
          <cell r="J1589" t="str">
            <v>SCADA - Toms Station: Joplin: Other Capital Communications  3970 (41-415)</v>
          </cell>
          <cell r="K1589" t="str">
            <v>Approved by: Rob Kitterman on 04/24/2014,  SCADA Site Upgrade.  Please retire the following 3 obsolete Pressure Transmitters: Static Pressure Transmitter Mdl#240810B-811-110-110 S/N#88H6622, Differential Pressure Transmitter Mdl#250835B-142-212-222-010-100-A300 S/N#93E-12739, Differential Pressure Transmitter Mdl#250835B-142-212-222-010-100-A300 S/N#93E-12243</v>
          </cell>
          <cell r="L1589">
            <v>42443</v>
          </cell>
          <cell r="O1589">
            <v>42430</v>
          </cell>
          <cell r="P1589" t="str">
            <v>0501-044001  JASPER CTY/JOPLIN</v>
          </cell>
          <cell r="Q1589">
            <v>2659.5</v>
          </cell>
          <cell r="R1589">
            <v>7</v>
          </cell>
        </row>
        <row r="1590">
          <cell r="A1590" t="str">
            <v>004212</v>
          </cell>
          <cell r="B1590" t="str">
            <v>LDC 2</v>
          </cell>
          <cell r="D1590" t="str">
            <v>no</v>
          </cell>
          <cell r="E1590" t="str">
            <v>20501143449</v>
          </cell>
          <cell r="F1590" t="str">
            <v>F0677</v>
          </cell>
          <cell r="G1590" t="str">
            <v>New business</v>
          </cell>
          <cell r="H1590" t="str">
            <v>23rd &amp; Grand Lay 500'-2;595'-4in PE</v>
          </cell>
          <cell r="I1590" t="str">
            <v>posted to CPR</v>
          </cell>
          <cell r="J1590" t="str">
            <v>23rd &amp; Grand Lay 500'-2;595'-4in PE main ext : Joplin: 23rd and Grand</v>
          </cell>
          <cell r="K1590" t="str">
            <v>Approved by: Galen Shoemaker on 03/21/2014,  Abandon 50' - 2" PE in order to get back to 4" PE and install 500' - 2" PE and 595' - 4" PE to provide service to Joplin High School that requires 5psig delivery pressure. This will also create another loop in the C-1 system and allow us to uprate a large chunk of the C-2 system in the future more easily. There is no customer contribution after economic evaluation. Project Location: 23rd and Grand; Pressure System: C-1; MOP: 58 psig; MAOP: 58 psig; Design: 58 psig; Test: 100 psig; $37.36/ft</v>
          </cell>
          <cell r="L1590">
            <v>41809</v>
          </cell>
          <cell r="M1590">
            <v>41821</v>
          </cell>
          <cell r="N1590">
            <v>41953.4467939815</v>
          </cell>
          <cell r="O1590">
            <v>41821</v>
          </cell>
          <cell r="P1590" t="str">
            <v>0501-044001  JASPER CTY/JOPLIN</v>
          </cell>
          <cell r="Q1590">
            <v>49897.919999999998</v>
          </cell>
          <cell r="R1590">
            <v>-3979</v>
          </cell>
        </row>
        <row r="1591">
          <cell r="A1591" t="str">
            <v>009256</v>
          </cell>
          <cell r="B1591" t="str">
            <v>LDC 2</v>
          </cell>
          <cell r="D1591" t="str">
            <v>no</v>
          </cell>
          <cell r="E1591" t="str">
            <v>20101155507</v>
          </cell>
          <cell r="F1591" t="str">
            <v>F0620</v>
          </cell>
          <cell r="G1591" t="str">
            <v>32-399-420-METERS</v>
          </cell>
          <cell r="H1591" t="str">
            <v>Purchase Romet Meters</v>
          </cell>
          <cell r="I1591" t="str">
            <v>posted to CPR</v>
          </cell>
          <cell r="J1591" t="str">
            <v>Purchase Romet Meters: Kansas City CORP: Purchase of Rotary Meters  3810 (32-399)</v>
          </cell>
          <cell r="K1591" t="str">
            <v>Approved by: John Jankovich on 08/18/2015,  Romet meters for MGE stock.</v>
          </cell>
          <cell r="L1591">
            <v>42460</v>
          </cell>
          <cell r="M1591">
            <v>42460</v>
          </cell>
          <cell r="N1591">
            <v>42496.5612847222</v>
          </cell>
          <cell r="O1591">
            <v>42461</v>
          </cell>
          <cell r="P1591" t="str">
            <v>0101-043050  JACKSON CTY/KC</v>
          </cell>
          <cell r="Q1591">
            <v>117952.9</v>
          </cell>
          <cell r="R1591">
            <v>100</v>
          </cell>
        </row>
        <row r="1592">
          <cell r="A1592" t="str">
            <v>008792</v>
          </cell>
          <cell r="B1592" t="str">
            <v>LDC 2</v>
          </cell>
          <cell r="D1592" t="str">
            <v>no</v>
          </cell>
          <cell r="F1592" t="str">
            <v>F0951</v>
          </cell>
          <cell r="G1592" t="str">
            <v>Vehicle Purchase MGE</v>
          </cell>
          <cell r="H1592" t="str">
            <v>Purchase 3 welder trucks MGE*</v>
          </cell>
          <cell r="I1592" t="str">
            <v>posted to CPR</v>
          </cell>
          <cell r="J1592" t="str">
            <v>Purchase 3 welder trucks for new crews at MGE</v>
          </cell>
          <cell r="L1592">
            <v>42400</v>
          </cell>
          <cell r="M1592">
            <v>42552</v>
          </cell>
          <cell r="N1592">
            <v>42586.569652777798</v>
          </cell>
          <cell r="O1592">
            <v>42552</v>
          </cell>
          <cell r="P1592" t="str">
            <v>0101-043050  JACKSON CTY/KC</v>
          </cell>
          <cell r="Q1592">
            <v>157027.4</v>
          </cell>
          <cell r="R1592">
            <v>6</v>
          </cell>
        </row>
        <row r="1593">
          <cell r="A1593" t="str">
            <v>009415</v>
          </cell>
          <cell r="B1593" t="str">
            <v>LDC 2</v>
          </cell>
          <cell r="D1593" t="str">
            <v>no</v>
          </cell>
          <cell r="F1593" t="str">
            <v>F1152</v>
          </cell>
          <cell r="G1593" t="str">
            <v>Vehicle Purchases - MGE</v>
          </cell>
          <cell r="H1593" t="str">
            <v>Purchase (5) automobiles. MGE</v>
          </cell>
          <cell r="I1593" t="str">
            <v>posted to CPR</v>
          </cell>
          <cell r="J1593" t="str">
            <v>Replace 5 automobiles MGE</v>
          </cell>
          <cell r="L1593">
            <v>42400</v>
          </cell>
          <cell r="M1593">
            <v>42605</v>
          </cell>
          <cell r="N1593">
            <v>42620.420127314799</v>
          </cell>
          <cell r="O1593">
            <v>42552</v>
          </cell>
          <cell r="P1593" t="str">
            <v>0101-043050  JACKSON CTY/KC</v>
          </cell>
          <cell r="Q1593">
            <v>97371.65</v>
          </cell>
          <cell r="R1593">
            <v>5</v>
          </cell>
        </row>
        <row r="1594">
          <cell r="A1594" t="str">
            <v>800246</v>
          </cell>
          <cell r="B1594" t="str">
            <v>LDC 2</v>
          </cell>
          <cell r="C1594" t="str">
            <v>03 - Bare Steel Replacement</v>
          </cell>
          <cell r="D1594" t="str">
            <v>yes</v>
          </cell>
          <cell r="F1594" t="str">
            <v>F0604</v>
          </cell>
          <cell r="G1594" t="str">
            <v>Main Replacement - ISRS (S)</v>
          </cell>
          <cell r="H1594" t="str">
            <v>18th &amp; Hawthorn Main Replace</v>
          </cell>
          <cell r="I1594" t="str">
            <v>completed</v>
          </cell>
          <cell r="J1594" t="str">
            <v>Replace and abandon 580' - 2" bare steel main and 2,305' - 4" bare steel main by installing 2,470' of 2" plastic main and 380' of 4" plastic main to clear 3 active leaks - 18th &amp; Hawthorne.</v>
          </cell>
          <cell r="L1594">
            <v>42506</v>
          </cell>
          <cell r="M1594">
            <v>42766</v>
          </cell>
          <cell r="O1594">
            <v>42491</v>
          </cell>
          <cell r="P1594" t="str">
            <v>0201-043001  JACKSON CTY/INDEPENDENCE</v>
          </cell>
          <cell r="Q1594">
            <v>547508.41</v>
          </cell>
          <cell r="R1594">
            <v>1915.75</v>
          </cell>
        </row>
        <row r="1595">
          <cell r="A1595" t="str">
            <v>007411</v>
          </cell>
          <cell r="B1595" t="str">
            <v>LDC 2</v>
          </cell>
          <cell r="D1595" t="str">
            <v>no</v>
          </cell>
          <cell r="F1595" t="str">
            <v>F0644</v>
          </cell>
          <cell r="G1595" t="str">
            <v>Meter &amp; Reg Settings 2" &amp; Lg (S)</v>
          </cell>
          <cell r="H1595" t="str">
            <v>Install MGE CNI2 devices Independen</v>
          </cell>
          <cell r="I1595" t="str">
            <v>posted to CPR</v>
          </cell>
          <cell r="J1595" t="str">
            <v>These units will provide load profile on MGE's Transportation Gas customers hour by hour including daily corrected and uncorrected consumption.</v>
          </cell>
          <cell r="K1595" t="str">
            <v>Furthermore, the units are necessary to provide reports for accurate billing of MGE Gas Transportation accounts.</v>
          </cell>
          <cell r="L1595">
            <v>42156</v>
          </cell>
          <cell r="M1595">
            <v>42278</v>
          </cell>
          <cell r="N1595">
            <v>42317.383553240703</v>
          </cell>
          <cell r="O1595">
            <v>42156</v>
          </cell>
          <cell r="P1595" t="str">
            <v>0201-043001  JACKSON CTY/INDEPENDENCE</v>
          </cell>
          <cell r="Q1595">
            <v>77377.440000000002</v>
          </cell>
          <cell r="R1595">
            <v>240</v>
          </cell>
        </row>
        <row r="1596">
          <cell r="A1596" t="str">
            <v>004039</v>
          </cell>
          <cell r="B1596" t="str">
            <v>LDC 2</v>
          </cell>
          <cell r="D1596" t="str">
            <v>no</v>
          </cell>
          <cell r="E1596" t="str">
            <v>20201133174</v>
          </cell>
          <cell r="F1596" t="str">
            <v>F0671</v>
          </cell>
          <cell r="G1596" t="str">
            <v>Tools, Instruments &amp; Equipment</v>
          </cell>
          <cell r="H1596" t="str">
            <v>Pur Flammable Cabinets</v>
          </cell>
          <cell r="I1596" t="str">
            <v>posted to CPR</v>
          </cell>
          <cell r="J1596" t="str">
            <v>Pur Flammable Cabinets: Independence: Independence Training Center</v>
          </cell>
          <cell r="K1596" t="str">
            <v>Approved by: Regina George-Berry on 11/20/2013,  Flammable cabinets required by OSHA and fire codes to store flammable materials at the Training Center.</v>
          </cell>
          <cell r="L1596">
            <v>41597</v>
          </cell>
          <cell r="M1596">
            <v>41654</v>
          </cell>
          <cell r="N1596">
            <v>41654.604097222204</v>
          </cell>
          <cell r="P1596" t="str">
            <v>0201-043001  JACKSON CTY/INDEPENDENCE</v>
          </cell>
          <cell r="Q1596">
            <v>2541.9499999999998</v>
          </cell>
          <cell r="R1596">
            <v>0</v>
          </cell>
        </row>
        <row r="1597">
          <cell r="A1597" t="str">
            <v>004030</v>
          </cell>
          <cell r="B1597" t="str">
            <v>LDC 2</v>
          </cell>
          <cell r="D1597" t="str">
            <v>no</v>
          </cell>
          <cell r="E1597" t="str">
            <v>20201133066</v>
          </cell>
          <cell r="F1597" t="str">
            <v>F0507</v>
          </cell>
          <cell r="G1597" t="str">
            <v>Rebuild Meter Install 2'' &amp; Lg (S)</v>
          </cell>
          <cell r="H1597" t="str">
            <v>Unit Service Exch 3M Meter Set Rebu</v>
          </cell>
          <cell r="I1597" t="str">
            <v>posted to CPR</v>
          </cell>
          <cell r="J1597" t="str">
            <v>Unit Service Exch 3M Meter Set Rebuild: Independence: 120 W 31st St</v>
          </cell>
          <cell r="K1597" t="str">
            <v>Approved by: Ray Wilson on 10/24/2013,  Rebuild a 3M rotary meter set at the building to replace the existing AL 1400 meter set at the property line of 120 W 31st St on WO# 13-3066. The existing AL 1400 meter set which serves 14" w.c. (meter# 05404772, premise 45596) is a property line set with 3' of 2" CS service line, due for remediation as a 20 year SLRP. Retire/abandon the 3' of 2" CS service line (installed in 1961). Also, retire the exisitng AL 1400 meter set installed on wo#'s 61-4948 (meter) and 61-4949 (regulator) - originally built for previous address 150 W 31st St. The current load for Unit Service Exch is approximately 3,000 cfh. 20' of 1-1/4in PE service line, a 2" x 1-1/4" PE reducer, 2" flanged riser w/ 2" bypass, 2" flanged balon ball valve, and a 2" stop cock 175 GTO w/ a 2" plug square head-cored will be installed on a BWO.</v>
          </cell>
          <cell r="L1597">
            <v>41575</v>
          </cell>
          <cell r="M1597">
            <v>41626</v>
          </cell>
          <cell r="N1597">
            <v>41630.722175925897</v>
          </cell>
          <cell r="P1597" t="str">
            <v>0201-043001  JACKSON CTY/INDEPENDENCE</v>
          </cell>
          <cell r="Q1597">
            <v>2751.77</v>
          </cell>
          <cell r="R1597">
            <v>94</v>
          </cell>
        </row>
        <row r="1598">
          <cell r="A1598" t="str">
            <v>004078</v>
          </cell>
          <cell r="B1598" t="str">
            <v>LDC 2</v>
          </cell>
          <cell r="D1598" t="str">
            <v>no</v>
          </cell>
          <cell r="E1598" t="str">
            <v>20201143379</v>
          </cell>
          <cell r="F1598" t="str">
            <v>F0671</v>
          </cell>
          <cell r="G1598" t="str">
            <v>Tools, Instruments &amp; Equipment</v>
          </cell>
          <cell r="H1598" t="str">
            <v>Pur Apprentice Lockers - Training C</v>
          </cell>
          <cell r="I1598" t="str">
            <v>posted to CPR</v>
          </cell>
          <cell r="J1598" t="str">
            <v>Pur Apprentice Lockers - Training Ctr: Independence: Independence Training Center</v>
          </cell>
          <cell r="K1598" t="str">
            <v>Approved by: Brian Dresel on 02/21/2014,  New hires/apprentices need a place to secure their personal items and company issued tools and clothing while at the Training Center. These lockers will provide that storage. Also a rolling cabinet is needed to secure Sensit Gold CGI's, pipe locator's and other expensive equipment to protect the equipment from theft.</v>
          </cell>
          <cell r="L1598">
            <v>41695</v>
          </cell>
          <cell r="M1598">
            <v>41943</v>
          </cell>
          <cell r="N1598">
            <v>41953.661851851903</v>
          </cell>
          <cell r="O1598">
            <v>41730</v>
          </cell>
          <cell r="P1598" t="str">
            <v>0201-043001  JACKSON CTY/INDEPENDENCE</v>
          </cell>
          <cell r="Q1598">
            <v>3323.85</v>
          </cell>
          <cell r="R1598">
            <v>0</v>
          </cell>
        </row>
        <row r="1599">
          <cell r="A1599" t="str">
            <v>007199</v>
          </cell>
          <cell r="B1599" t="str">
            <v>LDC 2</v>
          </cell>
          <cell r="D1599" t="str">
            <v>yes</v>
          </cell>
          <cell r="E1599" t="str">
            <v>20301143948</v>
          </cell>
          <cell r="F1599" t="str">
            <v>F0604</v>
          </cell>
          <cell r="G1599" t="str">
            <v>Main Replacement - ISRS (S)</v>
          </cell>
          <cell r="H1599" t="str">
            <v>Replace 4in pbs main</v>
          </cell>
          <cell r="I1599" t="str">
            <v>posted to CPR</v>
          </cell>
          <cell r="J1599" t="str">
            <v>Replace 4in pbs main: Warrensburg: Replace Bare Steel Main - 3760 Safety Related (34-394)</v>
          </cell>
          <cell r="K1599" t="str">
            <v>Approved by: Ralph Janes on 12/15/2014,  Replace and retire 231' - 4" pbs main (WO Unknown), 18' - 4" pe main (WO 734827), 1,024' - 2" pbs main (WO Unknown), 272' - 2" pbs main (WO 5450), 40' - 2" pbs main (WO 19568) and 155' - 2" pcs main (WO 25894) by installing 1,735' 2" pe main due to leakage. (ISRS)</v>
          </cell>
          <cell r="L1599">
            <v>42292</v>
          </cell>
          <cell r="M1599">
            <v>42614</v>
          </cell>
          <cell r="N1599">
            <v>42649.699560185203</v>
          </cell>
          <cell r="O1599">
            <v>42401</v>
          </cell>
          <cell r="P1599" t="str">
            <v>0301-046001  JOHNSON CTY/WARRENSBURG</v>
          </cell>
          <cell r="Q1599">
            <v>96519.86</v>
          </cell>
          <cell r="R1599">
            <v>2281</v>
          </cell>
        </row>
        <row r="1600">
          <cell r="A1600" t="str">
            <v>009018</v>
          </cell>
          <cell r="B1600" t="str">
            <v>LDC 2</v>
          </cell>
          <cell r="D1600" t="str">
            <v>no</v>
          </cell>
          <cell r="E1600" t="str">
            <v>20201155464</v>
          </cell>
          <cell r="F1600" t="str">
            <v>F0507</v>
          </cell>
          <cell r="G1600" t="str">
            <v>Rebuild Meter Install 2'' &amp; Lg (S)</v>
          </cell>
          <cell r="H1600" t="str">
            <v>James Bridger 11M Meter Rebuild</v>
          </cell>
          <cell r="I1600" t="str">
            <v>posted to CPR</v>
          </cell>
          <cell r="J1600" t="str">
            <v>James Bridger 11M Meter Rebuild: Independence: Replace Meter &amp; Reg 2in &amp;  Larger - 3820/3830 (32-404)</v>
          </cell>
          <cell r="K1600" t="str">
            <v>Approved by: Kevin Driskell on 07/24/2015,  The 2-AL5000 meters at James Bridger School-18200 E State Rt 78 (meter #00216696 &amp; 00232092, installed on WO's 673110 &amp; 673111) are due for change out on the time limit program.  Existing Load = 11,000 cfh.  Rebuild a 11M rotary meter setting and retire the existing set.</v>
          </cell>
          <cell r="L1600">
            <v>42284</v>
          </cell>
          <cell r="M1600">
            <v>42308</v>
          </cell>
          <cell r="N1600">
            <v>42314.3764814815</v>
          </cell>
          <cell r="O1600">
            <v>42278</v>
          </cell>
          <cell r="P1600" t="str">
            <v>0201-043001  JACKSON CTY/INDEPENDENCE</v>
          </cell>
          <cell r="Q1600">
            <v>4623.01</v>
          </cell>
          <cell r="R1600">
            <v>-26.933299999999999</v>
          </cell>
        </row>
        <row r="1601">
          <cell r="A1601" t="str">
            <v>007519</v>
          </cell>
          <cell r="B1601" t="str">
            <v>LDC 2</v>
          </cell>
          <cell r="D1601" t="str">
            <v>no</v>
          </cell>
          <cell r="E1601" t="str">
            <v>20201155086</v>
          </cell>
          <cell r="F1601" t="str">
            <v>F0606</v>
          </cell>
          <cell r="G1601" t="str">
            <v>Station rebuild &amp; replacement</v>
          </cell>
          <cell r="H1601" t="str">
            <v>Retire DRS 83 Arlington and 23rd</v>
          </cell>
          <cell r="I1601" t="str">
            <v>posted to CPR</v>
          </cell>
          <cell r="J1601" t="str">
            <v>Retire DRS 83 Arlington and 23rd: Independence: Rebuild District/TB Stations  3780/3790 (45-387)</v>
          </cell>
          <cell r="K1601" t="str">
            <v>Approved by: Kevin Driskell on 01/23/2015,  Remove and retire DRS 83 (WO# 92-5451) as it will not be needed after the completion of WO# 15-5086. The 2" Rockwell 461S and 2" Fisher S201 PK regulators will be junked.</v>
          </cell>
          <cell r="L1601">
            <v>42177</v>
          </cell>
          <cell r="M1601">
            <v>42185</v>
          </cell>
          <cell r="N1601">
            <v>42284.723217592596</v>
          </cell>
          <cell r="P1601" t="str">
            <v>0201-043001  JACKSON CTY/INDEPENDENCE</v>
          </cell>
          <cell r="Q1601">
            <v>1330.89</v>
          </cell>
          <cell r="R1601">
            <v>4</v>
          </cell>
        </row>
        <row r="1602">
          <cell r="A1602" t="str">
            <v>006611</v>
          </cell>
          <cell r="B1602" t="str">
            <v>LDC 2</v>
          </cell>
          <cell r="D1602" t="str">
            <v>no</v>
          </cell>
          <cell r="E1602" t="str">
            <v>20301143842</v>
          </cell>
          <cell r="F1602" t="str">
            <v>F0673</v>
          </cell>
          <cell r="G1602" t="str">
            <v>New Main Extensions (S)</v>
          </cell>
          <cell r="H1602" t="str">
            <v>CahiL 2in PE Main</v>
          </cell>
          <cell r="I1602" t="str">
            <v>posted to CPR</v>
          </cell>
          <cell r="J1602" t="str">
            <v>CahiL 2in PE Main: Warrensburg: New Main Extension - Company Crews  3760 (33-305) Rich Blvd and Veterans Rd</v>
          </cell>
          <cell r="K1602" t="str">
            <v>Approved by: Ralph Janes on 10/07/2014,  Iinstll 2,235' - 2" pe main.  Existing 6" pe main is 9' deep and would require shoring for every service tap.</v>
          </cell>
          <cell r="L1602">
            <v>42119</v>
          </cell>
          <cell r="M1602">
            <v>42185</v>
          </cell>
          <cell r="N1602">
            <v>42256.641504629602</v>
          </cell>
          <cell r="O1602">
            <v>42125</v>
          </cell>
          <cell r="P1602" t="str">
            <v>0301-046001  JOHNSON CTY/WARRENSBURG</v>
          </cell>
          <cell r="Q1602">
            <v>20218.57</v>
          </cell>
          <cell r="R1602">
            <v>-4767</v>
          </cell>
        </row>
        <row r="1603">
          <cell r="A1603" t="str">
            <v>003820</v>
          </cell>
          <cell r="B1603" t="str">
            <v>LDC 2</v>
          </cell>
          <cell r="D1603" t="str">
            <v>yes</v>
          </cell>
          <cell r="E1603" t="str">
            <v>20301050373</v>
          </cell>
          <cell r="F1603" t="str">
            <v>F0535</v>
          </cell>
          <cell r="G1603" t="str">
            <v>BWO Mtr/Reg Repl - SLRP ISRS (S)</v>
          </cell>
          <cell r="H1603" t="str">
            <v>BWO MTR/REG SET REPL CONTRACTOR-SLR</v>
          </cell>
          <cell r="I1603" t="str">
            <v>posted to CPR</v>
          </cell>
          <cell r="J1603" t="str">
            <v>BWO MTR/REG SET REPL CONTRACTOR-SLRP</v>
          </cell>
          <cell r="K1603" t="str">
            <v>Project Type:B</v>
          </cell>
          <cell r="L1603">
            <v>41717</v>
          </cell>
          <cell r="M1603">
            <v>41717</v>
          </cell>
          <cell r="N1603">
            <v>41717</v>
          </cell>
          <cell r="P1603" t="str">
            <v>0301-046001  JOHNSON CTY/WARRENSBURG</v>
          </cell>
          <cell r="Q1603">
            <v>2195.16</v>
          </cell>
          <cell r="R1603">
            <v>0</v>
          </cell>
        </row>
        <row r="1604">
          <cell r="A1604" t="str">
            <v>800276</v>
          </cell>
          <cell r="B1604" t="str">
            <v>LDC 2</v>
          </cell>
          <cell r="C1604" t="str">
            <v>03 - Bare Steel Replacement</v>
          </cell>
          <cell r="D1604" t="str">
            <v>yes</v>
          </cell>
          <cell r="F1604" t="str">
            <v>F0604</v>
          </cell>
          <cell r="G1604" t="str">
            <v>Main Replacement - ISRS (S)</v>
          </cell>
          <cell r="H1604" t="str">
            <v>Repl w 5332f 2p Carrollton Phase C</v>
          </cell>
          <cell r="I1604" t="str">
            <v>open</v>
          </cell>
          <cell r="J1604" t="str">
            <v>Install 5332 Ft of 2in PL IP, abandon 4123 Ft of 2in ST LP, 1211 Ft of 2in ST IP, 132 Ft of 2in PL LP, and uprate 1175 Ft of 2in PL LP main in Carrollton, MO.</v>
          </cell>
          <cell r="K1604" t="str">
            <v>This main is being replaced as part of FY16 Bare Steel Replacement Program.</v>
          </cell>
          <cell r="P1604" t="str">
            <v>0312-014001  CARROLL CTY/CARROLLTON</v>
          </cell>
          <cell r="Q1604">
            <v>162288.76</v>
          </cell>
          <cell r="R1604">
            <v>-634</v>
          </cell>
        </row>
        <row r="1605">
          <cell r="A1605" t="str">
            <v>011199</v>
          </cell>
          <cell r="B1605" t="str">
            <v>LDC 2</v>
          </cell>
          <cell r="D1605" t="str">
            <v>no</v>
          </cell>
          <cell r="F1605" t="str">
            <v>F1171</v>
          </cell>
          <cell r="G1605" t="str">
            <v>Tools For MGE Operation Services</v>
          </cell>
          <cell r="H1605" t="str">
            <v>Purch 2 FC300 SRead Radios</v>
          </cell>
          <cell r="I1605" t="str">
            <v>posted to CPR</v>
          </cell>
          <cell r="J1605" t="str">
            <v>Purchase two FC300’s SRead Radios from Itron with dock and power supply.</v>
          </cell>
          <cell r="K1605" t="str">
            <v>Units are needed by P&amp;M for programming and checking erts for meters 1000 class and above. One unit will be used by Monett P&amp;M and one for Joplin P&amp;M. Requested by Hal Hoofnagle</v>
          </cell>
          <cell r="L1605">
            <v>42614</v>
          </cell>
          <cell r="M1605">
            <v>42735</v>
          </cell>
          <cell r="N1605">
            <v>42772.668587963002</v>
          </cell>
          <cell r="O1605">
            <v>42614</v>
          </cell>
          <cell r="P1605" t="str">
            <v>0801-005001  BARRY CTY/MONETT</v>
          </cell>
          <cell r="Q1605">
            <v>12081.99</v>
          </cell>
          <cell r="R1605">
            <v>24032</v>
          </cell>
        </row>
        <row r="1606">
          <cell r="A1606" t="str">
            <v>004125</v>
          </cell>
          <cell r="B1606" t="str">
            <v>LDC 2</v>
          </cell>
          <cell r="D1606" t="str">
            <v>no</v>
          </cell>
          <cell r="E1606" t="str">
            <v>20932133196</v>
          </cell>
          <cell r="F1606" t="str">
            <v>F0602</v>
          </cell>
          <cell r="G1606" t="str">
            <v>New business</v>
          </cell>
          <cell r="H1606" t="str">
            <v>Creekmoor Dr &amp; Kingsland Cir Lay 12</v>
          </cell>
          <cell r="I1606" t="str">
            <v>posted to CPR</v>
          </cell>
          <cell r="J1606" t="str">
            <v>Creekmoor Dr &amp; Kingsland Cir Lay 1250'-6in PE main: Raymore: Westbrook @ Creekmoor 9 Plat</v>
          </cell>
          <cell r="K1606" t="str">
            <v>Approved by: Ralph Janes on 12/05/2013,  Install 1,250' - 6" pe main extension to serve 23 new residential customers.</v>
          </cell>
          <cell r="L1606">
            <v>41765</v>
          </cell>
          <cell r="M1606">
            <v>42216</v>
          </cell>
          <cell r="N1606">
            <v>42256.6393634259</v>
          </cell>
          <cell r="O1606">
            <v>41791</v>
          </cell>
          <cell r="P1606" t="str">
            <v>0932-016022  CASS CTY/RAYMORE</v>
          </cell>
          <cell r="Q1606">
            <v>23577.99</v>
          </cell>
          <cell r="R1606">
            <v>-1241</v>
          </cell>
        </row>
        <row r="1607">
          <cell r="A1607" t="str">
            <v>007505</v>
          </cell>
          <cell r="B1607" t="str">
            <v>LDC 2</v>
          </cell>
          <cell r="D1607" t="str">
            <v>no</v>
          </cell>
          <cell r="E1607" t="str">
            <v>20804143961</v>
          </cell>
          <cell r="F1607" t="str">
            <v>F0523</v>
          </cell>
          <cell r="G1607" t="str">
            <v>New Main Extensions (SW)</v>
          </cell>
          <cell r="H1607" t="str">
            <v>Ext Main with 1510ft of 4in to Orsc</v>
          </cell>
          <cell r="I1607" t="str">
            <v>posted to CPR</v>
          </cell>
          <cell r="J1607" t="str">
            <v>Ext Main with 1510ft of 4in to Orschelns: Mount Vernon: New Main Extension - Company Crews  3760 (33-305)</v>
          </cell>
          <cell r="K1607" t="str">
            <v>Approved by: Steve Holcomb on 01/02/2015,  *MODOT PERMIT REQUIRED* Extend main with 1510' - 4" PE to provide service to Orscheln Farm and Home. Customer will contribute $15,675.00 prior to construction. Company elects to lay 4" due to anticipated expansion in this area. Project Location: Missouri and Daniel; Pressure System: S-2302; MOP: 25 psig; MAOP: 58 psig; Design: 58 psig; Test: 100 psig; $38.65/ft</v>
          </cell>
          <cell r="L1607">
            <v>42146</v>
          </cell>
          <cell r="M1607">
            <v>42248</v>
          </cell>
          <cell r="N1607">
            <v>42284.723136574103</v>
          </cell>
          <cell r="O1607">
            <v>42156</v>
          </cell>
          <cell r="P1607" t="str">
            <v>0804-050005  LAWRENCE CTY/MT. VERNON</v>
          </cell>
          <cell r="Q1607">
            <v>52779.38</v>
          </cell>
          <cell r="R1607">
            <v>-2241</v>
          </cell>
        </row>
        <row r="1608">
          <cell r="A1608" t="str">
            <v>007202</v>
          </cell>
          <cell r="B1608" t="str">
            <v>LDC 2</v>
          </cell>
          <cell r="D1608" t="str">
            <v>yes</v>
          </cell>
          <cell r="E1608" t="str">
            <v>20806143871</v>
          </cell>
          <cell r="F1608" t="str">
            <v>F0634</v>
          </cell>
          <cell r="G1608" t="str">
            <v>Replace bare steel main - safety re</v>
          </cell>
          <cell r="H1608" t="str">
            <v>Repl 2in PBS due to CP Rockhill</v>
          </cell>
          <cell r="I1608" t="str">
            <v>posted to CPR</v>
          </cell>
          <cell r="J1608" t="str">
            <v>Repl 2in PBS due to CP Rockhill and Lafayette: Neosho: Replace Bare Steel Main - 3760 Safety Related (34-394)</v>
          </cell>
          <cell r="K1608" t="str">
            <v>Approved by: Galen Shoemaker on 12/05/2014,  Abandon 712' - 2" PBS (WO#'s A17, 4800) and replace with 715' - 2" PE due to CP 14-44. Project Location: Easement South of Rockhill Rd west of Lafayette; Pressure System: C-1; MOP: 42 psig; MAOP: 42 psig; Design: 58 psig; Test: 100 psig; ISRS $31.63/ft</v>
          </cell>
          <cell r="L1608">
            <v>42146</v>
          </cell>
          <cell r="M1608">
            <v>42217</v>
          </cell>
          <cell r="N1608">
            <v>42284.722986111097</v>
          </cell>
          <cell r="O1608">
            <v>42156</v>
          </cell>
          <cell r="P1608" t="str">
            <v>0806-066010  NEWTON CTY/NEOSHO</v>
          </cell>
          <cell r="Q1608">
            <v>15022.84</v>
          </cell>
          <cell r="R1608">
            <v>1182.5</v>
          </cell>
        </row>
        <row r="1609">
          <cell r="A1609" t="str">
            <v>003846</v>
          </cell>
          <cell r="B1609" t="str">
            <v>LDC 2</v>
          </cell>
          <cell r="D1609" t="str">
            <v>yes</v>
          </cell>
          <cell r="E1609" t="str">
            <v>20806132677</v>
          </cell>
          <cell r="F1609" t="str">
            <v>F0592</v>
          </cell>
          <cell r="G1609" t="str">
            <v>Replace bare steel main - safety re</v>
          </cell>
          <cell r="H1609" t="str">
            <v>Neosho &amp; South St Repl PBS w 135'-4</v>
          </cell>
          <cell r="I1609" t="str">
            <v>posted to CPR</v>
          </cell>
          <cell r="J1609" t="str">
            <v>Neosho &amp; South St Repl PBS w 135'-4in TF Steel mai: Neosho: Neosho Blvd and South St</v>
          </cell>
          <cell r="K1609" t="str">
            <v>Approved by: Galen Shoemaker on 05/20/2013,  Abandon 70' - 2in PBS (WO#'s: B1483, J08767A), 66' - 4in PBS (WO#'s: B1483, A8023A) and 8' - 4in PCS (WO#: 62-3279) and replace with 135' - 4in Thinfilm and 5' - 2in Thinfilm to remove two dresser couplings and two existing valves that are creating cathodic protection issues with the rectifier. Project Location: South St and Neosho Blvd; Pressure System: C-1; MOP: 42 psig; MAOP: 42 psig; Design: 58 psig; Test: 100 psig; ISRS $156.86/ft</v>
          </cell>
          <cell r="L1609">
            <v>41565</v>
          </cell>
          <cell r="M1609">
            <v>41670</v>
          </cell>
          <cell r="N1609">
            <v>41677.509733796302</v>
          </cell>
          <cell r="O1609">
            <v>41730</v>
          </cell>
          <cell r="P1609" t="str">
            <v>0806-066010  NEWTON CTY/NEOSHO</v>
          </cell>
          <cell r="Q1609">
            <v>33323.89</v>
          </cell>
          <cell r="R1609">
            <v>484</v>
          </cell>
        </row>
        <row r="1610">
          <cell r="A1610" t="str">
            <v>008729</v>
          </cell>
          <cell r="B1610" t="str">
            <v>LDC 2</v>
          </cell>
          <cell r="D1610" t="str">
            <v>no</v>
          </cell>
          <cell r="E1610" t="str">
            <v>20932155223</v>
          </cell>
          <cell r="F1610" t="str">
            <v>F0602</v>
          </cell>
          <cell r="G1610" t="str">
            <v>New business</v>
          </cell>
          <cell r="H1610" t="str">
            <v>Benton House of Raymore Main Extens</v>
          </cell>
          <cell r="I1610" t="str">
            <v>posted to CPR</v>
          </cell>
          <cell r="J1610" t="str">
            <v>Benton House of Raymore Main Extension: Raymore: New Main Extension - Contractor Crews  3760 (33-380)</v>
          </cell>
          <cell r="K1610" t="str">
            <v>Approved by: Kevin Driskell on 04/02/2015,  Install 915' - 6" pe main and 1,395' - 4" pe main to serve one new commercial customer.  3M Rotary meter to be installed on parent work order 15-5224.  Note:  2,160' - 2" pe is minimum to serve (estimated cost = $19,469.98)- larger main is for MGE benefit as Dean Aveneu will eventually give us a much needed connection to the mains south of Lucy Webb Road where our pressure drops from 50 psig to 10 psig during cold weather.</v>
          </cell>
          <cell r="L1610">
            <v>42250</v>
          </cell>
          <cell r="M1610">
            <v>42445</v>
          </cell>
          <cell r="N1610">
            <v>42557.552719907399</v>
          </cell>
          <cell r="O1610">
            <v>42248</v>
          </cell>
          <cell r="P1610" t="str">
            <v>0932-016022  CASS CTY/RAYMORE</v>
          </cell>
          <cell r="Q1610">
            <v>105529.42</v>
          </cell>
          <cell r="R1610">
            <v>-4608</v>
          </cell>
        </row>
        <row r="1611">
          <cell r="A1611" t="str">
            <v>006991</v>
          </cell>
          <cell r="B1611" t="str">
            <v>LDC 2</v>
          </cell>
          <cell r="D1611" t="str">
            <v>no</v>
          </cell>
          <cell r="E1611" t="str">
            <v>20801143784</v>
          </cell>
          <cell r="F1611" t="str">
            <v>F0523</v>
          </cell>
          <cell r="G1611" t="str">
            <v>New Main Extensions (SW)</v>
          </cell>
          <cell r="H1611" t="str">
            <v>Lay 125ft 2in Plastic Main</v>
          </cell>
          <cell r="I1611" t="str">
            <v>posted to CPR</v>
          </cell>
          <cell r="J1611" t="str">
            <v>Lay 125ft 2in Plastic Main: Monett: New Main Extension - Company Crews  3760 (33-305)</v>
          </cell>
          <cell r="K1611" t="str">
            <v>Approved by: Galen Shoemaker on 09/10/2014,  Lay 125ft of 2in Plastic Main to serve one residential customer. Customer will pay refundable $550.00 deposit before construction begins. MOP=40# MAOP=44# TEST=100# SYSTEM=C-1</v>
          </cell>
          <cell r="L1611">
            <v>41990</v>
          </cell>
          <cell r="M1611">
            <v>42248</v>
          </cell>
          <cell r="N1611">
            <v>42284.722905092603</v>
          </cell>
          <cell r="O1611">
            <v>41974</v>
          </cell>
          <cell r="P1611" t="str">
            <v>0801-005001  BARRY CTY/MONETT</v>
          </cell>
          <cell r="Q1611">
            <v>1253.76</v>
          </cell>
          <cell r="R1611">
            <v>-324</v>
          </cell>
        </row>
        <row r="1612">
          <cell r="A1612" t="str">
            <v>005463</v>
          </cell>
          <cell r="B1612" t="str">
            <v>LDC 2</v>
          </cell>
          <cell r="D1612" t="str">
            <v>yes</v>
          </cell>
          <cell r="E1612" t="str">
            <v>20804143597</v>
          </cell>
          <cell r="F1612" t="str">
            <v>F0545</v>
          </cell>
          <cell r="G1612" t="str">
            <v>Street &amp; highway relocates</v>
          </cell>
          <cell r="H1612" t="str">
            <v>Sloan Ave Reloc 10'-3in CS main</v>
          </cell>
          <cell r="I1612" t="str">
            <v>posted to CPR</v>
          </cell>
          <cell r="J1612" t="str">
            <v>Sloan Ave Reloc 10'-3in CS main: Mount Vernon: Relocate for Street &amp; Highway-Public Improvements (44-388)</v>
          </cell>
          <cell r="K1612" t="str">
            <v>Approved by: Galen Shoemaker on 06/10/2014,  To replace 6ft of 3in Coated Steel Main from WO 7906K with 3in Coated Steel to lower Main to allow for a 24in Plastic Drain to be installed in the path of our existing Main. MOP=25# MAOP=25# SYSTEM=S-3 TEST=100# ISRS</v>
          </cell>
          <cell r="L1612">
            <v>41799</v>
          </cell>
          <cell r="M1612">
            <v>41821</v>
          </cell>
          <cell r="N1612">
            <v>41953.447615740697</v>
          </cell>
          <cell r="O1612">
            <v>41821</v>
          </cell>
          <cell r="P1612" t="str">
            <v>0804-050005  LAWRENCE CTY/MT. VERNON</v>
          </cell>
          <cell r="Q1612">
            <v>1746.21</v>
          </cell>
          <cell r="R1612">
            <v>49</v>
          </cell>
        </row>
        <row r="1613">
          <cell r="A1613" t="str">
            <v>004474</v>
          </cell>
          <cell r="B1613" t="str">
            <v>LDC 2</v>
          </cell>
          <cell r="D1613" t="str">
            <v>yes</v>
          </cell>
          <cell r="E1613" t="str">
            <v>20815132957</v>
          </cell>
          <cell r="F1613" t="str">
            <v>F0598</v>
          </cell>
          <cell r="G1613" t="str">
            <v>Replace steel &amp; plastic main</v>
          </cell>
          <cell r="H1613" t="str">
            <v>Replace Fuses on WO 132353 Thistle</v>
          </cell>
          <cell r="I1613" t="str">
            <v>posted to CPR</v>
          </cell>
          <cell r="J1613" t="str">
            <v>Replace Fuses on WO 132353 Thistle Cover: Ozark: Thistle and Cover</v>
          </cell>
          <cell r="K1613" t="str">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ell>
          <cell r="L1613">
            <v>41534</v>
          </cell>
          <cell r="M1613">
            <v>41626</v>
          </cell>
          <cell r="N1613">
            <v>41627.582847222198</v>
          </cell>
          <cell r="O1613">
            <v>41944</v>
          </cell>
          <cell r="P1613" t="str">
            <v>0815-019006  CHRISTIAN CTY/OZARK</v>
          </cell>
          <cell r="Q1613">
            <v>6757.07</v>
          </cell>
          <cell r="R1613">
            <v>214.4</v>
          </cell>
        </row>
        <row r="1614">
          <cell r="A1614" t="str">
            <v>800644</v>
          </cell>
          <cell r="B1614" t="str">
            <v>LDC 2</v>
          </cell>
          <cell r="C1614" t="str">
            <v>03 - Bare Steel Replacement</v>
          </cell>
          <cell r="D1614" t="str">
            <v>yes</v>
          </cell>
          <cell r="F1614" t="str">
            <v>F0572</v>
          </cell>
          <cell r="G1614" t="str">
            <v>Main Replacement - ISRS (SW)</v>
          </cell>
          <cell r="H1614" t="str">
            <v>Neosho C-001 Bare Steel Main Replac</v>
          </cell>
          <cell r="I1614" t="str">
            <v>cancelled</v>
          </cell>
          <cell r="J1614" t="str">
            <v>WO #800644 was Canceled and Replaced by WO# 801057.  Install 5500 Ft of 2in PLIP and 2735 Ft of 6in Main. Abandon 202 Ft of 1.25in PLIP, 413 Ft of 2in PLIP, 4717 Ft of 2in STIP, and 2730 Ft of 6in STIP Main.</v>
          </cell>
          <cell r="K1614" t="str">
            <v>Abandon 202 Ft of 1 1/4 in PL IP Main, 413 Ft of 2 in PL IP Main, 4717 Ft of 2 in ST IP Main, and 2730 Ft of 6 in ST IP Main on the above mentioned streets.  Total Service Tie-over =74; Total Service Abandoned = 21; Total Service Replace = 3.  This main is being abandoned as part of FY16 Bare Steel Replacement Program.</v>
          </cell>
          <cell r="N1614">
            <v>42681.505474537</v>
          </cell>
          <cell r="P1614" t="str">
            <v>0816-019004  CHRISTIAN CTY/NIXA</v>
          </cell>
          <cell r="Q1614">
            <v>0</v>
          </cell>
          <cell r="R1614">
            <v>8062</v>
          </cell>
        </row>
        <row r="1615">
          <cell r="A1615" t="str">
            <v>007655</v>
          </cell>
          <cell r="B1615" t="str">
            <v>LDC 2</v>
          </cell>
          <cell r="D1615" t="str">
            <v>no</v>
          </cell>
          <cell r="E1615" t="str">
            <v>20816155090</v>
          </cell>
          <cell r="F1615" t="str">
            <v>F0579</v>
          </cell>
          <cell r="G1615" t="str">
            <v>New business</v>
          </cell>
          <cell r="H1615" t="str">
            <v>Wicklow Subdivision Phase III A</v>
          </cell>
          <cell r="I1615" t="str">
            <v>posted to CPR</v>
          </cell>
          <cell r="J1615" t="str">
            <v>Wicklow Subdivision Phase III A: Nixa: New Main Extension - Contractor Crews  3760 (33-380)</v>
          </cell>
          <cell r="K1615" t="str">
            <v>Approved by: Kevin Driskell on 02/11/2015,  Install 1295' of 4" PE &amp; 1160' of 2" PE for new Wicklow Subdivision Phase III-A.  Project Location: S of Tracker Rd, W of Old Castle Rd.  System:   C-1.  MOP: 44 PSIG.  MAOP: 44 PSIG.  Design: 58 PSIG.  Test: 100 PSIG.  Price Per Foot: $30.81.</v>
          </cell>
          <cell r="L1615">
            <v>42243</v>
          </cell>
          <cell r="M1615">
            <v>42370</v>
          </cell>
          <cell r="N1615">
            <v>42496.560324074097</v>
          </cell>
          <cell r="O1615">
            <v>42217</v>
          </cell>
          <cell r="P1615" t="str">
            <v>0816-019004  CHRISTIAN CTY/NIXA</v>
          </cell>
          <cell r="Q1615">
            <v>42998.14</v>
          </cell>
          <cell r="R1615">
            <v>-3992.7</v>
          </cell>
        </row>
        <row r="1616">
          <cell r="A1616" t="str">
            <v>008906</v>
          </cell>
          <cell r="B1616" t="str">
            <v>LDC 2</v>
          </cell>
          <cell r="D1616" t="str">
            <v>yes</v>
          </cell>
          <cell r="E1616" t="str">
            <v>20902155399</v>
          </cell>
          <cell r="F1616" t="str">
            <v>F0604</v>
          </cell>
          <cell r="G1616" t="str">
            <v>Main Replacement - ISRS (S)</v>
          </cell>
          <cell r="H1616" t="str">
            <v>Replace 10in and 6in pbs ma</v>
          </cell>
          <cell r="I1616" t="str">
            <v>posted to CPR</v>
          </cell>
          <cell r="J1616" t="str">
            <v>Replace 10in and 6in pbs main: Raytown: Replace Bare Steel Main - 3760 Safety Related (34-394)</v>
          </cell>
          <cell r="K1616" t="str">
            <v>Approved by: Joe Hampton on 07/07/2015,  Relocate and abandon 10", 6", and 2" bare steel main by installing 2,485' - 8" pe and 1,240' - 2" pe main to allow the City of Raytown to improve Blue Ridge Blvd.  (ISRS)</v>
          </cell>
          <cell r="L1616">
            <v>42635</v>
          </cell>
          <cell r="M1616">
            <v>42635</v>
          </cell>
          <cell r="N1616">
            <v>42742.624780092599</v>
          </cell>
          <cell r="O1616">
            <v>42614</v>
          </cell>
          <cell r="P1616" t="str">
            <v>0902-043025  JACKSON CTY/RAYTOWN</v>
          </cell>
          <cell r="Q1616">
            <v>442190.68</v>
          </cell>
          <cell r="R1616">
            <v>-1181.5</v>
          </cell>
        </row>
        <row r="1617">
          <cell r="A1617" t="str">
            <v>004589</v>
          </cell>
          <cell r="B1617" t="str">
            <v>LDC 2</v>
          </cell>
          <cell r="D1617" t="str">
            <v>no</v>
          </cell>
          <cell r="E1617" t="str">
            <v>20902143284</v>
          </cell>
          <cell r="F1617" t="str">
            <v>F0673</v>
          </cell>
          <cell r="G1617" t="str">
            <v>New Main Extensions (S)</v>
          </cell>
          <cell r="H1617" t="str">
            <v>Rte 350 Lay 170'-2in PE main ext</v>
          </cell>
          <cell r="I1617" t="str">
            <v>posted to CPR</v>
          </cell>
          <cell r="J1617" t="str">
            <v>Rte 350 Lay 170'-2in PE main ext: Raytown: 1008 E MO Route 350 Midwest Transmission</v>
          </cell>
          <cell r="K1617" t="str">
            <v>Approved by: Ralph Janes on 01/07/2014,  The existing meter for Midwest Transmission is on the side of a car wash on a different parcel of property.  The owner of the car wash is demolishing part of the car wash building and has requested the meter moved off of his property.  Install 170' of 2" pe main extension to relocate the meter to the Midwest Transmission Building.  40' - 1/2" pe service line to be installed on a BWO.</v>
          </cell>
          <cell r="L1617">
            <v>41697</v>
          </cell>
          <cell r="M1617">
            <v>41729</v>
          </cell>
          <cell r="N1617">
            <v>41733.495601851901</v>
          </cell>
          <cell r="O1617">
            <v>41730</v>
          </cell>
          <cell r="P1617" t="str">
            <v>0902-043025  JACKSON CTY/RAYTOWN</v>
          </cell>
          <cell r="Q1617">
            <v>6511.36</v>
          </cell>
          <cell r="R1617">
            <v>792.5</v>
          </cell>
        </row>
        <row r="1618">
          <cell r="A1618" t="str">
            <v>004370</v>
          </cell>
          <cell r="B1618" t="str">
            <v>LDC 2</v>
          </cell>
          <cell r="D1618" t="str">
            <v>no</v>
          </cell>
          <cell r="E1618" t="str">
            <v>20902132853</v>
          </cell>
          <cell r="F1618" t="str">
            <v>F0507</v>
          </cell>
          <cell r="G1618" t="str">
            <v>Rebuild Meter Install 2'' &amp; Lg (S)</v>
          </cell>
          <cell r="H1618" t="str">
            <v>Retire Mtr Set RK 5000 Graceway Chu</v>
          </cell>
          <cell r="I1618" t="str">
            <v>posted to CPR</v>
          </cell>
          <cell r="J1618" t="str">
            <v>Retire Mtr Set RK 5000 Graceway Church: Raytown: 5600 Blue Ridge Cutoff</v>
          </cell>
          <cell r="K1618" t="str">
            <v>Approved by: Ralph Janes on 11/01/2013,  The RK 5000 meter (meter# 00194422) at 5600 Blue Ridge Cutoff is due for change out on the 2013 Time Limit Program. The existing load was gathered: 1,650 cfh. Retire the RK 5000 meter set (originally installed on wo# 81-0103) on WO# 13-2853 and downsize to an AL-1000 meter. The existing RK 5000 meter set which serves 7" w.c. is a property line set with 38' of 1-1/4" CS service line, due for remediation as a 20 year SLRP (premise 350626). Retire/abandon the 38' of 1-1/4" CS service line (installed in 1981). Install 260' of 1-1/4in PE service line, a 2" x 1-1/4" PE reducer, and a 2" flanged riser w/ 2" bypass (in case rotary meter set is needed in the future) on a BWO.</v>
          </cell>
          <cell r="L1618">
            <v>41584</v>
          </cell>
          <cell r="M1618">
            <v>41626</v>
          </cell>
          <cell r="N1618">
            <v>41630.722210648099</v>
          </cell>
          <cell r="P1618" t="str">
            <v>0902-043025  JACKSON CTY/RAYTOWN</v>
          </cell>
          <cell r="Q1618">
            <v>1864.88</v>
          </cell>
          <cell r="R1618">
            <v>9</v>
          </cell>
        </row>
        <row r="1619">
          <cell r="A1619" t="str">
            <v>008210</v>
          </cell>
          <cell r="B1619" t="str">
            <v>LDC 2</v>
          </cell>
          <cell r="D1619" t="str">
            <v>no</v>
          </cell>
          <cell r="E1619" t="str">
            <v>20904155125</v>
          </cell>
          <cell r="F1619" t="str">
            <v>F0507</v>
          </cell>
          <cell r="G1619" t="str">
            <v>Rebuild Meter Install 2'' &amp; Lg (S)</v>
          </cell>
          <cell r="H1619" t="str">
            <v>Remove 3M Rotary Meter</v>
          </cell>
          <cell r="I1619" t="str">
            <v>posted to CPR</v>
          </cell>
          <cell r="J1619" t="str">
            <v>Remove 3M Rotary Meter: Grandview: Replace Meter &amp; Reg 2&amp;quot; &amp;  Larger - 3820/3830 (32-404)</v>
          </cell>
          <cell r="K1619" t="str">
            <v>Approved by: Kevin Driskell on 02/11/2015,  Remove and dismantle the 3M rotary meter setting (meter #0044759, installed on WO# 048254) at the old Clean N Go Car Wash due to inactivity.</v>
          </cell>
          <cell r="L1619">
            <v>42124</v>
          </cell>
          <cell r="M1619">
            <v>42155</v>
          </cell>
          <cell r="N1619">
            <v>42256.642071759299</v>
          </cell>
          <cell r="O1619">
            <v>42217</v>
          </cell>
          <cell r="P1619" t="str">
            <v>0904-043030  JACKSON CTY/GRANDVIEW</v>
          </cell>
          <cell r="Q1619">
            <v>2003.04</v>
          </cell>
          <cell r="R1619">
            <v>10</v>
          </cell>
        </row>
        <row r="1620">
          <cell r="A1620" t="str">
            <v>003998</v>
          </cell>
          <cell r="B1620" t="str">
            <v>LDC 2</v>
          </cell>
          <cell r="D1620" t="str">
            <v>yes</v>
          </cell>
          <cell r="E1620" t="str">
            <v>20910121696</v>
          </cell>
          <cell r="F1620" t="str">
            <v>F0600</v>
          </cell>
          <cell r="G1620" t="str">
            <v>Station Rebuild &amp; Repl ISRS (N)</v>
          </cell>
          <cell r="H1620" t="str">
            <v>Olive St Rebuild DRS 13</v>
          </cell>
          <cell r="I1620" t="str">
            <v>posted to CPR</v>
          </cell>
          <cell r="J1620" t="str">
            <v>Olive St Rebuild DRS 13: Holden: Olive at Railroad Tracks</v>
          </cell>
          <cell r="K1620" t="str">
            <v>Approved by: Ralph Janes on 10/12/2012,  Replace DRS 13 on Olive St. just North of the Railroad tracks due to obsolete threaded monitor regulator. Reuse existing operator regulator (2in Rockwell 441-57S from wo# 84-1020). Replace existing monitor regulator (threaded 2in Rockwell 44S from wo# A1916E to be junked) with a 2in flanged 441-57S ANSI 125. The new operating 441-57S needs a brown spring (25-55 psig) and a 1-1/2in reduced valve. Also, replace bypass piping between the valves. Fisher 289H relief valve to be reused. Inlet system: Southern Star MOP = 80 psig &amp; MAOP = 95 psig. Outlet system S-013 MOP and MAOP = 30 psig.</v>
          </cell>
          <cell r="L1620">
            <v>41561</v>
          </cell>
          <cell r="M1620">
            <v>41626</v>
          </cell>
          <cell r="N1620">
            <v>41676.633379629602</v>
          </cell>
          <cell r="P1620" t="str">
            <v>0910-046008  JOHNSON CTY/HOLDEN</v>
          </cell>
          <cell r="Q1620">
            <v>4025.49</v>
          </cell>
          <cell r="R1620">
            <v>145</v>
          </cell>
        </row>
        <row r="1621">
          <cell r="A1621" t="str">
            <v>012916</v>
          </cell>
          <cell r="B1621" t="str">
            <v>LDC 2</v>
          </cell>
          <cell r="D1621" t="str">
            <v>no</v>
          </cell>
          <cell r="F1621" t="str">
            <v>F0644</v>
          </cell>
          <cell r="G1621" t="str">
            <v>Meter &amp; Reg Settings 2" &amp; Lg (S)</v>
          </cell>
          <cell r="H1621" t="str">
            <v>Summit Church 5M Rotary Meter Set</v>
          </cell>
          <cell r="I1621" t="str">
            <v>in service</v>
          </cell>
          <cell r="J1621" t="str">
            <v>Install 5M Rotary Meter Set to serve one new commercial customer at 3381 NW Chipman</v>
          </cell>
          <cell r="K1621" t="str">
            <v>Maximo WO 15621738</v>
          </cell>
          <cell r="L1621">
            <v>42712</v>
          </cell>
          <cell r="O1621">
            <v>42736</v>
          </cell>
          <cell r="P1621" t="str">
            <v>0901-043021  JACKSON CTY/LEE'S SUMMIT OFFIC</v>
          </cell>
          <cell r="Q1621">
            <v>2431.36</v>
          </cell>
          <cell r="R1621">
            <v>-40</v>
          </cell>
        </row>
        <row r="1622">
          <cell r="A1622" t="str">
            <v>005177</v>
          </cell>
          <cell r="B1622" t="str">
            <v>LDC 2</v>
          </cell>
          <cell r="D1622" t="str">
            <v>no</v>
          </cell>
          <cell r="E1622" t="str">
            <v>20901143550</v>
          </cell>
          <cell r="F1622" t="str">
            <v>F0639</v>
          </cell>
          <cell r="G1622" t="str">
            <v>EGM Equip-1st Time Installation</v>
          </cell>
          <cell r="H1622" t="str">
            <v>EGM - City of Lees Summit - Green</v>
          </cell>
          <cell r="I1622" t="str">
            <v>posted to CPR</v>
          </cell>
          <cell r="J1622" t="str">
            <v>EGM - City of Lees Summit - Green: Lees Summit: Install EGM Equipment - First Time Installation  3850 (32-403)</v>
          </cell>
          <cell r="K1622" t="str">
            <v>Approved by: Rob Kitterman on 05/01/2014,  Install Mercury MiniMax-AT-PT w/ Messenger Modem S/N: 13012212 on Roots 5M meter no 00429117 to monitor daily gas usage of this transportation customer. Customer will reimburse company actual cost for EGM installation not to exceed $5,445.00, which should be coded to account 1072. ATTENTION: Plant &amp; Property Accounting, EGM work order, turn off A&amp;G indicator.</v>
          </cell>
          <cell r="L1622">
            <v>42443</v>
          </cell>
          <cell r="M1622">
            <v>42491</v>
          </cell>
          <cell r="N1622">
            <v>42528.313148148103</v>
          </cell>
          <cell r="O1622">
            <v>42430</v>
          </cell>
          <cell r="P1622" t="str">
            <v>0901-043021  JACKSON CTY/LEE'S SUMMIT OFFIC</v>
          </cell>
          <cell r="Q1622">
            <v>1892.43</v>
          </cell>
          <cell r="R1622">
            <v>9</v>
          </cell>
        </row>
        <row r="1623">
          <cell r="A1623" t="str">
            <v>004477</v>
          </cell>
          <cell r="B1623" t="str">
            <v>LDC 2</v>
          </cell>
          <cell r="D1623" t="str">
            <v>yes</v>
          </cell>
          <cell r="E1623" t="str">
            <v>20901133138</v>
          </cell>
          <cell r="F1623" t="str">
            <v>F0578</v>
          </cell>
          <cell r="G1623" t="str">
            <v>Street &amp; Highway Relocates ISRS (S)</v>
          </cell>
          <cell r="H1623" t="str">
            <v>Country Ln &amp; Columbus Reloc 124'-2i</v>
          </cell>
          <cell r="I1623" t="str">
            <v>posted to CPR</v>
          </cell>
          <cell r="J1623" t="str">
            <v>Country Ln &amp; Columbus Reloc 124'-2in PE main: Lees Summit: Country Lane and Columbus</v>
          </cell>
          <cell r="K1623" t="str">
            <v>Approved by: Ralph Janes on 11/07/2013,  Public Improvement: Country Lane Storm. Install a 3'x10'x3' 2" PE dogleg to resolve conflict with new 4'x4' curb inlet. Relocate main on SW corner of Country Lane and Columbus for new storm and relocated water line thrust blocks. We will temporarily cut and cap the 3" main to allow the contractor to complete this work, then return to reconnect the mains. It is proposed to install 5' pups of 2" pipe on all temporary cut/caps in order to make the reconnection easier. Total main to install: 124' - 2" PE and 10' - 3" PE (pups required for electrofusion couplings). Total main to abandon: 90' - 3" PE (WO# 78-3836). (ISRS)</v>
          </cell>
          <cell r="L1623">
            <v>41737</v>
          </cell>
          <cell r="M1623">
            <v>42460</v>
          </cell>
          <cell r="N1623">
            <v>42496.559328703697</v>
          </cell>
          <cell r="O1623">
            <v>41791</v>
          </cell>
          <cell r="P1623" t="str">
            <v>0901-043021  JACKSON CTY/LEE'S SUMMIT OFFIC</v>
          </cell>
          <cell r="Q1623">
            <v>2089.04</v>
          </cell>
          <cell r="R1623">
            <v>663</v>
          </cell>
        </row>
        <row r="1624">
          <cell r="A1624" t="str">
            <v>801131</v>
          </cell>
          <cell r="B1624" t="str">
            <v>LDC 2</v>
          </cell>
          <cell r="D1624" t="str">
            <v>no</v>
          </cell>
          <cell r="F1624" t="str">
            <v>F0523</v>
          </cell>
          <cell r="G1624" t="str">
            <v>New Main Extensions (SW)</v>
          </cell>
          <cell r="H1624" t="str">
            <v>Install 400F 4P Carthage FB Stadium</v>
          </cell>
          <cell r="I1624" t="str">
            <v>in service</v>
          </cell>
          <cell r="J1624" t="str">
            <v>Install ~400 ft of 4 in PL IP main to serve new Carthage Football Stadium for Carthage High School in Carthage, MO.</v>
          </cell>
          <cell r="K1624" t="str">
            <v>Includes one ~100 ft 2 in PL IP service.  Total Load is 5070 CFH.
Note: WO# 801131 replaces WO# 801079.</v>
          </cell>
          <cell r="L1624">
            <v>42731</v>
          </cell>
          <cell r="O1624">
            <v>42736</v>
          </cell>
          <cell r="P1624" t="str">
            <v>0601-044025  JASPER CTY/CARTHAGE</v>
          </cell>
          <cell r="Q1624">
            <v>10127.68</v>
          </cell>
          <cell r="R1624">
            <v>-826.5</v>
          </cell>
        </row>
        <row r="1625">
          <cell r="A1625" t="str">
            <v>004643</v>
          </cell>
          <cell r="B1625" t="str">
            <v>LDC 2</v>
          </cell>
          <cell r="D1625" t="str">
            <v>no</v>
          </cell>
          <cell r="E1625" t="str">
            <v>20603133171</v>
          </cell>
          <cell r="F1625" t="str">
            <v>F0667</v>
          </cell>
          <cell r="G1625" t="str">
            <v>Other relocates</v>
          </cell>
          <cell r="H1625" t="str">
            <v>Lamar Middle School Repl Service w</v>
          </cell>
          <cell r="I1625" t="str">
            <v>posted to CPR</v>
          </cell>
          <cell r="J1625" t="str">
            <v>Lamar Middle School Repl Service w 2in Add load: Lamar: 200 W 7th Street</v>
          </cell>
          <cell r="K1625" t="str">
            <v>Approved by: Galen Shoemaker on 01/27/2014,  Abandon 58' - 1 1/4" PE Service due to building expansion. Relocate with 43' - 2" PE. Reuse existing 11M meter in new meter set installed on WO#13-3180. Customer will contribute $3993.04 for this relocation due to no new load.  Project Location: 7th and Gulf; Pressure System: C-001; MOP: 12 psig; MAOP: 12 psig; Design: 58 psig; Test: 100 psig;</v>
          </cell>
          <cell r="L1625">
            <v>41604</v>
          </cell>
          <cell r="M1625">
            <v>41729</v>
          </cell>
          <cell r="N1625">
            <v>41733.309965277796</v>
          </cell>
          <cell r="P1625" t="str">
            <v>0603-006001  BARTON CTY/LAMAR</v>
          </cell>
          <cell r="Q1625">
            <v>866.3</v>
          </cell>
          <cell r="R1625">
            <v>97.5</v>
          </cell>
        </row>
        <row r="1626">
          <cell r="A1626" t="str">
            <v>800361</v>
          </cell>
          <cell r="B1626" t="str">
            <v>LDC 2</v>
          </cell>
          <cell r="D1626" t="str">
            <v>no</v>
          </cell>
          <cell r="F1626" t="str">
            <v>F0647</v>
          </cell>
          <cell r="G1626" t="str">
            <v>New Main Extensions (N)</v>
          </cell>
          <cell r="H1626" t="str">
            <v>VILLAGE AT GREEN HILLS-IUI</v>
          </cell>
          <cell r="I1626" t="str">
            <v>in service</v>
          </cell>
          <cell r="J1626" t="str">
            <v>Install 1460' of 4" PE to serve 4 new commercial customers - Village at Green Hills.</v>
          </cell>
          <cell r="L1626">
            <v>42577</v>
          </cell>
          <cell r="O1626">
            <v>42583</v>
          </cell>
          <cell r="P1626" t="str">
            <v>1251-075010  PLATTE CTY/KANSAS CITY NORTH</v>
          </cell>
          <cell r="Q1626">
            <v>21254.35</v>
          </cell>
          <cell r="R1626">
            <v>-2889.5</v>
          </cell>
        </row>
        <row r="1627">
          <cell r="A1627" t="str">
            <v>006436</v>
          </cell>
          <cell r="B1627" t="str">
            <v>LDC 2</v>
          </cell>
          <cell r="D1627" t="str">
            <v>yes</v>
          </cell>
          <cell r="E1627" t="str">
            <v>21251143780</v>
          </cell>
          <cell r="F1627" t="str">
            <v>F0547</v>
          </cell>
          <cell r="G1627" t="str">
            <v>Street &amp; Highway Relocates ISRS (N)</v>
          </cell>
          <cell r="H1627" t="str">
            <v>Abandon 25ft-4in PE</v>
          </cell>
          <cell r="I1627" t="str">
            <v>posted to CPR</v>
          </cell>
          <cell r="J1627" t="str">
            <v>Abandon 25ft-4in PE: Kansas City-Platte Co: Relocate for Street &amp; Highway-Public Improvements (44-388)</v>
          </cell>
          <cell r="K1627" t="str">
            <v>Approved by: Kevin Driskell on 09/15/2014,  Abandon 25' of 4in PE due to storm sewer construction (Public Improvement).  Service for 8871 N Helena needs to be relocated.</v>
          </cell>
          <cell r="L1627">
            <v>41918</v>
          </cell>
          <cell r="M1627">
            <v>42144</v>
          </cell>
          <cell r="N1627">
            <v>42345.490196759303</v>
          </cell>
          <cell r="P1627" t="str">
            <v>1251-075010  PLATTE CTY/KANSAS CITY NORTH</v>
          </cell>
          <cell r="Q1627">
            <v>948.67</v>
          </cell>
          <cell r="R1627">
            <v>19</v>
          </cell>
        </row>
        <row r="1628">
          <cell r="A1628" t="str">
            <v>010493</v>
          </cell>
          <cell r="B1628" t="str">
            <v>LDC 2</v>
          </cell>
          <cell r="D1628" t="str">
            <v>no</v>
          </cell>
          <cell r="F1628" t="str">
            <v>F0639</v>
          </cell>
          <cell r="G1628" t="str">
            <v>EGM Equip-1st Time Installation</v>
          </cell>
          <cell r="H1628" t="str">
            <v>EGM - BMS Logistics 100NW Airport R</v>
          </cell>
          <cell r="I1628" t="str">
            <v>open</v>
          </cell>
          <cell r="J1628" t="str">
            <v>Install Mercury MiniMax-AT-PT Corrector for BMS Logistics at 100 NW Airport Road to monitor daily gas usage of this transportation customer. Customer will reimburse company actual cost for EGM installation.</v>
          </cell>
          <cell r="P1628" t="str">
            <v>1001-010001  ST. JOSEPH CITY/BUCHANAN</v>
          </cell>
          <cell r="Q1628">
            <v>1943.47</v>
          </cell>
          <cell r="R1628">
            <v>15</v>
          </cell>
        </row>
        <row r="1629">
          <cell r="A1629" t="str">
            <v>009225</v>
          </cell>
          <cell r="B1629" t="str">
            <v>LDC 2</v>
          </cell>
          <cell r="D1629" t="str">
            <v>yes</v>
          </cell>
          <cell r="E1629" t="str">
            <v>20910155493</v>
          </cell>
          <cell r="F1629" t="str">
            <v>F0604</v>
          </cell>
          <cell r="G1629" t="str">
            <v>Main Replacement - ISRS (S)</v>
          </cell>
          <cell r="H1629" t="str">
            <v>Replace 2/3/4 PCS/PBS &amp; 2in PE</v>
          </cell>
          <cell r="I1629" t="str">
            <v>posted to CPR</v>
          </cell>
          <cell r="J1629" t="str">
            <v>Replace 2/3/4in PCS/PBS &amp; 2in PE: Holden: Replace Bare Steel Main - 3760 Safety Related (34-394)</v>
          </cell>
          <cell r="K1629" t="str">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ell>
          <cell r="L1629">
            <v>42426</v>
          </cell>
          <cell r="M1629">
            <v>42614</v>
          </cell>
          <cell r="N1629">
            <v>42710.6</v>
          </cell>
          <cell r="O1629">
            <v>42401</v>
          </cell>
          <cell r="P1629" t="str">
            <v>0910-046008  JOHNSON CTY/HOLDEN</v>
          </cell>
          <cell r="Q1629">
            <v>506326.33</v>
          </cell>
          <cell r="R1629">
            <v>-9336</v>
          </cell>
        </row>
        <row r="1630">
          <cell r="A1630" t="str">
            <v>005046</v>
          </cell>
          <cell r="B1630" t="str">
            <v>LDC 2</v>
          </cell>
          <cell r="D1630" t="str">
            <v>no</v>
          </cell>
          <cell r="E1630" t="str">
            <v>20606143482</v>
          </cell>
          <cell r="F1630" t="str">
            <v>F0523</v>
          </cell>
          <cell r="G1630" t="str">
            <v>New Main Extensions (SW)</v>
          </cell>
          <cell r="H1630" t="str">
            <v>Hwy 160 Lay 150'-2in PE Main ext</v>
          </cell>
          <cell r="I1630" t="str">
            <v>posted to CPR</v>
          </cell>
          <cell r="J1630" t="str">
            <v>Hwy 160 Lay 150'-2in PE Main ext: Lockwood: New Main Extension - Company Crews  3760 (33-305)</v>
          </cell>
          <cell r="K1630" t="str">
            <v>Approved by: Galen Shoemaker on 04/23/2014,  To lay 150ft of 2in Plastic Main to serve one new residential customer. Customer will pay $825.00 refundable deposit. MOP=32# MAOP=32# SYSTEM=S-1 TEST=100#</v>
          </cell>
          <cell r="L1630">
            <v>41864</v>
          </cell>
          <cell r="M1630">
            <v>42217</v>
          </cell>
          <cell r="N1630">
            <v>42256.6402662037</v>
          </cell>
          <cell r="O1630">
            <v>41883</v>
          </cell>
          <cell r="P1630" t="str">
            <v>0606-025001  DADE CTY/LOCKWOOD</v>
          </cell>
          <cell r="Q1630">
            <v>4353.91</v>
          </cell>
          <cell r="R1630">
            <v>-752</v>
          </cell>
        </row>
        <row r="1631">
          <cell r="A1631" t="str">
            <v>010377</v>
          </cell>
          <cell r="B1631" t="str">
            <v>LDC 2</v>
          </cell>
          <cell r="D1631" t="str">
            <v>no</v>
          </cell>
          <cell r="F1631" t="str">
            <v>F0639</v>
          </cell>
          <cell r="G1631" t="str">
            <v>EGM Equip-1st Time Installation</v>
          </cell>
          <cell r="H1631" t="str">
            <v>EGM - Blue Sun Refining</v>
          </cell>
          <cell r="I1631" t="str">
            <v>open</v>
          </cell>
          <cell r="J1631" t="str">
            <v>To Install an EGM corrector w/ remote 100G ERT on an unregulated Sales Gas Meter necessary due to customer leaving LVS Transport Gas. MiniMax AT-PT.</v>
          </cell>
          <cell r="P1631" t="str">
            <v>1001-010001  ST. JOSEPH CITY/BUCHANAN</v>
          </cell>
          <cell r="Q1631">
            <v>1523.98</v>
          </cell>
          <cell r="R1631">
            <v>1</v>
          </cell>
        </row>
        <row r="1632">
          <cell r="A1632" t="str">
            <v>004071</v>
          </cell>
          <cell r="B1632" t="str">
            <v>LDC 2</v>
          </cell>
          <cell r="D1632" t="str">
            <v>yes</v>
          </cell>
          <cell r="E1632" t="str">
            <v>21001143358</v>
          </cell>
          <cell r="F1632" t="str">
            <v>F0504</v>
          </cell>
          <cell r="G1632" t="str">
            <v>Replace bare steel main - safety re</v>
          </cell>
          <cell r="H1632" t="str">
            <v>Hill Pine Repl PBS w 288'-2in PE ma</v>
          </cell>
          <cell r="I1632" t="str">
            <v>posted to CPR</v>
          </cell>
          <cell r="J1632" t="str">
            <v>Lovers Ln Repl PBS w 288'-2in PE main: St Joseph: LOVERS LN AND HILL PINE DR</v>
          </cell>
          <cell r="K1632" t="str">
            <v>Approved by: Gary Williams on 03/14/2014,  TO lay 288FT-2IN PE main to replace 288FT-2IN PBS (WO#35207) due to down project.</v>
          </cell>
          <cell r="L1632">
            <v>41767</v>
          </cell>
          <cell r="M1632">
            <v>41821</v>
          </cell>
          <cell r="N1632">
            <v>41936.625590277799</v>
          </cell>
          <cell r="O1632">
            <v>41760</v>
          </cell>
          <cell r="P1632" t="str">
            <v>1001-010001  ST. JOSEPH CITY/BUCHANAN</v>
          </cell>
          <cell r="Q1632">
            <v>8981.08</v>
          </cell>
          <cell r="R1632">
            <v>-384</v>
          </cell>
        </row>
        <row r="1633">
          <cell r="A1633" t="str">
            <v>006794</v>
          </cell>
          <cell r="B1633" t="str">
            <v>LDC 2</v>
          </cell>
          <cell r="D1633" t="str">
            <v>no</v>
          </cell>
          <cell r="E1633" t="str">
            <v>21002143916</v>
          </cell>
          <cell r="F1633" t="str">
            <v>F0647</v>
          </cell>
          <cell r="G1633" t="str">
            <v>New Main Extensions (N)</v>
          </cell>
          <cell r="H1633" t="str">
            <v>Install  225 ft of 2in PE main</v>
          </cell>
          <cell r="I1633" t="str">
            <v>posted to CPR</v>
          </cell>
          <cell r="J1633" t="str">
            <v>Install  225 ft of 2in PE main: Savannah: New Main Extension - Company Crews  3760 (33-305)</v>
          </cell>
          <cell r="K1633" t="str">
            <v>Approved by: Gary Williams on 11/03/2014,  Install 225' OF 2"PE MAIN FOR main extension.Adding on houses.SAVANNAH R-3 SCHOOL BUILDING TRADE HOUSES 201,203,204 AND 206 N BIRCH.MAIN 225'-75' EACH HOUSE 300'TOTAL. NO CHARGE FOR MAIN EXTENSION.</v>
          </cell>
          <cell r="L1633">
            <v>41986</v>
          </cell>
          <cell r="M1633">
            <v>42248</v>
          </cell>
          <cell r="N1633">
            <v>42284.722696759301</v>
          </cell>
          <cell r="O1633">
            <v>41974</v>
          </cell>
          <cell r="P1633" t="str">
            <v>1002-002001  ANDREW CTY/SAVANNAH</v>
          </cell>
          <cell r="Q1633">
            <v>2378.11</v>
          </cell>
          <cell r="R1633">
            <v>-741</v>
          </cell>
        </row>
        <row r="1634">
          <cell r="A1634" t="str">
            <v>005275</v>
          </cell>
          <cell r="B1634" t="str">
            <v>LDC 2</v>
          </cell>
          <cell r="D1634" t="str">
            <v>no</v>
          </cell>
          <cell r="E1634" t="str">
            <v>21002143468</v>
          </cell>
          <cell r="F1634" t="str">
            <v>F0647</v>
          </cell>
          <cell r="G1634" t="str">
            <v>New Main Extensions (N)</v>
          </cell>
          <cell r="H1634" t="str">
            <v>State Rt E Lay 1200'-2in PE main ex</v>
          </cell>
          <cell r="I1634" t="str">
            <v>posted to CPR</v>
          </cell>
          <cell r="J1634" t="str">
            <v>State Rt E Lay 1200'-2in PE main ext: Savannah: New Main Extension - Company Crews  3760 (33-305)</v>
          </cell>
          <cell r="K1634" t="str">
            <v>Approved by: Gary Williams on 05/12/2014,  Laying 1500ft-2in plexco main ext to Andrew County Counsel Aging Center commercial building. Load (1,332 cfh). CUSTOMER WILL NEED TO PAY $7,624.00 BEFORE START OF PROJECT.</v>
          </cell>
          <cell r="L1634">
            <v>41793</v>
          </cell>
          <cell r="M1634">
            <v>42248</v>
          </cell>
          <cell r="N1634">
            <v>42377.350613425901</v>
          </cell>
          <cell r="O1634">
            <v>41791</v>
          </cell>
          <cell r="P1634" t="str">
            <v>1002-002001  ANDREW CTY/SAVANNAH</v>
          </cell>
          <cell r="Q1634">
            <v>6693.98</v>
          </cell>
          <cell r="R1634">
            <v>-2866</v>
          </cell>
        </row>
        <row r="1635">
          <cell r="A1635" t="str">
            <v>012143</v>
          </cell>
          <cell r="B1635" t="str">
            <v>LDC 2</v>
          </cell>
          <cell r="D1635" t="str">
            <v>yes</v>
          </cell>
          <cell r="F1635" t="str">
            <v>F0600</v>
          </cell>
          <cell r="G1635" t="str">
            <v>Station Rebuild &amp; Repl ISRS (N)</v>
          </cell>
          <cell r="H1635" t="str">
            <v>Aband reg stn-Maple St #34</v>
          </cell>
          <cell r="I1635" t="str">
            <v>in service</v>
          </cell>
          <cell r="J1635" t="str">
            <v>Abandon Regulator Station 34 (MAPLE ST ABOVE WALNUT ST)</v>
          </cell>
          <cell r="K1635" t="str">
            <v>This regulator retirement is also related to the Bare Steel Abandonment work associated with Liberty Grid Phase G WO# 14474649 and cannot be abandoned until all of that phase has been completed. This station is no longer required for the IP pressure gas distribution system.</v>
          </cell>
          <cell r="L1635">
            <v>42747</v>
          </cell>
          <cell r="P1635" t="str">
            <v>1207-020001  CLAY CTY/LIBERTY</v>
          </cell>
          <cell r="Q1635">
            <v>1055.1600000000001</v>
          </cell>
          <cell r="R1635">
            <v>0</v>
          </cell>
        </row>
        <row r="1636">
          <cell r="A1636" t="str">
            <v>005851</v>
          </cell>
          <cell r="B1636" t="str">
            <v>LDC 2</v>
          </cell>
          <cell r="D1636" t="str">
            <v>no</v>
          </cell>
          <cell r="E1636" t="str">
            <v>21215143708</v>
          </cell>
          <cell r="F1636" t="str">
            <v>F0658</v>
          </cell>
          <cell r="G1636" t="str">
            <v>Services -  2" &amp; larger</v>
          </cell>
          <cell r="H1636" t="str">
            <v>Price Chopper 701 Watson 2in Servic</v>
          </cell>
          <cell r="I1636" t="str">
            <v>posted to CPR</v>
          </cell>
          <cell r="J1636" t="str">
            <v>Price Chopper 701 Watson 2in Service Line: Kearney: New Services 2&amp;quot; &amp; Larger  3800 (33-381)</v>
          </cell>
          <cell r="K1636" t="str">
            <v>Approved by: Kevin Driskell on 08/03/2014,  LAYING 80FT-2IN PE SERVICE LINE TO SERVE A COMMERCIAL BUILDING. LOAD (5940 CFH). ECONOMIC EVALUATION COVERS COST OF PROJECT.</v>
          </cell>
          <cell r="L1636">
            <v>41823</v>
          </cell>
          <cell r="M1636">
            <v>41904</v>
          </cell>
          <cell r="N1636">
            <v>41918.570196759298</v>
          </cell>
          <cell r="O1636">
            <v>41852</v>
          </cell>
          <cell r="P1636" t="str">
            <v>1215-020023  CLAY CTY/KEARNEY</v>
          </cell>
          <cell r="Q1636">
            <v>1079.32</v>
          </cell>
          <cell r="R1636">
            <v>-80</v>
          </cell>
        </row>
        <row r="1637">
          <cell r="A1637" t="str">
            <v>004055</v>
          </cell>
          <cell r="B1637" t="str">
            <v>LDC 2</v>
          </cell>
          <cell r="D1637" t="str">
            <v>no</v>
          </cell>
          <cell r="E1637" t="str">
            <v>21215133031</v>
          </cell>
          <cell r="F1637" t="str">
            <v>F0610</v>
          </cell>
          <cell r="G1637" t="str">
            <v>New business</v>
          </cell>
          <cell r="H1637" t="str">
            <v>Hwy 92 Lay 1400'-2in PE main ext</v>
          </cell>
          <cell r="I1637" t="str">
            <v>posted to CPR</v>
          </cell>
          <cell r="J1637" t="str">
            <v>Hwy 92 Lay 1400'-2in PE main ext : Kearney: 15215 W HIGHWAY 92 KEARNEY WEST STORAGE</v>
          </cell>
          <cell r="K1637" t="str">
            <v>Approved by: Kevin Driskell on 11/04/2013,  LAYING 1674FT-2IN PE MAIN EXTENSION. TIE-IN 6 PE MAIN (WO#04-6706). TO SERVICE 5 COMMERCIAL BUSINESS (THIS IS A PROPANE CONVERSION). CONTACT BEVERLY 2 WEEKS FOR STAKING OF 15' GAS EASEMENT ALONG THE EAST SIDE OF THE PRIVATE ROAD. ECOMONIC EVALUATION WILL COVER COST OF PROJECT.</v>
          </cell>
          <cell r="L1637">
            <v>41596</v>
          </cell>
          <cell r="M1637">
            <v>41653</v>
          </cell>
          <cell r="N1637">
            <v>41654.604039351798</v>
          </cell>
          <cell r="O1637">
            <v>41730</v>
          </cell>
          <cell r="P1637" t="str">
            <v>1215-020023  CLAY CTY/KEARNEY</v>
          </cell>
          <cell r="Q1637">
            <v>8633.39</v>
          </cell>
          <cell r="R1637">
            <v>4860.5</v>
          </cell>
        </row>
        <row r="1638">
          <cell r="A1638" t="str">
            <v>007073</v>
          </cell>
          <cell r="B1638" t="str">
            <v>LDC 2</v>
          </cell>
          <cell r="D1638" t="str">
            <v>no</v>
          </cell>
          <cell r="E1638" t="str">
            <v>20101144011</v>
          </cell>
          <cell r="F1638" t="str">
            <v>F0529</v>
          </cell>
          <cell r="G1638" t="str">
            <v>Meter Purchases - MGE</v>
          </cell>
          <cell r="H1638" t="str">
            <v>Pur 2000 I-250 Itron Mtrs June 2015</v>
          </cell>
          <cell r="I1638" t="str">
            <v>posted to CPR</v>
          </cell>
          <cell r="J1638" t="str">
            <v>Pur 2000 I-250 Itron Mtrs June 2015 : Kansas City CORP: Purchase Domestic Diaphragm  Meters - 3810 (32-398)</v>
          </cell>
          <cell r="K1638" t="str">
            <v>Approved by: Steve Holcomb on 12/05/2014,  Purchase I-250 Itron / Sprague Meters 0940605 with Sprague AMR Ert attached for 2015 Sample Meter Program. On Aug 2015 Meter Dept Completion Report - AMM</v>
          </cell>
          <cell r="L1638">
            <v>42247</v>
          </cell>
          <cell r="M1638">
            <v>42247</v>
          </cell>
          <cell r="N1638">
            <v>42256.6418402778</v>
          </cell>
          <cell r="O1638">
            <v>42217</v>
          </cell>
          <cell r="P1638" t="str">
            <v>1904-043050  JACKSON CTY/KC</v>
          </cell>
          <cell r="Q1638">
            <v>185151.58</v>
          </cell>
          <cell r="R1638">
            <v>2000</v>
          </cell>
        </row>
        <row r="1639">
          <cell r="A1639" t="str">
            <v>004452</v>
          </cell>
          <cell r="B1639" t="str">
            <v>LDC 2</v>
          </cell>
          <cell r="D1639" t="str">
            <v>no</v>
          </cell>
          <cell r="E1639" t="str">
            <v>21904133089</v>
          </cell>
          <cell r="F1639" t="str">
            <v>F0577</v>
          </cell>
          <cell r="G1639" t="str">
            <v>ERT Purchases</v>
          </cell>
          <cell r="H1639" t="str">
            <v>Pur 10000 100G  Erts Repl Program A</v>
          </cell>
          <cell r="I1639" t="str">
            <v>posted to CPR</v>
          </cell>
          <cell r="J1639" t="str">
            <v>Pur 10000 100G  Erts Repl Program Apr 2014: Kansas City CORP: Central Plant Meter Shop</v>
          </cell>
          <cell r="K1639" t="str">
            <v>Approved by: Steve Lindsey on 11/18/2013,  Purchase domestic 100G Am Erts 5198300 Rk Erts 5198310 for the replacement program.</v>
          </cell>
          <cell r="L1639">
            <v>41641</v>
          </cell>
          <cell r="M1639">
            <v>41944</v>
          </cell>
          <cell r="N1639">
            <v>41978.593680555598</v>
          </cell>
          <cell r="O1639">
            <v>41883</v>
          </cell>
          <cell r="P1639" t="str">
            <v>1904-043050  JACKSON CTY/KC</v>
          </cell>
          <cell r="Q1639">
            <v>445560</v>
          </cell>
          <cell r="R1639">
            <v>10000</v>
          </cell>
        </row>
        <row r="1640">
          <cell r="A1640" t="str">
            <v>004208</v>
          </cell>
          <cell r="B1640" t="str">
            <v>LDC 2</v>
          </cell>
          <cell r="D1640" t="str">
            <v>no</v>
          </cell>
          <cell r="E1640" t="str">
            <v>21904133085</v>
          </cell>
          <cell r="F1640" t="str">
            <v>F0577</v>
          </cell>
          <cell r="G1640" t="str">
            <v>ERT Purchases</v>
          </cell>
          <cell r="H1640" t="str">
            <v>Pur 10000 100G  Erts Repl Program J</v>
          </cell>
          <cell r="I1640" t="str">
            <v>posted to CPR</v>
          </cell>
          <cell r="J1640" t="str">
            <v>Pur 10000 100G  Erts Repl Program Jan 2014: Kansas City CORP: Central Plant Meter Shop</v>
          </cell>
          <cell r="K1640" t="str">
            <v>Approved by: Steve Lindsey on 11/18/2013,  Purchase domestic 100G Am Erts 5198300 RK Erts 5198310 for the Replacement Program.</v>
          </cell>
          <cell r="L1640">
            <v>41689</v>
          </cell>
          <cell r="M1640">
            <v>41698</v>
          </cell>
          <cell r="N1640">
            <v>41704.711597222202</v>
          </cell>
          <cell r="P1640" t="str">
            <v>1904-043050  JACKSON CTY/KC</v>
          </cell>
          <cell r="Q1640">
            <v>479453.21</v>
          </cell>
          <cell r="R1640">
            <v>1161</v>
          </cell>
        </row>
        <row r="1641">
          <cell r="A1641" t="str">
            <v>009223</v>
          </cell>
          <cell r="B1641" t="str">
            <v>LDC 2</v>
          </cell>
          <cell r="D1641" t="str">
            <v>no</v>
          </cell>
          <cell r="E1641" t="str">
            <v>21271155390</v>
          </cell>
          <cell r="F1641" t="str">
            <v>F0610</v>
          </cell>
          <cell r="G1641" t="str">
            <v>New business</v>
          </cell>
          <cell r="H1641" t="str">
            <v>Highlands of Northview 6th Plat</v>
          </cell>
          <cell r="I1641" t="str">
            <v>posted to CPR</v>
          </cell>
          <cell r="J1641" t="str">
            <v>Highlands of Northview 6th Plat: Kansas City-Clay Co: New Main Extension - Contractor Crews  3760 (33-380)</v>
          </cell>
          <cell r="K1641" t="str">
            <v>Approved by: Gary Williams on 06/30/2015,  Extend 4inch nad 2inch PE main to serve 40 new residential lots 176-215 - Highlands of Northview 6th Plat. System S-685. 15' U/E throughout the project. Coordinate any necessary staking. Customer to contribute $16,082.00 before start of project. Contribution $16,082 received 6-26-15.</v>
          </cell>
          <cell r="L1641">
            <v>42278</v>
          </cell>
          <cell r="M1641">
            <v>42461</v>
          </cell>
          <cell r="N1641">
            <v>42496.561261574097</v>
          </cell>
          <cell r="O1641">
            <v>42278</v>
          </cell>
          <cell r="P1641" t="str">
            <v>1271-020036  CLAY CTY/KANSAS CITY</v>
          </cell>
          <cell r="Q1641">
            <v>32627.9</v>
          </cell>
          <cell r="R1641">
            <v>-4160.5</v>
          </cell>
        </row>
        <row r="1642">
          <cell r="A1642" t="str">
            <v>005276</v>
          </cell>
          <cell r="B1642" t="str">
            <v>LDC 2</v>
          </cell>
          <cell r="D1642" t="str">
            <v>no</v>
          </cell>
          <cell r="E1642" t="str">
            <v>21271143352</v>
          </cell>
          <cell r="F1642" t="str">
            <v>F0610</v>
          </cell>
          <cell r="G1642" t="str">
            <v>New business</v>
          </cell>
          <cell r="H1642" t="str">
            <v>N Oak Tfwy &amp; 100th Ter Lay 1025'-2i</v>
          </cell>
          <cell r="I1642" t="str">
            <v>posted to CPR</v>
          </cell>
          <cell r="J1642" t="str">
            <v>N Oak Tfwy &amp; 100th Ter Lay 1025'-2in PE main: Kansas City-Clay Co: New Main Extension - Contractor Crews  3760 (33-380)</v>
          </cell>
          <cell r="K1642" t="str">
            <v>Approved by: Gary Williams on 04/22/2014,  LAY 1,025'-2" PE IN ORDER TO SERVE 24 LOTS.  LOTS 1-24. ONE WAY FEED.  WATER MAIN LAYS ON SOUTH SIDE OF NE 100TH TER.  COST PER FOOT=$19.01  1,025' x $8.50=$8,712.50  DEVELOPER TO CONTRIBUTE $$8,712.50 BEFORE START OF PROJECT.</v>
          </cell>
          <cell r="L1642">
            <v>41968</v>
          </cell>
          <cell r="M1642">
            <v>42063</v>
          </cell>
          <cell r="N1642">
            <v>42256.640381944402</v>
          </cell>
          <cell r="O1642">
            <v>41974</v>
          </cell>
          <cell r="P1642" t="str">
            <v>1271-020036  CLAY CTY/KANSAS CITY</v>
          </cell>
          <cell r="Q1642">
            <v>11682.61</v>
          </cell>
          <cell r="R1642">
            <v>-2633</v>
          </cell>
        </row>
        <row r="1643">
          <cell r="A1643" t="str">
            <v>800041</v>
          </cell>
          <cell r="B1643" t="str">
            <v>LDC 2</v>
          </cell>
          <cell r="C1643" t="str">
            <v>03 - Bare Steel Replacement</v>
          </cell>
          <cell r="D1643" t="str">
            <v>yes</v>
          </cell>
          <cell r="F1643" t="str">
            <v>F0599</v>
          </cell>
          <cell r="G1643" t="str">
            <v>Main Replacement - ISRS (N)</v>
          </cell>
          <cell r="H1643" t="str">
            <v>Liberty Header - Phase 4 IUI</v>
          </cell>
          <cell r="I1643" t="str">
            <v>in service</v>
          </cell>
          <cell r="J1643" t="str">
            <v>Install 1450 ft of 4 in and 355 ft of 2 in PL IP main on E Mill St and W Liberty Dr. Abandon 58 ft of 4 in PL, 255 ft of 2 in Steel, 9 ft of 4 in Steel, 760 ft of 5 in Steel, and 609 ft of 6 in Steel main at the same location.</v>
          </cell>
          <cell r="K1643" t="str">
            <v>Total Service Estimate: 20 Service Tie-Overs.  Main is being installed as part of the FY 2016 Bare Steel Replacement Program.</v>
          </cell>
          <cell r="L1643">
            <v>42674</v>
          </cell>
          <cell r="O1643">
            <v>42644</v>
          </cell>
          <cell r="P1643" t="str">
            <v>1207-020001  CLAY CTY/LIBERTY</v>
          </cell>
          <cell r="Q1643">
            <v>140695.88</v>
          </cell>
          <cell r="R1643">
            <v>-3242.5</v>
          </cell>
        </row>
        <row r="1644">
          <cell r="A1644" t="str">
            <v>901270</v>
          </cell>
          <cell r="B1644" t="str">
            <v>LDC 2</v>
          </cell>
          <cell r="C1644" t="str">
            <v>01 - Cast Iron Strategic Replacement</v>
          </cell>
          <cell r="D1644" t="str">
            <v>yes</v>
          </cell>
          <cell r="F1644" t="str">
            <v>3303L</v>
          </cell>
          <cell r="G1644" t="str">
            <v>Replacement of Dist Sys - Laclede</v>
          </cell>
          <cell r="H1644" t="str">
            <v>Broadway-9th &amp; Palm grid PhA CANCEL</v>
          </cell>
          <cell r="I1644" t="str">
            <v>cancelled</v>
          </cell>
          <cell r="J1644" t="str">
            <v>Install 3387 Ft of 2 in and 3153 Ft of 4 in PL SI main on N Broadway St, Florida St, Mullanphy St, N 7th St, Howard St, Hempstead St, Tyler St and Chambers St. Abandon 1408 ft PL LP Main, 773 Ft of ST LP Main, 6406 Ft of CI LP Mai</v>
          </cell>
          <cell r="K1644" t="str">
            <v>THIS WO WAS CANCELLED</v>
          </cell>
          <cell r="N1644">
            <v>42391.606874999998</v>
          </cell>
          <cell r="P1644" t="str">
            <v>Laclede-St. Louis City</v>
          </cell>
          <cell r="Q1644">
            <v>0</v>
          </cell>
          <cell r="R1644">
            <v>17174</v>
          </cell>
        </row>
        <row r="1645">
          <cell r="A1645" t="str">
            <v>800506</v>
          </cell>
          <cell r="B1645" t="str">
            <v>LDC 2</v>
          </cell>
          <cell r="C1645" t="str">
            <v>01 - Cast Iron Strategic Replacement</v>
          </cell>
          <cell r="D1645" t="str">
            <v>yes</v>
          </cell>
          <cell r="F1645" t="str">
            <v>F0599</v>
          </cell>
          <cell r="G1645" t="str">
            <v>Main Replacement - ISRS (N)</v>
          </cell>
          <cell r="H1645" t="str">
            <v>Repl 5310F 2-4P 63rd &amp; 55th Ph 1L</v>
          </cell>
          <cell r="I1645" t="str">
            <v>open</v>
          </cell>
          <cell r="J1645" t="str">
            <v>Install 4,175 Ft of 2-inch PL IP main and 1,135 Ft of 4-inch PL IP main on Tracy Ave, Virginia Ave in between 59th Street and 63rd Street.</v>
          </cell>
          <cell r="K1645" t="str">
            <v>Abandon 1,474 Ft of 4-inch CI LP main, 2,493 Ft of 6-inch CI LP and 8 Ft of 4-inch PL LP main at the above location.  Total Service Tie-over =93; Total Service Replacement =12; Total Service Abandoned = 8; Total Service Upgrade =9.  This main is being abandoned as part of FY17 Cast Iron Replacement Program.</v>
          </cell>
          <cell r="P1645" t="str">
            <v>0401-043050  JACKSON CTY/KC</v>
          </cell>
          <cell r="Q1645">
            <v>0</v>
          </cell>
          <cell r="R1645">
            <v>3975</v>
          </cell>
        </row>
        <row r="1646">
          <cell r="A1646" t="str">
            <v>800721</v>
          </cell>
          <cell r="B1646" t="str">
            <v>LDC 2</v>
          </cell>
          <cell r="C1646" t="str">
            <v>03 - Bare Steel Replacement</v>
          </cell>
          <cell r="D1646" t="str">
            <v>yes</v>
          </cell>
          <cell r="F1646" t="str">
            <v>F0599</v>
          </cell>
          <cell r="G1646" t="str">
            <v>Main Replacement - ISRS (N)</v>
          </cell>
          <cell r="H1646" t="str">
            <v>Repl 5540F 2-4P Hwy71 /Gregory Ph N</v>
          </cell>
          <cell r="I1646" t="str">
            <v>open</v>
          </cell>
          <cell r="J1646" t="str">
            <v>Install ~1661 ft of 4 in PL IP main, 3879 ft of 2 in PL IP main along 72nd Ter., Myrtle, Norton, and Jackson.</v>
          </cell>
          <cell r="K1646" t="str">
            <v>Abandon ~ 6213 ft of 4 in ST IP main at above locations. Total services to tie-over = 119; total services to replace = 1.</v>
          </cell>
          <cell r="P1646" t="str">
            <v>0401-043050  JACKSON CTY/KC</v>
          </cell>
          <cell r="Q1646">
            <v>110648.04</v>
          </cell>
          <cell r="R1646">
            <v>-5527.75</v>
          </cell>
        </row>
        <row r="1647">
          <cell r="A1647" t="str">
            <v>012298</v>
          </cell>
          <cell r="B1647" t="str">
            <v>LDC 2</v>
          </cell>
          <cell r="D1647" t="str">
            <v>no</v>
          </cell>
          <cell r="F1647" t="str">
            <v>F0644</v>
          </cell>
          <cell r="G1647" t="str">
            <v>Meter &amp; Reg Settings 2" &amp; Lg (S)</v>
          </cell>
          <cell r="H1647" t="str">
            <v>DAV #2 3M Rotary Meter Set</v>
          </cell>
          <cell r="I1647" t="str">
            <v>open</v>
          </cell>
          <cell r="J1647" t="str">
            <v>Install one new 3M Rotary Meter Set to serve one new commercial customer</v>
          </cell>
          <cell r="P1647" t="str">
            <v>0401-043050  JACKSON CTY/KC</v>
          </cell>
          <cell r="Q1647">
            <v>1390.64</v>
          </cell>
          <cell r="R1647">
            <v>-73</v>
          </cell>
        </row>
        <row r="1648">
          <cell r="A1648" t="str">
            <v>800584</v>
          </cell>
          <cell r="B1648" t="str">
            <v>LDC 2</v>
          </cell>
          <cell r="C1648" t="str">
            <v>03 - Bare Steel Replacement</v>
          </cell>
          <cell r="D1648" t="str">
            <v>yes</v>
          </cell>
          <cell r="F1648" t="str">
            <v>F0599</v>
          </cell>
          <cell r="G1648" t="str">
            <v>Main Replacement - ISRS (N)</v>
          </cell>
          <cell r="H1648" t="str">
            <v>Repl w 10385F 2-4-6-8P Target Phse3</v>
          </cell>
          <cell r="I1648" t="str">
            <v>open</v>
          </cell>
          <cell r="J1648" t="str">
            <v>Install 20 ft of 2 in PL IP, 20 ft of 4 in PL IP, 80 ft of 8 in PL IP, 1288 ft of 2 in PL MP, 3459 ft of 4 in PL MP, 2930 ft of 6 in PL MP, and 2588 ft of 8 in PL MP  - Marlborough East Ph 3 - Passeo, 81st, 79th, 77th, 77th, 76th, Lydia, &amp; 73rd St.</v>
          </cell>
          <cell r="K1648" t="str">
            <v>Abandon ~ 20 ft of 2 in PL IP main, ~20 ft of 4 in PL IP main, ~60 ft of 8 in PL IP main, ~108 ft of 2 in PL MP main, ~606 ft of 2 in ST MP main, ~10 ft of 3 in PL MP main, ~4168 ft of 3 in ST MP main, ~100 ft of 4 in PL MP main, ~1673 ft of 6 in ST MP main, ~10 ft of 8 in MP main, and ~3831 ft of 8 in ST MP main at above locations. Total Service Tie-over = 159; Total Service Replace = 7. This main is being abandoned as part of FY16 Bare Steel Replacement Program.</v>
          </cell>
          <cell r="P1648" t="str">
            <v>0401-043050  JACKSON CTY/KC</v>
          </cell>
          <cell r="Q1648">
            <v>274486.13</v>
          </cell>
          <cell r="R1648">
            <v>-2698.5</v>
          </cell>
        </row>
        <row r="1649">
          <cell r="A1649" t="str">
            <v>010575</v>
          </cell>
          <cell r="B1649" t="str">
            <v>LDC 2</v>
          </cell>
          <cell r="D1649" t="str">
            <v>no</v>
          </cell>
          <cell r="F1649" t="str">
            <v>F0639</v>
          </cell>
          <cell r="G1649" t="str">
            <v>EGM Equip-1st Time Installation</v>
          </cell>
          <cell r="H1649" t="str">
            <v>EGM Replace - Boulevard Brewing</v>
          </cell>
          <cell r="I1649" t="str">
            <v>open</v>
          </cell>
          <cell r="J1649" t="str">
            <v>Install Mini-AT-PT corrector at Boulevard Brewery, 2501 Southwest Blvd. KC,  to monitor daily gas usage of this transportation customer. This is a replacement and is not billable.</v>
          </cell>
          <cell r="P1649" t="str">
            <v>0401-043050  JACKSON CTY/KC</v>
          </cell>
          <cell r="Q1649">
            <v>2059.64</v>
          </cell>
          <cell r="R1649">
            <v>1</v>
          </cell>
        </row>
        <row r="1650">
          <cell r="A1650" t="str">
            <v>800129</v>
          </cell>
          <cell r="B1650" t="str">
            <v>LDC 2</v>
          </cell>
          <cell r="C1650" t="str">
            <v>01 - Cast Iron Strategic Replacement</v>
          </cell>
          <cell r="D1650" t="str">
            <v>yes</v>
          </cell>
          <cell r="F1650" t="str">
            <v>F0599</v>
          </cell>
          <cell r="G1650" t="str">
            <v>Main Replacement - ISRS (N)</v>
          </cell>
          <cell r="H1650" t="str">
            <v>Hwy 71 &amp; Gregory Grid Replace Ph1</v>
          </cell>
          <cell r="I1650" t="str">
            <v>in service</v>
          </cell>
          <cell r="J1650" t="str">
            <v>Install 3673' of 2'' PE, 40' of 4'' PE, and 1083' of 6'' PE for Hwy 71 &amp; Gregory Grid Replace Ph1. Abandon 79' of 2'' PE, 466' of 2'' STL, 44' of 3'' STL, 387' of 4'' CI, 20' of 4'' PE, 514' of 4'' STL, 2314' of 6'' CI, and 663' of 8'' CI.</v>
          </cell>
          <cell r="K1650" t="str">
            <v>This main is being replaced as part of the strategic cast iron replacement program.</v>
          </cell>
          <cell r="L1650">
            <v>42439</v>
          </cell>
          <cell r="O1650">
            <v>42461</v>
          </cell>
          <cell r="P1650" t="str">
            <v>0401-043050  JACKSON CTY/KC</v>
          </cell>
          <cell r="Q1650">
            <v>481528.41</v>
          </cell>
          <cell r="R1650">
            <v>-2455.7399999999998</v>
          </cell>
        </row>
        <row r="1651">
          <cell r="A1651" t="str">
            <v>009024</v>
          </cell>
          <cell r="B1651" t="str">
            <v>LDC 2</v>
          </cell>
          <cell r="D1651" t="str">
            <v>no</v>
          </cell>
          <cell r="E1651" t="str">
            <v>20401155432</v>
          </cell>
          <cell r="F1651" t="str">
            <v>F0498</v>
          </cell>
          <cell r="G1651" t="str">
            <v>Other relocates</v>
          </cell>
          <cell r="H1651" t="str">
            <v>2in PCS Relocation - Reimbursable</v>
          </cell>
          <cell r="I1651" t="str">
            <v>posted to CPR</v>
          </cell>
          <cell r="J1651" t="str">
            <v>2in PCS Relocation: Kansas City-Jackson: Other Relocates - Per Customer Request - Contribution (44-390)</v>
          </cell>
          <cell r="K1651" t="str">
            <v>Approved by: Ray Wilson on 07/09/2015,  Relocate 650' of 2'' PCS due to grading (private development). Existing main in easement. New 2'' PCS will need to be at least 30'' deep from proposed grade. Coordinate with engineering before construction. Pressur system C-039 125psig. Contribution for $24,074 received 7-31-15 per WOES.</v>
          </cell>
          <cell r="L1651">
            <v>42248</v>
          </cell>
          <cell r="M1651">
            <v>42309</v>
          </cell>
          <cell r="N1651">
            <v>42436.4308101852</v>
          </cell>
          <cell r="O1651">
            <v>42278</v>
          </cell>
          <cell r="P1651" t="str">
            <v>0401-043050  JACKSON CTY/KC</v>
          </cell>
          <cell r="Q1651">
            <v>16443.419999999998</v>
          </cell>
          <cell r="R1651">
            <v>-46.5</v>
          </cell>
        </row>
        <row r="1652">
          <cell r="A1652" t="str">
            <v>007475</v>
          </cell>
          <cell r="B1652" t="str">
            <v>LDC 2</v>
          </cell>
          <cell r="D1652" t="str">
            <v>no</v>
          </cell>
          <cell r="E1652" t="str">
            <v>20401155093</v>
          </cell>
          <cell r="F1652" t="str">
            <v>F0670</v>
          </cell>
          <cell r="G1652" t="str">
            <v>Tools, Instruments &amp; Equipment (N)</v>
          </cell>
          <cell r="H1652" t="str">
            <v>Purchase Tools</v>
          </cell>
          <cell r="I1652" t="str">
            <v>posted to CPR</v>
          </cell>
          <cell r="J1652" t="str">
            <v>Purchase Tools: Kansas City-Jackson: Purchase Tools, Instruments &amp; Equipment  3940 (37-366)</v>
          </cell>
          <cell r="K1652" t="str">
            <v>Approved by: Gary Williams on 01/19/2015,  Tools for Field Base trucks</v>
          </cell>
          <cell r="L1652">
            <v>42036</v>
          </cell>
          <cell r="M1652">
            <v>42248</v>
          </cell>
          <cell r="N1652">
            <v>42283.565185185202</v>
          </cell>
          <cell r="O1652">
            <v>42036</v>
          </cell>
          <cell r="P1652" t="str">
            <v>0401-043050  JACKSON CTY/KC</v>
          </cell>
          <cell r="Q1652">
            <v>3721.27</v>
          </cell>
          <cell r="R1652">
            <v>12</v>
          </cell>
        </row>
        <row r="1653">
          <cell r="A1653" t="str">
            <v>007157</v>
          </cell>
          <cell r="B1653" t="str">
            <v>LDC 2</v>
          </cell>
          <cell r="D1653" t="str">
            <v>no</v>
          </cell>
          <cell r="E1653" t="str">
            <v>20401143999</v>
          </cell>
          <cell r="F1653" t="str">
            <v>F0670</v>
          </cell>
          <cell r="G1653" t="str">
            <v>Tools, Instruments &amp; Equipment (N)</v>
          </cell>
          <cell r="H1653" t="str">
            <v>TOOLS-1900 PURGER BAR HOLE TORNADO</v>
          </cell>
          <cell r="I1653" t="str">
            <v>posted to CPR</v>
          </cell>
          <cell r="J1653" t="str">
            <v>TOOLS-1900 PURGER BAR HOLE TORNADO PURGER: Kansas City-Jackson: Purchase Tools, Instruments &amp; Equipment  3940 (37-366)</v>
          </cell>
          <cell r="K1653" t="str">
            <v>Approved by: Gary Williams on 12/15/2014,  THIS IS NOT A REPLACEMENT. PURCHASE FOR NEW CREW TRUCK</v>
          </cell>
          <cell r="L1653">
            <v>42017</v>
          </cell>
          <cell r="M1653">
            <v>42035</v>
          </cell>
          <cell r="N1653">
            <v>42044.360370370399</v>
          </cell>
          <cell r="O1653">
            <v>42005</v>
          </cell>
          <cell r="P1653" t="str">
            <v>0401-043050  JACKSON CTY/KC</v>
          </cell>
          <cell r="Q1653">
            <v>605.11</v>
          </cell>
          <cell r="R1653">
            <v>3</v>
          </cell>
        </row>
        <row r="1654">
          <cell r="A1654" t="str">
            <v>006413</v>
          </cell>
          <cell r="B1654" t="str">
            <v>LDC 2</v>
          </cell>
          <cell r="D1654" t="str">
            <v>no</v>
          </cell>
          <cell r="E1654" t="str">
            <v>20401143789</v>
          </cell>
          <cell r="F1654" t="str">
            <v>F0670</v>
          </cell>
          <cell r="G1654" t="str">
            <v>Tools, Instruments &amp; Equipment (N)</v>
          </cell>
          <cell r="H1654" t="str">
            <v>PURCH SKA-PAK AT RESPIRATORS-5</v>
          </cell>
          <cell r="I1654" t="str">
            <v>posted to CPR</v>
          </cell>
          <cell r="J1654" t="str">
            <v>PURCHASE SKA-PAK AT RESPIRATOR: Kansas City-Jackson: Purchase Tools, Instruments &amp; Equipment  3940 (37-366)</v>
          </cell>
          <cell r="K1654" t="str">
            <v>Approved by: Gary Williams on 09/12/2014,  THIS IS NOT REPLACEMENT TOOLS 2 STREET CREW 2 FIELD BASE AND 1 STATION B QUOTE FROM FELD FIRE</v>
          </cell>
          <cell r="L1654">
            <v>41939</v>
          </cell>
          <cell r="M1654">
            <v>42004</v>
          </cell>
          <cell r="N1654">
            <v>42012.721967592603</v>
          </cell>
          <cell r="O1654">
            <v>41974</v>
          </cell>
          <cell r="P1654" t="str">
            <v>0401-043050  JACKSON CTY/KC</v>
          </cell>
          <cell r="Q1654">
            <v>9569.3799999999992</v>
          </cell>
          <cell r="R1654">
            <v>15</v>
          </cell>
        </row>
        <row r="1655">
          <cell r="A1655" t="str">
            <v>005630</v>
          </cell>
          <cell r="B1655" t="str">
            <v>LDC 2</v>
          </cell>
          <cell r="D1655" t="str">
            <v>yes</v>
          </cell>
          <cell r="E1655" t="str">
            <v>20401143344</v>
          </cell>
          <cell r="F1655" t="str">
            <v>F0663</v>
          </cell>
          <cell r="G1655" t="str">
            <v>Replace bare steel main - safety re</v>
          </cell>
          <cell r="H1655" t="str">
            <v>56 &amp; Troost Repl CU/CI w 175'-2 PE;</v>
          </cell>
          <cell r="I1655" t="str">
            <v>posted to CPR</v>
          </cell>
          <cell r="J1655" t="str">
            <v>56 &amp; Troost Repl CU/CI w 175'-2 PE;10'-8in CS: Kansas City-Jackson: Replace Bare Steel Main - 3760 Safety Related (34-394)</v>
          </cell>
          <cell r="K1655" t="str">
            <v>Approved by: Gary Williams on 07/02/2014,  Lay 175'-2in PE and 10'-8in thin film steel.  Retire 51'-1.5in CU, 98'-2in PBS, and 10'-8in CI.  Replace service at 1112 E. 56th. No main installed per Completion Report (Gas Main Construction Rept) - AMM</v>
          </cell>
          <cell r="L1655">
            <v>41996</v>
          </cell>
          <cell r="M1655">
            <v>42155</v>
          </cell>
          <cell r="N1655">
            <v>42496.559895833299</v>
          </cell>
          <cell r="O1655">
            <v>41974</v>
          </cell>
          <cell r="P1655" t="str">
            <v>0401-043050  JACKSON CTY/KC</v>
          </cell>
          <cell r="Q1655">
            <v>9837.68</v>
          </cell>
          <cell r="R1655">
            <v>162</v>
          </cell>
        </row>
        <row r="1656">
          <cell r="A1656" t="str">
            <v>005178</v>
          </cell>
          <cell r="B1656" t="str">
            <v>LDC 2</v>
          </cell>
          <cell r="D1656" t="str">
            <v>no</v>
          </cell>
          <cell r="E1656" t="str">
            <v>20401143530</v>
          </cell>
          <cell r="F1656" t="str">
            <v>F0639</v>
          </cell>
          <cell r="G1656" t="str">
            <v>EGM Equip-1st Time Installation</v>
          </cell>
          <cell r="H1656" t="str">
            <v>EGM - Plaza Manor</v>
          </cell>
          <cell r="I1656" t="str">
            <v>posted to CPR</v>
          </cell>
          <cell r="J1656" t="str">
            <v>EGM - Plaza Manor: Kansas City-Jackson: Install EGM Equipment - First Time Installation  3850 (32-403)</v>
          </cell>
          <cell r="K1656" t="str">
            <v>Approved by: Rob Kitterman on 05/01/2014,  Install Mercury MiniMax-AT-T w/ Messenger Modem S/N:13066403 on Roots 11M meter no 08265356 to monitor daily gas usage of this transportation customer. Customer will reimburse company actual cost for EGM installation not to exceed $5,445.00, which should be coded to account 1072. ATTENTION: Plant &amp; Property Accounting, EGM work order, turn off A&amp;G indicator.</v>
          </cell>
          <cell r="L1656">
            <v>42443</v>
          </cell>
          <cell r="M1656">
            <v>42491</v>
          </cell>
          <cell r="N1656">
            <v>42528.313148148103</v>
          </cell>
          <cell r="O1656">
            <v>42430</v>
          </cell>
          <cell r="P1656" t="str">
            <v>0401-043050  JACKSON CTY/KC</v>
          </cell>
          <cell r="Q1656">
            <v>-59.33</v>
          </cell>
          <cell r="R1656">
            <v>9</v>
          </cell>
        </row>
        <row r="1657">
          <cell r="A1657" t="str">
            <v>003841</v>
          </cell>
          <cell r="B1657" t="str">
            <v>LDC 2</v>
          </cell>
          <cell r="D1657" t="str">
            <v>yes</v>
          </cell>
          <cell r="E1657" t="str">
            <v>20401132640</v>
          </cell>
          <cell r="F1657" t="str">
            <v>F0500</v>
          </cell>
          <cell r="G1657" t="str">
            <v>Replace cast iron main - CPI / prio</v>
          </cell>
          <cell r="H1657" t="str">
            <v>19th &amp; Forest Repl CI w 490'-4in PE</v>
          </cell>
          <cell r="I1657" t="str">
            <v>posted to CPR</v>
          </cell>
          <cell r="J1657" t="str">
            <v>19th &amp; Forest Repl CI w 490'-4in PE main: Kansas City-Jackson: 19TH AND FOREST AVE</v>
          </cell>
          <cell r="K1657" t="str">
            <v>Approved by: Kevin Driskell on 05/08/2013,  Replace 10in CI by inserting 410' of 4in PE due to leak. Two existing PE services will need to be tied over to proposed 4in PE main. Ret 398'-10in CI main and 92'-4in CI, work orders unknown.</v>
          </cell>
          <cell r="L1657">
            <v>41489</v>
          </cell>
          <cell r="M1657">
            <v>41564</v>
          </cell>
          <cell r="N1657">
            <v>41564.624710648102</v>
          </cell>
          <cell r="P1657" t="str">
            <v>0401-043050  JACKSON CTY/KC</v>
          </cell>
          <cell r="Q1657">
            <v>18374.02</v>
          </cell>
          <cell r="R1657">
            <v>1516</v>
          </cell>
        </row>
        <row r="1658">
          <cell r="A1658" t="str">
            <v>004174</v>
          </cell>
          <cell r="B1658" t="str">
            <v>LDC 2</v>
          </cell>
          <cell r="D1658" t="str">
            <v>yes</v>
          </cell>
          <cell r="E1658" t="str">
            <v>20401132456</v>
          </cell>
          <cell r="F1658" t="str">
            <v>F0600</v>
          </cell>
          <cell r="G1658" t="str">
            <v>Station Rebuild &amp; Repl ISRS (N)</v>
          </cell>
          <cell r="H1658" t="str">
            <v>Leslie Ave Rebuild DRS 308</v>
          </cell>
          <cell r="I1658" t="str">
            <v>posted to CPR</v>
          </cell>
          <cell r="J1658" t="str">
            <v>Leslie Ave Rebuild DRS 308: Kansas City-Jackson: Leslie Ave</v>
          </cell>
          <cell r="K1658" t="str">
            <v>Approved by: Ralph Janes on 04/09/2013,  Rebuild/Relocate DRS #308 at the end of Canyon Dr. to Leslie Ave. Inlet system C-100 (MOP = 125 psig and MAOP = 155 psig) and outlet system S-308 (MOP = MAOP = 15 psig). The existing 1in Fisher 627M (operator) and the 1in Fisher 627M (monitor) installed on wo# 92-5780 will be junked and replaced with a 2in 300# Mooney Flow Grid Regulator (operator) and a 2in 300# Rockwell 441-57S Regulator (monitor) w/ a Red (12.5 - 30 psig) spring on wo# 13-2456. Must rebuild DRS 308 on wo# 13-2456 and 13-2458 (I/O piping) before beginning construction on wo# 13-2457.</v>
          </cell>
          <cell r="L1658">
            <v>41591</v>
          </cell>
          <cell r="M1658">
            <v>41638</v>
          </cell>
          <cell r="N1658">
            <v>41643.435277777797</v>
          </cell>
          <cell r="O1658">
            <v>41730</v>
          </cell>
          <cell r="P1658" t="str">
            <v>0401-043050  JACKSON CTY/KC</v>
          </cell>
          <cell r="Q1658">
            <v>19330.11</v>
          </cell>
          <cell r="R1658">
            <v>211.5</v>
          </cell>
        </row>
        <row r="1659">
          <cell r="A1659" t="str">
            <v>003964</v>
          </cell>
          <cell r="B1659" t="str">
            <v>LDC 2</v>
          </cell>
          <cell r="D1659" t="str">
            <v>no</v>
          </cell>
          <cell r="E1659" t="str">
            <v>20401050310</v>
          </cell>
          <cell r="F1659" t="str">
            <v>F0539</v>
          </cell>
          <cell r="G1659" t="str">
            <v>BWO New Service Line Install (N)</v>
          </cell>
          <cell r="H1659" t="str">
            <v>BWO-LINE LOCATES NEW SERVICES ONLY</v>
          </cell>
          <cell r="I1659" t="str">
            <v>open</v>
          </cell>
          <cell r="J1659" t="str">
            <v>BWO-LINE LOCATES NEW SERVICES ONLY</v>
          </cell>
          <cell r="K1659" t="str">
            <v>Project Type:B</v>
          </cell>
          <cell r="O1659">
            <v>42217</v>
          </cell>
          <cell r="P1659" t="str">
            <v>0401-043050  JACKSON CTY/KC</v>
          </cell>
          <cell r="Q1659">
            <v>1587.13</v>
          </cell>
          <cell r="R1659">
            <v>15.5</v>
          </cell>
        </row>
        <row r="1660">
          <cell r="A1660" t="str">
            <v>003950</v>
          </cell>
          <cell r="B1660" t="str">
            <v>LDC 2</v>
          </cell>
          <cell r="D1660" t="str">
            <v>no</v>
          </cell>
          <cell r="E1660" t="str">
            <v>20401121897</v>
          </cell>
          <cell r="F1660" t="str">
            <v>F0503</v>
          </cell>
          <cell r="G1660" t="str">
            <v>Rectifier New/Repl ISRS (N)</v>
          </cell>
          <cell r="H1660" t="str">
            <v>County Line Rd Rectifier L0413 and</v>
          </cell>
          <cell r="I1660" t="str">
            <v>posted to CPR</v>
          </cell>
          <cell r="J1660" t="str">
            <v>County Line Rd Rectifier L0413 and Ground Bed Repl: Kansas City-Jackson: Highgrove Road 3000 ft east of Raytown Rd.</v>
          </cell>
          <cell r="K1660" t="str">
            <v>Approved by: Randy Spector on 11/05/2012,  This work order is necessary to relocate existing Rectifier L0413 and ground bed installed on work order 07-1717. The existing ground bed is interfering with Southern Star Central. This installation will also replace the oil bath rectifier L0655 at Raytown Road &amp; Highgrove. This rectifier is causing interference with the Kinder Morgan line. The new ground bed will be 15 - 3in x 60in anodes, spaced at 15 feet, with a 60volt/30amp rectifier. All construction will be performed by contractor crews. This will be installed next to our 4in PE main in the same easement. Electrical work will be needed.</v>
          </cell>
          <cell r="L1660">
            <v>41366</v>
          </cell>
          <cell r="M1660">
            <v>41449</v>
          </cell>
          <cell r="N1660">
            <v>41457.446412037003</v>
          </cell>
          <cell r="P1660" t="str">
            <v>0401-043050  JACKSON CTY/KC</v>
          </cell>
          <cell r="Q1660">
            <v>39463.599999999999</v>
          </cell>
          <cell r="R1660">
            <v>1</v>
          </cell>
        </row>
        <row r="1661">
          <cell r="A1661" t="str">
            <v>004524</v>
          </cell>
          <cell r="B1661" t="str">
            <v>LDC 2</v>
          </cell>
          <cell r="D1661" t="str">
            <v>yes</v>
          </cell>
          <cell r="E1661" t="str">
            <v>20401121993</v>
          </cell>
          <cell r="F1661" t="str">
            <v>F0599</v>
          </cell>
          <cell r="G1661" t="str">
            <v>Main Replacement - ISRS (N)</v>
          </cell>
          <cell r="H1661" t="str">
            <v>AOR 54th Ter &amp; Holmes Repl CI w 230</v>
          </cell>
          <cell r="I1661" t="str">
            <v>posted to CPR</v>
          </cell>
          <cell r="J1661" t="str">
            <v>AOR 54th Ter &amp; Holmes Repl CI w 230'-4in PE main: Kansas City-Jackson: 54th Ter and Holmes</v>
          </cell>
          <cell r="K1661" t="str">
            <v>Approved by: Kevin Driskell on 12/10/2012,  (ISRS).  AOR Replacement.  Replace 226' of 4in CI with 230' of 4in PE.  AOR occurred at 149' to 153' EEC of Holmes.  Tie over 4 services.  Must be replaced by Feb 24, 2013.  COST PER FOOT $98.92</v>
          </cell>
          <cell r="L1661">
            <v>41281</v>
          </cell>
          <cell r="M1661">
            <v>41381</v>
          </cell>
          <cell r="N1661">
            <v>41562.537280092598</v>
          </cell>
          <cell r="P1661" t="str">
            <v>0401-043050  JACKSON CTY/KC</v>
          </cell>
          <cell r="Q1661">
            <v>20449.060000000001</v>
          </cell>
          <cell r="R1661">
            <v>989</v>
          </cell>
        </row>
        <row r="1662">
          <cell r="A1662" t="str">
            <v>004635</v>
          </cell>
          <cell r="B1662" t="str">
            <v>LDC 2</v>
          </cell>
          <cell r="D1662" t="str">
            <v>no</v>
          </cell>
          <cell r="E1662" t="str">
            <v>20401132595</v>
          </cell>
          <cell r="F1662" t="str">
            <v>F0597</v>
          </cell>
          <cell r="G1662" t="str">
            <v>Other</v>
          </cell>
          <cell r="H1662" t="str">
            <v>EGM Replace - Crown Center Redev Co</v>
          </cell>
          <cell r="I1662" t="str">
            <v>posted to CPR</v>
          </cell>
          <cell r="J1662" t="str">
            <v>EGM Replace - Crown Center Redev Corp: Kansas City-Jackson: 2600 Grand - KC</v>
          </cell>
          <cell r="K1662" t="str">
            <v>Approved by: Rob Kitterman on 04/10/2013,  Replace EGM equipment at Crown Center Redev Corp with a new Mini-AT-TC, S/N: 13003983, &amp; MI Modem. The existing equipment was damaged beyond repair. Retire the damaged ECAT, S/N: 9404132 on this WO as well.</v>
          </cell>
          <cell r="L1662">
            <v>41374</v>
          </cell>
          <cell r="M1662">
            <v>41575</v>
          </cell>
          <cell r="N1662">
            <v>41576.418564814798</v>
          </cell>
          <cell r="P1662" t="str">
            <v>0401-043050  JACKSON CTY/KC</v>
          </cell>
          <cell r="Q1662">
            <v>4105.7</v>
          </cell>
          <cell r="R1662">
            <v>2</v>
          </cell>
        </row>
        <row r="1663">
          <cell r="A1663" t="str">
            <v>009533</v>
          </cell>
          <cell r="B1663" t="str">
            <v>LDC 2</v>
          </cell>
          <cell r="D1663" t="str">
            <v>no</v>
          </cell>
          <cell r="F1663" t="str">
            <v>F0682</v>
          </cell>
          <cell r="G1663" t="str">
            <v>Non-Productive Ops MGE</v>
          </cell>
          <cell r="H1663" t="str">
            <v>MGE Management Supervision</v>
          </cell>
          <cell r="I1663" t="str">
            <v>open</v>
          </cell>
          <cell r="J1663" t="str">
            <v>MGE Management Supervision</v>
          </cell>
          <cell r="P1663" t="str">
            <v>Expense Only</v>
          </cell>
          <cell r="Q1663">
            <v>2150893.73</v>
          </cell>
          <cell r="R1663">
            <v>39652.81</v>
          </cell>
        </row>
        <row r="1664">
          <cell r="A1664" t="str">
            <v>004777</v>
          </cell>
          <cell r="B1664" t="str">
            <v>LDC 2</v>
          </cell>
          <cell r="D1664" t="str">
            <v>no</v>
          </cell>
          <cell r="E1664" t="str">
            <v>21846900000</v>
          </cell>
          <cell r="F1664" t="str">
            <v>F0682</v>
          </cell>
          <cell r="G1664" t="str">
            <v>Non-Productive Ops MGE</v>
          </cell>
          <cell r="H1664" t="str">
            <v>Non Prod Lab-Traing Prog MGE</v>
          </cell>
          <cell r="I1664" t="str">
            <v>open</v>
          </cell>
          <cell r="J1664" t="str">
            <v>Non Prod Lab-Traing Prog MGE</v>
          </cell>
          <cell r="P1664" t="str">
            <v>Expense Only</v>
          </cell>
          <cell r="Q1664">
            <v>2956845.2</v>
          </cell>
          <cell r="R1664">
            <v>91237.88</v>
          </cell>
        </row>
        <row r="1665">
          <cell r="A1665" t="str">
            <v>004789</v>
          </cell>
          <cell r="B1665" t="str">
            <v>LDC 2</v>
          </cell>
          <cell r="D1665" t="str">
            <v>no</v>
          </cell>
          <cell r="E1665" t="str">
            <v>28930900000</v>
          </cell>
          <cell r="F1665" t="str">
            <v>F0712</v>
          </cell>
          <cell r="G1665" t="str">
            <v>Maintenance of Meters MGE</v>
          </cell>
          <cell r="H1665" t="str">
            <v>Mtr &amp; Hse Regs Overheads MGE</v>
          </cell>
          <cell r="I1665" t="str">
            <v>open</v>
          </cell>
          <cell r="J1665" t="str">
            <v>Mtr &amp; Hse Regs Overheads MGE</v>
          </cell>
          <cell r="P1665" t="str">
            <v>Expense Only</v>
          </cell>
          <cell r="Q1665">
            <v>85958.31</v>
          </cell>
          <cell r="R1665">
            <v>2156.89</v>
          </cell>
        </row>
        <row r="1666">
          <cell r="A1666" t="str">
            <v>004775</v>
          </cell>
          <cell r="B1666" t="str">
            <v>LDC 2</v>
          </cell>
          <cell r="D1666" t="str">
            <v>no</v>
          </cell>
          <cell r="E1666" t="str">
            <v>21846600000</v>
          </cell>
          <cell r="F1666" t="str">
            <v>F0682</v>
          </cell>
          <cell r="G1666" t="str">
            <v>Non-Productive Ops MGE</v>
          </cell>
          <cell r="H1666" t="str">
            <v>Non Prod Lab-Stby Emerg MGE</v>
          </cell>
          <cell r="I1666" t="str">
            <v>open</v>
          </cell>
          <cell r="J1666" t="str">
            <v>Non Prod Lab-Stby Emerg MGE</v>
          </cell>
          <cell r="P1666" t="str">
            <v>Expense Only</v>
          </cell>
          <cell r="Q1666">
            <v>66860.479999999996</v>
          </cell>
          <cell r="R1666">
            <v>2384.38</v>
          </cell>
        </row>
        <row r="1667">
          <cell r="A1667" t="str">
            <v>004853</v>
          </cell>
          <cell r="B1667" t="str">
            <v>LDC 2</v>
          </cell>
          <cell r="D1667" t="str">
            <v>no</v>
          </cell>
          <cell r="E1667" t="str">
            <v>29320330000</v>
          </cell>
          <cell r="F1667" t="str">
            <v>F0731</v>
          </cell>
          <cell r="G1667" t="str">
            <v>Mtce Admin &amp; Gen Office MGE</v>
          </cell>
          <cell r="H1667" t="str">
            <v>Maint Two-Way Radio Eq MGE</v>
          </cell>
          <cell r="I1667" t="str">
            <v>open</v>
          </cell>
          <cell r="J1667" t="str">
            <v>Maint Two-Way Radio Eq MGE</v>
          </cell>
          <cell r="P1667" t="str">
            <v>Expense Only</v>
          </cell>
          <cell r="Q1667">
            <v>1583.33</v>
          </cell>
          <cell r="R1667">
            <v>0</v>
          </cell>
        </row>
        <row r="1668">
          <cell r="A1668" t="str">
            <v>004736</v>
          </cell>
          <cell r="B1668" t="str">
            <v>LDC 2</v>
          </cell>
          <cell r="D1668" t="str">
            <v>no</v>
          </cell>
          <cell r="E1668" t="str">
            <v>28870115000</v>
          </cell>
          <cell r="F1668" t="str">
            <v>F0700</v>
          </cell>
          <cell r="G1668" t="str">
            <v>Maintenance of Mains - MGE</v>
          </cell>
          <cell r="H1668" t="str">
            <v>#2,#3,#4 Main Leak Repair MGE</v>
          </cell>
          <cell r="I1668" t="str">
            <v>open</v>
          </cell>
          <cell r="J1668" t="str">
            <v>#2,#3,#4 Main Leak Repair MGE</v>
          </cell>
          <cell r="P1668" t="str">
            <v>Expense Only</v>
          </cell>
          <cell r="Q1668">
            <v>1829508.94</v>
          </cell>
          <cell r="R1668">
            <v>65727.656600000002</v>
          </cell>
        </row>
        <row r="1669">
          <cell r="A1669" t="str">
            <v>004728</v>
          </cell>
          <cell r="B1669" t="str">
            <v>LDC 2</v>
          </cell>
          <cell r="D1669" t="str">
            <v>no</v>
          </cell>
          <cell r="E1669" t="str">
            <v>28790400000</v>
          </cell>
          <cell r="F1669" t="str">
            <v>F0703</v>
          </cell>
          <cell r="G1669" t="str">
            <v>Customer Service Work MGE</v>
          </cell>
          <cell r="H1669" t="str">
            <v>CIE A/C Service Billed MGE</v>
          </cell>
          <cell r="I1669" t="str">
            <v>open</v>
          </cell>
          <cell r="J1669" t="str">
            <v>CIE A/C Service Billed MGE</v>
          </cell>
          <cell r="P1669" t="str">
            <v>Expense Only</v>
          </cell>
          <cell r="Q1669">
            <v>8910</v>
          </cell>
          <cell r="R1669">
            <v>600.95000000000005</v>
          </cell>
        </row>
        <row r="1670">
          <cell r="A1670" t="str">
            <v>004715</v>
          </cell>
          <cell r="B1670" t="str">
            <v>LDC 2</v>
          </cell>
          <cell r="D1670" t="str">
            <v>no</v>
          </cell>
          <cell r="E1670" t="str">
            <v>28740000000</v>
          </cell>
          <cell r="F1670" t="str">
            <v>F0697</v>
          </cell>
          <cell r="G1670" t="str">
            <v>Oper Dist Exp-Main &amp; Svc MGE</v>
          </cell>
          <cell r="H1670" t="str">
            <v>Oper Dist Exp-Main &amp; Svc MGE</v>
          </cell>
          <cell r="I1670" t="str">
            <v>open</v>
          </cell>
          <cell r="J1670" t="str">
            <v>Oper Dist Exp-Main &amp; Svc MGE</v>
          </cell>
          <cell r="P1670" t="str">
            <v>Expense Only</v>
          </cell>
          <cell r="Q1670">
            <v>1048997.0900000001</v>
          </cell>
          <cell r="R1670">
            <v>261236.94</v>
          </cell>
        </row>
        <row r="1671">
          <cell r="A1671" t="str">
            <v>004683</v>
          </cell>
          <cell r="B1671" t="str">
            <v>LDC 2</v>
          </cell>
          <cell r="D1671" t="str">
            <v>no</v>
          </cell>
          <cell r="E1671" t="str">
            <v>218SGSAEXSH</v>
          </cell>
          <cell r="F1671" t="str">
            <v>F0680</v>
          </cell>
          <cell r="G1671" t="str">
            <v>Regulatory Assets MGE</v>
          </cell>
          <cell r="H1671" t="str">
            <v>Reg Ast Eng Eff SGS SHD Cst MG</v>
          </cell>
          <cell r="I1671" t="str">
            <v>open</v>
          </cell>
          <cell r="J1671" t="str">
            <v>Reg Ast Eng Eff SGS SHD Cst MG</v>
          </cell>
          <cell r="P1671" t="str">
            <v>Expense Only</v>
          </cell>
          <cell r="Q1671">
            <v>1260</v>
          </cell>
          <cell r="R1671">
            <v>0</v>
          </cell>
        </row>
        <row r="1672">
          <cell r="A1672" t="str">
            <v>004817</v>
          </cell>
          <cell r="B1672" t="str">
            <v>LDC 2</v>
          </cell>
          <cell r="D1672" t="str">
            <v>no</v>
          </cell>
          <cell r="E1672" t="str">
            <v>29320100000</v>
          </cell>
          <cell r="F1672" t="str">
            <v>F0731</v>
          </cell>
          <cell r="G1672" t="str">
            <v>Mtce Admin &amp; Gen Office MGE</v>
          </cell>
          <cell r="H1672" t="str">
            <v>Mtce Admin &amp; Gen Office MGE</v>
          </cell>
          <cell r="I1672" t="str">
            <v>open</v>
          </cell>
          <cell r="J1672" t="str">
            <v>Mtce Admin &amp; Gen Office MGE</v>
          </cell>
          <cell r="P1672" t="str">
            <v>Expense Only</v>
          </cell>
          <cell r="Q1672">
            <v>514291.72</v>
          </cell>
          <cell r="R1672">
            <v>295952.93</v>
          </cell>
        </row>
        <row r="1673">
          <cell r="A1673" t="str">
            <v>004808</v>
          </cell>
          <cell r="B1673" t="str">
            <v>LDC 2</v>
          </cell>
          <cell r="D1673" t="str">
            <v>no</v>
          </cell>
          <cell r="E1673" t="str">
            <v>29240300000</v>
          </cell>
          <cell r="F1673" t="str">
            <v>F0724</v>
          </cell>
          <cell r="G1673" t="str">
            <v>Property Insurance Prem MGE</v>
          </cell>
          <cell r="H1673" t="str">
            <v>Property Insurance Prem MGE</v>
          </cell>
          <cell r="I1673" t="str">
            <v>open</v>
          </cell>
          <cell r="J1673" t="str">
            <v>Property Insurance Prem MGE</v>
          </cell>
          <cell r="P1673" t="str">
            <v>Expense Only</v>
          </cell>
          <cell r="Q1673">
            <v>187.04</v>
          </cell>
          <cell r="R1673">
            <v>3</v>
          </cell>
        </row>
        <row r="1674">
          <cell r="A1674" t="str">
            <v>004806</v>
          </cell>
          <cell r="B1674" t="str">
            <v>LDC 2</v>
          </cell>
          <cell r="D1674" t="str">
            <v>no</v>
          </cell>
          <cell r="E1674" t="str">
            <v>29210000000</v>
          </cell>
          <cell r="F1674" t="str">
            <v>F0723</v>
          </cell>
          <cell r="G1674" t="str">
            <v>Gen Office Sup&amp; Exp MGE</v>
          </cell>
          <cell r="H1674" t="str">
            <v>Gen Office Sup&amp; Exp MGE</v>
          </cell>
          <cell r="I1674" t="str">
            <v>open</v>
          </cell>
          <cell r="J1674" t="str">
            <v>Gen Office Sup&amp; Exp MGE</v>
          </cell>
          <cell r="P1674" t="str">
            <v>Expense Only</v>
          </cell>
          <cell r="Q1674">
            <v>2880850.39</v>
          </cell>
          <cell r="R1674">
            <v>530889.22</v>
          </cell>
        </row>
        <row r="1675">
          <cell r="A1675" t="str">
            <v>800405</v>
          </cell>
          <cell r="B1675" t="str">
            <v>LDC 2</v>
          </cell>
          <cell r="C1675" t="str">
            <v>08 - Cast Iron or Bare Steel Replacement - Leaks</v>
          </cell>
          <cell r="D1675" t="str">
            <v>yes</v>
          </cell>
          <cell r="F1675" t="str">
            <v>F0572</v>
          </cell>
          <cell r="G1675" t="str">
            <v>Main Replacement - ISRS (SW)</v>
          </cell>
          <cell r="H1675" t="str">
            <v>Repl w/ 790F 3-8P 16th &amp; Roosevelt</v>
          </cell>
          <cell r="I1675" t="str">
            <v>open</v>
          </cell>
          <cell r="J1675" t="str">
            <v>Install 529 Ft of 8 in PL IP and 261 Ft of 3 in PL LP main on 16th St, and Roosevelt Ave. Abandon 235 Ft of 3 in ST, 16 Ft of 4 in ST, 390 Ft of 6 in ST and 139 Ft of 8 in ST main.</v>
          </cell>
          <cell r="K1675" t="str">
            <v>This main is being replaced as part of FY16 Bare Steel Replacement Program.</v>
          </cell>
          <cell r="P1675" t="str">
            <v>0501-044001  JASPER CTY/JOPLIN</v>
          </cell>
          <cell r="Q1675">
            <v>0</v>
          </cell>
          <cell r="R1675">
            <v>780</v>
          </cell>
        </row>
        <row r="1676">
          <cell r="A1676" t="str">
            <v>009219</v>
          </cell>
          <cell r="B1676" t="str">
            <v>LDC 2</v>
          </cell>
          <cell r="D1676" t="str">
            <v>yes</v>
          </cell>
          <cell r="F1676" t="str">
            <v>F0659</v>
          </cell>
          <cell r="G1676" t="str">
            <v>BWO Service Line Repl - ISRS (SW)</v>
          </cell>
          <cell r="H1676" t="str">
            <v>BWO-Replace Svc w/ Steel (Southwest</v>
          </cell>
          <cell r="I1676" t="str">
            <v>open</v>
          </cell>
          <cell r="J1676" t="str">
            <v>BWO-Replace Svc w/ Steel (Southwest)</v>
          </cell>
          <cell r="K1676" t="str">
            <v>BWO-Replace Svc w/ Steel (Southwest)</v>
          </cell>
          <cell r="O1676">
            <v>42370</v>
          </cell>
          <cell r="P1676" t="str">
            <v>0501-044001  JASPER CTY/JOPLIN</v>
          </cell>
          <cell r="Q1676">
            <v>44628.99</v>
          </cell>
          <cell r="R1676">
            <v>1316.0967000000001</v>
          </cell>
        </row>
        <row r="1677">
          <cell r="A1677" t="str">
            <v>006362</v>
          </cell>
          <cell r="B1677" t="str">
            <v>LDC 2</v>
          </cell>
          <cell r="D1677" t="str">
            <v>no</v>
          </cell>
          <cell r="E1677" t="str">
            <v>20501143805</v>
          </cell>
          <cell r="F1677" t="str">
            <v>F0485</v>
          </cell>
          <cell r="G1677" t="str">
            <v>Tools, Instruments &amp; Equipment (SW)</v>
          </cell>
          <cell r="H1677" t="str">
            <v>Tools Purchase Four Sensit Gold Mod</v>
          </cell>
          <cell r="I1677" t="str">
            <v>posted to CPR</v>
          </cell>
          <cell r="J1677" t="str">
            <v>Tools Purchase Four Sensit Gold Model B: Joplin: Purchase Tools, Instruments &amp; Equipment  3940 (37-366)</v>
          </cell>
          <cell r="K1677" t="str">
            <v>Approved by: Galen Shoemaker on 09/10/2014,  Purchase four (4) Sensit Gold Model B's for Joplin C&amp;M department to replace obsolete CGI's currently in use. These need to be purchased before the end of September.</v>
          </cell>
          <cell r="L1677">
            <v>41920</v>
          </cell>
          <cell r="M1677">
            <v>41698</v>
          </cell>
          <cell r="N1677">
            <v>42067.763449074097</v>
          </cell>
          <cell r="O1677">
            <v>42005</v>
          </cell>
          <cell r="P1677" t="str">
            <v>0501-044001  JASPER CTY/JOPLIN</v>
          </cell>
          <cell r="Q1677">
            <v>6596.18</v>
          </cell>
          <cell r="R1677">
            <v>4</v>
          </cell>
        </row>
        <row r="1678">
          <cell r="A1678" t="str">
            <v>005351</v>
          </cell>
          <cell r="B1678" t="str">
            <v>LDC 2</v>
          </cell>
          <cell r="D1678" t="str">
            <v>no</v>
          </cell>
          <cell r="E1678" t="str">
            <v>20501143592</v>
          </cell>
          <cell r="F1678" t="str">
            <v>F0630</v>
          </cell>
          <cell r="G1678" t="str">
            <v>Meter &amp; Reg Settings 2" &amp; Lg (SW)</v>
          </cell>
          <cell r="H1678" t="str">
            <v>2102 Indiana Inst 11M Meter Setting</v>
          </cell>
          <cell r="I1678" t="str">
            <v>posted to CPR</v>
          </cell>
          <cell r="J1678" t="str">
            <v>2102 Indiana Inst 11M Meter Setting: Joplin: New Meter &amp; Reg Settings - 2in &amp; Larger 3820/3830 (33-382)</v>
          </cell>
          <cell r="K1678" t="str">
            <v>Approved by: Galen Shoemaker on 05/23/2014,  Will install 11M rotary meter setting to serve the new Joplin High School. Will regulate downstream of meter to accomodate total connected demand of 44,300 cfh through 11M Roots meter. Will use 2" flanged CL 34-2 regulator to deliver 5 psig and 2" Fisher relief set at 7 psig for overpressure protection. System Joplin C-1  MAOP=58PSIG  MAOP=58PSIG</v>
          </cell>
          <cell r="L1678">
            <v>41802</v>
          </cell>
          <cell r="M1678">
            <v>42063</v>
          </cell>
          <cell r="N1678">
            <v>42067.763391203698</v>
          </cell>
          <cell r="O1678">
            <v>41974</v>
          </cell>
          <cell r="P1678" t="str">
            <v>0501-044001  JASPER CTY/JOPLIN</v>
          </cell>
          <cell r="Q1678">
            <v>6233.68</v>
          </cell>
          <cell r="R1678">
            <v>-90</v>
          </cell>
        </row>
        <row r="1679">
          <cell r="A1679" t="str">
            <v>003918</v>
          </cell>
          <cell r="B1679" t="str">
            <v>LDC 2</v>
          </cell>
          <cell r="D1679" t="str">
            <v>no</v>
          </cell>
          <cell r="E1679" t="str">
            <v>20501143306</v>
          </cell>
          <cell r="F1679" t="str">
            <v>F0496</v>
          </cell>
          <cell r="G1679" t="str">
            <v>New main extensions - less than 200</v>
          </cell>
          <cell r="H1679" t="str">
            <v>2700 Cunningham Lay 170'-2in PE Mai</v>
          </cell>
          <cell r="I1679" t="str">
            <v>posted to CPR</v>
          </cell>
          <cell r="J1679" t="str">
            <v>2700 Cunningham Lay 170'-2in PE Main ext: Joplin: Cunningham Ave N of 27th St</v>
          </cell>
          <cell r="K1679" t="str">
            <v>Approved by: Galen Shoemaker on 02/04/2014,  JOPLIN TORNADO.  No customer contribution do to tornado area.  To lay 170' of 2" PE main to provide service for new customer. Project Location: Cunningham Ave S of 26th St.  Pressure System: C-1.  MOP: 58 PSIG.  MAOP: 58 PSIG.  Design: 58 PSIG.  Test: 100 PSIG.  Price Per Foot: $34.56.</v>
          </cell>
          <cell r="L1679">
            <v>41690</v>
          </cell>
          <cell r="M1679">
            <v>42063</v>
          </cell>
          <cell r="N1679">
            <v>42160.550694444399</v>
          </cell>
          <cell r="O1679">
            <v>41974</v>
          </cell>
          <cell r="P1679" t="str">
            <v>0501-044001  JASPER CTY/JOPLIN</v>
          </cell>
          <cell r="Q1679">
            <v>11311.74</v>
          </cell>
          <cell r="R1679">
            <v>-336</v>
          </cell>
        </row>
        <row r="1680">
          <cell r="A1680" t="str">
            <v>004177</v>
          </cell>
          <cell r="B1680" t="str">
            <v>LDC 2</v>
          </cell>
          <cell r="D1680" t="str">
            <v>yes</v>
          </cell>
          <cell r="E1680" t="str">
            <v>20503132433</v>
          </cell>
          <cell r="F1680" t="str">
            <v>F0544</v>
          </cell>
          <cell r="G1680" t="str">
            <v>Replace bare steel main - safety re</v>
          </cell>
          <cell r="H1680" t="str">
            <v>Poplar &amp; Tenn Repl PBS w 585'-2in P</v>
          </cell>
          <cell r="I1680" t="str">
            <v>posted to CPR</v>
          </cell>
          <cell r="J1680" t="str">
            <v>Poplar &amp; Tenn Repl PBS w 585'-2in PE main: Carterville: Poplar and Tennessee</v>
          </cell>
          <cell r="K1680" t="str">
            <v>Approved by: Galen Shoemaker on 02/18/2013,  Abandon 583' - 2in PBS (WO#: NONE) and replace with 585' - 2in PE to clear 3 - #3 Leaks (Leak No's: 09-0089, 12-0056, 13-0014). Project Location: Poplar and Tennessee; Pressure System: C-1; MOP: 1.50 psig; MAOP: 1.69 psig; Design: 58 psig; Test: 100 psig; ISRS $33.30/ft</v>
          </cell>
          <cell r="L1680">
            <v>41543</v>
          </cell>
          <cell r="M1680">
            <v>41626</v>
          </cell>
          <cell r="N1680">
            <v>41643.435266203698</v>
          </cell>
          <cell r="O1680">
            <v>41730</v>
          </cell>
          <cell r="P1680" t="str">
            <v>0503-044010  JASPER CTY/CARTERVILLE</v>
          </cell>
          <cell r="Q1680">
            <v>18581.8</v>
          </cell>
          <cell r="R1680">
            <v>3339</v>
          </cell>
        </row>
        <row r="1681">
          <cell r="A1681" t="str">
            <v>004270</v>
          </cell>
          <cell r="B1681" t="str">
            <v>LDC 2</v>
          </cell>
          <cell r="D1681" t="str">
            <v>no</v>
          </cell>
          <cell r="E1681" t="str">
            <v>20101132929</v>
          </cell>
          <cell r="F1681" t="str">
            <v>F0574</v>
          </cell>
          <cell r="G1681" t="str">
            <v>Office furniture &amp; equipment</v>
          </cell>
          <cell r="H1681" t="str">
            <v>Replace ID badge printer</v>
          </cell>
          <cell r="I1681" t="str">
            <v>posted to CPR</v>
          </cell>
          <cell r="J1681" t="str">
            <v>Replace ID badge printer: Kansas City CORP: Broadway</v>
          </cell>
          <cell r="K1681" t="str">
            <v>Approved by: Clarence Bussey on 08/22/2013,  Current printer is no longer supported by manufacturer and is not compatable with windows 7 operating system provided by I.T.</v>
          </cell>
          <cell r="L1681">
            <v>41514</v>
          </cell>
          <cell r="M1681">
            <v>41670</v>
          </cell>
          <cell r="N1681">
            <v>41677.509803240697</v>
          </cell>
          <cell r="P1681" t="str">
            <v>0101-043050  JACKSON CTY/KC</v>
          </cell>
          <cell r="Q1681">
            <v>11670.61</v>
          </cell>
          <cell r="R1681">
            <v>4.5</v>
          </cell>
        </row>
        <row r="1682">
          <cell r="A1682" t="str">
            <v>007699</v>
          </cell>
          <cell r="B1682" t="str">
            <v>LDC 2</v>
          </cell>
          <cell r="D1682" t="str">
            <v>no</v>
          </cell>
          <cell r="F1682" t="str">
            <v>F0951</v>
          </cell>
          <cell r="G1682" t="str">
            <v>Vehicle Purchase MGE</v>
          </cell>
          <cell r="H1682" t="str">
            <v>Purchase 10 Automobiles MGE</v>
          </cell>
          <cell r="I1682" t="str">
            <v>posted to CPR</v>
          </cell>
          <cell r="J1682" t="str">
            <v>Purchase 10 automobiles for MGE</v>
          </cell>
          <cell r="K1682" t="str">
            <v>In service 9-15 per Mike M - AMM 9-21-15</v>
          </cell>
          <cell r="L1682">
            <v>42277</v>
          </cell>
          <cell r="M1682">
            <v>42401</v>
          </cell>
          <cell r="N1682">
            <v>42467.490451388898</v>
          </cell>
          <cell r="O1682">
            <v>42248</v>
          </cell>
          <cell r="P1682" t="str">
            <v>0101-043050  JACKSON CTY/KC</v>
          </cell>
          <cell r="Q1682">
            <v>168660</v>
          </cell>
          <cell r="R1682">
            <v>10</v>
          </cell>
        </row>
        <row r="1683">
          <cell r="A1683" t="str">
            <v>004630</v>
          </cell>
          <cell r="B1683" t="str">
            <v>LDC 2</v>
          </cell>
          <cell r="D1683" t="str">
            <v>yes</v>
          </cell>
          <cell r="E1683" t="str">
            <v>20201132701</v>
          </cell>
          <cell r="F1683" t="str">
            <v>F0604</v>
          </cell>
          <cell r="G1683" t="str">
            <v>Main Replacement - ISRS (S)</v>
          </cell>
          <cell r="H1683" t="str">
            <v>31st &amp; Overton Repl PBS w 500'-2in</v>
          </cell>
          <cell r="I1683" t="str">
            <v>posted to CPR</v>
          </cell>
          <cell r="J1683" t="str">
            <v>31st &amp; Overton Repl PBS w 500'-2in PE main: Independence: 31st and Overton</v>
          </cell>
          <cell r="K1683" t="str">
            <v>Approved by: Ralph Janes on 05/17/2013,  Replace and abandon 2in PBS and PCS with 500' - 2in PE at 31st and Overton. The existing main is on the S-179 pressure system, fed by DRS 179 at Westport Rd and Blue Ridge Blvd. It is separated from the C-500 pressure system by a valve installed on WO# A2529 which is not on mapping and most likely inaccessible. We have two active main leaks in the area of this valve. We will abandon the valve as part of this main replacement and install a road crossing to prepare for future replacements east on 31st St. Main to abandon: 148' - 2in PCS (WO# 61-2020); 300' - 2in PBS (WO# A1826); 5' - 4in PBS (WO# A2631). Price per ft = $55.51  (ISRS)</v>
          </cell>
          <cell r="L1683">
            <v>41480</v>
          </cell>
          <cell r="M1683">
            <v>41564</v>
          </cell>
          <cell r="N1683">
            <v>41676.633391203701</v>
          </cell>
          <cell r="O1683">
            <v>41730</v>
          </cell>
          <cell r="P1683" t="str">
            <v>0201-043001  JACKSON CTY/INDEPENDENCE</v>
          </cell>
          <cell r="Q1683">
            <v>29486.95</v>
          </cell>
          <cell r="R1683">
            <v>2056.5</v>
          </cell>
        </row>
        <row r="1684">
          <cell r="A1684" t="str">
            <v>004193</v>
          </cell>
          <cell r="B1684" t="str">
            <v>LDC 2</v>
          </cell>
          <cell r="D1684" t="str">
            <v>no</v>
          </cell>
          <cell r="E1684" t="str">
            <v>20201121941</v>
          </cell>
          <cell r="F1684" t="str">
            <v>F0672</v>
          </cell>
          <cell r="G1684" t="str">
            <v>Main Repl - Sys Reinforcement (S)</v>
          </cell>
          <cell r="H1684" t="str">
            <v>Tie S-195 to C-500 Kiger and 25th S</v>
          </cell>
          <cell r="I1684" t="str">
            <v>cancelled</v>
          </cell>
          <cell r="J1684" t="str">
            <v>Tie S-195 to C-500 Kiger and 25th St: Independence: Kiger and 25th St CANCEL PER JON HARRELL 9-23-16</v>
          </cell>
          <cell r="K1684" t="str">
            <v>Approved by: Ralph Janes on 11/13/2012,  This work order is to be completed after the uprate of S-195 to the C-500 pressure system. S-195: MOP = MAOP = 5 psig; C-500: MOP = 30 psig MAOP = 44 psig. Tie the two pressure systems together with 3' of 2&amp;quot; thin film pipe. Abandon 4' - 3&amp;quot; PCS (WO# 66-7495) and 4' - 4&amp;quot; PCS (WO# 66-7497).</v>
          </cell>
          <cell r="N1684">
            <v>42638.484803240703</v>
          </cell>
          <cell r="P1684" t="str">
            <v>0201-043001  JACKSON CTY/INDEPENDENCE</v>
          </cell>
          <cell r="Q1684">
            <v>0</v>
          </cell>
          <cell r="R1684">
            <v>-11</v>
          </cell>
        </row>
        <row r="1685">
          <cell r="A1685" t="str">
            <v>004665</v>
          </cell>
          <cell r="B1685" t="str">
            <v>LDC 2</v>
          </cell>
          <cell r="D1685" t="str">
            <v>yes</v>
          </cell>
          <cell r="E1685" t="str">
            <v>20201132874</v>
          </cell>
          <cell r="F1685" t="str">
            <v>F0604</v>
          </cell>
          <cell r="G1685" t="str">
            <v>Main Replacement - ISRS (S)</v>
          </cell>
          <cell r="H1685" t="str">
            <v>Highland &amp; College Repl PBS w 330'-</v>
          </cell>
          <cell r="I1685" t="str">
            <v>posted to CPR</v>
          </cell>
          <cell r="J1685" t="str">
            <v>Highland &amp; College Repl PBS w 330'-2in PE main: Independence: Highland and College</v>
          </cell>
          <cell r="K1685" t="str">
            <v>Approved by: Ralph Janes on 08/06/2013,  Replace and abandon 2in PBS with 330' - 2in PE in Highland south of College. The existing main was found to have a split seam when Miller Pipeline was installing anodes. Four clamps were installed in a 7' span and the leak was cleared 8/1/13. Main to abandon: 312' - 2in PBS (WO# 22273); 21' - 2in PBS (WO# 25743). Price per ft = $41.71.  (ISRS)</v>
          </cell>
          <cell r="L1685">
            <v>41611</v>
          </cell>
          <cell r="M1685">
            <v>41696</v>
          </cell>
          <cell r="N1685">
            <v>41698.505277777796</v>
          </cell>
          <cell r="O1685">
            <v>41730</v>
          </cell>
          <cell r="P1685" t="str">
            <v>0201-043001  JACKSON CTY/INDEPENDENCE</v>
          </cell>
          <cell r="Q1685">
            <v>10428.5</v>
          </cell>
          <cell r="R1685">
            <v>1200</v>
          </cell>
        </row>
        <row r="1686">
          <cell r="A1686" t="str">
            <v>004551</v>
          </cell>
          <cell r="B1686" t="str">
            <v>LDC 2</v>
          </cell>
          <cell r="D1686" t="str">
            <v>no</v>
          </cell>
          <cell r="E1686" t="str">
            <v>20201143325</v>
          </cell>
          <cell r="F1686" t="str">
            <v>F0671</v>
          </cell>
          <cell r="G1686" t="str">
            <v>Tools, Instruments &amp; Equipment</v>
          </cell>
          <cell r="H1686" t="str">
            <v>Pur Camera &amp; Associated Equip</v>
          </cell>
          <cell r="I1686" t="str">
            <v>posted to CPR</v>
          </cell>
          <cell r="J1686" t="str">
            <v>Pur Camera &amp; Associated Equip: Independence: Independence Training Center</v>
          </cell>
          <cell r="K1686" t="str">
            <v>Approved by: Brian Dresel on 01/24/2014,  This camera will be used for accurately and thoroughly documenting the scene during fire investigations. It will also be used to produce high resolution jobsite photos that will be included with the new computer based training courses currently being created.</v>
          </cell>
          <cell r="L1686">
            <v>41661</v>
          </cell>
          <cell r="M1686">
            <v>41719</v>
          </cell>
          <cell r="N1686">
            <v>41719.593194444402</v>
          </cell>
          <cell r="P1686" t="str">
            <v>0201-043001  JACKSON CTY/INDEPENDENCE</v>
          </cell>
          <cell r="Q1686">
            <v>439</v>
          </cell>
          <cell r="R1686">
            <v>0</v>
          </cell>
        </row>
        <row r="1687">
          <cell r="A1687" t="str">
            <v>008203</v>
          </cell>
          <cell r="B1687" t="str">
            <v>LDC 2</v>
          </cell>
          <cell r="D1687" t="str">
            <v>no</v>
          </cell>
          <cell r="E1687" t="str">
            <v>20301155280</v>
          </cell>
          <cell r="F1687" t="str">
            <v>F0507</v>
          </cell>
          <cell r="G1687" t="str">
            <v>Rebuild Meter Install 2'' &amp; Lg (S)</v>
          </cell>
          <cell r="H1687" t="str">
            <v>Rebuild 3M Rotary Meter Set</v>
          </cell>
          <cell r="I1687" t="str">
            <v>posted to CPR</v>
          </cell>
          <cell r="J1687" t="str">
            <v>Rebuild 3M Rotary Meter Set: Warrensburg: Replace Meter &amp; Reg 2&amp;quot; &amp;  Larger - 3820/3830 (32-404)</v>
          </cell>
          <cell r="K1687" t="str">
            <v>Approved by: Kevin Driskell on 04/10/2015,  The RK 3000 meter at 400 Care Center Drive (premise# 71681, meter# 00025357, installed on WO# 75-4124) is due for change out on Time Limit.  Existing Load: 2,208 cfh.  Rebuild a 3M rotary meter setting and retire the existing meter.</v>
          </cell>
          <cell r="L1687">
            <v>42141</v>
          </cell>
          <cell r="M1687">
            <v>42248</v>
          </cell>
          <cell r="N1687">
            <v>42283.565231481502</v>
          </cell>
          <cell r="O1687">
            <v>42156</v>
          </cell>
          <cell r="P1687" t="str">
            <v>0301-046001  JOHNSON CTY/WARRENSBURG</v>
          </cell>
          <cell r="Q1687">
            <v>2951.02</v>
          </cell>
          <cell r="R1687">
            <v>-39.5</v>
          </cell>
        </row>
        <row r="1688">
          <cell r="A1688" t="str">
            <v>004891</v>
          </cell>
          <cell r="B1688" t="str">
            <v>LDC 2</v>
          </cell>
          <cell r="D1688" t="str">
            <v>no</v>
          </cell>
          <cell r="E1688" t="str">
            <v>20201143462</v>
          </cell>
          <cell r="F1688" t="str">
            <v>F0600</v>
          </cell>
          <cell r="G1688" t="str">
            <v>Station Rebuild &amp; Repl ISRS (N)</v>
          </cell>
          <cell r="H1688" t="str">
            <v>32nd &amp; Norton Retire DRS 82</v>
          </cell>
          <cell r="I1688" t="str">
            <v>posted to CPR</v>
          </cell>
          <cell r="J1688" t="str">
            <v>32nd &amp; Norton Retire DRS 82 : Independence: Rebuild District/TB Stations  3780/3790 (45-387)</v>
          </cell>
          <cell r="K1688" t="str">
            <v>Approved by: Ralph Janes on 04/03/2014,  Remove and retire DRS 82 (WO# 87-1495) as it will not be needed after the completion of WO# 14-3450. The 2 - 2in Rockwell 461-S regulators will be returned to stock.</v>
          </cell>
          <cell r="L1688">
            <v>41932</v>
          </cell>
          <cell r="M1688">
            <v>42248</v>
          </cell>
          <cell r="N1688">
            <v>42377.350590277798</v>
          </cell>
          <cell r="O1688">
            <v>42339</v>
          </cell>
          <cell r="P1688" t="str">
            <v>0201-043001  JACKSON CTY/INDEPENDENCE</v>
          </cell>
          <cell r="Q1688">
            <v>10884.59</v>
          </cell>
          <cell r="R1688">
            <v>13</v>
          </cell>
        </row>
        <row r="1689">
          <cell r="A1689" t="str">
            <v>007598</v>
          </cell>
          <cell r="B1689" t="str">
            <v>LDC 2</v>
          </cell>
          <cell r="D1689" t="str">
            <v>no</v>
          </cell>
          <cell r="E1689" t="str">
            <v>20301155139</v>
          </cell>
          <cell r="F1689" t="str">
            <v>F0554</v>
          </cell>
          <cell r="G1689" t="str">
            <v>Tools, Instruments &amp; Equipment (S)</v>
          </cell>
          <cell r="H1689" t="str">
            <v>Purchase Tools - 4 Pipe Locators</v>
          </cell>
          <cell r="I1689" t="str">
            <v>posted to CPR</v>
          </cell>
          <cell r="J1689" t="str">
            <v>Purchase Tools - Pipe Locator: Warrensburg: Purchase Tools, Instruments &amp; Equipment  3940 (37-366)</v>
          </cell>
          <cell r="K1689" t="str">
            <v>Approved by: Kevin Driskell on 02/04/2015,  Purchase 4 new Rycom 8879v3 pipe locators for use by Warrensburg I&amp;S Crews.  Retirement Unit 94667000 - Pipe Locator.  (The following Warrensburg locators will be retired:  1 - Rycom 8831 Work Order 20301901325,  3 - Fisher M-Scope TW6 Work Order 20301998643, 2 - Cablehound Work Order 20301013278, 3 - Fisher TW6 Work Order 20301013277, 2 - Utilocator LE833 Work Order 20301046822, 3 - Utilocator LE833 Work Order 20301048035, 2 - Fisher M-Scope Work Order 20301072126.)</v>
          </cell>
          <cell r="L1689">
            <v>41852</v>
          </cell>
          <cell r="M1689">
            <v>42491</v>
          </cell>
          <cell r="N1689">
            <v>42527.511562500003</v>
          </cell>
          <cell r="O1689">
            <v>42401</v>
          </cell>
          <cell r="P1689" t="str">
            <v>0301-046001  JOHNSON CTY/WARRENSBURG</v>
          </cell>
          <cell r="Q1689">
            <v>35367.199999999997</v>
          </cell>
          <cell r="R1689">
            <v>20</v>
          </cell>
        </row>
        <row r="1690">
          <cell r="A1690" t="str">
            <v>008736</v>
          </cell>
          <cell r="B1690" t="str">
            <v>LDC 2</v>
          </cell>
          <cell r="D1690" t="str">
            <v>no</v>
          </cell>
          <cell r="E1690" t="str">
            <v>20305155397</v>
          </cell>
          <cell r="F1690" t="str">
            <v>F0606</v>
          </cell>
          <cell r="G1690" t="str">
            <v>Station rebuild &amp; replacement</v>
          </cell>
          <cell r="H1690" t="str">
            <v>Retire DRS 6 in Sweet Springs</v>
          </cell>
          <cell r="I1690" t="str">
            <v>posted to CPR</v>
          </cell>
          <cell r="J1690" t="str">
            <v>Retire DRS 6 in Sweet Springs: Sweet Springs: Rebuild District/TB Stations  3780/3790 (45-387)</v>
          </cell>
          <cell r="K1690" t="str">
            <v>Approved by: Kevin Driskell on 06/16/2015,  Remove and retire DRS 6 (WO# 93-1937) as it will not be needed after the completion of WO# 15-5159.  The 2 - 2" Fisher 133 regulators will be junked.</v>
          </cell>
          <cell r="L1690">
            <v>42278</v>
          </cell>
          <cell r="M1690">
            <v>42278</v>
          </cell>
          <cell r="N1690">
            <v>42405.451203703698</v>
          </cell>
          <cell r="P1690" t="str">
            <v>0305-086001  SALINE CTY/SWEET SPRINGS</v>
          </cell>
          <cell r="Q1690">
            <v>3737.57</v>
          </cell>
          <cell r="R1690">
            <v>7</v>
          </cell>
        </row>
        <row r="1691">
          <cell r="A1691" t="str">
            <v>008734</v>
          </cell>
          <cell r="B1691" t="str">
            <v>LDC 2</v>
          </cell>
          <cell r="D1691" t="str">
            <v>no</v>
          </cell>
          <cell r="E1691" t="str">
            <v>20305155395</v>
          </cell>
          <cell r="F1691" t="str">
            <v>F0606</v>
          </cell>
          <cell r="G1691" t="str">
            <v>Station rebuild &amp; replacement</v>
          </cell>
          <cell r="H1691" t="str">
            <v>Retire DRS 2 in Sweet Springs</v>
          </cell>
          <cell r="I1691" t="str">
            <v>posted to CPR</v>
          </cell>
          <cell r="J1691" t="str">
            <v>Retire DRS 2 in Sweet Springs: Sweet Springs: Rebuild District/TB Stations  3780/3790 (45-387)</v>
          </cell>
          <cell r="K1691" t="str">
            <v>Approved by: Kevin Driskell on 06/16/2015,  Remove and retire DRS 2 (WO# 90-1305) as it will not be needed after the completion of WO# 15-5188.  The 2-2" Rockwell 441S regulators will be junked.</v>
          </cell>
          <cell r="L1691">
            <v>42278</v>
          </cell>
          <cell r="M1691">
            <v>42278</v>
          </cell>
          <cell r="N1691">
            <v>42405.451180555603</v>
          </cell>
          <cell r="P1691" t="str">
            <v>0305-086001  SALINE CTY/SWEET SPRINGS</v>
          </cell>
          <cell r="Q1691">
            <v>6081.56</v>
          </cell>
          <cell r="R1691">
            <v>11</v>
          </cell>
        </row>
        <row r="1692">
          <cell r="A1692" t="str">
            <v>005611</v>
          </cell>
          <cell r="B1692" t="str">
            <v>LDC 2</v>
          </cell>
          <cell r="D1692" t="str">
            <v>no</v>
          </cell>
          <cell r="E1692" t="str">
            <v>20324143647</v>
          </cell>
          <cell r="F1692" t="str">
            <v>F0676</v>
          </cell>
          <cell r="G1692" t="str">
            <v>Meter &amp; regulator settings - 2" &amp; l</v>
          </cell>
          <cell r="H1692" t="str">
            <v>Pilot Grove Co-op 16M Meter Setting</v>
          </cell>
          <cell r="I1692" t="str">
            <v>posted to CPR</v>
          </cell>
          <cell r="J1692" t="str">
            <v>Pilot Grove Co-op 16M Meter Setting: Pilot Grove: New Meter &amp; Reg Settings - 2in &amp; Larger 3820/3830 (33-382)</v>
          </cell>
          <cell r="K1692" t="str">
            <v>Approved by: Steve Holcomb on 06/27/2014,  Rebuild and retire the existing 7M Rotary meter setting by constructing a new 16M Rotary meter setting at main line pressure with an operator/monitor set at 10 psig delivery pressure. The Co-op is quadrupling their load from 7,410 cfh to 28,708 cfh.  Existing 2" pe service line to be replaced with 4" pe on work order 14-3653.  Existing 2" pe main to be replaced with 4" pe on work order 14-3615.</v>
          </cell>
          <cell r="L1692">
            <v>41891</v>
          </cell>
          <cell r="M1692">
            <v>41912</v>
          </cell>
          <cell r="N1692">
            <v>42013.370219907403</v>
          </cell>
          <cell r="O1692">
            <v>41883</v>
          </cell>
          <cell r="P1692" t="str">
            <v>0324-023001  COOPER CTY/PILOT GROVE</v>
          </cell>
          <cell r="Q1692">
            <v>11527.93</v>
          </cell>
          <cell r="R1692">
            <v>-94.5</v>
          </cell>
        </row>
        <row r="1693">
          <cell r="A1693" t="str">
            <v>003810</v>
          </cell>
          <cell r="B1693" t="str">
            <v>LDC 2</v>
          </cell>
          <cell r="D1693" t="str">
            <v>yes</v>
          </cell>
          <cell r="E1693" t="str">
            <v>20801133175</v>
          </cell>
          <cell r="F1693" t="str">
            <v>F0592</v>
          </cell>
          <cell r="G1693" t="str">
            <v>Replace bare steel main - safety re</v>
          </cell>
          <cell r="H1693" t="str">
            <v>11th &amp; Cleveland Repl PBS w 220'-2i</v>
          </cell>
          <cell r="I1693" t="str">
            <v>posted to CPR</v>
          </cell>
          <cell r="J1693" t="str">
            <v>11th &amp; Cleveland Repl PBS w 220'-2in PE Main: Monett: 11th St North of Cleveland</v>
          </cell>
          <cell r="K1693" t="str">
            <v>Approved by: Galen Shoemaker on 12/02/2013,  To lay 220ft 2in Plastic Main to replace badly corroded and leaking Protected Bare Steel Main.  Will retire 7ft of 2in PBS from WO 38023 and 78ft of 2in PBS from WO 31180 and 105ft of 2in PBS from WO 25209 and 30ft of 2in PBS from WO 21327. MAOP=44# MOP=40# SYSTEM=C-1</v>
          </cell>
          <cell r="L1693">
            <v>41604</v>
          </cell>
          <cell r="M1693">
            <v>41653</v>
          </cell>
          <cell r="N1693">
            <v>41654.604039351798</v>
          </cell>
          <cell r="O1693">
            <v>41730</v>
          </cell>
          <cell r="P1693" t="str">
            <v>0801-005001  BARRY CTY/MONETT</v>
          </cell>
          <cell r="Q1693">
            <v>7848.68</v>
          </cell>
          <cell r="R1693">
            <v>679</v>
          </cell>
        </row>
        <row r="1694">
          <cell r="A1694" t="str">
            <v>006980</v>
          </cell>
          <cell r="B1694" t="str">
            <v>LDC 2</v>
          </cell>
          <cell r="D1694" t="str">
            <v>no</v>
          </cell>
          <cell r="E1694" t="str">
            <v>20803143987</v>
          </cell>
          <cell r="F1694" t="str">
            <v>F0656</v>
          </cell>
          <cell r="G1694" t="str">
            <v>Meter &amp; regulator settings - 2" &amp; l</v>
          </cell>
          <cell r="H1694" t="str">
            <v>Install 2 Inch Prefab Setting 3M</v>
          </cell>
          <cell r="I1694" t="str">
            <v>posted to CPR</v>
          </cell>
          <cell r="J1694" t="str">
            <v>Install 2 Inch Prefab Setting For 3M Roots Meter: Sarcoxie: New Meter &amp; Reg Settings - 2in &amp; Larger 3820/3830 (33-382)</v>
          </cell>
          <cell r="K1694" t="str">
            <v>Approved by: Galen Shoemaker on 11/20/2014,  To install 2" prefab setting for 3M Roots meter. Meter will serve the new middle school safe room and cafeteria. Total connected demand is 2,890 cfh. Will use an Itron 2" flanged B34 IMRV regulator with green spring and 3/8" orifice to deliver 7" water column. Based on the economic evaluation, there will be no charge to the customer. System S-002  MAOP=15 PSIG  MOP=15 PSIG</v>
          </cell>
          <cell r="L1694">
            <v>41988</v>
          </cell>
          <cell r="M1694">
            <v>42248</v>
          </cell>
          <cell r="N1694">
            <v>42274.592696759297</v>
          </cell>
          <cell r="O1694">
            <v>42005</v>
          </cell>
          <cell r="P1694" t="str">
            <v>0803-044035  JASPER CTY/SARCOXIE</v>
          </cell>
          <cell r="Q1694">
            <v>2707.75</v>
          </cell>
          <cell r="R1694">
            <v>2</v>
          </cell>
        </row>
        <row r="1695">
          <cell r="A1695" t="str">
            <v>008634</v>
          </cell>
          <cell r="B1695" t="str">
            <v>LDC 2</v>
          </cell>
          <cell r="D1695" t="str">
            <v>no</v>
          </cell>
          <cell r="E1695" t="str">
            <v>20806155364</v>
          </cell>
          <cell r="F1695" t="str">
            <v>F0523</v>
          </cell>
          <cell r="G1695" t="str">
            <v>New Main Extensions (SW)</v>
          </cell>
          <cell r="H1695" t="str">
            <v>Convert 1 1/4 in Plastic Service to</v>
          </cell>
          <cell r="I1695" t="str">
            <v>in service</v>
          </cell>
          <cell r="J1695" t="str">
            <v>Convert 1 1/4 in Plastic Service to Main: Neosho: New Main Extension - Company Crews  3760 (33-305)</v>
          </cell>
          <cell r="K1695" t="str">
            <v>Approved by: Michael Fornelli on 05/20/2015,  To convert 128 ft of 1 1/4in Plastic Service (BWO), that currently serves 3 branched services, to Main. Will pressure test to 100# and complete 3 new service cards to show new service and main information. MAOP=42# MOP=42# SYSTEM=C-1 TEST=100#</v>
          </cell>
          <cell r="L1695">
            <v>42237</v>
          </cell>
          <cell r="O1695">
            <v>42217</v>
          </cell>
          <cell r="P1695" t="str">
            <v>0806-066010  NEWTON CTY/NEOSHO</v>
          </cell>
          <cell r="Q1695">
            <v>988.7</v>
          </cell>
          <cell r="R1695">
            <v>23</v>
          </cell>
        </row>
        <row r="1696">
          <cell r="A1696" t="str">
            <v>004181</v>
          </cell>
          <cell r="B1696" t="str">
            <v>LDC 2</v>
          </cell>
          <cell r="D1696" t="str">
            <v>no</v>
          </cell>
          <cell r="E1696" t="str">
            <v>20806121809</v>
          </cell>
          <cell r="F1696" t="str">
            <v>F0639</v>
          </cell>
          <cell r="G1696" t="str">
            <v>EGM Equip-1st Time Installation</v>
          </cell>
          <cell r="H1696" t="str">
            <v>EGM - Missouri Sugars, LLC</v>
          </cell>
          <cell r="I1696" t="str">
            <v>posted to CPR</v>
          </cell>
          <cell r="J1696" t="str">
            <v>EGM - Missouri Sugars, LLC: Neosho: 5040 Doniphan Drive, Neosho, Mo. 64850</v>
          </cell>
          <cell r="K1696" t="str">
            <v>Approved by: Rob Kitterman on 10/12/2012,  Install Mercury MiniMax-AT-T on Roots 7M meter no 08265847 to monitor daily gas usage of this transportation customer. Customer will reimburse company actual cost for EGM installation not to exceed $5,445.00, which should be coded to account 1072. ATTENTION: Plant &amp; Property Accounting, EGM work order, turn off A&amp;G indicator.</v>
          </cell>
          <cell r="L1696">
            <v>41548</v>
          </cell>
          <cell r="M1696">
            <v>41575</v>
          </cell>
          <cell r="N1696">
            <v>41576.418611111098</v>
          </cell>
          <cell r="P1696" t="str">
            <v>0806-066010  NEWTON CTY/NEOSHO</v>
          </cell>
          <cell r="Q1696">
            <v>0</v>
          </cell>
          <cell r="R1696">
            <v>4</v>
          </cell>
        </row>
        <row r="1697">
          <cell r="A1697" t="str">
            <v>004198</v>
          </cell>
          <cell r="B1697" t="str">
            <v>LDC 2</v>
          </cell>
          <cell r="D1697" t="str">
            <v>yes</v>
          </cell>
          <cell r="E1697" t="str">
            <v>20812143289</v>
          </cell>
          <cell r="F1697" t="str">
            <v>F0592</v>
          </cell>
          <cell r="G1697" t="str">
            <v>Replace bare steel main - safety re</v>
          </cell>
          <cell r="H1697" t="str">
            <v>Elm &amp; Eagon Repl PBS w 1295'-4;505'</v>
          </cell>
          <cell r="I1697" t="str">
            <v>posted to CPR</v>
          </cell>
          <cell r="J1697" t="str">
            <v>Elm &amp; Eagon Repl PBS w 1295'-4;505'-2in PE main: Republic: Elm and Eagon</v>
          </cell>
          <cell r="K1697" t="str">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ell>
          <cell r="L1697">
            <v>41754</v>
          </cell>
          <cell r="M1697">
            <v>41820</v>
          </cell>
          <cell r="N1697">
            <v>41858.746666666702</v>
          </cell>
          <cell r="O1697">
            <v>41760</v>
          </cell>
          <cell r="P1697" t="str">
            <v>0812-034002  GREENE CTY/REPUBLIC</v>
          </cell>
          <cell r="Q1697">
            <v>78672.460000000006</v>
          </cell>
          <cell r="R1697">
            <v>-2618.5</v>
          </cell>
        </row>
        <row r="1698">
          <cell r="A1698" t="str">
            <v>007170</v>
          </cell>
          <cell r="B1698" t="str">
            <v>LDC 2</v>
          </cell>
          <cell r="D1698" t="str">
            <v>no</v>
          </cell>
          <cell r="E1698" t="str">
            <v>20813143960</v>
          </cell>
          <cell r="F1698" t="str">
            <v>F0523</v>
          </cell>
          <cell r="G1698" t="str">
            <v>New Main Extensions (SW)</v>
          </cell>
          <cell r="H1698" t="str">
            <v>Lay 140 ft 2 in Plastic Main</v>
          </cell>
          <cell r="I1698" t="str">
            <v>posted to CPR</v>
          </cell>
          <cell r="J1698" t="str">
            <v>Lay 140 ft 2 in Plastic Main: Billings: New Main Extension - Company Crews  3760 (33-305)</v>
          </cell>
          <cell r="K1698" t="str">
            <v>Approved by: Galen Shoemaker on 11/16/2014,  Lay 140 ft of 2 in Plastic Main to serve one new residential customer at 111 W. Howard. Customer will pay 715.00 refundable deposit after one allowance. MOP=20# MAOP=20# SYSTEM=S-1 TEST=100#</v>
          </cell>
          <cell r="L1698">
            <v>42030</v>
          </cell>
          <cell r="M1698">
            <v>42248</v>
          </cell>
          <cell r="N1698">
            <v>42285.4215162037</v>
          </cell>
          <cell r="O1698">
            <v>42005</v>
          </cell>
          <cell r="P1698" t="str">
            <v>0813-019001  CHRISTIAN CTY/BILLING</v>
          </cell>
          <cell r="Q1698">
            <v>3531.32</v>
          </cell>
          <cell r="R1698">
            <v>-210</v>
          </cell>
        </row>
        <row r="1699">
          <cell r="A1699" t="str">
            <v>005293</v>
          </cell>
          <cell r="B1699" t="str">
            <v>LDC 2</v>
          </cell>
          <cell r="D1699" t="str">
            <v>no</v>
          </cell>
          <cell r="E1699" t="str">
            <v>20816143566</v>
          </cell>
          <cell r="F1699" t="str">
            <v>F0633</v>
          </cell>
          <cell r="G1699" t="str">
            <v>Main Repl - Sys Reinforcement (SW)</v>
          </cell>
          <cell r="H1699" t="str">
            <v>Reinforce So End of Nixa Town Syste</v>
          </cell>
          <cell r="I1699" t="str">
            <v>posted to CPR</v>
          </cell>
          <cell r="J1699" t="str">
            <v>Reinforce So End of Nixa Town System Ph 1: Nixa: Replace Steel &amp; Plastic Main - System Reinforcement (43-419)</v>
          </cell>
          <cell r="K1699" t="str">
            <v>Approved by: Steve Holcomb on 05/14/2014,  *MODOT PERMIT REQUIRED* Reinforce the south end of the Nixa town system by creating a loop with 5915' - 6" PE due to extreme lenth of system that is currently a dead end feed and low pressures during the winter. This main will lay in 25' gas easement where possible (at least one house will require a smaller easement due to its proximity to the existing right-of-way). This will set us up to easily continue to the east in the near future and install a new town border station off of the high pressure, creating a new feed into the Nixa town system. Project Location: Rosedale Rd and Main St; Pressure System: C-1; MOP: 44 psig; MAOP: 44 psig; Design: 58 psig; Test: 100 psig; $56.59/ft</v>
          </cell>
          <cell r="L1699">
            <v>42129</v>
          </cell>
          <cell r="M1699">
            <v>42216</v>
          </cell>
          <cell r="N1699">
            <v>42284.721423611103</v>
          </cell>
          <cell r="O1699">
            <v>42156</v>
          </cell>
          <cell r="P1699" t="str">
            <v>0816-019004  CHRISTIAN CTY/NIXA</v>
          </cell>
          <cell r="Q1699">
            <v>538742.28</v>
          </cell>
          <cell r="R1699">
            <v>13174.35</v>
          </cell>
        </row>
        <row r="1700">
          <cell r="A1700" t="str">
            <v>009234</v>
          </cell>
          <cell r="B1700" t="str">
            <v>LDC 2</v>
          </cell>
          <cell r="D1700" t="str">
            <v>no</v>
          </cell>
          <cell r="E1700" t="str">
            <v>20902155482</v>
          </cell>
          <cell r="F1700" t="str">
            <v>F0602</v>
          </cell>
          <cell r="G1700" t="str">
            <v>New business</v>
          </cell>
          <cell r="H1700" t="str">
            <v>Kevin &amp;Nadine Eudaly Conv Main Ext</v>
          </cell>
          <cell r="I1700" t="str">
            <v>posted to CPR</v>
          </cell>
          <cell r="J1700" t="str">
            <v>Kevin and Nadine Eudaly Conversion: Raytown: New Main Extension - Contractor Crews  3760 (33-380)</v>
          </cell>
          <cell r="K1700" t="str">
            <v>Approved by: Kevin Driskell on 08/03/2015,  Install 280' - 2" pe main extension to serve one new residential customer (all electric home conversion).  Note:  725' - 1" pe service line to be installed on BWO.</v>
          </cell>
          <cell r="L1700">
            <v>42306</v>
          </cell>
          <cell r="M1700">
            <v>42461</v>
          </cell>
          <cell r="N1700">
            <v>42496.561273148101</v>
          </cell>
          <cell r="O1700">
            <v>42309</v>
          </cell>
          <cell r="P1700" t="str">
            <v>0902-043025  JACKSON CTY/RAYTOWN</v>
          </cell>
          <cell r="Q1700">
            <v>10064.99</v>
          </cell>
          <cell r="R1700">
            <v>-499</v>
          </cell>
        </row>
        <row r="1701">
          <cell r="A1701" t="str">
            <v>006851</v>
          </cell>
          <cell r="B1701" t="str">
            <v>LDC 2</v>
          </cell>
          <cell r="D1701" t="str">
            <v>yes</v>
          </cell>
          <cell r="E1701" t="str">
            <v>20902143857</v>
          </cell>
          <cell r="F1701" t="str">
            <v>F0604</v>
          </cell>
          <cell r="G1701" t="str">
            <v>Main Replacement - ISRS (S)</v>
          </cell>
          <cell r="H1701" t="str">
            <v>Replace 4in PBS &amp; 2in PCS m</v>
          </cell>
          <cell r="I1701" t="str">
            <v>posted to CPR</v>
          </cell>
          <cell r="J1701" t="str">
            <v>Replace 4in PBS &amp; 2in; PCS main: Raytown: Replace Bare Steel Main - 3760 Safety Related (34-394)</v>
          </cell>
          <cell r="K1701" t="str">
            <v>Approved by: Steve Holcomb on 11/05/2014,  Replace and Abandon 833'- 4" PBS (A3422), 163' 4" PBS (34871), 310' 2" PBS (43795), 130' -2" PCS (48153), 8' 2" PCS (002194), 250'- 2" PCS (55964),  and 530' 2" PCS (610105).
Main currently runs on 57 Terr, Farley Ave, Kentucky Ave, 58th St, and Hunter Ave. (ISRS)</v>
          </cell>
          <cell r="L1701">
            <v>42069</v>
          </cell>
          <cell r="M1701">
            <v>42094</v>
          </cell>
          <cell r="N1701">
            <v>42193.495231481502</v>
          </cell>
          <cell r="O1701">
            <v>42064</v>
          </cell>
          <cell r="P1701" t="str">
            <v>0902-043025  JACKSON CTY/RAYTOWN</v>
          </cell>
          <cell r="Q1701">
            <v>72102.67</v>
          </cell>
          <cell r="R1701">
            <v>-2611</v>
          </cell>
        </row>
        <row r="1702">
          <cell r="A1702" t="str">
            <v>004194</v>
          </cell>
          <cell r="B1702" t="str">
            <v>LDC 2</v>
          </cell>
          <cell r="D1702" t="str">
            <v>yes</v>
          </cell>
          <cell r="E1702" t="str">
            <v>20904132843</v>
          </cell>
          <cell r="F1702" t="str">
            <v>F0580</v>
          </cell>
          <cell r="G1702" t="str">
            <v>Replace steel &amp; plastic main</v>
          </cell>
          <cell r="H1702" t="str">
            <v>136th &amp; Belmead Repl GV w 6'-2in PC</v>
          </cell>
          <cell r="I1702" t="str">
            <v>posted to CPR</v>
          </cell>
          <cell r="J1702" t="str">
            <v>136th &amp; Belmead Repl GV w 6'-2in PCS: Grandview: 136th and Belmead</v>
          </cell>
          <cell r="K1702" t="str">
            <v>Approved by: Ralph Janes on 07/25/2013,  Replace and abandon a 6' span of 2in PCS that includes a 2in gate valve and dresser that are leaking (4' - WO# A8948B; 2' - WO# A9348B) with 6' of 2in thin film.</v>
          </cell>
          <cell r="L1702">
            <v>41480</v>
          </cell>
          <cell r="M1702">
            <v>41600</v>
          </cell>
          <cell r="N1702">
            <v>41603.384710648097</v>
          </cell>
          <cell r="P1702" t="str">
            <v>0904-043030  JACKSON CTY/GRANDVIEW</v>
          </cell>
          <cell r="Q1702">
            <v>2708.53</v>
          </cell>
          <cell r="R1702">
            <v>42</v>
          </cell>
        </row>
        <row r="1703">
          <cell r="A1703" t="str">
            <v>004005</v>
          </cell>
          <cell r="B1703" t="str">
            <v>LDC 2</v>
          </cell>
          <cell r="D1703" t="str">
            <v>yes</v>
          </cell>
          <cell r="E1703" t="str">
            <v>20909132791</v>
          </cell>
          <cell r="F1703" t="str">
            <v>F0604</v>
          </cell>
          <cell r="G1703" t="str">
            <v>Main Replacement - ISRS (S)</v>
          </cell>
          <cell r="H1703" t="str">
            <v>Lexington St Repl PBS w 1460'-4&amp;70'</v>
          </cell>
          <cell r="I1703" t="str">
            <v>posted to CPR</v>
          </cell>
          <cell r="J1703" t="str">
            <v>Lexington St Repl PBS w 1460'-4&amp;70'-2in PE Main: Pleasant Hill: Lexington St from Delaware to Crest</v>
          </cell>
          <cell r="K1703" t="str">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ell>
          <cell r="L1703">
            <v>41554</v>
          </cell>
          <cell r="M1703">
            <v>41638</v>
          </cell>
          <cell r="N1703">
            <v>41643.4352083333</v>
          </cell>
          <cell r="O1703">
            <v>41730</v>
          </cell>
          <cell r="P1703" t="str">
            <v>0909-016012  CASS CTY/PLEASANT HILL</v>
          </cell>
          <cell r="Q1703">
            <v>83001.460000000006</v>
          </cell>
          <cell r="R1703">
            <v>5328</v>
          </cell>
        </row>
        <row r="1704">
          <cell r="A1704" t="str">
            <v>009218</v>
          </cell>
          <cell r="B1704" t="str">
            <v>LDC 2</v>
          </cell>
          <cell r="D1704" t="str">
            <v>yes</v>
          </cell>
          <cell r="F1704" t="str">
            <v>F0513</v>
          </cell>
          <cell r="G1704" t="str">
            <v>BWO Service Line Repl - ISRS (S)</v>
          </cell>
          <cell r="H1704" t="str">
            <v>BWO-Replace Svc w/ Steel (South)</v>
          </cell>
          <cell r="I1704" t="str">
            <v>open</v>
          </cell>
          <cell r="J1704" t="str">
            <v>BWO-Replace Service with Steel (South Region)</v>
          </cell>
          <cell r="K1704" t="str">
            <v>BWO-Replace Service with Steel (South Region)</v>
          </cell>
          <cell r="O1704">
            <v>42339</v>
          </cell>
          <cell r="P1704" t="str">
            <v>0901-043021  JACKSON CTY/LEE'S SUMMIT OFFIC</v>
          </cell>
          <cell r="Q1704">
            <v>23626.17</v>
          </cell>
          <cell r="R1704">
            <v>905</v>
          </cell>
        </row>
        <row r="1705">
          <cell r="A1705" t="str">
            <v>004984</v>
          </cell>
          <cell r="B1705" t="str">
            <v>LDC 2</v>
          </cell>
          <cell r="D1705" t="str">
            <v>no</v>
          </cell>
          <cell r="E1705" t="str">
            <v>20901143484</v>
          </cell>
          <cell r="F1705" t="str">
            <v>F0554</v>
          </cell>
          <cell r="G1705" t="str">
            <v>Tools, Instruments &amp; Equipment (S)</v>
          </cell>
          <cell r="H1705" t="str">
            <v>Pur Tools - 5 Sensit Gold CGI</v>
          </cell>
          <cell r="I1705" t="str">
            <v>posted to CPR</v>
          </cell>
          <cell r="J1705" t="str">
            <v>Pur Tools - 5 Sensit Gold CGI: Lees Summit: Purchase Tools, Instruments &amp; Equipment  3940 (37-366)</v>
          </cell>
          <cell r="K1705" t="str">
            <v>Approved by: Ralph Janes on 04/11/2014,  Purchase 5 - Sensit Gold CGIs for the Lee's Summit I&amp;S Department.  Retirement Unit 94370000 - Indicator - Gas.  The following units are to be retired:  6 - J-W Comb Gas Indicator (Work Order 20901899450)  6 - J-W Comb Gas Indicator (Work Order 20901873179)</v>
          </cell>
          <cell r="L1705">
            <v>41764</v>
          </cell>
          <cell r="M1705">
            <v>41821</v>
          </cell>
          <cell r="N1705">
            <v>41858.7476157407</v>
          </cell>
          <cell r="O1705">
            <v>41791</v>
          </cell>
          <cell r="P1705" t="str">
            <v>0901-043021  JACKSON CTY/LEE'S SUMMIT OFFIC</v>
          </cell>
          <cell r="Q1705">
            <v>15965.27</v>
          </cell>
          <cell r="R1705">
            <v>17</v>
          </cell>
        </row>
        <row r="1706">
          <cell r="A1706" t="str">
            <v>003979</v>
          </cell>
          <cell r="B1706" t="str">
            <v>LDC 2</v>
          </cell>
          <cell r="D1706" t="str">
            <v>yes</v>
          </cell>
          <cell r="E1706" t="str">
            <v>20901050362</v>
          </cell>
          <cell r="F1706" t="str">
            <v>F0627</v>
          </cell>
          <cell r="G1706" t="str">
            <v>SLRP - block by block - company cre</v>
          </cell>
          <cell r="H1706" t="str">
            <v>BWO SERVICE LINE REPL BLOCK COMPANY</v>
          </cell>
          <cell r="I1706" t="str">
            <v>open</v>
          </cell>
          <cell r="J1706" t="str">
            <v>BWO SERVICE LINE REPL BLOCK COMPANY</v>
          </cell>
          <cell r="K1706" t="str">
            <v>Service/Yard Line Replacement (SLRP): Company Crew.  Block by Block - Planned replacement of all unprotected steel or copper in a single block.  (Lees Summitt - East Region)</v>
          </cell>
          <cell r="O1706">
            <v>42036</v>
          </cell>
          <cell r="P1706" t="str">
            <v>0901-043021  JACKSON CTY/LEE'S SUMMIT OFFIC</v>
          </cell>
          <cell r="Q1706">
            <v>235.39</v>
          </cell>
          <cell r="R1706">
            <v>-35</v>
          </cell>
        </row>
        <row r="1707">
          <cell r="A1707" t="str">
            <v>003931</v>
          </cell>
          <cell r="B1707" t="str">
            <v>LDC 2</v>
          </cell>
          <cell r="D1707" t="str">
            <v>no</v>
          </cell>
          <cell r="E1707" t="str">
            <v>20901050373</v>
          </cell>
          <cell r="F1707" t="str">
            <v>F0535</v>
          </cell>
          <cell r="G1707" t="str">
            <v>BWO Mtr/Reg Repl - SLRP ISRS (S)</v>
          </cell>
          <cell r="H1707" t="str">
            <v>BWO-Repl Mtr Sets (SLRP) - South</v>
          </cell>
          <cell r="I1707" t="str">
            <v>open</v>
          </cell>
          <cell r="J1707" t="str">
            <v>BWO-Replace Meter Sets (SLRP Related) - South Region</v>
          </cell>
          <cell r="K1707" t="str">
            <v>Service/Yard Line Replacement (SLRP): Company or Contract Crew.  Rebuild meter/regulator setting (exclude regulator) - South Region</v>
          </cell>
          <cell r="O1707">
            <v>41730</v>
          </cell>
          <cell r="P1707" t="str">
            <v>0901-043021  JACKSON CTY/LEE'S SUMMIT OFFIC</v>
          </cell>
          <cell r="Q1707">
            <v>1013263.13</v>
          </cell>
          <cell r="R1707">
            <v>34156.26</v>
          </cell>
        </row>
        <row r="1708">
          <cell r="A1708" t="str">
            <v>004044</v>
          </cell>
          <cell r="B1708" t="str">
            <v>LDC 2</v>
          </cell>
          <cell r="D1708" t="str">
            <v>yes</v>
          </cell>
          <cell r="E1708" t="str">
            <v>20513133102</v>
          </cell>
          <cell r="F1708" t="str">
            <v>F0575</v>
          </cell>
          <cell r="G1708" t="str">
            <v>Replace steel &amp; plastic main</v>
          </cell>
          <cell r="H1708" t="str">
            <v>Main &amp; Hillcrest Repl PCS w 180'-2i</v>
          </cell>
          <cell r="I1708" t="str">
            <v>posted to CPR</v>
          </cell>
          <cell r="J1708" t="str">
            <v>Main &amp; Hillcrest Repl PCS w 180'-2in PE: Carl Junction: Main St N of Hillcrest Rd</v>
          </cell>
          <cell r="K1708" t="str">
            <v>Approved by: Galen Shoemaker on 10/28/2013,  Abandon 178' of 2in PCS (WO# 695908) due to cathodic protection issues with isolated coated steel and replace with 180' of 2in PE. Project Location: Main St N of Hillcrest Rd. Pressure System: S-1. MOP: 1.75 PSIG. MAOP: 1.75 PSIG. Design: 66 PSIG. Test: 100 PSIG. Price Per Foot: $40.05.</v>
          </cell>
          <cell r="L1708">
            <v>41631</v>
          </cell>
          <cell r="M1708">
            <v>41698</v>
          </cell>
          <cell r="N1708">
            <v>41704.711666666699</v>
          </cell>
          <cell r="O1708">
            <v>41730</v>
          </cell>
          <cell r="P1708" t="str">
            <v>0513-044020  JASPER CTY/CARL JUNCTION</v>
          </cell>
          <cell r="Q1708">
            <v>4609.76</v>
          </cell>
          <cell r="R1708">
            <v>886</v>
          </cell>
        </row>
        <row r="1709">
          <cell r="A1709" t="str">
            <v>004178</v>
          </cell>
          <cell r="B1709" t="str">
            <v>LDC 2</v>
          </cell>
          <cell r="D1709" t="str">
            <v>no</v>
          </cell>
          <cell r="E1709" t="str">
            <v>20515132641</v>
          </cell>
          <cell r="F1709" t="str">
            <v>F0611</v>
          </cell>
          <cell r="G1709" t="str">
            <v>Meter &amp; regulator replacements - 2"</v>
          </cell>
          <cell r="H1709" t="str">
            <v>Middle School Inst 16M Meter Set</v>
          </cell>
          <cell r="I1709" t="str">
            <v>posted to CPR</v>
          </cell>
          <cell r="J1709" t="str">
            <v>Middle School Inst 16M Meter Set: Duquesne: 4592 E 20th East Middle School</v>
          </cell>
          <cell r="K1709" t="str">
            <v>Approved by: Galen Shoemaker on 04/23/2013,  WILL INSTALL PREFAB SETTING TO SERVE THE NEW EAST MIDDLE SCHOOL AFTER DESTRUCTION OF THE OLD SCHOOL BY 2011 TORNADO. WILL USE 2in CL34-1 FLANGED REGULATOR WITH 1/2in ORIFICE, BROWN CLOSING SPRING AND RED/WHITE PILOT SPRING TO DELIVER 2 PSIG TO THE CUSTOMER. WILL USE 1in FISHER 289H RELIEF SET AT 4 PSIG FOR OVERPRESSURE PROTECTION. THERE WILL BE NO CHARGE TO THE CUSTOMER. SYSTEM 0501-C-1  MAOP=58 PSIG  MOP=58 PSIG</v>
          </cell>
          <cell r="L1709">
            <v>41465</v>
          </cell>
          <cell r="M1709">
            <v>41575</v>
          </cell>
          <cell r="N1709">
            <v>41576.418518518498</v>
          </cell>
          <cell r="P1709" t="str">
            <v>0515-044022  JASPER CTY/VILLAGE OF DUQUESNE</v>
          </cell>
          <cell r="Q1709">
            <v>0</v>
          </cell>
          <cell r="R1709">
            <v>9</v>
          </cell>
        </row>
        <row r="1710">
          <cell r="A1710" t="str">
            <v>006657</v>
          </cell>
          <cell r="B1710" t="str">
            <v>LDC 2</v>
          </cell>
          <cell r="D1710" t="str">
            <v>no</v>
          </cell>
          <cell r="E1710" t="str">
            <v>20601143879</v>
          </cell>
          <cell r="F1710" t="str">
            <v>F0496</v>
          </cell>
          <cell r="G1710" t="str">
            <v>New main extensions - less than 200</v>
          </cell>
          <cell r="H1710" t="str">
            <v>Lay 475ft of 4in PE Devin and Liam</v>
          </cell>
          <cell r="I1710" t="str">
            <v>posted to CPR</v>
          </cell>
          <cell r="J1710" t="str">
            <v>Lay 475ft of 4in PE Devin and Liam: Carthage: New Main Extension - Company Crews  3760 (33-305)</v>
          </cell>
          <cell r="K1710" t="str">
            <v>Approved by: Galen Shoemaker on 10/14/2014,  Install 475' - 4" PE to provide service to one new customer. Customer could be served with a 75' main extension, but Company elects to lay the remaining 400' to create a loop in the C-3 Pressure System. Project Location: Devin and Liam; Pressure System: C-3; MOP: 35 psig; MAOP: 35 psig; Design: 58 psig; Test: 100 psig; $34.85/ft</v>
          </cell>
          <cell r="L1710">
            <v>41984</v>
          </cell>
          <cell r="M1710">
            <v>42063</v>
          </cell>
          <cell r="N1710">
            <v>42256.671307870398</v>
          </cell>
          <cell r="O1710">
            <v>42005</v>
          </cell>
          <cell r="P1710" t="str">
            <v>0601-044025  JASPER CTY/CARTHAGE</v>
          </cell>
          <cell r="Q1710">
            <v>36277.4</v>
          </cell>
          <cell r="R1710">
            <v>-1448</v>
          </cell>
        </row>
        <row r="1711">
          <cell r="A1711" t="str">
            <v>006197</v>
          </cell>
          <cell r="B1711" t="str">
            <v>LDC 2</v>
          </cell>
          <cell r="D1711" t="str">
            <v>no</v>
          </cell>
          <cell r="E1711" t="str">
            <v>20601143771</v>
          </cell>
          <cell r="F1711" t="str">
            <v>F0496</v>
          </cell>
          <cell r="G1711" t="str">
            <v>New main extensions - less than 200</v>
          </cell>
          <cell r="H1711" t="str">
            <v>120ft 4in PE Gas Main Extension</v>
          </cell>
          <cell r="I1711" t="str">
            <v>posted to CPR</v>
          </cell>
          <cell r="J1711" t="str">
            <v>120ft 4in PE Gas Main Extension: Carthage: New Main Extension - Company Crews  3760 (33-305)</v>
          </cell>
          <cell r="K1711" t="str">
            <v>Approved by: Galen Shoemaker on 08/28/2014,  Install 120' of 4" PE for new service. No customer contribution due to customer could be served with 75' main extension, but company elects to lay 120' to square everything up and allow for easy connection for future extensions.    Project Location: Connor Dr N of Liam St.  System: C-1.  MOP: 35 PSIG.  MAOP: 35 PSIG.  Design: 58 PSIG.  Test: 100 PSIG.  Price Per Foot: $16.84.</v>
          </cell>
          <cell r="L1711">
            <v>41860</v>
          </cell>
          <cell r="M1711">
            <v>42063</v>
          </cell>
          <cell r="N1711">
            <v>42160.553495370397</v>
          </cell>
          <cell r="O1711">
            <v>41883</v>
          </cell>
          <cell r="P1711" t="str">
            <v>0601-044025  JASPER CTY/CARTHAGE</v>
          </cell>
          <cell r="Q1711">
            <v>495.74</v>
          </cell>
          <cell r="R1711">
            <v>-124</v>
          </cell>
        </row>
        <row r="1712">
          <cell r="A1712" t="str">
            <v>003873</v>
          </cell>
          <cell r="B1712" t="str">
            <v>LDC 2</v>
          </cell>
          <cell r="D1712" t="str">
            <v>no</v>
          </cell>
          <cell r="E1712" t="str">
            <v>20602132890</v>
          </cell>
          <cell r="F1712" t="str">
            <v>F0536</v>
          </cell>
          <cell r="G1712" t="str">
            <v>Services -  2" &amp; larger</v>
          </cell>
          <cell r="H1712" t="str">
            <v>Jasper Stone Lay 1700'-6in PE Servi</v>
          </cell>
          <cell r="I1712" t="str">
            <v>posted to CPR</v>
          </cell>
          <cell r="J1712" t="str">
            <v>Jasper Stone Lay 1700'-6in PE Service: Jasper: Jasper Stone</v>
          </cell>
          <cell r="K1712" t="str">
            <v>Approved by: Steve Lindsey on 09/04/2013,  Lay 1700' - 6in PE service to Jasper Stone. Customer Contribution for this Work Order is collected on WO#: 13-2889;  Project Location: HWY K East of I49; Pressure System: S-1; MOP: 15 psig; MAOP: 20 psig; Design: 58 psig; Test: 100 psig;</v>
          </cell>
          <cell r="L1712">
            <v>41584</v>
          </cell>
          <cell r="M1712">
            <v>41670</v>
          </cell>
          <cell r="N1712">
            <v>41677.509849536997</v>
          </cell>
          <cell r="P1712" t="str">
            <v>0602-044033  JASPER CTY/JASPER</v>
          </cell>
          <cell r="Q1712">
            <v>0</v>
          </cell>
          <cell r="R1712">
            <v>3633</v>
          </cell>
        </row>
        <row r="1713">
          <cell r="A1713" t="str">
            <v>006799</v>
          </cell>
          <cell r="B1713" t="str">
            <v>LDC 2</v>
          </cell>
          <cell r="D1713" t="str">
            <v>no</v>
          </cell>
          <cell r="E1713" t="str">
            <v>21001143910</v>
          </cell>
          <cell r="F1713" t="str">
            <v>F0665</v>
          </cell>
          <cell r="G1713" t="str">
            <v>Replace steel &amp; plastic main</v>
          </cell>
          <cell r="H1713" t="str">
            <v>Abandon 95ft of 2in PE main</v>
          </cell>
          <cell r="I1713" t="str">
            <v>posted to CPR</v>
          </cell>
          <cell r="J1713" t="str">
            <v>Abandon 95ft of 2in PE main: 016-016: Replace Coated Steel &amp; Plastic Main - 3760 (34-396)</v>
          </cell>
          <cell r="K1713" t="str">
            <v>Approved by: Gary Williams on 11/03/2014,  Abandon 95ft of 2" PE main due to houses being torn down and parking lots are going in. Gas Main no longer needed.</v>
          </cell>
          <cell r="L1713">
            <v>42011</v>
          </cell>
          <cell r="M1713">
            <v>42248</v>
          </cell>
          <cell r="N1713">
            <v>42284.722708333298</v>
          </cell>
          <cell r="P1713" t="str">
            <v>1001-010001  ST. JOSEPH CITY/BUCHANAN</v>
          </cell>
          <cell r="Q1713">
            <v>3309.52</v>
          </cell>
          <cell r="R1713">
            <v>101</v>
          </cell>
        </row>
        <row r="1714">
          <cell r="A1714" t="str">
            <v>004294</v>
          </cell>
          <cell r="B1714" t="str">
            <v>LDC 2</v>
          </cell>
          <cell r="D1714" t="str">
            <v>no</v>
          </cell>
          <cell r="E1714" t="str">
            <v>20901050304</v>
          </cell>
          <cell r="F1714" t="str">
            <v>F0482</v>
          </cell>
          <cell r="G1714" t="str">
            <v>BWO House Regulators 2'' &amp; Sm (S)</v>
          </cell>
          <cell r="H1714" t="str">
            <v>BWO-House Regs-Stores Iss-South Reg</v>
          </cell>
          <cell r="I1714" t="str">
            <v>open</v>
          </cell>
          <cell r="J1714" t="str">
            <v>BWO - House Regulators - Stores Issues - South Region</v>
          </cell>
          <cell r="K1714" t="str">
            <v>Changed to Non-Payroll class code 6-5-15 - should not charge labor here - AMM</v>
          </cell>
          <cell r="O1714">
            <v>41730</v>
          </cell>
          <cell r="P1714" t="str">
            <v>0901-043021  JACKSON CTY/LEE'S SUMMIT OFFIC</v>
          </cell>
          <cell r="Q1714">
            <v>1874015.09</v>
          </cell>
          <cell r="R1714">
            <v>94550</v>
          </cell>
        </row>
        <row r="1715">
          <cell r="A1715" t="str">
            <v>008791</v>
          </cell>
          <cell r="B1715" t="str">
            <v>LDC 2</v>
          </cell>
          <cell r="D1715" t="str">
            <v>yes</v>
          </cell>
          <cell r="E1715" t="str">
            <v>20513155372</v>
          </cell>
          <cell r="F1715" t="str">
            <v>F0664</v>
          </cell>
          <cell r="G1715" t="str">
            <v>Street &amp; Hwy Relocates ISRS (SW)</v>
          </cell>
          <cell r="H1715" t="str">
            <v>Carl Junction Addition for R1 HP CJ</v>
          </cell>
          <cell r="I1715" t="str">
            <v>posted to CPR</v>
          </cell>
          <cell r="J1715" t="str">
            <v>Carl Junction Addition for R1 HP Main Replacement: Carl Junction: Relocate for Street &amp; Highway-Public Improvements (44-388)  No additional bill/refund to be sent.</v>
          </cell>
          <cell r="K1715" t="str">
            <v>Approved by: Joe Hampton on 06/23/2015,  Reroute 188'of 2" PCS, 559' of 6" PCS, and 280' of 4" PE on System S-1 with 1350' of 4" PE due to proposed Carl Junction R-1 addtion.  One meter relocation is required as part of these improvements and to be completed on seperate WO# Division: 05 Town: 13 Sector: 0262 Pressure System: S-1 MAOP:60 psig MOP: 40 psig Design: 66 psig Test: 100 psig  2 Services 0 Leaks ISRS $60.93/ft</v>
          </cell>
          <cell r="L1715">
            <v>42216</v>
          </cell>
          <cell r="M1715">
            <v>42491</v>
          </cell>
          <cell r="N1715">
            <v>42528.472835648099</v>
          </cell>
          <cell r="O1715">
            <v>42278</v>
          </cell>
          <cell r="P1715" t="str">
            <v>0513-044020  JASPER CTY/CARL JUNCTION</v>
          </cell>
          <cell r="Q1715">
            <v>42953.87</v>
          </cell>
          <cell r="R1715">
            <v>-2879</v>
          </cell>
        </row>
        <row r="1716">
          <cell r="A1716" t="str">
            <v>004032</v>
          </cell>
          <cell r="B1716" t="str">
            <v>LDC 2</v>
          </cell>
          <cell r="D1716" t="str">
            <v>no</v>
          </cell>
          <cell r="E1716" t="str">
            <v>21001143384</v>
          </cell>
          <cell r="F1716" t="str">
            <v>F0560</v>
          </cell>
          <cell r="G1716" t="str">
            <v>Tools, instruments &amp; equipment</v>
          </cell>
          <cell r="H1716" t="str">
            <v>PUR 2 TRAK-IT 3A-EX/TC</v>
          </cell>
          <cell r="I1716" t="str">
            <v>posted to CPR</v>
          </cell>
          <cell r="J1716" t="str">
            <v>PUR 2 TRAK-IT 3A-EX/TC: St Joseph: 402 CEDAR</v>
          </cell>
          <cell r="K1716" t="str">
            <v>Approved by: Gary Williams on 02/28/2014,  PURCHASE 2 TRAK-IT 3A EX/TC (920-00000-50) to be use by LEAK SURVEY FOR DETECTING BOTH LEL &amp; % VOLUME AND CO. Groebner &amp; Assoc only vendor that carries this instrument. These are to replace the non-repairable Bacharach CGI and obsolete ones LEAK SURVEY using now.</v>
          </cell>
          <cell r="L1716">
            <v>41758</v>
          </cell>
          <cell r="M1716">
            <v>41852</v>
          </cell>
          <cell r="N1716">
            <v>41953.446562500001</v>
          </cell>
          <cell r="O1716">
            <v>41821</v>
          </cell>
          <cell r="P1716" t="str">
            <v>1001-010001  ST. JOSEPH CITY/BUCHANAN</v>
          </cell>
          <cell r="Q1716">
            <v>5035.2299999999996</v>
          </cell>
          <cell r="R1716">
            <v>4</v>
          </cell>
        </row>
        <row r="1717">
          <cell r="A1717" t="str">
            <v>004496</v>
          </cell>
          <cell r="B1717" t="str">
            <v>LDC 2</v>
          </cell>
          <cell r="D1717" t="str">
            <v>yes</v>
          </cell>
          <cell r="E1717" t="str">
            <v>21201050372</v>
          </cell>
          <cell r="F1717" t="str">
            <v>F0568</v>
          </cell>
          <cell r="G1717" t="str">
            <v>SLRP - block by block - contract</v>
          </cell>
          <cell r="H1717" t="str">
            <v>BWO SERVICE LINE REPL BLOCK CONTRAC</v>
          </cell>
          <cell r="I1717" t="str">
            <v>posted to CPR</v>
          </cell>
          <cell r="J1717" t="str">
            <v>BWO SERVICE LINE REPL BLOCK CONTRACT</v>
          </cell>
          <cell r="K1717" t="str">
            <v>Project Type:B</v>
          </cell>
          <cell r="L1717">
            <v>41717</v>
          </cell>
          <cell r="M1717">
            <v>41717</v>
          </cell>
          <cell r="N1717">
            <v>41717</v>
          </cell>
          <cell r="P1717" t="str">
            <v>1201-020042  CLAY CTY/KANSAS CITY (N PLANT)</v>
          </cell>
          <cell r="Q1717">
            <v>6984.68</v>
          </cell>
          <cell r="R1717">
            <v>56</v>
          </cell>
        </row>
        <row r="1718">
          <cell r="A1718" t="str">
            <v>004068</v>
          </cell>
          <cell r="B1718" t="str">
            <v>LDC 2</v>
          </cell>
          <cell r="D1718" t="str">
            <v>no</v>
          </cell>
          <cell r="E1718" t="str">
            <v>21215132472</v>
          </cell>
          <cell r="F1718" t="str">
            <v>F0498</v>
          </cell>
          <cell r="G1718" t="str">
            <v>Other relocates</v>
          </cell>
          <cell r="H1718" t="str">
            <v>Regency Dr Reloc PE w 846'-6;500'-2</v>
          </cell>
          <cell r="I1718" t="str">
            <v>posted to CPR</v>
          </cell>
          <cell r="J1718" t="str">
            <v>Regency Dr Reloc PE w 846'-6;500'-2in PE main: Kearney: REGENCY DR &amp; PLATTE CLAY WAY Shoppes at Kearney</v>
          </cell>
          <cell r="K1718" t="str">
            <v>Approved by: Steve Holcomb on 07/22/2013,  RELOCATE 846'-6in PE DUE TO EXCAVATION OF 3 NEW ENTRANCE DRIVES TO SHOPPES AT KEARNEY ALONG SOUTH SIDE OF 92 HWY.  RELOCATE 500'-2in PE-(88-3850) DUE TO REALIGNMENT OF REGENCY DR &amp; PLATTE CLAY WAY TO IMPROVE ENTRANCE TO NEW SHOPPING CENTER.  TWO WAY FEED.  CONTACT PATRICIA KOEB AT 816-472-3485 TWO WEEKS PRIOR TO START OF PROJECT. RON COWGER'S SURVEY CREW AT AGC ENGINEERS TO COMPLETE SURVEY &amp; STAKE.  ELEVATIONS TO BE STAKED AT NEW ENTRANCE DRIVES.  2in PE GAS MAIN ALONG EAST SIDE OF PLATTE CLAY WAY WILL HUG ROAD RIGHT-OF-WAY.  MUST HAVE MODOT PERMIT# KC-130916051 ON HAND.  COST PER FOOT=$60.00  DEVELOPER TO CONTRIBUTE $80,772.20 BEFORE START OF PROJECT.</v>
          </cell>
          <cell r="L1718">
            <v>41548</v>
          </cell>
          <cell r="M1718">
            <v>41597</v>
          </cell>
          <cell r="N1718">
            <v>41643.435347222199</v>
          </cell>
          <cell r="P1718" t="str">
            <v>1215-020023  CLAY CTY/KEARNEY</v>
          </cell>
          <cell r="Q1718">
            <v>18052.79</v>
          </cell>
          <cell r="R1718">
            <v>4718</v>
          </cell>
        </row>
        <row r="1719">
          <cell r="A1719" t="str">
            <v>006852</v>
          </cell>
          <cell r="B1719" t="str">
            <v>LDC 2</v>
          </cell>
          <cell r="D1719" t="str">
            <v>no</v>
          </cell>
          <cell r="E1719" t="str">
            <v>20201143943</v>
          </cell>
          <cell r="F1719" t="str">
            <v>F0602</v>
          </cell>
          <cell r="G1719" t="str">
            <v>New business</v>
          </cell>
          <cell r="H1719" t="str">
            <v>Lot 25 KC Ind Blvd 2in PE Main Ext</v>
          </cell>
          <cell r="I1719" t="str">
            <v>posted to CPR</v>
          </cell>
          <cell r="J1719" t="str">
            <v>Lot 25 KC Ind Blvd 2in PE Main Ext: Grain Valley: New Main Extension - Contractor Crews  3760 (33-380)</v>
          </cell>
          <cell r="K1719" t="str">
            <v>Approved by: Ralph Janes on 11/05/2014,  Install 455' - 2" pe main to serve two new commercial customers.  Note:  Rotary meter to be installed on parent work order 14-3937.</v>
          </cell>
          <cell r="L1719">
            <v>41996</v>
          </cell>
          <cell r="M1719">
            <v>42035</v>
          </cell>
          <cell r="N1719">
            <v>42131.408090277801</v>
          </cell>
          <cell r="O1719">
            <v>42005</v>
          </cell>
          <cell r="P1719" t="str">
            <v>0925-043035  JACKSON CTY/GRAIN VALLEY</v>
          </cell>
          <cell r="Q1719">
            <v>24182.51</v>
          </cell>
          <cell r="R1719">
            <v>-1178</v>
          </cell>
        </row>
        <row r="1720">
          <cell r="A1720" t="str">
            <v>006080</v>
          </cell>
          <cell r="B1720" t="str">
            <v>LDC 2</v>
          </cell>
          <cell r="D1720" t="str">
            <v>yes</v>
          </cell>
          <cell r="E1720" t="str">
            <v>20925143749</v>
          </cell>
          <cell r="F1720" t="str">
            <v>F0580</v>
          </cell>
          <cell r="G1720" t="str">
            <v>Replace steel &amp; plastic main</v>
          </cell>
          <cell r="H1720" t="str">
            <v>Install 2in PE distribution main Je</v>
          </cell>
          <cell r="I1720" t="str">
            <v>posted to CPR</v>
          </cell>
          <cell r="J1720" t="str">
            <v>Install 2in PE distribution main Jefferson : Grain Valley: Replace Coated Steel &amp; Plastic Main - 3760 (34-396)Lees Summit</v>
          </cell>
          <cell r="K1720" t="str">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ell>
          <cell r="L1720">
            <v>41973</v>
          </cell>
          <cell r="M1720">
            <v>41973</v>
          </cell>
          <cell r="N1720">
            <v>42071.592071759304</v>
          </cell>
          <cell r="O1720">
            <v>41944</v>
          </cell>
          <cell r="P1720" t="str">
            <v>0925-043035  JACKSON CTY/GRAIN VALLEY</v>
          </cell>
          <cell r="Q1720">
            <v>3483.93</v>
          </cell>
          <cell r="R1720">
            <v>-1743.5</v>
          </cell>
        </row>
        <row r="1721">
          <cell r="A1721" t="str">
            <v>007177</v>
          </cell>
          <cell r="B1721" t="str">
            <v>LDC 2</v>
          </cell>
          <cell r="D1721" t="str">
            <v>no</v>
          </cell>
          <cell r="E1721" t="str">
            <v>20101144028</v>
          </cell>
          <cell r="F1721" t="str">
            <v>F0577</v>
          </cell>
          <cell r="G1721" t="str">
            <v>ERT Purchases</v>
          </cell>
          <cell r="H1721" t="str">
            <v>Purchase 10000 Erts June 2015</v>
          </cell>
          <cell r="I1721" t="str">
            <v>posted to CPR</v>
          </cell>
          <cell r="J1721" t="str">
            <v>Purchase 10000 Erts June 2015: Kansas City CORP: Purchase ERT (Electronic Reading Transmitter)  3971 (32-312)</v>
          </cell>
          <cell r="K1721" t="str">
            <v>Approved by: Steve Holcomb on 12/08/2014,  Ert Change Out Program.
Complete per 4-15 meter report - AMM</v>
          </cell>
          <cell r="L1721">
            <v>42095</v>
          </cell>
          <cell r="M1721">
            <v>42156</v>
          </cell>
          <cell r="N1721">
            <v>42185.728194444397</v>
          </cell>
          <cell r="O1721">
            <v>42125</v>
          </cell>
          <cell r="P1721" t="str">
            <v>1904-043050  JACKSON CTY/KC</v>
          </cell>
          <cell r="Q1721">
            <v>445560</v>
          </cell>
          <cell r="R1721">
            <v>10000</v>
          </cell>
        </row>
        <row r="1722">
          <cell r="A1722" t="str">
            <v>800081</v>
          </cell>
          <cell r="B1722" t="str">
            <v>LDC 2</v>
          </cell>
          <cell r="D1722" t="str">
            <v>no</v>
          </cell>
          <cell r="F1722" t="str">
            <v>F0647</v>
          </cell>
          <cell r="G1722" t="str">
            <v>New Main Extensions (N)</v>
          </cell>
          <cell r="H1722" t="str">
            <v>Links at Staley Farms - Plat 1</v>
          </cell>
          <cell r="I1722" t="str">
            <v>in service</v>
          </cell>
          <cell r="J1722" t="str">
            <v>Install 2,653' of 2" PE main to serve 35 new residential customers - Links at Staley Farms Plat 1.</v>
          </cell>
          <cell r="L1722">
            <v>42570</v>
          </cell>
          <cell r="O1722">
            <v>42583</v>
          </cell>
          <cell r="P1722" t="str">
            <v>1271-020036  CLAY CTY/KANSAS CITY</v>
          </cell>
          <cell r="Q1722">
            <v>23446.86</v>
          </cell>
          <cell r="R1722">
            <v>-5677</v>
          </cell>
        </row>
        <row r="1723">
          <cell r="A1723" t="str">
            <v>003837</v>
          </cell>
          <cell r="B1723" t="str">
            <v>LDC 2</v>
          </cell>
          <cell r="D1723" t="str">
            <v>no</v>
          </cell>
          <cell r="E1723" t="str">
            <v>21271132349</v>
          </cell>
          <cell r="F1723" t="str">
            <v>F0610</v>
          </cell>
          <cell r="G1723" t="str">
            <v>New business</v>
          </cell>
          <cell r="H1723" t="str">
            <v>NE 111th &amp; N Wabash Lay 1180'-2&amp;820</v>
          </cell>
          <cell r="I1723" t="str">
            <v>posted to CPR</v>
          </cell>
          <cell r="J1723" t="str">
            <v>NE 111th &amp; N Wabash Lay 1180'-2&amp;820'-4in PE main: Kansas City-Clay Co: NE 111TH ST &amp; N WABASH AVE Staley Hills-5th</v>
          </cell>
          <cell r="K1723" t="str">
            <v>Approved by: Gary Williams on 01/31/2013,  LAYING 820'-4inPE &amp; 1,180'-2in PE TO SERVE 42 LOTS IN SUBDIVISION.  LOTS 136-177.  2,000' x $8.50=$17,000.00  COST PER FOOT=$16.05</v>
          </cell>
          <cell r="L1723">
            <v>41467</v>
          </cell>
          <cell r="M1723">
            <v>41626</v>
          </cell>
          <cell r="N1723">
            <v>41630.722129629597</v>
          </cell>
          <cell r="P1723" t="str">
            <v>1271-020036  CLAY CTY/KANSAS CITY</v>
          </cell>
          <cell r="Q1723">
            <v>13422.43</v>
          </cell>
          <cell r="R1723">
            <v>4096</v>
          </cell>
        </row>
        <row r="1724">
          <cell r="A1724" t="str">
            <v>800151</v>
          </cell>
          <cell r="B1724" t="str">
            <v>LDC 2</v>
          </cell>
          <cell r="C1724" t="str">
            <v>01 - Cast Iron Strategic Replacement</v>
          </cell>
          <cell r="D1724" t="str">
            <v>yes</v>
          </cell>
          <cell r="F1724" t="str">
            <v>F0599</v>
          </cell>
          <cell r="G1724" t="str">
            <v>Main Replacement - ISRS (N)</v>
          </cell>
          <cell r="H1724" t="str">
            <v>Repl w 7128F 2-4P Hwy71 &amp; Gregory K</v>
          </cell>
          <cell r="I1724" t="str">
            <v>open</v>
          </cell>
          <cell r="J1724" t="str">
            <v>Install ~5464 ft of 2 in PL IP main, and ~1664 ft of 4 in PL IP main between Gregory Blvd and 73rd St and Agnes Ave and College Ave. Hwy 71 &amp; Gregory Phase K</v>
          </cell>
          <cell r="K1724" t="str">
            <v>Abandon ~1715 ft of 12 in CI LP main, ~4372 ft of 6 in CI LP main, ~287 ft of 4 in CI LP main, ~62 ft of 6 in PL LP main, ~61 ft of 4 in PL LP main, ~56 ft of 2 in PL LP main, ~166 ft of 6 in ST LP main, and 902 ft of 4 in ST LP main at above locations. Uprate ~600 ft of 6 in PL LP main to IP main on Agnes Ave. Total Service Tie-over = 106; Total Service Replacement = 36; Total Service Upgrade = 19.</v>
          </cell>
          <cell r="P1724" t="str">
            <v>0401-043050  JACKSON CTY/KC</v>
          </cell>
          <cell r="Q1724">
            <v>349765.21</v>
          </cell>
          <cell r="R1724">
            <v>-7251</v>
          </cell>
        </row>
        <row r="1725">
          <cell r="A1725" t="str">
            <v>800501</v>
          </cell>
          <cell r="B1725" t="str">
            <v>LDC 2</v>
          </cell>
          <cell r="C1725" t="str">
            <v>01 - Cast Iron Strategic Replacement</v>
          </cell>
          <cell r="D1725" t="str">
            <v>yes</v>
          </cell>
          <cell r="F1725" t="str">
            <v>F0599</v>
          </cell>
          <cell r="G1725" t="str">
            <v>Main Replacement - ISRS (N)</v>
          </cell>
          <cell r="H1725" t="str">
            <v>Repl w 4890F 2P 63rd &amp; 55th</v>
          </cell>
          <cell r="I1725" t="str">
            <v>open</v>
          </cell>
          <cell r="J1725" t="str">
            <v>Install 4,890 Ft of 2 in PL IP Main on Harrison St and Rockhill Rd in between 59th ST and 63rd St.</v>
          </cell>
          <cell r="K1725" t="str">
            <v>Abandon 1,832 Ft of 4” CI LP Main, 2,590 Ft of 6” CI LP Main, 322 Ft of 12” CI LP Main, 305 Ft of 16” CI LP Main, 40 Ft of 8” PL LP Main, 18 Ft of 12” Coated ST Main, 109 Ft of 3” Bare ST Main, and 474 Ft of 6” Bare ST Main at the above location. Total Service Tie-over = 128; Total Service Replacement = 40; Total Service Abandoned = 6; 19 Service Replacement was switched to service tie-over due to SLRP Replacement after work order approval.  (Total Service Tie-over = 147; Total Service Replacement = 21).  This main is being abandoned as part of FY16 Bare Steel Replacement Program.</v>
          </cell>
          <cell r="P1725" t="str">
            <v>0401-043050  JACKSON CTY/KC</v>
          </cell>
          <cell r="Q1725">
            <v>0</v>
          </cell>
          <cell r="R1725">
            <v>5960</v>
          </cell>
        </row>
        <row r="1726">
          <cell r="A1726" t="str">
            <v>800463</v>
          </cell>
          <cell r="B1726" t="str">
            <v>LDC 2</v>
          </cell>
          <cell r="C1726" t="str">
            <v>08 - Cast Iron or Bare Steel Replacement - Leaks</v>
          </cell>
          <cell r="D1726" t="str">
            <v>yes</v>
          </cell>
          <cell r="F1726" t="str">
            <v>F0599</v>
          </cell>
          <cell r="G1726" t="str">
            <v>Main Replacement - ISRS (N)</v>
          </cell>
          <cell r="H1726" t="str">
            <v>Repl w 2144F 2-4-6-8P 13 &amp; Virginia</v>
          </cell>
          <cell r="I1726" t="str">
            <v>open</v>
          </cell>
          <cell r="J1726" t="str">
            <v>Install ~10 ft of 2 in PL LP main, ~480 ft of 4 in PL LP main, ~666 ft of 6 in PL LP main, ~988 ft of 8 in PL LP main on Virginia, Paseo, and 14th Street.</v>
          </cell>
          <cell r="K1726" t="str">
            <v>Abandon ~141 ft of 16 in CI LP main, ~825 ft of 16 in ST LP main, ~476 ft of 4 in CI LP main, and 685 ft of 6 in CI LP main at above locations.  Service tie-over = 9; Service replace = 1. This main is being replaced due to a leak on the 16 in bare steel gas line.</v>
          </cell>
          <cell r="P1726" t="str">
            <v>0401-043050  JACKSON CTY/KC</v>
          </cell>
          <cell r="Q1726">
            <v>4238.7</v>
          </cell>
          <cell r="R1726">
            <v>-411</v>
          </cell>
        </row>
        <row r="1727">
          <cell r="A1727" t="str">
            <v>800627</v>
          </cell>
          <cell r="B1727" t="str">
            <v>LDC 2</v>
          </cell>
          <cell r="C1727" t="str">
            <v>02 - Cast Iron AOR Replacement</v>
          </cell>
          <cell r="D1727" t="str">
            <v>yes</v>
          </cell>
          <cell r="F1727" t="str">
            <v>F0599</v>
          </cell>
          <cell r="G1727" t="str">
            <v>Main Replacement - ISRS (N)</v>
          </cell>
          <cell r="H1727" t="str">
            <v>Repl 40F 4P AOR 2026 48th Ter</v>
          </cell>
          <cell r="I1727" t="str">
            <v>open</v>
          </cell>
          <cell r="J1727" t="str">
            <v>Install ~40 ft of 4 in PL LP main due to angle of repose at 2026 48th Ter.  Abandon ~40 ft of 4 in CI LP main at above address.  Total Service Tie-over = 2.</v>
          </cell>
          <cell r="K1727" t="str">
            <v>This main is being abandoned at part of FY16 Cast Iron Replacement Program.  This has a compliance date of 10-27-2016.</v>
          </cell>
          <cell r="P1727" t="str">
            <v>0401-043050  JACKSON CTY/KC</v>
          </cell>
          <cell r="Q1727">
            <v>21264.77</v>
          </cell>
          <cell r="R1727">
            <v>-526</v>
          </cell>
        </row>
        <row r="1728">
          <cell r="A1728" t="str">
            <v>800648</v>
          </cell>
          <cell r="B1728" t="str">
            <v>LDC 2</v>
          </cell>
          <cell r="C1728" t="str">
            <v>07 - Cast Iron or Bare Steel Replacement - Corrosion</v>
          </cell>
          <cell r="D1728" t="str">
            <v>yes</v>
          </cell>
          <cell r="F1728" t="str">
            <v>F0599</v>
          </cell>
          <cell r="G1728" t="str">
            <v>Main Replacement - ISRS (N)</v>
          </cell>
          <cell r="H1728" t="str">
            <v>Repl w/ 947F 4P 53rd Ter &amp; Ditman</v>
          </cell>
          <cell r="I1728" t="str">
            <v>in service</v>
          </cell>
          <cell r="J1728" t="str">
            <v>Install 947 ft of 4 in PL IP main on 53rd Ter &amp; Ditman.  Abandon 6 ft of 2 in PL IP main, 6 ft of 4 in PL IP main, 564 ft of 4 in ST IP main, and 337 ft of 2 in ST IP main. </v>
          </cell>
          <cell r="K1728" t="str">
            <v>This main is being replaced as part of FY16 Bare Steel Replacement Program.</v>
          </cell>
          <cell r="L1728">
            <v>42668</v>
          </cell>
          <cell r="O1728">
            <v>42644</v>
          </cell>
          <cell r="P1728" t="str">
            <v>0401-043050  JACKSON CTY/KC</v>
          </cell>
          <cell r="Q1728">
            <v>49659.21</v>
          </cell>
          <cell r="R1728">
            <v>-1074</v>
          </cell>
        </row>
        <row r="1729">
          <cell r="A1729" t="str">
            <v>800520</v>
          </cell>
          <cell r="B1729" t="str">
            <v>LDC 2</v>
          </cell>
          <cell r="D1729" t="str">
            <v>no</v>
          </cell>
          <cell r="F1729" t="str">
            <v>F0547</v>
          </cell>
          <cell r="G1729" t="str">
            <v>Street &amp; Highway Relocates ISRS (N)</v>
          </cell>
          <cell r="H1729" t="str">
            <v>Aband 439F 4S Harvesters CJ</v>
          </cell>
          <cell r="I1729" t="str">
            <v>in service</v>
          </cell>
          <cell r="J1729" t="str">
            <v> Abandon 439 ft of 4 in LP ST and 10 ft of 4 in IP PL main and installed 473 ft of 4 in IP PE service at Harvesters (Topping Ave &amp; 39th).  Reimbursable - see attached F130.</v>
          </cell>
          <cell r="L1729">
            <v>42674</v>
          </cell>
          <cell r="O1729">
            <v>42644</v>
          </cell>
          <cell r="P1729" t="str">
            <v>0401-043050  JACKSON CTY/KC</v>
          </cell>
          <cell r="Q1729">
            <v>10045.219999999999</v>
          </cell>
          <cell r="R1729">
            <v>-584</v>
          </cell>
        </row>
        <row r="1730">
          <cell r="A1730" t="str">
            <v>800552</v>
          </cell>
          <cell r="B1730" t="str">
            <v>LDC 2</v>
          </cell>
          <cell r="C1730" t="str">
            <v>09 - Facility Relocation due to Civic Improvement</v>
          </cell>
          <cell r="D1730" t="str">
            <v>yes</v>
          </cell>
          <cell r="F1730" t="str">
            <v>F0547</v>
          </cell>
          <cell r="G1730" t="str">
            <v>Street &amp; Highway Relocates ISRS (N)</v>
          </cell>
          <cell r="H1730" t="str">
            <v>Rel w/ 165F 2P 72nd St KC MO Sewer</v>
          </cell>
          <cell r="I1730" t="str">
            <v>open</v>
          </cell>
          <cell r="J1730" t="str">
            <v>Install 165F 2P &amp; 20F 4P on 72nd Street.  Abandon 160F 2P and 15F 4P at same location. Project is non-reimbursble. KCMO Sewer Separation 099.</v>
          </cell>
          <cell r="P1730" t="str">
            <v>0401-043050  JACKSON CTY/KC</v>
          </cell>
          <cell r="Q1730">
            <v>0</v>
          </cell>
          <cell r="R1730">
            <v>175</v>
          </cell>
        </row>
        <row r="1731">
          <cell r="A1731" t="str">
            <v>800242</v>
          </cell>
          <cell r="B1731" t="str">
            <v>LDC 2</v>
          </cell>
          <cell r="C1731" t="str">
            <v>01 - Cast Iron Strategic Replacement</v>
          </cell>
          <cell r="D1731" t="str">
            <v>yes</v>
          </cell>
          <cell r="F1731" t="str">
            <v>F0599</v>
          </cell>
          <cell r="G1731" t="str">
            <v>Main Replacement - ISRS (N)</v>
          </cell>
          <cell r="H1731" t="str">
            <v>Cast Iron Abandonment 55th &amp; Jackso</v>
          </cell>
          <cell r="I1731" t="str">
            <v>in service</v>
          </cell>
          <cell r="J1731" t="str">
            <v>Install 180 ft of 2 in IP PE main.  Abandon 453 ft of 12 in LP CI, 148 ft of 4 in LP CI and 200 ft of 4 in LP ST at E 55th &amp; Jackson.</v>
          </cell>
          <cell r="K1731" t="str">
            <v>Total Service Tie overs= 3;Total Service Replacement= 3; Total Service Upgrade = 0; Total Abandoned Services: 2.</v>
          </cell>
          <cell r="L1731">
            <v>42495</v>
          </cell>
          <cell r="O1731">
            <v>42644</v>
          </cell>
          <cell r="P1731" t="str">
            <v>0401-043050  JACKSON CTY/KC</v>
          </cell>
          <cell r="Q1731">
            <v>15144.73</v>
          </cell>
          <cell r="R1731">
            <v>592</v>
          </cell>
        </row>
        <row r="1732">
          <cell r="A1732" t="str">
            <v>800416</v>
          </cell>
          <cell r="B1732" t="str">
            <v>LDC 2</v>
          </cell>
          <cell r="C1732" t="str">
            <v>09 - Facility Relocation due to Civic Improvement</v>
          </cell>
          <cell r="D1732" t="str">
            <v>yes</v>
          </cell>
          <cell r="F1732" t="str">
            <v>F0547</v>
          </cell>
          <cell r="G1732" t="str">
            <v>Street &amp; Highway Relocates ISRS (N)</v>
          </cell>
          <cell r="H1732" t="str">
            <v>N Amity Ave main relocation</v>
          </cell>
          <cell r="I1732" t="str">
            <v>in service</v>
          </cell>
          <cell r="J1732" t="str">
            <v>Install 508' of 2" PE IP main on N Amity Ave.  Abandon 500' of 2" STL IP main.This project is due to curb inlet box and street approach.</v>
          </cell>
          <cell r="L1732">
            <v>42577</v>
          </cell>
          <cell r="O1732">
            <v>42552</v>
          </cell>
          <cell r="P1732" t="str">
            <v>0401-043050  JACKSON CTY/KC</v>
          </cell>
          <cell r="Q1732">
            <v>15202.12</v>
          </cell>
          <cell r="R1732">
            <v>36</v>
          </cell>
        </row>
        <row r="1733">
          <cell r="A1733" t="str">
            <v>010230</v>
          </cell>
          <cell r="B1733" t="str">
            <v>LDC 2</v>
          </cell>
          <cell r="D1733" t="str">
            <v>no</v>
          </cell>
          <cell r="F1733" t="str">
            <v>F0639</v>
          </cell>
          <cell r="G1733" t="str">
            <v>EGM Equip-1st Time Installation</v>
          </cell>
          <cell r="H1733" t="str">
            <v>Purch Mini AT-PT for KC Art Institu</v>
          </cell>
          <cell r="I1733" t="str">
            <v>open</v>
          </cell>
          <cell r="J1733" t="str">
            <v>Install Mercury MiniMax-AT-PT to monitor daily gas usage. Unit is for EGM Replacement at KC Art Institute, 4415 Warwick.</v>
          </cell>
          <cell r="K1733" t="str">
            <v>Per Matt Taylor 1-26-16</v>
          </cell>
          <cell r="P1733" t="str">
            <v>0401-043050  JACKSON CTY/KC</v>
          </cell>
          <cell r="Q1733">
            <v>2065.39</v>
          </cell>
          <cell r="R1733">
            <v>1</v>
          </cell>
        </row>
        <row r="1734">
          <cell r="A1734" t="str">
            <v>008716</v>
          </cell>
          <cell r="B1734" t="str">
            <v>LDC 2</v>
          </cell>
          <cell r="D1734" t="str">
            <v>no</v>
          </cell>
          <cell r="F1734" t="str">
            <v>F0991</v>
          </cell>
          <cell r="G1734" t="str">
            <v>Facilities - Short Property - MGE</v>
          </cell>
          <cell r="H1734" t="str">
            <v>Eng. Services-Parking Lot Expansion</v>
          </cell>
          <cell r="I1734" t="str">
            <v>in service</v>
          </cell>
          <cell r="J1734" t="str">
            <v>Professional Engineering &amp; Surveying Services for MGE Central Plant, Kansas City Parking Lot Expansion</v>
          </cell>
          <cell r="L1734">
            <v>42689</v>
          </cell>
          <cell r="O1734">
            <v>42736</v>
          </cell>
          <cell r="P1734" t="str">
            <v>0401-043050  JACKSON CTY/KC</v>
          </cell>
          <cell r="Q1734">
            <v>51885.26</v>
          </cell>
          <cell r="R1734">
            <v>62272</v>
          </cell>
        </row>
        <row r="1735">
          <cell r="A1735" t="str">
            <v>008589</v>
          </cell>
          <cell r="B1735" t="str">
            <v>LDC 2</v>
          </cell>
          <cell r="D1735" t="str">
            <v>no</v>
          </cell>
          <cell r="E1735" t="str">
            <v>20401155355</v>
          </cell>
          <cell r="F1735" t="str">
            <v>F0670</v>
          </cell>
          <cell r="G1735" t="str">
            <v>Tools, Instruments &amp; Equipment (N)</v>
          </cell>
          <cell r="H1735" t="str">
            <v>PURCHASE TOOLS FOR MAIN REPLACEMENT</v>
          </cell>
          <cell r="I1735" t="str">
            <v>posted to CPR</v>
          </cell>
          <cell r="J1735" t="str">
            <v>PURCHASE TOOLS FOR MAIN REPLACEMENT. SHORTSTOPP CUTTERS: Kansas City-Jackson: Purchase Tools, Instruments &amp; Equipment  3940 (37-366)</v>
          </cell>
          <cell r="K1735" t="str">
            <v>Approved by: Ray Wilson on 05/26/2015,  NOT A REPLACEMENT TOOL PURCHASE NEEDED FOR MAIN REPLACEMENT</v>
          </cell>
          <cell r="L1735">
            <v>42184</v>
          </cell>
          <cell r="M1735">
            <v>42248</v>
          </cell>
          <cell r="N1735">
            <v>42284.3446527778</v>
          </cell>
          <cell r="O1735">
            <v>42156</v>
          </cell>
          <cell r="P1735" t="str">
            <v>0401-043050  JACKSON CTY/KC</v>
          </cell>
          <cell r="Q1735">
            <v>17810.060000000001</v>
          </cell>
          <cell r="R1735">
            <v>9</v>
          </cell>
        </row>
        <row r="1736">
          <cell r="A1736" t="str">
            <v>009278</v>
          </cell>
          <cell r="B1736" t="str">
            <v>LDC 2</v>
          </cell>
          <cell r="D1736" t="str">
            <v>yes</v>
          </cell>
          <cell r="E1736" t="str">
            <v>20401155408</v>
          </cell>
          <cell r="F1736" t="str">
            <v>F0547</v>
          </cell>
          <cell r="G1736" t="str">
            <v>Street &amp; Highway Relocates ISRS (N)</v>
          </cell>
          <cell r="H1736" t="str">
            <v>Relocate DRS 103</v>
          </cell>
          <cell r="I1736" t="str">
            <v>in service</v>
          </cell>
          <cell r="J1736" t="str">
            <v>Relocate DRS 103: Kansas City-Jackson: Relocate for Street &amp; Highway-Public Improvements (44-388)</v>
          </cell>
          <cell r="K1736" t="str">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ell>
          <cell r="L1736">
            <v>42391</v>
          </cell>
          <cell r="O1736">
            <v>42401</v>
          </cell>
          <cell r="P1736" t="str">
            <v>0401-043050  JACKSON CTY/KC</v>
          </cell>
          <cell r="Q1736">
            <v>61124.43</v>
          </cell>
          <cell r="R1736">
            <v>453</v>
          </cell>
        </row>
        <row r="1737">
          <cell r="A1737" t="str">
            <v>008809</v>
          </cell>
          <cell r="B1737" t="str">
            <v>LDC 2</v>
          </cell>
          <cell r="D1737" t="str">
            <v>yes</v>
          </cell>
          <cell r="E1737" t="str">
            <v>20401155393</v>
          </cell>
          <cell r="F1737" t="str">
            <v>F0547</v>
          </cell>
          <cell r="G1737" t="str">
            <v>Street &amp; Highway Relocates ISRS (N)</v>
          </cell>
          <cell r="H1737" t="str">
            <v>6in PCS Relocation</v>
          </cell>
          <cell r="I1737" t="str">
            <v>completed</v>
          </cell>
          <cell r="J1737" t="str">
            <v>6in PCS Relocation: Kansas City-Jackson: Relocate for Street &amp; Highway-Public Improvements (44-388)</v>
          </cell>
          <cell r="K1737" t="str">
            <v>Approved by: Ray Wilson on 06/29/2015,  ISRS Relocate approximately 50' of 6'' PCS due to sewer improvements. 6'' PCS will need to be lowered to approximately 7'. Coordinate with engineering for staking prior to construction.Pressure system S-114A.</v>
          </cell>
          <cell r="L1737">
            <v>42284</v>
          </cell>
          <cell r="M1737">
            <v>42735</v>
          </cell>
          <cell r="O1737">
            <v>42309</v>
          </cell>
          <cell r="P1737" t="str">
            <v>0401-043050  JACKSON CTY/KC</v>
          </cell>
          <cell r="Q1737">
            <v>26656.52</v>
          </cell>
          <cell r="R1737">
            <v>36.5</v>
          </cell>
        </row>
        <row r="1738">
          <cell r="A1738" t="str">
            <v>008390</v>
          </cell>
          <cell r="B1738" t="str">
            <v>LDC 2</v>
          </cell>
          <cell r="D1738" t="str">
            <v>yes</v>
          </cell>
          <cell r="E1738" t="str">
            <v>20401155172</v>
          </cell>
          <cell r="F1738" t="str">
            <v>F0500</v>
          </cell>
          <cell r="G1738" t="str">
            <v>Replace cast iron main - CPI / prio</v>
          </cell>
          <cell r="H1738" t="str">
            <v>8IN CI REPLACEMENT</v>
          </cell>
          <cell r="I1738" t="str">
            <v>posted to CPR</v>
          </cell>
          <cell r="J1738" t="str">
            <v>8IN CI REPLACEMENT: Kansas City-Jackson: Replace Cast Iron Main - 3760 Safety Related (34-412)</v>
          </cell>
          <cell r="K1738" t="str">
            <v>Approved by: Joe Hampton on 05/11/2015,  5/5/3. Replace 8'' CI from 3007 Wayne st. to 3035 Wayne st. due to multiple leaks. Pressure system C-001.</v>
          </cell>
          <cell r="L1738">
            <v>42244</v>
          </cell>
          <cell r="M1738">
            <v>42461</v>
          </cell>
          <cell r="N1738">
            <v>42496.560590277797</v>
          </cell>
          <cell r="O1738">
            <v>42217</v>
          </cell>
          <cell r="P1738" t="str">
            <v>0401-043050  JACKSON CTY/KC</v>
          </cell>
          <cell r="Q1738">
            <v>49534.78</v>
          </cell>
          <cell r="R1738">
            <v>1424.5</v>
          </cell>
        </row>
        <row r="1739">
          <cell r="A1739" t="str">
            <v>007864</v>
          </cell>
          <cell r="B1739" t="str">
            <v>LDC 2</v>
          </cell>
          <cell r="D1739" t="str">
            <v>yes</v>
          </cell>
          <cell r="E1739" t="str">
            <v>20401155164</v>
          </cell>
          <cell r="F1739" t="str">
            <v>F0599</v>
          </cell>
          <cell r="G1739" t="str">
            <v>Main Replacement - ISRS (N)</v>
          </cell>
          <cell r="H1739" t="str">
            <v>Cast Iron Replacement Proj KC Ph 5</v>
          </cell>
          <cell r="I1739" t="str">
            <v>posted to CPR</v>
          </cell>
          <cell r="J1739" t="str">
            <v>Cast Iron Replacement Project Phase 5: Kansas City-Jackson: Replace Cast Iron Main - 3760 Safety Related (34-412)</v>
          </cell>
          <cell r="K1739" t="str">
            <v>Approved by: Joe Hampton on 03/13/2015,  ISRS. Replace and abandon a total of 2089' of 4'' CI, 539' of 6'' CI, 3942' of 3'' BS, 325' of 4'' BS and 15' of 2'' BS in Sector 0306 with 4325' of 2'' PE 2690' of 4'' PE and 1325'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9 bare steel services are to be replaced. Replacement services are to be charged to a service replacement blanket work order. 148 tieovers of PE services are to be performed. A tailgate meeting will need to be scheduled for tie in and abandonment procedures.</v>
          </cell>
          <cell r="L1739">
            <v>42194</v>
          </cell>
          <cell r="M1739">
            <v>42429</v>
          </cell>
          <cell r="N1739">
            <v>42527.511689814797</v>
          </cell>
          <cell r="O1739">
            <v>42217</v>
          </cell>
          <cell r="P1739" t="str">
            <v>0401-043050  JACKSON CTY/KC</v>
          </cell>
          <cell r="Q1739">
            <v>752742.15</v>
          </cell>
          <cell r="R1739">
            <v>379874.5</v>
          </cell>
        </row>
        <row r="1740">
          <cell r="A1740" t="str">
            <v>005773</v>
          </cell>
          <cell r="B1740" t="str">
            <v>LDC 2</v>
          </cell>
          <cell r="D1740" t="str">
            <v>yes</v>
          </cell>
          <cell r="E1740" t="str">
            <v>20401143601</v>
          </cell>
          <cell r="F1740" t="str">
            <v>F0599</v>
          </cell>
          <cell r="G1740" t="str">
            <v>Main Replacement - ISRS (N)</v>
          </cell>
          <cell r="H1740" t="str">
            <v>803 Bales Ct Repl CI w 40'-4in PE m</v>
          </cell>
          <cell r="I1740" t="str">
            <v>posted to CPR</v>
          </cell>
          <cell r="J1740" t="str">
            <v>803 Bales Ct Repl CI w 40'-4in PE main: Kansas City-Jackson: Replace Cast Iron Main - 3760 Safety Related (34-412)</v>
          </cell>
          <cell r="K1740" t="str">
            <v>Approved by: Kevin Driskell on 07/23/2014,  AOR.  Replace 40' of 4in CI with 4in PE due to exposure of CI coupling.  AOR location: 46' SSCB of 8th Street.  Must be finished by 9-21-2014.  Tie over 3 services.  Replace one service.  COST PER FOOT $554.14</v>
          </cell>
          <cell r="L1740">
            <v>41871</v>
          </cell>
          <cell r="M1740">
            <v>41913</v>
          </cell>
          <cell r="N1740">
            <v>42012.317013888904</v>
          </cell>
          <cell r="O1740">
            <v>41852</v>
          </cell>
          <cell r="P1740" t="str">
            <v>0401-043050  JACKSON CTY/KC</v>
          </cell>
          <cell r="Q1740">
            <v>3790.95</v>
          </cell>
          <cell r="R1740">
            <v>-1</v>
          </cell>
        </row>
        <row r="1741">
          <cell r="A1741" t="str">
            <v>005632</v>
          </cell>
          <cell r="B1741" t="str">
            <v>LDC 2</v>
          </cell>
          <cell r="D1741" t="str">
            <v>yes</v>
          </cell>
          <cell r="E1741" t="str">
            <v>20401143628</v>
          </cell>
          <cell r="F1741" t="str">
            <v>F0501</v>
          </cell>
          <cell r="G1741" t="str">
            <v>Station rebuild &amp; replacement</v>
          </cell>
          <cell r="H1741" t="str">
            <v>87th &amp; Blue Rdige Rebuild DRS 487</v>
          </cell>
          <cell r="I1741" t="str">
            <v>in service</v>
          </cell>
          <cell r="J1741" t="str">
            <v>87th &amp; Blue Rdige Rebuild DRS 487: Kansas City-Jackson: Rebuild District/TB Stations  3780/3790 (45-387)</v>
          </cell>
          <cell r="K1741" t="str">
            <v>Approved by: Kevin Driskell on 07/02/2014,  Rebuild above ground portion of DRS 487 and barricades due to vehicle hitting station. Retire 2-REG-ROCKWELL 441-57S 250 LB FL BODY 3" due to damage.</v>
          </cell>
          <cell r="L1741">
            <v>42705</v>
          </cell>
          <cell r="O1741">
            <v>42736</v>
          </cell>
          <cell r="P1741" t="str">
            <v>0401-043050  JACKSON CTY/KC</v>
          </cell>
          <cell r="Q1741">
            <v>1387.62</v>
          </cell>
          <cell r="R1741">
            <v>-91</v>
          </cell>
        </row>
        <row r="1742">
          <cell r="A1742" t="str">
            <v>005411</v>
          </cell>
          <cell r="B1742" t="str">
            <v>LDC 2</v>
          </cell>
          <cell r="D1742" t="str">
            <v>no</v>
          </cell>
          <cell r="F1742" t="str">
            <v>F0588</v>
          </cell>
          <cell r="G1742" t="str">
            <v>Transportation &amp; power operated equ</v>
          </cell>
          <cell r="H1742" t="str">
            <v>Replace 37 Light Trucks - MGE</v>
          </cell>
          <cell r="I1742" t="str">
            <v>posted to CPR</v>
          </cell>
          <cell r="J1742" t="str">
            <v>Replace 37 light trucks for MGE.</v>
          </cell>
          <cell r="L1742">
            <v>42004</v>
          </cell>
          <cell r="M1742">
            <v>42309</v>
          </cell>
          <cell r="N1742">
            <v>42345.490092592598</v>
          </cell>
          <cell r="O1742">
            <v>42036</v>
          </cell>
          <cell r="P1742" t="str">
            <v>0401-043050  JACKSON CTY/KC</v>
          </cell>
          <cell r="Q1742">
            <v>1046309.33</v>
          </cell>
          <cell r="R1742">
            <v>136</v>
          </cell>
        </row>
        <row r="1743">
          <cell r="A1743" t="str">
            <v>005174</v>
          </cell>
          <cell r="B1743" t="str">
            <v>LDC 2</v>
          </cell>
          <cell r="D1743" t="str">
            <v>no</v>
          </cell>
          <cell r="E1743" t="str">
            <v>20401143540</v>
          </cell>
          <cell r="F1743" t="str">
            <v>F0639</v>
          </cell>
          <cell r="G1743" t="str">
            <v>EGM Equip-1st Time Installation</v>
          </cell>
          <cell r="H1743" t="str">
            <v>EGM Replace - Medical Plaza Partner</v>
          </cell>
          <cell r="I1743" t="str">
            <v>in service</v>
          </cell>
          <cell r="J1743" t="str">
            <v>EGM Replace - Medical Plaza Partners North: Kansas City-Jackson: Install EGM Equipment - First Time Installation  3850 (32-403)</v>
          </cell>
          <cell r="K1743" t="str">
            <v>Approved by: Rob Kitterman on 05/01/2014,  Replace EGM equipment at with a new MiniMax-AT-PT, S/N: 1113093, &amp; Messenger Modem. Existing meter is a Roots 11M rotary meter# 09234918. The existing equipment was damaged beyond repair. Retire the damaged MiniPT, S/N: 9411668 on this WO as well.</v>
          </cell>
          <cell r="L1743">
            <v>42443</v>
          </cell>
          <cell r="O1743">
            <v>42430</v>
          </cell>
          <cell r="P1743" t="str">
            <v>0401-043050  JACKSON CTY/KC</v>
          </cell>
          <cell r="Q1743">
            <v>525.83000000000004</v>
          </cell>
          <cell r="R1743">
            <v>8</v>
          </cell>
        </row>
        <row r="1744">
          <cell r="A1744" t="str">
            <v>004365</v>
          </cell>
          <cell r="B1744" t="str">
            <v>LDC 2</v>
          </cell>
          <cell r="D1744" t="str">
            <v>yes</v>
          </cell>
          <cell r="E1744" t="str">
            <v>20401143391</v>
          </cell>
          <cell r="F1744" t="str">
            <v>F0599</v>
          </cell>
          <cell r="G1744" t="str">
            <v>Main Replacement - ISRS (N)</v>
          </cell>
          <cell r="H1744" t="str">
            <v>AOR 1300 Askew Repl CI w 555'-4in P</v>
          </cell>
          <cell r="I1744" t="str">
            <v>posted to CPR</v>
          </cell>
          <cell r="J1744" t="str">
            <v>AOR 1300 Askew Repl CI w 555'-4in PE main: Kansas City-Jackson: 1300 Askew</v>
          </cell>
          <cell r="K1744" t="str">
            <v>Approved by: Gary Williams on 03/12/2014,  AOR.  Replace 555'-4in CI with 4in PE due to angle of repose.  Bell joint was exposed 12' NNCB of 13th and Askew.  Tie over 8 services.  Replace 3 services.  This job must be completed by June 9, 2014.  COST PER FOOT $64.36</v>
          </cell>
          <cell r="L1744">
            <v>41793</v>
          </cell>
          <cell r="M1744">
            <v>41793</v>
          </cell>
          <cell r="N1744">
            <v>41918.762870370403</v>
          </cell>
          <cell r="O1744">
            <v>41821</v>
          </cell>
          <cell r="P1744" t="str">
            <v>0401-043050  JACKSON CTY/KC</v>
          </cell>
          <cell r="Q1744">
            <v>41939.61</v>
          </cell>
          <cell r="R1744">
            <v>-1007</v>
          </cell>
        </row>
        <row r="1745">
          <cell r="A1745" t="str">
            <v>004472</v>
          </cell>
          <cell r="B1745" t="str">
            <v>LDC 2</v>
          </cell>
          <cell r="D1745" t="str">
            <v>no</v>
          </cell>
          <cell r="E1745" t="str">
            <v>20401133132</v>
          </cell>
          <cell r="F1745" t="str">
            <v>F0610</v>
          </cell>
          <cell r="G1745" t="str">
            <v>New business</v>
          </cell>
          <cell r="H1745" t="str">
            <v>Swope Park Lay 3355'-6IN PE</v>
          </cell>
          <cell r="I1745" t="str">
            <v>posted to CPR</v>
          </cell>
          <cell r="J1745" t="str">
            <v>Swope Park Lay 3355'-6IN PE: Kansas City-Jackson: SWOPE PARK BLVD, 55TH ST &amp; KENSINGTON AVE</v>
          </cell>
          <cell r="K1745" t="str">
            <v>Approved by: Steve Lindsey on 11/20/2013,  LAY 3,355'-6" PLEXCO TO SERVE COMMERCIAL CUSTOMER PROPANE CONVERSION (Vance Brothers) AT 5421 WOODLAND AVE. TIE INTO EXIST. 24" PBS-(A1935) ON NORTH SIDE OF 55TH ST &amp; SWOPE PARK BLVD. Existing load is 7,300 new connected load 23,500. ONE WAY FEED.  ROCK IN AREA.  LAY WITHIN ROAD R/W.  4" PE SERVICE W.O.# 13-3082 GOES WITH THIS W.O.</v>
          </cell>
          <cell r="L1745">
            <v>41698</v>
          </cell>
          <cell r="M1745">
            <v>42461</v>
          </cell>
          <cell r="N1745">
            <v>42496.559317129599</v>
          </cell>
          <cell r="O1745">
            <v>41730</v>
          </cell>
          <cell r="P1745" t="str">
            <v>0401-043050  JACKSON CTY/KC</v>
          </cell>
          <cell r="Q1745">
            <v>215898.32</v>
          </cell>
          <cell r="R1745">
            <v>7594.2</v>
          </cell>
        </row>
        <row r="1746">
          <cell r="A1746" t="str">
            <v>004664</v>
          </cell>
          <cell r="B1746" t="str">
            <v>LDC 2</v>
          </cell>
          <cell r="D1746" t="str">
            <v>no</v>
          </cell>
          <cell r="E1746" t="str">
            <v>20401143402</v>
          </cell>
          <cell r="F1746" t="str">
            <v>F0670</v>
          </cell>
          <cell r="G1746" t="str">
            <v>Tools, Instruments &amp; Equipment (N)</v>
          </cell>
          <cell r="H1746" t="str">
            <v>PUR-6 SENSIT GOLD CGI</v>
          </cell>
          <cell r="I1746" t="str">
            <v>posted to CPR</v>
          </cell>
          <cell r="J1746" t="str">
            <v>PUR-6 SENSIT GOLD CGI: Kansas City-Jackson: 7500 E 35TH TER</v>
          </cell>
          <cell r="K1746" t="str">
            <v>Approved by: Gary Williams on 03/03/2014,  Purchasing 6-Sensit Gold CGI-4 gas MODEL H (PART#910-00000-H). To be used by the P&amp;M crews at Central for detecting both LEL &amp;%VOLUME, CO, O2 AND H2S. Groebner &amp; Assoc only vendor that carries this instrument. These are to replace the non-repairable Bacharach CGI and obsolete ones.
Transferring charge from WO 004748 in 7-14 business - Invoice 281804 AMM 7-18-14</v>
          </cell>
          <cell r="L1746">
            <v>41802</v>
          </cell>
          <cell r="M1746">
            <v>41820</v>
          </cell>
          <cell r="N1746">
            <v>41858.747592592597</v>
          </cell>
          <cell r="O1746">
            <v>41821</v>
          </cell>
          <cell r="P1746" t="str">
            <v>0401-043050  JACKSON CTY/KC</v>
          </cell>
          <cell r="Q1746">
            <v>14120.35</v>
          </cell>
          <cell r="R1746">
            <v>12</v>
          </cell>
        </row>
        <row r="1747">
          <cell r="A1747" t="str">
            <v>004443</v>
          </cell>
          <cell r="B1747" t="str">
            <v>LDC 2</v>
          </cell>
          <cell r="D1747" t="str">
            <v>yes</v>
          </cell>
          <cell r="E1747" t="str">
            <v>20401132788</v>
          </cell>
          <cell r="F1747" t="str">
            <v>F0599</v>
          </cell>
          <cell r="G1747" t="str">
            <v>Main Replacement - ISRS (N)</v>
          </cell>
          <cell r="H1747" t="str">
            <v>AOR Indep Ave Repl CI w 60'-6in PE</v>
          </cell>
          <cell r="I1747" t="str">
            <v>posted to CPR</v>
          </cell>
          <cell r="J1747" t="str">
            <v>AOR Indep Ave Repl CI w 60'-6in PE main: Kansas City-Jackson: Independence Ave and Askew</v>
          </cell>
          <cell r="K1747" t="str">
            <v>Approved by: Gary Williams on 09/05/2013,  (ISRS).  AOR.  Replace 60' of 6in CI (work order unknown) with 60'-6in PE due to angle of repose.  Coupling was exposed at 12' NNCB of Independence and 6' EWCB of Askew.  Take out cross at intersection of Independence and Askew.  North tie-in needs to be 10' north of coupling exposure.  Job must be completed by Oct. 24, 2013.</v>
          </cell>
          <cell r="L1747">
            <v>41556</v>
          </cell>
          <cell r="M1747">
            <v>41638</v>
          </cell>
          <cell r="N1747">
            <v>41643.4352546296</v>
          </cell>
          <cell r="O1747">
            <v>41730</v>
          </cell>
          <cell r="P1747" t="str">
            <v>0401-043050  JACKSON CTY/KC</v>
          </cell>
          <cell r="Q1747">
            <v>30906.97</v>
          </cell>
          <cell r="R1747">
            <v>694</v>
          </cell>
        </row>
        <row r="1748">
          <cell r="A1748" t="str">
            <v>004654</v>
          </cell>
          <cell r="B1748" t="str">
            <v>LDC 2</v>
          </cell>
          <cell r="D1748" t="str">
            <v>yes</v>
          </cell>
          <cell r="E1748" t="str">
            <v>20401132402</v>
          </cell>
          <cell r="F1748" t="str">
            <v>F0547</v>
          </cell>
          <cell r="G1748" t="str">
            <v>Street &amp; Highway Relocates ISRS (N)</v>
          </cell>
          <cell r="H1748" t="str">
            <v>KC Street Car Ph 3 Reloc CI, PBS w</v>
          </cell>
          <cell r="I1748" t="str">
            <v>posted to CPR</v>
          </cell>
          <cell r="J1748" t="str">
            <v>KC Street Car Ph 3 Reloc CI, PBS w PE/PCS: Kansas City-Jackson: Delaware to Grand, 3rd to 5th (Rivermarket)</v>
          </cell>
          <cell r="K1748" t="str">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ell>
          <cell r="L1748">
            <v>41912</v>
          </cell>
          <cell r="M1748">
            <v>42063</v>
          </cell>
          <cell r="N1748">
            <v>42160.552222222199</v>
          </cell>
          <cell r="O1748">
            <v>41974</v>
          </cell>
          <cell r="P1748" t="str">
            <v>0401-043050  JACKSON CTY/KC</v>
          </cell>
          <cell r="Q1748">
            <v>1138084.97</v>
          </cell>
          <cell r="R1748">
            <v>35231.9</v>
          </cell>
        </row>
        <row r="1749">
          <cell r="A1749" t="str">
            <v>004138</v>
          </cell>
          <cell r="B1749" t="str">
            <v>LDC 2</v>
          </cell>
          <cell r="D1749" t="str">
            <v>no</v>
          </cell>
          <cell r="E1749" t="str">
            <v>20401133124</v>
          </cell>
          <cell r="F1749" t="str">
            <v>F0636</v>
          </cell>
          <cell r="G1749" t="str">
            <v>Replace steel &amp; plastic main</v>
          </cell>
          <cell r="H1749" t="str">
            <v>9051 Hillcrest ABANDON 1205-4IN PE</v>
          </cell>
          <cell r="I1749" t="str">
            <v>posted to CPR</v>
          </cell>
          <cell r="J1749" t="str">
            <v>9051 Hillcrest ABANDON 1205-4IN PE: Kansas City-Jackson: 9051 HILLCREST RD</v>
          </cell>
          <cell r="K1749" t="str">
            <v>Approved by: Kevin Driskell on 03/18/2014,  ABANDONED 1,205'-4" PE (89-9919) DUE TO NEED FOR DEMOLITION OF EXISTING BUILDINGS FOR NEW OFFICE COMPLEX BY CERNER.  ONE WAY FEED.  SERVICES CUT WERE TO ADDRESSES: 9111 HILLCREST RD, 9051 HILLCREST RD (SOUTH SERVICE) AND 9051 HILLCREST RD (WEST SERVICE). (SEE (3) INCLUDED 312-2 FORMS).  LOCKERBY 97326 ID was MGE FOREMAN. DICKEY-MACHINE OPERATOR &amp; BARNES-COMPRESSOR OPERATOR.</v>
          </cell>
          <cell r="L1749">
            <v>41557</v>
          </cell>
          <cell r="M1749">
            <v>41729</v>
          </cell>
          <cell r="N1749">
            <v>41733.309988425899</v>
          </cell>
          <cell r="P1749" t="str">
            <v>0401-043050  JACKSON CTY/KC</v>
          </cell>
          <cell r="Q1749">
            <v>14075.32</v>
          </cell>
          <cell r="R1749">
            <v>1191</v>
          </cell>
        </row>
        <row r="1750">
          <cell r="A1750" t="str">
            <v>003968</v>
          </cell>
          <cell r="B1750" t="str">
            <v>LDC 2</v>
          </cell>
          <cell r="D1750" t="str">
            <v>no</v>
          </cell>
          <cell r="E1750" t="str">
            <v>20401050320</v>
          </cell>
          <cell r="F1750" t="str">
            <v>F0609</v>
          </cell>
          <cell r="G1750" t="str">
            <v>New service installations - contrac</v>
          </cell>
          <cell r="H1750" t="str">
            <v>BWO NEW SVC CONT</v>
          </cell>
          <cell r="I1750" t="str">
            <v>open</v>
          </cell>
          <cell r="J1750" t="str">
            <v>BWO NEW SVC CONT</v>
          </cell>
          <cell r="K1750" t="str">
            <v>Project Type:B</v>
          </cell>
          <cell r="O1750">
            <v>41730</v>
          </cell>
          <cell r="P1750" t="str">
            <v>0401-043050  JACKSON CTY/KC</v>
          </cell>
          <cell r="Q1750">
            <v>9959856.9499999993</v>
          </cell>
          <cell r="R1750">
            <v>2540633.2999999998</v>
          </cell>
        </row>
        <row r="1751">
          <cell r="A1751" t="str">
            <v>010903</v>
          </cell>
          <cell r="B1751" t="str">
            <v>LDC 2</v>
          </cell>
          <cell r="D1751" t="str">
            <v>no</v>
          </cell>
          <cell r="F1751" t="str">
            <v>F0682</v>
          </cell>
          <cell r="G1751" t="str">
            <v>Non-Productive Ops MGE</v>
          </cell>
          <cell r="H1751" t="str">
            <v>Field Ops Supv LDC2</v>
          </cell>
          <cell r="I1751" t="str">
            <v>open</v>
          </cell>
          <cell r="J1751" t="str">
            <v>Field Ops Supv LDC2</v>
          </cell>
          <cell r="P1751" t="str">
            <v>Expense Only</v>
          </cell>
          <cell r="Q1751">
            <v>459738.79</v>
          </cell>
          <cell r="R1751">
            <v>10052.6</v>
          </cell>
        </row>
        <row r="1752">
          <cell r="A1752" t="str">
            <v>004847</v>
          </cell>
          <cell r="B1752" t="str">
            <v>LDC 2</v>
          </cell>
          <cell r="D1752" t="str">
            <v>no</v>
          </cell>
          <cell r="E1752" t="str">
            <v>29260500000</v>
          </cell>
          <cell r="F1752" t="str">
            <v>F0728</v>
          </cell>
          <cell r="G1752" t="str">
            <v>Empl Benefits - Other MGE</v>
          </cell>
          <cell r="H1752" t="str">
            <v>LTD Insurance MGE</v>
          </cell>
          <cell r="I1752" t="str">
            <v>open</v>
          </cell>
          <cell r="J1752" t="str">
            <v>LTD Insurance MGE</v>
          </cell>
          <cell r="P1752" t="str">
            <v>Expense Only</v>
          </cell>
          <cell r="Q1752">
            <v>414148.25</v>
          </cell>
          <cell r="R1752">
            <v>-4</v>
          </cell>
        </row>
        <row r="1753">
          <cell r="A1753" t="str">
            <v>004732</v>
          </cell>
          <cell r="B1753" t="str">
            <v>LDC 2</v>
          </cell>
          <cell r="D1753" t="str">
            <v>no</v>
          </cell>
          <cell r="E1753" t="str">
            <v>28860000000</v>
          </cell>
          <cell r="F1753" t="str">
            <v>F0707</v>
          </cell>
          <cell r="G1753" t="str">
            <v>Maint Company Facilities MGE</v>
          </cell>
          <cell r="H1753" t="str">
            <v>Maint Company Facilities MGE</v>
          </cell>
          <cell r="I1753" t="str">
            <v>open</v>
          </cell>
          <cell r="J1753" t="str">
            <v>Maint Company Facilities MGE</v>
          </cell>
          <cell r="P1753" t="str">
            <v>Expense Only</v>
          </cell>
          <cell r="Q1753">
            <v>768690.03</v>
          </cell>
          <cell r="R1753">
            <v>552429.25</v>
          </cell>
        </row>
        <row r="1754">
          <cell r="A1754" t="str">
            <v>008893</v>
          </cell>
          <cell r="B1754" t="str">
            <v>LDC 2</v>
          </cell>
          <cell r="D1754" t="str">
            <v>no</v>
          </cell>
          <cell r="E1754" t="str">
            <v>20501155416</v>
          </cell>
          <cell r="F1754" t="str">
            <v>F0485</v>
          </cell>
          <cell r="G1754" t="str">
            <v>Tools, Instruments &amp; Equipment (SW)</v>
          </cell>
          <cell r="H1754" t="str">
            <v>Tools Purchase Mueller Tapping Equi</v>
          </cell>
          <cell r="I1754" t="str">
            <v>posted to CPR</v>
          </cell>
          <cell r="J1754" t="str">
            <v>Tools Purchase Mueller Tapping Equipment: Joplin: Purchase Tools, Instruments &amp; Equipment  3940 (37-366)</v>
          </cell>
          <cell r="K1754" t="str">
            <v>Approved by: Michael Fornelli on 07/01/2015,  Purchase  1 EH-5 Drilling Machine (1200psig), 1 1-1/4" Steel Ball Valve (2000), 1 Tool Holder, 1 5/8" Drill for Joplin C&amp;M.</v>
          </cell>
          <cell r="L1754">
            <v>42338</v>
          </cell>
          <cell r="M1754">
            <v>42522</v>
          </cell>
          <cell r="N1754">
            <v>42557.552777777797</v>
          </cell>
          <cell r="O1754">
            <v>42522</v>
          </cell>
          <cell r="P1754" t="str">
            <v>0501-044001  JASPER CTY/JOPLIN</v>
          </cell>
          <cell r="Q1754">
            <v>4152.46</v>
          </cell>
          <cell r="R1754">
            <v>4</v>
          </cell>
        </row>
        <row r="1755">
          <cell r="A1755" t="str">
            <v>008133</v>
          </cell>
          <cell r="B1755" t="str">
            <v>LDC 2</v>
          </cell>
          <cell r="D1755" t="str">
            <v>yes</v>
          </cell>
          <cell r="E1755" t="str">
            <v>20501155262</v>
          </cell>
          <cell r="F1755" t="str">
            <v>F0544</v>
          </cell>
          <cell r="G1755" t="str">
            <v>Replace bare steel main - safety re</v>
          </cell>
          <cell r="H1755" t="str">
            <v>8th St and Virginia Ave 3in PBS Mai</v>
          </cell>
          <cell r="I1755" t="str">
            <v>posted to CPR</v>
          </cell>
          <cell r="J1755" t="str">
            <v>8th St and Virginia Ave 3in PBS Main Replacement: Joplin: Replace Bare Steel Main - 3760 Safety Related (34-394)</v>
          </cell>
          <cell r="K1755" t="str">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ell>
          <cell r="L1755">
            <v>42475</v>
          </cell>
          <cell r="M1755">
            <v>42522</v>
          </cell>
          <cell r="N1755">
            <v>42681.888043981497</v>
          </cell>
          <cell r="O1755">
            <v>42491</v>
          </cell>
          <cell r="P1755" t="str">
            <v>0501-044001  JASPER CTY/JOPLIN</v>
          </cell>
          <cell r="Q1755">
            <v>265099.86</v>
          </cell>
          <cell r="R1755">
            <v>60408</v>
          </cell>
        </row>
        <row r="1756">
          <cell r="A1756" t="str">
            <v>006975</v>
          </cell>
          <cell r="B1756" t="str">
            <v>LDC 2</v>
          </cell>
          <cell r="D1756" t="str">
            <v>yes</v>
          </cell>
          <cell r="E1756" t="str">
            <v>20501143657</v>
          </cell>
          <cell r="F1756" t="str">
            <v>F0678</v>
          </cell>
          <cell r="G1756" t="str">
            <v>Replace bare steel main - safety re</v>
          </cell>
          <cell r="H1756" t="str">
            <v>Replace Main at Hill and Division C</v>
          </cell>
          <cell r="I1756" t="str">
            <v>posted to CPR</v>
          </cell>
          <cell r="J1756" t="str">
            <v>Replace Main at Hill and Division CP: Joplin: Replace Bare Steel Main - 3760 Safety Related (34-394)</v>
          </cell>
          <cell r="K1756" t="str">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ell>
          <cell r="L1756">
            <v>42135</v>
          </cell>
          <cell r="M1756">
            <v>42429</v>
          </cell>
          <cell r="N1756">
            <v>42527.511307870402</v>
          </cell>
          <cell r="O1756">
            <v>42186</v>
          </cell>
          <cell r="P1756" t="str">
            <v>0501-044001  JASPER CTY/JOPLIN</v>
          </cell>
          <cell r="Q1756">
            <v>51528.17</v>
          </cell>
          <cell r="R1756">
            <v>6125.84</v>
          </cell>
        </row>
        <row r="1757">
          <cell r="A1757" t="str">
            <v>006734</v>
          </cell>
          <cell r="B1757" t="str">
            <v>LDC 2</v>
          </cell>
          <cell r="D1757" t="str">
            <v>yes</v>
          </cell>
          <cell r="E1757" t="str">
            <v>20501143892</v>
          </cell>
          <cell r="F1757" t="str">
            <v>F0664</v>
          </cell>
          <cell r="G1757" t="str">
            <v>Street &amp; Hwy Relocates ISRS (SW)</v>
          </cell>
          <cell r="H1757" t="str">
            <v>Relocate 6in PE Main due to Storm B</v>
          </cell>
          <cell r="I1757" t="str">
            <v>posted to CPR</v>
          </cell>
          <cell r="J1757" t="str">
            <v>Relocate 6in PE Main due to Storm Box C and Picher: Joplin: Relocate for Street &amp; Highway-Public Improvements (44-388)</v>
          </cell>
          <cell r="K1757" t="str">
            <v>Approved by: Galen Shoemaker on 10/23/2014,  Abandon 60' - 6" PE (WO# 93-3228) due to proposed expansion of storm box culvert for City of Joplin. Work to be coordinated with contractor installing new box culvert. Project Location: "C" and Picher; Pressure System: C-1; MOP: 58 psig; MAOP: 58 psig; Design: 58 psig; Test: 100 psig; ISRS $151.70/ft</v>
          </cell>
          <cell r="L1757">
            <v>41984</v>
          </cell>
          <cell r="M1757">
            <v>42063</v>
          </cell>
          <cell r="N1757">
            <v>42160.553935185198</v>
          </cell>
          <cell r="O1757">
            <v>42005</v>
          </cell>
          <cell r="P1757" t="str">
            <v>0501-044001  JASPER CTY/JOPLIN</v>
          </cell>
          <cell r="Q1757">
            <v>6411.8</v>
          </cell>
          <cell r="R1757">
            <v>-515</v>
          </cell>
        </row>
        <row r="1758">
          <cell r="A1758" t="str">
            <v>006665</v>
          </cell>
          <cell r="B1758" t="str">
            <v>LDC 2</v>
          </cell>
          <cell r="D1758" t="str">
            <v>yes</v>
          </cell>
          <cell r="E1758" t="str">
            <v>20501143696</v>
          </cell>
          <cell r="F1758" t="str">
            <v>F0572</v>
          </cell>
          <cell r="G1758" t="str">
            <v>Main Replacement - ISRS (SW)</v>
          </cell>
          <cell r="H1758" t="str">
            <v>Repl 656ft of 6in PBS due to CP</v>
          </cell>
          <cell r="I1758" t="str">
            <v>posted to CPR</v>
          </cell>
          <cell r="J1758" t="str">
            <v>Repl 656ft of 6in PBS due to CP: Joplin: Replace Bare Steel Main - 3760 Safety Related (34-394)</v>
          </cell>
          <cell r="K1758" t="str">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ell>
          <cell r="L1758">
            <v>42059</v>
          </cell>
          <cell r="M1758">
            <v>42217</v>
          </cell>
          <cell r="N1758">
            <v>42284.722557870402</v>
          </cell>
          <cell r="O1758">
            <v>42125</v>
          </cell>
          <cell r="P1758" t="str">
            <v>0501-044001  JASPER CTY/JOPLIN</v>
          </cell>
          <cell r="Q1758">
            <v>25538.93</v>
          </cell>
          <cell r="R1758">
            <v>-637.75</v>
          </cell>
        </row>
        <row r="1759">
          <cell r="A1759" t="str">
            <v>004116</v>
          </cell>
          <cell r="B1759" t="str">
            <v>LDC 2</v>
          </cell>
          <cell r="D1759" t="str">
            <v>no</v>
          </cell>
          <cell r="E1759" t="str">
            <v>20501133010</v>
          </cell>
          <cell r="F1759" t="str">
            <v>F0639</v>
          </cell>
          <cell r="G1759" t="str">
            <v>EGM Equip-1st Time Installation</v>
          </cell>
          <cell r="H1759" t="str">
            <v>EGM - Mercy Hospital</v>
          </cell>
          <cell r="I1759" t="str">
            <v>posted to CPR</v>
          </cell>
          <cell r="J1759" t="str">
            <v>EGM - Mercy Hospital: Joplin: 2817 St Johns Blvd - Joplin, MO</v>
          </cell>
          <cell r="K1759" t="str">
            <v>Approved by: Rob Kitterman on 09/24/2013,  Install Mercury MiniMax-AT-T w/ Messenger Modem S/N:13004328 on Roots 16M meter no 00732427 to monitor daily gas usage of this transportation customer. Customer will reimburse company actual cost for EGM installation not to exceed $5,445.00, which should be coded to account 1072. ATTENTION: Plant &amp; Property Accounting, EGM work order, turn off A&amp;G indicator.</v>
          </cell>
          <cell r="L1759">
            <v>41487</v>
          </cell>
          <cell r="M1759">
            <v>41670</v>
          </cell>
          <cell r="N1759">
            <v>41677.509826388901</v>
          </cell>
          <cell r="P1759" t="str">
            <v>0501-044001  JASPER CTY/JOPLIN</v>
          </cell>
          <cell r="Q1759">
            <v>272.83999999999997</v>
          </cell>
          <cell r="R1759">
            <v>4</v>
          </cell>
        </row>
        <row r="1760">
          <cell r="A1760" t="str">
            <v>005252</v>
          </cell>
          <cell r="B1760" t="str">
            <v>LDC 2</v>
          </cell>
          <cell r="D1760" t="str">
            <v>no</v>
          </cell>
          <cell r="E1760" t="str">
            <v>20501143558</v>
          </cell>
          <cell r="F1760" t="str">
            <v>F0536</v>
          </cell>
          <cell r="G1760" t="str">
            <v>Services -  2" &amp; larger</v>
          </cell>
          <cell r="H1760" t="str">
            <v>Joplin HS 23rd&amp;Grand 2in Service</v>
          </cell>
          <cell r="I1760" t="str">
            <v>posted to CPR</v>
          </cell>
          <cell r="J1760" t="str">
            <v>Joplin HS 23rd&amp;Grand 2in Service: Joplin: New Services 2&amp;quot; &amp; Larger  3800 (33-381)</v>
          </cell>
          <cell r="K1760" t="str">
            <v>Approved by: Galen Shoemaker on 05/07/2014,  JOPLIN TORNADO Lay 180' - 2" PE service to Joplin High School to be installed in conjunction with WO# 14-3449. Customer will not contribute anything due to reconnect after Joplin Tornado. Project Location: 23rd and Grand; Pressure System: C-1; MOP: 58 psig; MAOP: 58 psig; Design: 58 psig; Test: 100 psig; $38.82/ft</v>
          </cell>
          <cell r="L1760">
            <v>41807</v>
          </cell>
          <cell r="M1760">
            <v>41904</v>
          </cell>
          <cell r="N1760">
            <v>41914.651226851798</v>
          </cell>
          <cell r="O1760">
            <v>41821</v>
          </cell>
          <cell r="P1760" t="str">
            <v>0501-044001  JASPER CTY/JOPLIN</v>
          </cell>
          <cell r="Q1760">
            <v>0</v>
          </cell>
          <cell r="R1760">
            <v>-691</v>
          </cell>
        </row>
        <row r="1761">
          <cell r="A1761" t="str">
            <v>003946</v>
          </cell>
          <cell r="B1761" t="str">
            <v>LDC 2</v>
          </cell>
          <cell r="D1761" t="str">
            <v>no</v>
          </cell>
          <cell r="E1761" t="str">
            <v>20501050304</v>
          </cell>
          <cell r="F1761" t="str">
            <v>F0641</v>
          </cell>
          <cell r="G1761" t="str">
            <v>BWO House Regulators 2'' &amp; Sm (SW)</v>
          </cell>
          <cell r="H1761" t="str">
            <v>BWO-House Regs-Stores Iss-SoWest</v>
          </cell>
          <cell r="I1761" t="str">
            <v>open</v>
          </cell>
          <cell r="J1761" t="str">
            <v>BWO-House Regulators-Stores Issues - SouthWest Region</v>
          </cell>
          <cell r="K1761" t="str">
            <v>Changed to Non-Payroll class code 7-1-15 - should not charge labor here - AMM</v>
          </cell>
          <cell r="O1761">
            <v>41730</v>
          </cell>
          <cell r="P1761" t="str">
            <v>0501-044001  JASPER CTY/JOPLIN</v>
          </cell>
          <cell r="Q1761">
            <v>316507.5</v>
          </cell>
          <cell r="R1761">
            <v>3843</v>
          </cell>
        </row>
        <row r="1762">
          <cell r="A1762" t="str">
            <v>004450</v>
          </cell>
          <cell r="B1762" t="str">
            <v>LDC 2</v>
          </cell>
          <cell r="D1762" t="str">
            <v>yes</v>
          </cell>
          <cell r="E1762" t="str">
            <v>20501133062</v>
          </cell>
          <cell r="F1762" t="str">
            <v>F0664</v>
          </cell>
          <cell r="G1762" t="str">
            <v>Street &amp; Hwy Relocates ISRS (SW)</v>
          </cell>
          <cell r="H1762" t="str">
            <v>20th &amp; Wisconsin Reloc 120'-8;1250'</v>
          </cell>
          <cell r="I1762" t="str">
            <v>posted to CPR</v>
          </cell>
          <cell r="J1762" t="str">
            <v>20th &amp; Wisconsin Reloc 120'-8;1250'-4in PE main: Joplin: 20th and Wisconsin RR Overpass</v>
          </cell>
          <cell r="K1762" t="str">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ell>
          <cell r="L1762">
            <v>41850</v>
          </cell>
          <cell r="M1762">
            <v>42063</v>
          </cell>
          <cell r="N1762">
            <v>42160.551851851902</v>
          </cell>
          <cell r="O1762">
            <v>41974</v>
          </cell>
          <cell r="P1762" t="str">
            <v>0501-044001  JASPER CTY/JOPLIN</v>
          </cell>
          <cell r="Q1762">
            <v>27689.56</v>
          </cell>
          <cell r="R1762">
            <v>-2652</v>
          </cell>
        </row>
        <row r="1763">
          <cell r="A1763" t="str">
            <v>006935</v>
          </cell>
          <cell r="B1763" t="str">
            <v>LDC 2</v>
          </cell>
          <cell r="D1763" t="str">
            <v>yes</v>
          </cell>
          <cell r="E1763" t="str">
            <v>20502143950</v>
          </cell>
          <cell r="F1763" t="str">
            <v>F0572</v>
          </cell>
          <cell r="G1763" t="str">
            <v>Main Replacement - ISRS (SW)</v>
          </cell>
          <cell r="H1763" t="str">
            <v>Daugherty Avenue Bare Steel Replace</v>
          </cell>
          <cell r="I1763" t="str">
            <v>posted to CPR</v>
          </cell>
          <cell r="J1763" t="str">
            <v>Daugherty Avenue Bare Steel Replacement: Webb City: Replace Bare Steel Main - 3760 Safety Related (34-394)</v>
          </cell>
          <cell r="K1763" t="str">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ell>
          <cell r="L1763">
            <v>42125</v>
          </cell>
          <cell r="M1763">
            <v>42428</v>
          </cell>
          <cell r="N1763">
            <v>42527.511099536998</v>
          </cell>
          <cell r="O1763">
            <v>42186</v>
          </cell>
          <cell r="P1763" t="str">
            <v>0502-044006  JASPER CTY/WEBB CITY</v>
          </cell>
          <cell r="Q1763">
            <v>267672.82</v>
          </cell>
          <cell r="R1763">
            <v>-3910</v>
          </cell>
        </row>
        <row r="1764">
          <cell r="A1764" t="str">
            <v>004449</v>
          </cell>
          <cell r="B1764" t="str">
            <v>LDC 2</v>
          </cell>
          <cell r="D1764" t="str">
            <v>no</v>
          </cell>
          <cell r="E1764" t="str">
            <v>20502132866</v>
          </cell>
          <cell r="F1764" t="str">
            <v>F0611</v>
          </cell>
          <cell r="G1764" t="str">
            <v>Meter &amp; regulator replacements - 2"</v>
          </cell>
          <cell r="H1764" t="str">
            <v>3130 Cardinal Rebuild 5M Meter Set</v>
          </cell>
          <cell r="I1764" t="str">
            <v>posted to CPR</v>
          </cell>
          <cell r="J1764" t="str">
            <v>3130 Cardinal Rebuild 5M Meter Set: Webb City: Natural Life Pet Prod 3130 Cardinal Dr</v>
          </cell>
          <cell r="K1764" t="str">
            <v>Approved by: Galen Shoemaker on 08/01/2013,  THIS WORK IS NECESSARY DUE TO ADDED NATURAL GAS EQUIPMENT. WILL INSTALL PREFAB SETTING FOR 5M ROOTS METER. TOTAL CONNECTED DEMAND WILL BE 4690 CFH. WILL USE 2&amp;quot;FLANGED CL34-2 REG WITH 3/8&amp;quot; ORIFICE, ORANGE CLOSING SPRING AND GREEN PILOT SPRING TO DELIVER 5 PSIG. WILL USE 1&amp;quot; FISHER 289 H-42 RELIEF SET AT 8 PSIG FOR OVERPRESSUE PROTECTION. EXISTING 7/8&amp;quot; RISER WILL BE REPLACED WITH A 2&amp;quot; FLANGED RISER ON A BLANKET WORK ORDER. PREMISE NUMBER 600008424, THERE WILL  BE NO CHARGE TO THE CUSTOMER. SYSTEM 0502-C-100 MAOP=30 PSIG MOP=30 PSIG</v>
          </cell>
          <cell r="L1764">
            <v>41499</v>
          </cell>
          <cell r="M1764">
            <v>41626</v>
          </cell>
          <cell r="N1764">
            <v>41630.722141203703</v>
          </cell>
          <cell r="P1764" t="str">
            <v>0502-044006  JASPER CTY/WEBB CITY</v>
          </cell>
          <cell r="Q1764">
            <v>5718.01</v>
          </cell>
          <cell r="R1764">
            <v>25</v>
          </cell>
        </row>
        <row r="1765">
          <cell r="A1765" t="str">
            <v>007321</v>
          </cell>
          <cell r="B1765" t="str">
            <v>LDC 2</v>
          </cell>
          <cell r="D1765" t="str">
            <v>no</v>
          </cell>
          <cell r="E1765" t="str">
            <v>20502143955</v>
          </cell>
          <cell r="F1765" t="str">
            <v>F0635</v>
          </cell>
          <cell r="G1765" t="str">
            <v>New service installations - contrac</v>
          </cell>
          <cell r="H1765" t="str">
            <v>John Green Generator Main Ext</v>
          </cell>
          <cell r="I1765" t="str">
            <v>posted to CPR</v>
          </cell>
          <cell r="J1765" t="str">
            <v>John Green Generator: Webb City: New Main Extension - Contractor Crews  3760 (33-380)</v>
          </cell>
          <cell r="K1765" t="str">
            <v>Approved by: Galen Shoemaker on 12/29/2014,  Install 475' of 2" PE for new customer.  Project Location: Heather Ln E of Country Side Dr.  System: C-100.  MOP: 30 PSIG.  MAOP: 30 PSIG.  Design: 58 PSIG.  Test: 100 PSIG.  Price Per Foot: $28.50.</v>
          </cell>
          <cell r="L1765">
            <v>42073</v>
          </cell>
          <cell r="M1765">
            <v>42248</v>
          </cell>
          <cell r="N1765">
            <v>42284.723043981503</v>
          </cell>
          <cell r="O1765">
            <v>42064</v>
          </cell>
          <cell r="P1765" t="str">
            <v>0502-044006  JASPER CTY/WEBB CITY</v>
          </cell>
          <cell r="Q1765">
            <v>23209.91</v>
          </cell>
          <cell r="R1765">
            <v>-994.25</v>
          </cell>
        </row>
        <row r="1766">
          <cell r="A1766" t="str">
            <v>004169</v>
          </cell>
          <cell r="B1766" t="str">
            <v>LDC 2</v>
          </cell>
          <cell r="D1766" t="str">
            <v>yes</v>
          </cell>
          <cell r="E1766" t="str">
            <v>20201132737</v>
          </cell>
          <cell r="F1766" t="str">
            <v>F0578</v>
          </cell>
          <cell r="G1766" t="str">
            <v>Street &amp; Highway Relocates ISRS (S)</v>
          </cell>
          <cell r="H1766" t="str">
            <v>25th &amp; Claremont Reloc PBSw100'-2TF</v>
          </cell>
          <cell r="I1766" t="str">
            <v>posted to CPR</v>
          </cell>
          <cell r="J1766" t="str">
            <v>25th St Rock Creek Segment 3 Relocation: Independence: 25th St and Claremont Ave</v>
          </cell>
          <cell r="K1766" t="str">
            <v>Approved by: Ralph Janes on 06/13/2013,  Main to abandon: 75' of 2IN PBS from wo# WO20, 60' of 2IN PBS from wo# 37469, and 30' of 4IN PBS from wo# WO146 and replace with 100' of 2IN Thin film on WO# 13-2737. Relocation is necessary due to public improvement Rock Creek Interceptor Improvements - Segment 3.</v>
          </cell>
          <cell r="L1766">
            <v>41451</v>
          </cell>
          <cell r="M1766">
            <v>41564</v>
          </cell>
          <cell r="N1766">
            <v>41564.6247337963</v>
          </cell>
          <cell r="O1766">
            <v>41791</v>
          </cell>
          <cell r="P1766" t="str">
            <v>0201-043001  JACKSON CTY/INDEPENDENCE</v>
          </cell>
          <cell r="Q1766">
            <v>7138.9</v>
          </cell>
          <cell r="R1766">
            <v>319.10000000000002</v>
          </cell>
        </row>
        <row r="1767">
          <cell r="A1767" t="str">
            <v>003941</v>
          </cell>
          <cell r="B1767" t="str">
            <v>LDC 2</v>
          </cell>
          <cell r="D1767" t="str">
            <v>yes</v>
          </cell>
          <cell r="E1767" t="str">
            <v>20201050301</v>
          </cell>
          <cell r="F1767" t="str">
            <v>F0513</v>
          </cell>
          <cell r="G1767" t="str">
            <v>BWO Service Line Repl - ISRS (S)</v>
          </cell>
          <cell r="H1767" t="str">
            <v>BWO-REPLACE SERVICE</v>
          </cell>
          <cell r="I1767" t="str">
            <v>posted to CPR</v>
          </cell>
          <cell r="J1767" t="str">
            <v>BWO-REPLACE SERVICE</v>
          </cell>
          <cell r="K1767" t="str">
            <v>Project Type:B</v>
          </cell>
          <cell r="L1767">
            <v>41717</v>
          </cell>
          <cell r="M1767">
            <v>41717</v>
          </cell>
          <cell r="N1767">
            <v>41717</v>
          </cell>
          <cell r="P1767" t="str">
            <v>0201-043001  JACKSON CTY/INDEPENDENCE</v>
          </cell>
          <cell r="Q1767">
            <v>2670.67</v>
          </cell>
          <cell r="R1767">
            <v>275.5</v>
          </cell>
        </row>
        <row r="1768">
          <cell r="A1768" t="str">
            <v>004552</v>
          </cell>
          <cell r="B1768" t="str">
            <v>LDC 2</v>
          </cell>
          <cell r="D1768" t="str">
            <v>no</v>
          </cell>
          <cell r="E1768" t="str">
            <v>20201133070</v>
          </cell>
          <cell r="F1768" t="str">
            <v>F0507</v>
          </cell>
          <cell r="G1768" t="str">
            <v>Rebuild Meter Install 2'' &amp; Lg (S)</v>
          </cell>
          <cell r="H1768" t="str">
            <v>Coventry Park Apt 2M Retire</v>
          </cell>
          <cell r="I1768" t="str">
            <v>posted to CPR</v>
          </cell>
          <cell r="J1768" t="str">
            <v>Coventry Park Apt 2M Retire: Independence: 17701 E 39th St A</v>
          </cell>
          <cell r="K1768" t="str">
            <v>Approved by: Ray Wilson on 10/24/2013,  Retire exisitng 2M Rotary meter set (built on WO# 99-6593) at Coventry Park Apartments address: 17701 E 39th Street A(Meter#00243781) on WO# 13-3070. Also, abandon 1-1/4" PE Service Line that serves Coventry Park at the main for this premise 600228087 on a BWO. Finally, cut and cap 1/2" PE service line on the South side of 39th Street on a BWO. This service line feeds 17701 E 39th St. (premise 7137). All retirements and abandonments are necessary for future demolition of building. We would like to keep the 39th St. service crossing for possible future customers.</v>
          </cell>
          <cell r="L1768">
            <v>41571</v>
          </cell>
          <cell r="M1768">
            <v>41626</v>
          </cell>
          <cell r="N1768">
            <v>41630.722210648099</v>
          </cell>
          <cell r="P1768" t="str">
            <v>0201-043001  JACKSON CTY/INDEPENDENCE</v>
          </cell>
          <cell r="Q1768">
            <v>1436.2</v>
          </cell>
          <cell r="R1768">
            <v>4</v>
          </cell>
        </row>
        <row r="1769">
          <cell r="A1769" t="str">
            <v>004147</v>
          </cell>
          <cell r="B1769" t="str">
            <v>LDC 2</v>
          </cell>
          <cell r="D1769" t="str">
            <v>yes</v>
          </cell>
          <cell r="E1769" t="str">
            <v>20201050373</v>
          </cell>
          <cell r="F1769" t="str">
            <v>F0535</v>
          </cell>
          <cell r="G1769" t="str">
            <v>BWO Mtr/Reg Repl - SLRP ISRS (S)</v>
          </cell>
          <cell r="H1769" t="str">
            <v>BWO SLRP MTR/REG REPL CONTRACTOR</v>
          </cell>
          <cell r="I1769" t="str">
            <v>posted to CPR</v>
          </cell>
          <cell r="J1769" t="str">
            <v>BWO SLRP MTR/REG REPL CONTRACTOR</v>
          </cell>
          <cell r="K1769" t="str">
            <v>Project Type:B</v>
          </cell>
          <cell r="L1769">
            <v>41717</v>
          </cell>
          <cell r="M1769">
            <v>41717</v>
          </cell>
          <cell r="N1769">
            <v>41717</v>
          </cell>
          <cell r="P1769" t="str">
            <v>0201-043001  JACKSON CTY/INDEPENDENCE</v>
          </cell>
          <cell r="Q1769">
            <v>16458.36</v>
          </cell>
          <cell r="R1769">
            <v>0</v>
          </cell>
        </row>
        <row r="1770">
          <cell r="A1770" t="str">
            <v>009020</v>
          </cell>
          <cell r="B1770" t="str">
            <v>LDC 2</v>
          </cell>
          <cell r="D1770" t="str">
            <v>no</v>
          </cell>
          <cell r="E1770" t="str">
            <v>20301155468</v>
          </cell>
          <cell r="F1770" t="str">
            <v>F0507</v>
          </cell>
          <cell r="G1770" t="str">
            <v>Rebuild Meter Install 2'' &amp; Lg (S)</v>
          </cell>
          <cell r="H1770" t="str">
            <v>Rebuild 3M Rotary Meter Set</v>
          </cell>
          <cell r="I1770" t="str">
            <v>in service</v>
          </cell>
          <cell r="J1770" t="str">
            <v>Rebuild 3M Rotary Meter Set: Warrensburg: Replace Meter &amp; Reg 2in &amp;  Larger - 3820/3830 (32-404)</v>
          </cell>
          <cell r="K1770" t="str">
            <v>Approved by: Kevin Driskell on 07/24/2015,  The AL-2300 meter at 205 S Ridgeview Dr (premise #72511, meter #00239799, installed on unknown WO#) is due for change out on Time Limit.  Existing Load = 3,000 cfh.  Rebuild a 3M rotary meter setting and retire the existing meter.</v>
          </cell>
          <cell r="L1770">
            <v>42384</v>
          </cell>
          <cell r="O1770">
            <v>42614</v>
          </cell>
          <cell r="P1770" t="str">
            <v>0301-046001  JOHNSON CTY/WARRENSBURG</v>
          </cell>
          <cell r="Q1770">
            <v>2719.99</v>
          </cell>
          <cell r="R1770">
            <v>-24</v>
          </cell>
        </row>
        <row r="1771">
          <cell r="A1771" t="str">
            <v>007513</v>
          </cell>
          <cell r="B1771" t="str">
            <v>LDC 2</v>
          </cell>
          <cell r="D1771" t="str">
            <v>yes</v>
          </cell>
          <cell r="E1771" t="str">
            <v>20301155094</v>
          </cell>
          <cell r="F1771" t="str">
            <v>F0604</v>
          </cell>
          <cell r="G1771" t="str">
            <v>Main Replacement - ISRS (S)</v>
          </cell>
          <cell r="H1771" t="str">
            <v>Replace 2in PBS Gay and Mitchell</v>
          </cell>
          <cell r="I1771" t="str">
            <v>posted to CPR</v>
          </cell>
          <cell r="J1771" t="str">
            <v>Replace 2in PBS Gay and Mitchell: Warrensburg: Replace Bare Steel Main - 3760 Safety Related (34-394)</v>
          </cell>
          <cell r="K1771" t="str">
            <v>Approved by: Kevin Driskell on 01/23/2015,  Replace and abandon 723' - 2" PBS (WO# 21578) with 730' - 2" PE main on WO# 15-5094. The existing main is 1947 vintage and causing current issues for the rectifier. ISRS Price per ft = $35.77</v>
          </cell>
          <cell r="L1771">
            <v>42237</v>
          </cell>
          <cell r="M1771">
            <v>42278</v>
          </cell>
          <cell r="N1771">
            <v>42405.451018518499</v>
          </cell>
          <cell r="O1771">
            <v>42278</v>
          </cell>
          <cell r="P1771" t="str">
            <v>0301-046001  JOHNSON CTY/WARRENSBURG</v>
          </cell>
          <cell r="Q1771">
            <v>30308.9</v>
          </cell>
          <cell r="R1771">
            <v>-40</v>
          </cell>
        </row>
        <row r="1772">
          <cell r="A1772" t="str">
            <v>009227</v>
          </cell>
          <cell r="B1772" t="str">
            <v>LDC 2</v>
          </cell>
          <cell r="D1772" t="str">
            <v>yes</v>
          </cell>
          <cell r="E1772" t="str">
            <v>20201155497</v>
          </cell>
          <cell r="F1772" t="str">
            <v>F0604</v>
          </cell>
          <cell r="G1772" t="str">
            <v>Main Replacement - ISRS (S)</v>
          </cell>
          <cell r="H1772" t="str">
            <v>Replace 4in pbs main</v>
          </cell>
          <cell r="I1772" t="str">
            <v>posted to CPR</v>
          </cell>
          <cell r="J1772" t="str">
            <v>Replace 4in pbs main: Independence: Replace Bare Steel Main - 3760 Safety Related (34-394)</v>
          </cell>
          <cell r="K1772" t="str">
            <v>Approved by: Joe Hampton on 08/23/2015,  Replace and abandon 1,100' - 4" pbs main by installing 1,100' - 4" pe main to clear a leak. (ISRS)</v>
          </cell>
          <cell r="L1772">
            <v>42269</v>
          </cell>
          <cell r="M1772">
            <v>42429</v>
          </cell>
          <cell r="N1772">
            <v>42527.512685185196</v>
          </cell>
          <cell r="O1772">
            <v>42278</v>
          </cell>
          <cell r="P1772" t="str">
            <v>0201-043001  JACKSON CTY/INDEPENDENCE</v>
          </cell>
          <cell r="Q1772">
            <v>63928.21</v>
          </cell>
          <cell r="R1772">
            <v>-1529</v>
          </cell>
        </row>
        <row r="1773">
          <cell r="A1773" t="str">
            <v>008550</v>
          </cell>
          <cell r="B1773" t="str">
            <v>LDC 2</v>
          </cell>
          <cell r="D1773" t="str">
            <v>no</v>
          </cell>
          <cell r="E1773" t="str">
            <v>20201155363</v>
          </cell>
          <cell r="F1773" t="str">
            <v>F0507</v>
          </cell>
          <cell r="G1773" t="str">
            <v>Rebuild Meter Install 2'' &amp; Lg (S)</v>
          </cell>
          <cell r="H1773" t="str">
            <v>Remove 5M Rotary Meter</v>
          </cell>
          <cell r="I1773" t="str">
            <v>posted to CPR</v>
          </cell>
          <cell r="J1773" t="str">
            <v>Remove 5M Rotary Meter: Independence: Replace Meter &amp; Reg 2&amp;quot; &amp;  Larger - 3820/3830 (32-404)</v>
          </cell>
          <cell r="K1773" t="str">
            <v>Approved by: Kevin Driskell on 05/21/2015,  Remove and dismantle the 5M rotary meter setting (meter #09623669, premise #2157, installed on WO# 99-6706) at 900 S. Vista due to inactivity.</v>
          </cell>
          <cell r="L1773">
            <v>42177</v>
          </cell>
          <cell r="M1773">
            <v>42216</v>
          </cell>
          <cell r="N1773">
            <v>42317.483819444402</v>
          </cell>
          <cell r="P1773" t="str">
            <v>0201-043001  JACKSON CTY/INDEPENDENCE</v>
          </cell>
          <cell r="Q1773">
            <v>741.3</v>
          </cell>
          <cell r="R1773">
            <v>1</v>
          </cell>
        </row>
        <row r="1774">
          <cell r="A1774" t="str">
            <v>006847</v>
          </cell>
          <cell r="B1774" t="str">
            <v>LDC 2</v>
          </cell>
          <cell r="D1774" t="str">
            <v>no</v>
          </cell>
          <cell r="E1774" t="str">
            <v>20201143953</v>
          </cell>
          <cell r="F1774" t="str">
            <v>F0507</v>
          </cell>
          <cell r="G1774" t="str">
            <v>Rebuild Meter Install 2'' &amp; Lg (S)</v>
          </cell>
          <cell r="H1774" t="str">
            <v>Remove 7M Rotary Meter Setting</v>
          </cell>
          <cell r="I1774" t="str">
            <v>posted to CPR</v>
          </cell>
          <cell r="J1774" t="str">
            <v>Remove 7M Rotary Meter Setting: Independence: Replace Meter &amp; Reg 2in &amp;  Larger - 3820/3830 (32-404)</v>
          </cell>
          <cell r="K1774" t="str">
            <v>Approved by: Ralph Janes on 11/07/2014,  Remove and dismantle the 7M rotary meter setting at the old Palmer Jr High (meter #08265821, installed on WO# 890608, premise #1198599) due to the building being purchased and converted to a retirement facility that went all electric.</v>
          </cell>
          <cell r="L1774">
            <v>42030</v>
          </cell>
          <cell r="M1774">
            <v>42248</v>
          </cell>
          <cell r="N1774">
            <v>42377.350787037001</v>
          </cell>
          <cell r="O1774">
            <v>42339</v>
          </cell>
          <cell r="P1774" t="str">
            <v>0201-043001  JACKSON CTY/INDEPENDENCE</v>
          </cell>
          <cell r="Q1774">
            <v>1544.14</v>
          </cell>
          <cell r="R1774">
            <v>7.5</v>
          </cell>
        </row>
        <row r="1775">
          <cell r="A1775" t="str">
            <v>008737</v>
          </cell>
          <cell r="B1775" t="str">
            <v>LDC 2</v>
          </cell>
          <cell r="D1775" t="str">
            <v>no</v>
          </cell>
          <cell r="E1775" t="str">
            <v>20301155400</v>
          </cell>
          <cell r="F1775" t="str">
            <v>F0606</v>
          </cell>
          <cell r="G1775" t="str">
            <v>Station rebuild &amp; replacement</v>
          </cell>
          <cell r="H1775" t="str">
            <v>Retire DRS 40 in Warrensburg</v>
          </cell>
          <cell r="I1775" t="str">
            <v>posted to CPR</v>
          </cell>
          <cell r="J1775" t="str">
            <v>Retire DRS 40 in Warrensburg: Warrensburg: Rebuild District/TB Stations  3780/3790 (45-387)</v>
          </cell>
          <cell r="K1775" t="str">
            <v>Approved by: Kevin Driskell on 06/16/2015,  Remove and retire DRS 40 (WO# 91-1375) as it will not be needed after the completions of WO# 15-5252.  The 2-2" Rockwell 461-57S regulators will be junked.</v>
          </cell>
          <cell r="L1775">
            <v>42278</v>
          </cell>
          <cell r="M1775">
            <v>42278</v>
          </cell>
          <cell r="N1775">
            <v>42405.451215277797</v>
          </cell>
          <cell r="P1775" t="str">
            <v>0301-046001  JOHNSON CTY/WARRENSBURG</v>
          </cell>
          <cell r="Q1775">
            <v>7957.25</v>
          </cell>
          <cell r="R1775">
            <v>10</v>
          </cell>
        </row>
        <row r="1776">
          <cell r="A1776" t="str">
            <v>007600</v>
          </cell>
          <cell r="B1776" t="str">
            <v>LDC 2</v>
          </cell>
          <cell r="D1776" t="str">
            <v>yes</v>
          </cell>
          <cell r="E1776" t="str">
            <v>20301155114</v>
          </cell>
          <cell r="F1776" t="str">
            <v>F0606</v>
          </cell>
          <cell r="G1776" t="str">
            <v>Station rebuild &amp; replacement</v>
          </cell>
          <cell r="H1776" t="str">
            <v>Retire DRS 9 Jefferson and Maguire</v>
          </cell>
          <cell r="I1776" t="str">
            <v>posted to CPR</v>
          </cell>
          <cell r="J1776" t="str">
            <v>Retire DRS 9 Jefferson and Maguire: Warrensburg: Rebuild District/TB Stations  3780/3790 (45-387)</v>
          </cell>
          <cell r="K1776" t="str">
            <v>Approved by: Kevin Driskell on 02/02/2015,  Remove and retire DRS 9 (WO# 75-1874) as it will not be needed after the completion of WO# 15-5111. The 2 - 2" Rock 441-S regulators will be junked.</v>
          </cell>
          <cell r="L1776">
            <v>42278</v>
          </cell>
          <cell r="M1776">
            <v>42278</v>
          </cell>
          <cell r="N1776">
            <v>42405.451030092598</v>
          </cell>
          <cell r="P1776" t="str">
            <v>0301-046001  JOHNSON CTY/WARRENSBURG</v>
          </cell>
          <cell r="Q1776">
            <v>2990.21</v>
          </cell>
          <cell r="R1776">
            <v>12</v>
          </cell>
        </row>
        <row r="1777">
          <cell r="A1777" t="str">
            <v>003827</v>
          </cell>
          <cell r="B1777" t="str">
            <v>LDC 2</v>
          </cell>
          <cell r="D1777" t="str">
            <v>no</v>
          </cell>
          <cell r="E1777" t="str">
            <v>20301050300</v>
          </cell>
          <cell r="F1777" t="str">
            <v>F0550</v>
          </cell>
          <cell r="G1777" t="str">
            <v>BWO New Service Line Install (S)</v>
          </cell>
          <cell r="H1777" t="str">
            <v>BWO-NEW SERVICES</v>
          </cell>
          <cell r="I1777" t="str">
            <v>posted to CPR</v>
          </cell>
          <cell r="J1777" t="str">
            <v>BWO-NEW SERVICES</v>
          </cell>
          <cell r="K1777" t="str">
            <v>Project Type:B</v>
          </cell>
          <cell r="L1777">
            <v>41717</v>
          </cell>
          <cell r="M1777">
            <v>41717</v>
          </cell>
          <cell r="N1777">
            <v>41717</v>
          </cell>
          <cell r="O1777">
            <v>41852</v>
          </cell>
          <cell r="P1777" t="str">
            <v>0301-046001  JOHNSON CTY/WARRENSBURG</v>
          </cell>
          <cell r="Q1777">
            <v>372201.78</v>
          </cell>
          <cell r="R1777">
            <v>8501</v>
          </cell>
        </row>
        <row r="1778">
          <cell r="A1778" t="str">
            <v>010994</v>
          </cell>
          <cell r="B1778" t="str">
            <v>LDC 2</v>
          </cell>
          <cell r="D1778" t="str">
            <v>no</v>
          </cell>
          <cell r="F1778" t="str">
            <v>F0507</v>
          </cell>
          <cell r="G1778" t="str">
            <v>Rebuild Meter Install 2'' &amp; Lg (S)</v>
          </cell>
          <cell r="H1778" t="str">
            <v>Rebuild 16M Rotary Meter Set</v>
          </cell>
          <cell r="I1778" t="str">
            <v>cancelled</v>
          </cell>
          <cell r="J1778" t="str">
            <v>Rebuild existing 16M Rotary meter setting by installing a new 16M Rotary meter setting. The existing setting has screwed fittings, no strainer and an obsolete regulator that we can no longer adjust.</v>
          </cell>
          <cell r="K1778" t="str">
            <v>CANCEL - THIS IS A DUPLICATE OF 010996 - AMM</v>
          </cell>
          <cell r="N1778">
            <v>42654.444942129601</v>
          </cell>
          <cell r="P1778" t="str">
            <v>0307-049001  LAFAYETTE CTY/CONCORDIA</v>
          </cell>
          <cell r="Q1778">
            <v>0</v>
          </cell>
          <cell r="R1778">
            <v>13.5</v>
          </cell>
        </row>
        <row r="1779">
          <cell r="A1779" t="str">
            <v>005028</v>
          </cell>
          <cell r="B1779" t="str">
            <v>LDC 2</v>
          </cell>
          <cell r="D1779" t="str">
            <v>yes</v>
          </cell>
          <cell r="E1779" t="str">
            <v>20301143476</v>
          </cell>
          <cell r="F1779" t="str">
            <v>F0604</v>
          </cell>
          <cell r="G1779" t="str">
            <v>Main Replacement - ISRS (S)</v>
          </cell>
          <cell r="H1779" t="str">
            <v>Market St Repl PBS w 1320'-2in PE m</v>
          </cell>
          <cell r="I1779" t="str">
            <v>posted to CPR</v>
          </cell>
          <cell r="J1779" t="str">
            <v>Market St Repl PBS w 1320'-2in PE main: Warrensburg: Replace Bare Steel Main - 3760 Safety Related (34-394)</v>
          </cell>
          <cell r="K1779" t="str">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ell>
          <cell r="L1779">
            <v>41885</v>
          </cell>
          <cell r="M1779">
            <v>41913</v>
          </cell>
          <cell r="N1779">
            <v>42044.363287036998</v>
          </cell>
          <cell r="O1779">
            <v>41913</v>
          </cell>
          <cell r="P1779" t="str">
            <v>0301-046001  JOHNSON CTY/WARRENSBURG</v>
          </cell>
          <cell r="Q1779">
            <v>13110.68</v>
          </cell>
          <cell r="R1779">
            <v>-1210.5</v>
          </cell>
        </row>
        <row r="1780">
          <cell r="A1780" t="str">
            <v>004948</v>
          </cell>
          <cell r="B1780" t="str">
            <v>LDC 2</v>
          </cell>
          <cell r="D1780" t="str">
            <v>yes</v>
          </cell>
          <cell r="E1780" t="str">
            <v>20301143470</v>
          </cell>
          <cell r="F1780" t="str">
            <v>F0604</v>
          </cell>
          <cell r="G1780" t="str">
            <v>Main Replacement - ISRS (S)</v>
          </cell>
          <cell r="H1780" t="str">
            <v>Broad St Repl PBS w 530'-2in PE mai</v>
          </cell>
          <cell r="I1780" t="str">
            <v>posted to CPR</v>
          </cell>
          <cell r="J1780" t="str">
            <v>Broad St Repl PBS w 530'-2in PE main: Warrensburg: Replace Bare Steel Main - 3760 Safety Related (34-394)</v>
          </cell>
          <cell r="K1780" t="str">
            <v>Approved by: Ralph Janes on 04/04/2014,  Replace and abandon 520' - 2" pbs main (Work order unknown 1940) by installing 130' - 2" pe to clear 2 active leaks and due to condition of pipe.  (ISRS)</v>
          </cell>
          <cell r="L1780">
            <v>41739</v>
          </cell>
          <cell r="M1780">
            <v>41882</v>
          </cell>
          <cell r="N1780">
            <v>41936.625729166699</v>
          </cell>
          <cell r="O1780">
            <v>41791</v>
          </cell>
          <cell r="P1780" t="str">
            <v>0301-046001  JOHNSON CTY/WARRENSBURG</v>
          </cell>
          <cell r="Q1780">
            <v>1867.27</v>
          </cell>
          <cell r="R1780">
            <v>-502</v>
          </cell>
        </row>
        <row r="1781">
          <cell r="A1781" t="str">
            <v>008632</v>
          </cell>
          <cell r="B1781" t="str">
            <v>LDC 2</v>
          </cell>
          <cell r="D1781" t="str">
            <v>yes</v>
          </cell>
          <cell r="E1781" t="str">
            <v>20305155162</v>
          </cell>
          <cell r="F1781" t="str">
            <v>F0604</v>
          </cell>
          <cell r="G1781" t="str">
            <v>Main Replacement - ISRS (S)</v>
          </cell>
          <cell r="H1781" t="str">
            <v>Replace 2in pbs and pcs main</v>
          </cell>
          <cell r="I1781" t="str">
            <v>posted to CPR</v>
          </cell>
          <cell r="J1781" t="str">
            <v>Replace 2in pbs and pcs main: Sweet Springs: Replace Bare Steel Main - 3760 Safety Related (34-394)</v>
          </cell>
          <cell r="K1781" t="str">
            <v>Approved by: Joe Hampton on 05/28/2015,  Replace and Abandon 2" pbs, pcs and pe main by installing 2,010' - 2" pe and 2,585' - 4" pe main (ISRS)</v>
          </cell>
          <cell r="L1781">
            <v>42302</v>
          </cell>
          <cell r="M1781">
            <v>42429</v>
          </cell>
          <cell r="N1781">
            <v>42527.512199074103</v>
          </cell>
          <cell r="O1781">
            <v>42370</v>
          </cell>
          <cell r="P1781" t="str">
            <v>0305-086001  SALINE CTY/SWEET SPRINGS</v>
          </cell>
          <cell r="Q1781">
            <v>396751.03</v>
          </cell>
          <cell r="R1781">
            <v>-4717</v>
          </cell>
        </row>
        <row r="1782">
          <cell r="A1782" t="str">
            <v>801030</v>
          </cell>
          <cell r="B1782" t="str">
            <v>LDC 2</v>
          </cell>
          <cell r="D1782" t="str">
            <v>no</v>
          </cell>
          <cell r="F1782" t="str">
            <v>F0673</v>
          </cell>
          <cell r="G1782" t="str">
            <v>New Main Extensions (S)</v>
          </cell>
          <cell r="H1782" t="str">
            <v>Install 400F 2P Parkview Est Tipton</v>
          </cell>
          <cell r="I1782" t="str">
            <v>open</v>
          </cell>
          <cell r="J1782" t="str">
            <v>Install ~400 Ft of 2" PL MP Main - Parkview Estates.</v>
          </cell>
          <cell r="K1782" t="str">
            <v>Main extension required (approx 323') to finish off cul-de-sac on Danielle Street, allowing completion of 3-4 more lots. Project Type: Main Extension (MEXTE) to serve 3-4 residential lots.</v>
          </cell>
          <cell r="P1782" t="str">
            <v>0318-062001  MONITEAU CTY/TIPTON</v>
          </cell>
          <cell r="Q1782">
            <v>863.95</v>
          </cell>
          <cell r="R1782">
            <v>-1012</v>
          </cell>
        </row>
        <row r="1783">
          <cell r="A1783" t="str">
            <v>003887</v>
          </cell>
          <cell r="B1783" t="str">
            <v>LDC 2</v>
          </cell>
          <cell r="D1783" t="str">
            <v>yes</v>
          </cell>
          <cell r="E1783" t="str">
            <v>20318132937</v>
          </cell>
          <cell r="F1783" t="str">
            <v>F0604</v>
          </cell>
          <cell r="G1783" t="str">
            <v>Main Replacement - ISRS (S)</v>
          </cell>
          <cell r="H1783" t="str">
            <v>US Rt50 Repl PBS w 310'-4in PE main</v>
          </cell>
          <cell r="I1783" t="str">
            <v>posted to CPR</v>
          </cell>
          <cell r="J1783" t="str">
            <v>US Rt50 Repl PBS w 310'-4in PE main: Tipton: US Route 50 and MO Route 5</v>
          </cell>
          <cell r="K1783" t="str">
            <v>Approved by: Ralph Janes on 09/05/2013,  Replace and abandon 150' - 2in pbs main yr 1950(A1563) and 135' - 2in pbs main (Unknown) by installing 310' - 4in pe main to clear a leak under US Route 50.  4in is being installed as this is one of only 3 main line crossings under Route 50 and recent growth has occured on the south end of town. (ISRS)</v>
          </cell>
          <cell r="L1783">
            <v>41550</v>
          </cell>
          <cell r="M1783">
            <v>41626</v>
          </cell>
          <cell r="N1783">
            <v>41676.633379629602</v>
          </cell>
          <cell r="O1783">
            <v>41730</v>
          </cell>
          <cell r="P1783" t="str">
            <v>0318-062001  MONITEAU CTY/TIPTON</v>
          </cell>
          <cell r="Q1783">
            <v>21518.74</v>
          </cell>
          <cell r="R1783">
            <v>1314</v>
          </cell>
        </row>
        <row r="1784">
          <cell r="A1784" t="str">
            <v>004190</v>
          </cell>
          <cell r="B1784" t="str">
            <v>LDC 2</v>
          </cell>
          <cell r="D1784" t="str">
            <v>no</v>
          </cell>
          <cell r="E1784" t="str">
            <v>20801133163</v>
          </cell>
          <cell r="F1784" t="str">
            <v>F0588</v>
          </cell>
          <cell r="G1784" t="str">
            <v>Transportation &amp; power operated equ</v>
          </cell>
          <cell r="H1784" t="str">
            <v>Pur 2013 Case 4x4 Backhoe w extend</v>
          </cell>
          <cell r="I1784" t="str">
            <v>posted to CPR</v>
          </cell>
          <cell r="J1784" t="str">
            <v>Pur 2013 Case 4x4 Backhoe w extend hoe: Monett: Monett</v>
          </cell>
          <cell r="K1784" t="str">
            <v>Approved by: Ken Thomas on 11/14/2013,  Purchase one 2013 Case 4x4 Backhoe w extend hoe.</v>
          </cell>
          <cell r="L1784">
            <v>41695</v>
          </cell>
          <cell r="M1784">
            <v>41710</v>
          </cell>
          <cell r="N1784">
            <v>41710.614571759303</v>
          </cell>
          <cell r="P1784" t="str">
            <v>0801-005001  BARRY CTY/MONETT</v>
          </cell>
          <cell r="Q1784">
            <v>72597.75</v>
          </cell>
          <cell r="R1784">
            <v>0.5</v>
          </cell>
        </row>
        <row r="1785">
          <cell r="A1785" t="str">
            <v>006833</v>
          </cell>
          <cell r="B1785" t="str">
            <v>LDC 2</v>
          </cell>
          <cell r="D1785" t="str">
            <v>no</v>
          </cell>
          <cell r="E1785" t="str">
            <v>20932143264</v>
          </cell>
          <cell r="F1785" t="str">
            <v>F0672</v>
          </cell>
          <cell r="G1785" t="str">
            <v>Main Repl - Sys Reinforcement (S)</v>
          </cell>
          <cell r="H1785" t="str">
            <v>Reinforce Foxwood &amp; Madison</v>
          </cell>
          <cell r="I1785" t="str">
            <v>posted to CPR</v>
          </cell>
          <cell r="J1785" t="str">
            <v>Reinforce Foxwood &amp; Madison: Raymore: Replace Steel &amp; Plastic Main - System Reinforcement (43-419)</v>
          </cell>
          <cell r="K1785" t="str">
            <v>Approved by: Steve Holcomb on 11/05/2014,  Replace 4" main on Foxwood (58 Hwy) from Silvertop to Madison for increased volume. Install 4890' - 6" TF, 100' - 4" TF, 10' - 2" TF, 90' - 6" PE, and 120' - 2" PE. Two DRS to be rebuilt in conjunction with this work order. DRS 8 to be rebuilt on WO# 14-3802. DRS 4 to be rebuilt on WO# 14-3803. Main to abandon: 4115' - 4" PCS (WO# 63-1040); 42' - 3" PCS and 30' - 6" PCS(WO# 73-0837); 98' - 2" PCS (WO# 97-5246); 5' - 2" PCS (WO# 98-6006); 33' - 4" PCS (WO# 99-6674); 35' - 4" PCS (WO# 99-6678); 36' - 4" PCS (WO# 99-6679); 919' - 4" PCS (WO# 07-1686); 5' - 4" PE (WO# 08-5003); and 2' - 4" PCS (WO# 08-5221).</v>
          </cell>
          <cell r="L1785">
            <v>42328</v>
          </cell>
          <cell r="M1785">
            <v>42400</v>
          </cell>
          <cell r="N1785">
            <v>42496.560057870403</v>
          </cell>
          <cell r="O1785">
            <v>42370</v>
          </cell>
          <cell r="P1785" t="str">
            <v>0932-016022  CASS CTY/RAYMORE</v>
          </cell>
          <cell r="Q1785">
            <v>453526.61</v>
          </cell>
          <cell r="R1785">
            <v>-5056.5</v>
          </cell>
        </row>
        <row r="1786">
          <cell r="A1786" t="str">
            <v>800712</v>
          </cell>
          <cell r="B1786" t="str">
            <v>LDC 2</v>
          </cell>
          <cell r="D1786" t="str">
            <v>no</v>
          </cell>
          <cell r="F1786" t="str">
            <v>F0673</v>
          </cell>
          <cell r="G1786" t="str">
            <v>New Main Extensions (S)</v>
          </cell>
          <cell r="H1786" t="str">
            <v>Install 2550F 2P  Woodland Trails 3</v>
          </cell>
          <cell r="I1786" t="str">
            <v>in service</v>
          </cell>
          <cell r="J1786" t="str">
            <v>Install 2550 Ft of 2" PL MP Main.  Extension is to serve 42 lot subdivision.</v>
          </cell>
          <cell r="L1786">
            <v>42634</v>
          </cell>
          <cell r="O1786">
            <v>42614</v>
          </cell>
          <cell r="P1786" t="str">
            <v>0934-043040  JACKSON CTY/GREENWOOD</v>
          </cell>
          <cell r="Q1786">
            <v>20078.36</v>
          </cell>
          <cell r="R1786">
            <v>-5308.5</v>
          </cell>
        </row>
        <row r="1787">
          <cell r="A1787" t="str">
            <v>006510</v>
          </cell>
          <cell r="B1787" t="str">
            <v>LDC 2</v>
          </cell>
          <cell r="D1787" t="str">
            <v>no</v>
          </cell>
          <cell r="E1787" t="str">
            <v>20803143782</v>
          </cell>
          <cell r="F1787" t="str">
            <v>F0523</v>
          </cell>
          <cell r="G1787" t="str">
            <v>New Main Extensions (SW)</v>
          </cell>
          <cell r="H1787" t="str">
            <v>Lay 170ft 2in Plastic Main</v>
          </cell>
          <cell r="I1787" t="str">
            <v>posted to CPR</v>
          </cell>
          <cell r="J1787" t="str">
            <v>Lay 170ft 2in Plastic Main: Sarcoxie: New Main Extension - Company Crews  3760 (33-305)</v>
          </cell>
          <cell r="K1787" t="str">
            <v>Approved by: Galen Shoemaker on 09/10/2014,  Lay 170ft of 2in Plastic Main to serve new Fema Safe Room and generator for Sarcoxie School. Customer will pay $1,045.00 refundable deposit before construction begins. MOP=15# MAOP=15# TEST=100# SYSTEM=S-2</v>
          </cell>
          <cell r="L1787">
            <v>41934</v>
          </cell>
          <cell r="M1787">
            <v>42248</v>
          </cell>
          <cell r="N1787">
            <v>42284.722326388903</v>
          </cell>
          <cell r="O1787">
            <v>41944</v>
          </cell>
          <cell r="P1787" t="str">
            <v>0803-044035  JASPER CTY/SARCOXIE</v>
          </cell>
          <cell r="Q1787">
            <v>3317.54</v>
          </cell>
          <cell r="R1787">
            <v>-324</v>
          </cell>
        </row>
        <row r="1788">
          <cell r="A1788" t="str">
            <v>007178</v>
          </cell>
          <cell r="B1788" t="str">
            <v>LDC 2</v>
          </cell>
          <cell r="D1788" t="str">
            <v>no</v>
          </cell>
          <cell r="E1788" t="str">
            <v>20932143802</v>
          </cell>
          <cell r="F1788" t="str">
            <v>F0600</v>
          </cell>
          <cell r="G1788" t="str">
            <v>Station Rebuild &amp; Repl ISRS (N)</v>
          </cell>
          <cell r="H1788" t="str">
            <v>Rebuild DRS 8 58 and Johnston</v>
          </cell>
          <cell r="I1788" t="str">
            <v>posted to CPR</v>
          </cell>
          <cell r="J1788" t="str">
            <v>Rebuild DRS 8 58 and Johnston: Raymore: Rebuild District/TB Stations  3780/3790 (45-387)</v>
          </cell>
          <cell r="K1788" t="str">
            <v>Approved by: Ralph Janes on 12/15/2014,  Replace DRS #8 at Foxwood (58 Hwy) and Johnston Pkwy. Main to be replaced on WO# 14-3264. Inlet System S-007 w/ MOP = 130 psig, MAOP = 150 psig. Outlet System C-001 w/ MOP = 50 psig, MAOP = 58 psig. The two 2" 461-57S regulators will be junked.  Changed ovhd codes to no 12-8-16 - need to fix bad as built for true up derivation 12-16</v>
          </cell>
          <cell r="L1788">
            <v>42318</v>
          </cell>
          <cell r="M1788">
            <v>42675</v>
          </cell>
          <cell r="N1788">
            <v>42772.5019328704</v>
          </cell>
          <cell r="O1788">
            <v>42370</v>
          </cell>
          <cell r="P1788" t="str">
            <v>0932-016022  CASS CTY/RAYMORE</v>
          </cell>
          <cell r="Q1788">
            <v>26777.78</v>
          </cell>
          <cell r="R1788">
            <v>-60.5</v>
          </cell>
        </row>
        <row r="1789">
          <cell r="A1789" t="str">
            <v>009804</v>
          </cell>
          <cell r="B1789" t="str">
            <v>LDC 2</v>
          </cell>
          <cell r="D1789" t="str">
            <v>no</v>
          </cell>
          <cell r="F1789" t="str">
            <v>F0639</v>
          </cell>
          <cell r="G1789" t="str">
            <v>EGM Equip-1st Time Installation</v>
          </cell>
          <cell r="H1789" t="str">
            <v>EGM Replace - AFB International</v>
          </cell>
          <cell r="I1789" t="str">
            <v>open</v>
          </cell>
          <cell r="J1789" t="str">
            <v>Replace MiniMax-AT-PT for AFB International at 117 Morgan, Aurora, MO to monitor daily gas usage for this customer.</v>
          </cell>
          <cell r="P1789" t="str">
            <v>0809-050003  LAWRENCE CTY/AURORA</v>
          </cell>
          <cell r="Q1789">
            <v>2064.3000000000002</v>
          </cell>
          <cell r="R1789">
            <v>9</v>
          </cell>
        </row>
        <row r="1790">
          <cell r="A1790" t="str">
            <v>003866</v>
          </cell>
          <cell r="B1790" t="str">
            <v>LDC 2</v>
          </cell>
          <cell r="D1790" t="str">
            <v>yes</v>
          </cell>
          <cell r="E1790" t="str">
            <v>20902143310</v>
          </cell>
          <cell r="F1790" t="str">
            <v>F0549</v>
          </cell>
          <cell r="G1790" t="str">
            <v>Street &amp; highway relocates - safety</v>
          </cell>
          <cell r="H1790" t="str">
            <v>83rd St Reloc PBS/PCS w 2825'-4in P</v>
          </cell>
          <cell r="I1790" t="str">
            <v>posted to CPR</v>
          </cell>
          <cell r="J1790" t="str">
            <v>83rd St Reloc PBS/PCS w 2825'-4in PE main: Raytown: 83rd Street Laurel Ave  to Spring Valley Rd</v>
          </cell>
          <cell r="K1790" t="str">
            <v>Approved by: Steve Lindsey on 02/24/2014,  Replace and abandon 349' - 3" pbs main(A1186), 326' - 3" pbs main (28363), 110' - 3" pbs main (A1435), 311' - 4" pbs main (A1633), 104' - 4" pbs main (38855), 1,171' - 4" pcs main (B1443A), 320' - 4" pcs main (B2190A), 100' - 4" pcs main (57745), 30' - 2" pcs main (B1443B), 15' - 2" pcs main (B2190B) and 65' - 2" pcs main (613404).  The City is replacing their old sanitary sewer line which lies under the street and then will rebuild the street.  Replacement of this old main with plastic should prevent us from the need to cut the new street in the future and will clear 2 active leaks. (ISRS)</v>
          </cell>
          <cell r="L1790">
            <v>41859</v>
          </cell>
          <cell r="M1790">
            <v>41912</v>
          </cell>
          <cell r="N1790">
            <v>42010.616145833301</v>
          </cell>
          <cell r="O1790">
            <v>41852</v>
          </cell>
          <cell r="P1790" t="str">
            <v>0902-043025  JACKSON CTY/RAYTOWN</v>
          </cell>
          <cell r="Q1790">
            <v>172922.53</v>
          </cell>
          <cell r="R1790">
            <v>9235</v>
          </cell>
        </row>
        <row r="1791">
          <cell r="A1791" t="str">
            <v>004385</v>
          </cell>
          <cell r="B1791" t="str">
            <v>LDC 2</v>
          </cell>
          <cell r="D1791" t="str">
            <v>no</v>
          </cell>
          <cell r="E1791" t="str">
            <v>20902143326</v>
          </cell>
          <cell r="F1791" t="str">
            <v>F0605</v>
          </cell>
          <cell r="G1791" t="str">
            <v>Replace steel &amp; plastic main</v>
          </cell>
          <cell r="H1791" t="str">
            <v>74th Ter &amp; Woodson Repl PCS w 50'-2</v>
          </cell>
          <cell r="I1791" t="str">
            <v>posted to CPR</v>
          </cell>
          <cell r="J1791" t="str">
            <v>74th Ter &amp; Woodson Repl PCS w 50'-2in PE main: Raytown: 74th Terr and Woodson Dr.</v>
          </cell>
          <cell r="K1791" t="str">
            <v>Approved by: Ralph Janes on 02/05/2014,  Replace and retire 50' - 2" pcs main (A9142B) which is leaking with 50' - 2" pe.</v>
          </cell>
          <cell r="L1791">
            <v>41668</v>
          </cell>
          <cell r="M1791">
            <v>41729</v>
          </cell>
          <cell r="N1791">
            <v>41732.3461805556</v>
          </cell>
          <cell r="O1791">
            <v>41730</v>
          </cell>
          <cell r="P1791" t="str">
            <v>0902-043025  JACKSON CTY/RAYTOWN</v>
          </cell>
          <cell r="Q1791">
            <v>4361.41</v>
          </cell>
          <cell r="R1791">
            <v>50</v>
          </cell>
        </row>
        <row r="1792">
          <cell r="A1792" t="str">
            <v>007516</v>
          </cell>
          <cell r="B1792" t="str">
            <v>LDC 2</v>
          </cell>
          <cell r="D1792" t="str">
            <v>yes</v>
          </cell>
          <cell r="E1792" t="str">
            <v>20904155099</v>
          </cell>
          <cell r="F1792" t="str">
            <v>F0604</v>
          </cell>
          <cell r="G1792" t="str">
            <v>Main Replacement - ISRS (S)</v>
          </cell>
          <cell r="H1792" t="str">
            <v>Replace PBS main 130th and Byars Pa</v>
          </cell>
          <cell r="I1792" t="str">
            <v>posted to CPR</v>
          </cell>
          <cell r="J1792" t="str">
            <v>Replace PBS main 130th and Byars Paving: Grandview: Replace Bare Steel Main - 3760 Safety Related (34-394)</v>
          </cell>
          <cell r="K1792" t="str">
            <v>Approved by: Steve Holcomb on 01/26/2015,  ARP work order - Grandview City Paving Project. Replace and abandon 1756' - 4" PBS, 758' - 2" PBS, 471' - 4" PCS, and 8' - 2" PCS with 745' - 4" PE and 2260' - 2" PE main. See pipe tab for retirement WO details. Paving estimates are low due to most of this replacement being in an area to be repaved by the city. ISRS Price per ft = $37.55</v>
          </cell>
          <cell r="L1792">
            <v>42146</v>
          </cell>
          <cell r="M1792">
            <v>42216</v>
          </cell>
          <cell r="N1792">
            <v>42284.723182870403</v>
          </cell>
          <cell r="O1792">
            <v>42186</v>
          </cell>
          <cell r="P1792" t="str">
            <v>0904-043030  JACKSON CTY/GRANDVIEW</v>
          </cell>
          <cell r="Q1792">
            <v>260375.16</v>
          </cell>
          <cell r="R1792">
            <v>-3914.5</v>
          </cell>
        </row>
        <row r="1793">
          <cell r="A1793" t="str">
            <v>004547</v>
          </cell>
          <cell r="B1793" t="str">
            <v>LDC 2</v>
          </cell>
          <cell r="D1793" t="str">
            <v>yes</v>
          </cell>
          <cell r="E1793" t="str">
            <v>20904132968</v>
          </cell>
          <cell r="F1793" t="str">
            <v>F0636</v>
          </cell>
          <cell r="G1793" t="str">
            <v>Replace steel &amp; plastic main</v>
          </cell>
          <cell r="H1793" t="str">
            <v>Alley 7th &amp; Jones Reloc 75'-2in PE</v>
          </cell>
          <cell r="I1793" t="str">
            <v>posted to CPR</v>
          </cell>
          <cell r="J1793" t="str">
            <v>Alley 7th &amp; Jones Reloc 75'-2in PE: Grandview: Between Jones and Lena in Alley</v>
          </cell>
          <cell r="K1793" t="str">
            <v>Approved by: Kevin Driskell on 10/17/2013,  Replace 75' of 2in PE (wo 1973, 73-3788) with 75'-2in PE due to steel service replacement. Was unable to access existing 2in PE that was inserted into abandoned cat iron.</v>
          </cell>
          <cell r="L1793">
            <v>41507</v>
          </cell>
          <cell r="M1793">
            <v>41638</v>
          </cell>
          <cell r="N1793">
            <v>41676.633414351803</v>
          </cell>
          <cell r="O1793">
            <v>41730</v>
          </cell>
          <cell r="P1793" t="str">
            <v>0904-043030  JACKSON CTY/GRANDVIEW</v>
          </cell>
          <cell r="Q1793">
            <v>2480.1999999999998</v>
          </cell>
          <cell r="R1793">
            <v>254</v>
          </cell>
        </row>
        <row r="1794">
          <cell r="A1794" t="str">
            <v>004307</v>
          </cell>
          <cell r="B1794" t="str">
            <v>LDC 2</v>
          </cell>
          <cell r="D1794" t="str">
            <v>no</v>
          </cell>
          <cell r="E1794" t="str">
            <v>20906132370</v>
          </cell>
          <cell r="F1794" t="str">
            <v>F0507</v>
          </cell>
          <cell r="G1794" t="str">
            <v>Rebuild Meter Install 2'' &amp; Lg (S)</v>
          </cell>
          <cell r="H1794" t="str">
            <v>Retire AL 2300 Meter Set Transwest</v>
          </cell>
          <cell r="I1794" t="str">
            <v>posted to CPR</v>
          </cell>
          <cell r="J1794" t="str">
            <v>Retire AL 2300 Meter Set Transwest Inc: Belton: 17327 South 71 Highway</v>
          </cell>
          <cell r="K1794" t="str">
            <v>Approved by: Ralph Janes on 02/08/2013,  The AL 2300 meter (meter# 00232235) at 17327 South 71 Highway(premise# 344861) is due for change out on the 2013 Time Limit Program. Also, this service is on the 20 Year SLRP. The existing load was gathered: 1,420 cfh. Retire the AL 2300 meter set (original WO# 77-5002) on WO# 13-2370 and downsize to an AL-1000 meter.</v>
          </cell>
          <cell r="L1794">
            <v>41311</v>
          </cell>
          <cell r="M1794">
            <v>41600</v>
          </cell>
          <cell r="N1794">
            <v>41612.300219907404</v>
          </cell>
          <cell r="P1794" t="str">
            <v>0906-016001  CASS CTY/BELTON W OF MULLIN RD</v>
          </cell>
          <cell r="Q1794">
            <v>899.12</v>
          </cell>
          <cell r="R1794">
            <v>9</v>
          </cell>
        </row>
        <row r="1795">
          <cell r="A1795" t="str">
            <v>004305</v>
          </cell>
          <cell r="B1795" t="str">
            <v>LDC 2</v>
          </cell>
          <cell r="D1795" t="str">
            <v>no</v>
          </cell>
          <cell r="E1795" t="str">
            <v>20908132621</v>
          </cell>
          <cell r="F1795" t="str">
            <v>F0602</v>
          </cell>
          <cell r="G1795" t="str">
            <v>New business</v>
          </cell>
          <cell r="H1795" t="str">
            <v>801 n Lexington Lay 260'-2in PE mai</v>
          </cell>
          <cell r="I1795" t="str">
            <v>posted to CPR</v>
          </cell>
          <cell r="J1795" t="str">
            <v>801 n Lexington Lay 260'-2in PE main ext: Harrisonville: 801 N. Lexington William Clark Ext</v>
          </cell>
          <cell r="K1795" t="str">
            <v>Approved by: Ray Wilson on 04/24/2013,  Install 260' of 2in PE main on WO# 13-2621 to serve new customer at 801 N Lexington in Harrisonville.</v>
          </cell>
          <cell r="L1795">
            <v>41556</v>
          </cell>
          <cell r="M1795">
            <v>41638</v>
          </cell>
          <cell r="N1795">
            <v>41643.435312499998</v>
          </cell>
          <cell r="O1795">
            <v>41730</v>
          </cell>
          <cell r="P1795" t="str">
            <v>0908-016009  CASS CTY/HARRISONVILLE S</v>
          </cell>
          <cell r="Q1795">
            <v>6000.01</v>
          </cell>
          <cell r="R1795">
            <v>835</v>
          </cell>
        </row>
        <row r="1796">
          <cell r="A1796" t="str">
            <v>008244</v>
          </cell>
          <cell r="B1796" t="str">
            <v>LDC 2</v>
          </cell>
          <cell r="D1796" t="str">
            <v>yes</v>
          </cell>
          <cell r="E1796" t="str">
            <v>20903155313</v>
          </cell>
          <cell r="F1796" t="str">
            <v>F0507</v>
          </cell>
          <cell r="G1796" t="str">
            <v>Rebuild Meter Install 2'' &amp; Lg (S)</v>
          </cell>
          <cell r="H1796" t="str">
            <v>Price Chopper 3M Rotary Meter Rebui</v>
          </cell>
          <cell r="I1796" t="str">
            <v>posted to CPR</v>
          </cell>
          <cell r="J1796" t="str">
            <v>Price Chopper 3M Rotary Meter Rebuild SLRP: Blue Springs: Replace Meter &amp; Reg 2&amp;quot; &amp;  Larger - 3820/3830 (32-404)</v>
          </cell>
          <cell r="K1796" t="str">
            <v>Approved by: Kevin Driskell on 04/22/2015,  20 Year SLRP at Price Chopper - 1305 NW State Route 7 (meter #01022669, installed on WO# 89-9481, premise #1179095).  Rebuild a 3M rotary meter set at the building.  Total connected load = 3,200 cfh.</v>
          </cell>
          <cell r="L1796">
            <v>42272</v>
          </cell>
          <cell r="M1796">
            <v>42278</v>
          </cell>
          <cell r="N1796">
            <v>42314.376435185201</v>
          </cell>
          <cell r="O1796">
            <v>42278</v>
          </cell>
          <cell r="P1796" t="str">
            <v>0903-043026  JACKSON CTY/BLUE SPRINGS</v>
          </cell>
          <cell r="Q1796">
            <v>886.63</v>
          </cell>
          <cell r="R1796">
            <v>-42</v>
          </cell>
        </row>
        <row r="1797">
          <cell r="A1797" t="str">
            <v>004113</v>
          </cell>
          <cell r="B1797" t="str">
            <v>LDC 2</v>
          </cell>
          <cell r="D1797" t="str">
            <v>yes</v>
          </cell>
          <cell r="E1797" t="str">
            <v>20909132835</v>
          </cell>
          <cell r="F1797" t="str">
            <v>F0604</v>
          </cell>
          <cell r="G1797" t="str">
            <v>Main Replacement - ISRS (S)</v>
          </cell>
          <cell r="H1797" t="str">
            <v>Oakland St Repl PBS w 1905'-2in PE</v>
          </cell>
          <cell r="I1797" t="str">
            <v>posted to CPR</v>
          </cell>
          <cell r="J1797" t="str">
            <v>Oakland St Repl PBS w 1905'-2in PE main: Pleasant Hill: Oakland Street</v>
          </cell>
          <cell r="K1797" t="str">
            <v>Approved by: Steve Holcomb on 08/08/2013,  Main to abandon: 1575' of 2in PBS not installed on a work order and 285' of 2in PCS from wo# 46667. Replace with 1905' of 2in PE on WO# 13-2835. Exisitng main is exposed in several locations along Oakland Street &amp;quot;Happy Hill&amp;quot; and there have been 10 leaks along Oakland Street 2 of which are still active.</v>
          </cell>
          <cell r="L1797">
            <v>41571</v>
          </cell>
          <cell r="M1797">
            <v>41626</v>
          </cell>
          <cell r="N1797">
            <v>41643.4352546296</v>
          </cell>
          <cell r="O1797">
            <v>41730</v>
          </cell>
          <cell r="P1797" t="str">
            <v>0909-016012  CASS CTY/PLEASANT HILL</v>
          </cell>
          <cell r="Q1797">
            <v>88157.41</v>
          </cell>
          <cell r="R1797">
            <v>5925</v>
          </cell>
        </row>
        <row r="1798">
          <cell r="A1798" t="str">
            <v>003793</v>
          </cell>
          <cell r="B1798" t="str">
            <v>LDC 2</v>
          </cell>
          <cell r="D1798" t="str">
            <v>yes</v>
          </cell>
          <cell r="E1798" t="str">
            <v>20909133142</v>
          </cell>
          <cell r="F1798" t="str">
            <v>F0580</v>
          </cell>
          <cell r="G1798" t="str">
            <v>Replace steel &amp; plastic main</v>
          </cell>
          <cell r="H1798" t="str">
            <v>Richmond Dr Repl 10'-2in pcs main</v>
          </cell>
          <cell r="I1798" t="str">
            <v>posted to CPR</v>
          </cell>
          <cell r="J1798" t="str">
            <v>Richmond Dr Repl 10'-2in pcs main: Pleasant Hill: Richmond Dr &amp; Carol Drive</v>
          </cell>
          <cell r="K1798" t="str">
            <v>Approved by: Ralph Janes on 11/07/2013,  Replace and abandon 10' - 2in pcs main (WO 642656) that was damaged by third party drilling in a power pole.</v>
          </cell>
          <cell r="L1798">
            <v>41591</v>
          </cell>
          <cell r="M1798">
            <v>41653</v>
          </cell>
          <cell r="N1798">
            <v>41654.604108796302</v>
          </cell>
          <cell r="O1798">
            <v>41730</v>
          </cell>
          <cell r="P1798" t="str">
            <v>0909-016012  CASS CTY/PLEASANT HILL</v>
          </cell>
          <cell r="Q1798">
            <v>2445.8200000000002</v>
          </cell>
          <cell r="R1798">
            <v>44</v>
          </cell>
        </row>
        <row r="1799">
          <cell r="A1799" t="str">
            <v>800083</v>
          </cell>
          <cell r="B1799" t="str">
            <v>LDC 2</v>
          </cell>
          <cell r="C1799" t="str">
            <v>03 - Bare Steel Replacement</v>
          </cell>
          <cell r="D1799" t="str">
            <v>yes</v>
          </cell>
          <cell r="F1799" t="str">
            <v>F0604</v>
          </cell>
          <cell r="G1799" t="str">
            <v>Main Replacement - ISRS (S)</v>
          </cell>
          <cell r="H1799" t="str">
            <v>Holden Grid Phase 2I</v>
          </cell>
          <cell r="I1799" t="str">
            <v>in service</v>
          </cell>
          <cell r="J1799" t="str">
            <v>Install 4030 Ft of 2 in PL IP main for Holden Phase 2I. Abandon 1951 Ft of 2 in PL, 6163 Ft of 2 in ST, 3809 Ft of 3 in ST main, 350 Ft of 4 in PL main, 710 Ft of 4 in ST main and 1015 Ft of 6 in ST main. FY16 Bare Steel Replacement Program.</v>
          </cell>
          <cell r="K1799" t="str">
            <v>Uprate ~ 2071 Ft of 4 in PL LP main IP main in Olive/ MO-131.Total Service Tie-over =58; Total Service Replacement = 2; Total Service Abandoned = 16; Total Service Upgrade = 17</v>
          </cell>
          <cell r="L1799">
            <v>42669</v>
          </cell>
          <cell r="O1799">
            <v>42644</v>
          </cell>
          <cell r="P1799" t="str">
            <v>0910-046008  JOHNSON CTY/HOLDEN</v>
          </cell>
          <cell r="Q1799">
            <v>409365.55</v>
          </cell>
          <cell r="R1799">
            <v>5885</v>
          </cell>
        </row>
        <row r="1800">
          <cell r="A1800" t="str">
            <v>800059</v>
          </cell>
          <cell r="B1800" t="str">
            <v>LDC 2</v>
          </cell>
          <cell r="D1800" t="str">
            <v>no</v>
          </cell>
          <cell r="F1800" t="str">
            <v>F0673</v>
          </cell>
          <cell r="G1800" t="str">
            <v>New Main Extensions (S)</v>
          </cell>
          <cell r="H1800" t="str">
            <v>Inst 3762 2-4P Summit View Farms NB</v>
          </cell>
          <cell r="I1800" t="str">
            <v>open</v>
          </cell>
          <cell r="J1800" t="str">
            <v> Install 822 ft of 2 in IP PE main &amp; 2940 ft of 4 in IP PE main to serve 50 new customers - Summit View Farms.</v>
          </cell>
          <cell r="P1800" t="str">
            <v>0901-043021  JACKSON CTY/LEE'S SUMMIT OFFIC</v>
          </cell>
          <cell r="Q1800">
            <v>556.67999999999995</v>
          </cell>
          <cell r="R1800">
            <v>0</v>
          </cell>
        </row>
        <row r="1801">
          <cell r="A1801" t="str">
            <v>006234</v>
          </cell>
          <cell r="B1801" t="str">
            <v>LDC 2</v>
          </cell>
          <cell r="D1801" t="str">
            <v>no</v>
          </cell>
          <cell r="E1801" t="str">
            <v>20901143763</v>
          </cell>
          <cell r="F1801" t="str">
            <v>F0554</v>
          </cell>
          <cell r="G1801" t="str">
            <v>Tools, Instruments &amp; Equipment (S)</v>
          </cell>
          <cell r="H1801" t="str">
            <v>Purchase Tools - Electrofusion Proc</v>
          </cell>
          <cell r="I1801" t="str">
            <v>posted to CPR</v>
          </cell>
          <cell r="J1801" t="str">
            <v>Purchase Tools - Electrofusion Processor: Lees Summit: Purchase Tools, Instruments &amp; Equipment  3940 (37-366)</v>
          </cell>
          <cell r="K1801" t="str">
            <v>Approved by: Ralph Janes on 09/02/2014,  Purchase 7 - Central Plastics Electofusion Processors with 25' Leads and Adapter Tips for the Lee's Summit C&amp;M Crews.  Retirement Unit 94659000.  The following units will be retired:  1 - Electrofusion machine w/ accessories - Work Order 01-3090.  1 - Central Univ Processor w/ accessories - Work Order 02-4028. 1 - Central Electrofusion Processor - Work Order 03-5917.  4 - 1" Mini Mac W/ Heaters - Work Order 03-5912.  2 - Electrofusion Processors - Work Order 04-8037.  4 - Mini Mac Pipe Fusion Units - Work Order 06-1422.  1 - Easy Fuse Processor - Work Order 07-2210.  2 - Easy Fuse Processor SN 23352 &amp; SN 23339 - Work Order 10-6829. NOTE: only purchased one on PO 433816 &amp; PO was closed - AMM</v>
          </cell>
          <cell r="L1801">
            <v>42041</v>
          </cell>
          <cell r="M1801">
            <v>42248</v>
          </cell>
          <cell r="N1801">
            <v>42496.559930555602</v>
          </cell>
          <cell r="O1801">
            <v>42125</v>
          </cell>
          <cell r="P1801" t="str">
            <v>0901-043021  JACKSON CTY/LEE'S SUMMIT OFFIC</v>
          </cell>
          <cell r="Q1801">
            <v>72419.27</v>
          </cell>
          <cell r="R1801">
            <v>15</v>
          </cell>
        </row>
        <row r="1802">
          <cell r="A1802" t="str">
            <v>005186</v>
          </cell>
          <cell r="B1802" t="str">
            <v>LDC 2</v>
          </cell>
          <cell r="D1802" t="str">
            <v>no</v>
          </cell>
          <cell r="E1802" t="str">
            <v>20901143543</v>
          </cell>
          <cell r="F1802" t="str">
            <v>F0639</v>
          </cell>
          <cell r="G1802" t="str">
            <v>EGM Equip-1st Time Installation</v>
          </cell>
          <cell r="H1802" t="str">
            <v>EGM - Lees Summit R-7 School Dist B</v>
          </cell>
          <cell r="I1802" t="str">
            <v>in service</v>
          </cell>
          <cell r="J1802" t="str">
            <v>EGM - Lees Summit R-7 School Dist Bus Barn: Lees Summit: Install EGM Equipment - First Time Installation  3850 (32-403)</v>
          </cell>
          <cell r="K1802" t="str">
            <v>Approved by: Rob Kitterman on 05/01/2014,  Install Mercury MiniAT-PT w/ Messenger Modem S/N: 13038781 on Roots 23M meter no 01217122 to monitor daily gas usage of this transportation customer. Customer will reimburse company actual cost for EGM installation not to exceed $5,445.00, which should be coded to account 1072. ATTENTION: Plant &amp; Property Accounting, EGM work order, turn off A&amp;G indicator.</v>
          </cell>
          <cell r="L1802">
            <v>42443</v>
          </cell>
          <cell r="O1802">
            <v>42430</v>
          </cell>
          <cell r="P1802" t="str">
            <v>0901-043021  JACKSON CTY/LEE'S SUMMIT OFFIC</v>
          </cell>
          <cell r="Q1802">
            <v>2577.1</v>
          </cell>
          <cell r="R1802">
            <v>9</v>
          </cell>
        </row>
        <row r="1803">
          <cell r="A1803" t="str">
            <v>004013</v>
          </cell>
          <cell r="B1803" t="str">
            <v>LDC 2</v>
          </cell>
          <cell r="D1803" t="str">
            <v>no</v>
          </cell>
          <cell r="E1803" t="str">
            <v>20901133203</v>
          </cell>
          <cell r="F1803" t="str">
            <v>F0602</v>
          </cell>
          <cell r="G1803" t="str">
            <v>New business</v>
          </cell>
          <cell r="H1803" t="str">
            <v>SW 3rd Lay 280'-2in PE main</v>
          </cell>
          <cell r="I1803" t="str">
            <v>posted to CPR</v>
          </cell>
          <cell r="J1803" t="str">
            <v>SW 3rd Lay 280'-2in PE main: Lees Summit: 3275 SW 3rd McDonalds Restaurant</v>
          </cell>
          <cell r="K1803" t="str">
            <v>Approved by: Ralph Janes on 12/05/2013,  Install 280' - 2" pe main extension to serve one new commercial customer.  Note:  Install 95' - 1/2" pe service line on BWO.</v>
          </cell>
          <cell r="L1803">
            <v>41659</v>
          </cell>
          <cell r="M1803">
            <v>41718</v>
          </cell>
          <cell r="N1803">
            <v>41719.593159722201</v>
          </cell>
          <cell r="O1803">
            <v>41730</v>
          </cell>
          <cell r="P1803" t="str">
            <v>0901-043021  JACKSON CTY/LEE'S SUMMIT OFFIC</v>
          </cell>
          <cell r="Q1803">
            <v>4340.7700000000004</v>
          </cell>
          <cell r="R1803">
            <v>809</v>
          </cell>
        </row>
        <row r="1804">
          <cell r="A1804" t="str">
            <v>004362</v>
          </cell>
          <cell r="B1804" t="str">
            <v>LDC 2</v>
          </cell>
          <cell r="D1804" t="str">
            <v>yes</v>
          </cell>
          <cell r="E1804" t="str">
            <v>20513133101</v>
          </cell>
          <cell r="F1804" t="str">
            <v>F0572</v>
          </cell>
          <cell r="G1804" t="str">
            <v>Main Replacement - ISRS (SW)</v>
          </cell>
          <cell r="H1804" t="str">
            <v>2nd &amp; Hunter Repl PBS w 301'-2in PE</v>
          </cell>
          <cell r="I1804" t="str">
            <v>posted to CPR</v>
          </cell>
          <cell r="J1804" t="str">
            <v>2nd &amp; Hunter Repl PBS w 301'-2in PE Main: Carl Junction: 2nd St S of Hunter Rd</v>
          </cell>
          <cell r="K1804" t="str">
            <v>Approved by: Galen Shoemaker on 10/28/2013,  (ISRS)Abandon 301' of 2in PBS (WO# None &amp; 5538) due to cathodic protection issues with isolated bare steel and replace with 305' of 2in PE.  Project Location: 2nd St S of Hunter Rd.  Pressure System: S-1.  MOP: 1.75 PSIG.  MAOP: 1.75 PSIG.  Design: 66 PSIG.  Test: 100 PSIG.  Price Per Foot: $33.49.</v>
          </cell>
          <cell r="L1804">
            <v>41631</v>
          </cell>
          <cell r="M1804">
            <v>41698</v>
          </cell>
          <cell r="N1804">
            <v>41704.7116550926</v>
          </cell>
          <cell r="O1804">
            <v>41730</v>
          </cell>
          <cell r="P1804" t="str">
            <v>0513-044020  JASPER CTY/CARL JUNCTION</v>
          </cell>
          <cell r="Q1804">
            <v>6314.2</v>
          </cell>
          <cell r="R1804">
            <v>1120</v>
          </cell>
        </row>
        <row r="1805">
          <cell r="A1805" t="str">
            <v>004046</v>
          </cell>
          <cell r="B1805" t="str">
            <v>LDC 2</v>
          </cell>
          <cell r="D1805" t="str">
            <v>no</v>
          </cell>
          <cell r="E1805" t="str">
            <v>20601133004</v>
          </cell>
          <cell r="F1805" t="str">
            <v>F0597</v>
          </cell>
          <cell r="G1805" t="str">
            <v>Other</v>
          </cell>
          <cell r="H1805" t="str">
            <v>Replace EGM - Leggett &amp; Platt Wire</v>
          </cell>
          <cell r="I1805" t="str">
            <v>posted to CPR</v>
          </cell>
          <cell r="J1805" t="str">
            <v>Replace EGM - Leggett &amp; Platt Wire: Carthage: E Central - Carthage, MO 64836</v>
          </cell>
          <cell r="K1805" t="str">
            <v>Approved by: Rob Kitterman on 09/24/2013,  Replace EGM equipment at Leggett &amp; Platt Wire with a new Mini-AT-PT, S/N: 13012229, &amp; Messenger Modem. Existing meter is a Roots 16M rotary meter# 08913967. The existing equipment was damaged beyond repair. Retire the damaged ECAT, S/N: 9405389 on this WO as well.</v>
          </cell>
          <cell r="L1805">
            <v>41578</v>
          </cell>
          <cell r="M1805">
            <v>41662</v>
          </cell>
          <cell r="N1805">
            <v>41676.633402777799</v>
          </cell>
          <cell r="P1805" t="str">
            <v>0601-044025  JASPER CTY/CARTHAGE</v>
          </cell>
          <cell r="Q1805">
            <v>3261.82</v>
          </cell>
          <cell r="R1805">
            <v>4</v>
          </cell>
        </row>
        <row r="1806">
          <cell r="A1806" t="str">
            <v>003910</v>
          </cell>
          <cell r="B1806" t="str">
            <v>LDC 2</v>
          </cell>
          <cell r="D1806" t="str">
            <v>yes</v>
          </cell>
          <cell r="E1806" t="str">
            <v>20601132986</v>
          </cell>
          <cell r="F1806" t="str">
            <v>F0664</v>
          </cell>
          <cell r="G1806" t="str">
            <v>Street &amp; Hwy Relocates ISRS (SW)</v>
          </cell>
          <cell r="H1806" t="str">
            <v>13th &amp; Buena Vista Reloc 365'-2in P</v>
          </cell>
          <cell r="I1806" t="str">
            <v>posted to CPR</v>
          </cell>
          <cell r="J1806" t="str">
            <v>13th &amp; Buena Vista Reloc 365'-2in PE inserted 6in: Carthage: 13th and Buena Vista Bridge Crossing</v>
          </cell>
          <cell r="K1806" t="str">
            <v>Approved by: Galen Shoemaker on 09/30/2013,  Relocate main due to existing bridge that main hangs on being replaced. Will bore new 225' - 6in Powercrete Coated Steel casing under creek. Expect 100% rock bore. Abandon 62' - 2' PBS (WO#:NONE), 223' - 2in PCS (WO#: 61-0913), and 20' - 2in PE (WO#: 09-5580) and replace with 365' - 2in PE, 225' inserted in 6in casing due to rock and to allow for increased capability in the future. Project Location: 13th and Buena Vista; Pressure System: C-4; MOP: 10 psig; MAOP 10.5 psig; Design: 58 psig; Test: 100 psig; ISRS $84.61/ft</v>
          </cell>
          <cell r="L1806">
            <v>41598</v>
          </cell>
          <cell r="M1806">
            <v>41715</v>
          </cell>
          <cell r="N1806">
            <v>41715.574340277803</v>
          </cell>
          <cell r="O1806">
            <v>41730</v>
          </cell>
          <cell r="P1806" t="str">
            <v>0601-044025  JASPER CTY/CARTHAGE</v>
          </cell>
          <cell r="Q1806">
            <v>52222</v>
          </cell>
          <cell r="R1806">
            <v>1799.6</v>
          </cell>
        </row>
        <row r="1807">
          <cell r="A1807" t="str">
            <v>012580</v>
          </cell>
          <cell r="B1807" t="str">
            <v>LDC 2</v>
          </cell>
          <cell r="D1807" t="str">
            <v>no</v>
          </cell>
          <cell r="F1807" t="str">
            <v>F0639</v>
          </cell>
          <cell r="G1807" t="str">
            <v>EGM Equip-1st Time Installation</v>
          </cell>
          <cell r="H1807" t="str">
            <v>EGM - Walmart (St Joseph N Belt)</v>
          </cell>
          <cell r="I1807" t="str">
            <v>open</v>
          </cell>
          <cell r="J1807" t="str">
            <v>Mini-Max AT-PT Corrector for Walmart at 4201 N Belt Hwy to monitor daily gas usage. Customer will reimburse company actual cost for EGM installation not to exceed $5,445.</v>
          </cell>
          <cell r="K1807" t="str">
            <v>meter no 009321565</v>
          </cell>
          <cell r="P1807" t="str">
            <v>1001-010001  ST. JOSEPH CITY/BUCHANAN</v>
          </cell>
          <cell r="Q1807">
            <v>1971.95</v>
          </cell>
          <cell r="R1807">
            <v>1</v>
          </cell>
        </row>
        <row r="1808">
          <cell r="A1808" t="str">
            <v>800456</v>
          </cell>
          <cell r="B1808" t="str">
            <v>LDC 2</v>
          </cell>
          <cell r="D1808" t="str">
            <v>no</v>
          </cell>
          <cell r="F1808" t="str">
            <v>F0647</v>
          </cell>
          <cell r="G1808" t="str">
            <v>New Main Extensions (N)</v>
          </cell>
          <cell r="H1808" t="str">
            <v>Inst 563F 4P Greystone TownhomesNB</v>
          </cell>
          <cell r="I1808" t="str">
            <v>in service</v>
          </cell>
          <cell r="J1808" t="str">
            <v> Install 563 ft of 4 in IP PE main to serve 24 new residential customers - Greystone Townhomes Plat 5.</v>
          </cell>
          <cell r="L1808">
            <v>42578</v>
          </cell>
          <cell r="O1808">
            <v>42583</v>
          </cell>
          <cell r="P1808" t="str">
            <v>1001-010001  ST. JOSEPH CITY/BUCHANAN</v>
          </cell>
          <cell r="Q1808">
            <v>21760.42</v>
          </cell>
          <cell r="R1808">
            <v>-1207</v>
          </cell>
        </row>
        <row r="1809">
          <cell r="A1809" t="str">
            <v>009801</v>
          </cell>
          <cell r="B1809" t="str">
            <v>LDC 2</v>
          </cell>
          <cell r="D1809" t="str">
            <v>no</v>
          </cell>
          <cell r="F1809" t="str">
            <v>F0639</v>
          </cell>
          <cell r="G1809" t="str">
            <v>EGM Equip-1st Time Installation</v>
          </cell>
          <cell r="H1809" t="str">
            <v>EGM - Meierhoffer Funeral Home</v>
          </cell>
          <cell r="I1809" t="str">
            <v>in service</v>
          </cell>
          <cell r="J1809" t="str">
            <v>Install MiniMax-AT-PT for Meierhoffer Funeral Home at 5003 Frederick Ave A, St. Joseph, MOto monitor daily gas usage for this customer.  Customer will reimburse company actual cost for EGM installation not to exceed $5,445.</v>
          </cell>
          <cell r="L1809">
            <v>42443</v>
          </cell>
          <cell r="O1809">
            <v>42461</v>
          </cell>
          <cell r="P1809" t="str">
            <v>1001-010001  ST. JOSEPH CITY/BUCHANAN</v>
          </cell>
          <cell r="Q1809">
            <v>2209.96</v>
          </cell>
          <cell r="R1809">
            <v>9</v>
          </cell>
        </row>
        <row r="1810">
          <cell r="A1810" t="str">
            <v>007824</v>
          </cell>
          <cell r="B1810" t="str">
            <v>LDC 2</v>
          </cell>
          <cell r="D1810" t="str">
            <v>yes</v>
          </cell>
          <cell r="E1810" t="str">
            <v>21001155132</v>
          </cell>
          <cell r="F1810" t="str">
            <v>F0678</v>
          </cell>
          <cell r="G1810" t="str">
            <v>Replace bare steel main - safety re</v>
          </cell>
          <cell r="H1810" t="str">
            <v>Repl  612ft of 4in b/s with 4in PE</v>
          </cell>
          <cell r="I1810" t="str">
            <v>posted to CPR</v>
          </cell>
          <cell r="J1810" t="str">
            <v>Repl  612ft of 4in b/s with 4in PE  : St Joseph: Replace Bare Steel Main - 3760 Safety Related (34-394)</v>
          </cell>
          <cell r="K1810" t="str">
            <v>Approved by: Gary Williams on 03/10/2015,  Replace 612ft of 4"B/S main with 4"PE main due to down project.</v>
          </cell>
          <cell r="L1810">
            <v>42135</v>
          </cell>
          <cell r="M1810">
            <v>42217</v>
          </cell>
          <cell r="N1810">
            <v>42284.723391203697</v>
          </cell>
          <cell r="O1810">
            <v>42125</v>
          </cell>
          <cell r="P1810" t="str">
            <v>1001-010001  ST. JOSEPH CITY/BUCHANAN</v>
          </cell>
          <cell r="Q1810">
            <v>17039.87</v>
          </cell>
          <cell r="R1810">
            <v>-970</v>
          </cell>
        </row>
        <row r="1811">
          <cell r="A1811" t="str">
            <v>006800</v>
          </cell>
          <cell r="B1811" t="str">
            <v>LDC 2</v>
          </cell>
          <cell r="D1811" t="str">
            <v>yes</v>
          </cell>
          <cell r="E1811" t="str">
            <v>21001143907</v>
          </cell>
          <cell r="F1811" t="str">
            <v>F0580</v>
          </cell>
          <cell r="G1811" t="str">
            <v>Replace steel &amp; plastic main</v>
          </cell>
          <cell r="H1811" t="str">
            <v>Repl  60ft of 2in PE main with 2inP</v>
          </cell>
          <cell r="I1811" t="str">
            <v>posted to CPR</v>
          </cell>
          <cell r="J1811" t="str">
            <v>Repl  60ft of 2in PE main with 2inPE due to damage: 016-016: Replace Coated Steel &amp; Plastic Main - 3760 (34-396)</v>
          </cell>
          <cell r="K1811" t="str">
            <v>Approved by: Gary Williams on 11/03/2014,  Replace 60' of 2"plastic main due to third party damage.Installed 60' of 2"PE.</v>
          </cell>
          <cell r="L1811">
            <v>41976</v>
          </cell>
          <cell r="M1811">
            <v>42248</v>
          </cell>
          <cell r="N1811">
            <v>42284.722719907397</v>
          </cell>
          <cell r="O1811">
            <v>41974</v>
          </cell>
          <cell r="P1811" t="str">
            <v>1001-010001  ST. JOSEPH CITY/BUCHANAN</v>
          </cell>
          <cell r="Q1811">
            <v>4253.4799999999996</v>
          </cell>
          <cell r="R1811">
            <v>14</v>
          </cell>
        </row>
        <row r="1812">
          <cell r="A1812" t="str">
            <v>004503</v>
          </cell>
          <cell r="B1812" t="str">
            <v>LDC 2</v>
          </cell>
          <cell r="D1812" t="str">
            <v>no</v>
          </cell>
          <cell r="E1812" t="str">
            <v>21001050302</v>
          </cell>
          <cell r="F1812" t="str">
            <v>F0511</v>
          </cell>
          <cell r="G1812" t="str">
            <v>New meter &amp; regulator installations</v>
          </cell>
          <cell r="H1812" t="str">
            <v>BWO-NEW METER SETS</v>
          </cell>
          <cell r="I1812" t="str">
            <v>open</v>
          </cell>
          <cell r="J1812" t="str">
            <v>BWO-NEW METER SETS</v>
          </cell>
          <cell r="K1812" t="str">
            <v>Project Type:B</v>
          </cell>
          <cell r="O1812">
            <v>41730</v>
          </cell>
          <cell r="P1812" t="str">
            <v>1001-010001  ST. JOSEPH CITY/BUCHANAN</v>
          </cell>
          <cell r="Q1812">
            <v>115542.56</v>
          </cell>
          <cell r="R1812">
            <v>16869.5</v>
          </cell>
        </row>
        <row r="1813">
          <cell r="A1813" t="str">
            <v>004435</v>
          </cell>
          <cell r="B1813" t="str">
            <v>LDC 2</v>
          </cell>
          <cell r="D1813" t="str">
            <v>no</v>
          </cell>
          <cell r="E1813" t="str">
            <v>21001133139</v>
          </cell>
          <cell r="F1813" t="str">
            <v>F0533</v>
          </cell>
          <cell r="G1813" t="str">
            <v>Services -  2" &amp; larger</v>
          </cell>
          <cell r="H1813" t="str">
            <v>CARDEN ELEM SCHOOL-2in SERV LINE 15</v>
          </cell>
          <cell r="I1813" t="str">
            <v>posted to CPR</v>
          </cell>
          <cell r="J1813" t="str">
            <v>CARDEN ELEM SCHOOL-2in SERV LINE 1510 Duncan: St Joseph: 1510 DUNCAN ST</v>
          </cell>
          <cell r="K1813" t="str">
            <v>Approved by: Gary Williams on 11/15/2013,  LAYING 600FT-2IN PE SERVICE LINE FOR ELEMENTARY SCHOOL. TIE-IN 2IN PE MAIN (WO#97-3760).LOAD (4,627 CFH).</v>
          </cell>
          <cell r="L1813">
            <v>41628</v>
          </cell>
          <cell r="M1813">
            <v>41670</v>
          </cell>
          <cell r="N1813">
            <v>41677.509768518503</v>
          </cell>
          <cell r="O1813">
            <v>41730</v>
          </cell>
          <cell r="P1813" t="str">
            <v>1001-010001  ST. JOSEPH CITY/BUCHANAN</v>
          </cell>
          <cell r="Q1813">
            <v>7602.25</v>
          </cell>
          <cell r="R1813">
            <v>1745</v>
          </cell>
        </row>
        <row r="1814">
          <cell r="A1814" t="str">
            <v>004434</v>
          </cell>
          <cell r="B1814" t="str">
            <v>LDC 2</v>
          </cell>
          <cell r="D1814" t="str">
            <v>no</v>
          </cell>
          <cell r="E1814" t="str">
            <v>21001133155</v>
          </cell>
          <cell r="F1814" t="str">
            <v>F0483</v>
          </cell>
          <cell r="G1814" t="str">
            <v>Meter &amp; regulator settings - 2" &amp; l</v>
          </cell>
          <cell r="H1814" t="str">
            <v>CARDEN ELEM SCHOOL-5M 1501 Duncan</v>
          </cell>
          <cell r="I1814" t="str">
            <v>posted to CPR</v>
          </cell>
          <cell r="J1814" t="str">
            <v>CARDEN ELEM SCHOOL-5M 1501 Duncan : St Joseph: 1501 DUNCAN ST</v>
          </cell>
          <cell r="K1814" t="str">
            <v>Approved by: Gary Williams on 11/15/2013,  This work order is necessary to install a 5M roots meter to service one new commercial customer. We'll set a 2in CL-34-2 regulator at 2psig with a 1in 289H-41 relief set at 3psig with 1/2 orifice size and brown spring for a connected load of 4627cfh.</v>
          </cell>
          <cell r="L1814">
            <v>41620</v>
          </cell>
          <cell r="M1814">
            <v>41698</v>
          </cell>
          <cell r="N1814">
            <v>41704.7116550926</v>
          </cell>
          <cell r="O1814">
            <v>42064</v>
          </cell>
          <cell r="P1814" t="str">
            <v>1001-010001  ST. JOSEPH CITY/BUCHANAN</v>
          </cell>
          <cell r="Q1814">
            <v>6575.74</v>
          </cell>
          <cell r="R1814">
            <v>43</v>
          </cell>
        </row>
        <row r="1815">
          <cell r="A1815" t="str">
            <v>003995</v>
          </cell>
          <cell r="B1815" t="str">
            <v>LDC 2</v>
          </cell>
          <cell r="D1815" t="str">
            <v>no</v>
          </cell>
          <cell r="E1815" t="str">
            <v>21001132373</v>
          </cell>
          <cell r="F1815" t="str">
            <v>F0483</v>
          </cell>
          <cell r="G1815" t="str">
            <v>Meter &amp; regulator settings - 2" &amp; l</v>
          </cell>
          <cell r="H1815" t="str">
            <v>FIVE GUYS 3M METER SET</v>
          </cell>
          <cell r="I1815" t="str">
            <v>posted to CPR</v>
          </cell>
          <cell r="J1815" t="str">
            <v>FIVE GUYS 3M METER SET: St Joseph: 3708 FREDERICK AVE A</v>
          </cell>
          <cell r="K1815" t="str">
            <v>Approved by: Gary Williams on 01/30/2013,  This work order is necessary to install a 3M roots meter to serve one new commercial customer. We will set a ACTARIS B34-IMRV1 Regulator at 14in WC with a 3/8 orifice size, PURPLE spring with a connected load of 2000 cfh.</v>
          </cell>
          <cell r="L1815">
            <v>41318</v>
          </cell>
          <cell r="M1815">
            <v>41729</v>
          </cell>
          <cell r="N1815">
            <v>41733.309976851902</v>
          </cell>
          <cell r="P1815" t="str">
            <v>1001-010001  ST. JOSEPH CITY/BUCHANAN</v>
          </cell>
          <cell r="Q1815">
            <v>1164.23</v>
          </cell>
          <cell r="R1815">
            <v>46</v>
          </cell>
        </row>
        <row r="1816">
          <cell r="A1816" t="str">
            <v>800554</v>
          </cell>
          <cell r="B1816" t="str">
            <v>LDC 2</v>
          </cell>
          <cell r="D1816" t="str">
            <v>no</v>
          </cell>
          <cell r="F1816" t="str">
            <v>F0647</v>
          </cell>
          <cell r="G1816" t="str">
            <v>New Main Extensions (N)</v>
          </cell>
          <cell r="H1816" t="str">
            <v>Inst 1789F 2P Bristol Ridge Est NB</v>
          </cell>
          <cell r="I1816" t="str">
            <v>in service</v>
          </cell>
          <cell r="J1816" t="str">
            <v>Install 1789 ft of 2 in IP PE main and 195 ft of 8 in IP PE main to serve 14 new customers.</v>
          </cell>
          <cell r="L1816">
            <v>42576</v>
          </cell>
          <cell r="O1816">
            <v>42583</v>
          </cell>
          <cell r="P1816" t="str">
            <v>1002-002001  ANDREW CTY/SAVANNAH</v>
          </cell>
          <cell r="Q1816">
            <v>37828.81</v>
          </cell>
          <cell r="R1816">
            <v>-3956.5</v>
          </cell>
        </row>
        <row r="1817">
          <cell r="A1817" t="str">
            <v>003832</v>
          </cell>
          <cell r="B1817" t="str">
            <v>LDC 2</v>
          </cell>
          <cell r="D1817" t="str">
            <v>no</v>
          </cell>
          <cell r="E1817" t="str">
            <v>21201050304</v>
          </cell>
          <cell r="F1817" t="str">
            <v>F0499</v>
          </cell>
          <cell r="G1817" t="str">
            <v>BWO House Regulators 2'' &amp; Sm (N)</v>
          </cell>
          <cell r="H1817" t="str">
            <v>BWO-HOUSE REGULATORS</v>
          </cell>
          <cell r="I1817" t="str">
            <v>posted to CPR</v>
          </cell>
          <cell r="J1817" t="str">
            <v>BWO-HOUSE REGULATORS</v>
          </cell>
          <cell r="K1817" t="str">
            <v>Changed to Non-Payroll class code 7-1-15 - should not charge labor here - AMM
This WO not used anymore - see WO 004293 for North Region House Regulators</v>
          </cell>
          <cell r="L1817">
            <v>42369</v>
          </cell>
          <cell r="M1817">
            <v>42369</v>
          </cell>
          <cell r="N1817">
            <v>42401</v>
          </cell>
          <cell r="O1817">
            <v>42036</v>
          </cell>
          <cell r="P1817" t="str">
            <v>1201-020042  CLAY CTY/KANSAS CITY (N PLANT)</v>
          </cell>
          <cell r="Q1817">
            <v>48.24</v>
          </cell>
          <cell r="R1817">
            <v>8</v>
          </cell>
        </row>
        <row r="1818">
          <cell r="A1818" t="str">
            <v>010177</v>
          </cell>
          <cell r="B1818" t="str">
            <v>LDC 2</v>
          </cell>
          <cell r="D1818" t="str">
            <v>no</v>
          </cell>
          <cell r="F1818" t="str">
            <v>F1171</v>
          </cell>
          <cell r="G1818" t="str">
            <v>Tools For MGE Operation Services</v>
          </cell>
          <cell r="H1818" t="str">
            <v>Purch Catco Enclosure Heater Pkgs</v>
          </cell>
          <cell r="I1818" t="str">
            <v>in service</v>
          </cell>
          <cell r="J1818" t="str">
            <v>Purchase 2 2in Catco Enclosure Heater Packages and 2 3in Catco Heater Enclosure Packages at the REX interconnect site in Turney to heat Fisher Valves to prevent ice-up..</v>
          </cell>
          <cell r="K1818" t="str">
            <v>Request is from Tom McGill, per Kevin A. NOTE: Per Kevin, an additional 4 unit heater units were needed at the REX interconnect site in Turney - addl cost $2767 - I told him it's ok to use this WO  - AMM 2-23-16</v>
          </cell>
          <cell r="L1818">
            <v>42522</v>
          </cell>
          <cell r="O1818">
            <v>42522</v>
          </cell>
          <cell r="P1818" t="str">
            <v>1237-021008  CLINTON CTY/TURNEY</v>
          </cell>
          <cell r="Q1818">
            <v>7016.82</v>
          </cell>
          <cell r="R1818">
            <v>16</v>
          </cell>
        </row>
        <row r="1819">
          <cell r="A1819" t="str">
            <v>800125</v>
          </cell>
          <cell r="B1819" t="str">
            <v>LDC 2</v>
          </cell>
          <cell r="C1819" t="str">
            <v>03 - Bare Steel Replacement</v>
          </cell>
          <cell r="D1819" t="str">
            <v>yes</v>
          </cell>
          <cell r="F1819" t="str">
            <v>F0599</v>
          </cell>
          <cell r="G1819" t="str">
            <v>Main Replacement - ISRS (N)</v>
          </cell>
          <cell r="H1819" t="str">
            <v>Repl w/ 1365F 2P Liberty PhH</v>
          </cell>
          <cell r="I1819" t="str">
            <v>open</v>
          </cell>
          <cell r="J1819" t="str">
            <v>Install 1365 Ft of 2in PL IP, and abandon 519 Ft of 2in PL, 3in Pl and 4in Pl,and  2646 Ft of 2in, 3in and 4in steel - Liberty Grid Phse H</v>
          </cell>
          <cell r="K1819" t="str">
            <v>This main is being replaced as part of FY16 Bare Steel Replacement Program.</v>
          </cell>
          <cell r="P1819" t="str">
            <v>1207-020001  CLAY CTY/LIBERTY</v>
          </cell>
          <cell r="Q1819">
            <v>107359.81</v>
          </cell>
          <cell r="R1819">
            <v>119</v>
          </cell>
        </row>
        <row r="1820">
          <cell r="A1820" t="str">
            <v>012638</v>
          </cell>
          <cell r="B1820" t="str">
            <v>LDC 2</v>
          </cell>
          <cell r="D1820" t="str">
            <v>no</v>
          </cell>
          <cell r="F1820" t="str">
            <v>F1190</v>
          </cell>
          <cell r="G1820" t="str">
            <v>New District Reg Stations (SW)</v>
          </cell>
          <cell r="H1820" t="str">
            <v>New Take Point Reg Station</v>
          </cell>
          <cell r="I1820" t="str">
            <v>open</v>
          </cell>
          <cell r="J1820" t="str">
            <v>Install a new Town Border Station #1 at the New Cleveland Take Point. Southern Star is moving their Cleveland Meter Setting and Custody Transfer Point south of town &amp; will abandon existing Meter Setting &amp; Custody Transfer Point.</v>
          </cell>
          <cell r="K1820" t="str">
            <v>We will retire our existing DRS #1 which was installed on work order 92-7785. The related main installation work order is 14698248 - Project 800367.</v>
          </cell>
          <cell r="P1820" t="str">
            <v>0922-016014  CASS CTY/CLEVELAND</v>
          </cell>
          <cell r="Q1820">
            <v>6994.04</v>
          </cell>
          <cell r="R1820">
            <v>-192</v>
          </cell>
        </row>
        <row r="1821">
          <cell r="A1821" t="str">
            <v>800367</v>
          </cell>
          <cell r="B1821" t="str">
            <v>LDC 2</v>
          </cell>
          <cell r="D1821" t="str">
            <v>no</v>
          </cell>
          <cell r="F1821" t="str">
            <v>F0672</v>
          </cell>
          <cell r="G1821" t="str">
            <v>Main Repl - Sys Reinforcement (S)</v>
          </cell>
          <cell r="H1821" t="str">
            <v>Rein 155F 4P Move Cleveland TBS</v>
          </cell>
          <cell r="I1821" t="str">
            <v>open</v>
          </cell>
          <cell r="J1821" t="str">
            <v>Install 155' - 4" plastic main, 55' - 4" coated steel main.</v>
          </cell>
          <cell r="K1821" t="str">
            <v>Southern Star plans to move their meter/custody transfer point from in town to their station south of town. This will give us an opportunity to upgrade our Town Boarder DRS and increase the size of our odorizer which currently requires us to refill multiple times each year. Town Boarder DRS and Odorizer to be installed on work order .....</v>
          </cell>
          <cell r="P1821" t="str">
            <v>0922-016014  CASS CTY/CLEVELAND</v>
          </cell>
          <cell r="Q1821">
            <v>24601.42</v>
          </cell>
          <cell r="R1821">
            <v>-705.75</v>
          </cell>
        </row>
        <row r="1822">
          <cell r="A1822" t="str">
            <v>004513</v>
          </cell>
          <cell r="B1822" t="str">
            <v>LDC 2</v>
          </cell>
          <cell r="D1822" t="str">
            <v>yes</v>
          </cell>
          <cell r="E1822" t="str">
            <v>20926132321</v>
          </cell>
          <cell r="F1822" t="str">
            <v>F0578</v>
          </cell>
          <cell r="G1822" t="str">
            <v>Street &amp; Highway Relocates ISRS (S)</v>
          </cell>
          <cell r="H1822" t="str">
            <v>24th &amp; Broadway Reloc 17'-4in PE ma</v>
          </cell>
          <cell r="I1822" t="str">
            <v>posted to CPR</v>
          </cell>
          <cell r="J1822" t="str">
            <v>24th &amp; Broadway Reloc 17'-4in PE main MoDot: Oak Grove: 24th and Broadway</v>
          </cell>
          <cell r="K1822" t="str">
            <v>Approved by: Ralph Janes on 02/07/2013,  MoDOT project J4P2267. Relocate 4in PE to a depth of 7.5' for a 24in storm crossing. This 4in PE is the sole feed to the south in Oak Grove. This WO should be worked in conjunction with 12-1995 (which is the reimbursable portion south of 24th St). Retire 8' - 4in PE (WO# 88-2675) and install 17' - 4in PE. (ISRS)</v>
          </cell>
          <cell r="L1822">
            <v>41484</v>
          </cell>
          <cell r="M1822">
            <v>41564</v>
          </cell>
          <cell r="N1822">
            <v>41564.624722222201</v>
          </cell>
          <cell r="P1822" t="str">
            <v>0926-043037  JACKSON CTY/OAK GROVE</v>
          </cell>
          <cell r="Q1822">
            <v>10655.18</v>
          </cell>
          <cell r="R1822">
            <v>566</v>
          </cell>
        </row>
        <row r="1823">
          <cell r="A1823" t="str">
            <v>010735</v>
          </cell>
          <cell r="B1823" t="str">
            <v>LDC 2</v>
          </cell>
          <cell r="D1823" t="str">
            <v>no</v>
          </cell>
          <cell r="F1823" t="str">
            <v>F0529</v>
          </cell>
          <cell r="G1823" t="str">
            <v>Meter Purchases - MGE</v>
          </cell>
          <cell r="H1823" t="str">
            <v>Itron MC3 RF Unit for MGE</v>
          </cell>
          <cell r="I1823" t="str">
            <v>in service</v>
          </cell>
          <cell r="J1823" t="str">
            <v>Purchase one mobile collection unit with the associated software for the meter reading program in Kansas City.</v>
          </cell>
          <cell r="L1823">
            <v>42521</v>
          </cell>
          <cell r="O1823">
            <v>42522</v>
          </cell>
          <cell r="P1823" t="str">
            <v>1904-020042  CLAY CTY/KANSAS CITY (N PLANT)</v>
          </cell>
          <cell r="Q1823">
            <v>42445.23</v>
          </cell>
          <cell r="R1823">
            <v>2</v>
          </cell>
        </row>
        <row r="1824">
          <cell r="A1824" t="str">
            <v>004209</v>
          </cell>
          <cell r="B1824" t="str">
            <v>LDC 2</v>
          </cell>
          <cell r="D1824" t="str">
            <v>no</v>
          </cell>
          <cell r="E1824" t="str">
            <v>21904133090</v>
          </cell>
          <cell r="F1824" t="str">
            <v>F0577</v>
          </cell>
          <cell r="G1824" t="str">
            <v>ERT Purchases</v>
          </cell>
          <cell r="H1824" t="str">
            <v>Pur 10000 100G  Erts Repl Program M</v>
          </cell>
          <cell r="I1824" t="str">
            <v>posted to CPR</v>
          </cell>
          <cell r="J1824" t="str">
            <v>Pur 10000 100G  Erts Repl Program May 2014: Kansas City CORP: Central Plant Meter Shop</v>
          </cell>
          <cell r="K1824" t="str">
            <v>Approved by: Steve Lindsey on 11/18/2013,  Purchase domestic 100G Am Erts 5198300 Rk Erts 5198310 for the replacement program.</v>
          </cell>
          <cell r="L1824">
            <v>41641</v>
          </cell>
          <cell r="M1824">
            <v>41944</v>
          </cell>
          <cell r="N1824">
            <v>41978.593182870398</v>
          </cell>
          <cell r="O1824">
            <v>41883</v>
          </cell>
          <cell r="P1824" t="str">
            <v>1904-043050  JACKSON CTY/KC</v>
          </cell>
          <cell r="Q1824">
            <v>222780</v>
          </cell>
          <cell r="R1824">
            <v>5000</v>
          </cell>
        </row>
        <row r="1825">
          <cell r="A1825" t="str">
            <v>004019</v>
          </cell>
          <cell r="B1825" t="str">
            <v>LDC 2</v>
          </cell>
          <cell r="D1825" t="str">
            <v>no</v>
          </cell>
          <cell r="E1825" t="str">
            <v>21904133077</v>
          </cell>
          <cell r="F1825" t="str">
            <v>F0529</v>
          </cell>
          <cell r="G1825" t="str">
            <v>Meter Purchases - MGE</v>
          </cell>
          <cell r="H1825" t="str">
            <v>Pur 2000 AC250-TC Am Meters May 201</v>
          </cell>
          <cell r="I1825" t="str">
            <v>posted to CPR</v>
          </cell>
          <cell r="J1825" t="str">
            <v>Pur 2000 AC250-TC Am Meters May 2014: Kansas City CORP: Central Plant Meter Shop</v>
          </cell>
          <cell r="K1825" t="str">
            <v>Approved by: Steve Lindsey on 11/18/2013,  This work order is for new domestic meters to be delivered May 2014. Retirement unit # 73003086.</v>
          </cell>
          <cell r="L1825">
            <v>41912</v>
          </cell>
          <cell r="M1825">
            <v>41944</v>
          </cell>
          <cell r="N1825">
            <v>41978.592951388899</v>
          </cell>
          <cell r="O1825">
            <v>41883</v>
          </cell>
          <cell r="P1825" t="str">
            <v>1904-043050  JACKSON CTY/KC</v>
          </cell>
          <cell r="Q1825">
            <v>189745.35</v>
          </cell>
          <cell r="R1825">
            <v>8000</v>
          </cell>
        </row>
        <row r="1826">
          <cell r="A1826" t="str">
            <v>004263</v>
          </cell>
          <cell r="B1826" t="str">
            <v>LDC 2</v>
          </cell>
          <cell r="D1826" t="str">
            <v>no</v>
          </cell>
          <cell r="E1826" t="str">
            <v>21904143295</v>
          </cell>
          <cell r="F1826" t="str">
            <v>F0640</v>
          </cell>
          <cell r="G1826" t="str">
            <v>32-700-420-METERS</v>
          </cell>
          <cell r="H1826" t="str">
            <v>Pur 1500 Rebuilt Meters Load 9246 E</v>
          </cell>
          <cell r="I1826" t="str">
            <v>posted to CPR</v>
          </cell>
          <cell r="J1826" t="str">
            <v>Pur 1500 Rebuilt Meters Load 9246 EEI Feb 2014: Kansas City CORP: Central Plant Meter Shop</v>
          </cell>
          <cell r="K1826" t="str">
            <v>Approved by: Steve Holcomb on 02/10/2014,  Remanufacturing meters - 73005096, for February 2014
Note: WO had 3014 as in-svc year - did not go to 106 4-14.  Corrected 5-13-14 AMM</v>
          </cell>
          <cell r="L1826">
            <v>41701</v>
          </cell>
          <cell r="M1826">
            <v>41944</v>
          </cell>
          <cell r="N1826">
            <v>41978.593229166698</v>
          </cell>
          <cell r="O1826">
            <v>41760</v>
          </cell>
          <cell r="P1826" t="str">
            <v>1904-043050  JACKSON CTY/KC</v>
          </cell>
          <cell r="Q1826">
            <v>61356.9</v>
          </cell>
          <cell r="R1826">
            <v>13032</v>
          </cell>
        </row>
        <row r="1827">
          <cell r="A1827" t="str">
            <v>007592</v>
          </cell>
          <cell r="B1827" t="str">
            <v>LDC 2</v>
          </cell>
          <cell r="D1827" t="str">
            <v>no</v>
          </cell>
          <cell r="E1827" t="str">
            <v>21260143565</v>
          </cell>
          <cell r="F1827" t="str">
            <v>F0610</v>
          </cell>
          <cell r="G1827" t="str">
            <v>New business</v>
          </cell>
          <cell r="H1827" t="str">
            <v>THOUSAND OAKS-13, PHASE B</v>
          </cell>
          <cell r="I1827" t="str">
            <v>posted to CPR</v>
          </cell>
          <cell r="J1827" t="str">
            <v>THOUSAND OAKS-13, PHASE B: Parkville: New Main Extension - Contractor Crews  3760 (33-380)</v>
          </cell>
          <cell r="K1827" t="str">
            <v>Approved by: Steve Holcomb on 11/07/2014,  LAYING 3,051'-4" PE &amp; 1,502'-2" PE FOR SUBDIVISION w/ 66 LOTS.  LOTS 615 THRU 680. DEVELOPER TO CONTRIBUTE $38,700.50 BEFORE START OF PROJECT.  4,553 FT x $8.50=$38,700.50</v>
          </cell>
          <cell r="L1827">
            <v>42111</v>
          </cell>
          <cell r="M1827">
            <v>42248</v>
          </cell>
          <cell r="N1827">
            <v>42285.465347222198</v>
          </cell>
          <cell r="O1827">
            <v>42125</v>
          </cell>
          <cell r="P1827" t="str">
            <v>1261-075025  PLATTE CTY/??? TWP</v>
          </cell>
          <cell r="Q1827">
            <v>138027.13</v>
          </cell>
          <cell r="R1827">
            <v>-13408.5</v>
          </cell>
        </row>
        <row r="1828">
          <cell r="A1828" t="str">
            <v>004173</v>
          </cell>
          <cell r="B1828" t="str">
            <v>LDC 2</v>
          </cell>
          <cell r="D1828" t="str">
            <v>no</v>
          </cell>
          <cell r="E1828" t="str">
            <v>21261132390</v>
          </cell>
          <cell r="F1828" t="str">
            <v>F0610</v>
          </cell>
          <cell r="G1828" t="str">
            <v>New business</v>
          </cell>
          <cell r="H1828" t="str">
            <v>61st &amp; White Oak Lay 788'-2in PE ma</v>
          </cell>
          <cell r="I1828" t="str">
            <v>posted to CPR</v>
          </cell>
          <cell r="J1828" t="str">
            <v>61st &amp; White Oak Lay 788'-2in PE main ext: Kansas City-Rural: NW 61ST ST &amp; NW WHITE OAK DR THOUSAND OAKS-18</v>
          </cell>
          <cell r="K1828" t="str">
            <v>Approved by: Kevin Driskell on 03/19/2013,  Lay 788'-2in plastic main. 18 LOTS IN SUBDIVISION. LOTS 794-811.  TIE INTO EXIST. 4in PE-(121213). 788ft x $8.50=$6,698.00  COST PER FOOT=$25.43  DEVELOPER TO CONTRIBUTE $6,698.00 BEFORE START OF PROJECT.</v>
          </cell>
          <cell r="L1828">
            <v>41528</v>
          </cell>
          <cell r="M1828">
            <v>41600</v>
          </cell>
          <cell r="N1828">
            <v>41603.384664351797</v>
          </cell>
          <cell r="O1828">
            <v>41730</v>
          </cell>
          <cell r="P1828" t="str">
            <v>1261-075025  PLATTE CTY/??? TWP</v>
          </cell>
          <cell r="Q1828">
            <v>7319.95</v>
          </cell>
          <cell r="R1828">
            <v>1927</v>
          </cell>
        </row>
        <row r="1829">
          <cell r="A1829" t="str">
            <v>006555</v>
          </cell>
          <cell r="B1829" t="str">
            <v>LDC 2</v>
          </cell>
          <cell r="D1829" t="str">
            <v>no</v>
          </cell>
          <cell r="E1829" t="str">
            <v>21271143262</v>
          </cell>
          <cell r="F1829" t="str">
            <v>F0610</v>
          </cell>
          <cell r="G1829" t="str">
            <v>New business</v>
          </cell>
          <cell r="H1829" t="str">
            <v>BRENTWOOD HILLS-4 Main Ext</v>
          </cell>
          <cell r="I1829" t="str">
            <v>posted to CPR</v>
          </cell>
          <cell r="J1829" t="str">
            <v>BRENTWOOD HILLS-4: Kansas City-Clay Co: New Main Extension - Contractor Crews  3760 (33-380)</v>
          </cell>
          <cell r="K1829" t="str">
            <v>Approved by: Kevin Driskell on 09/26/2014,  LAY 1,446' - 2" PE IN ORDER TO SERVE 34 LOTS IN SUBDIVISION.  LOTS 109-142.  1,446' X $8.50=$12,291.00  COST PER FOOT=$9.59   DEVELOPER TO CONTRIBUTE $12,291.00 BEFORE START OF PROJECT.</v>
          </cell>
          <cell r="L1829">
            <v>42023</v>
          </cell>
          <cell r="M1829">
            <v>42063</v>
          </cell>
          <cell r="N1829">
            <v>42160.553738425901</v>
          </cell>
          <cell r="O1829">
            <v>42036</v>
          </cell>
          <cell r="P1829" t="str">
            <v>1271-020036  CLAY CTY/KANSAS CITY</v>
          </cell>
          <cell r="Q1829">
            <v>17555.66</v>
          </cell>
          <cell r="R1829">
            <v>-3070</v>
          </cell>
        </row>
        <row r="1830">
          <cell r="A1830" t="str">
            <v>005465</v>
          </cell>
          <cell r="B1830" t="str">
            <v>LDC 2</v>
          </cell>
          <cell r="D1830" t="str">
            <v>no</v>
          </cell>
          <cell r="E1830" t="str">
            <v>21271143581</v>
          </cell>
          <cell r="F1830" t="str">
            <v>F0658</v>
          </cell>
          <cell r="G1830" t="str">
            <v>Services -  2" &amp; larger</v>
          </cell>
          <cell r="H1830" t="str">
            <v>R/L CARRIERS-2IN SERVICE LINE</v>
          </cell>
          <cell r="I1830" t="str">
            <v>posted to CPR</v>
          </cell>
          <cell r="J1830" t="str">
            <v>R/L CARRIERS-2IN SERVICE LINE: Kansas City-Clay Co: New Services 2in &amp; Larger  3800 (33-381)</v>
          </cell>
          <cell r="K1830" t="str">
            <v>Approved by: Kevin Driskell on 06/11/2014,  LAYING 410FT-2IN PE SERVICE LINE (WO14-3581) TO SERVICE 1 COMMERCIAL BUILDING LOAD (5,000 CFH + FUTURE 5,000 CFH TOAL 10,000CFH).</v>
          </cell>
          <cell r="L1830">
            <v>41869</v>
          </cell>
          <cell r="M1830">
            <v>41912</v>
          </cell>
          <cell r="N1830">
            <v>42013.428576388898</v>
          </cell>
          <cell r="O1830">
            <v>41883</v>
          </cell>
          <cell r="P1830" t="str">
            <v>1271-020036  CLAY CTY/KANSAS CITY</v>
          </cell>
          <cell r="Q1830">
            <v>-1079.18</v>
          </cell>
          <cell r="R1830">
            <v>-1041</v>
          </cell>
        </row>
        <row r="1831">
          <cell r="A1831" t="str">
            <v>800824</v>
          </cell>
          <cell r="B1831" t="str">
            <v>LDC 2</v>
          </cell>
          <cell r="C1831" t="str">
            <v>01 - Cast Iron Strategic Replacement</v>
          </cell>
          <cell r="D1831" t="str">
            <v>yes</v>
          </cell>
          <cell r="F1831" t="str">
            <v>F0599</v>
          </cell>
          <cell r="G1831" t="str">
            <v>Main Replacement - ISRS (N)</v>
          </cell>
          <cell r="H1831" t="str">
            <v>Repl w 420F 2-4P 9th &amp; Bales</v>
          </cell>
          <cell r="I1831" t="str">
            <v>open</v>
          </cell>
          <cell r="J1831" t="str">
            <v>Install ~390 ft of 2 in PL LP main and ~30 ft of 4 in PL LP main along Bale Street and 10th.</v>
          </cell>
          <cell r="K1831" t="str">
            <v>Retire ~430 ft of 4 in CI LP main along Bale Street and 10th.  Total Service Tie-over = 7;  Total Service Replace = 1.  This main is being replaced due to graphitization of cast iron pipe.  This has a compliance date of 01/14/2017.</v>
          </cell>
          <cell r="P1831" t="str">
            <v>0401-043050  JACKSON CTY/KC</v>
          </cell>
          <cell r="Q1831">
            <v>61099.62</v>
          </cell>
          <cell r="R1831">
            <v>-639</v>
          </cell>
        </row>
        <row r="1832">
          <cell r="A1832" t="str">
            <v>011521</v>
          </cell>
          <cell r="B1832" t="str">
            <v>LDC 2</v>
          </cell>
          <cell r="D1832" t="str">
            <v>no</v>
          </cell>
          <cell r="F1832" t="str">
            <v>F1153</v>
          </cell>
          <cell r="G1832" t="str">
            <v>Power Operated Equip - MGE</v>
          </cell>
          <cell r="H1832" t="str">
            <v>Purchase (2) 40' Pipe Trailers.</v>
          </cell>
          <cell r="I1832" t="str">
            <v>posted to CPR</v>
          </cell>
          <cell r="J1832" t="str">
            <v>Purchase two additional trailers for new MGE crews.</v>
          </cell>
          <cell r="L1832">
            <v>42643</v>
          </cell>
          <cell r="M1832">
            <v>42733</v>
          </cell>
          <cell r="N1832">
            <v>42742.624942129602</v>
          </cell>
          <cell r="O1832">
            <v>42614</v>
          </cell>
          <cell r="P1832" t="str">
            <v>0401-043050  JACKSON CTY/KC</v>
          </cell>
          <cell r="Q1832">
            <v>29208.720000000001</v>
          </cell>
          <cell r="R1832">
            <v>2</v>
          </cell>
        </row>
        <row r="1833">
          <cell r="A1833" t="str">
            <v>800549</v>
          </cell>
          <cell r="B1833" t="str">
            <v>LDC 2</v>
          </cell>
          <cell r="C1833" t="str">
            <v>02 - Cast Iron AOR Replacement</v>
          </cell>
          <cell r="D1833" t="str">
            <v>yes</v>
          </cell>
          <cell r="F1833" t="str">
            <v>F0599</v>
          </cell>
          <cell r="G1833" t="str">
            <v>Main Replacement - ISRS (N)</v>
          </cell>
          <cell r="H1833" t="str">
            <v>Repl w 225F 2P Charlotte&amp;PacificAOR</v>
          </cell>
          <cell r="I1833" t="str">
            <v>in service</v>
          </cell>
          <cell r="J1833" t="str">
            <v>Install 225ft of 2in PE LP main at Charlotte and Pacific (AOR)  Abandon 220ft of 4in CI LP main at above location. This main is being replaced for the FY16 Cast Iron Repl Program.</v>
          </cell>
          <cell r="K1833" t="str">
            <v>AOR has a compliance date of 08/19/2016.
Total Service Tie-over = 1; Total Service Replace = 0</v>
          </cell>
          <cell r="L1833">
            <v>42668</v>
          </cell>
          <cell r="O1833">
            <v>42644</v>
          </cell>
          <cell r="P1833" t="str">
            <v>0401-043050  JACKSON CTY/KC</v>
          </cell>
          <cell r="Q1833">
            <v>21557.23</v>
          </cell>
          <cell r="R1833">
            <v>514</v>
          </cell>
        </row>
        <row r="1834">
          <cell r="A1834" t="str">
            <v>800553</v>
          </cell>
          <cell r="B1834" t="str">
            <v>LDC 2</v>
          </cell>
          <cell r="C1834" t="str">
            <v>09 - Facility Relocation due to Civic Improvement</v>
          </cell>
          <cell r="D1834" t="str">
            <v>yes</v>
          </cell>
          <cell r="F1834" t="str">
            <v>F0547</v>
          </cell>
          <cell r="G1834" t="str">
            <v>Street &amp; Highway Relocates ISRS (N)</v>
          </cell>
          <cell r="H1834" t="str">
            <v>Rel w/ 812F P Marlborough WestPh3</v>
          </cell>
          <cell r="I1834" t="str">
            <v>open</v>
          </cell>
          <cell r="J1834" t="str">
            <v>Install 150ft of 4in PL MP main, 20ft of 3in PL MP main, and 642ft of 2in PL MP main on Lydia, Forest Ave, 83rd St, Tracy Ave, and 82nd Ter.  Abandon 539ft of 4in ST,15ft of 3in PL, and 135ft of 2in PL main at the above locations.</v>
          </cell>
          <cell r="P1834" t="str">
            <v>0401-043050  JACKSON CTY/KC</v>
          </cell>
          <cell r="Q1834">
            <v>25496.54</v>
          </cell>
          <cell r="R1834">
            <v>-980</v>
          </cell>
        </row>
        <row r="1835">
          <cell r="A1835" t="str">
            <v>009811</v>
          </cell>
          <cell r="B1835" t="str">
            <v>LDC 2</v>
          </cell>
          <cell r="D1835" t="str">
            <v>no</v>
          </cell>
          <cell r="F1835" t="str">
            <v>F0639</v>
          </cell>
          <cell r="G1835" t="str">
            <v>EGM Equip-1st Time Installation</v>
          </cell>
          <cell r="H1835" t="str">
            <v>EGM - Sunset Building, LLC</v>
          </cell>
          <cell r="I1835" t="str">
            <v>in service</v>
          </cell>
          <cell r="J1835" t="str">
            <v>Install MiniMax-AT-PT for Sunset Building LLC at 4821 Roanoke Pkwy, KC MO  to monitor daily gas usage of this customer. Customer will reimburse company actual cost for EGM installation not to exceed $5,445.00.</v>
          </cell>
          <cell r="L1835">
            <v>42443</v>
          </cell>
          <cell r="O1835">
            <v>42461</v>
          </cell>
          <cell r="P1835" t="str">
            <v>0401-043050  JACKSON CTY/KC</v>
          </cell>
          <cell r="Q1835">
            <v>1936.42</v>
          </cell>
          <cell r="R1835">
            <v>9</v>
          </cell>
        </row>
        <row r="1836">
          <cell r="A1836" t="str">
            <v>008130</v>
          </cell>
          <cell r="B1836" t="str">
            <v>LDC 2</v>
          </cell>
          <cell r="D1836" t="str">
            <v>yes</v>
          </cell>
          <cell r="E1836" t="str">
            <v>21219155239</v>
          </cell>
          <cell r="F1836" t="str">
            <v>F0587</v>
          </cell>
          <cell r="G1836" t="str">
            <v>Services - 2" &amp; larger</v>
          </cell>
          <cell r="H1836" t="str">
            <v>Repl 2inch PE Service 1100 Main St</v>
          </cell>
          <cell r="I1836" t="str">
            <v>posted to CPR</v>
          </cell>
          <cell r="J1836" t="str">
            <v>2inch PE Service 1100 Main Street: Kansas City-Jackson: Replace Services 2in &amp; Larger - 3800 (42-385)</v>
          </cell>
          <cell r="K1836" t="str">
            <v>Approved by: Ray Wilson on 04/01/2015,  Replace 4" service 48'of 4" PCS and 5' of 4" PE with 65' of 2" PE. This is conjunction with the Street Car Project. The steam line in this area has been abandoned.</v>
          </cell>
          <cell r="L1836">
            <v>42070</v>
          </cell>
          <cell r="M1836">
            <v>42248</v>
          </cell>
          <cell r="N1836">
            <v>42283.568483796298</v>
          </cell>
          <cell r="O1836">
            <v>42095</v>
          </cell>
          <cell r="P1836" t="str">
            <v>0401-043050  JACKSON CTY/KC</v>
          </cell>
          <cell r="Q1836">
            <v>8670.33</v>
          </cell>
          <cell r="R1836">
            <v>-51</v>
          </cell>
        </row>
        <row r="1837">
          <cell r="A1837" t="str">
            <v>008638</v>
          </cell>
          <cell r="B1837" t="str">
            <v>LDC 2</v>
          </cell>
          <cell r="D1837" t="str">
            <v>no</v>
          </cell>
          <cell r="E1837" t="str">
            <v>20401155254</v>
          </cell>
          <cell r="F1837" t="str">
            <v>F0500</v>
          </cell>
          <cell r="G1837" t="str">
            <v>Replace cast iron main - CPI / prio</v>
          </cell>
          <cell r="H1837" t="str">
            <v>4in Cast Iron Abandonment</v>
          </cell>
          <cell r="I1837" t="str">
            <v>posted to CPR</v>
          </cell>
          <cell r="J1837" t="str">
            <v>4in Cast Iron Abandonment: Kansas City-Jackson: Replace Cast Iron Main - Safety Related - 3760 (44-416)</v>
          </cell>
          <cell r="K1837" t="str">
            <v>Approved by: Ray Wilson on 05/28/2015,  ISRS To abandon 687' of 4" and 125' of 6" Cast Iron gas main due to leakage with no replacement. The 2" service line to 3028 E 18th will be needed WO#15-5256 and tied onto the 6" Cast Iron main on the north side of E. 18th Street (Segmeny 019).</v>
          </cell>
          <cell r="L1837">
            <v>42243</v>
          </cell>
          <cell r="M1837">
            <v>42309</v>
          </cell>
          <cell r="N1837">
            <v>42436.430706018502</v>
          </cell>
          <cell r="P1837" t="str">
            <v>0401-043050  JACKSON CTY/KC</v>
          </cell>
          <cell r="Q1837">
            <v>4238.3599999999997</v>
          </cell>
          <cell r="R1837">
            <v>278</v>
          </cell>
        </row>
        <row r="1838">
          <cell r="A1838" t="str">
            <v>008247</v>
          </cell>
          <cell r="B1838" t="str">
            <v>LDC 2</v>
          </cell>
          <cell r="D1838" t="str">
            <v>yes</v>
          </cell>
          <cell r="E1838" t="str">
            <v>20401155274</v>
          </cell>
          <cell r="F1838" t="str">
            <v>F0599</v>
          </cell>
          <cell r="G1838" t="str">
            <v>Main Replacement - ISRS (N)</v>
          </cell>
          <cell r="H1838" t="str">
            <v>4in and 6in Cast Iron Repl. 2in PE</v>
          </cell>
          <cell r="I1838" t="str">
            <v>posted to CPR</v>
          </cell>
          <cell r="J1838" t="str">
            <v>4in and 6in Cast Iron Repl. 2in PE: Kansas City-Jackson: Replace Cast Iron Main - 3760 Safety Related (34-412)</v>
          </cell>
          <cell r="K1838" t="str">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ell>
          <cell r="L1838">
            <v>42163</v>
          </cell>
          <cell r="M1838">
            <v>42247</v>
          </cell>
          <cell r="N1838">
            <v>42284.723553240699</v>
          </cell>
          <cell r="O1838">
            <v>42156</v>
          </cell>
          <cell r="P1838" t="str">
            <v>0401-043050  JACKSON CTY/KC</v>
          </cell>
          <cell r="Q1838">
            <v>70664.899999999994</v>
          </cell>
          <cell r="R1838">
            <v>-600</v>
          </cell>
        </row>
        <row r="1839">
          <cell r="A1839" t="str">
            <v>008135</v>
          </cell>
          <cell r="B1839" t="str">
            <v>LDC 2</v>
          </cell>
          <cell r="D1839" t="str">
            <v>no</v>
          </cell>
          <cell r="E1839" t="str">
            <v>20401155267</v>
          </cell>
          <cell r="F1839" t="str">
            <v>F0610</v>
          </cell>
          <cell r="G1839" t="str">
            <v>New business</v>
          </cell>
          <cell r="H1839" t="str">
            <v>Hampton Inn 2inch Main Extension</v>
          </cell>
          <cell r="I1839" t="str">
            <v>posted to CPR</v>
          </cell>
          <cell r="J1839" t="str">
            <v>Hampton Inn 2inch Main Extension: Kansas City-Jackson: New Main Extension - Contractor Crews  3760 (33-380)</v>
          </cell>
          <cell r="K1839" t="str">
            <v>Approved by: Gary Williams on 04/02/2015,  Install 200' of 2" PE to serve one new commercial customer.</v>
          </cell>
          <cell r="L1839">
            <v>42142</v>
          </cell>
          <cell r="M1839">
            <v>42248</v>
          </cell>
          <cell r="N1839">
            <v>42284.723518518498</v>
          </cell>
          <cell r="O1839">
            <v>42186</v>
          </cell>
          <cell r="P1839" t="str">
            <v>0401-043050  JACKSON CTY/KC</v>
          </cell>
          <cell r="Q1839">
            <v>62709.86</v>
          </cell>
          <cell r="R1839">
            <v>-721</v>
          </cell>
        </row>
        <row r="1840">
          <cell r="A1840" t="str">
            <v>007719</v>
          </cell>
          <cell r="B1840" t="str">
            <v>LDC 2</v>
          </cell>
          <cell r="D1840" t="str">
            <v>no</v>
          </cell>
          <cell r="E1840" t="str">
            <v>20401155140</v>
          </cell>
          <cell r="F1840" t="str">
            <v>F0670</v>
          </cell>
          <cell r="G1840" t="str">
            <v>Tools, Instruments &amp; Equipment (N)</v>
          </cell>
          <cell r="H1840" t="str">
            <v>Purchase 3 Pipe Trailers</v>
          </cell>
          <cell r="I1840" t="str">
            <v>posted to CPR</v>
          </cell>
          <cell r="J1840" t="str">
            <v>Purchase 3 Pipe Trailers: Kansas City-Jackson: Purchase Tools, Instruments &amp; Equipment  3940 (37-366)</v>
          </cell>
          <cell r="K1840" t="str">
            <v>Approved by: Joe Hampton on 02/26/2015,  Purchase 3- trailers for the field base work force crews.</v>
          </cell>
          <cell r="L1840">
            <v>42138</v>
          </cell>
          <cell r="M1840">
            <v>42338</v>
          </cell>
          <cell r="N1840">
            <v>42436.430532407401</v>
          </cell>
          <cell r="O1840">
            <v>42125</v>
          </cell>
          <cell r="P1840" t="str">
            <v>0401-043050  JACKSON CTY/KC</v>
          </cell>
          <cell r="Q1840">
            <v>41073.089999999997</v>
          </cell>
          <cell r="R1840">
            <v>3</v>
          </cell>
        </row>
        <row r="1841">
          <cell r="A1841" t="str">
            <v>006178</v>
          </cell>
          <cell r="B1841" t="str">
            <v>LDC 2</v>
          </cell>
          <cell r="D1841" t="str">
            <v>no</v>
          </cell>
          <cell r="E1841" t="str">
            <v>20401143680</v>
          </cell>
          <cell r="F1841" t="str">
            <v>F0658</v>
          </cell>
          <cell r="G1841" t="str">
            <v>Services -  2" &amp; larger</v>
          </cell>
          <cell r="H1841" t="str">
            <v>CITY OF KANSAS CITY CNG STATION-SER</v>
          </cell>
          <cell r="I1841" t="str">
            <v>posted to CPR</v>
          </cell>
          <cell r="J1841" t="str">
            <v>CITY OF KANSAS CITY CNG STATION-SERVICE LINE: Kansas City-Jackson: New Services 2&amp;quot; &amp; Larger  3800 (33-381)</v>
          </cell>
          <cell r="K1841" t="str">
            <v>Approved by: Kevin Driskell on 08/28/2014,  Laying 285ft-4in cs to service KCMO CNG station. Tie-in 4in cs(WO#13-2719). LOAD (79,200 CFH). ECONOMIC EVALUATION WILL COVER COST OF PROJECT.</v>
          </cell>
          <cell r="L1841">
            <v>41913</v>
          </cell>
          <cell r="M1841">
            <v>42248</v>
          </cell>
          <cell r="N1841">
            <v>42276.360613425903</v>
          </cell>
          <cell r="O1841">
            <v>41913</v>
          </cell>
          <cell r="P1841" t="str">
            <v>0401-043050  JACKSON CTY/KC</v>
          </cell>
          <cell r="Q1841">
            <v>12001.62</v>
          </cell>
          <cell r="R1841">
            <v>-225.13</v>
          </cell>
        </row>
        <row r="1842">
          <cell r="A1842" t="str">
            <v>007141</v>
          </cell>
          <cell r="B1842" t="str">
            <v>LDC 2</v>
          </cell>
          <cell r="D1842" t="str">
            <v>no</v>
          </cell>
          <cell r="E1842" t="str">
            <v>20401143902</v>
          </cell>
          <cell r="F1842" t="str">
            <v>F0658</v>
          </cell>
          <cell r="G1842" t="str">
            <v>Services -  2" &amp; larger</v>
          </cell>
          <cell r="H1842" t="str">
            <v>Mixed Use Dev. 51st Main-2IN SERVIC</v>
          </cell>
          <cell r="I1842" t="str">
            <v>posted to CPR</v>
          </cell>
          <cell r="J1842" t="str">
            <v>Mixed Use Dev. 51st Main-2IN SERVICE LINE: Kansas City-Jackson: New Services 2in &amp; Larger  3800 (33-381)</v>
          </cell>
          <cell r="K1842" t="str">
            <v>Approved by: Kevin Driskell on 12/01/2014,  Install 50' 2'' PE Service for 5060 Main St. New development in the area.
ECONOMIC EVALUATION WILL COVER COST OF PROJECT.</v>
          </cell>
          <cell r="L1842">
            <v>42002</v>
          </cell>
          <cell r="M1842">
            <v>42154</v>
          </cell>
          <cell r="N1842">
            <v>42158.835879629602</v>
          </cell>
          <cell r="O1842">
            <v>41974</v>
          </cell>
          <cell r="P1842" t="str">
            <v>0401-043050  JACKSON CTY/KC</v>
          </cell>
          <cell r="Q1842">
            <v>2719.37</v>
          </cell>
          <cell r="R1842">
            <v>-120</v>
          </cell>
        </row>
        <row r="1843">
          <cell r="A1843" t="str">
            <v>006796</v>
          </cell>
          <cell r="B1843" t="str">
            <v>LDC 2</v>
          </cell>
          <cell r="D1843" t="str">
            <v>no</v>
          </cell>
          <cell r="E1843" t="str">
            <v>20401143852</v>
          </cell>
          <cell r="F1843" t="str">
            <v>F0670</v>
          </cell>
          <cell r="G1843" t="str">
            <v>Tools, Instruments &amp; Equipment (N)</v>
          </cell>
          <cell r="H1843" t="str">
            <v>Tools-Purchase Hammer Drill with 2</v>
          </cell>
          <cell r="I1843" t="str">
            <v>posted to CPR</v>
          </cell>
          <cell r="J1843" t="str">
            <v>Tools-Purchase Hammer Drill with 2 batteries: Kansas City-Jackson: Purchase Tools, Instruments &amp; Equipment  3940 (37-366)</v>
          </cell>
          <cell r="K1843" t="str">
            <v>Approved by: Gary Williams on 10/02/2014,  This is a new tool order for new trucks not a replacement</v>
          </cell>
          <cell r="L1843">
            <v>42072</v>
          </cell>
          <cell r="M1843">
            <v>42124</v>
          </cell>
          <cell r="N1843">
            <v>42131.408043981501</v>
          </cell>
          <cell r="O1843">
            <v>42064</v>
          </cell>
          <cell r="P1843" t="str">
            <v>0401-043050  JACKSON CTY/KC</v>
          </cell>
          <cell r="Q1843">
            <v>1556.62</v>
          </cell>
          <cell r="R1843">
            <v>5</v>
          </cell>
        </row>
        <row r="1844">
          <cell r="A1844" t="str">
            <v>006432</v>
          </cell>
          <cell r="B1844" t="str">
            <v>LDC 2</v>
          </cell>
          <cell r="D1844" t="str">
            <v>no</v>
          </cell>
          <cell r="E1844" t="str">
            <v>20401143729</v>
          </cell>
          <cell r="F1844" t="str">
            <v>F0636</v>
          </cell>
          <cell r="G1844" t="str">
            <v>Replace steel &amp; plastic main</v>
          </cell>
          <cell r="H1844" t="str">
            <v>Moly-Cop 12in Main Abandonment</v>
          </cell>
          <cell r="I1844" t="str">
            <v>posted to CPR</v>
          </cell>
          <cell r="J1844" t="str">
            <v>Moly-Cop 12in Main Abandonment: Kansas City-Jackson: Replace Coated Steel &amp; Plastic Main - 3760 (34-396)</v>
          </cell>
          <cell r="K1844" t="str">
            <v>Approved by: Kevin Driskell on 09/15/2014,  THIS WILL ABANDON THE EXISITING SERVICE TO MOLY COP (NO LONGER NEEDED) AT CAMBRIDGE AND WILSON ROAD BY ABANDONING 118' OF 12'' STEEL MAIN- SEE INTERSECTION DRAWING</v>
          </cell>
          <cell r="L1844">
            <v>42045</v>
          </cell>
          <cell r="M1844">
            <v>42248</v>
          </cell>
          <cell r="N1844">
            <v>42377.3507523148</v>
          </cell>
          <cell r="O1844">
            <v>42339</v>
          </cell>
          <cell r="P1844" t="str">
            <v>0401-043050  JACKSON CTY/KC</v>
          </cell>
          <cell r="Q1844">
            <v>38926.269999999997</v>
          </cell>
          <cell r="R1844">
            <v>475.5</v>
          </cell>
        </row>
        <row r="1845">
          <cell r="A1845" t="str">
            <v>006352</v>
          </cell>
          <cell r="B1845" t="str">
            <v>LDC 2</v>
          </cell>
          <cell r="D1845" t="str">
            <v>no</v>
          </cell>
          <cell r="E1845" t="str">
            <v>20401143752</v>
          </cell>
          <cell r="F1845" t="str">
            <v>F0658</v>
          </cell>
          <cell r="G1845" t="str">
            <v>Services -  2" &amp; larger</v>
          </cell>
          <cell r="H1845" t="str">
            <v>CENTER POINT CROSS DOCK TERMINL-SVC</v>
          </cell>
          <cell r="I1845" t="str">
            <v>posted to CPR</v>
          </cell>
          <cell r="J1845" t="str">
            <v>CENTER POINT CROSS DOCK TERMINAL-SERVICE LINE: Kansas City-Jackson: New Services 2&amp;quot; &amp; Larger  3800 (33-381)</v>
          </cell>
          <cell r="K1845" t="str">
            <v>Approved by: Kevin Driskell on 09/05/2014,  LAYING 300FT-2IN PE SERVICE LINE TO SERVICE 1 COMMERICAL BUILDING. LOAD (6,691 CFH). ECONOMIC EVALUATION WILL COVER COST OF PROJECT.</v>
          </cell>
          <cell r="L1845">
            <v>41947</v>
          </cell>
          <cell r="M1845">
            <v>42217</v>
          </cell>
          <cell r="N1845">
            <v>42249.374918981499</v>
          </cell>
          <cell r="O1845">
            <v>41974</v>
          </cell>
          <cell r="P1845" t="str">
            <v>0401-043050  JACKSON CTY/KC</v>
          </cell>
          <cell r="Q1845">
            <v>5250.14</v>
          </cell>
          <cell r="R1845">
            <v>-240</v>
          </cell>
        </row>
        <row r="1846">
          <cell r="A1846" t="str">
            <v>005452</v>
          </cell>
          <cell r="B1846" t="str">
            <v>LDC 2</v>
          </cell>
          <cell r="D1846" t="str">
            <v>no</v>
          </cell>
          <cell r="E1846" t="str">
            <v>20401132374</v>
          </cell>
          <cell r="F1846" t="str">
            <v>F0614</v>
          </cell>
          <cell r="G1846" t="str">
            <v>Main Repl - Sys Reinforcement (N)</v>
          </cell>
          <cell r="H1846" t="str">
            <v>48th &amp; Ararat Lay 175'-2in PE Sys R</v>
          </cell>
          <cell r="I1846" t="str">
            <v>posted to CPR</v>
          </cell>
          <cell r="J1846" t="str">
            <v>48th &amp; Ararat Lay 175'-2in PE Sys Reinforcement: Kansas City-Jackson: Replace Steel &amp; Plastic Main - System Reinforcement (43-419)</v>
          </cell>
          <cell r="K1846" t="str">
            <v>Approved by: Kevin Driskell on 06/06/2014,  (ISRS). Lay 175' of 2" PE for system reinforcement. Lay new main in parkway if possible. COST PER FOOT $60.32</v>
          </cell>
          <cell r="L1846">
            <v>41849</v>
          </cell>
          <cell r="M1846">
            <v>42216</v>
          </cell>
          <cell r="N1846">
            <v>42256.640752314801</v>
          </cell>
          <cell r="O1846">
            <v>41852</v>
          </cell>
          <cell r="P1846" t="str">
            <v>0401-043050  JACKSON CTY/KC</v>
          </cell>
          <cell r="Q1846">
            <v>1322.68</v>
          </cell>
          <cell r="R1846">
            <v>-625</v>
          </cell>
        </row>
        <row r="1847">
          <cell r="A1847" t="str">
            <v>005534</v>
          </cell>
          <cell r="B1847" t="str">
            <v>LDC 2</v>
          </cell>
          <cell r="D1847" t="str">
            <v>no</v>
          </cell>
          <cell r="E1847" t="str">
            <v>20401143618</v>
          </cell>
          <cell r="F1847" t="str">
            <v>F0538</v>
          </cell>
          <cell r="G1847" t="str">
            <v>Other Communication Costs</v>
          </cell>
          <cell r="H1847" t="str">
            <v>SCADA - Solar Power Upgrade</v>
          </cell>
          <cell r="I1847" t="str">
            <v>in service</v>
          </cell>
          <cell r="J1847" t="str">
            <v>SCADA - Solar Power Upgrade: Kansas City-Jackson: Other Capital Communications  3970 (41-415)</v>
          </cell>
          <cell r="K1847" t="str">
            <v>Approved by: Rob Kitterman on 06/17/2014,  SCADA Solar Power Upgrade - Installation of upgraded solar power equipment &amp; batteries (power an RTU for about 12 days without sunshine).</v>
          </cell>
          <cell r="L1847">
            <v>42443</v>
          </cell>
          <cell r="O1847">
            <v>42430</v>
          </cell>
          <cell r="P1847" t="str">
            <v>0401-043050  JACKSON CTY/KC</v>
          </cell>
          <cell r="Q1847">
            <v>5684.38</v>
          </cell>
          <cell r="R1847">
            <v>51</v>
          </cell>
        </row>
        <row r="1848">
          <cell r="A1848" t="str">
            <v>004612</v>
          </cell>
          <cell r="B1848" t="str">
            <v>LDC 2</v>
          </cell>
          <cell r="D1848" t="str">
            <v>yes</v>
          </cell>
          <cell r="E1848" t="str">
            <v>20401121846</v>
          </cell>
          <cell r="F1848" t="str">
            <v>F0599</v>
          </cell>
          <cell r="G1848" t="str">
            <v>Main Replacement - ISRS (N)</v>
          </cell>
          <cell r="H1848" t="str">
            <v>26th btw Brooklyn/Prospect Repl CI</v>
          </cell>
          <cell r="I1848" t="str">
            <v>posted to CPR</v>
          </cell>
          <cell r="J1848" t="str">
            <v>26th btw Brooklyn/Prospect Repl CI w 3340'-PE main: Kansas City-Jackson: Wabash, Olive, and Park from 26th to 27th St</v>
          </cell>
          <cell r="K1848" t="str">
            <v>Approved by: Rob Hack on 04/30/2013,  ISRS. This work order is necessary to abandon a total of 3391' of cast iron main. LAY 1,316'-6in PE, 714'-4in PE, and 1310' of 8in PE as part of the safety replacement program to meet MPSC requirements.</v>
          </cell>
          <cell r="L1848">
            <v>41593</v>
          </cell>
          <cell r="M1848">
            <v>41654</v>
          </cell>
          <cell r="N1848">
            <v>41676.633391203701</v>
          </cell>
          <cell r="O1848">
            <v>41730</v>
          </cell>
          <cell r="P1848" t="str">
            <v>0401-043050  JACKSON CTY/KC</v>
          </cell>
          <cell r="Q1848">
            <v>263253.31</v>
          </cell>
          <cell r="R1848">
            <v>13022.6</v>
          </cell>
        </row>
        <row r="1849">
          <cell r="A1849" t="str">
            <v>004008</v>
          </cell>
          <cell r="B1849" t="str">
            <v>LDC 2</v>
          </cell>
          <cell r="D1849" t="str">
            <v>no</v>
          </cell>
          <cell r="E1849" t="str">
            <v>20401143361</v>
          </cell>
          <cell r="F1849" t="str">
            <v>F0542</v>
          </cell>
          <cell r="G1849" t="str">
            <v>New District Regulator Stations (N)</v>
          </cell>
          <cell r="H1849" t="str">
            <v>2nd &amp; Grand Install DRS 759</v>
          </cell>
          <cell r="I1849" t="str">
            <v>posted to CPR</v>
          </cell>
          <cell r="J1849" t="str">
            <v>2nd &amp; Grand Install DRS 759: Kansas City-Jackson: 2nd and Grand</v>
          </cell>
          <cell r="K1849" t="str">
            <v>Approved by: Gary Williams on 02/28/2014,  New reg station #759 will be placed on 2nd street between Grand and Locust.  Coordinate all work with Tom McGill of P&amp;M.  WO goes with 13-2402.  Inlet 4" PCS system C-044, MOP 50 PSIG, MAOP 58 PSIG, DESIGN 66 PSIG, TEST 100 PSIG.  Outlet 6in PCS system C-003, MOP 25 PSIG, MAOP 25 PSIG, DESIGN 66 PSIG, TEST 100 PSIG.  This DRS will utilize 2 Rockwell Regulators 441-57S 125 LB Body 4in, Red Spring, stainless steel trim.</v>
          </cell>
          <cell r="L1849">
            <v>41786</v>
          </cell>
          <cell r="M1849">
            <v>42217</v>
          </cell>
          <cell r="N1849">
            <v>42496.433518518497</v>
          </cell>
          <cell r="O1849">
            <v>41883</v>
          </cell>
          <cell r="P1849" t="str">
            <v>0401-043050  JACKSON CTY/KC</v>
          </cell>
          <cell r="Q1849">
            <v>34403.64</v>
          </cell>
          <cell r="R1849">
            <v>169</v>
          </cell>
        </row>
        <row r="1850">
          <cell r="A1850" t="str">
            <v>004525</v>
          </cell>
          <cell r="B1850" t="str">
            <v>LDC 2</v>
          </cell>
          <cell r="D1850" t="str">
            <v>yes</v>
          </cell>
          <cell r="E1850" t="str">
            <v>20401121835</v>
          </cell>
          <cell r="F1850" t="str">
            <v>F0599</v>
          </cell>
          <cell r="G1850" t="str">
            <v>Main Replacement - ISRS (N)</v>
          </cell>
          <cell r="H1850" t="str">
            <v>Askew Repl CI w 1175'-2in PE main</v>
          </cell>
          <cell r="I1850" t="str">
            <v>posted to CPR</v>
          </cell>
          <cell r="J1850" t="str">
            <v>Askew Repl CI w 1175'-2in PE main: Kansas City-Jackson: Askew Avenue from 21st Street to 23rd Street</v>
          </cell>
          <cell r="K1850" t="str">
            <v>Approved by: Ken Thomas on 03/19/2013,  ISRS. Replace and abandon a total of 1317' of cast iron main in Sector 0304 with 1175' of PE. This work will be part of the Cast Iron Replacement Program as mandated by the Missouri Public Service Commission for calendar year 2013. New main will tie into the C-3 pressure system. New main to operate at 25 psig MOP, 25 psig MAOP. Test all mains at 100 psi for a design MAOP = 58 psig. Existing main to be replaced has an MOP = 1.10 psig &amp; MAOP = 2.20 psig. All service regulators will need to be changed. See attached sheet for the work order number, size and footage of main to be retired. 6 bare steel services are to be replaced. Replacement services are to be charged to a service replacement blanket work order. 14 tieovers of PE services are to be performed. A tailgate meeting will need to be scheduled for tie in and abandonment procedures. Price per foot = $55.38</v>
          </cell>
          <cell r="L1850">
            <v>41626</v>
          </cell>
          <cell r="M1850">
            <v>41698</v>
          </cell>
          <cell r="N1850">
            <v>41704.7116087963</v>
          </cell>
          <cell r="O1850">
            <v>41730</v>
          </cell>
          <cell r="P1850" t="str">
            <v>0401-043050  JACKSON CTY/KC</v>
          </cell>
          <cell r="Q1850">
            <v>56576.47</v>
          </cell>
          <cell r="R1850">
            <v>4120.8</v>
          </cell>
        </row>
        <row r="1851">
          <cell r="A1851" t="str">
            <v>003868</v>
          </cell>
          <cell r="B1851" t="str">
            <v>LDC 2</v>
          </cell>
          <cell r="D1851" t="str">
            <v>no</v>
          </cell>
          <cell r="E1851" t="str">
            <v>20401143291</v>
          </cell>
          <cell r="F1851" t="str">
            <v>F0642</v>
          </cell>
          <cell r="G1851" t="str">
            <v>Tools, Instruments &amp; Other Equip</v>
          </cell>
          <cell r="H1851" t="str">
            <v>PUR PIPE THREADER</v>
          </cell>
          <cell r="I1851" t="str">
            <v>posted to CPR</v>
          </cell>
          <cell r="J1851" t="str">
            <v>PUR PIPE THREADER : Kansas City-Jackson: 7500 E 35TH TER</v>
          </cell>
          <cell r="K1851" t="str">
            <v>Approved by: Gary Williams on 01/14/2014,  PURCHASE 1- PIPE THREADER DRIVE 1/8-2IN TO BE USED BY THE LARGE VOLUME METER TRUCKS TO THREAD PIPE. QUOTE BY EMEDCO COM $2,097.89 GRAINGER $1,832.30. THIS IS A REPLACEMENT TOOL, due to the bearing were replace threader will not work.</v>
          </cell>
          <cell r="L1851">
            <v>41662</v>
          </cell>
          <cell r="M1851">
            <v>41697</v>
          </cell>
          <cell r="N1851">
            <v>41698.505300925899</v>
          </cell>
          <cell r="P1851" t="str">
            <v>0401-043050  JACKSON CTY/KC</v>
          </cell>
          <cell r="Q1851">
            <v>7550.66</v>
          </cell>
          <cell r="R1851">
            <v>6</v>
          </cell>
        </row>
        <row r="1852">
          <cell r="A1852" t="str">
            <v>004647</v>
          </cell>
          <cell r="B1852" t="str">
            <v>LDC 2</v>
          </cell>
          <cell r="D1852" t="str">
            <v>yes</v>
          </cell>
          <cell r="E1852" t="str">
            <v>20401132894</v>
          </cell>
          <cell r="F1852" t="str">
            <v>F0502</v>
          </cell>
          <cell r="G1852" t="str">
            <v>34-394-100-PIPESAFE</v>
          </cell>
          <cell r="H1852" t="str">
            <v>Kelly Road Main Ext Facilitate Hydr</v>
          </cell>
          <cell r="I1852" t="str">
            <v>posted to CPR</v>
          </cell>
          <cell r="J1852" t="str">
            <v>Kelly Road Main Ext Facilitate Hydrotest: Kansas City-Jackson: 147th Street and Kelley Road</v>
          </cell>
          <cell r="K1852" t="str">
            <v>Approved by: Randy Spector on 08/28/2013,  This work order is necessary to install approximately 2,241 feet of 2 in Polyethlene to serve 15101 and 15115 Kelley Road. Presently, both of these servicelines are tapped off the Cass County 12&amp;quot; transmission main. In order to continue service during the hydrotest and furture work on the transmission main each of these lines will be tied over to the new 2&amp;quot; Plexco 2406 line install along the south side of 147th Street in the R/W and thence; along the west side, approximately 7 feet west of the slab, on Kelley Road south to 15115 Kelley Road. This system is presently feed from DRS 415 which is in the process of an uprate to 58 PSIG.</v>
          </cell>
          <cell r="L1852">
            <v>41492</v>
          </cell>
          <cell r="M1852">
            <v>41626</v>
          </cell>
          <cell r="N1852">
            <v>41676.633379629602</v>
          </cell>
          <cell r="O1852">
            <v>41730</v>
          </cell>
          <cell r="P1852" t="str">
            <v>0401-043050  JACKSON CTY/KC</v>
          </cell>
          <cell r="Q1852">
            <v>79715.23</v>
          </cell>
          <cell r="R1852">
            <v>4920</v>
          </cell>
        </row>
        <row r="1853">
          <cell r="A1853" t="str">
            <v>008991</v>
          </cell>
          <cell r="B1853" t="str">
            <v>LDC 2</v>
          </cell>
          <cell r="D1853" t="str">
            <v>no</v>
          </cell>
          <cell r="F1853" t="str">
            <v>F0699</v>
          </cell>
          <cell r="G1853" t="str">
            <v>Outside Services - MGE</v>
          </cell>
          <cell r="H1853" t="str">
            <v>DOLLAR HELP PROGRAM - MGE</v>
          </cell>
          <cell r="I1853" t="str">
            <v>open</v>
          </cell>
          <cell r="J1853" t="str">
            <v>DOLLAR HELP PROGRAM - MGE</v>
          </cell>
          <cell r="P1853" t="str">
            <v>Expense Only</v>
          </cell>
          <cell r="Q1853">
            <v>168234.9</v>
          </cell>
          <cell r="R1853">
            <v>123191</v>
          </cell>
        </row>
        <row r="1854">
          <cell r="A1854" t="str">
            <v>004763</v>
          </cell>
          <cell r="B1854" t="str">
            <v>LDC 2</v>
          </cell>
          <cell r="D1854" t="str">
            <v>no</v>
          </cell>
          <cell r="E1854" t="str">
            <v>21841412000</v>
          </cell>
          <cell r="F1854" t="str">
            <v>F0732</v>
          </cell>
          <cell r="G1854" t="str">
            <v>Transportation &amp; Eq Clrg MGE</v>
          </cell>
          <cell r="H1854" t="str">
            <v>Fleet Clrg - 21841412000 MGE</v>
          </cell>
          <cell r="I1854" t="str">
            <v>open</v>
          </cell>
          <cell r="J1854" t="str">
            <v>Fleet Clrg - 21841412000 MGE</v>
          </cell>
          <cell r="P1854" t="str">
            <v>Expense Only</v>
          </cell>
          <cell r="Q1854">
            <v>13330.57</v>
          </cell>
          <cell r="R1854">
            <v>0</v>
          </cell>
        </row>
        <row r="1855">
          <cell r="A1855" t="str">
            <v>004757</v>
          </cell>
          <cell r="B1855" t="str">
            <v>LDC 2</v>
          </cell>
          <cell r="D1855" t="str">
            <v>no</v>
          </cell>
          <cell r="E1855" t="str">
            <v>28930500000</v>
          </cell>
          <cell r="F1855" t="str">
            <v>F0712</v>
          </cell>
          <cell r="G1855" t="str">
            <v>Maintenance of Meters MGE</v>
          </cell>
          <cell r="H1855" t="str">
            <v>Mtce Mtr &amp; Regs Rotary MGE</v>
          </cell>
          <cell r="I1855" t="str">
            <v>open</v>
          </cell>
          <cell r="J1855" t="str">
            <v>Mtce Mtr &amp; Regs Rotary MGE</v>
          </cell>
          <cell r="P1855" t="str">
            <v>Expense Only</v>
          </cell>
          <cell r="Q1855">
            <v>309256.65000000002</v>
          </cell>
          <cell r="R1855">
            <v>7289.31</v>
          </cell>
        </row>
        <row r="1856">
          <cell r="A1856" t="str">
            <v>004749</v>
          </cell>
          <cell r="B1856" t="str">
            <v>LDC 2</v>
          </cell>
          <cell r="D1856" t="str">
            <v>no</v>
          </cell>
          <cell r="E1856" t="str">
            <v>28900600000</v>
          </cell>
          <cell r="F1856" t="str">
            <v>F0709</v>
          </cell>
          <cell r="G1856" t="str">
            <v>Mtce Meas &amp; Reg C&amp;I MGE</v>
          </cell>
          <cell r="H1856" t="str">
            <v>Maint M&amp;R Eq MGE 890060000</v>
          </cell>
          <cell r="I1856" t="str">
            <v>open</v>
          </cell>
          <cell r="J1856" t="str">
            <v>Maint M&amp;R Eq MGE 890060000</v>
          </cell>
          <cell r="P1856" t="str">
            <v>Expense Only</v>
          </cell>
          <cell r="Q1856">
            <v>140189.76999999999</v>
          </cell>
          <cell r="R1856">
            <v>4674.0733</v>
          </cell>
        </row>
        <row r="1857">
          <cell r="A1857" t="str">
            <v>004717</v>
          </cell>
          <cell r="B1857" t="str">
            <v>LDC 2</v>
          </cell>
          <cell r="D1857" t="str">
            <v>no</v>
          </cell>
          <cell r="E1857" t="str">
            <v>28750000000</v>
          </cell>
          <cell r="F1857" t="str">
            <v>F0701</v>
          </cell>
          <cell r="G1857" t="str">
            <v>Meas &amp; Reg Stat Exp MGE</v>
          </cell>
          <cell r="H1857" t="str">
            <v>Meas &amp; Reg Stat Exp MGE</v>
          </cell>
          <cell r="I1857" t="str">
            <v>open</v>
          </cell>
          <cell r="J1857" t="str">
            <v>Meas &amp; Reg Stat Exp MGE</v>
          </cell>
          <cell r="P1857" t="str">
            <v>Expense Only</v>
          </cell>
          <cell r="Q1857">
            <v>2210117.21</v>
          </cell>
          <cell r="R1857">
            <v>74133.495699999999</v>
          </cell>
        </row>
        <row r="1858">
          <cell r="A1858" t="str">
            <v>004816</v>
          </cell>
          <cell r="B1858" t="str">
            <v>LDC 2</v>
          </cell>
          <cell r="D1858" t="str">
            <v>no</v>
          </cell>
          <cell r="E1858" t="str">
            <v>29310300000</v>
          </cell>
          <cell r="F1858" t="str">
            <v>F0730</v>
          </cell>
          <cell r="G1858" t="str">
            <v>Admin &amp; Gen - Rent  MGE</v>
          </cell>
          <cell r="H1858" t="str">
            <v>Admin &amp; Gen - Rent  MGE</v>
          </cell>
          <cell r="I1858" t="str">
            <v>open</v>
          </cell>
          <cell r="J1858" t="str">
            <v>Admin &amp; Gen - Rent  MGE</v>
          </cell>
          <cell r="P1858" t="str">
            <v>Expense Only</v>
          </cell>
          <cell r="Q1858">
            <v>651761.48</v>
          </cell>
          <cell r="R1858">
            <v>0</v>
          </cell>
        </row>
        <row r="1859">
          <cell r="A1859" t="str">
            <v>801125</v>
          </cell>
          <cell r="B1859" t="str">
            <v>LDC 2</v>
          </cell>
          <cell r="C1859" t="str">
            <v>03 - Bare Steel Replacement</v>
          </cell>
          <cell r="D1859" t="str">
            <v>yes</v>
          </cell>
          <cell r="F1859" t="str">
            <v>F0572</v>
          </cell>
          <cell r="G1859" t="str">
            <v>Main Replacement - ISRS (SW)</v>
          </cell>
          <cell r="H1859" t="str">
            <v>Repl 3065F 2-4P 16th &amp; Bird</v>
          </cell>
          <cell r="I1859" t="str">
            <v>open</v>
          </cell>
          <cell r="J1859" t="str">
            <v>Install 775 Ft of 2in PL and 2290 Ft of 4in PL main.</v>
          </cell>
          <cell r="K1859" t="str">
            <v>Abandon 737 Ft of PLLP and 2255 Ft of STLP. This main is being abandoned as part of FY17 Bare Steel Replacement Program.</v>
          </cell>
          <cell r="P1859" t="str">
            <v>0501-044001  JASPER CTY/JOPLIN</v>
          </cell>
          <cell r="Q1859">
            <v>0</v>
          </cell>
          <cell r="R1859">
            <v>2992</v>
          </cell>
        </row>
        <row r="1860">
          <cell r="A1860" t="str">
            <v>800853</v>
          </cell>
          <cell r="B1860" t="str">
            <v>LDC 2</v>
          </cell>
          <cell r="C1860" t="str">
            <v>08 - Cast Iron or Bare Steel Replacement - Leaks</v>
          </cell>
          <cell r="D1860" t="str">
            <v>yes</v>
          </cell>
          <cell r="F1860" t="str">
            <v>F0572</v>
          </cell>
          <cell r="G1860" t="str">
            <v>Main Replacement - ISRS (SW)</v>
          </cell>
          <cell r="H1860" t="str">
            <v>Repl 285F 2P Byers Joplin</v>
          </cell>
          <cell r="I1860" t="str">
            <v>open</v>
          </cell>
          <cell r="J1860" t="str">
            <v>Install ~ 285 Ft of 2 in PL LP Main on Byers Ave between Glenview Pl and F St due to leak #477946.</v>
          </cell>
          <cell r="K1860" t="str">
            <v>Abandon ~ 283 Ft of 2 in ST LP Main at same location.  Total Service Tie Over = 8.</v>
          </cell>
          <cell r="P1860" t="str">
            <v>0501-044001  JASPER CTY/JOPLIN</v>
          </cell>
          <cell r="Q1860">
            <v>0</v>
          </cell>
          <cell r="R1860">
            <v>283</v>
          </cell>
        </row>
        <row r="1861">
          <cell r="A1861" t="str">
            <v>012561</v>
          </cell>
          <cell r="B1861" t="str">
            <v>LDC 2</v>
          </cell>
          <cell r="D1861" t="str">
            <v>no</v>
          </cell>
          <cell r="F1861" t="str">
            <v>F0639</v>
          </cell>
          <cell r="G1861" t="str">
            <v>EGM Equip-1st Time Installation</v>
          </cell>
          <cell r="H1861" t="str">
            <v>EGM - Walmart (Joplin Range Line)</v>
          </cell>
          <cell r="I1861" t="str">
            <v>open</v>
          </cell>
          <cell r="J1861" t="str">
            <v>Mini-Max AT-PT Corrector for Walmart at 1501 S Range Line Rd to monitor daily gas usage. Customer will reimburse company actual cost for EGM installation not to exceed $5,445.</v>
          </cell>
          <cell r="K1861" t="str">
            <v>meter no 008058913</v>
          </cell>
          <cell r="P1861" t="str">
            <v>0501-044001  JASPER CTY/JOPLIN</v>
          </cell>
          <cell r="Q1861">
            <v>1971.95</v>
          </cell>
          <cell r="R1861">
            <v>1</v>
          </cell>
        </row>
        <row r="1862">
          <cell r="A1862" t="str">
            <v>800890</v>
          </cell>
          <cell r="B1862" t="str">
            <v>LDC 2</v>
          </cell>
          <cell r="D1862" t="str">
            <v>no</v>
          </cell>
          <cell r="F1862" t="str">
            <v>F0523</v>
          </cell>
          <cell r="G1862" t="str">
            <v>New Main Extensions (SW)</v>
          </cell>
          <cell r="H1862" t="str">
            <v>Install 1975F 2-4-6P Woodlands Ph 1</v>
          </cell>
          <cell r="I1862" t="str">
            <v>in service</v>
          </cell>
          <cell r="J1862" t="str">
            <v>Install ~ 130 Ft of 6 in PL IP Main, 950 Ft of 4 in PL IP Main, and 895 Ft of 2 in PL IP Main at Madison Rhian Ave S of 33rd and E of John Duffy Dr in Joplin, MO.</v>
          </cell>
          <cell r="K1862" t="str">
            <v>35 lots at 250 cfh each.  Total load: 8750 cfh</v>
          </cell>
          <cell r="L1862">
            <v>42752</v>
          </cell>
          <cell r="O1862">
            <v>42736</v>
          </cell>
          <cell r="P1862" t="str">
            <v>0501-044001  JASPER CTY/JOPLIN</v>
          </cell>
          <cell r="Q1862">
            <v>71336.14</v>
          </cell>
          <cell r="R1862">
            <v>-6607.5</v>
          </cell>
        </row>
        <row r="1863">
          <cell r="A1863" t="str">
            <v>800636</v>
          </cell>
          <cell r="B1863" t="str">
            <v>LDC 2</v>
          </cell>
          <cell r="C1863" t="str">
            <v>03 - Bare Steel Replacement</v>
          </cell>
          <cell r="D1863" t="str">
            <v>yes</v>
          </cell>
          <cell r="F1863" t="str">
            <v>F0572</v>
          </cell>
          <cell r="G1863" t="str">
            <v>Main Replacement - ISRS (SW)</v>
          </cell>
          <cell r="H1863" t="str">
            <v>Repl w 1932F 4P Range Line &amp; 3rd</v>
          </cell>
          <cell r="I1863" t="str">
            <v>open</v>
          </cell>
          <cell r="J1863" t="str">
            <v>Install 1932 ft of 4 in PL IP main on Range Line Rd and 3rd St.</v>
          </cell>
          <cell r="K1863" t="str">
            <v>Abandon 196 Ft of 2 in PL IP main, 15 Ft of 4 in PL IP main, 1205 Ft of 2 in ST IP main, and 696 Ft of 3 in ST IP main at the above locations.  Total Service Tie-over = 8.  Replace main due to CP 15-099.</v>
          </cell>
          <cell r="P1863" t="str">
            <v>0501-044001  JASPER CTY/JOPLIN</v>
          </cell>
          <cell r="Q1863">
            <v>164857.31</v>
          </cell>
          <cell r="R1863">
            <v>-3884.5</v>
          </cell>
        </row>
        <row r="1864">
          <cell r="A1864" t="str">
            <v>800476</v>
          </cell>
          <cell r="B1864" t="str">
            <v>LDC 2</v>
          </cell>
          <cell r="C1864" t="str">
            <v>03 - Bare Steel Replacement</v>
          </cell>
          <cell r="D1864" t="str">
            <v>yes</v>
          </cell>
          <cell r="F1864" t="str">
            <v>F0572</v>
          </cell>
          <cell r="G1864" t="str">
            <v>Main Replacement - ISRS (SW)</v>
          </cell>
          <cell r="H1864" t="str">
            <v>Repl w 2030F 2P Range Line &amp; 24th</v>
          </cell>
          <cell r="I1864" t="str">
            <v>in service</v>
          </cell>
          <cell r="J1864" t="str">
            <v>Install 2030 Ft. 2 in. PL MP Main on Range Line Rd.</v>
          </cell>
          <cell r="K1864" t="str">
            <v>Abandon 28 Ft of 2 in PL MP Main and 1955 Ft of 2 in ST MP Main on the above mentioned street.  Total Service Tie-over =7; Total Service Abandoned = 2; Total Service Replace = 0.  This main is being replaced due to failed CP reads and as part of FY17 Bare Steel Replacement Program</v>
          </cell>
          <cell r="L1864">
            <v>42740</v>
          </cell>
          <cell r="O1864">
            <v>42736</v>
          </cell>
          <cell r="P1864" t="str">
            <v>0501-044001  JASPER CTY/JOPLIN</v>
          </cell>
          <cell r="Q1864">
            <v>74319.509999999995</v>
          </cell>
          <cell r="R1864">
            <v>-3844.5</v>
          </cell>
        </row>
        <row r="1865">
          <cell r="A1865" t="str">
            <v>800194</v>
          </cell>
          <cell r="B1865" t="str">
            <v>LDC 2</v>
          </cell>
          <cell r="C1865" t="str">
            <v>03 - Bare Steel Replacement</v>
          </cell>
          <cell r="D1865" t="str">
            <v>yes</v>
          </cell>
          <cell r="F1865" t="str">
            <v>F0572</v>
          </cell>
          <cell r="G1865" t="str">
            <v>Main Replacement - ISRS (SW)</v>
          </cell>
          <cell r="H1865" t="str">
            <v>Repl w/ 865F 4P 26th &amp; Jackson</v>
          </cell>
          <cell r="I1865" t="str">
            <v>completed</v>
          </cell>
          <cell r="J1865" t="str">
            <v>Install 865 Ft of 4in PL IP on 26th Street. Abandon 50 Ft of 2PL LP main, 350 Ft 2in ST LP main and 602 Ft 3in ST LP main along 26th Street. Abandon existing Reg Station 01-52-C to eliminate LP main.</v>
          </cell>
          <cell r="K1865" t="str">
            <v>This main is being replaced as part of the FY16 Bare Steel Replacement Program</v>
          </cell>
          <cell r="L1865">
            <v>42551</v>
          </cell>
          <cell r="M1865">
            <v>42735</v>
          </cell>
          <cell r="O1865">
            <v>42522</v>
          </cell>
          <cell r="P1865" t="str">
            <v>0501-044001  JASPER CTY/JOPLIN</v>
          </cell>
          <cell r="Q1865">
            <v>65940.850000000006</v>
          </cell>
          <cell r="R1865">
            <v>-1594</v>
          </cell>
        </row>
        <row r="1866">
          <cell r="A1866" t="str">
            <v>008681</v>
          </cell>
          <cell r="B1866" t="str">
            <v>LDC 2</v>
          </cell>
          <cell r="D1866" t="str">
            <v>yes</v>
          </cell>
          <cell r="E1866" t="str">
            <v>20501155348</v>
          </cell>
          <cell r="F1866" t="str">
            <v>F0546</v>
          </cell>
          <cell r="G1866" t="str">
            <v>Street &amp; highway relocates - safety</v>
          </cell>
          <cell r="H1866" t="str">
            <v>C Street and Harlem  PBS/PCS replac</v>
          </cell>
          <cell r="I1866" t="str">
            <v>posted to CPR</v>
          </cell>
          <cell r="J1866" t="str">
            <v>C Street and Harlem  PBS/PCS replacement: Joplin: Relocate for Street &amp; Highway-Safety Related (44-389)</v>
          </cell>
          <cell r="K1866" t="str">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ell>
          <cell r="L1866">
            <v>42268</v>
          </cell>
          <cell r="M1866">
            <v>42429</v>
          </cell>
          <cell r="N1866">
            <v>42527.512384259302</v>
          </cell>
          <cell r="O1866">
            <v>42278</v>
          </cell>
          <cell r="P1866" t="str">
            <v>0501-044001  JASPER CTY/JOPLIN</v>
          </cell>
          <cell r="Q1866">
            <v>110083.28</v>
          </cell>
          <cell r="R1866">
            <v>45914.8</v>
          </cell>
        </row>
        <row r="1867">
          <cell r="A1867" t="str">
            <v>007394</v>
          </cell>
          <cell r="B1867" t="str">
            <v>LDC 2</v>
          </cell>
          <cell r="D1867" t="str">
            <v>yes</v>
          </cell>
          <cell r="E1867" t="str">
            <v>20501155073</v>
          </cell>
          <cell r="F1867" t="str">
            <v>F0544</v>
          </cell>
          <cell r="G1867" t="str">
            <v>Replace bare steel main - safety re</v>
          </cell>
          <cell r="H1867" t="str">
            <v>St Louis Ave PBS Replacement</v>
          </cell>
          <cell r="I1867" t="str">
            <v>posted to CPR</v>
          </cell>
          <cell r="J1867" t="str">
            <v>St Louis Ave PBS Replacement: Joplin: Replace Bare Steel Main - 3760 Safety Related (34-394)</v>
          </cell>
          <cell r="K1867" t="str">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ell>
          <cell r="L1867">
            <v>42368</v>
          </cell>
          <cell r="M1867">
            <v>42522</v>
          </cell>
          <cell r="N1867">
            <v>42587.463298611103</v>
          </cell>
          <cell r="O1867">
            <v>42522</v>
          </cell>
          <cell r="P1867" t="str">
            <v>0501-044001  JASPER CTY/JOPLIN</v>
          </cell>
          <cell r="Q1867">
            <v>150773.79</v>
          </cell>
          <cell r="R1867">
            <v>-3566</v>
          </cell>
        </row>
        <row r="1868">
          <cell r="A1868" t="str">
            <v>011165</v>
          </cell>
          <cell r="B1868" t="str">
            <v>LDC 2</v>
          </cell>
          <cell r="D1868" t="str">
            <v>no</v>
          </cell>
          <cell r="F1868" t="str">
            <v>F1153</v>
          </cell>
          <cell r="G1868" t="str">
            <v>Power Operated Equip - MGE</v>
          </cell>
          <cell r="H1868" t="str">
            <v>Purchase (1) Flatbed Truck. MGE</v>
          </cell>
          <cell r="I1868" t="str">
            <v>posted to CPR</v>
          </cell>
          <cell r="J1868" t="str">
            <v>Purchase (1) Flatbed Truck. MGE - Additional</v>
          </cell>
          <cell r="L1868">
            <v>42644</v>
          </cell>
          <cell r="M1868">
            <v>42733</v>
          </cell>
          <cell r="N1868">
            <v>42742.624930555598</v>
          </cell>
          <cell r="O1868">
            <v>42644</v>
          </cell>
          <cell r="P1868" t="str">
            <v>0101-043050  JACKSON CTY/KC</v>
          </cell>
          <cell r="Q1868">
            <v>124293.37</v>
          </cell>
          <cell r="R1868">
            <v>1</v>
          </cell>
        </row>
        <row r="1869">
          <cell r="A1869" t="str">
            <v>009973</v>
          </cell>
          <cell r="B1869" t="str">
            <v>LDC 2</v>
          </cell>
          <cell r="D1869" t="str">
            <v>no</v>
          </cell>
          <cell r="F1869" t="str">
            <v>F1153</v>
          </cell>
          <cell r="G1869" t="str">
            <v>Power Operated Equip - MGE</v>
          </cell>
          <cell r="H1869" t="str">
            <v>Retire 1 Case Large Trencher</v>
          </cell>
          <cell r="I1869" t="str">
            <v>posted to CPR</v>
          </cell>
          <cell r="J1869" t="str">
            <v>Retire Unit 87106 VIN: JAF0295766</v>
          </cell>
          <cell r="L1869">
            <v>42400</v>
          </cell>
          <cell r="M1869">
            <v>42400</v>
          </cell>
          <cell r="N1869">
            <v>42405.496655092596</v>
          </cell>
          <cell r="P1869" t="str">
            <v>0101-043050  JACKSON CTY/KC</v>
          </cell>
          <cell r="Q1869">
            <v>-6680.25</v>
          </cell>
          <cell r="R1869">
            <v>1</v>
          </cell>
        </row>
        <row r="1870">
          <cell r="A1870" t="str">
            <v>009026</v>
          </cell>
          <cell r="B1870" t="str">
            <v>LDC 2</v>
          </cell>
          <cell r="D1870" t="str">
            <v>no</v>
          </cell>
          <cell r="E1870" t="str">
            <v>20101155462</v>
          </cell>
          <cell r="F1870" t="str">
            <v>F0529</v>
          </cell>
          <cell r="G1870" t="str">
            <v>Meter Purchases - MGE</v>
          </cell>
          <cell r="H1870" t="str">
            <v>Purchase AC-630 American Meters</v>
          </cell>
          <cell r="I1870" t="str">
            <v>posted to CPR</v>
          </cell>
          <cell r="J1870" t="str">
            <v>Purchase AC-630 American Meters: Kansas City CORP: Purchase Domestic Diaphragm  Meters - 3810 (32-398)</v>
          </cell>
          <cell r="K1870" t="str">
            <v>Approved by: John Jankovich on 07/23/2015,  Purchase new 630 for stock.</v>
          </cell>
          <cell r="L1870">
            <v>42460</v>
          </cell>
          <cell r="M1870">
            <v>42461</v>
          </cell>
          <cell r="N1870">
            <v>42496.560856481497</v>
          </cell>
          <cell r="O1870">
            <v>42461</v>
          </cell>
          <cell r="P1870" t="str">
            <v>0101-043050  JACKSON CTY/KC</v>
          </cell>
          <cell r="Q1870">
            <v>82342.09</v>
          </cell>
          <cell r="R1870">
            <v>180</v>
          </cell>
        </row>
        <row r="1871">
          <cell r="A1871" t="str">
            <v>003803</v>
          </cell>
          <cell r="B1871" t="str">
            <v>LDC 2</v>
          </cell>
          <cell r="D1871" t="str">
            <v>no</v>
          </cell>
          <cell r="E1871" t="str">
            <v>20101143382</v>
          </cell>
          <cell r="F1871" t="str">
            <v>F0505</v>
          </cell>
          <cell r="G1871" t="str">
            <v>Special Projects</v>
          </cell>
          <cell r="H1871" t="str">
            <v>Pur 5 FC300 SRead radios</v>
          </cell>
          <cell r="I1871" t="str">
            <v>posted to CPR</v>
          </cell>
          <cell r="J1871" t="str">
            <v>Pur 5 FC300 SRead radios: Kansas City CORP: Broadway</v>
          </cell>
          <cell r="K1871" t="str">
            <v>Approved by: Steve Holcomb on 02/23/2014,  To purchase 5 - FC300, SRead Radios with docking stations &amp; power supply for meter reading. These units will not be replacing any existing equipment.</v>
          </cell>
          <cell r="L1871">
            <v>41701</v>
          </cell>
          <cell r="M1871">
            <v>42461</v>
          </cell>
          <cell r="N1871">
            <v>42496.558541666702</v>
          </cell>
          <cell r="O1871">
            <v>41913</v>
          </cell>
          <cell r="P1871" t="str">
            <v>0101-043050  JACKSON CTY/KC</v>
          </cell>
          <cell r="Q1871">
            <v>26844.62</v>
          </cell>
          <cell r="R1871">
            <v>20</v>
          </cell>
        </row>
        <row r="1872">
          <cell r="A1872" t="str">
            <v>800727</v>
          </cell>
          <cell r="B1872" t="str">
            <v>LDC 2</v>
          </cell>
          <cell r="C1872" t="str">
            <v>03 - Bare Steel Replacement</v>
          </cell>
          <cell r="D1872" t="str">
            <v>yes</v>
          </cell>
          <cell r="F1872" t="str">
            <v>F0604</v>
          </cell>
          <cell r="G1872" t="str">
            <v>Main Replacement - ISRS (S)</v>
          </cell>
          <cell r="H1872" t="str">
            <v>Repl w 2380F 2-4P 31st &amp; Mason St</v>
          </cell>
          <cell r="I1872" t="str">
            <v>open</v>
          </cell>
          <cell r="J1872" t="str">
            <v>Install ~1890 Ft of 2" PL IP Main, ~490 Ft of 4" PL IP Main.</v>
          </cell>
          <cell r="K1872" t="str">
            <v>Abandon ~2249 Ft of 4" ST LP Main
Uprate to IP ~1000 Ft of 2" PL LP Main, ~310 Ft of 4" PL LP Main
Total Service Tie-over= 56, Service Uprates=31, Service Replacements=1 (1ft)
Project Type: Strategic Main Replacement (MREPL)</v>
          </cell>
          <cell r="P1872" t="str">
            <v>0201-043001  JACKSON CTY/INDEPENDENCE</v>
          </cell>
          <cell r="Q1872">
            <v>162322.26</v>
          </cell>
          <cell r="R1872">
            <v>-1640</v>
          </cell>
        </row>
        <row r="1873">
          <cell r="A1873" t="str">
            <v>800617</v>
          </cell>
          <cell r="B1873" t="str">
            <v>LDC 2</v>
          </cell>
          <cell r="D1873" t="str">
            <v>no</v>
          </cell>
          <cell r="F1873" t="str">
            <v>F0673</v>
          </cell>
          <cell r="G1873" t="str">
            <v>New Main Extensions (S)</v>
          </cell>
          <cell r="H1873" t="str">
            <v>Inst 415F 2-4P Menards NB</v>
          </cell>
          <cell r="I1873" t="str">
            <v>in service</v>
          </cell>
          <cell r="J1873" t="str">
            <v>Install 65' of 4'' PE Main and 350' of 2'' PE main in order to serve new commercial customer, Menard's. Install 425' of 2'' PE Service.</v>
          </cell>
          <cell r="L1873">
            <v>42647</v>
          </cell>
          <cell r="O1873">
            <v>42644</v>
          </cell>
          <cell r="P1873" t="str">
            <v>0201-043001  JACKSON CTY/INDEPENDENCE</v>
          </cell>
          <cell r="Q1873">
            <v>15688.64</v>
          </cell>
          <cell r="R1873">
            <v>-667</v>
          </cell>
        </row>
        <row r="1874">
          <cell r="A1874" t="str">
            <v>008682</v>
          </cell>
          <cell r="B1874" t="str">
            <v>LDC 2</v>
          </cell>
          <cell r="D1874" t="str">
            <v>yes</v>
          </cell>
          <cell r="E1874" t="str">
            <v>20201155147</v>
          </cell>
          <cell r="F1874" t="str">
            <v>F0604</v>
          </cell>
          <cell r="G1874" t="str">
            <v>Main Replacement - ISRS (S)</v>
          </cell>
          <cell r="H1874" t="str">
            <v>Replace 6in PCS 4in PCS/PBS &amp;</v>
          </cell>
          <cell r="I1874" t="str">
            <v>posted to CPR</v>
          </cell>
          <cell r="J1874" t="str">
            <v>Replace 6in PCS 4in PCS/PBS &amp; 2in PE Main: Independence: Replace Bare Steel Main - 3760 Safety Related (34-394)</v>
          </cell>
          <cell r="K1874" t="str">
            <v>Approved by: Joe Hampton on 06/01/2015,  Replace and Abandon 359'- 2", PE (862827), 103'- 4", PCS (942723), 1013'- 4", PBS (A5299A), 13'- 4", PCS (912171), 700'- 4", PBS (A5299A), 374'- 4", PCS (871511), and 141'- 6", PCS (691840) by installing 2,230' - 6" pe, 1,080' - 4" pe and 360' - 2" pe main. (ISRS)</v>
          </cell>
          <cell r="L1874">
            <v>42297</v>
          </cell>
          <cell r="M1874">
            <v>42429</v>
          </cell>
          <cell r="N1874">
            <v>42527.512395833299</v>
          </cell>
          <cell r="O1874">
            <v>42309</v>
          </cell>
          <cell r="P1874" t="str">
            <v>0201-043001  JACKSON CTY/INDEPENDENCE</v>
          </cell>
          <cell r="Q1874">
            <v>184089.13</v>
          </cell>
          <cell r="R1874">
            <v>-9066</v>
          </cell>
        </row>
        <row r="1875">
          <cell r="A1875" t="str">
            <v>007479</v>
          </cell>
          <cell r="B1875" t="str">
            <v>LDC 2</v>
          </cell>
          <cell r="D1875" t="str">
            <v>no</v>
          </cell>
          <cell r="E1875" t="str">
            <v>20201155083</v>
          </cell>
          <cell r="F1875" t="str">
            <v>F0602</v>
          </cell>
          <cell r="G1875" t="str">
            <v>New business</v>
          </cell>
          <cell r="H1875" t="str">
            <v>Scott Emmack Main Extension</v>
          </cell>
          <cell r="I1875" t="str">
            <v>posted to CPR</v>
          </cell>
          <cell r="J1875" t="str">
            <v>Scott Emmack Main Extension: Independence: New Main Extension - Contractor Crews  3760 (33-380)</v>
          </cell>
          <cell r="K1875" t="str">
            <v>Approved by: Kevin Driskell on 01/14/2015,  Install 160' - 4" pe main extension to serve one new residential customer.  Minimum to serve is 60'.  We plan to install the additional 100' for our convience to get in the road crossing and to avoid landscape resororation on future main extensions.</v>
          </cell>
          <cell r="L1875">
            <v>42076</v>
          </cell>
          <cell r="M1875">
            <v>42248</v>
          </cell>
          <cell r="N1875">
            <v>42284.723090277803</v>
          </cell>
          <cell r="O1875">
            <v>42064</v>
          </cell>
          <cell r="P1875" t="str">
            <v>0201-043001  JACKSON CTY/INDEPENDENCE</v>
          </cell>
          <cell r="Q1875">
            <v>7106.53</v>
          </cell>
          <cell r="R1875">
            <v>-653</v>
          </cell>
        </row>
        <row r="1876">
          <cell r="A1876" t="str">
            <v>004439</v>
          </cell>
          <cell r="B1876" t="str">
            <v>LDC 2</v>
          </cell>
          <cell r="D1876" t="str">
            <v>no</v>
          </cell>
          <cell r="E1876" t="str">
            <v>20201132991</v>
          </cell>
          <cell r="F1876" t="str">
            <v>F0602</v>
          </cell>
          <cell r="G1876" t="str">
            <v>New business</v>
          </cell>
          <cell r="H1876" t="str">
            <v>Install 1 1/4in PE Main; Convert Se</v>
          </cell>
          <cell r="I1876" t="str">
            <v>posted to CPR</v>
          </cell>
          <cell r="J1876" t="str">
            <v>Install 1 1/4in PE Main; Convert Serv/Main: Independence: 1010 W US Route 24</v>
          </cell>
          <cell r="K1876" t="str">
            <v>Approved by: Ralph Janes on 09/20/2013,  Install 295' - 1-1/4in pe main to complete a SLRP on premise 12529.  Conbert 31' of existing 1-1/8in pe service line to main and abandon the rest of the 1-1/8in pe service line that was installed on 08/16/1978.  New services and new meter settings will be installed on BWO at each of the strip center tenants.  The multiple meter header will be removed.</v>
          </cell>
          <cell r="L1876">
            <v>41496</v>
          </cell>
          <cell r="M1876">
            <v>41599</v>
          </cell>
          <cell r="N1876">
            <v>41603.384710648097</v>
          </cell>
          <cell r="O1876">
            <v>41730</v>
          </cell>
          <cell r="P1876" t="str">
            <v>0201-043001  JACKSON CTY/INDEPENDENCE</v>
          </cell>
          <cell r="Q1876">
            <v>3669.16</v>
          </cell>
          <cell r="R1876">
            <v>780</v>
          </cell>
        </row>
        <row r="1877">
          <cell r="A1877" t="str">
            <v>004132</v>
          </cell>
          <cell r="B1877" t="str">
            <v>LDC 2</v>
          </cell>
          <cell r="D1877" t="str">
            <v>yes</v>
          </cell>
          <cell r="E1877" t="str">
            <v>20201132807</v>
          </cell>
          <cell r="F1877" t="str">
            <v>F0604</v>
          </cell>
          <cell r="G1877" t="str">
            <v>Main Replacement - ISRS (S)</v>
          </cell>
          <cell r="H1877" t="str">
            <v>Osage &amp; Gudgell Repl PBS w 1855'-2i</v>
          </cell>
          <cell r="I1877" t="str">
            <v>posted to CPR</v>
          </cell>
          <cell r="J1877" t="str">
            <v>Osage &amp; Gudgell Repl PBS w 1855'-2in PE main: Independence: Osage and Gudgell</v>
          </cell>
          <cell r="K1877" t="str">
            <v>Approved by: Ken Thomas on 07/24/2013,  Replace and abandon 4&amp;quot; PBS with 1855' - 2&amp;quot; PE. The existing main has one active #3 leak (sector 1208 #1997-624) and a history of leakage. The existing main is fed from the C-001 pressure system at Osage and Gudgell and dead ends at Liberty. The new main will be tied onto the C-500 pressure system at Osage and Liberty. We will tie onto the existing 2&amp;quot; PE main on Rachel Ct laid in 2005 on WO# 05-8333, raising the pressure on this main/services to the C-500 pressure system. The main and all services on Rachel Ct have a recorded pressure test of 100 psig. All tie-overs are to have an EFV installed and all tie-overs and existing services on Rachel Ct are to have service regulators changed out for new pressure system. Main to abandon: 12' - 4&amp;quot; PE (WO# 02-3833); 381' - 4&amp;quot; PBS (WO# 19094); 12' - 4&amp;quot; PE (WO# 06-0977); 172' - 4&amp;quot; PBS (WO# 21698); 707' - 4&amp;quot; PBS (WO# A1338); 518' - 4&amp;quot; PBS (WO# 29860); 5' - 2&amp;quot; PE (WO# 05-8333); 140' - 4&amp;quot; PBS (WO# A2775). (ISRS) Price per ft = $35.95</v>
          </cell>
          <cell r="L1877">
            <v>41570</v>
          </cell>
          <cell r="M1877">
            <v>41638</v>
          </cell>
          <cell r="N1877">
            <v>41676.633379629602</v>
          </cell>
          <cell r="O1877">
            <v>41730</v>
          </cell>
          <cell r="P1877" t="str">
            <v>0201-043001  JACKSON CTY/INDEPENDENCE</v>
          </cell>
          <cell r="Q1877">
            <v>64739.07</v>
          </cell>
          <cell r="R1877">
            <v>4952</v>
          </cell>
        </row>
        <row r="1878">
          <cell r="A1878" t="str">
            <v>009119</v>
          </cell>
          <cell r="B1878" t="str">
            <v>LDC 2</v>
          </cell>
          <cell r="D1878" t="str">
            <v>no</v>
          </cell>
          <cell r="F1878" t="str">
            <v>F0852</v>
          </cell>
          <cell r="G1878" t="str">
            <v>Security equipment - MGE</v>
          </cell>
          <cell r="H1878" t="str">
            <v>Security System Conv. Warrensburg</v>
          </cell>
          <cell r="I1878" t="str">
            <v>in service</v>
          </cell>
          <cell r="J1878" t="str">
            <v>Convert access control system to Genetec/Mercury hardware at Warrensburg</v>
          </cell>
          <cell r="L1878">
            <v>42369</v>
          </cell>
          <cell r="O1878">
            <v>42339</v>
          </cell>
          <cell r="P1878" t="str">
            <v>0301-046001  JOHNSON CTY/WARRENSBURG</v>
          </cell>
          <cell r="Q1878">
            <v>11651.75</v>
          </cell>
          <cell r="R1878">
            <v>9350</v>
          </cell>
        </row>
        <row r="1879">
          <cell r="A1879" t="str">
            <v>008442</v>
          </cell>
          <cell r="B1879" t="str">
            <v>LDC 2</v>
          </cell>
          <cell r="D1879" t="str">
            <v>yes</v>
          </cell>
          <cell r="E1879" t="str">
            <v>20201155286</v>
          </cell>
          <cell r="F1879" t="str">
            <v>F0604</v>
          </cell>
          <cell r="G1879" t="str">
            <v>Main Replacement - ISRS (S)</v>
          </cell>
          <cell r="H1879" t="str">
            <v>Replace 4in PBS &amp; PE, 2in P</v>
          </cell>
          <cell r="I1879" t="str">
            <v>posted to CPR</v>
          </cell>
          <cell r="J1879" t="str">
            <v>Replace 4in PBS &amp; PE, 2in PBS &amp; PCS: Independence: Replace Bare Steel Main - 3760 Safety Related (34-394)</v>
          </cell>
          <cell r="K1879" t="str">
            <v>Approved by: Joe Hampton on 05/13/2015,  Replace and Abandon 4" and 2" pbs main by installing 400' - 4" pe and 3,380' - 2" pe main (ISRS)</v>
          </cell>
          <cell r="L1879">
            <v>42353</v>
          </cell>
          <cell r="M1879">
            <v>42429</v>
          </cell>
          <cell r="N1879">
            <v>42527.512094907397</v>
          </cell>
          <cell r="O1879">
            <v>42370</v>
          </cell>
          <cell r="P1879" t="str">
            <v>0201-043001  JACKSON CTY/INDEPENDENCE</v>
          </cell>
          <cell r="Q1879">
            <v>191791.1</v>
          </cell>
          <cell r="R1879">
            <v>-4187</v>
          </cell>
        </row>
        <row r="1880">
          <cell r="A1880" t="str">
            <v>005919</v>
          </cell>
          <cell r="B1880" t="str">
            <v>LDC 2</v>
          </cell>
          <cell r="D1880" t="str">
            <v>yes</v>
          </cell>
          <cell r="E1880" t="str">
            <v>20201143568</v>
          </cell>
          <cell r="F1880" t="str">
            <v>F0600</v>
          </cell>
          <cell r="G1880" t="str">
            <v>Station Rebuild &amp; Repl ISRS (N)</v>
          </cell>
          <cell r="H1880" t="str">
            <v>Retire DRS 67 35th and Arlington 02</v>
          </cell>
          <cell r="I1880" t="str">
            <v>posted to CPR</v>
          </cell>
          <cell r="J1880" t="str">
            <v>Retire DRS 67 35th and Arlington 0201: Independence: Rebuild District/TB Stations  3780/3790 (45-387)</v>
          </cell>
          <cell r="K1880" t="str">
            <v>Approved by: Ralph Janes on 08/06/2014,  Remove and retire DRS 67 (WO# 86-2358) as it will not be needed after the completion of WO# 14-3515. The 2 - 2in Rockwell 461-S regulators will be junked.</v>
          </cell>
          <cell r="L1880">
            <v>42031</v>
          </cell>
          <cell r="M1880">
            <v>42063</v>
          </cell>
          <cell r="N1880">
            <v>42160.553437499999</v>
          </cell>
          <cell r="O1880">
            <v>42125</v>
          </cell>
          <cell r="P1880" t="str">
            <v>0201-043001  JACKSON CTY/INDEPENDENCE</v>
          </cell>
          <cell r="Q1880">
            <v>5328.89</v>
          </cell>
          <cell r="R1880">
            <v>7.5</v>
          </cell>
        </row>
        <row r="1881">
          <cell r="A1881" t="str">
            <v>005032</v>
          </cell>
          <cell r="B1881" t="str">
            <v>LDC 2</v>
          </cell>
          <cell r="D1881" t="str">
            <v>yes</v>
          </cell>
          <cell r="E1881" t="str">
            <v>20201143509</v>
          </cell>
          <cell r="F1881" t="str">
            <v>F0604</v>
          </cell>
          <cell r="G1881" t="str">
            <v>Main Replacement - ISRS (S)</v>
          </cell>
          <cell r="H1881" t="str">
            <v>Lexington &amp; Strode Repl PBS w 440'-</v>
          </cell>
          <cell r="I1881" t="str">
            <v>posted to CPR</v>
          </cell>
          <cell r="J1881" t="str">
            <v>Lexington &amp; Strode Repl PBS w 440'-4in PE : Independence: Replace Bare Steel Main - 3760 Safety Related (34-394)</v>
          </cell>
          <cell r="K1881" t="str">
            <v>Approved by: Ralph Janes on 04/18/2014,  Replace 436' - 4" PBS (WO# 202) with 440' - 4" PE. The existing main is actively leaking and is isolated bare steel. Price per ft = $65.38 due to 12 tie-overs and anticipated paving repairs. (ISRS)</v>
          </cell>
          <cell r="L1881">
            <v>41780</v>
          </cell>
          <cell r="M1881">
            <v>41882</v>
          </cell>
          <cell r="N1881">
            <v>41936.625775462999</v>
          </cell>
          <cell r="O1881">
            <v>41791</v>
          </cell>
          <cell r="P1881" t="str">
            <v>0201-043001  JACKSON CTY/INDEPENDENCE</v>
          </cell>
          <cell r="Q1881">
            <v>10784.79</v>
          </cell>
          <cell r="R1881">
            <v>-568</v>
          </cell>
        </row>
        <row r="1882">
          <cell r="A1882" t="str">
            <v>007514</v>
          </cell>
          <cell r="B1882" t="str">
            <v>LDC 2</v>
          </cell>
          <cell r="D1882" t="str">
            <v>yes</v>
          </cell>
          <cell r="E1882" t="str">
            <v>20301155104</v>
          </cell>
          <cell r="F1882" t="str">
            <v>F0604</v>
          </cell>
          <cell r="G1882" t="str">
            <v>Main Replacement - ISRS (S)</v>
          </cell>
          <cell r="H1882" t="str">
            <v>Replace 2in pbsw main</v>
          </cell>
          <cell r="I1882" t="str">
            <v>posted to CPR</v>
          </cell>
          <cell r="J1882" t="str">
            <v>Replace 2in pbsw main: Warrensburg: Replace Bare Steel Main - 3760 Safety Related (34-394)</v>
          </cell>
          <cell r="K1882" t="str">
            <v>Approved by: Kevin Driskell on 01/26/2015,  Replace and retire 270' - 2" pbs main (WO Unknown) and 100' - 2" pcs main (wo 860988) by installing 360' - 2" pe main.  Replacing the existing pbs main will clear corrosion CP14-190 at 214 W Market St. (ISRS)</v>
          </cell>
          <cell r="L1882">
            <v>42245</v>
          </cell>
          <cell r="M1882">
            <v>42430</v>
          </cell>
          <cell r="N1882">
            <v>42557.552418981497</v>
          </cell>
          <cell r="O1882">
            <v>42401</v>
          </cell>
          <cell r="P1882" t="str">
            <v>0301-046001  JOHNSON CTY/WARRENSBURG</v>
          </cell>
          <cell r="Q1882">
            <v>20310.45</v>
          </cell>
          <cell r="R1882">
            <v>-508.5</v>
          </cell>
        </row>
        <row r="1883">
          <cell r="A1883" t="str">
            <v>800286</v>
          </cell>
          <cell r="B1883" t="str">
            <v>LDC 2</v>
          </cell>
          <cell r="C1883" t="str">
            <v>03 - Bare Steel Replacement</v>
          </cell>
          <cell r="D1883" t="str">
            <v>yes</v>
          </cell>
          <cell r="F1883" t="str">
            <v>F0604</v>
          </cell>
          <cell r="G1883" t="str">
            <v>Main Replacement - ISRS (S)</v>
          </cell>
          <cell r="H1883" t="str">
            <v>Repl w 12516F 2-4P Carrollton Ph I</v>
          </cell>
          <cell r="I1883" t="str">
            <v>open</v>
          </cell>
          <cell r="J1883" t="str">
            <v>Install - 10,492 Ft of 2 in PL IP main and 2,024 Ft of 4 in PL IP main on N. Monroe St, W 4th St, W 6th St, Folger St, W. 7th St, Ruby St, W. 8th St, N. Locust St, W. 9th St, Santa Fe St, W. 5th St, W. 10th St., and N. Ely St.</v>
          </cell>
          <cell r="K1883" t="str">
            <v>Carrollton Grid Main Replacement I.  Abandon - 231 Ft of 1 1/4 in ST IP main, and 10,876 Ft of 2" ST IP main, and 3,439 Ft of 4 in ST IP main at the above locations.  Total Service Tie-Over = 166; Total Service Replacement = 11; Total Service Abandon = 15.  This main is being replaced as part of FY17 Bare Steel Replacement Program.</v>
          </cell>
          <cell r="P1883" t="str">
            <v>0312-014001  CARROLL CTY/CARROLLTON</v>
          </cell>
          <cell r="Q1883">
            <v>53068.44</v>
          </cell>
          <cell r="R1883">
            <v>-9706</v>
          </cell>
        </row>
        <row r="1884">
          <cell r="A1884" t="str">
            <v>011337</v>
          </cell>
          <cell r="B1884" t="str">
            <v>LDC 2</v>
          </cell>
          <cell r="D1884" t="str">
            <v>no</v>
          </cell>
          <cell r="F1884" t="str">
            <v>F0644</v>
          </cell>
          <cell r="G1884" t="str">
            <v>Meter &amp; Reg Settings 2" &amp; Lg (S)</v>
          </cell>
          <cell r="H1884" t="str">
            <v>Big Biscuit 3M Rotary Meter Set</v>
          </cell>
          <cell r="I1884" t="str">
            <v>in service</v>
          </cell>
          <cell r="J1884" t="str">
            <v>Install a 3M Rotary Meter Set to serve one new commercial customer at 307 N Dean Ave</v>
          </cell>
          <cell r="L1884">
            <v>42529</v>
          </cell>
          <cell r="O1884">
            <v>42614</v>
          </cell>
          <cell r="P1884" t="str">
            <v>0932-016022  CASS CTY/RAYMORE</v>
          </cell>
          <cell r="Q1884">
            <v>1216.5899999999999</v>
          </cell>
          <cell r="R1884">
            <v>-56</v>
          </cell>
        </row>
        <row r="1885">
          <cell r="A1885" t="str">
            <v>003852</v>
          </cell>
          <cell r="B1885" t="str">
            <v>LDC 2</v>
          </cell>
          <cell r="D1885" t="str">
            <v>no</v>
          </cell>
          <cell r="E1885" t="str">
            <v>20932121256</v>
          </cell>
          <cell r="F1885" t="str">
            <v>F0676</v>
          </cell>
          <cell r="G1885" t="str">
            <v>Meter &amp; regulator settings - 2" &amp; l</v>
          </cell>
          <cell r="H1885" t="str">
            <v>SAMs Club 7M Meter Set</v>
          </cell>
          <cell r="I1885" t="str">
            <v>posted to CPR</v>
          </cell>
          <cell r="J1885" t="str">
            <v>SAMs Club 7M Meter Set: Raymore: 141 N Dean Ave</v>
          </cell>
          <cell r="K1885" t="str">
            <v>Approved by: Ralph Janes on 08/28/2012,  Install 7M Rotary meter setting to serve one new commercial customer.  Load = 10,529 cfh.  5 psig elevated pressure requested.  930' - 2in pe service line to be installed on work order 12-1255.</v>
          </cell>
          <cell r="L1885">
            <v>41514</v>
          </cell>
          <cell r="M1885">
            <v>41575</v>
          </cell>
          <cell r="N1885">
            <v>41576.418564814798</v>
          </cell>
          <cell r="P1885" t="str">
            <v>0932-016022  CASS CTY/RAYMORE</v>
          </cell>
          <cell r="Q1885">
            <v>3119.04</v>
          </cell>
          <cell r="R1885">
            <v>78</v>
          </cell>
        </row>
        <row r="1886">
          <cell r="A1886" t="str">
            <v>004037</v>
          </cell>
          <cell r="B1886" t="str">
            <v>LDC 2</v>
          </cell>
          <cell r="D1886" t="str">
            <v>yes</v>
          </cell>
          <cell r="E1886" t="str">
            <v>20940143315</v>
          </cell>
          <cell r="F1886" t="str">
            <v>F0578</v>
          </cell>
          <cell r="G1886" t="str">
            <v>Street &amp; Highway Relocates ISRS (S)</v>
          </cell>
          <cell r="H1886" t="str">
            <v>Allendale Lake rd Reloc 15'-4in pe</v>
          </cell>
          <cell r="I1886" t="str">
            <v>posted to CPR</v>
          </cell>
          <cell r="J1886" t="str">
            <v>Allendale Lake rd Reloc 15'-4in pe main: Lake Winnebago: Allendale Lake Road and Arapaho Drive</v>
          </cell>
          <cell r="K1886" t="str">
            <v>Approved by: Ralph Janes on 03/05/2014,  Relocate and abandon 15' - 4" pe main (00-1895) by installing 30' - temporary 2" pe main and then 15' - 4" pe main to allow the rural water district to install a new water tower main and tap. (ISRS)</v>
          </cell>
          <cell r="L1886">
            <v>41835</v>
          </cell>
          <cell r="M1886">
            <v>41912</v>
          </cell>
          <cell r="N1886">
            <v>42012.721087963</v>
          </cell>
          <cell r="O1886">
            <v>41852</v>
          </cell>
          <cell r="P1886" t="str">
            <v>0940-016034  CASS CTY/LAKE WINNEBAGO</v>
          </cell>
          <cell r="Q1886">
            <v>923.14</v>
          </cell>
          <cell r="R1886">
            <v>-12</v>
          </cell>
        </row>
        <row r="1887">
          <cell r="A1887" t="str">
            <v>800300</v>
          </cell>
          <cell r="B1887" t="str">
            <v>LDC 2</v>
          </cell>
          <cell r="D1887" t="str">
            <v>no</v>
          </cell>
          <cell r="F1887" t="str">
            <v>F0523</v>
          </cell>
          <cell r="G1887" t="str">
            <v>New Main Extensions (SW)</v>
          </cell>
          <cell r="H1887" t="str">
            <v>175ft Main Extension to serve 2 res</v>
          </cell>
          <cell r="I1887" t="str">
            <v>in service</v>
          </cell>
          <cell r="J1887" t="str">
            <v>Install 175' 4in PE to Serve 2 new customers (residential) at 871 Tracy Ln and 402 Todd Ln. Sizing only requires 2in piping but 4in piping was installed for future growth.</v>
          </cell>
          <cell r="K1887" t="str">
            <v>Town Code: 0804 Sector: A1114 System: S-0003 MAOP: 25 MOP: 25 Cost: $5732.70 ($32.74/ft)</v>
          </cell>
          <cell r="L1887">
            <v>42457</v>
          </cell>
          <cell r="O1887">
            <v>42583</v>
          </cell>
          <cell r="P1887" t="str">
            <v>0804-050005  LAWRENCE CTY/MT. VERNON</v>
          </cell>
          <cell r="Q1887">
            <v>3391.92</v>
          </cell>
          <cell r="R1887">
            <v>-325</v>
          </cell>
        </row>
        <row r="1888">
          <cell r="A1888" t="str">
            <v>006755</v>
          </cell>
          <cell r="B1888" t="str">
            <v>LDC 2</v>
          </cell>
          <cell r="D1888" t="str">
            <v>no</v>
          </cell>
          <cell r="E1888" t="str">
            <v>20810143915</v>
          </cell>
          <cell r="F1888" t="str">
            <v>F0639</v>
          </cell>
          <cell r="G1888" t="str">
            <v>EGM Equip-1st Time Installation</v>
          </cell>
          <cell r="H1888" t="str">
            <v>EGM - Willmar Poultry Co, Inc.</v>
          </cell>
          <cell r="I1888" t="str">
            <v>in service</v>
          </cell>
          <cell r="J1888" t="str">
            <v>EGM - Willmar Poultry Co, Inc.: Marionville: Install EGM Equipment - First Time Installation  3850 (32-403)</v>
          </cell>
          <cell r="K1888" t="str">
            <v>Approved by: Rob Kitterman on 10/27/2014,  Install Mercury MiniMax-AT-PT (S/N: 13094601) with CNI-2 on Roots 7M meter no 09620161 to monitor daily gas usage of this transportation customer. Customer will reimburse company actual cost for EGM installation not to exceed $5,445.00, which should be coded to account 1072. ATTENTION: Plant &amp; Property Accounting, EGM work order, turn off A&amp;G indicator.</v>
          </cell>
          <cell r="L1888">
            <v>42443</v>
          </cell>
          <cell r="O1888">
            <v>42461</v>
          </cell>
          <cell r="P1888" t="str">
            <v>0810-050015  LAWRENCE CTY/MARIONVILLE</v>
          </cell>
          <cell r="Q1888">
            <v>-8.7899999999999991</v>
          </cell>
          <cell r="R1888">
            <v>35</v>
          </cell>
        </row>
        <row r="1889">
          <cell r="A1889" t="str">
            <v>009122</v>
          </cell>
          <cell r="B1889" t="str">
            <v>LDC 2</v>
          </cell>
          <cell r="D1889" t="str">
            <v>no</v>
          </cell>
          <cell r="F1889" t="str">
            <v>F0852</v>
          </cell>
          <cell r="G1889" t="str">
            <v>Security equipment - MGE</v>
          </cell>
          <cell r="H1889" t="str">
            <v>Security System Conv. Republic</v>
          </cell>
          <cell r="I1889" t="str">
            <v>in service</v>
          </cell>
          <cell r="J1889" t="str">
            <v>Convert access control system to Genetec/Mercury hardware at Republic</v>
          </cell>
          <cell r="L1889">
            <v>42369</v>
          </cell>
          <cell r="O1889">
            <v>42430</v>
          </cell>
          <cell r="P1889" t="str">
            <v>0812-034002  GREENE CTY/REPUBLIC</v>
          </cell>
          <cell r="Q1889">
            <v>14953.32</v>
          </cell>
          <cell r="R1889">
            <v>12000</v>
          </cell>
        </row>
        <row r="1890">
          <cell r="A1890" t="str">
            <v>007968</v>
          </cell>
          <cell r="B1890" t="str">
            <v>LDC 2</v>
          </cell>
          <cell r="D1890" t="str">
            <v>no</v>
          </cell>
          <cell r="E1890" t="str">
            <v>20812155246</v>
          </cell>
          <cell r="F1890" t="str">
            <v>F0556</v>
          </cell>
          <cell r="G1890" t="str">
            <v>Tools, instruments &amp; equipment</v>
          </cell>
          <cell r="H1890" t="str">
            <v>Pur one new Mustang DBS 24C Squeeze</v>
          </cell>
          <cell r="I1890" t="str">
            <v>posted to CPR</v>
          </cell>
          <cell r="J1890" t="str">
            <v>Pur one new Mustang DBS 24C Squeeze Tool for Repub: Republic: Purchase Tools, Instruments &amp; Equipment  3940 (37-366)</v>
          </cell>
          <cell r="K1890" t="str">
            <v>Approved by: Michael Fornelli on 03/25/2015,  Purchase one new Mustang DBS-24C Squeeze Tool from Groebner for use in Republic. Price of item=507.60 Tax=36.04</v>
          </cell>
          <cell r="L1890">
            <v>42117</v>
          </cell>
          <cell r="M1890">
            <v>42491</v>
          </cell>
          <cell r="N1890">
            <v>42527.511793981503</v>
          </cell>
          <cell r="O1890">
            <v>42095</v>
          </cell>
          <cell r="P1890" t="str">
            <v>0812-034002  GREENE CTY/REPUBLIC</v>
          </cell>
          <cell r="Q1890">
            <v>553.71</v>
          </cell>
          <cell r="R1890">
            <v>3</v>
          </cell>
        </row>
        <row r="1891">
          <cell r="A1891" t="str">
            <v>800650</v>
          </cell>
          <cell r="B1891" t="str">
            <v>LDC 2</v>
          </cell>
          <cell r="D1891" t="str">
            <v>no</v>
          </cell>
          <cell r="F1891" t="str">
            <v>F0523</v>
          </cell>
          <cell r="G1891" t="str">
            <v>New Main Extensions (SW)</v>
          </cell>
          <cell r="H1891" t="str">
            <v>Install 561F 2P County Crest Ozark</v>
          </cell>
          <cell r="I1891" t="str">
            <v>in service</v>
          </cell>
          <cell r="J1891" t="str">
            <v> Install 561 ft of 2 in IP PE in Ozark to serve the Country Crest Subdivision. A total of 14 new residential customers could be served.</v>
          </cell>
          <cell r="K1891" t="str">
            <v>Minimum cost to serve has been attached in Maximo.</v>
          </cell>
          <cell r="L1891">
            <v>42585</v>
          </cell>
          <cell r="O1891">
            <v>42614</v>
          </cell>
          <cell r="P1891" t="str">
            <v>0815-019006  CHRISTIAN CTY/OZARK</v>
          </cell>
          <cell r="Q1891">
            <v>7418.4</v>
          </cell>
          <cell r="R1891">
            <v>-1236</v>
          </cell>
        </row>
        <row r="1892">
          <cell r="A1892" t="str">
            <v>004464</v>
          </cell>
          <cell r="B1892" t="str">
            <v>LDC 2</v>
          </cell>
          <cell r="D1892" t="str">
            <v>yes</v>
          </cell>
          <cell r="E1892" t="str">
            <v>20816143338</v>
          </cell>
          <cell r="F1892" t="str">
            <v>F0545</v>
          </cell>
          <cell r="G1892" t="str">
            <v>Street &amp; highway relocates</v>
          </cell>
          <cell r="H1892" t="str">
            <v>Texas St Repl CS w 56'- 2in PE Main</v>
          </cell>
          <cell r="I1892" t="str">
            <v>posted to CPR</v>
          </cell>
          <cell r="J1892" t="str">
            <v>Texas St Repl CS w 56'- 2in PE Main : Nixa: Texas St and South St</v>
          </cell>
          <cell r="K1892" t="str">
            <v>Approved by: Galen Shoemaker on 02/03/2014,  To lay 56ft of 2in Plastic Main to lower and relocate Main so it will not be in conflict with storm drain. This will retire 26ft of 2in Coated Steel Main from WO 74-2276 and 18ft of 2in Coated Steel from WO 62-5695. MOP=44# MAOP=44# SYSTEM=C-1 TEST=100#. ISRS.</v>
          </cell>
          <cell r="L1892">
            <v>41668</v>
          </cell>
          <cell r="M1892">
            <v>41719</v>
          </cell>
          <cell r="N1892">
            <v>41719.593159722201</v>
          </cell>
          <cell r="O1892">
            <v>41730</v>
          </cell>
          <cell r="P1892" t="str">
            <v>0816-019004  CHRISTIAN CTY/NIXA</v>
          </cell>
          <cell r="Q1892">
            <v>5130.25</v>
          </cell>
          <cell r="R1892">
            <v>44</v>
          </cell>
        </row>
        <row r="1893">
          <cell r="A1893" t="str">
            <v>800218</v>
          </cell>
          <cell r="B1893" t="str">
            <v>LDC 2</v>
          </cell>
          <cell r="D1893" t="str">
            <v>no</v>
          </cell>
          <cell r="F1893" t="str">
            <v>F0673</v>
          </cell>
          <cell r="G1893" t="str">
            <v>New Main Extensions (S)</v>
          </cell>
          <cell r="H1893" t="str">
            <v>Texas Roadhouse - Main Ext</v>
          </cell>
          <cell r="I1893" t="str">
            <v>in service</v>
          </cell>
          <cell r="J1893" t="str">
            <v>Install 530 feet of 2 inch plastic main and 50 feet of 6 inch plastic main to serve one new commercial customer. 145 feet of 1-1/4 inch plastic service to be installed on wo 14457913. 5M Rotary meter to be installed on wo 14649700.</v>
          </cell>
          <cell r="K1893" t="str">
            <v>5 RTUs, 3 WATER HEATERS, 12 PIECES OF COOKING EQUIPMENT; TOTAL CFH'S 4,126. 7"W.C.</v>
          </cell>
          <cell r="L1893">
            <v>42445</v>
          </cell>
          <cell r="O1893">
            <v>42461</v>
          </cell>
          <cell r="P1893" t="str">
            <v>0906-016001  CASS CTY/BELTON W OF MULLIN RD</v>
          </cell>
          <cell r="Q1893">
            <v>13883.64</v>
          </cell>
          <cell r="R1893">
            <v>-1842</v>
          </cell>
        </row>
        <row r="1894">
          <cell r="A1894" t="str">
            <v>010035</v>
          </cell>
          <cell r="B1894" t="str">
            <v>LDC 2</v>
          </cell>
          <cell r="D1894" t="str">
            <v>no</v>
          </cell>
          <cell r="F1894" t="str">
            <v>F0644</v>
          </cell>
          <cell r="G1894" t="str">
            <v>Meter &amp; Reg Settings 2" &amp; Lg (S)</v>
          </cell>
          <cell r="H1894" t="str">
            <v>Menards 7M Meter Set</v>
          </cell>
          <cell r="I1894" t="str">
            <v>in service</v>
          </cell>
          <cell r="J1894" t="str">
            <v>Install a 7M Rotary Meter setting to serve one new commercial customer at 800 E Markey Pkwy - Load = 6,932 cfh</v>
          </cell>
          <cell r="K1894" t="str">
            <v>Maximo WO 14605743</v>
          </cell>
          <cell r="L1894">
            <v>42573</v>
          </cell>
          <cell r="O1894">
            <v>42614</v>
          </cell>
          <cell r="P1894" t="str">
            <v>0906-016001  CASS CTY/BELTON W OF MULLIN RD</v>
          </cell>
          <cell r="Q1894">
            <v>2144.16</v>
          </cell>
          <cell r="R1894">
            <v>-40</v>
          </cell>
        </row>
        <row r="1895">
          <cell r="A1895" t="str">
            <v>005333</v>
          </cell>
          <cell r="B1895" t="str">
            <v>LDC 2</v>
          </cell>
          <cell r="D1895" t="str">
            <v>no</v>
          </cell>
          <cell r="E1895" t="str">
            <v>20906143562</v>
          </cell>
          <cell r="F1895" t="str">
            <v>F0644</v>
          </cell>
          <cell r="G1895" t="str">
            <v>Meter &amp; Reg Settings 2" &amp; Lg (S)</v>
          </cell>
          <cell r="H1895" t="str">
            <v>Academy Sports 3M mtr set</v>
          </cell>
          <cell r="I1895" t="str">
            <v>posted to CPR</v>
          </cell>
          <cell r="J1895" t="str">
            <v>Academy Sports 3M mtr set: Belton: New Meter &amp; Reg Settings - 2&amp;quot; &amp; Larger 3820/3830 (33-382)</v>
          </cell>
          <cell r="K1895" t="str">
            <v>Approved by: Ralph Janes on 05/16/2014,  Install a new 3M Rotary Meter setting to serve one new commerical customer.  Note:  50' - 1-1/4" pe service line to be installed on BWO.</v>
          </cell>
          <cell r="L1895">
            <v>41828</v>
          </cell>
          <cell r="M1895">
            <v>41904</v>
          </cell>
          <cell r="N1895">
            <v>41914.651226851798</v>
          </cell>
          <cell r="O1895">
            <v>41883</v>
          </cell>
          <cell r="P1895" t="str">
            <v>0906-016001  CASS CTY/BELTON W OF MULLIN RD</v>
          </cell>
          <cell r="Q1895">
            <v>2124.98</v>
          </cell>
          <cell r="R1895">
            <v>-50</v>
          </cell>
        </row>
        <row r="1896">
          <cell r="A1896" t="str">
            <v>007470</v>
          </cell>
          <cell r="B1896" t="str">
            <v>LDC 2</v>
          </cell>
          <cell r="D1896" t="str">
            <v>no</v>
          </cell>
          <cell r="E1896" t="str">
            <v>20903143986</v>
          </cell>
          <cell r="F1896" t="str">
            <v>F0676</v>
          </cell>
          <cell r="G1896" t="str">
            <v>Meter &amp; regulator settings - 2" &amp; l</v>
          </cell>
          <cell r="H1896" t="str">
            <v>Benton House of Blue Springs 5M Mtr</v>
          </cell>
          <cell r="I1896" t="str">
            <v>posted to CPR</v>
          </cell>
          <cell r="J1896" t="str">
            <v>Benton House of Blue Springs: Blue Springs: New Meter &amp; Reg Settings - 2&amp;quot; &amp; Larger 3820/3830 (33-382)</v>
          </cell>
          <cell r="K1896" t="str">
            <v>Approved by: Ralph Janes on 12/08/2014,  Install 5M Rotary meter to serve one new commercial customer.  Note:  940' - 4" pe main to be installed on work order 14-4006 (Minimum to serve is 475' - 2" pe main for an estimated cost of $8,532.54 however this is an opportunity for us to connect two single feed pressure systems prior to extensive landscaping of this customers property.)  Note:  585' - 2" pe service line to be installed on work order 14-4008.</v>
          </cell>
          <cell r="L1896">
            <v>42045</v>
          </cell>
          <cell r="M1896">
            <v>42094</v>
          </cell>
          <cell r="N1896">
            <v>42100.335243055597</v>
          </cell>
          <cell r="O1896">
            <v>42036</v>
          </cell>
          <cell r="P1896" t="str">
            <v>0903-043026  JACKSON CTY/BLUE SPRINGS</v>
          </cell>
          <cell r="Q1896">
            <v>2643.74</v>
          </cell>
          <cell r="R1896">
            <v>-39.5</v>
          </cell>
        </row>
        <row r="1897">
          <cell r="A1897" t="str">
            <v>007590</v>
          </cell>
          <cell r="B1897" t="str">
            <v>LDC 2</v>
          </cell>
          <cell r="D1897" t="str">
            <v>yes</v>
          </cell>
          <cell r="E1897" t="str">
            <v>20904155124</v>
          </cell>
          <cell r="F1897" t="str">
            <v>F0578</v>
          </cell>
          <cell r="G1897" t="str">
            <v>Street &amp; Highway Relocates ISRS (S)</v>
          </cell>
          <cell r="H1897" t="str">
            <v>Replace main Belmont 137th to 139th</v>
          </cell>
          <cell r="I1897" t="str">
            <v>posted to CPR</v>
          </cell>
          <cell r="J1897" t="str">
            <v>Replace main Belmont 137th to 139th for storm: Grandview: Relocate for Street &amp; Highway-Public Improvements (44-388)</v>
          </cell>
          <cell r="K1897" t="str">
            <v>Approved by: Kevin Driskell on 02/02/2015,  Public Improvement Project - City of Grandview proposes to replace curb/sidewalk and storm on Belmont between 137th and 139th. Relocate 1018' - 2" PBS and PCS with 1020' - 2" PE. Main to abandon: 500' - 2" PBS (WO# A1386); 170' - 2" PCS (WO# A7993B); 134' - 2" PBS (WO# 40550); 214' - 2" PCS (WO# 47138). (ISRS) Price per ft = $38.77</v>
          </cell>
          <cell r="L1897">
            <v>42081</v>
          </cell>
          <cell r="M1897">
            <v>42124</v>
          </cell>
          <cell r="N1897">
            <v>42223.566944444399</v>
          </cell>
          <cell r="O1897">
            <v>42064</v>
          </cell>
          <cell r="P1897" t="str">
            <v>0904-043030  JACKSON CTY/GRANDVIEW</v>
          </cell>
          <cell r="Q1897">
            <v>15071.82</v>
          </cell>
          <cell r="R1897">
            <v>-1868</v>
          </cell>
        </row>
        <row r="1898">
          <cell r="A1898" t="str">
            <v>005771</v>
          </cell>
          <cell r="B1898" t="str">
            <v>LDC 2</v>
          </cell>
          <cell r="D1898" t="str">
            <v>no</v>
          </cell>
          <cell r="E1898" t="str">
            <v>20906143299</v>
          </cell>
          <cell r="F1898" t="str">
            <v>F0602</v>
          </cell>
          <cell r="G1898" t="str">
            <v>New business</v>
          </cell>
          <cell r="H1898" t="str">
            <v>Marina Dr Lay 1065'-2in; 24'-4in PE</v>
          </cell>
          <cell r="I1898" t="str">
            <v>posted to CPR</v>
          </cell>
          <cell r="J1898" t="str">
            <v>Marina Dr Lay 1065'-2in; 24'-4in PE main ext: Belton: New Main Extension - Contractor Crews  3760 (33-380)</v>
          </cell>
          <cell r="K1898" t="str">
            <v>Approved by: Ralph Janes on 01/15/2014,  Install 25' - 4" pe main and 1,065' 2" pe main extension to servce Lots 1 thru 6 on Marina Drive.  ($9.45/ft)  Received signed MEA and check for $9265 7-23-14 per WOES.</v>
          </cell>
          <cell r="L1898">
            <v>42101</v>
          </cell>
          <cell r="M1898">
            <v>42124</v>
          </cell>
          <cell r="N1898">
            <v>42223.625300925902</v>
          </cell>
          <cell r="O1898">
            <v>42095</v>
          </cell>
          <cell r="P1898" t="str">
            <v>0906-016001  CASS CTY/BELTON W OF MULLIN RD</v>
          </cell>
          <cell r="Q1898">
            <v>4517.74</v>
          </cell>
          <cell r="R1898">
            <v>-2102</v>
          </cell>
        </row>
        <row r="1899">
          <cell r="A1899" t="str">
            <v>011093</v>
          </cell>
          <cell r="B1899" t="str">
            <v>LDC 2</v>
          </cell>
          <cell r="D1899" t="str">
            <v>no</v>
          </cell>
          <cell r="F1899" t="str">
            <v>F0554</v>
          </cell>
          <cell r="G1899" t="str">
            <v>Tools, Instruments &amp; Equipment (S)</v>
          </cell>
          <cell r="H1899" t="str">
            <v>Purch Var Capital Tools/Eqpt- South</v>
          </cell>
          <cell r="I1899" t="str">
            <v>in service</v>
          </cell>
          <cell r="J1899" t="str">
            <v>Purchase various capital tools and equipment for MGE South Region - see attached list.</v>
          </cell>
          <cell r="K1899" t="str">
            <v>This is to capitalize various tools/equipment charged to clearing/expense accounts in error.</v>
          </cell>
          <cell r="L1899">
            <v>42522</v>
          </cell>
          <cell r="O1899">
            <v>42522</v>
          </cell>
          <cell r="P1899" t="str">
            <v>0901-043021  JACKSON CTY/LEE'S SUMMIT OFFIC</v>
          </cell>
          <cell r="Q1899">
            <v>87427.59</v>
          </cell>
          <cell r="R1899">
            <v>0</v>
          </cell>
        </row>
        <row r="1900">
          <cell r="A1900" t="str">
            <v>010223</v>
          </cell>
          <cell r="B1900" t="str">
            <v>LDC 2</v>
          </cell>
          <cell r="D1900" t="str">
            <v>no</v>
          </cell>
          <cell r="F1900" t="str">
            <v>F0554</v>
          </cell>
          <cell r="G1900" t="str">
            <v>Tools, Instruments &amp; Equipment (S)</v>
          </cell>
          <cell r="H1900" t="str">
            <v>Purch 7 Fusion Machines</v>
          </cell>
          <cell r="I1900" t="str">
            <v>posted to CPR</v>
          </cell>
          <cell r="J1900" t="str">
            <v>Purchase 7 Fusion Macines - 1LC Package for Leak and Maintenance in Lee's Summit - these are additional/not replacements</v>
          </cell>
          <cell r="K1900" t="str">
            <v>Per Brandon Kavanaugh 1-21-16
Complete per Brandon 7-5-16 NOTE: only purchased 3 machines</v>
          </cell>
          <cell r="L1900">
            <v>42522</v>
          </cell>
          <cell r="M1900">
            <v>42522</v>
          </cell>
          <cell r="N1900">
            <v>42586.569884259297</v>
          </cell>
          <cell r="O1900">
            <v>42522</v>
          </cell>
          <cell r="P1900" t="str">
            <v>0901-043021  JACKSON CTY/LEE'S SUMMIT OFFIC</v>
          </cell>
          <cell r="Q1900">
            <v>6786.85</v>
          </cell>
          <cell r="R1900">
            <v>3</v>
          </cell>
        </row>
        <row r="1901">
          <cell r="A1901" t="str">
            <v>008793</v>
          </cell>
          <cell r="B1901" t="str">
            <v>LDC 2</v>
          </cell>
          <cell r="D1901" t="str">
            <v>no</v>
          </cell>
          <cell r="E1901" t="str">
            <v>20901155424</v>
          </cell>
          <cell r="F1901" t="str">
            <v>F0676</v>
          </cell>
          <cell r="G1901" t="str">
            <v>Meter &amp; regulator settings - 2" &amp; l</v>
          </cell>
          <cell r="H1901" t="str">
            <v>Teds Cafe 3M Meter Set</v>
          </cell>
          <cell r="I1901" t="str">
            <v>posted to CPR</v>
          </cell>
          <cell r="J1901" t="str">
            <v>Teds Cafe: Lees Summit: New Meter &amp; Reg Settings - 2&amp;quot; &amp; Larger 3820/3830 (33-382)</v>
          </cell>
          <cell r="K1901" t="str">
            <v>Approved by: Kevin Driskell on 06/28/2015,  Install 3M Rotary meter setting to serve one new commercial customer.</v>
          </cell>
          <cell r="L1901">
            <v>42186</v>
          </cell>
          <cell r="M1901">
            <v>42491</v>
          </cell>
          <cell r="N1901">
            <v>42528.313287037003</v>
          </cell>
          <cell r="O1901">
            <v>42186</v>
          </cell>
          <cell r="P1901" t="str">
            <v>0901-043021  JACKSON CTY/LEE'S SUMMIT OFFIC</v>
          </cell>
          <cell r="Q1901">
            <v>2109.04</v>
          </cell>
          <cell r="R1901">
            <v>-40</v>
          </cell>
        </row>
        <row r="1902">
          <cell r="A1902" t="str">
            <v>004626</v>
          </cell>
          <cell r="B1902" t="str">
            <v>LDC 2</v>
          </cell>
          <cell r="D1902" t="str">
            <v>no</v>
          </cell>
          <cell r="E1902" t="str">
            <v>20901132504</v>
          </cell>
          <cell r="F1902" t="str">
            <v>F0600</v>
          </cell>
          <cell r="G1902" t="str">
            <v>Station Rebuild &amp; Repl ISRS (N)</v>
          </cell>
          <cell r="H1902" t="str">
            <v>Fairview Rd Rebuild DRS 55</v>
          </cell>
          <cell r="I1902" t="str">
            <v>posted to CPR</v>
          </cell>
          <cell r="J1902" t="str">
            <v>Fairview Rd Rebuild DRS 55: Lees Summit: Fairview Rd and Woodstock Dr</v>
          </cell>
          <cell r="K1902" t="str">
            <v>Approved by: Ralph Janes on 04/12/2013,  Rebuild DRS #55 at the corner of Woodstock Dr and Fairview Rd. Inlet system C-225 (MOP = 125 psig and MAOP = 245 psig) and outlet system C-013 (MOP = MAOP = 25 psig). The existing 2&amp;quot; Rockwell 461-57S (operator) and the 2&amp;quot; Rockwell 461-57S (monitor) installed on wo# 87-3265 will be kept for future use but replaced with a 6&amp;quot; 300# Mooney Flow Grid Regulator set @ 25 psig (operator) and a 6&amp;quot; 300# Rockwell 441-57S Regulator (monitor) w/ a Brown (25 - 55 psig) spring set @ 30 psig on wo# 13-2504. Must Replace DRS 55 I/O piping on wo# 13-2505.  The 25 psig system is fed by 2 drs but the pressure drops below 15 psig in the middle of the system with future growth occuring on Woods Chappel Road.</v>
          </cell>
          <cell r="L1902">
            <v>41599</v>
          </cell>
          <cell r="M1902">
            <v>41638</v>
          </cell>
          <cell r="N1902">
            <v>41643.435243055603</v>
          </cell>
          <cell r="O1902">
            <v>41730</v>
          </cell>
          <cell r="P1902" t="str">
            <v>0901-043021  JACKSON CTY/LEE'S SUMMIT OFFIC</v>
          </cell>
          <cell r="Q1902">
            <v>49303.71</v>
          </cell>
          <cell r="R1902">
            <v>289.5</v>
          </cell>
        </row>
        <row r="1903">
          <cell r="A1903" t="str">
            <v>004087</v>
          </cell>
          <cell r="B1903" t="str">
            <v>LDC 2</v>
          </cell>
          <cell r="D1903" t="str">
            <v>no</v>
          </cell>
          <cell r="E1903" t="str">
            <v>20901132784</v>
          </cell>
          <cell r="F1903" t="str">
            <v>F0495</v>
          </cell>
          <cell r="G1903" t="str">
            <v>General structures</v>
          </cell>
          <cell r="H1903" t="str">
            <v>Carpet Office Areas</v>
          </cell>
          <cell r="I1903" t="str">
            <v>posted to CPR</v>
          </cell>
          <cell r="J1903" t="str">
            <v>Carpet Office Areas: Lees Summit: Lee's Summit</v>
          </cell>
          <cell r="K1903" t="str">
            <v>Approved by: Clarence Bussey on 07/02/2013,  Install carpet tile in 18 offices to address concerns of excessive cold and noise resulting from hard floor surface.</v>
          </cell>
          <cell r="L1903">
            <v>41484</v>
          </cell>
          <cell r="M1903">
            <v>41578</v>
          </cell>
          <cell r="N1903">
            <v>41584.516284722202</v>
          </cell>
          <cell r="P1903" t="str">
            <v>0901-043021  JACKSON CTY/LEE'S SUMMIT OFFIC</v>
          </cell>
          <cell r="Q1903">
            <v>13169</v>
          </cell>
          <cell r="R1903">
            <v>0</v>
          </cell>
        </row>
        <row r="1904">
          <cell r="A1904" t="str">
            <v>004644</v>
          </cell>
          <cell r="B1904" t="str">
            <v>LDC 2</v>
          </cell>
          <cell r="D1904" t="str">
            <v>no</v>
          </cell>
          <cell r="E1904" t="str">
            <v>20901143373</v>
          </cell>
          <cell r="F1904" t="str">
            <v>F0507</v>
          </cell>
          <cell r="G1904" t="str">
            <v>Rebuild Meter Install 2'' &amp; Lg (S)</v>
          </cell>
          <cell r="H1904" t="str">
            <v>Remove 3M Rotary Meter</v>
          </cell>
          <cell r="I1904" t="str">
            <v>posted to CPR</v>
          </cell>
          <cell r="J1904" t="str">
            <v>Remove 3M Rotary Meter: Lees Summit: 806 SW Blue Parkway</v>
          </cell>
          <cell r="K1904" t="str">
            <v>Approved by: Ralph Janes on 02/25/2014,  Remove and dismantle the 3M rotary meter setting (meter #09724929, installed on WO# 98-5622) due to inactivity.</v>
          </cell>
          <cell r="L1904">
            <v>41705</v>
          </cell>
          <cell r="M1904">
            <v>41729</v>
          </cell>
          <cell r="N1904">
            <v>41733.495625000003</v>
          </cell>
          <cell r="P1904" t="str">
            <v>0901-043021  JACKSON CTY/LEE'S SUMMIT OFFIC</v>
          </cell>
          <cell r="Q1904">
            <v>1804.41</v>
          </cell>
          <cell r="R1904">
            <v>1.5</v>
          </cell>
        </row>
        <row r="1905">
          <cell r="A1905" t="str">
            <v>011657</v>
          </cell>
          <cell r="B1905" t="str">
            <v>LDC 2</v>
          </cell>
          <cell r="D1905" t="str">
            <v>no</v>
          </cell>
          <cell r="F1905" t="str">
            <v>F0660</v>
          </cell>
          <cell r="G1905" t="str">
            <v>Meter &amp; Reg Settings 2" &amp; Lg (N)</v>
          </cell>
          <cell r="H1905" t="str">
            <v>Inst 5M meter - 9191 Ambassador</v>
          </cell>
          <cell r="I1905" t="str">
            <v>open</v>
          </cell>
          <cell r="J1905" t="str">
            <v>Install one new 5M rotary meter setting to serve one new commercial customer at 9191 Ambassador Dr, KCMO (1251)</v>
          </cell>
          <cell r="K1905" t="str">
            <v>Maximo WO 15049728</v>
          </cell>
          <cell r="P1905" t="str">
            <v>1251-075010  PLATTE CTY/KANSAS CITY NORTH</v>
          </cell>
          <cell r="Q1905">
            <v>199.41</v>
          </cell>
          <cell r="R1905">
            <v>3</v>
          </cell>
        </row>
        <row r="1906">
          <cell r="A1906" t="str">
            <v>008441</v>
          </cell>
          <cell r="B1906" t="str">
            <v>LDC 2</v>
          </cell>
          <cell r="D1906" t="str">
            <v>no</v>
          </cell>
          <cell r="E1906" t="str">
            <v>20901144052</v>
          </cell>
          <cell r="F1906" t="str">
            <v>F0623</v>
          </cell>
          <cell r="G1906" t="str">
            <v>Street &amp; highway relocates</v>
          </cell>
          <cell r="H1906" t="str">
            <v>Reinforce C-013 Syst to Aban 8in CJ</v>
          </cell>
          <cell r="I1906" t="str">
            <v>posted to CPR</v>
          </cell>
          <cell r="J1906" t="str">
            <v>Reinforce C-013 System to Abandon 8in Strother: Lees Summit: Relocate for Street &amp; Highway-Public Improvements (44-388)</v>
          </cell>
          <cell r="K1906" t="str">
            <v>Approved by: Joe Hampton on 05/13/2015,  Relocate DRS 58 to Town Centre and Independence and install 975' of 4" PE to tie into existing C-013 system. We will cut and cap the 8" main on Strother Road (currently on C-100 MOP = 125 psig, MAOP = 155 psig) near Hagen and derate the 8" to the east to the C-013 system. The rest of the 8" main west of Hagen will be abandoned during the Lee's Summit Road public improvement relocation. The City of KC has requested this work since they failed to replace a critical gas easement on the LSRD project. We have agreed to install this as a workaround if they pay for it, making this 100% reimbursable.</v>
          </cell>
          <cell r="L1906">
            <v>42280</v>
          </cell>
          <cell r="M1906">
            <v>42491</v>
          </cell>
          <cell r="N1906">
            <v>42557.552499999998</v>
          </cell>
          <cell r="O1906">
            <v>42401</v>
          </cell>
          <cell r="P1906" t="str">
            <v>0901-043021  JACKSON CTY/LEE'S SUMMIT OFFIC</v>
          </cell>
          <cell r="Q1906">
            <v>78277.279999999999</v>
          </cell>
          <cell r="R1906">
            <v>-2730</v>
          </cell>
        </row>
        <row r="1907">
          <cell r="A1907" t="str">
            <v>003933</v>
          </cell>
          <cell r="B1907" t="str">
            <v>LDC 2</v>
          </cell>
          <cell r="D1907" t="str">
            <v>yes</v>
          </cell>
          <cell r="E1907" t="str">
            <v>21001050361</v>
          </cell>
          <cell r="F1907" t="str">
            <v>F0584</v>
          </cell>
          <cell r="G1907" t="str">
            <v>SLRP - modified block by block - co</v>
          </cell>
          <cell r="H1907" t="str">
            <v>BWO SERVICE LINE REPL MODIFIED BLOC</v>
          </cell>
          <cell r="I1907" t="str">
            <v>open</v>
          </cell>
          <cell r="J1907" t="str">
            <v>BWO SERVICE LINE REPL MODIFIED BLOCK COMP</v>
          </cell>
          <cell r="K1907" t="str">
            <v>Project Type:B</v>
          </cell>
          <cell r="P1907" t="str">
            <v>1001-010001  ST. JOSEPH CITY/BUCHANAN</v>
          </cell>
          <cell r="Q1907">
            <v>9208.83</v>
          </cell>
          <cell r="R1907">
            <v>115</v>
          </cell>
        </row>
        <row r="1908">
          <cell r="A1908" t="str">
            <v>004329</v>
          </cell>
          <cell r="B1908" t="str">
            <v>LDC 2</v>
          </cell>
          <cell r="D1908" t="str">
            <v>no</v>
          </cell>
          <cell r="E1908" t="str">
            <v>21001132735</v>
          </cell>
          <cell r="F1908" t="str">
            <v>F0560</v>
          </cell>
          <cell r="G1908" t="str">
            <v>Tools, instruments &amp; equipment</v>
          </cell>
          <cell r="H1908" t="str">
            <v>PUR-TDW HOLDER &amp; PILOT HOLE SAW par</v>
          </cell>
          <cell r="I1908" t="str">
            <v>posted to CPR</v>
          </cell>
          <cell r="J1908" t="str">
            <v>PUR-TDW HOLDER &amp; PILOT HOLE SAW parts/tooling: St Joseph: 402 CEDAR</v>
          </cell>
          <cell r="K1908" t="str">
            <v>Approved by: Gary Williams on 07/02/2013,  Purchase- TDW Replacements parts and tooling for the tapping machine to be used by the C&amp;M crews in St Joe.1- Holder &amp; Pilot 2in-3in hole saw F/T101 D-M f/lgr than size on size (05-0207-0000-00).2- Holder &amp; Pilot hole saw T-0101 DM (05-0275-0000-00). 1-Holder &amp; Pilot 4in hole saw F/T-101 D-M (05-0205-0000-00). 1- Holder &amp; Pilot Assy 4in hole saw F/T-101 DM F/Larger than size on size spcl (05-0228-0000-00). TDW only vendor that handles these tools. These are replacements</v>
          </cell>
          <cell r="L1908">
            <v>41487</v>
          </cell>
          <cell r="M1908">
            <v>41575</v>
          </cell>
          <cell r="N1908">
            <v>41576.418530092596</v>
          </cell>
          <cell r="P1908" t="str">
            <v>1001-010001  ST. JOSEPH CITY/BUCHANAN</v>
          </cell>
          <cell r="Q1908">
            <v>3429.91</v>
          </cell>
          <cell r="R1908">
            <v>0</v>
          </cell>
        </row>
        <row r="1909">
          <cell r="A1909" t="str">
            <v>005516</v>
          </cell>
          <cell r="B1909" t="str">
            <v>LDC 2</v>
          </cell>
          <cell r="D1909" t="str">
            <v>yes</v>
          </cell>
          <cell r="E1909" t="str">
            <v>21205143503</v>
          </cell>
          <cell r="F1909" t="str">
            <v>F0595</v>
          </cell>
          <cell r="G1909" t="str">
            <v>Street &amp; highway relocates</v>
          </cell>
          <cell r="H1909" t="str">
            <v>Pleasant Valley Rd Reloc PBSPCS w 1</v>
          </cell>
          <cell r="I1909" t="str">
            <v>posted to CPR</v>
          </cell>
          <cell r="J1909" t="str">
            <v>Pleasant Valley Rd Reloc PBSPCS w 1740'-6in PE mai: Pleasant Valley: Relocate for Street &amp; Highway-Public Improvements (44-388)</v>
          </cell>
          <cell r="K1909" t="str">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ell>
          <cell r="L1909">
            <v>41950</v>
          </cell>
          <cell r="M1909">
            <v>42004</v>
          </cell>
          <cell r="N1909">
            <v>42100.701805555596</v>
          </cell>
          <cell r="O1909">
            <v>41944</v>
          </cell>
          <cell r="P1909" t="str">
            <v>1205-020012  CLAY CTY/CTY OF PLEASANT VALLE</v>
          </cell>
          <cell r="Q1909">
            <v>62849.23</v>
          </cell>
          <cell r="R1909">
            <v>-2019.25</v>
          </cell>
        </row>
        <row r="1910">
          <cell r="A1910" t="str">
            <v>800928</v>
          </cell>
          <cell r="B1910" t="str">
            <v>LDC 2</v>
          </cell>
          <cell r="D1910" t="str">
            <v>no</v>
          </cell>
          <cell r="F1910" t="str">
            <v>F0647</v>
          </cell>
          <cell r="G1910" t="str">
            <v>New Main Extensions (N)</v>
          </cell>
          <cell r="H1910" t="str">
            <v>Install 3655F 2-4P Homested Liberty</v>
          </cell>
          <cell r="I1910" t="str">
            <v>in service</v>
          </cell>
          <cell r="J1910" t="str">
            <v>Install approximately 2500ft of 4in IP PE and 1155ft of 2" IP PE for new residential customers (Homestead of Liberty)</v>
          </cell>
          <cell r="K1910" t="str">
            <v>46 lot Residential Single Family.  (South Withers Rd Development LLC , Registered as a Delaware Corp).</v>
          </cell>
          <cell r="L1910">
            <v>42716</v>
          </cell>
          <cell r="O1910">
            <v>42705</v>
          </cell>
          <cell r="P1910" t="str">
            <v>1207-020001  CLAY CTY/LIBERTY</v>
          </cell>
          <cell r="Q1910">
            <v>51651.17</v>
          </cell>
          <cell r="R1910">
            <v>-7901</v>
          </cell>
        </row>
        <row r="1911">
          <cell r="A1911" t="str">
            <v>800044</v>
          </cell>
          <cell r="B1911" t="str">
            <v>LDC 2</v>
          </cell>
          <cell r="C1911" t="str">
            <v>03 - Bare Steel Replacement</v>
          </cell>
          <cell r="D1911" t="str">
            <v>yes</v>
          </cell>
          <cell r="F1911" t="str">
            <v>F0599</v>
          </cell>
          <cell r="G1911" t="str">
            <v>Main Replacement - ISRS (N)</v>
          </cell>
          <cell r="H1911" t="str">
            <v>Repl w/ 4105F 4P Liberty Header Ph5</v>
          </cell>
          <cell r="I1911" t="str">
            <v>open</v>
          </cell>
          <cell r="J1911" t="str">
            <v>Install 4105 feet of 4in PL IP main on S Fairview Ave, College St, and N Ridge Rd - Liberty Header Ph 5. Main is being installed as part of the FY2016 Bare Steel Main Replacement Program. </v>
          </cell>
          <cell r="K1911" t="str">
            <v>Total Service Estimate: 33 Service Tie-Overs</v>
          </cell>
          <cell r="P1911" t="str">
            <v>1207-020001  CLAY CTY/LIBERTY</v>
          </cell>
          <cell r="Q1911">
            <v>259209.06</v>
          </cell>
          <cell r="R1911">
            <v>-9508</v>
          </cell>
        </row>
        <row r="1912">
          <cell r="A1912" t="str">
            <v>003920</v>
          </cell>
          <cell r="B1912" t="str">
            <v>LDC 2</v>
          </cell>
          <cell r="D1912" t="str">
            <v>no</v>
          </cell>
          <cell r="E1912" t="str">
            <v>21207132840</v>
          </cell>
          <cell r="F1912" t="str">
            <v>F0660</v>
          </cell>
          <cell r="G1912" t="str">
            <v>Meter &amp; Reg Settings 2" &amp; Lg (N)</v>
          </cell>
          <cell r="H1912" t="str">
            <v>Liberty United Methodist Church 3M</v>
          </cell>
          <cell r="I1912" t="str">
            <v>posted to CPR</v>
          </cell>
          <cell r="J1912" t="str">
            <v>Liberty United Methodist Church 3M Mtr Set: Liberty: 100 Rush Creek Pkwy</v>
          </cell>
          <cell r="K1912" t="str">
            <v>Approved by: Mike Fornelli on 07/24/2013,  This work is necessary to install a 3M Roots meter to serve one new commercial customer. We'll install an 1 1/4in 1813C regulator with a 1/4in orifice, set at 7in WC for a connected load of 2100cfh.</v>
          </cell>
          <cell r="L1912">
            <v>41626</v>
          </cell>
          <cell r="M1912">
            <v>41698</v>
          </cell>
          <cell r="N1912">
            <v>41704.7117013889</v>
          </cell>
          <cell r="P1912" t="str">
            <v>1207-020001  CLAY CTY/LIBERTY</v>
          </cell>
          <cell r="Q1912">
            <v>1116.8599999999999</v>
          </cell>
          <cell r="R1912">
            <v>43</v>
          </cell>
        </row>
        <row r="1913">
          <cell r="A1913" t="str">
            <v>800185</v>
          </cell>
          <cell r="B1913" t="str">
            <v>LDC 2</v>
          </cell>
          <cell r="D1913" t="str">
            <v>no</v>
          </cell>
          <cell r="F1913" t="str">
            <v>F0673</v>
          </cell>
          <cell r="G1913" t="str">
            <v>New Main Extensions (S)</v>
          </cell>
          <cell r="H1913" t="str">
            <v>Rosewood Hills - Plat 7 Main Ext</v>
          </cell>
          <cell r="I1913" t="str">
            <v>in service</v>
          </cell>
          <cell r="J1913" t="str">
            <v>Install 1,255 feet of 2 inch plastic main to serve 28 new residential customers - Rosewood Hills - Plat 7.</v>
          </cell>
          <cell r="L1913">
            <v>42437</v>
          </cell>
          <cell r="O1913">
            <v>42461</v>
          </cell>
          <cell r="P1913" t="str">
            <v>0925-043035  JACKSON CTY/GRAIN VALLEY</v>
          </cell>
          <cell r="Q1913">
            <v>47520.52</v>
          </cell>
          <cell r="R1913">
            <v>-2744.5</v>
          </cell>
        </row>
        <row r="1914">
          <cell r="A1914" t="str">
            <v>008201</v>
          </cell>
          <cell r="B1914" t="str">
            <v>LDC 2</v>
          </cell>
          <cell r="D1914" t="str">
            <v>no</v>
          </cell>
          <cell r="E1914" t="str">
            <v>20925155199</v>
          </cell>
          <cell r="F1914" t="str">
            <v>F0602</v>
          </cell>
          <cell r="G1914" t="str">
            <v>New business</v>
          </cell>
          <cell r="H1914" t="str">
            <v>Levi Robertson-Main Extension</v>
          </cell>
          <cell r="I1914" t="str">
            <v>posted to CPR</v>
          </cell>
          <cell r="J1914" t="str">
            <v>Levi Robertson: Grain Valley: New Main Extension - Contractor Crews  3760 (33-380)</v>
          </cell>
          <cell r="K1914" t="str">
            <v>Approved by: Kevin Driskell on 03/12/2015,  Install 625' - 4" pe main extension to serve 2 new commercial customers (1 tap 2 meters).  Note:  35' - 1-1/4" pe service line to be installed on BWO. Contribution $4037.50 received 4-14-15 per WOES.</v>
          </cell>
          <cell r="L1914">
            <v>42157</v>
          </cell>
          <cell r="M1914">
            <v>42216</v>
          </cell>
          <cell r="N1914">
            <v>42284.723530092597</v>
          </cell>
          <cell r="O1914">
            <v>42186</v>
          </cell>
          <cell r="P1914" t="str">
            <v>0925-043035  JACKSON CTY/GRAIN VALLEY</v>
          </cell>
          <cell r="Q1914">
            <v>18611.82</v>
          </cell>
          <cell r="R1914">
            <v>-1669.5</v>
          </cell>
        </row>
        <row r="1915">
          <cell r="A1915" t="str">
            <v>004347</v>
          </cell>
          <cell r="B1915" t="str">
            <v>LDC 2</v>
          </cell>
          <cell r="D1915" t="str">
            <v>no</v>
          </cell>
          <cell r="E1915" t="str">
            <v>21904133075</v>
          </cell>
          <cell r="F1915" t="str">
            <v>F0529</v>
          </cell>
          <cell r="G1915" t="str">
            <v>Meter Purchases - MGE</v>
          </cell>
          <cell r="H1915" t="str">
            <v>Pur 2000 AC250-TC Am Meters March 2</v>
          </cell>
          <cell r="I1915" t="str">
            <v>posted to CPR</v>
          </cell>
          <cell r="J1915" t="str">
            <v>Pur 2000 AC250-TC Am Meters March 2014: Kansas City CORP: Central Plant Meter Shop</v>
          </cell>
          <cell r="K1915" t="str">
            <v>Approved by: Steve Lindsey on 11/18/2013,  This work order is for new domestic meters to be delivered March 2014. Retirement unit # 73003086.</v>
          </cell>
          <cell r="L1915">
            <v>41641</v>
          </cell>
          <cell r="M1915">
            <v>41944</v>
          </cell>
          <cell r="N1915">
            <v>41978.593506944402</v>
          </cell>
          <cell r="O1915">
            <v>41883</v>
          </cell>
          <cell r="P1915" t="str">
            <v>1904-043050  JACKSON CTY/KC</v>
          </cell>
          <cell r="Q1915">
            <v>111043.9</v>
          </cell>
          <cell r="R1915">
            <v>6000</v>
          </cell>
        </row>
        <row r="1916">
          <cell r="A1916" t="str">
            <v>004478</v>
          </cell>
          <cell r="B1916" t="str">
            <v>LDC 2</v>
          </cell>
          <cell r="D1916" t="str">
            <v>no</v>
          </cell>
          <cell r="E1916" t="str">
            <v>21904133084</v>
          </cell>
          <cell r="F1916" t="str">
            <v>F0577</v>
          </cell>
          <cell r="G1916" t="str">
            <v>ERT Purchases</v>
          </cell>
          <cell r="H1916" t="str">
            <v>Pur 2020 Am Res 100G Erts April  20</v>
          </cell>
          <cell r="I1916" t="str">
            <v>posted to CPR</v>
          </cell>
          <cell r="J1916" t="str">
            <v>Pur 2020 Am Res 100G Erts April  2014: Kansas City CORP: Central Plant Meter Shop</v>
          </cell>
          <cell r="K1916" t="str">
            <v>Approved by: Steve Holcomb on 11/11/2013,  Purchase 2020 American Erts 95198300 These Erts ship to American Meter in April 2014 for Meters May 2014.</v>
          </cell>
          <cell r="L1916">
            <v>41740</v>
          </cell>
          <cell r="M1916">
            <v>41944</v>
          </cell>
          <cell r="N1916">
            <v>41978.593692129602</v>
          </cell>
          <cell r="O1916">
            <v>41852</v>
          </cell>
          <cell r="P1916" t="str">
            <v>1904-043050  JACKSON CTY/KC</v>
          </cell>
          <cell r="Q1916">
            <v>89112</v>
          </cell>
          <cell r="R1916">
            <v>2000</v>
          </cell>
        </row>
        <row r="1917">
          <cell r="A1917" t="str">
            <v>004465</v>
          </cell>
          <cell r="B1917" t="str">
            <v>LDC 2</v>
          </cell>
          <cell r="D1917" t="str">
            <v>no</v>
          </cell>
          <cell r="E1917" t="str">
            <v>21261132436</v>
          </cell>
          <cell r="F1917" t="str">
            <v>F0610</v>
          </cell>
          <cell r="G1917" t="str">
            <v>New business</v>
          </cell>
          <cell r="H1917" t="str">
            <v>Whitetail Way Lay 1928'-2in PE main</v>
          </cell>
          <cell r="I1917" t="str">
            <v>posted to CPR</v>
          </cell>
          <cell r="J1917" t="str">
            <v>Whitetail Way Lay 1928'-2in PE main ext: Kansas City-Rural: N WHITETAIL WAY &amp; EAGLE LANE THOUSAND OAKS-15</v>
          </cell>
          <cell r="K1917" t="str">
            <v>Approved by: Gary Williams on 07/01/2013,  LAY 1,928'-2&amp;quot; PE TO SERVE 37 LOTS IN SUBDIVISION.  LOTS 694-730.  ONE WAY FEED.  TIE INTO EXIST. 4&amp;quot; PE-(047336).  1,928' x $8.50=$16,388.00  DEVELOPER TO CONTRIBUTE $16,388.00 BEFORE START OF PROJECT.  COST PER FOOT=$15.50</v>
          </cell>
          <cell r="L1917">
            <v>41564</v>
          </cell>
          <cell r="M1917">
            <v>41626</v>
          </cell>
          <cell r="N1917">
            <v>41627.582789351902</v>
          </cell>
          <cell r="O1917">
            <v>41730</v>
          </cell>
          <cell r="P1917" t="str">
            <v>1261-075025  PLATTE CTY/??? TWP</v>
          </cell>
          <cell r="Q1917">
            <v>26428.19</v>
          </cell>
          <cell r="R1917">
            <v>4588.5</v>
          </cell>
        </row>
        <row r="1918">
          <cell r="A1918" t="str">
            <v>004535</v>
          </cell>
          <cell r="B1918" t="str">
            <v>LDC 2</v>
          </cell>
          <cell r="D1918" t="str">
            <v>no</v>
          </cell>
          <cell r="E1918" t="str">
            <v>21261132481</v>
          </cell>
          <cell r="F1918" t="str">
            <v>F0610</v>
          </cell>
          <cell r="G1918" t="str">
            <v>New business</v>
          </cell>
          <cell r="H1918" t="str">
            <v>NW 130th Lay 599'-4;2493'-2in PE ma</v>
          </cell>
          <cell r="I1918" t="str">
            <v>posted to CPR</v>
          </cell>
          <cell r="J1918" t="str">
            <v>NW 130th Lay 599'-4;2493'-2in PE main ext: Kansas City-Rural: NW 130TH ST &amp; NW 130TH PL SEVEN BRIDGES-3</v>
          </cell>
          <cell r="K1918" t="str">
            <v>Approved by: Gary Williams on 07/09/2013,  LAYING 599'-4in PE &amp; 2,493'-2in PE FOR SUBDIVISION W/ 53 LOTS.  LOTS 212-265.  TWO WAY FEED.  HAVE 'PLATTE CITY SPECIAL ROAD DISTRICT PERMIT' ON HAND.  NEED 8in PVC CONDUIT FOR 4in MAIN &amp; 2in PVC CONDUIT FOR SERVICES.  3,092' x $8.50=$26,282.00  CUSTOMER TO CONTRIBUTE $26, 282.00 BEFORE START OF PROJECT.  COST PER FOOT=$15.90.</v>
          </cell>
          <cell r="L1918">
            <v>41543</v>
          </cell>
          <cell r="M1918">
            <v>41597</v>
          </cell>
          <cell r="N1918">
            <v>41676.633425925902</v>
          </cell>
          <cell r="O1918">
            <v>41730</v>
          </cell>
          <cell r="P1918" t="str">
            <v>1261-075025  PLATTE CTY/??? TWP</v>
          </cell>
          <cell r="Q1918">
            <v>25384.65</v>
          </cell>
          <cell r="R1918">
            <v>6721</v>
          </cell>
        </row>
        <row r="1919">
          <cell r="A1919" t="str">
            <v>004139</v>
          </cell>
          <cell r="B1919" t="str">
            <v>LDC 2</v>
          </cell>
          <cell r="D1919" t="str">
            <v>no</v>
          </cell>
          <cell r="E1919" t="str">
            <v>21271143285</v>
          </cell>
          <cell r="F1919" t="str">
            <v>F0614</v>
          </cell>
          <cell r="G1919" t="str">
            <v>Main Repl - Sys Reinforcement (N)</v>
          </cell>
          <cell r="H1919" t="str">
            <v>Mersington &amp; 94th Ter Reinforcm w 1</v>
          </cell>
          <cell r="I1919" t="str">
            <v>posted to CPR</v>
          </cell>
          <cell r="J1919" t="str">
            <v>Mersington &amp; 94th Ter Reinforcm w 160'-2in PE main: Kansas City-Clay Co: N MERSINGTON AVE &amp; NE 94TH TER</v>
          </cell>
          <cell r="K1919" t="str">
            <v>Approved by: Kevin Driskell on 02/24/2014,  INSTALL 160' - 2" PE IN ORDER TO PROVIDE A LOOP FEED IN THE SUBDIVISION OF NORTHVIEW PLACE.  THIS SUBDIVISION WAS EXPERIENCING LOW PRESSURE ON THE MORNING OF 1/6/14 WHEN TEMPERATURES WERE BELOW ZERO.  THIS PIPE WAS INSTALLED ON 1/6/14 AND LEFT ABOVE GROUND AS A TEMPERARY FIX TO BOOST PRESSURE.  THE PIPE WILL BE BURIED AND LEFT IN PLACE ONCE THIS WORK ORDER IS APPROVED.  COST PER FOOT = $69.11.  PRESSURE SYSTEM - S-685, MOP - 50PSIG, MAOP - 60PSIG.  L713307.  SEC 06 - T51N - R32W.</v>
          </cell>
          <cell r="L1919">
            <v>41654</v>
          </cell>
          <cell r="M1919">
            <v>41719</v>
          </cell>
          <cell r="N1919">
            <v>41719.593171296299</v>
          </cell>
          <cell r="O1919">
            <v>41730</v>
          </cell>
          <cell r="P1919" t="str">
            <v>1271-020036  CLAY CTY/KANSAS CITY</v>
          </cell>
          <cell r="Q1919">
            <v>3577.63</v>
          </cell>
          <cell r="R1919">
            <v>348</v>
          </cell>
        </row>
        <row r="1920">
          <cell r="A1920" t="str">
            <v>006844</v>
          </cell>
          <cell r="B1920" t="str">
            <v>LDC 2</v>
          </cell>
          <cell r="D1920" t="str">
            <v>yes</v>
          </cell>
          <cell r="E1920" t="str">
            <v>20401143807</v>
          </cell>
          <cell r="F1920" t="str">
            <v>F0665</v>
          </cell>
          <cell r="G1920" t="str">
            <v>Replace steel &amp; plastic main</v>
          </cell>
          <cell r="H1920" t="str">
            <v>2in PCS Replacement</v>
          </cell>
          <cell r="I1920" t="str">
            <v>posted to CPR</v>
          </cell>
          <cell r="J1920" t="str">
            <v>2in PCS Replacement: Kansas City-Jackson: Replace Coated Steel &amp; Plastic Main - 3760 (34-396)</v>
          </cell>
          <cell r="K1920" t="str">
            <v>Approved by: Kevin Driskell on 11/06/2014,  Replace a total of 80' of 2'' PCS (57' WO- A5579D and 23' WO- 761745) with 2'' PCS due to leaks. Make sure to bottle the old tap on the 12'' PCS. Pressure system C-039 MOP 135psig. Pressure test at 230psig.</v>
          </cell>
          <cell r="L1920">
            <v>42004</v>
          </cell>
          <cell r="M1920">
            <v>42035</v>
          </cell>
          <cell r="N1920">
            <v>42131.408078703702</v>
          </cell>
          <cell r="O1920">
            <v>42005</v>
          </cell>
          <cell r="P1920" t="str">
            <v>1271-043053  JACKSON CTY/KANSAS CITY</v>
          </cell>
          <cell r="Q1920">
            <v>8379.17</v>
          </cell>
          <cell r="R1920">
            <v>13</v>
          </cell>
        </row>
        <row r="1921">
          <cell r="A1921" t="str">
            <v>011240</v>
          </cell>
          <cell r="B1921" t="str">
            <v>LDC 2</v>
          </cell>
          <cell r="D1921" t="str">
            <v>no</v>
          </cell>
          <cell r="F1921" t="str">
            <v>F1153</v>
          </cell>
          <cell r="G1921" t="str">
            <v>Power Operated Equip - MGE</v>
          </cell>
          <cell r="H1921" t="str">
            <v>Purchase (2) Pipe Trailers. MGE</v>
          </cell>
          <cell r="I1921" t="str">
            <v>posted to CPR</v>
          </cell>
          <cell r="J1921" t="str">
            <v>Purchase (2) Pipe Trailers. MGE</v>
          </cell>
          <cell r="L1921">
            <v>42643</v>
          </cell>
          <cell r="M1921">
            <v>42733</v>
          </cell>
          <cell r="N1921">
            <v>42742.624930555598</v>
          </cell>
          <cell r="O1921">
            <v>42614</v>
          </cell>
          <cell r="P1921" t="str">
            <v>0401-043050  JACKSON CTY/KC</v>
          </cell>
          <cell r="Q1921">
            <v>26606.560000000001</v>
          </cell>
          <cell r="R1921">
            <v>2</v>
          </cell>
        </row>
        <row r="1922">
          <cell r="A1922" t="str">
            <v>008965</v>
          </cell>
          <cell r="B1922" t="str">
            <v>LDC 2</v>
          </cell>
          <cell r="D1922" t="str">
            <v>no</v>
          </cell>
          <cell r="F1922" t="str">
            <v>F0950</v>
          </cell>
          <cell r="G1922" t="str">
            <v>Power Operated Eq - MGE</v>
          </cell>
          <cell r="H1922" t="str">
            <v>Purchase (1) Tap Truck. MGE</v>
          </cell>
          <cell r="I1922" t="str">
            <v>posted to CPR</v>
          </cell>
          <cell r="J1922" t="str">
            <v>Purchase one truck for tapping mains for MGE.</v>
          </cell>
          <cell r="L1922">
            <v>42400</v>
          </cell>
          <cell r="M1922">
            <v>42552</v>
          </cell>
          <cell r="N1922">
            <v>42586.569687499999</v>
          </cell>
          <cell r="O1922">
            <v>42552</v>
          </cell>
          <cell r="P1922" t="str">
            <v>0401-043050  JACKSON CTY/KC</v>
          </cell>
          <cell r="Q1922">
            <v>239774.63</v>
          </cell>
          <cell r="R1922">
            <v>1</v>
          </cell>
        </row>
        <row r="1923">
          <cell r="A1923" t="str">
            <v>008686</v>
          </cell>
          <cell r="B1923" t="str">
            <v>LDC 2</v>
          </cell>
          <cell r="D1923" t="str">
            <v>no</v>
          </cell>
          <cell r="E1923" t="str">
            <v>20401143793</v>
          </cell>
          <cell r="F1923" t="str">
            <v>F0636</v>
          </cell>
          <cell r="G1923" t="str">
            <v>Replace steel &amp; plastic main</v>
          </cell>
          <cell r="H1923" t="str">
            <v>REPL 4,400FT-8IN PE - CERNER THREE</v>
          </cell>
          <cell r="I1923" t="str">
            <v>completed</v>
          </cell>
          <cell r="J1923" t="str">
            <v>REPL 4,400FT-8IN PE - CERNER THREE TRAILS CAMPUS: Kansas City-Jackson: Replace Coated Steel &amp; Plastic Main - 3760 (34-396)</v>
          </cell>
          <cell r="K1923" t="str">
            <v>Approved by: Joe Hampton on 05/28/2015,  LAY 4,400'-8" PLEXCO DUE TO NEW ALIGNMENT OF HILLCREST RD TO THE EAST BY 'PRIVATE ENTITY'; CERNER BUSINESS CAMPUS. WILL SERVE TOTAL OF 15 BUILDINGS BY YEAR END 2026; 16 PHASES.  SUFFICIENT PRESSURE OF 58 PSIG MOP TO SERVE TOTAL PROJECTED LOAD OF 172,196 CFH.  ONE WAY FEED. ECONOMIC EVALUATION COVERS COST. Contact Kyle McQuiston (816) 695-5873 of JE Dunn for staking 1 week prior to construction. Schedule on site pre-construction meeting 2 weeks prior to construction with Laclede/MGE Engineering and JE Dunn.  Changed ISRS code to NO 11-9-16 - AMM</v>
          </cell>
          <cell r="L1923">
            <v>42663</v>
          </cell>
          <cell r="M1923">
            <v>42735</v>
          </cell>
          <cell r="O1923">
            <v>42644</v>
          </cell>
          <cell r="P1923" t="str">
            <v>0401-043050  JACKSON CTY/KC</v>
          </cell>
          <cell r="Q1923">
            <v>270271.94</v>
          </cell>
          <cell r="R1923">
            <v>-12728.5</v>
          </cell>
        </row>
        <row r="1924">
          <cell r="A1924" t="str">
            <v>008709</v>
          </cell>
          <cell r="B1924" t="str">
            <v>LDC 2</v>
          </cell>
          <cell r="D1924" t="str">
            <v>no</v>
          </cell>
          <cell r="F1924" t="str">
            <v>F0850</v>
          </cell>
          <cell r="G1924" t="str">
            <v>Facilities - MGE - Remodel Svc Cen</v>
          </cell>
          <cell r="H1924" t="str">
            <v>MGE - Furniture MGE Central Remodel</v>
          </cell>
          <cell r="I1924" t="str">
            <v>in service</v>
          </cell>
          <cell r="J1924" t="str">
            <v>Purchase furniture needed for MGE Central Service Center remodel</v>
          </cell>
          <cell r="L1924">
            <v>42308</v>
          </cell>
          <cell r="O1924">
            <v>42339</v>
          </cell>
          <cell r="P1924" t="str">
            <v>0401-043050  JACKSON CTY/KC</v>
          </cell>
          <cell r="Q1924">
            <v>1765496.36</v>
          </cell>
          <cell r="R1924">
            <v>196567</v>
          </cell>
        </row>
        <row r="1925">
          <cell r="A1925" t="str">
            <v>008738</v>
          </cell>
          <cell r="B1925" t="str">
            <v>LDC 2</v>
          </cell>
          <cell r="D1925" t="str">
            <v>no</v>
          </cell>
          <cell r="E1925" t="str">
            <v>20401143323</v>
          </cell>
          <cell r="F1925" t="str">
            <v>F0610</v>
          </cell>
          <cell r="G1925" t="str">
            <v>New business</v>
          </cell>
          <cell r="H1925" t="str">
            <v>TRUMAN MARKETPLACE</v>
          </cell>
          <cell r="I1925" t="str">
            <v>posted to CPR</v>
          </cell>
          <cell r="J1925" t="str">
            <v>TRUMAN MARKETPLACE: Kansas City-Jackson: New Main Extension - Contractor Crews  3760 (33-380)</v>
          </cell>
          <cell r="K1925" t="str">
            <v>Approved by: Gary Williams on 06/12/2015,  LAY 2,942'-4" PLEXCO TO SERVE NEW SHOPPING CENTER.  ONE WAY FEED.  NO NEED FOR EXISTING 1ST CUT REGULATOR; WILL DO DIRECT TIE-IN TO EXIST. 4" PCS(94-0640).  ABANDON EXISTING SERVICE LINE ATTACHED TO BACK OF BUILDINGS WILL AND CUT AND CAP 4" STEEL WITH  W.O.#14-3510. ABANDON EXISTING 4" - 1ST CUT REGULATOR GOES WITH THIS W.O.   STAKING OF MGE'S 10 FT EASEMENT CONTRACT DUSTIN (816)587-4320 WITH LUTJEN 1 WEEKS BEFORE PROJECT BEGINS FOR STAKING EASEMENT. ECONOMIC EVALUATION WILL SUPPORT THIS PROJECT.</v>
          </cell>
          <cell r="L1925">
            <v>42205</v>
          </cell>
          <cell r="M1925">
            <v>42309</v>
          </cell>
          <cell r="N1925">
            <v>42436.430775462999</v>
          </cell>
          <cell r="O1925">
            <v>42217</v>
          </cell>
          <cell r="P1925" t="str">
            <v>0401-043050  JACKSON CTY/KC</v>
          </cell>
          <cell r="Q1925">
            <v>176300.52</v>
          </cell>
          <cell r="R1925">
            <v>-5502.5</v>
          </cell>
        </row>
        <row r="1926">
          <cell r="A1926" t="str">
            <v>007531</v>
          </cell>
          <cell r="B1926" t="str">
            <v>LDC 2</v>
          </cell>
          <cell r="D1926" t="str">
            <v>yes</v>
          </cell>
          <cell r="E1926" t="str">
            <v>20401155095</v>
          </cell>
          <cell r="F1926" t="str">
            <v>F0599</v>
          </cell>
          <cell r="G1926" t="str">
            <v>Main Replacement - ISRS (N)</v>
          </cell>
          <cell r="H1926" t="str">
            <v>AOR - 6in CI Replacement</v>
          </cell>
          <cell r="I1926" t="str">
            <v>posted to CPR</v>
          </cell>
          <cell r="J1926" t="str">
            <v>AOR - 6in CI Replacement: Kansas City-Jackson: Replace Cast Iron Main - 3760 Safety Related (34-412)</v>
          </cell>
          <cell r="K1926" t="str">
            <v>Approved by: Gary Williams on 01/29/2015,  AOR - Due 03/04/2015 - Replace 50' of 6'' CI WO # 2403 with 6'' PE.  Pressure System S-114B. Bypass required.</v>
          </cell>
          <cell r="L1926">
            <v>42083</v>
          </cell>
          <cell r="M1926">
            <v>42094</v>
          </cell>
          <cell r="N1926">
            <v>42193.495439814797</v>
          </cell>
          <cell r="O1926">
            <v>42064</v>
          </cell>
          <cell r="P1926" t="str">
            <v>0401-043050  JACKSON CTY/KC</v>
          </cell>
          <cell r="Q1926">
            <v>41598.6</v>
          </cell>
          <cell r="R1926">
            <v>-2181.5</v>
          </cell>
        </row>
        <row r="1927">
          <cell r="A1927" t="str">
            <v>005954</v>
          </cell>
          <cell r="B1927" t="str">
            <v>LDC 2</v>
          </cell>
          <cell r="D1927" t="str">
            <v>yes</v>
          </cell>
          <cell r="E1927" t="str">
            <v>20401143710</v>
          </cell>
          <cell r="F1927" t="str">
            <v>F0626</v>
          </cell>
          <cell r="G1927" t="str">
            <v>Rectifier initial installations</v>
          </cell>
          <cell r="H1927" t="str">
            <v>Bannister 10 Inch Rectifier and Gro</v>
          </cell>
          <cell r="I1927" t="str">
            <v>in service</v>
          </cell>
          <cell r="J1927" t="str">
            <v>Bannister 10 Inch Rectifier and Ground Bed: Kansas City-Jackson: Install Rectifier/Groundbed - First Time Installation  3760 (46-392)Central</v>
          </cell>
          <cell r="K1927" t="str">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ell>
          <cell r="L1927">
            <v>42411</v>
          </cell>
          <cell r="O1927">
            <v>42401</v>
          </cell>
          <cell r="P1927" t="str">
            <v>0401-043050  JACKSON CTY/KC</v>
          </cell>
          <cell r="Q1927">
            <v>67874.080000000002</v>
          </cell>
          <cell r="R1927">
            <v>15267</v>
          </cell>
        </row>
        <row r="1928">
          <cell r="A1928" t="str">
            <v>006978</v>
          </cell>
          <cell r="B1928" t="str">
            <v>LDC 2</v>
          </cell>
          <cell r="D1928" t="str">
            <v>no</v>
          </cell>
          <cell r="E1928" t="str">
            <v>20401143970</v>
          </cell>
          <cell r="F1928" t="str">
            <v>F0660</v>
          </cell>
          <cell r="G1928" t="str">
            <v>Meter &amp; Reg Settings 2" &amp; Lg (N)</v>
          </cell>
          <cell r="H1928" t="str">
            <v>One Light tower 11M Roots</v>
          </cell>
          <cell r="I1928" t="str">
            <v>posted to CPR</v>
          </cell>
          <cell r="J1928" t="str">
            <v>One Light tower 11M Roots: Kansas City-Jackson: New Meter &amp; Reg Settings - 2in &amp; Larger 3820/3830 (33-382)</v>
          </cell>
          <cell r="K1928" t="str">
            <v>Approved by: Rob Kitterman on 11/18/2014,  This work is necessary to install an 11M Roots meter to serve one new commercial customer. We'll set a 2in Cl-34-2 regulator at 5psig with a 289H relief set at 7psig for a connected load of 11250cfh.</v>
          </cell>
          <cell r="L1928">
            <v>41962</v>
          </cell>
          <cell r="M1928">
            <v>42004</v>
          </cell>
          <cell r="N1928">
            <v>42013.453298611101</v>
          </cell>
          <cell r="O1928">
            <v>41974</v>
          </cell>
          <cell r="P1928" t="str">
            <v>0401-043050  JACKSON CTY/KC</v>
          </cell>
          <cell r="Q1928">
            <v>1327.17</v>
          </cell>
          <cell r="R1928">
            <v>-55</v>
          </cell>
        </row>
        <row r="1929">
          <cell r="A1929" t="str">
            <v>006834</v>
          </cell>
          <cell r="B1929" t="str">
            <v>LDC 2</v>
          </cell>
          <cell r="D1929" t="str">
            <v>no</v>
          </cell>
          <cell r="E1929" t="str">
            <v>20401143869</v>
          </cell>
          <cell r="F1929" t="str">
            <v>F0660</v>
          </cell>
          <cell r="G1929" t="str">
            <v>Meter &amp; Reg Settings 2" &amp; Lg (N)</v>
          </cell>
          <cell r="H1929" t="str">
            <v>All American Redi Mix Inst 5M Mtr</v>
          </cell>
          <cell r="I1929" t="str">
            <v>posted to CPR</v>
          </cell>
          <cell r="J1929" t="str">
            <v>All American Redi Mix: Kansas City-Jackson: New Meter &amp; Reg Settings - 2&amp;quot; &amp; Larger 3820/3830 (33-382)</v>
          </cell>
          <cell r="K1929" t="str">
            <v>Approved by: Rob Kitterman on 11/04/2014,  This work is necessary to install a 5M roots meter to serve one new commercial customer. We'll set a 1in 627R 1st cut regulator at 20psig. We'll set a 2in CL-34-2 regulator at 2psig with a 1in 289H relief set at 3psig for a connected load of 4100cfh.</v>
          </cell>
          <cell r="L1929">
            <v>41983</v>
          </cell>
          <cell r="M1929">
            <v>42248</v>
          </cell>
          <cell r="N1929">
            <v>42270.483587962997</v>
          </cell>
          <cell r="O1929">
            <v>41974</v>
          </cell>
          <cell r="P1929" t="str">
            <v>0401-043050  JACKSON CTY/KC</v>
          </cell>
          <cell r="Q1929">
            <v>1277.74</v>
          </cell>
          <cell r="R1929">
            <v>-76</v>
          </cell>
        </row>
        <row r="1930">
          <cell r="A1930" t="str">
            <v>005679</v>
          </cell>
          <cell r="B1930" t="str">
            <v>LDC 2</v>
          </cell>
          <cell r="D1930" t="str">
            <v>yes</v>
          </cell>
          <cell r="E1930" t="str">
            <v>20401143569</v>
          </cell>
          <cell r="F1930" t="str">
            <v>F0599</v>
          </cell>
          <cell r="G1930" t="str">
            <v>Main Replacement - ISRS (N)</v>
          </cell>
          <cell r="H1930" t="str">
            <v>CI Repl Due to Graphitization</v>
          </cell>
          <cell r="I1930" t="str">
            <v>posted to CPR</v>
          </cell>
          <cell r="J1930" t="str">
            <v>CI Repl Due to Graphitization: Kansas City-Jackson: Replace Cast Iron Main - 3760 Safety Related (34-412)</v>
          </cell>
          <cell r="K1930" t="str">
            <v>Approved by: Steve Holcomb on 07/09/2014,  Replace 4'' and 6'' CI main due to graphitization. CI break 12-1018 - 122' NNC of 50th St and 4' EEC of highland. Due 09-28-2014. Pressure System C-001</v>
          </cell>
          <cell r="L1930">
            <v>41905</v>
          </cell>
          <cell r="M1930">
            <v>41912</v>
          </cell>
          <cell r="N1930">
            <v>42012.721909722197</v>
          </cell>
          <cell r="O1930">
            <v>41883</v>
          </cell>
          <cell r="P1930" t="str">
            <v>0401-043050  JACKSON CTY/KC</v>
          </cell>
          <cell r="Q1930">
            <v>32521.77</v>
          </cell>
          <cell r="R1930">
            <v>-2043.5</v>
          </cell>
        </row>
        <row r="1931">
          <cell r="A1931" t="str">
            <v>005410</v>
          </cell>
          <cell r="B1931" t="str">
            <v>LDC 2</v>
          </cell>
          <cell r="D1931" t="str">
            <v>no</v>
          </cell>
          <cell r="F1931" t="str">
            <v>F0588</v>
          </cell>
          <cell r="G1931" t="str">
            <v>Transportation &amp; power operated equ</v>
          </cell>
          <cell r="H1931" t="str">
            <v>Replace 3 Automobiles - MGE</v>
          </cell>
          <cell r="I1931" t="str">
            <v>posted to CPR</v>
          </cell>
          <cell r="J1931" t="str">
            <v>Replace three autos for MGE</v>
          </cell>
          <cell r="K1931" t="str">
            <v>Transferring charges from LGC WO 003769 3-15 for these vehicles - numbers 10302,10322,10342, 10362 per Mike M 3-30-15  AMM</v>
          </cell>
          <cell r="L1931">
            <v>41974</v>
          </cell>
          <cell r="M1931">
            <v>42064</v>
          </cell>
          <cell r="N1931">
            <v>42100.701782407399</v>
          </cell>
          <cell r="O1931">
            <v>42064</v>
          </cell>
          <cell r="P1931" t="str">
            <v>0401-043050  JACKSON CTY/KC</v>
          </cell>
          <cell r="Q1931">
            <v>63700</v>
          </cell>
          <cell r="R1931">
            <v>4</v>
          </cell>
        </row>
        <row r="1932">
          <cell r="A1932" t="str">
            <v>004515</v>
          </cell>
          <cell r="B1932" t="str">
            <v>LDC 2</v>
          </cell>
          <cell r="D1932" t="str">
            <v>yes</v>
          </cell>
          <cell r="E1932" t="str">
            <v>20401132379</v>
          </cell>
          <cell r="F1932" t="str">
            <v>F0501</v>
          </cell>
          <cell r="G1932" t="str">
            <v>Station rebuild &amp; replacement</v>
          </cell>
          <cell r="H1932" t="str">
            <v>Gardner Ave Reloc DRS 424</v>
          </cell>
          <cell r="I1932" t="str">
            <v>posted to CPR</v>
          </cell>
          <cell r="J1932" t="str">
            <v>Gardner Ave Reloc DRS 424: Kansas City-Jackson: Gardner Avenue and Askew to Front Street and Askew</v>
          </cell>
          <cell r="K1932" t="str">
            <v>Approved by: Gary Williams on 01/31/2013,  Relocate DRS 424 from Gardener Avenue and Askew to Front Street and Askew. All existing regulators and valves from station were utilized in the relocation. Install new barricade around station.</v>
          </cell>
          <cell r="L1932">
            <v>41302</v>
          </cell>
          <cell r="M1932">
            <v>41654</v>
          </cell>
          <cell r="N1932">
            <v>41654.604004629597</v>
          </cell>
          <cell r="P1932" t="str">
            <v>0401-043050  JACKSON CTY/KC</v>
          </cell>
          <cell r="Q1932">
            <v>20047.810000000001</v>
          </cell>
          <cell r="R1932">
            <v>4</v>
          </cell>
        </row>
        <row r="1933">
          <cell r="A1933" t="str">
            <v>004386</v>
          </cell>
          <cell r="B1933" t="str">
            <v>LDC 2</v>
          </cell>
          <cell r="D1933" t="str">
            <v>no</v>
          </cell>
          <cell r="E1933" t="str">
            <v>20401132612</v>
          </cell>
          <cell r="F1933" t="str">
            <v>F0658</v>
          </cell>
          <cell r="G1933" t="str">
            <v>Services -  2" &amp; larger</v>
          </cell>
          <cell r="H1933" t="str">
            <v>1350 E 17th 4in SERVICE LINE</v>
          </cell>
          <cell r="I1933" t="str">
            <v>posted to CPR</v>
          </cell>
          <cell r="J1933" t="str">
            <v>1350 E 17th 4in SERVICE LINE: Kansas City-Jackson: 1350 E 17TH KCATA CNG</v>
          </cell>
          <cell r="K1933" t="str">
            <v>Approved by: Gary Williams on 02/13/2014,  Laying 200ft-4in pcs with a FIRST CUT on the service line for KCATA CNG station. Tie-in 6in steel tf (WO#132613) (load 144,000 cfh). PDS 01-0204 Sec9T49NR33W. MINOP 95PSIG MAOP 100PSIG **TEST PRESSURE 150PSIG PRESSURE TEST SYSTEM C-1033. Cost per foot $68.40.</v>
          </cell>
          <cell r="L1933">
            <v>41753</v>
          </cell>
          <cell r="M1933">
            <v>41883</v>
          </cell>
          <cell r="N1933">
            <v>41918.570127314801</v>
          </cell>
          <cell r="O1933">
            <v>41883</v>
          </cell>
          <cell r="P1933" t="str">
            <v>0401-043050  JACKSON CTY/KC</v>
          </cell>
          <cell r="Q1933">
            <v>37951.74</v>
          </cell>
          <cell r="R1933">
            <v>-231</v>
          </cell>
        </row>
        <row r="1934">
          <cell r="A1934" t="str">
            <v>004425</v>
          </cell>
          <cell r="B1934" t="str">
            <v>LDC 2</v>
          </cell>
          <cell r="D1934" t="str">
            <v>no</v>
          </cell>
          <cell r="E1934" t="str">
            <v>20401132603</v>
          </cell>
          <cell r="F1934" t="str">
            <v>F0639</v>
          </cell>
          <cell r="G1934" t="str">
            <v>EGM Equip-1st Time Installation</v>
          </cell>
          <cell r="H1934" t="str">
            <v>EGM - Lighthouse Properties, LLC</v>
          </cell>
          <cell r="I1934" t="str">
            <v>posted to CPR</v>
          </cell>
          <cell r="J1934" t="str">
            <v>EGM - Lighthouse Properties, LLC: Kansas City-Jackson: 325 Ward Parkway, Kansas City, MO 64112</v>
          </cell>
          <cell r="K1934" t="str">
            <v>Approved by: Rob Kitterman on 04/12/2013,  Install Mercury MiniMax-AT-T on Roots 7M meter no 01022734 to monitor daily gas usage of this transportation customer. Customer will reimburse company actual cost for EGM installation not to exceed $5,445.00, which should be coded to account 1072. ATTENTION: Plant &amp; Property Accounting, EGM work order, turn off A&amp;G indicator.</v>
          </cell>
          <cell r="L1934">
            <v>41374</v>
          </cell>
          <cell r="M1934">
            <v>41575</v>
          </cell>
          <cell r="N1934">
            <v>41576.418576388904</v>
          </cell>
          <cell r="P1934" t="str">
            <v>0401-043050  JACKSON CTY/KC</v>
          </cell>
          <cell r="Q1934">
            <v>0</v>
          </cell>
          <cell r="R1934">
            <v>12</v>
          </cell>
        </row>
        <row r="1935">
          <cell r="A1935" t="str">
            <v>003917</v>
          </cell>
          <cell r="B1935" t="str">
            <v>LDC 2</v>
          </cell>
          <cell r="D1935" t="str">
            <v>no</v>
          </cell>
          <cell r="E1935" t="str">
            <v>20401133015</v>
          </cell>
          <cell r="F1935" t="str">
            <v>F0639</v>
          </cell>
          <cell r="G1935" t="str">
            <v>EGM Equip-1st Time Installation</v>
          </cell>
          <cell r="H1935" t="str">
            <v>EGM - Costco Wholesale Corp (Linwoo</v>
          </cell>
          <cell r="I1935" t="str">
            <v>posted to CPR</v>
          </cell>
          <cell r="J1935" t="str">
            <v>EGM - Costco Wholesale Corp (Linwood-KC): Kansas City-Jackson: 241 E Linwood Blvd - KC, MO 64128</v>
          </cell>
          <cell r="K1935" t="str">
            <v>Approved by: Rob Kitterman on 09/24/2013,  Install Mercury MiniMax-AT-T w/ Messenger Modem S/N:13012190 on Roots 11M meter no 00043757 to monitor daily gas usage of this transportation customer. Customer will reimburse company actual cost for EGM installation not to exceed $5,445.00, which should be coded to account 1072. ATTENTION: Plant &amp; Property Accounting, EGM work order, turn off A&amp;G indicator.</v>
          </cell>
          <cell r="L1935">
            <v>41547</v>
          </cell>
          <cell r="M1935">
            <v>41670</v>
          </cell>
          <cell r="N1935">
            <v>41677.509826388901</v>
          </cell>
          <cell r="P1935" t="str">
            <v>0401-043050  JACKSON CTY/KC</v>
          </cell>
          <cell r="Q1935">
            <v>272.83999999999997</v>
          </cell>
          <cell r="R1935">
            <v>4</v>
          </cell>
        </row>
        <row r="1936">
          <cell r="A1936" t="str">
            <v>004135</v>
          </cell>
          <cell r="B1936" t="str">
            <v>LDC 2</v>
          </cell>
          <cell r="D1936" t="str">
            <v>yes</v>
          </cell>
          <cell r="E1936" t="str">
            <v>20401132872</v>
          </cell>
          <cell r="F1936" t="str">
            <v>F0613</v>
          </cell>
          <cell r="G1936" t="str">
            <v>Replace bare steel main - safety re</v>
          </cell>
          <cell r="H1936" t="str">
            <v>113th Ter &amp; Jackson Repl PBS w 10'-</v>
          </cell>
          <cell r="I1936" t="str">
            <v>posted to CPR</v>
          </cell>
          <cell r="J1936" t="str">
            <v>113th Ter &amp; Jackson Repl PBS w 10'-2in TF Steel: Kansas City-Jackson: 113th Ter and Jackson</v>
          </cell>
          <cell r="K1936" t="str">
            <v>Approved by: Kevin Driskell on 08/23/2013,  Replace 10' of 2in PBS, original JO A6962C, year 1956 with 10'-2in PCS due to #3 leak at 113th Ter and Jackson.  Gate valve was removed.</v>
          </cell>
          <cell r="L1936">
            <v>41464</v>
          </cell>
          <cell r="M1936">
            <v>41638</v>
          </cell>
          <cell r="N1936">
            <v>41643.435312499998</v>
          </cell>
          <cell r="O1936">
            <v>41730</v>
          </cell>
          <cell r="P1936" t="str">
            <v>0401-043050  JACKSON CTY/KC</v>
          </cell>
          <cell r="Q1936">
            <v>7865.65</v>
          </cell>
          <cell r="R1936">
            <v>83</v>
          </cell>
        </row>
        <row r="1937">
          <cell r="A1937" t="str">
            <v>010773</v>
          </cell>
          <cell r="B1937" t="str">
            <v>LDC 2</v>
          </cell>
          <cell r="D1937" t="str">
            <v>no</v>
          </cell>
          <cell r="F1937" t="str">
            <v>F0639</v>
          </cell>
          <cell r="G1937" t="str">
            <v>EGM Equip-1st Time Installation</v>
          </cell>
          <cell r="H1937" t="str">
            <v>Purchase 25 Honeywell- Correctors</v>
          </cell>
          <cell r="I1937" t="str">
            <v>in service</v>
          </cell>
          <cell r="J1937" t="str">
            <v>Purchase 25 Honeywell-Mercury Instruments for Transportation Customers.</v>
          </cell>
          <cell r="K1937" t="str">
            <v>qty 8 for 0-15
qty 6 for 0-30
qty 6 for 0-60
qty 3 for 0-100
qty 2 for 0-300</v>
          </cell>
          <cell r="L1937">
            <v>42522</v>
          </cell>
          <cell r="O1937">
            <v>42522</v>
          </cell>
          <cell r="P1937" t="str">
            <v>0401-045030  No Description</v>
          </cell>
          <cell r="Q1937">
            <v>45323.18</v>
          </cell>
          <cell r="R1937">
            <v>25</v>
          </cell>
        </row>
        <row r="1938">
          <cell r="A1938" t="str">
            <v>004846</v>
          </cell>
          <cell r="B1938" t="str">
            <v>LDC 2</v>
          </cell>
          <cell r="D1938" t="str">
            <v>no</v>
          </cell>
          <cell r="E1938" t="str">
            <v>29260390000</v>
          </cell>
          <cell r="F1938" t="str">
            <v>F0728</v>
          </cell>
          <cell r="G1938" t="str">
            <v>Empl Benefits - Other MGE</v>
          </cell>
          <cell r="H1938" t="str">
            <v>Educ Asst - Tuition Reimb MGE</v>
          </cell>
          <cell r="I1938" t="str">
            <v>open</v>
          </cell>
          <cell r="J1938" t="str">
            <v>Educ Asst - Tuition Reimb MGE</v>
          </cell>
          <cell r="P1938" t="str">
            <v>Expense Only</v>
          </cell>
          <cell r="Q1938">
            <v>17730.169999999998</v>
          </cell>
          <cell r="R1938">
            <v>0</v>
          </cell>
        </row>
        <row r="1939">
          <cell r="A1939" t="str">
            <v>009277</v>
          </cell>
          <cell r="B1939" t="str">
            <v>LDC 2</v>
          </cell>
          <cell r="D1939" t="str">
            <v>yes</v>
          </cell>
          <cell r="E1939" t="str">
            <v>20501155517</v>
          </cell>
          <cell r="F1939" t="str">
            <v>F0544</v>
          </cell>
          <cell r="G1939" t="str">
            <v>Replace bare steel main - safety re</v>
          </cell>
          <cell r="H1939" t="str">
            <v>4in PBS and PCS Main Replacement</v>
          </cell>
          <cell r="I1939" t="str">
            <v>posted to CPR</v>
          </cell>
          <cell r="J1939" t="str">
            <v>4in PBS and PCS Main Replacement: Joplin: Replace Bare Steel Main - 3760 Safety Related (34-394)</v>
          </cell>
          <cell r="K1939" t="str">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ell>
          <cell r="L1939">
            <v>42380</v>
          </cell>
          <cell r="M1939">
            <v>42522</v>
          </cell>
          <cell r="N1939">
            <v>42586.5698611111</v>
          </cell>
          <cell r="O1939">
            <v>42401</v>
          </cell>
          <cell r="P1939" t="str">
            <v>0501-044001  JASPER CTY/JOPLIN</v>
          </cell>
          <cell r="Q1939">
            <v>92559.18</v>
          </cell>
          <cell r="R1939">
            <v>157</v>
          </cell>
        </row>
        <row r="1940">
          <cell r="A1940" t="str">
            <v>009215</v>
          </cell>
          <cell r="B1940" t="str">
            <v>LDC 2</v>
          </cell>
          <cell r="D1940" t="str">
            <v>no</v>
          </cell>
          <cell r="F1940" t="str">
            <v>F0589</v>
          </cell>
          <cell r="G1940" t="str">
            <v>BWO New Service Line Install (SW)</v>
          </cell>
          <cell r="H1940" t="str">
            <v>BWO-New Svc-Steel (Southwest)</v>
          </cell>
          <cell r="I1940" t="str">
            <v>open</v>
          </cell>
          <cell r="J1940" t="str">
            <v>BWO- New Services Installed with Steel (Southwest Region)</v>
          </cell>
          <cell r="O1940">
            <v>42278</v>
          </cell>
          <cell r="P1940" t="str">
            <v>0501-044001  JASPER CTY/JOPLIN</v>
          </cell>
          <cell r="Q1940">
            <v>54846.58</v>
          </cell>
          <cell r="R1940">
            <v>1001</v>
          </cell>
        </row>
        <row r="1941">
          <cell r="A1941" t="str">
            <v>009276</v>
          </cell>
          <cell r="B1941" t="str">
            <v>LDC 2</v>
          </cell>
          <cell r="D1941" t="str">
            <v>yes</v>
          </cell>
          <cell r="E1941" t="str">
            <v>20501155526</v>
          </cell>
          <cell r="F1941" t="str">
            <v>F0664</v>
          </cell>
          <cell r="G1941" t="str">
            <v>Street &amp; Hwy Relocates ISRS (SW)</v>
          </cell>
          <cell r="H1941" t="str">
            <v>Lincoln to Highview along Zora</v>
          </cell>
          <cell r="I1941" t="str">
            <v>posted to CPR</v>
          </cell>
          <cell r="J1941" t="str">
            <v>Lincoln to Highview along Zora: Joplin: Relocate for Street &amp; Highway-Public Improvements (44-388)</v>
          </cell>
          <cell r="K1941" t="str">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ell>
          <cell r="L1941">
            <v>42319</v>
          </cell>
          <cell r="M1941">
            <v>42429</v>
          </cell>
          <cell r="N1941">
            <v>42527.512731481504</v>
          </cell>
          <cell r="O1941">
            <v>42370</v>
          </cell>
          <cell r="P1941" t="str">
            <v>0501-044001  JASPER CTY/JOPLIN</v>
          </cell>
          <cell r="Q1941">
            <v>352743.31</v>
          </cell>
          <cell r="R1941">
            <v>30060</v>
          </cell>
        </row>
        <row r="1942">
          <cell r="A1942" t="str">
            <v>007705</v>
          </cell>
          <cell r="B1942" t="str">
            <v>LDC 2</v>
          </cell>
          <cell r="D1942" t="str">
            <v>no</v>
          </cell>
          <cell r="E1942" t="str">
            <v>20501155130</v>
          </cell>
          <cell r="F1942" t="str">
            <v>F0641</v>
          </cell>
          <cell r="G1942" t="str">
            <v>BWO House Regulators 2'' &amp; Sm (SW)</v>
          </cell>
          <cell r="H1942" t="str">
            <v>Purchase 5 Crystal Gauges For P and</v>
          </cell>
          <cell r="I1942" t="str">
            <v>posted to CPR</v>
          </cell>
          <cell r="J1942" t="str">
            <v>Purchase 5 Crystal Gauges For P and M: Joplin: Purchase P&amp;M Equipment  3780/3790/3850 (32-397)</v>
          </cell>
          <cell r="K1942" t="str">
            <v>Approved by: Michael Fornelli on 02/20/2015,  To purchase a total of 5 Crystal Gauges and 5 protective boots from Promac Inc to be used by Joplin &amp; Monett P&amp;M Department. Will purchase 3 Crystal 100PSIXP2I Gauges at $945.25 each, 2 Crystal 500PSIXP2I Gauges at $945.25 each, &amp; 5 Crystal 3696 protective boots at $40.00 each. Total cost $4,926.25 plus shipping and taxes. Promac Quote Q168310 dated 1/29/15 is attached. Promac Inc. 1601 Headland Drive, Fenton, MO 63036 Phone 636-343-0808</v>
          </cell>
          <cell r="L1942">
            <v>42086</v>
          </cell>
          <cell r="M1942">
            <v>42491</v>
          </cell>
          <cell r="N1942">
            <v>42528.472002314797</v>
          </cell>
          <cell r="O1942">
            <v>42064</v>
          </cell>
          <cell r="P1942" t="str">
            <v>0501-044001  JASPER CTY/JOPLIN</v>
          </cell>
          <cell r="Q1942">
            <v>5296.25</v>
          </cell>
          <cell r="R1942">
            <v>10</v>
          </cell>
        </row>
        <row r="1943">
          <cell r="A1943" t="str">
            <v>004650</v>
          </cell>
          <cell r="B1943" t="str">
            <v>LDC 2</v>
          </cell>
          <cell r="D1943" t="str">
            <v>no</v>
          </cell>
          <cell r="E1943" t="str">
            <v>20501133199</v>
          </cell>
          <cell r="F1943" t="str">
            <v>F0493</v>
          </cell>
          <cell r="G1943" t="str">
            <v>Other main replacements - system re</v>
          </cell>
          <cell r="H1943" t="str">
            <v>Maple St Main 120'-2in PE Tie In</v>
          </cell>
          <cell r="I1943" t="str">
            <v>posted to CPR</v>
          </cell>
          <cell r="J1943" t="str">
            <v>Maple St Main 120'-2in PE Tie In: Joplin: Maple St E of Golden Ave</v>
          </cell>
          <cell r="K1943" t="str">
            <v>Approved by: Gary Williams on 12/05/2013,  Lay 120' 2" PE to help reinforce the S-1 pressure system.  Project Location: Maple St E of Golden Ave.  Pressure System: S-1.  MOP: 20 PSIG.  MAOP: 25 PSIG.  Design: 58 PSIG.  Test: 100 PSIG.  Price Per Foot: $48.11.
SHOULD BE GOLDEN CITY TOWN CODE 0605 - CORRECTED ON AS BUILT - AMM</v>
          </cell>
          <cell r="L1943">
            <v>42025</v>
          </cell>
          <cell r="M1943">
            <v>42154</v>
          </cell>
          <cell r="N1943">
            <v>42256.671296296299</v>
          </cell>
          <cell r="O1943">
            <v>42005</v>
          </cell>
          <cell r="P1943" t="str">
            <v>0501-044001  JASPER CTY/JOPLIN</v>
          </cell>
          <cell r="Q1943">
            <v>7104.2</v>
          </cell>
          <cell r="R1943">
            <v>-596</v>
          </cell>
        </row>
        <row r="1944">
          <cell r="A1944" t="str">
            <v>004120</v>
          </cell>
          <cell r="B1944" t="str">
            <v>LDC 2</v>
          </cell>
          <cell r="D1944" t="str">
            <v>no</v>
          </cell>
          <cell r="E1944" t="str">
            <v>20501132962</v>
          </cell>
          <cell r="F1944" t="str">
            <v>F0536</v>
          </cell>
          <cell r="G1944" t="str">
            <v>Services -  2" &amp; larger</v>
          </cell>
          <cell r="H1944" t="str">
            <v>Mercy Hospital 4in Service</v>
          </cell>
          <cell r="I1944" t="str">
            <v>posted to CPR</v>
          </cell>
          <cell r="J1944" t="str">
            <v>Mercy Hospital 4in Service: Joplin: Indiana Ave N of 50th St</v>
          </cell>
          <cell r="K1944" t="str">
            <v>Approved by: Ken Thomas on 09/17/2013,  Lay 210' 4in PE to provide service for CEP Building for the new Mercy Hospital.  Project Location: W of Indiana Ave, N of 50th St.  Pressure System: C-1.  MOP: 58 PSIG.  MAOP: 58 PSIG.  Design: 58 PSIG.  Test: 100 PSIG.</v>
          </cell>
          <cell r="L1944">
            <v>41543</v>
          </cell>
          <cell r="M1944">
            <v>41670</v>
          </cell>
          <cell r="N1944">
            <v>41710.614594907398</v>
          </cell>
          <cell r="O1944">
            <v>41730</v>
          </cell>
          <cell r="P1944" t="str">
            <v>0501-044001  JASPER CTY/JOPLIN</v>
          </cell>
          <cell r="Q1944">
            <v>6077.38</v>
          </cell>
          <cell r="R1944">
            <v>735</v>
          </cell>
        </row>
        <row r="1945">
          <cell r="A1945" t="str">
            <v>004602</v>
          </cell>
          <cell r="B1945" t="str">
            <v>LDC 2</v>
          </cell>
          <cell r="D1945" t="str">
            <v>no</v>
          </cell>
          <cell r="E1945" t="str">
            <v>20501050373</v>
          </cell>
          <cell r="F1945" t="str">
            <v>F0629</v>
          </cell>
          <cell r="G1945" t="str">
            <v>BWO Mtr/Reg Repl - SLRP ISRS (SW)</v>
          </cell>
          <cell r="H1945" t="str">
            <v>BWO-Repl Mtr Set (SLRP) - SWest</v>
          </cell>
          <cell r="I1945" t="str">
            <v>open</v>
          </cell>
          <cell r="J1945" t="str">
            <v>BWO-Replace Meter Set (SLRP) - Southwest Region</v>
          </cell>
          <cell r="K1945" t="str">
            <v>Service/Yard Line Replacement (SLRP): Company or Contract Crew.  Rebuild meter/regulator setting (exclude regulator) Southwest Region.</v>
          </cell>
          <cell r="O1945">
            <v>41730</v>
          </cell>
          <cell r="P1945" t="str">
            <v>0501-044001  JASPER CTY/JOPLIN</v>
          </cell>
          <cell r="Q1945">
            <v>129619.26</v>
          </cell>
          <cell r="R1945">
            <v>311.5</v>
          </cell>
        </row>
        <row r="1946">
          <cell r="A1946" t="str">
            <v>011609</v>
          </cell>
          <cell r="B1946" t="str">
            <v>LDC 2</v>
          </cell>
          <cell r="D1946" t="str">
            <v>yes</v>
          </cell>
          <cell r="F1946" t="str">
            <v>F1191</v>
          </cell>
          <cell r="G1946" t="str">
            <v>Station Rebuild &amp; Repl ISRS (S)</v>
          </cell>
          <cell r="H1946" t="str">
            <v>Ret reg stn-T.C. Lea &amp; Rogers</v>
          </cell>
          <cell r="I1946" t="str">
            <v>in service</v>
          </cell>
          <cell r="J1946" t="str">
            <v>Abandon Regulator Station 191 (T.C. LEA &amp; ROGERS)</v>
          </cell>
          <cell r="K1946" t="str">
            <v>DRs #191</v>
          </cell>
          <cell r="L1946">
            <v>42748</v>
          </cell>
          <cell r="P1946" t="str">
            <v>0201-043001  JACKSON CTY/INDEPENDENCE</v>
          </cell>
          <cell r="Q1946">
            <v>140.07</v>
          </cell>
          <cell r="R1946">
            <v>1</v>
          </cell>
        </row>
        <row r="1947">
          <cell r="A1947" t="str">
            <v>007906</v>
          </cell>
          <cell r="B1947" t="str">
            <v>LDC 2</v>
          </cell>
          <cell r="D1947" t="str">
            <v>yes</v>
          </cell>
          <cell r="E1947" t="str">
            <v>20201155082</v>
          </cell>
          <cell r="F1947" t="str">
            <v>F0604</v>
          </cell>
          <cell r="G1947" t="str">
            <v>Main Replacement - ISRS (S)</v>
          </cell>
          <cell r="H1947" t="str">
            <v>Replace PBS Main</v>
          </cell>
          <cell r="I1947" t="str">
            <v>posted to CPR</v>
          </cell>
          <cell r="J1947" t="str">
            <v>Replace PBS Main: Independence: Replace Bare Steel Main - 3760 Safety Related (34-394)</v>
          </cell>
          <cell r="K1947" t="str">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ell>
          <cell r="L1947">
            <v>42297</v>
          </cell>
          <cell r="M1947">
            <v>42429</v>
          </cell>
          <cell r="N1947">
            <v>42527.511736111097</v>
          </cell>
          <cell r="O1947">
            <v>42309</v>
          </cell>
          <cell r="P1947" t="str">
            <v>0201-043001  JACKSON CTY/INDEPENDENCE</v>
          </cell>
          <cell r="Q1947">
            <v>663692.11</v>
          </cell>
          <cell r="R1947">
            <v>-17589.25</v>
          </cell>
        </row>
        <row r="1948">
          <cell r="A1948" t="str">
            <v>007969</v>
          </cell>
          <cell r="B1948" t="str">
            <v>LDC 2</v>
          </cell>
          <cell r="D1948" t="str">
            <v>yes</v>
          </cell>
          <cell r="E1948" t="str">
            <v>20201155241</v>
          </cell>
          <cell r="F1948" t="str">
            <v>F0578</v>
          </cell>
          <cell r="G1948" t="str">
            <v>Street &amp; Highway Relocates ISRS (S)</v>
          </cell>
          <cell r="H1948" t="str">
            <v>Relocate 8in pcs main</v>
          </cell>
          <cell r="I1948" t="str">
            <v>posted to CPR</v>
          </cell>
          <cell r="J1948" t="str">
            <v>Relocate 8in pcs main: Independence Rural: Relocate for Street &amp; Highway-Public Improvements (44-388)</v>
          </cell>
          <cell r="K1948" t="str">
            <v>Approved by: Joe Hampton on 03/26/2015,  Relocate and abandon 305' - 8" pcs main (work order 68-2905) by installing 285' - 8" pcs main to allow the City to complete a public improvement project. ISRS</v>
          </cell>
          <cell r="L1948">
            <v>42174</v>
          </cell>
          <cell r="M1948">
            <v>42216</v>
          </cell>
          <cell r="N1948">
            <v>42284.723495370403</v>
          </cell>
          <cell r="O1948">
            <v>42186</v>
          </cell>
          <cell r="P1948" t="str">
            <v>0201-043001  JACKSON CTY/INDEPENDENCE</v>
          </cell>
          <cell r="Q1948">
            <v>47424.160000000003</v>
          </cell>
          <cell r="R1948">
            <v>-20.5</v>
          </cell>
        </row>
        <row r="1949">
          <cell r="A1949" t="str">
            <v>007392</v>
          </cell>
          <cell r="B1949" t="str">
            <v>LDC 2</v>
          </cell>
          <cell r="D1949" t="str">
            <v>yes</v>
          </cell>
          <cell r="E1949" t="str">
            <v>20201155071</v>
          </cell>
          <cell r="F1949" t="str">
            <v>F0578</v>
          </cell>
          <cell r="G1949" t="str">
            <v>Street &amp; Highway Relocates ISRS (S)</v>
          </cell>
          <cell r="H1949" t="str">
            <v>Relocate 2in PE for storm 14th and</v>
          </cell>
          <cell r="I1949" t="str">
            <v>posted to CPR</v>
          </cell>
          <cell r="J1949" t="str">
            <v>Relocate 2in PE for storm 14th and Arlington: Independence: Relocate for Street &amp; Highway-Public Improvements (44-388)</v>
          </cell>
          <cell r="K1949" t="str">
            <v>Approved by: Kevin Driskell on 01/09/2015,  Public Improvement - 14th and Arlington Storm Drainage Improvements - City of Independence Project 70131002. Relocate 255' of 2" PE main to abandon 250' of 2" PE (WO# 97-4566) in conflict with the proposed storm sewer. ISRS</v>
          </cell>
          <cell r="L1949">
            <v>42087</v>
          </cell>
          <cell r="M1949">
            <v>42124</v>
          </cell>
          <cell r="N1949">
            <v>42223.566898148099</v>
          </cell>
          <cell r="O1949">
            <v>42095</v>
          </cell>
          <cell r="P1949" t="str">
            <v>0201-043001  JACKSON CTY/INDEPENDENCE</v>
          </cell>
          <cell r="Q1949">
            <v>11918.46</v>
          </cell>
          <cell r="R1949">
            <v>-488</v>
          </cell>
        </row>
        <row r="1950">
          <cell r="A1950" t="str">
            <v>004490</v>
          </cell>
          <cell r="B1950" t="str">
            <v>LDC 2</v>
          </cell>
          <cell r="D1950" t="str">
            <v>no</v>
          </cell>
          <cell r="E1950" t="str">
            <v>20201133195</v>
          </cell>
          <cell r="F1950" t="str">
            <v>F0671</v>
          </cell>
          <cell r="G1950" t="str">
            <v>Tools, Instruments &amp; Equipment</v>
          </cell>
          <cell r="H1950" t="str">
            <v>Pur Cabinets &amp; Workbenches for Weld</v>
          </cell>
          <cell r="I1950" t="str">
            <v>posted to CPR</v>
          </cell>
          <cell r="J1950" t="str">
            <v>Pur Cabinets &amp; Workbenches for Welding Shop: Independence: Independence Training Center</v>
          </cell>
          <cell r="K1950" t="str">
            <v>Approved by: Brian Dresel on 12/02/2013,  Storage cabinets and workbenches are needed to conduct welder testing and fire extinguisher maintenance and repairs.</v>
          </cell>
          <cell r="L1950">
            <v>41610</v>
          </cell>
          <cell r="M1950">
            <v>41654</v>
          </cell>
          <cell r="N1950">
            <v>41654.604085648098</v>
          </cell>
          <cell r="P1950" t="str">
            <v>0201-043001  JACKSON CTY/INDEPENDENCE</v>
          </cell>
          <cell r="Q1950">
            <v>4392.74</v>
          </cell>
          <cell r="R1950">
            <v>0</v>
          </cell>
        </row>
        <row r="1951">
          <cell r="A1951" t="str">
            <v>003831</v>
          </cell>
          <cell r="B1951" t="str">
            <v>LDC 2</v>
          </cell>
          <cell r="D1951" t="str">
            <v>no</v>
          </cell>
          <cell r="E1951" t="str">
            <v>20201050304</v>
          </cell>
          <cell r="F1951" t="str">
            <v>F0482</v>
          </cell>
          <cell r="G1951" t="str">
            <v>BWO House Regulators 2'' &amp; Sm (S)</v>
          </cell>
          <cell r="H1951" t="str">
            <v>BWO-HOUSE REGULATORS</v>
          </cell>
          <cell r="I1951" t="str">
            <v>posted to CPR</v>
          </cell>
          <cell r="J1951" t="str">
            <v>BWO-HOUSE REGULATORS</v>
          </cell>
          <cell r="K1951" t="str">
            <v>Changed to Non-Payroll class code 7-1-15 - should not charge labor here - AMM
Closed this WO - use Wo 004294 for South Region House Regulators</v>
          </cell>
          <cell r="L1951">
            <v>42369</v>
          </cell>
          <cell r="M1951">
            <v>42369</v>
          </cell>
          <cell r="N1951">
            <v>42401</v>
          </cell>
          <cell r="P1951" t="str">
            <v>0201-043001  JACKSON CTY/INDEPENDENCE</v>
          </cell>
          <cell r="Q1951">
            <v>28944.68</v>
          </cell>
          <cell r="R1951">
            <v>126</v>
          </cell>
        </row>
        <row r="1952">
          <cell r="A1952" t="str">
            <v>004471</v>
          </cell>
          <cell r="B1952" t="str">
            <v>LDC 2</v>
          </cell>
          <cell r="D1952" t="str">
            <v>no</v>
          </cell>
          <cell r="E1952" t="str">
            <v>20201133056</v>
          </cell>
          <cell r="F1952" t="str">
            <v>F0600</v>
          </cell>
          <cell r="G1952" t="str">
            <v>Station Rebuild &amp; Repl ISRS (N)</v>
          </cell>
          <cell r="H1952" t="str">
            <v>DRS 117 Retire</v>
          </cell>
          <cell r="I1952" t="str">
            <v>posted to CPR</v>
          </cell>
          <cell r="J1952" t="str">
            <v>DRS 117 Retire: Independence: Jones St and McCoy St</v>
          </cell>
          <cell r="K1952" t="str">
            <v>Approved by: Ray Wilson on 10/24/2013,  Retire and remove DRS 117 (wo# 91-2121) as it will not be needed after the uprate of pressure system S-117 to C-500 and completion of wo# 13-3055. The 2 Fisher 133L 2" regulators (operator and monitor) will be salvaged.</v>
          </cell>
          <cell r="L1952">
            <v>42095</v>
          </cell>
          <cell r="M1952">
            <v>42124</v>
          </cell>
          <cell r="N1952">
            <v>42223.564907407403</v>
          </cell>
          <cell r="O1952">
            <v>42186</v>
          </cell>
          <cell r="P1952" t="str">
            <v>0201-043001  JACKSON CTY/INDEPENDENCE</v>
          </cell>
          <cell r="Q1952">
            <v>8021.63</v>
          </cell>
          <cell r="R1952">
            <v>12</v>
          </cell>
        </row>
        <row r="1953">
          <cell r="A1953" t="str">
            <v>004575</v>
          </cell>
          <cell r="B1953" t="str">
            <v>LDC 2</v>
          </cell>
          <cell r="D1953" t="str">
            <v>no</v>
          </cell>
          <cell r="E1953" t="str">
            <v>20201133224</v>
          </cell>
          <cell r="F1953" t="str">
            <v>F0580</v>
          </cell>
          <cell r="G1953" t="str">
            <v>Replace steel &amp; plastic main</v>
          </cell>
          <cell r="H1953" t="str">
            <v>Tie PE mains to C500 System Crysler</v>
          </cell>
          <cell r="I1953" t="str">
            <v>posted to CPR</v>
          </cell>
          <cell r="J1953" t="str">
            <v>Tie PE mains to C500 System Crysler &amp; 26th: Independence: Crysler and 26th  27th</v>
          </cell>
          <cell r="K1953" t="str">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ell>
          <cell r="L1953">
            <v>41797</v>
          </cell>
          <cell r="M1953">
            <v>41882</v>
          </cell>
          <cell r="N1953">
            <v>41978.593784722201</v>
          </cell>
          <cell r="O1953">
            <v>41791</v>
          </cell>
          <cell r="P1953" t="str">
            <v>0201-043001  JACKSON CTY/INDEPENDENCE</v>
          </cell>
          <cell r="Q1953">
            <v>39505.42</v>
          </cell>
          <cell r="R1953">
            <v>-358</v>
          </cell>
        </row>
        <row r="1954">
          <cell r="A1954" t="str">
            <v>004583</v>
          </cell>
          <cell r="B1954" t="str">
            <v>LDC 2</v>
          </cell>
          <cell r="D1954" t="str">
            <v>no</v>
          </cell>
          <cell r="E1954" t="str">
            <v>20201143371</v>
          </cell>
          <cell r="F1954" t="str">
            <v>F0671</v>
          </cell>
          <cell r="G1954" t="str">
            <v>Tools, Instruments &amp; Equipment</v>
          </cell>
          <cell r="H1954" t="str">
            <v>Pur Trench Box Panels Shoring Equip</v>
          </cell>
          <cell r="I1954" t="str">
            <v>posted to CPR</v>
          </cell>
          <cell r="J1954" t="str">
            <v>Pur Trench Box Panels Shoring Equip: Independence: Independence Training Center</v>
          </cell>
          <cell r="K1954" t="str">
            <v>Approved by: Brian Dresel on 02/19/2014,  Additional MAPS trench box panels to fully utilize the MAPS system for training.</v>
          </cell>
          <cell r="L1954">
            <v>41701</v>
          </cell>
          <cell r="M1954">
            <v>42491</v>
          </cell>
          <cell r="N1954">
            <v>42527.510659722197</v>
          </cell>
          <cell r="O1954">
            <v>41913</v>
          </cell>
          <cell r="P1954" t="str">
            <v>0201-043001  JACKSON CTY/INDEPENDENCE</v>
          </cell>
          <cell r="Q1954">
            <v>6051.37</v>
          </cell>
          <cell r="R1954">
            <v>0</v>
          </cell>
        </row>
        <row r="1955">
          <cell r="A1955" t="str">
            <v>006974</v>
          </cell>
          <cell r="B1955" t="str">
            <v>LDC 2</v>
          </cell>
          <cell r="D1955" t="str">
            <v>no</v>
          </cell>
          <cell r="E1955" t="str">
            <v>20201143959</v>
          </cell>
          <cell r="F1955" t="str">
            <v>F0507</v>
          </cell>
          <cell r="G1955" t="str">
            <v>Rebuild Meter Install 2'' &amp; Lg (S)</v>
          </cell>
          <cell r="H1955" t="str">
            <v>Rebuild 3M Rotary Meter Set</v>
          </cell>
          <cell r="I1955" t="str">
            <v>posted to CPR</v>
          </cell>
          <cell r="J1955" t="str">
            <v>Rebuild 3M Rotary Meter Set: Independence: Replace Meter &amp; Reg 2in &amp;  Larger - 3820/3830 (32-404)</v>
          </cell>
          <cell r="K1955" t="str">
            <v>Approved by: Ralph Janes on 11/20/2014,  The RK 3000 meter at 3675 S Noland Road, premise #46694, meter #00013015 (installed on unknown WO), is due for change out on the 2014 Time Limit Program.  Existing Load: 2,600 cfh.  Rebuild a 3M rotary meter setting and retire the existing meter.</v>
          </cell>
          <cell r="L1955">
            <v>42110</v>
          </cell>
          <cell r="M1955">
            <v>42155</v>
          </cell>
          <cell r="N1955">
            <v>42160.5540162037</v>
          </cell>
          <cell r="O1955">
            <v>42095</v>
          </cell>
          <cell r="P1955" t="str">
            <v>0201-043001  JACKSON CTY/INDEPENDENCE</v>
          </cell>
          <cell r="Q1955">
            <v>2942.36</v>
          </cell>
          <cell r="R1955">
            <v>-32.5</v>
          </cell>
        </row>
        <row r="1956">
          <cell r="A1956" t="str">
            <v>005454</v>
          </cell>
          <cell r="B1956" t="str">
            <v>LDC 2</v>
          </cell>
          <cell r="D1956" t="str">
            <v>yes</v>
          </cell>
          <cell r="E1956" t="str">
            <v>20201143457</v>
          </cell>
          <cell r="F1956" t="str">
            <v>F0606</v>
          </cell>
          <cell r="G1956" t="str">
            <v>Station rebuild &amp; replacement</v>
          </cell>
          <cell r="H1956" t="str">
            <v>Retire DRS 134 02-01 40th and Sterl</v>
          </cell>
          <cell r="I1956" t="str">
            <v>posted to CPR</v>
          </cell>
          <cell r="J1956" t="str">
            <v>Retire DRS 134 02-01 40th and Sterling: Independence: Rebuild District/TB Stations  3780/3790 (45-387)</v>
          </cell>
          <cell r="K1956" t="str">
            <v>Approved by: Ralph Janes on 06/09/2014,  Remove and retire DRS 134 (WO# 73-5130) as it will not be needed after the completion of WO# 14-3455. The 2 - 2in Fisher 133L regulators will be junked.</v>
          </cell>
          <cell r="L1956">
            <v>42012</v>
          </cell>
          <cell r="M1956">
            <v>42063</v>
          </cell>
          <cell r="N1956">
            <v>42160.553055555603</v>
          </cell>
          <cell r="O1956">
            <v>42125</v>
          </cell>
          <cell r="P1956" t="str">
            <v>0201-043001  JACKSON CTY/INDEPENDENCE</v>
          </cell>
          <cell r="Q1956">
            <v>2925.44</v>
          </cell>
          <cell r="R1956">
            <v>13</v>
          </cell>
        </row>
        <row r="1957">
          <cell r="A1957" t="str">
            <v>005291</v>
          </cell>
          <cell r="B1957" t="str">
            <v>LDC 2</v>
          </cell>
          <cell r="D1957" t="str">
            <v>yes</v>
          </cell>
          <cell r="E1957" t="str">
            <v>20201143515</v>
          </cell>
          <cell r="F1957" t="str">
            <v>F0604</v>
          </cell>
          <cell r="G1957" t="str">
            <v>Main Replacement - ISRS (S)</v>
          </cell>
          <cell r="H1957" t="str">
            <v>Repl PBS main Blue Ridge Blvd 31st</v>
          </cell>
          <cell r="I1957" t="str">
            <v>posted to CPR</v>
          </cell>
          <cell r="J1957" t="str">
            <v>Repl PBS main Blue Ridge Blvd 31st to 35th: Independence: Replace Bare Steel Main - 3760 Safety Related (34-394)</v>
          </cell>
          <cell r="K1957" t="str">
            <v>Approved by: Steve Holcomb on 05/14/2014,  Accelerated Main Replacement: This WO is to replace a total of 27,810' of main, mostly PBS in one of our high risk sectors identified through our DIMP plan(02-01-1303) with 7,095' - 6", 5' - 4", 20,050' - 2" PE main and 5' - 2" thin film with new 2" gate valve to DRS 23. It is to be completed after WO#'s 14-3520 and 14-3547. By replacing this main we will be able to raise the pressure on some existing PE main and retire two reg stations - #33 at Blue Ridge Blvd and 36th Terr and #67 at 35th and Arlington (WO# 14-3567 and 14-3568, respectively). Please see Pipe tab for info on main to be retired. (ISRS)  Price per ft = $40.23</v>
          </cell>
          <cell r="L1957">
            <v>42034</v>
          </cell>
          <cell r="M1957">
            <v>42094</v>
          </cell>
          <cell r="N1957">
            <v>42223.625150462998</v>
          </cell>
          <cell r="O1957">
            <v>42036</v>
          </cell>
          <cell r="P1957" t="str">
            <v>0201-043001  JACKSON CTY/INDEPENDENCE</v>
          </cell>
          <cell r="Q1957">
            <v>1090934.9099999999</v>
          </cell>
          <cell r="R1957">
            <v>-27414</v>
          </cell>
        </row>
        <row r="1958">
          <cell r="A1958" t="str">
            <v>800193</v>
          </cell>
          <cell r="B1958" t="str">
            <v>LDC 2</v>
          </cell>
          <cell r="C1958" t="str">
            <v>03 - Bare Steel Replacement</v>
          </cell>
          <cell r="D1958" t="str">
            <v>yes</v>
          </cell>
          <cell r="F1958" t="str">
            <v>F0572</v>
          </cell>
          <cell r="G1958" t="str">
            <v>Main Replacement - ISRS (SW)</v>
          </cell>
          <cell r="H1958" t="str">
            <v>Repl w 6279F 2-6P Monett Phase 1A</v>
          </cell>
          <cell r="I1958" t="str">
            <v>open</v>
          </cell>
          <cell r="J1958" t="str">
            <v>Install 5228 ft of 2in PL and 1051 Ft of 6in PL, and abandon 1026 Ft of 2in PL main and 6119 Ft of ST main and uprate 1018 Ft of 2 in PL in Monett.</v>
          </cell>
          <cell r="K1958" t="str">
            <v>Total Service Tie-over = 71; Total Service Abandoned = 12; Total Service Replace = 6: Total Service Upgrade = 18.  This main is being abandoned as part of FY16 Bare Steel Replacement Program</v>
          </cell>
          <cell r="P1958" t="str">
            <v>0801-005001  BARRY CTY/MONETT</v>
          </cell>
          <cell r="Q1958">
            <v>393115.62</v>
          </cell>
          <cell r="R1958">
            <v>10185.5</v>
          </cell>
        </row>
        <row r="1959">
          <cell r="A1959" t="str">
            <v>008213</v>
          </cell>
          <cell r="B1959" t="str">
            <v>LDC 2</v>
          </cell>
          <cell r="D1959" t="str">
            <v>no</v>
          </cell>
          <cell r="E1959" t="str">
            <v>20801155290</v>
          </cell>
          <cell r="F1959" t="str">
            <v>F0556</v>
          </cell>
          <cell r="G1959" t="str">
            <v>Tools, instruments &amp; equipment</v>
          </cell>
          <cell r="H1959" t="str">
            <v>Tools Purchase 1 Tornado Complete U</v>
          </cell>
          <cell r="I1959" t="str">
            <v>posted to CPR</v>
          </cell>
          <cell r="J1959" t="str">
            <v>Tools Purchase 1 Tornado Complete Unit for Monett: Monett: Purchase Tools, Instruments &amp; Equipment  3940 (37-366)</v>
          </cell>
          <cell r="K1959" t="str">
            <v>Approved by: Michael Fornelli on 04/14/2015,  Purchase Tornado Complete Unit (Powerhead and Lower Unit) for Monett Location.</v>
          </cell>
          <cell r="L1959">
            <v>42173</v>
          </cell>
          <cell r="M1959">
            <v>42491</v>
          </cell>
          <cell r="N1959">
            <v>42527.511886574102</v>
          </cell>
          <cell r="O1959">
            <v>42156</v>
          </cell>
          <cell r="P1959" t="str">
            <v>0801-005001  BARRY CTY/MONETT</v>
          </cell>
          <cell r="Q1959">
            <v>499.44</v>
          </cell>
          <cell r="R1959">
            <v>1</v>
          </cell>
        </row>
        <row r="1960">
          <cell r="A1960" t="str">
            <v>006911</v>
          </cell>
          <cell r="B1960" t="str">
            <v>LDC 2</v>
          </cell>
          <cell r="D1960" t="str">
            <v>no</v>
          </cell>
          <cell r="E1960" t="str">
            <v>20801143904</v>
          </cell>
          <cell r="F1960" t="str">
            <v>F0556</v>
          </cell>
          <cell r="G1960" t="str">
            <v>Tools, instruments &amp; equipment</v>
          </cell>
          <cell r="H1960" t="str">
            <v>Tools Purchase Three Grunsky Bottle</v>
          </cell>
          <cell r="I1960" t="str">
            <v>posted to CPR</v>
          </cell>
          <cell r="J1960" t="str">
            <v>Tools Purchase Three Grunsky Bottle Monett IandS: Monett: Purchase Tools, Instruments &amp; Equipment  3940 (37-366)</v>
          </cell>
          <cell r="K1960" t="str">
            <v>Approved by: Bob Brazelton on 11/14/2014,  Purchase three grunsky tee bottle setups for Monett I&amp;S from Praxair.</v>
          </cell>
          <cell r="L1960">
            <v>42030</v>
          </cell>
          <cell r="M1960">
            <v>42248</v>
          </cell>
          <cell r="N1960">
            <v>42270.487638888902</v>
          </cell>
          <cell r="O1960">
            <v>42005</v>
          </cell>
          <cell r="P1960" t="str">
            <v>0801-005001  BARRY CTY/MONETT</v>
          </cell>
          <cell r="Q1960">
            <v>1309.78</v>
          </cell>
          <cell r="R1960">
            <v>75</v>
          </cell>
        </row>
        <row r="1961">
          <cell r="A1961" t="str">
            <v>005692</v>
          </cell>
          <cell r="B1961" t="str">
            <v>LDC 2</v>
          </cell>
          <cell r="D1961" t="str">
            <v>no</v>
          </cell>
          <cell r="F1961" t="str">
            <v>F0495</v>
          </cell>
          <cell r="G1961" t="str">
            <v>General structures</v>
          </cell>
          <cell r="H1961" t="str">
            <v>Security Cameras - Monett</v>
          </cell>
          <cell r="I1961" t="str">
            <v>posted to CPR</v>
          </cell>
          <cell r="J1961" t="str">
            <v>Install Genetec 4TB archiver system.</v>
          </cell>
          <cell r="K1961" t="str">
            <v>Complete per Al Moore 9-18-14 - AMM</v>
          </cell>
          <cell r="L1961">
            <v>41900</v>
          </cell>
          <cell r="M1961">
            <v>42156</v>
          </cell>
          <cell r="N1961">
            <v>42223.566006944398</v>
          </cell>
          <cell r="O1961">
            <v>41883</v>
          </cell>
          <cell r="P1961" t="str">
            <v>0801-005001  BARRY CTY/MONETT</v>
          </cell>
          <cell r="Q1961">
            <v>16584.650000000001</v>
          </cell>
          <cell r="R1961">
            <v>13125</v>
          </cell>
        </row>
        <row r="1962">
          <cell r="A1962" t="str">
            <v>004261</v>
          </cell>
          <cell r="B1962" t="str">
            <v>LDC 2</v>
          </cell>
          <cell r="D1962" t="str">
            <v>no</v>
          </cell>
          <cell r="E1962" t="str">
            <v>20804143324</v>
          </cell>
          <cell r="F1962" t="str">
            <v>F0523</v>
          </cell>
          <cell r="G1962" t="str">
            <v>New Main Extensions (SW)</v>
          </cell>
          <cell r="H1962" t="str">
            <v>Alley at East St Lay 108'-2in PE ma</v>
          </cell>
          <cell r="I1962" t="str">
            <v>posted to CPR</v>
          </cell>
          <cell r="J1962" t="str">
            <v>Allet at East St Lay 108'-2in PE main ext: Mount Vernon: alley NE of East and Cherry</v>
          </cell>
          <cell r="K1962" t="str">
            <v>Approved by: Galen Shoemaker on 02/04/2014,  To lay 108ft of 2in Plastic Main to serve one residential customer. Customer will pay $363.00 deposit prior to work. MOP=25# MAOP=25# TEST=100# SYSTEM=S-3</v>
          </cell>
          <cell r="L1962">
            <v>41698</v>
          </cell>
          <cell r="M1962">
            <v>41729</v>
          </cell>
          <cell r="N1962">
            <v>41733.495613425897</v>
          </cell>
          <cell r="O1962">
            <v>41730</v>
          </cell>
          <cell r="P1962" t="str">
            <v>0804-050005  LAWRENCE CTY/MT. VERNON</v>
          </cell>
          <cell r="Q1962">
            <v>2099.71</v>
          </cell>
          <cell r="R1962">
            <v>239</v>
          </cell>
        </row>
        <row r="1963">
          <cell r="A1963" t="str">
            <v>800654</v>
          </cell>
          <cell r="B1963" t="str">
            <v>LDC 2</v>
          </cell>
          <cell r="C1963" t="str">
            <v>03 - Bare Steel Replacement</v>
          </cell>
          <cell r="D1963" t="str">
            <v>yes</v>
          </cell>
          <cell r="F1963" t="str">
            <v>F0572</v>
          </cell>
          <cell r="G1963" t="str">
            <v>Main Replacement - ISRS (SW)</v>
          </cell>
          <cell r="H1963" t="str">
            <v>Repl w 5185F 2-6P Neosho C-001 1B</v>
          </cell>
          <cell r="I1963" t="str">
            <v>open</v>
          </cell>
          <cell r="J1963" t="str">
            <v>Install 4050 Ft. of 2 inch PL IP Main and 1135 Ft. of 6 inch PL IP Main on Lincoln St., Young St., High St., Broadway St. and Thrasher Ave. Neosho - Phase 1B.</v>
          </cell>
          <cell r="K1963" t="str">
            <v>Abandon 394 Ft. of 2 inch PL IP Main, 2869 Ft. of 2 inch ST IP Main, 45 Ft. of 4 inch ST IP Main and 1041 Ft. of 6 inch ST IP Main on the above mentioned streets.  Total Service Tie-over=42; Total Service Abandoned=19; Total Service Replace=6.  This main is being replaced as part of the FY17 Bare Steel Replacement Program.</v>
          </cell>
          <cell r="P1963" t="str">
            <v>0806-066010  NEWTON CTY/NEOSHO</v>
          </cell>
          <cell r="Q1963">
            <v>0</v>
          </cell>
          <cell r="R1963">
            <v>4349</v>
          </cell>
        </row>
        <row r="1964">
          <cell r="A1964" t="str">
            <v>004299</v>
          </cell>
          <cell r="B1964" t="str">
            <v>LDC 2</v>
          </cell>
          <cell r="D1964" t="str">
            <v>yes</v>
          </cell>
          <cell r="E1964" t="str">
            <v>20806132386</v>
          </cell>
          <cell r="F1964" t="str">
            <v>F0573</v>
          </cell>
          <cell r="G1964" t="str">
            <v>Replace bare steel main - safety re</v>
          </cell>
          <cell r="H1964" t="str">
            <v>McCord Repl PBS w 860'-2&amp;890'-4in P</v>
          </cell>
          <cell r="I1964" t="str">
            <v>posted to CPR</v>
          </cell>
          <cell r="J1964" t="str">
            <v>McCord Repl PBS w 860'-2&amp;890'-4in PE main: Neosho: McCord and Valley</v>
          </cell>
          <cell r="K1964" t="str">
            <v>Approved by: Ken Thomas on 03/04/2013,  To lay 860' - 2in and 890' - 4in PE Main. Abandon 42' - 1 1/4in PBS (WO#: 19732), 1731' - 2in PBS (WO#'s: 4800, 4823, 12953, 58652), 37' - 2in PCS (WO#: 09-5690), 141' - 7/8in PE (WO#: 81-0468), 2' - 2in PE (WO#: 88-4813) and 141' - 1 1/4in BS Casing. Steel main in poor condition and exhibiting leakage. This work will improve the feed to the West on McCord and create another loop in the C-1 Pressure System. MOP=42# MAOP=42# SYSTEM=C-1 TEST=100# ISRS</v>
          </cell>
          <cell r="L1964">
            <v>41502</v>
          </cell>
          <cell r="M1964">
            <v>41578</v>
          </cell>
          <cell r="N1964">
            <v>41584.396342592598</v>
          </cell>
          <cell r="P1964" t="str">
            <v>0806-066010  NEWTON CTY/NEOSHO</v>
          </cell>
          <cell r="Q1964">
            <v>49077.59</v>
          </cell>
          <cell r="R1964">
            <v>6105</v>
          </cell>
        </row>
        <row r="1965">
          <cell r="A1965" t="str">
            <v>800613</v>
          </cell>
          <cell r="B1965" t="str">
            <v>LDC 2</v>
          </cell>
          <cell r="C1965" t="str">
            <v>03 - Bare Steel Replacement</v>
          </cell>
          <cell r="D1965" t="str">
            <v>yes</v>
          </cell>
          <cell r="F1965" t="str">
            <v>F0572</v>
          </cell>
          <cell r="G1965" t="str">
            <v>Main Replacement - ISRS (SW)</v>
          </cell>
          <cell r="H1965" t="str">
            <v>Repl w 2490F 2-4P Marionville Ph F</v>
          </cell>
          <cell r="I1965" t="str">
            <v>open</v>
          </cell>
          <cell r="J1965" t="str">
            <v>Install  1900 Ft. of 2 in. PL IP Main and 590 Ft. of 4 in. PL IP Main on Benton St., Railroad St., Washington St., Water St., Walnut St., and Main St.</v>
          </cell>
          <cell r="K1965" t="str">
            <v>Abandon  62 Ft of 2 in PL IP Main,  447 Ft of 2 in PL LP Main,  192 Ft of 2 in ST IP Main and 1845 Ft of 2 in ST LP Main on the above mentioned streets.  Uprate  100 Ft. of 1 ¼ in. PL LP Main on Benton St., 155 Ft. of 2 in PL LP Main on Main St,  122 Ft. of 2 in. PL LP Main on Washington St., 1981 Ft. of 2 in. Main on Benton St., 320 Ft. on Coleman St., and  1350 Ft. of 2 in. PL LP on S Hwy 14.  Total service tie overs = 9; Total service abandon = 4; Total service replace = 1; Total Services Uprate=4.  This main is being replaced as part of the FY16 Bare Steel Replacement Program.</v>
          </cell>
          <cell r="P1965" t="str">
            <v>0810-050015  LAWRENCE CTY/MARIONVILLE</v>
          </cell>
          <cell r="Q1965">
            <v>0</v>
          </cell>
          <cell r="R1965">
            <v>3455</v>
          </cell>
        </row>
        <row r="1966">
          <cell r="A1966" t="str">
            <v>800952</v>
          </cell>
          <cell r="B1966" t="str">
            <v>LDC 2</v>
          </cell>
          <cell r="D1966" t="str">
            <v>no</v>
          </cell>
          <cell r="F1966" t="str">
            <v>F0664</v>
          </cell>
          <cell r="G1966" t="str">
            <v>Street &amp; Hwy Relocates ISRS (SW)</v>
          </cell>
          <cell r="H1966" t="str">
            <v>Reloc 2645F 4S 4P Heart America CJ</v>
          </cell>
          <cell r="I1966" t="str">
            <v>open</v>
          </cell>
          <cell r="J1966" t="str">
            <v>Install ~1940 ft of 4in FP STL, 705 ft of 4in IP PL main south of Empire Avenue in Republic.</v>
          </cell>
          <cell r="K1966" t="str">
            <v>Main Relocation due to customer request - necessary to avoid conflict with a new Heartland of American beverage distributor being constructed.  
Abandon ~ 1249 ft of 4in IP PL, 500 ft of 2in IP PL and 1073 ft of 4 in FP STL main at the location listed above.  Service Tie Overs: 1.  New service installed:1.  Total load for new service:  3736 CFH</v>
          </cell>
          <cell r="P1966" t="str">
            <v>0812-034002  GREENE CTY/REPUBLIC</v>
          </cell>
          <cell r="Q1966">
            <v>-124956.36</v>
          </cell>
          <cell r="R1966">
            <v>-1235</v>
          </cell>
        </row>
        <row r="1967">
          <cell r="A1967" t="str">
            <v>006984</v>
          </cell>
          <cell r="B1967" t="str">
            <v>LDC 2</v>
          </cell>
          <cell r="D1967" t="str">
            <v>no</v>
          </cell>
          <cell r="E1967" t="str">
            <v>20812143964</v>
          </cell>
          <cell r="F1967" t="str">
            <v>F0656</v>
          </cell>
          <cell r="G1967" t="str">
            <v>Meter &amp; regulator settings - 2" &amp; l</v>
          </cell>
          <cell r="H1967" t="str">
            <v>Install 2 Inch Prefab Setting 3M</v>
          </cell>
          <cell r="I1967" t="str">
            <v>posted to CPR</v>
          </cell>
          <cell r="J1967" t="str">
            <v>Install 2 Inch Prefab Setting For 3M Rotary Meter: Republic: New Meter &amp; Reg Settings - 2in  &amp; Larger 3820/3830 (33-382)</v>
          </cell>
          <cell r="K1967" t="str">
            <v>Approved by: Galen Shoemaker on 11/16/2014,  To install 2" prefab setting for 3M Roots meter to serve new Red Monkey Foods building at 6751 W. Kings Street in the Brookline Industrial Park. Will use 2" flanged CL 34-1 regulator with 3/8 orifice, orange closing spring and red/white pilot spring to deliver 2 psig. Will use 1" Fisher 289 H-41 relief set at 4 psig for overpressure protection. Total demand with possible future 10,000 sq ft expansion will be approximately 3,200 cfh. There will be no charge to the customer. System 0836-S-2. System MAOP=58psig  System operates at 25 psig.</v>
          </cell>
          <cell r="L1967">
            <v>42018</v>
          </cell>
          <cell r="M1967">
            <v>42248</v>
          </cell>
          <cell r="N1967">
            <v>42274.592708333301</v>
          </cell>
          <cell r="O1967">
            <v>42005</v>
          </cell>
          <cell r="P1967" t="str">
            <v>0812-034002  GREENE CTY/REPUBLIC</v>
          </cell>
          <cell r="Q1967">
            <v>3169.66</v>
          </cell>
          <cell r="R1967">
            <v>0</v>
          </cell>
        </row>
        <row r="1968">
          <cell r="A1968" t="str">
            <v>004227</v>
          </cell>
          <cell r="B1968" t="str">
            <v>LDC 2</v>
          </cell>
          <cell r="D1968" t="str">
            <v>no</v>
          </cell>
          <cell r="E1968" t="str">
            <v>20812133103</v>
          </cell>
          <cell r="F1968" t="str">
            <v>F0579</v>
          </cell>
          <cell r="G1968" t="str">
            <v>New business</v>
          </cell>
          <cell r="H1968" t="str">
            <v>Farn Rd 170 Lay 460'-4in PE main ex</v>
          </cell>
          <cell r="I1968" t="str">
            <v>posted to CPR</v>
          </cell>
          <cell r="J1968" t="str">
            <v>Farn Rd 170 Lay 460'-4in PE main ext: Republic: Farm Rd 170</v>
          </cell>
          <cell r="K1968" t="str">
            <v>Approved by: Galen Shoemaker on 10/28/2013,  Extend main with 460' - 4in PE for one new service. Customer will contribute $3,410.00 prior to work. Project Location: Farm Rd 170 West of HWY 60; Pressure System: S-2311; MOP: 58 psig; MAOP: 58 psig; Design; 58 psig; Test: 100 psig; $29.41/ft</v>
          </cell>
          <cell r="L1968">
            <v>41603</v>
          </cell>
          <cell r="M1968">
            <v>41653</v>
          </cell>
          <cell r="N1968">
            <v>41654.604016203702</v>
          </cell>
          <cell r="O1968">
            <v>41730</v>
          </cell>
          <cell r="P1968" t="str">
            <v>0812-034002  GREENE CTY/REPUBLIC</v>
          </cell>
          <cell r="Q1968">
            <v>13808.73</v>
          </cell>
          <cell r="R1968">
            <v>39731.269999999997</v>
          </cell>
        </row>
        <row r="1969">
          <cell r="A1969" t="str">
            <v>008207</v>
          </cell>
          <cell r="B1969" t="str">
            <v>LDC 2</v>
          </cell>
          <cell r="D1969" t="str">
            <v>no</v>
          </cell>
          <cell r="E1969" t="str">
            <v>20324155273</v>
          </cell>
          <cell r="F1969" t="str">
            <v>F0501</v>
          </cell>
          <cell r="G1969" t="str">
            <v>Station rebuild &amp; replacement</v>
          </cell>
          <cell r="H1969" t="str">
            <v>Retire DRS 1 Alley under Water Towe</v>
          </cell>
          <cell r="I1969" t="str">
            <v>posted to CPR</v>
          </cell>
          <cell r="J1969" t="str">
            <v>Retire DRS 1 Alley under Water Tower: Pilot Grove: Rebuild District/TB Stations  3780/3790 (45-387)</v>
          </cell>
          <cell r="K1969" t="str">
            <v>Approved by: Kevin Driskell on 04/10/2015,  Remove and retire DRS 1 (WO# 96-2831) as it will not be needed after the completion of WO# 14-3651.  The 2-2" Rockwell 441S regulators will be junked.</v>
          </cell>
          <cell r="L1969">
            <v>42114</v>
          </cell>
          <cell r="M1969">
            <v>42155</v>
          </cell>
          <cell r="N1969">
            <v>42345.490393518499</v>
          </cell>
          <cell r="P1969" t="str">
            <v>0324-023001  COOPER CTY/PILOT GROVE</v>
          </cell>
          <cell r="Q1969">
            <v>6317.82</v>
          </cell>
          <cell r="R1969">
            <v>18</v>
          </cell>
        </row>
        <row r="1970">
          <cell r="A1970" t="str">
            <v>800839</v>
          </cell>
          <cell r="B1970" t="str">
            <v>LDC 2</v>
          </cell>
          <cell r="C1970" t="str">
            <v>09 - Facility Relocation due to Civic Improvement</v>
          </cell>
          <cell r="D1970" t="str">
            <v>yes</v>
          </cell>
          <cell r="F1970" t="str">
            <v>F0578</v>
          </cell>
          <cell r="G1970" t="str">
            <v>Street &amp; Highway Relocates ISRS (S)</v>
          </cell>
          <cell r="H1970" t="str">
            <v>Reloc 70F 6S Rt I-49 &amp; 155th</v>
          </cell>
          <cell r="I1970" t="str">
            <v>open</v>
          </cell>
          <cell r="J1970" t="str">
            <v>Install 70' of 6'' STL.</v>
          </cell>
          <cell r="K1970" t="str">
            <v>Abandon 90' of 6'' STL. This replacement is due to Civic Improvement.</v>
          </cell>
          <cell r="P1970" t="str">
            <v>0904-043030  JACKSON CTY/GRANDVIEW</v>
          </cell>
          <cell r="Q1970">
            <v>9276.9699999999993</v>
          </cell>
          <cell r="R1970">
            <v>68</v>
          </cell>
        </row>
        <row r="1971">
          <cell r="A1971" t="str">
            <v>004111</v>
          </cell>
          <cell r="B1971" t="str">
            <v>LDC 2</v>
          </cell>
          <cell r="D1971" t="str">
            <v>no</v>
          </cell>
          <cell r="E1971" t="str">
            <v>20904133002</v>
          </cell>
          <cell r="F1971" t="str">
            <v>F0597</v>
          </cell>
          <cell r="G1971" t="str">
            <v>Other</v>
          </cell>
          <cell r="H1971" t="str">
            <v>Replace EGM - Grandview High School</v>
          </cell>
          <cell r="I1971" t="str">
            <v>posted to CPR</v>
          </cell>
          <cell r="J1971" t="str">
            <v>Replace EGM - Grandview High School: Grandview: 2300 High Grove Rd - Grandview, MO 64030</v>
          </cell>
          <cell r="K1971" t="str">
            <v>Approved by: Rob Kitterman on 09/24/2013,  Replace EGM equipment at Grandview HS with a new Mini-AT-PT, S/N: 13038779, &amp; Messenger Modem. Existing meter is a Roots 11M rotary meter# 08596676. The existing equipment was damaged beyond repair. Retire the damaged Mini-PT, S/N: 9502638 on this WO as well.</v>
          </cell>
          <cell r="L1971">
            <v>41578</v>
          </cell>
          <cell r="M1971">
            <v>41662</v>
          </cell>
          <cell r="N1971">
            <v>41676.633402777799</v>
          </cell>
          <cell r="P1971" t="str">
            <v>0904-043030  JACKSON CTY/GRANDVIEW</v>
          </cell>
          <cell r="Q1971">
            <v>2961.89</v>
          </cell>
          <cell r="R1971">
            <v>4</v>
          </cell>
        </row>
        <row r="1972">
          <cell r="A1972" t="str">
            <v>800127</v>
          </cell>
          <cell r="B1972" t="str">
            <v>LDC 2</v>
          </cell>
          <cell r="C1972" t="str">
            <v>03 - Bare Steel Replacement</v>
          </cell>
          <cell r="D1972" t="str">
            <v>yes</v>
          </cell>
          <cell r="F1972" t="str">
            <v>F0604</v>
          </cell>
          <cell r="G1972" t="str">
            <v>Main Replacement - ISRS (S)</v>
          </cell>
          <cell r="H1972" t="str">
            <v>FY16 Strategic Grid MGE-Belton Ph2A</v>
          </cell>
          <cell r="I1972" t="str">
            <v>open</v>
          </cell>
          <cell r="J1972" t="str">
            <v>Install 5377 Ft of 2 in and 1392 Ft of 4 in PL IP main- Belton Grid - Ph 2A. Abandon 103 Ft of 1.25 and 20 Ft of 2 in PL, 35 Ft of 1.5 in, 2885 Ft of 2 in, 1307 Ft of 3in &amp; 386 Ft of 4in PBS, 1905 Ft of 2 in, 8 Ft of 3in &amp; 8 Ft of 4in PCS</v>
          </cell>
          <cell r="K1972" t="str">
            <v>Majority Poorly Coated IP main at the above locations.
Total Service Tie-over = 101; Total Service Abandoned = 5;Total Service Replace = 1; Total Service Upgrade = 0. 
This main is being replaced as part of FY16 Bare Steel Replacement Program</v>
          </cell>
          <cell r="P1972" t="str">
            <v>0906-016001  CASS CTY/BELTON W OF MULLIN RD</v>
          </cell>
          <cell r="Q1972">
            <v>364306.05</v>
          </cell>
          <cell r="R1972">
            <v>-9618.17</v>
          </cell>
        </row>
        <row r="1973">
          <cell r="A1973" t="str">
            <v>010181</v>
          </cell>
          <cell r="B1973" t="str">
            <v>LDC 2</v>
          </cell>
          <cell r="D1973" t="str">
            <v>no</v>
          </cell>
          <cell r="F1973" t="str">
            <v>F0644</v>
          </cell>
          <cell r="G1973" t="str">
            <v>Meter &amp; Reg Settings 2" &amp; Lg (S)</v>
          </cell>
          <cell r="H1973" t="str">
            <v>Texas Roadhouse - 5M Rotary Mtr Set</v>
          </cell>
          <cell r="I1973" t="str">
            <v>in service</v>
          </cell>
          <cell r="J1973" t="str">
            <v>Install 5M Rotary meter to serve one new commerical customer at 228 Peculiar Dr - Texas Roadhouse</v>
          </cell>
          <cell r="K1973" t="str">
            <v>Maximo WO 14650697</v>
          </cell>
          <cell r="L1973">
            <v>42598</v>
          </cell>
          <cell r="O1973">
            <v>42614</v>
          </cell>
          <cell r="P1973" t="str">
            <v>0906-016001  CASS CTY/BELTON W OF MULLIN RD</v>
          </cell>
          <cell r="Q1973">
            <v>150.78</v>
          </cell>
          <cell r="R1973">
            <v>15</v>
          </cell>
        </row>
        <row r="1974">
          <cell r="A1974" t="str">
            <v>006744</v>
          </cell>
          <cell r="B1974" t="str">
            <v>LDC 2</v>
          </cell>
          <cell r="D1974" t="str">
            <v>yes</v>
          </cell>
          <cell r="E1974" t="str">
            <v>20906143898</v>
          </cell>
          <cell r="F1974" t="str">
            <v>F0507</v>
          </cell>
          <cell r="G1974" t="str">
            <v>Rebuild Meter Install 2'' &amp; Lg (S)</v>
          </cell>
          <cell r="H1974" t="str">
            <v>Rebuild 7M Rotary Meter Set Belton</v>
          </cell>
          <cell r="I1974" t="str">
            <v>posted to CPR</v>
          </cell>
          <cell r="J1974" t="str">
            <v>Rebuild 7M Rotary Meter Set Belton Jr High School: Belton: Replace Meter &amp; Reg 2in &amp; Larger - 3820/3830 (32-404)</v>
          </cell>
          <cell r="K1974" t="str">
            <v>Approved by: Ralph Janes on 10/21/2014,  The existing AL 2300 meter at Belton Jr High at 613 Mill Street, premise# 347600, (installed on unknown WO) with meter #05519823, is due for change out on the 2014 Time Limit Program.  Existing load: 6,450 cfh.  Rebuild a 7M rotary meter setting and retire the existing AL 2300 meter set.</v>
          </cell>
          <cell r="L1974">
            <v>41981</v>
          </cell>
          <cell r="M1974">
            <v>42003</v>
          </cell>
          <cell r="N1974">
            <v>42012.551261574103</v>
          </cell>
          <cell r="O1974">
            <v>41974</v>
          </cell>
          <cell r="P1974" t="str">
            <v>0906-016001  CASS CTY/BELTON W OF MULLIN RD</v>
          </cell>
          <cell r="Q1974">
            <v>3155.25</v>
          </cell>
          <cell r="R1974">
            <v>-58.5</v>
          </cell>
        </row>
        <row r="1975">
          <cell r="A1975" t="str">
            <v>003872</v>
          </cell>
          <cell r="B1975" t="str">
            <v>LDC 2</v>
          </cell>
          <cell r="D1975" t="str">
            <v>yes</v>
          </cell>
          <cell r="E1975" t="str">
            <v>20906132943</v>
          </cell>
          <cell r="F1975" t="str">
            <v>F0580</v>
          </cell>
          <cell r="G1975" t="str">
            <v>Replace steel &amp; plastic main</v>
          </cell>
          <cell r="H1975" t="str">
            <v>95 Windson Ct Abandon 2in PE main</v>
          </cell>
          <cell r="I1975" t="str">
            <v>posted to CPR</v>
          </cell>
          <cell r="J1975" t="str">
            <v>95 Windson Ct Abandon 2in PE main: Belton: 95 Windsor Ct</v>
          </cell>
          <cell r="K1975" t="str">
            <v>Approved by: Ralph Janes on 09/03/2013,  Cut and cap 2in PE main to allow home to be built at 95 Windsor Ct (Loch Lloyd). Several lots were purchased for one estate and the main was run far enough for individual lots. Abandon 127' - 2in PE (WO# 04-6820).</v>
          </cell>
          <cell r="L1975">
            <v>41521</v>
          </cell>
          <cell r="M1975">
            <v>41564</v>
          </cell>
          <cell r="N1975">
            <v>41564.624756944402</v>
          </cell>
          <cell r="P1975" t="str">
            <v>0906-016001  CASS CTY/BELTON W OF MULLIN RD</v>
          </cell>
          <cell r="Q1975">
            <v>483.59</v>
          </cell>
          <cell r="R1975">
            <v>149</v>
          </cell>
        </row>
        <row r="1976">
          <cell r="A1976" t="str">
            <v>003939</v>
          </cell>
          <cell r="B1976" t="str">
            <v>LDC 2</v>
          </cell>
          <cell r="D1976" t="str">
            <v>no</v>
          </cell>
          <cell r="E1976" t="str">
            <v>20906107066</v>
          </cell>
          <cell r="F1976" t="str">
            <v>F0600</v>
          </cell>
          <cell r="G1976" t="str">
            <v>Station Rebuild &amp; Repl ISRS (N)</v>
          </cell>
          <cell r="H1976" t="str">
            <v>Kenneth &amp; 61st Belton TB Odorizer</v>
          </cell>
          <cell r="I1976" t="str">
            <v>posted to CPR</v>
          </cell>
          <cell r="J1976" t="str">
            <v>Kenneth &amp; 61st Belton TB Odorizer: Belton: Kenneth and 161st</v>
          </cell>
          <cell r="K1976" t="str">
            <v>Approved by: Steve Holcomb on 10/13/2010,  Purchase and install YZ model 7300GE-04C-1S1 Odorant Injection System for the Panhandle take point at 161st and Kenneth on the Kansas side.  This is necessary because Kansas Gas will no longer odorize the Panhandle line this fall, but we will need to draw from this take point.</v>
          </cell>
          <cell r="L1976">
            <v>41578</v>
          </cell>
          <cell r="M1976">
            <v>41578</v>
          </cell>
          <cell r="N1976">
            <v>41578.5097916667</v>
          </cell>
          <cell r="P1976" t="str">
            <v>0906-016001  CASS CTY/BELTON W OF MULLIN RD</v>
          </cell>
          <cell r="Q1976">
            <v>100904.67</v>
          </cell>
          <cell r="R1976">
            <v>0</v>
          </cell>
        </row>
        <row r="1977">
          <cell r="A1977" t="str">
            <v>800030</v>
          </cell>
          <cell r="B1977" t="str">
            <v>LDC 2</v>
          </cell>
          <cell r="C1977" t="str">
            <v>09 - Facility Relocation due to Civic Improvement</v>
          </cell>
          <cell r="D1977" t="str">
            <v>yes</v>
          </cell>
          <cell r="F1977" t="str">
            <v>F0578</v>
          </cell>
          <cell r="G1977" t="str">
            <v>Street &amp; Highway Relocates ISRS (S)</v>
          </cell>
          <cell r="H1977" t="str">
            <v>Relocate 2" &amp; 3" Steel - Route 7 fr</v>
          </cell>
          <cell r="I1977" t="str">
            <v>in service</v>
          </cell>
          <cell r="J1977" t="str">
            <v>Install 1879 ft of 2 in PE on Mechanic St (Route 7) between Bradley and Edgevale &amp; north on Bradley from Mechanic to Wall St., south on Eastwood to the tie-in, North on King to the tie-in &amp; south on Edgevale to the tie-in in Harrisonville.</v>
          </cell>
          <cell r="K1977" t="str">
            <v>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ell>
          <cell r="L1977">
            <v>42542</v>
          </cell>
          <cell r="O1977">
            <v>42583</v>
          </cell>
          <cell r="P1977" t="str">
            <v>0908-016007  CASS CTY/HARRISONVILLE N</v>
          </cell>
          <cell r="Q1977">
            <v>175644.59</v>
          </cell>
          <cell r="R1977">
            <v>-2355</v>
          </cell>
        </row>
        <row r="1978">
          <cell r="A1978" t="str">
            <v>004182</v>
          </cell>
          <cell r="B1978" t="str">
            <v>LDC 2</v>
          </cell>
          <cell r="D1978" t="str">
            <v>yes</v>
          </cell>
          <cell r="E1978" t="str">
            <v>20908121857</v>
          </cell>
          <cell r="F1978" t="str">
            <v>F0604</v>
          </cell>
          <cell r="G1978" t="str">
            <v>Main Replacement - ISRS (S)</v>
          </cell>
          <cell r="H1978" t="str">
            <v>Polk &amp; Butler Ter Repl PBS w 500'-2</v>
          </cell>
          <cell r="I1978" t="str">
            <v>posted to CPR</v>
          </cell>
          <cell r="J1978" t="str">
            <v>Polk &amp; Butler Ter Repl PBS w 500'-2in PE main: Harrisonville: Polk and Butler Terr</v>
          </cell>
          <cell r="K1978" t="str">
            <v>Approved by: Ralph Janes on 10/30/2012,  Replace and abandon 340' - 3in PBS (unknown WO), 23' - 2in PE (WO# 10-6676), and 154' - 2in PCS (WO# 63-2399) with 500' - 2in PE main. The existing main has a history of leakage. Price per ft = $49.44  (ISRS)</v>
          </cell>
          <cell r="L1978">
            <v>41655</v>
          </cell>
          <cell r="M1978">
            <v>41820</v>
          </cell>
          <cell r="N1978">
            <v>41858.746643518498</v>
          </cell>
          <cell r="O1978">
            <v>41730</v>
          </cell>
          <cell r="P1978" t="str">
            <v>0908-016009  CASS CTY/HARRISONVILLE S</v>
          </cell>
          <cell r="Q1978">
            <v>23325.599999999999</v>
          </cell>
          <cell r="R1978">
            <v>1702.5</v>
          </cell>
        </row>
        <row r="1979">
          <cell r="A1979" t="str">
            <v>800257</v>
          </cell>
          <cell r="B1979" t="str">
            <v>LDC 2</v>
          </cell>
          <cell r="C1979" t="str">
            <v>03 - Bare Steel Replacement</v>
          </cell>
          <cell r="D1979" t="str">
            <v>yes</v>
          </cell>
          <cell r="F1979" t="str">
            <v>F0604</v>
          </cell>
          <cell r="G1979" t="str">
            <v>Main Replacement - ISRS (S)</v>
          </cell>
          <cell r="H1979" t="str">
            <v>Repl w 9327F 2&amp;4P Pleasant Hill Ph4</v>
          </cell>
          <cell r="I1979" t="str">
            <v>open</v>
          </cell>
          <cell r="J1979" t="str">
            <v>Install 5512 Ft of 2 in and 3815 Ft of 4 in PL IP main for Pleasant Hill Phase 4. Abandon 116 Ft of 2 in PL, 225 Ft of 3 in PL, 1108 Ft of 4 in PL, 2785 Ft of 2 in ST, 909 Ft of 3 in ST, 5311 Ft of 4 in ST, 1000 Ft of 5 in ST.</v>
          </cell>
          <cell r="K1979" t="str">
            <v>This main is being replaced as part of FY16 Steel Replacement Program.
Uprate ~453 Ft of 2 in PL LP main, ~60 Ft of 3 in PL LP main on Harrison St and Campbell St.  Total Service Tie-over = 116; Total Service Abandoned = 16;Total Service Replace = 6; Total Service Upgrade = 4.</v>
          </cell>
          <cell r="P1979" t="str">
            <v>0909-016012  CASS CTY/PLEASANT HILL</v>
          </cell>
          <cell r="Q1979">
            <v>378569.96</v>
          </cell>
          <cell r="R1979">
            <v>-7910</v>
          </cell>
        </row>
        <row r="1980">
          <cell r="A1980" t="str">
            <v>010876</v>
          </cell>
          <cell r="B1980" t="str">
            <v>LDC 2</v>
          </cell>
          <cell r="D1980" t="str">
            <v>no</v>
          </cell>
          <cell r="F1980" t="str">
            <v>F0538</v>
          </cell>
          <cell r="G1980" t="str">
            <v>Other Communication Costs</v>
          </cell>
          <cell r="H1980" t="str">
            <v>Purch 2 Itron FC300 units with dock</v>
          </cell>
          <cell r="I1980" t="str">
            <v>in service</v>
          </cell>
          <cell r="J1980" t="str">
            <v>Purchase 2 Itron FC300 Units with desktop dock and power supply for the Lee's Summit region. Requested by Mike Butts.</v>
          </cell>
          <cell r="L1980">
            <v>42643</v>
          </cell>
          <cell r="O1980">
            <v>42614</v>
          </cell>
          <cell r="P1980" t="str">
            <v>0901-043021  JACKSON CTY/LEE'S SUMMIT OFFIC</v>
          </cell>
          <cell r="Q1980">
            <v>11081.98</v>
          </cell>
          <cell r="R1980">
            <v>12</v>
          </cell>
        </row>
        <row r="1981">
          <cell r="A1981" t="str">
            <v>005801</v>
          </cell>
          <cell r="B1981" t="str">
            <v>LDC 2</v>
          </cell>
          <cell r="D1981" t="str">
            <v>no</v>
          </cell>
          <cell r="E1981" t="str">
            <v>20901143701</v>
          </cell>
          <cell r="F1981" t="str">
            <v>F0588</v>
          </cell>
          <cell r="G1981" t="str">
            <v>Transportation &amp; power operated equ</v>
          </cell>
          <cell r="H1981" t="str">
            <v>Pur-1 Wells Cargo Express Wagon Tra</v>
          </cell>
          <cell r="I1981" t="str">
            <v>posted to CPR</v>
          </cell>
          <cell r="J1981" t="str">
            <v>Pur-1 Wells Cargo Express Wagon Trailer: Lees Summit: Transportation/Power Operated Equip 392/396 (50-908)</v>
          </cell>
          <cell r="K1981" t="str">
            <v>Approved by: Ralph Janes on 07/28/2014,  Purchase-1 Wells Cargo Express Wagon enclosed trailer EW1622 for use by the C&amp;M crew at Lee's Summit.</v>
          </cell>
          <cell r="L1981">
            <v>41988</v>
          </cell>
          <cell r="M1981">
            <v>42248</v>
          </cell>
          <cell r="N1981">
            <v>42496.559918981497</v>
          </cell>
          <cell r="O1981">
            <v>42095</v>
          </cell>
          <cell r="P1981" t="str">
            <v>0901-043021  JACKSON CTY/LEE'S SUMMIT OFFIC</v>
          </cell>
          <cell r="Q1981">
            <v>10921</v>
          </cell>
          <cell r="R1981">
            <v>1</v>
          </cell>
        </row>
        <row r="1982">
          <cell r="A1982" t="str">
            <v>005593</v>
          </cell>
          <cell r="B1982" t="str">
            <v>LDC 2</v>
          </cell>
          <cell r="D1982" t="str">
            <v>no</v>
          </cell>
          <cell r="E1982" t="str">
            <v>20901143654</v>
          </cell>
          <cell r="F1982" t="str">
            <v>F0554</v>
          </cell>
          <cell r="G1982" t="str">
            <v>Tools, Instruments &amp; Equipment (S)</v>
          </cell>
          <cell r="H1982" t="str">
            <v>Pur Tools - Electrofusion Clamps</v>
          </cell>
          <cell r="I1982" t="str">
            <v>posted to CPR</v>
          </cell>
          <cell r="J1982" t="str">
            <v>Pur Tools - Electrofusion Clamps: Lees Summit: Purchase Tools, Instruments &amp; Equipment  3940 (37-366)</v>
          </cell>
          <cell r="K1982" t="str">
            <v>Approved by: Ralph Janes on 06/27/2014,  Purchase 1 - 2" - 4" Mulit Electrofusion Clamp Kit for the Lee's Summit I&amp;S Crews.  Retirement Unit 946590000 - Pipe Plastic Heat Fusion Equipment.</v>
          </cell>
          <cell r="L1982">
            <v>41835</v>
          </cell>
          <cell r="M1982">
            <v>42248</v>
          </cell>
          <cell r="N1982">
            <v>42270.482048611098</v>
          </cell>
          <cell r="O1982">
            <v>41821</v>
          </cell>
          <cell r="P1982" t="str">
            <v>0901-043021  JACKSON CTY/LEE'S SUMMIT OFFIC</v>
          </cell>
          <cell r="Q1982">
            <v>936.63</v>
          </cell>
          <cell r="R1982">
            <v>1</v>
          </cell>
        </row>
        <row r="1983">
          <cell r="A1983" t="str">
            <v>004574</v>
          </cell>
          <cell r="B1983" t="str">
            <v>LDC 2</v>
          </cell>
          <cell r="D1983" t="str">
            <v>yes</v>
          </cell>
          <cell r="E1983" t="str">
            <v>20901132486</v>
          </cell>
          <cell r="F1983" t="str">
            <v>F0578</v>
          </cell>
          <cell r="G1983" t="str">
            <v>Street &amp; Highway Relocates ISRS (S)</v>
          </cell>
          <cell r="H1983" t="str">
            <v>Lincolnwood Reloc PCS w 20'-4in PE</v>
          </cell>
          <cell r="I1983" t="str">
            <v>posted to CPR</v>
          </cell>
          <cell r="J1983" t="str">
            <v>Lincolnwood Reloc PCS w 20'-4in PE main: Lees Summit: Lincolnwood &amp; Woodbine</v>
          </cell>
          <cell r="K1983" t="str">
            <v>Approved by: Ralph Janes on 06/28/2013,  Public Improvement Project: Lincolnwood Storm. Relocate 20' - 4in PCS (14' span with 3' legs) to avoid a new storm curb inlet. Retire 14' - 4in PCS (WO# B2183). (ISRS)</v>
          </cell>
          <cell r="L1983">
            <v>41590</v>
          </cell>
          <cell r="M1983">
            <v>41696</v>
          </cell>
          <cell r="N1983">
            <v>41698.505277777796</v>
          </cell>
          <cell r="O1983">
            <v>41730</v>
          </cell>
          <cell r="P1983" t="str">
            <v>0901-043021  JACKSON CTY/LEE'S SUMMIT OFFIC</v>
          </cell>
          <cell r="Q1983">
            <v>7204.48</v>
          </cell>
          <cell r="R1983">
            <v>109.2</v>
          </cell>
        </row>
        <row r="1984">
          <cell r="A1984" t="str">
            <v>004088</v>
          </cell>
          <cell r="B1984" t="str">
            <v>LDC 2</v>
          </cell>
          <cell r="D1984" t="str">
            <v>no</v>
          </cell>
          <cell r="E1984" t="str">
            <v>20901132988</v>
          </cell>
          <cell r="F1984" t="str">
            <v>F0602</v>
          </cell>
          <cell r="G1984" t="str">
            <v>New business</v>
          </cell>
          <cell r="H1984" t="str">
            <v>Freddys Frozen Custard &amp; Steakburge</v>
          </cell>
          <cell r="I1984" t="str">
            <v>posted to CPR</v>
          </cell>
          <cell r="J1984" t="str">
            <v>Freddys Frozen Custard &amp; Steakburger: Lees Summit: 194 NW Oldham Pkwy.</v>
          </cell>
          <cell r="K1984" t="str">
            <v>Approved by: Ralph Janes on 09/19/2013,  Extend 320' of 2in PE main to serve new commercial customers of Freddy's Frozen Custard &amp; Steakburgers and Summit Center Retail. Also, install a service line for Freddy's: 145' of 1in CTS with an AL 800 TC meter. 320' 2in PE Main extension (WO# 13-2988) should be constructed in conjunction with with wo# 13-2987. Freddy's has been approved for 2 psig elevated delivery pressure.</v>
          </cell>
          <cell r="L1984">
            <v>41586</v>
          </cell>
          <cell r="M1984">
            <v>41696</v>
          </cell>
          <cell r="N1984">
            <v>41698.505289351902</v>
          </cell>
          <cell r="O1984">
            <v>41730</v>
          </cell>
          <cell r="P1984" t="str">
            <v>0901-043021  JACKSON CTY/LEE'S SUMMIT OFFIC</v>
          </cell>
          <cell r="Q1984">
            <v>3652.54</v>
          </cell>
          <cell r="R1984">
            <v>873</v>
          </cell>
        </row>
        <row r="1985">
          <cell r="A1985" t="str">
            <v>005532</v>
          </cell>
          <cell r="B1985" t="str">
            <v>LDC 2</v>
          </cell>
          <cell r="D1985" t="str">
            <v>no</v>
          </cell>
          <cell r="E1985" t="str">
            <v>20601143627</v>
          </cell>
          <cell r="F1985" t="str">
            <v>F0639</v>
          </cell>
          <cell r="G1985" t="str">
            <v>EGM Equip-1st Time Installation</v>
          </cell>
          <cell r="H1985" t="str">
            <v>EGM - Bela Flora Nurseries Carthage</v>
          </cell>
          <cell r="I1985" t="str">
            <v>posted to CPR</v>
          </cell>
          <cell r="J1985" t="str">
            <v>EGM - Bela Flora Nurseries Carthage: Carthage: Install EGM Equipment - First Time Installation  3850 (32-403)</v>
          </cell>
          <cell r="K1985" t="str">
            <v>Approved by: Rob Kitterman on 06/17/2014,  Install Mercury MiniAT-PT w/ Messenger Modem on Roots meter to monitor daily gas usage of this transportation customer. Customer will reimburse company actual cost for EGM installation not to exceed $5,445.00, which should be coded to account 1072. ATTENTION: Plant &amp; Property Accounting, EGM work order, turn off A&amp;G indicator.</v>
          </cell>
          <cell r="L1985">
            <v>42443</v>
          </cell>
          <cell r="M1985">
            <v>42491</v>
          </cell>
          <cell r="N1985">
            <v>42528.313194444403</v>
          </cell>
          <cell r="O1985">
            <v>42430</v>
          </cell>
          <cell r="P1985" t="str">
            <v>0601-044025  JASPER CTY/CARTHAGE</v>
          </cell>
          <cell r="Q1985">
            <v>-295.74</v>
          </cell>
          <cell r="R1985">
            <v>17</v>
          </cell>
        </row>
        <row r="1986">
          <cell r="A1986" t="str">
            <v>010516</v>
          </cell>
          <cell r="B1986" t="str">
            <v>LDC 2</v>
          </cell>
          <cell r="D1986" t="str">
            <v>no</v>
          </cell>
          <cell r="F1986" t="str">
            <v>F0639</v>
          </cell>
          <cell r="G1986" t="str">
            <v>EGM Equip-1st Time Installation</v>
          </cell>
          <cell r="H1986" t="str">
            <v>EGM - Pennington Seed Company</v>
          </cell>
          <cell r="I1986" t="str">
            <v>open</v>
          </cell>
          <cell r="J1986" t="str">
            <v>Install Mercury MiniMax-AT-PT Corrector for Pennington Seed Company at 303 Grand St in Greenfield  to monitor daily gas usage of this transportation customer. Customer will reimburse company actual cost for EGM installation.</v>
          </cell>
          <cell r="P1986" t="str">
            <v>0607-025005  DADE CTY/GREENFIELD</v>
          </cell>
          <cell r="Q1986">
            <v>2487.0500000000002</v>
          </cell>
          <cell r="R1986">
            <v>9</v>
          </cell>
        </row>
        <row r="1987">
          <cell r="A1987" t="str">
            <v>011357</v>
          </cell>
          <cell r="B1987" t="str">
            <v>LDC 2</v>
          </cell>
          <cell r="D1987" t="str">
            <v>no</v>
          </cell>
          <cell r="F1987" t="str">
            <v>F0538</v>
          </cell>
          <cell r="G1987" t="str">
            <v>Other Communication Costs</v>
          </cell>
          <cell r="H1987" t="str">
            <v>Repl CWM RTU &amp; Trasmttrs TWA DRS</v>
          </cell>
          <cell r="I1987" t="str">
            <v>in service</v>
          </cell>
          <cell r="J1987" t="str">
            <v>Revision #1 = Purch Control Wave Micro RTU, 2 Rosemount Pressure Transmitters &amp; Cellular modem for DRS 336 (TWA) at 112th st &amp; Hwy I-29.  Revision #2 description is listed below in the "Notes" section.</v>
          </cell>
          <cell r="K1987" t="str">
            <v>To replace equipment damaged beyond repair due to heavy rain and flooding from recent storm. Note - this is replacing eqpt purchased under WO 009513. Requested by Matt Taylor 5-31-16.  Revision #2 = Plus one RTU:Bristol CWMicro, two Pressure Transmitters, two additional Rosemount Transmitters, RTU Enclosure, MGE Labor, and Contract Material &amp; Labor.  Requested by Matt Taylor 1-25-17.</v>
          </cell>
          <cell r="L1987">
            <v>42705</v>
          </cell>
          <cell r="O1987">
            <v>42736</v>
          </cell>
          <cell r="P1987" t="str">
            <v>1251-075010  PLATTE CTY/KANSAS CITY NORTH</v>
          </cell>
          <cell r="Q1987">
            <v>1147.83</v>
          </cell>
          <cell r="R1987">
            <v>0</v>
          </cell>
        </row>
        <row r="1988">
          <cell r="A1988" t="str">
            <v>006350</v>
          </cell>
          <cell r="B1988" t="str">
            <v>LDC 2</v>
          </cell>
          <cell r="D1988" t="str">
            <v>no</v>
          </cell>
          <cell r="E1988" t="str">
            <v>21251143511</v>
          </cell>
          <cell r="F1988" t="str">
            <v>F0610</v>
          </cell>
          <cell r="G1988" t="str">
            <v>New business</v>
          </cell>
          <cell r="H1988" t="str">
            <v>Clubhouse The Retreat at Tiffany Wo</v>
          </cell>
          <cell r="I1988" t="str">
            <v>posted to CPR</v>
          </cell>
          <cell r="J1988" t="str">
            <v>Clubhouse The Retreat at Tiffany Woods: Kansas City-Platte Co: New Main Extension - Contractor Crews  3760 (33-380)</v>
          </cell>
          <cell r="K1988" t="str">
            <v>Approved by: Kevin Driskell on 07/29/2014,  LAY 908'-4" PLEXCO TO SERVE CLUB HOUSE w/GAS GRILL, POOL HEATER &amp; 2 FIREPLACES.  ONE WAY FEED.  908'-75'=833' x $8.50=$7,080.50.  DEVELOPER TO CONTRIBUTE $7,080.50 BEFORE START OF PROJECT.  COST PER FOOT=$23.93</v>
          </cell>
          <cell r="L1988">
            <v>41990</v>
          </cell>
          <cell r="M1988">
            <v>42063</v>
          </cell>
          <cell r="N1988">
            <v>42160.553553240701</v>
          </cell>
          <cell r="O1988">
            <v>41974</v>
          </cell>
          <cell r="P1988" t="str">
            <v>1251-075010  PLATTE CTY/KANSAS CITY NORTH</v>
          </cell>
          <cell r="Q1988">
            <v>18292.93</v>
          </cell>
          <cell r="R1988">
            <v>-1928</v>
          </cell>
        </row>
        <row r="1989">
          <cell r="A1989" t="str">
            <v>004251</v>
          </cell>
          <cell r="B1989" t="str">
            <v>LDC 2</v>
          </cell>
          <cell r="D1989" t="str">
            <v>no</v>
          </cell>
          <cell r="E1989" t="str">
            <v>21251132492</v>
          </cell>
          <cell r="F1989" t="str">
            <v>F0610</v>
          </cell>
          <cell r="G1989" t="str">
            <v>New business</v>
          </cell>
          <cell r="H1989" t="str">
            <v>TIFFANY WOODS AT ROSE CREEK-2 Lay 5</v>
          </cell>
          <cell r="I1989" t="str">
            <v>posted to CPR</v>
          </cell>
          <cell r="J1989" t="str">
            <v>TIFFANY WOODS AT ROSE CREEK-2 Lay 542'-2in PE main: Kansas City-Platte Co: NW 93RD ST &amp; NW 92ND TER</v>
          </cell>
          <cell r="K1989" t="str">
            <v>Approved by: Kevin Driskell on 10/02/2013,  LAYING 542'- 2" PLEXCO IN ORDER TO SERVE 14 LOTS.  LOTS 73-86.  CONTACT PATRICIA KOEB AT 816-472-3485 (2 FULL WEEKS BEFORE START OF PROJECT); SO DEVELOPER CAN BE CONTACTED TO MAKE SURE WATER IS ALREADY IN.  2 WAY FEED.  COST PER FOOT=$15.84  542' x $8.50=$4,607.00  DEVELOPER TO CONTRIBUTE $4,607.00 BEFORE START OF PROJECT.</v>
          </cell>
          <cell r="L1989">
            <v>41572</v>
          </cell>
          <cell r="M1989">
            <v>41626</v>
          </cell>
          <cell r="N1989">
            <v>41627.582893518498</v>
          </cell>
          <cell r="O1989">
            <v>41730</v>
          </cell>
          <cell r="P1989" t="str">
            <v>1251-075013  PLATTE CTY/KANSAS CITY NORTH</v>
          </cell>
          <cell r="Q1989">
            <v>2583.0500000000002</v>
          </cell>
          <cell r="R1989">
            <v>1456</v>
          </cell>
        </row>
        <row r="1990">
          <cell r="A1990" t="str">
            <v>800039</v>
          </cell>
          <cell r="B1990" t="str">
            <v>LDC 2</v>
          </cell>
          <cell r="C1990" t="str">
            <v>01 - Cast Iron Strategic Replacement</v>
          </cell>
          <cell r="D1990" t="str">
            <v>yes</v>
          </cell>
          <cell r="F1990" t="str">
            <v>F0599</v>
          </cell>
          <cell r="G1990" t="str">
            <v>Main Replacement - ISRS (N)</v>
          </cell>
          <cell r="H1990" t="str">
            <v>Pickett Rd and 29th St - Main Repla</v>
          </cell>
          <cell r="I1990" t="str">
            <v>in service</v>
          </cell>
          <cell r="J1990" t="str">
            <v>Install 6439' of 2'' PE and 3027' of 4'' PE. Abandon 230' of 2'' PL, 220' of 2’’ ST, 28’ of 4’’ PL, 4024’ of 4’’ STL, 4944’ of 6’’ CI, 320’ of 6’’ STL. Existing PE main in the project area will be uprated.</v>
          </cell>
          <cell r="K1990" t="str">
            <v>FY16 Main replacement program for St. Joseph, MO</v>
          </cell>
          <cell r="L1990">
            <v>42614</v>
          </cell>
          <cell r="O1990">
            <v>42614</v>
          </cell>
          <cell r="P1990" t="str">
            <v>1001-010001  ST. JOSEPH CITY/BUCHANAN</v>
          </cell>
          <cell r="Q1990">
            <v>803249.3</v>
          </cell>
          <cell r="R1990">
            <v>-10227.5</v>
          </cell>
        </row>
        <row r="1991">
          <cell r="A1991" t="str">
            <v>004149</v>
          </cell>
          <cell r="B1991" t="str">
            <v>LDC 2</v>
          </cell>
          <cell r="D1991" t="str">
            <v>yes</v>
          </cell>
          <cell r="E1991" t="str">
            <v>21001050362</v>
          </cell>
          <cell r="F1991" t="str">
            <v>F0562</v>
          </cell>
          <cell r="G1991" t="str">
            <v>SLRP - block by block - company cre</v>
          </cell>
          <cell r="H1991" t="str">
            <v>BWO SERVICE LINE REPL BLOCK COMPANY</v>
          </cell>
          <cell r="I1991" t="str">
            <v>open</v>
          </cell>
          <cell r="J1991" t="str">
            <v>BWO SERVICE LINE REPL BLOCK COMPANY</v>
          </cell>
          <cell r="K1991" t="str">
            <v>Project Type:B</v>
          </cell>
          <cell r="O1991">
            <v>42248</v>
          </cell>
          <cell r="P1991" t="str">
            <v>1001-010001  ST. JOSEPH CITY/BUCHANAN</v>
          </cell>
          <cell r="Q1991">
            <v>165.12</v>
          </cell>
          <cell r="R1991">
            <v>4</v>
          </cell>
        </row>
        <row r="1992">
          <cell r="A1992" t="str">
            <v>005466</v>
          </cell>
          <cell r="B1992" t="str">
            <v>LDC 2</v>
          </cell>
          <cell r="D1992" t="str">
            <v>yes</v>
          </cell>
          <cell r="E1992" t="str">
            <v>21001143532</v>
          </cell>
          <cell r="F1992" t="str">
            <v>F0504</v>
          </cell>
          <cell r="G1992" t="str">
            <v>Replace bare steel main - safety re</v>
          </cell>
          <cell r="H1992" t="str">
            <v>Spratt Ave Repl PBS w 454'- 2in PE</v>
          </cell>
          <cell r="I1992" t="str">
            <v>posted to CPR</v>
          </cell>
          <cell r="J1992" t="str">
            <v>Spratt Ave Repl PBS w 454'- 2in PE main: St Joseph: Replace Bare Steel Main - 3760 Safety Related (34-394)</v>
          </cell>
          <cell r="K1992" t="str">
            <v>Approved by: Gary Williams on 06/10/2014,  Replace PBS due to down project</v>
          </cell>
          <cell r="L1992">
            <v>41851</v>
          </cell>
          <cell r="M1992">
            <v>41913</v>
          </cell>
          <cell r="N1992">
            <v>42012.316874999997</v>
          </cell>
          <cell r="O1992">
            <v>41852</v>
          </cell>
          <cell r="P1992" t="str">
            <v>1001-010001  ST. JOSEPH CITY/BUCHANAN</v>
          </cell>
          <cell r="Q1992">
            <v>6615.52</v>
          </cell>
          <cell r="R1992">
            <v>-893</v>
          </cell>
        </row>
        <row r="1993">
          <cell r="A1993" t="str">
            <v>006714</v>
          </cell>
          <cell r="B1993" t="str">
            <v>LDC 2</v>
          </cell>
          <cell r="D1993" t="str">
            <v>yes</v>
          </cell>
          <cell r="E1993" t="str">
            <v>21001143881</v>
          </cell>
          <cell r="F1993" t="str">
            <v>F0587</v>
          </cell>
          <cell r="G1993" t="str">
            <v>Services - 2" &amp; larger</v>
          </cell>
          <cell r="H1993" t="str">
            <v>Replace 1 1/4 plastic with 2in PE</v>
          </cell>
          <cell r="I1993" t="str">
            <v>posted to CPR</v>
          </cell>
          <cell r="J1993" t="str">
            <v>Replace 1 1/4 plastic with 2in PE: 016-016: Replace Services 2&amp;quot; &amp; Larger - 3800 (42-385)</v>
          </cell>
          <cell r="K1993" t="str">
            <v>Approved by: Gary Williams on 10/20/2014,  REPLACE 1 1/4 PE SERVICE WITH 2 IN PE DUE TO CUSOTMER ADDING A BOILER LOAD 6,050 CFH). ECONOMIC EVALUATION WILL COVER COST OF PROJECT.</v>
          </cell>
          <cell r="L1993">
            <v>41933</v>
          </cell>
          <cell r="M1993">
            <v>42248</v>
          </cell>
          <cell r="N1993">
            <v>42274.592685185198</v>
          </cell>
          <cell r="O1993">
            <v>41913</v>
          </cell>
          <cell r="P1993" t="str">
            <v>1001-010001  ST. JOSEPH CITY/BUCHANAN</v>
          </cell>
          <cell r="Q1993">
            <v>717.69</v>
          </cell>
          <cell r="R1993">
            <v>-792</v>
          </cell>
        </row>
        <row r="1994">
          <cell r="A1994" t="str">
            <v>004885</v>
          </cell>
          <cell r="B1994" t="str">
            <v>LDC 2</v>
          </cell>
          <cell r="D1994" t="str">
            <v>no</v>
          </cell>
          <cell r="E1994" t="str">
            <v>20901132731</v>
          </cell>
          <cell r="F1994" t="str">
            <v>F0507</v>
          </cell>
          <cell r="G1994" t="str">
            <v>Rebuild Meter Install 2'' &amp; Lg (S)</v>
          </cell>
          <cell r="H1994" t="str">
            <v>Unity Village 5M rotary rebuild</v>
          </cell>
          <cell r="I1994" t="str">
            <v>completed</v>
          </cell>
          <cell r="J1994" t="str">
            <v>Unity Village 5M rotary rebuild: Lees Summit: Replace Meter &amp; Reg 2in &amp; Larger - 3820/3830 (32-404)  Reimbursable.</v>
          </cell>
          <cell r="K1994" t="str">
            <v>Approved by: Ralph Janes on 10/03/2013,  Rebuild a 5M rotary meter set for Unity Village. The existing meter set (meter# 8264355 WO# 82-0732) is in conflict with the improvement to NW Blue Parkway and Colbern Road. Because the main that serves this meter set is in an easement, the rebuild of the meter set is reimbursable. This is a transportation customer with outdated EGM equipment. We will upgrade the EGM equipment at our cost on WO# 13-2308, but the labor to program and move the required electric line is included on the meter set work order. Main to be relocated on WO# 13-2732.
Check received 3-28-14 per WOES</v>
          </cell>
          <cell r="L1994">
            <v>41775</v>
          </cell>
          <cell r="M1994">
            <v>42216</v>
          </cell>
          <cell r="O1994">
            <v>41791</v>
          </cell>
          <cell r="P1994" t="str">
            <v>0901-043021  JACKSON CTY/LEE'S SUMMIT OFFIC</v>
          </cell>
          <cell r="Q1994">
            <v>2584.6999999999998</v>
          </cell>
          <cell r="R1994">
            <v>-603</v>
          </cell>
        </row>
        <row r="1995">
          <cell r="A1995" t="str">
            <v>007574</v>
          </cell>
          <cell r="B1995" t="str">
            <v>LDC 2</v>
          </cell>
          <cell r="D1995" t="str">
            <v>no</v>
          </cell>
          <cell r="E1995" t="str">
            <v>21251143812</v>
          </cell>
          <cell r="F1995" t="str">
            <v>F0547</v>
          </cell>
          <cell r="G1995" t="str">
            <v>Street &amp; Highway Relocates ISRS (N)</v>
          </cell>
          <cell r="H1995" t="str">
            <v>4in PE Relocation (Reimb)</v>
          </cell>
          <cell r="I1995" t="str">
            <v>posted to CPR</v>
          </cell>
          <cell r="J1995" t="str">
            <v>4in PE Relocation: Kansas City-Platte Co: Relocate for Street &amp; Highway-Public Improvements (44-388)</v>
          </cell>
          <cell r="K1995" t="str">
            <v>Approved by: Gary Williams on 02/03/2015,  TIF Project. Relocate 4'' (1420') PE for public improvement. Part of the relocation (approximately 795' of 4'' PE) is in easement and we are moving to R/W ($29,589.58). Pressure system S-659. Check for $29859.58 rec'd 2-2-15 per WOES.</v>
          </cell>
          <cell r="L1995">
            <v>42081</v>
          </cell>
          <cell r="M1995">
            <v>42094</v>
          </cell>
          <cell r="N1995">
            <v>42223.566944444399</v>
          </cell>
          <cell r="O1995">
            <v>42064</v>
          </cell>
          <cell r="P1995" t="str">
            <v>1251-075010  PLATTE CTY/KANSAS CITY NORTH</v>
          </cell>
          <cell r="Q1995">
            <v>6755.6</v>
          </cell>
          <cell r="R1995">
            <v>-508</v>
          </cell>
        </row>
        <row r="1996">
          <cell r="A1996" t="str">
            <v>800224</v>
          </cell>
          <cell r="B1996" t="str">
            <v>LDC 2</v>
          </cell>
          <cell r="C1996" t="str">
            <v>03 - Bare Steel Replacement</v>
          </cell>
          <cell r="D1996" t="str">
            <v>yes</v>
          </cell>
          <cell r="F1996" t="str">
            <v>F0599</v>
          </cell>
          <cell r="G1996" t="str">
            <v>Main Replacement - ISRS (N)</v>
          </cell>
          <cell r="H1996" t="str">
            <v>Repl w 2710F 20S Hwy291MoRiver Nort</v>
          </cell>
          <cell r="I1996" t="str">
            <v>open</v>
          </cell>
          <cell r="J1996" t="str">
            <v>Install 20’ of 2in STL, 20’ of 8in STL, 20’ of 12in STL, 2710' of 20in STL along Hwy 291 at the Missouri River Crossing- North Phase.  Abandon 2402’ of 8in STL at same location.</v>
          </cell>
          <cell r="K1996" t="str">
            <v>Main replacement project North phase.
ISRS recoverable</v>
          </cell>
          <cell r="P1996" t="str">
            <v>1241-020001  CLAY CTY/LIBERTY</v>
          </cell>
          <cell r="Q1996">
            <v>1685388.24</v>
          </cell>
          <cell r="R1996">
            <v>60131</v>
          </cell>
        </row>
        <row r="1997">
          <cell r="A1997" t="str">
            <v>005687</v>
          </cell>
          <cell r="B1997" t="str">
            <v>LDC 2</v>
          </cell>
          <cell r="D1997" t="str">
            <v>yes</v>
          </cell>
          <cell r="E1997" t="str">
            <v>21274143634</v>
          </cell>
          <cell r="F1997" t="str">
            <v>F0547</v>
          </cell>
          <cell r="G1997" t="str">
            <v>Street &amp; Highway Relocates ISRS (N)</v>
          </cell>
          <cell r="H1997" t="str">
            <v>56th Terr Reloc 20'-2in CS main</v>
          </cell>
          <cell r="I1997" t="str">
            <v>posted to CPR</v>
          </cell>
          <cell r="J1997" t="str">
            <v>56th Terr Reloc 20'-2in CS main: Gladstone: Relocate for Street &amp; Highway-Public Improvements (44-388)</v>
          </cell>
          <cell r="K1997" t="str">
            <v>Approved by: Kevin Driskell on 07/11/2014,  ISRS Relocate main for public improvement project. Pressure System C-006. Coordinate with Engineering prior to construction.</v>
          </cell>
          <cell r="L1997">
            <v>41870</v>
          </cell>
          <cell r="M1997">
            <v>42248</v>
          </cell>
          <cell r="N1997">
            <v>42284.721898148098</v>
          </cell>
          <cell r="O1997">
            <v>41852</v>
          </cell>
          <cell r="P1997" t="str">
            <v>1274-020045  CLAY CTY/GLADSTONE</v>
          </cell>
          <cell r="Q1997">
            <v>3596.98</v>
          </cell>
          <cell r="R1997">
            <v>-32.5</v>
          </cell>
        </row>
        <row r="1998">
          <cell r="A1998" t="str">
            <v>006731</v>
          </cell>
          <cell r="B1998" t="str">
            <v>LDC 2</v>
          </cell>
          <cell r="D1998" t="str">
            <v>no</v>
          </cell>
          <cell r="E1998" t="str">
            <v>20101143887</v>
          </cell>
          <cell r="F1998" t="str">
            <v>F0529</v>
          </cell>
          <cell r="G1998" t="str">
            <v>Meter Purchases - MGE</v>
          </cell>
          <cell r="H1998" t="str">
            <v>Pur 400,800 and 1000 Class Meters 2</v>
          </cell>
          <cell r="I1998" t="str">
            <v>posted to CPR</v>
          </cell>
          <cell r="J1998" t="str">
            <v>Pur 400,800 and 1000 Class Meters 2015 : Kansas City CORP: Purchase Domestic Diaphragm  Meters - 3810 (32-398)</v>
          </cell>
          <cell r="K1998" t="str">
            <v>Approved by: Steve Holcomb on 10/17/2014,  Purchase 400A Itron (0506103)800A (0506122) and 1000A (0506127) for 2015 stock. 
Complete per 3-15 meter report - AMM</v>
          </cell>
          <cell r="L1998">
            <v>42064</v>
          </cell>
          <cell r="M1998">
            <v>42186</v>
          </cell>
          <cell r="N1998">
            <v>42223.566539351901</v>
          </cell>
          <cell r="O1998">
            <v>42125</v>
          </cell>
          <cell r="P1998" t="str">
            <v>1904-043050  JACKSON CTY/KC</v>
          </cell>
          <cell r="Q1998">
            <v>179746.19</v>
          </cell>
          <cell r="R1998">
            <v>498</v>
          </cell>
        </row>
        <row r="1999">
          <cell r="A1999" t="str">
            <v>003881</v>
          </cell>
          <cell r="B1999" t="str">
            <v>LDC 2</v>
          </cell>
          <cell r="D1999" t="str">
            <v>no</v>
          </cell>
          <cell r="E1999" t="str">
            <v>21904133073</v>
          </cell>
          <cell r="F1999" t="str">
            <v>F0529</v>
          </cell>
          <cell r="G1999" t="str">
            <v>Meter Purchases - MGE</v>
          </cell>
          <cell r="H1999" t="str">
            <v>Pur 2000 AC250-TC Am Meters Jan 201</v>
          </cell>
          <cell r="I1999" t="str">
            <v>posted to CPR</v>
          </cell>
          <cell r="J1999" t="str">
            <v>Pur 2000 AC250-TC Am Meters Jan 2014: Kansas City CORP: Central Plant Meter Shop</v>
          </cell>
          <cell r="K1999" t="str">
            <v>Approved by: Steve Lindsey on 11/18/2013,  This work order is for new domestic meters to be delivered January 2014. Retirement unit # 73003086</v>
          </cell>
          <cell r="L1999">
            <v>41641</v>
          </cell>
          <cell r="M1999">
            <v>41944</v>
          </cell>
          <cell r="N1999">
            <v>41978.5925347222</v>
          </cell>
          <cell r="O1999">
            <v>41883</v>
          </cell>
          <cell r="P1999" t="str">
            <v>1904-043050  JACKSON CTY/KC</v>
          </cell>
          <cell r="Q1999">
            <v>112975.38</v>
          </cell>
          <cell r="R1999">
            <v>10000</v>
          </cell>
        </row>
        <row r="2000">
          <cell r="A2000" t="str">
            <v>004384</v>
          </cell>
          <cell r="B2000" t="str">
            <v>LDC 2</v>
          </cell>
          <cell r="D2000" t="str">
            <v>no</v>
          </cell>
          <cell r="E2000" t="str">
            <v>21271132464</v>
          </cell>
          <cell r="F2000" t="str">
            <v>F0498</v>
          </cell>
          <cell r="G2000" t="str">
            <v>Other relocates</v>
          </cell>
          <cell r="H2000" t="str">
            <v>NW ENGLEWOOD RD Reloc 310'-2in PE m</v>
          </cell>
          <cell r="I2000" t="str">
            <v>posted to CPR</v>
          </cell>
          <cell r="J2000" t="str">
            <v>NW ENGLEWOOD RD Reloc 310'-2in PE main: Kansas City-Clay Co: NW ENGLEWOOD RD &amp; 169 HWY</v>
          </cell>
          <cell r="K2000" t="str">
            <v>Approved by: Gary Williams on 07/11/2013,  RELOCATE 252'-2in PLEXCO DUE TO RELOCATION OF QUIKTRIP &amp; CANOPY AREA. New 2in PE main will be installed in easement.  'RELOCATION CONTRACT' TO BE SENT TO QUIKTRIP. COST PER FOOT=$69.63  CUSTOMER TO CONTRIBUTE $17,546.98 BEFORE START OF PROJECT.</v>
          </cell>
          <cell r="L2000">
            <v>41523</v>
          </cell>
          <cell r="M2000">
            <v>41626</v>
          </cell>
          <cell r="N2000">
            <v>41627.582812499997</v>
          </cell>
          <cell r="P2000" t="str">
            <v>1271-020036  CLAY CTY/KANSAS CITY</v>
          </cell>
          <cell r="Q2000">
            <v>1507.39</v>
          </cell>
          <cell r="R2000">
            <v>1077</v>
          </cell>
        </row>
        <row r="2001">
          <cell r="A2001" t="str">
            <v>800986</v>
          </cell>
          <cell r="B2001" t="str">
            <v>LDC 2</v>
          </cell>
          <cell r="D2001" t="str">
            <v>no</v>
          </cell>
          <cell r="F2001" t="str">
            <v>F0673</v>
          </cell>
          <cell r="G2001" t="str">
            <v>New Main Extensions (S)</v>
          </cell>
          <cell r="H2001" t="str">
            <v>Install 245F 4P Davis Main Ext</v>
          </cell>
          <cell r="I2001" t="str">
            <v>in service</v>
          </cell>
          <cell r="J2001" t="str">
            <v>Install ~245 Ft of 4" PL MP Main New Business Main Extension to Serve 1 Residential Lot This project was originally created on project 800941 - task 15384838.</v>
          </cell>
          <cell r="K2001" t="str">
            <v>This is a request for a Main Extension required for a residential service. A work order has already been created for the Service Line: 15335965. Need to link up the accounts.  Submitted for 5 day review. An error in the Location ID forced us to cancel that work order and create this one. South Region operations is responsible for all work in the portion of the City of Kansas City that lies East of the City of Raytown.  We have used the Location ID for the City of Kansas City for this project as the asset will be in the City of Kansas City for property accounting purposes but the Funding Project number and the Department ID should be South Region.  South Region crews will install the main and the money should hit the South Region capital budget.</v>
          </cell>
          <cell r="L2001">
            <v>42696</v>
          </cell>
          <cell r="O2001">
            <v>42705</v>
          </cell>
          <cell r="P2001" t="str">
            <v>0401-043050  JACKSON CTY/KC</v>
          </cell>
          <cell r="Q2001">
            <v>6540.54</v>
          </cell>
          <cell r="R2001">
            <v>-738.5</v>
          </cell>
        </row>
        <row r="2002">
          <cell r="A2002" t="str">
            <v>800899</v>
          </cell>
          <cell r="B2002" t="str">
            <v>LDC 2</v>
          </cell>
          <cell r="C2002" t="str">
            <v>02 - Cast Iron AOR Replacement</v>
          </cell>
          <cell r="D2002" t="str">
            <v>yes</v>
          </cell>
          <cell r="F2002" t="str">
            <v>F0599</v>
          </cell>
          <cell r="G2002" t="str">
            <v>Main Replacement - ISRS (N)</v>
          </cell>
          <cell r="H2002" t="str">
            <v>Repl w 175F 2P 2722 Raytown Rd</v>
          </cell>
          <cell r="I2002" t="str">
            <v>open</v>
          </cell>
          <cell r="J2002" t="str">
            <v>Install ~175 ft of 2 in PL LP main at 2722 Raytown Rd.</v>
          </cell>
          <cell r="K2002" t="str">
            <v>Retire ~175 ft of 6 in CI LP main.  Total Service Tie-overs = 3. This work is being done due to cast iron pipe being in angle-of-repose.  This has a compliance date of 12/20/2016.</v>
          </cell>
          <cell r="P2002" t="str">
            <v>0401-043050  JACKSON CTY/KC</v>
          </cell>
          <cell r="Q2002">
            <v>2100.5500000000002</v>
          </cell>
          <cell r="R2002">
            <v>-842</v>
          </cell>
        </row>
        <row r="2003">
          <cell r="A2003" t="str">
            <v>011497</v>
          </cell>
          <cell r="B2003" t="str">
            <v>LDC 2</v>
          </cell>
          <cell r="D2003" t="str">
            <v>no</v>
          </cell>
          <cell r="F2003" t="str">
            <v>F0538</v>
          </cell>
          <cell r="G2003" t="str">
            <v>Other Communication Costs</v>
          </cell>
          <cell r="H2003" t="str">
            <v>Purch 40 Airlink Raven RV50 Modems</v>
          </cell>
          <cell r="I2003" t="str">
            <v>in service</v>
          </cell>
          <cell r="J2003" t="str">
            <v>Purchase 40 Eagle Research Airlink Raven RV50 modems to replace the obsolete modems in the Eagle XARTU electronic charts.</v>
          </cell>
          <cell r="K2003" t="str">
            <v>Per Kevin Adlard 6-14-16 Replacing modems purchased under WOES WO 10-7168 - will replace all over three year period.</v>
          </cell>
          <cell r="L2003">
            <v>42643</v>
          </cell>
          <cell r="O2003">
            <v>42614</v>
          </cell>
          <cell r="P2003" t="str">
            <v>0401-043050  JACKSON CTY/KC</v>
          </cell>
          <cell r="Q2003">
            <v>26677.21</v>
          </cell>
          <cell r="R2003">
            <v>40</v>
          </cell>
        </row>
        <row r="2004">
          <cell r="A2004" t="str">
            <v>800158</v>
          </cell>
          <cell r="B2004" t="str">
            <v>LDC 2</v>
          </cell>
          <cell r="C2004" t="str">
            <v>01 - Cast Iron Strategic Replacement</v>
          </cell>
          <cell r="D2004" t="str">
            <v>yes</v>
          </cell>
          <cell r="F2004" t="str">
            <v>F0599</v>
          </cell>
          <cell r="G2004" t="str">
            <v>Main Replacement - ISRS (N)</v>
          </cell>
          <cell r="H2004" t="str">
            <v>N Budd Park CI Repl Phase 1G IUI</v>
          </cell>
          <cell r="I2004" t="str">
            <v>open</v>
          </cell>
          <cell r="J2004" t="str">
            <v>Install 5063 Ft of 2 in and 580 Ft of 4 in PL IP main for N Budd Park Phase 1G. Abandon 570 Ft of 4 in CI, 506 Ft of 4 in ST, and 3993 Ft of 6 in CI LP main.</v>
          </cell>
          <cell r="K2004" t="str">
            <v>This main is being replaced as part of FY16 Cast Iron Replacement Program
Total Service Tie-over = 113; Total Service Abandoned = 15; Total Service Replace = 39; Total Service Upgrade = 0.</v>
          </cell>
          <cell r="P2004" t="str">
            <v>0401-043050  JACKSON CTY/KC</v>
          </cell>
          <cell r="Q2004">
            <v>30.73</v>
          </cell>
          <cell r="R2004">
            <v>5069</v>
          </cell>
        </row>
        <row r="2005">
          <cell r="A2005" t="str">
            <v>010416</v>
          </cell>
          <cell r="B2005" t="str">
            <v>LDC 2</v>
          </cell>
          <cell r="D2005" t="str">
            <v>no</v>
          </cell>
          <cell r="F2005" t="str">
            <v>F1071</v>
          </cell>
          <cell r="G2005" t="str">
            <v>MGE Misc Capital</v>
          </cell>
          <cell r="H2005" t="str">
            <v>KC Central- Air compressor</v>
          </cell>
          <cell r="I2005" t="str">
            <v>in service</v>
          </cell>
          <cell r="J2005" t="str">
            <v>Purchase Industrial Gold Air Compressor Model# CI523E80V to be used by weld shop and building mtce - replacing existing unit.</v>
          </cell>
          <cell r="L2005">
            <v>42430</v>
          </cell>
          <cell r="O2005">
            <v>42430</v>
          </cell>
          <cell r="P2005" t="str">
            <v>0401-043050  JACKSON CTY/KC</v>
          </cell>
          <cell r="Q2005">
            <v>1802.12</v>
          </cell>
          <cell r="R2005">
            <v>50131</v>
          </cell>
        </row>
        <row r="2006">
          <cell r="A2006" t="str">
            <v>800156</v>
          </cell>
          <cell r="B2006" t="str">
            <v>LDC 2</v>
          </cell>
          <cell r="C2006" t="str">
            <v>01 - Cast Iron Strategic Replacement</v>
          </cell>
          <cell r="D2006" t="str">
            <v>yes</v>
          </cell>
          <cell r="F2006" t="str">
            <v>F0599</v>
          </cell>
          <cell r="G2006" t="str">
            <v>Main Replacement - ISRS (N)</v>
          </cell>
          <cell r="H2006" t="str">
            <v>N Budd Park CI Grid Repl Phase 1E</v>
          </cell>
          <cell r="I2006" t="str">
            <v>open</v>
          </cell>
          <cell r="J2006" t="str">
            <v>Install 776 Ft of 4 in and 5771 Ft of 2 in PL IP main for N Budd Park Phase 1E.  Abandon 93 Ft of 2 in PL, 118 Ft of 2 in PBS, 1072 Ft of 4 in CI, 4470 Ft of 6 in CI, and 587 Ft  of 8 in CI LP main.</v>
          </cell>
          <cell r="K2006" t="str">
            <v>This main is being replaced as part of the FY16 Cast Iron Replacement Program.</v>
          </cell>
          <cell r="P2006" t="str">
            <v>0401-043050  JACKSON CTY/KC</v>
          </cell>
          <cell r="Q2006">
            <v>131785.5</v>
          </cell>
          <cell r="R2006">
            <v>-8000</v>
          </cell>
        </row>
        <row r="2007">
          <cell r="A2007" t="str">
            <v>007781</v>
          </cell>
          <cell r="B2007" t="str">
            <v>LDC 2</v>
          </cell>
          <cell r="D2007" t="str">
            <v>no</v>
          </cell>
          <cell r="E2007" t="str">
            <v>20401155174</v>
          </cell>
          <cell r="F2007" t="str">
            <v>F0639</v>
          </cell>
          <cell r="G2007" t="str">
            <v>EGM Equip-1st Time Installation</v>
          </cell>
          <cell r="H2007" t="str">
            <v>EGM - OneSteel Grinding Systems</v>
          </cell>
          <cell r="I2007" t="str">
            <v>in service</v>
          </cell>
          <cell r="J2007" t="str">
            <v>EGM - OneSteel Grinding Systems: Kansas City-Jackson: Install EGM Equipment - First Time Installation  3850 (32-403)</v>
          </cell>
          <cell r="K2007" t="str">
            <v>Approved by: Gary Williams on 03/03/2015,  Install Mercury Mini-AT-PT (S/N:                   ) with CNI-2 (S/N:                 ) on Roots Rotary 38M-125 ID meter no 00237622 to monitor daily gas usage of this transportation customer. Customer will reimburse company actual cost for EGM installation not to exceed $5,445.00, which should be coded to account 1072. ATTENTION: Plant &amp; Property Accounting, EGM work order, turn off A&amp;G indicator.</v>
          </cell>
          <cell r="L2007">
            <v>42443</v>
          </cell>
          <cell r="O2007">
            <v>42461</v>
          </cell>
          <cell r="P2007" t="str">
            <v>0401-043050  JACKSON CTY/KC</v>
          </cell>
          <cell r="Q2007">
            <v>3598.11</v>
          </cell>
          <cell r="R2007">
            <v>49</v>
          </cell>
        </row>
        <row r="2008">
          <cell r="A2008" t="str">
            <v>006597</v>
          </cell>
          <cell r="B2008" t="str">
            <v>LDC 2</v>
          </cell>
          <cell r="D2008" t="str">
            <v>yes</v>
          </cell>
          <cell r="E2008" t="str">
            <v>20401143816</v>
          </cell>
          <cell r="F2008" t="str">
            <v>F0599</v>
          </cell>
          <cell r="G2008" t="str">
            <v>Main Replacement - ISRS (N)</v>
          </cell>
          <cell r="H2008" t="str">
            <v>CI Replacement w/ 2,430ft-4in PE</v>
          </cell>
          <cell r="I2008" t="str">
            <v>posted to CPR</v>
          </cell>
          <cell r="J2008" t="str">
            <v>CI Replacement w/ 2,430ft-4in PE: Kansas City-Jackson: Replace Cast Iron Main - 3760 Safety Related (34-412)</v>
          </cell>
          <cell r="K2008" t="str">
            <v>Approved by: Steve Holcomb on 09/29/2014,  ISRS Replace 6in CI with 2,430 ft of 4in PE due to cast iron breaks.  This job must be completed by Jan. 13, 2015.  Tie-over 18 services. Replace 5 services.</v>
          </cell>
          <cell r="L2008">
            <v>41984</v>
          </cell>
          <cell r="M2008">
            <v>42248</v>
          </cell>
          <cell r="N2008">
            <v>42284.722476851901</v>
          </cell>
          <cell r="O2008">
            <v>41974</v>
          </cell>
          <cell r="P2008" t="str">
            <v>0401-043050  JACKSON CTY/KC</v>
          </cell>
          <cell r="Q2008">
            <v>132518.16</v>
          </cell>
          <cell r="R2008">
            <v>-2545.5</v>
          </cell>
        </row>
        <row r="2009">
          <cell r="A2009" t="str">
            <v>006596</v>
          </cell>
          <cell r="B2009" t="str">
            <v>LDC 2</v>
          </cell>
          <cell r="D2009" t="str">
            <v>yes</v>
          </cell>
          <cell r="E2009" t="str">
            <v>20401143804</v>
          </cell>
          <cell r="F2009" t="str">
            <v>F0587</v>
          </cell>
          <cell r="G2009" t="str">
            <v>Services - 2" &amp; larger</v>
          </cell>
          <cell r="H2009" t="str">
            <v>BLOUNT-REPLACEMENT SERVICE LINE</v>
          </cell>
          <cell r="I2009" t="str">
            <v>posted to CPR</v>
          </cell>
          <cell r="J2009" t="str">
            <v>BLOUNT-REPLACEMENT SERVICE LINE: Kansas City-Jackson: Replace Services 2&amp;quot; &amp; Larger - 3800 (42-385)</v>
          </cell>
          <cell r="K2009" t="str">
            <v>Approved by: Kevin Driskell on 09/29/2014,  Abandon 1 1/4'' PE Service and install 2'' PE service. This replacement is do to increased load.</v>
          </cell>
          <cell r="L2009">
            <v>42087</v>
          </cell>
          <cell r="M2009">
            <v>42248</v>
          </cell>
          <cell r="N2009">
            <v>42496.559976851902</v>
          </cell>
          <cell r="O2009">
            <v>42095</v>
          </cell>
          <cell r="P2009" t="str">
            <v>0401-043050  JACKSON CTY/KC</v>
          </cell>
          <cell r="Q2009">
            <v>2792.55</v>
          </cell>
          <cell r="R2009">
            <v>-516</v>
          </cell>
        </row>
        <row r="2010">
          <cell r="A2010" t="str">
            <v>005950</v>
          </cell>
          <cell r="B2010" t="str">
            <v>LDC 2</v>
          </cell>
          <cell r="D2010" t="str">
            <v>no</v>
          </cell>
          <cell r="E2010" t="str">
            <v>20401143707</v>
          </cell>
          <cell r="F2010" t="str">
            <v>F0538</v>
          </cell>
          <cell r="G2010" t="str">
            <v>Other Communication Costs</v>
          </cell>
          <cell r="H2010" t="str">
            <v>Surge Lead Kits for Watchdog II Uni</v>
          </cell>
          <cell r="I2010" t="str">
            <v>in service</v>
          </cell>
          <cell r="J2010" t="str">
            <v>Surge Lead Kits for Watchdog II Units: Kansas City-Jackson: Other Capital Communications 3970 (41-415)</v>
          </cell>
          <cell r="K2010" t="str">
            <v>Approved by: Steve Holcomb on 08/08/2014,  This work order is necessary to install a Surge Lead Kit for all Watchdog II units to protect these units from voltage surges and ligtning. These units will be retrofitted into the the existing Watchdog II box at each rectifier location throughout the company. All installations will be done by an outside contractor. Please reference quote # MGE72914 for pricing from Elecsys recieved on 7//29/2014. The Kit is all inclusive and no additional parts will be needed.</v>
          </cell>
          <cell r="L2010">
            <v>42643</v>
          </cell>
          <cell r="O2010">
            <v>42705</v>
          </cell>
          <cell r="P2010" t="str">
            <v>0401-043050  JACKSON CTY/KC</v>
          </cell>
          <cell r="Q2010">
            <v>211250.68</v>
          </cell>
          <cell r="R2010">
            <v>321341</v>
          </cell>
        </row>
        <row r="2011">
          <cell r="A2011" t="str">
            <v>005430</v>
          </cell>
          <cell r="B2011" t="str">
            <v>LDC 2</v>
          </cell>
          <cell r="D2011" t="str">
            <v>no</v>
          </cell>
          <cell r="E2011" t="str">
            <v>20401143598</v>
          </cell>
          <cell r="F2011" t="str">
            <v>F0670</v>
          </cell>
          <cell r="G2011" t="str">
            <v>Tools, Instruments &amp; Equipment (N)</v>
          </cell>
          <cell r="H2011" t="str">
            <v>PUR-2 DRESSER PARTS</v>
          </cell>
          <cell r="I2011" t="str">
            <v>posted to CPR</v>
          </cell>
          <cell r="J2011" t="str">
            <v>PUR-2 DRESSER PARTS : Kansas City-Jackson: Purchase Tools, Instruments &amp; Equipment  3940 (37-366)</v>
          </cell>
          <cell r="K2011" t="str">
            <v>Approved by: Gary Williams on 06/05/2014,  PURCHASE-2 DRESSER PARTS (07010005001) W/FIPS QUICK CONN &amp; DUST COVERS. WILL BE USED BY THE C&amp;M  CREWS AT CENTRAL TO INSTALL POSI-HOLD FITTINGS.</v>
          </cell>
          <cell r="L2011">
            <v>41882</v>
          </cell>
          <cell r="M2011">
            <v>41857</v>
          </cell>
          <cell r="N2011">
            <v>42013.464560185203</v>
          </cell>
          <cell r="O2011">
            <v>41852</v>
          </cell>
          <cell r="P2011" t="str">
            <v>0401-043050  JACKSON CTY/KC</v>
          </cell>
          <cell r="Q2011">
            <v>1535.51</v>
          </cell>
          <cell r="R2011">
            <v>2</v>
          </cell>
        </row>
        <row r="2012">
          <cell r="A2012" t="str">
            <v>005552</v>
          </cell>
          <cell r="B2012" t="str">
            <v>LDC 2</v>
          </cell>
          <cell r="D2012" t="str">
            <v>no</v>
          </cell>
          <cell r="E2012" t="str">
            <v>20401133003</v>
          </cell>
          <cell r="F2012" t="str">
            <v>F0597</v>
          </cell>
          <cell r="G2012" t="str">
            <v>Other</v>
          </cell>
          <cell r="H2012" t="str">
            <v>Replace EGM - KC ATA</v>
          </cell>
          <cell r="I2012" t="str">
            <v>in service</v>
          </cell>
          <cell r="J2012" t="str">
            <v>Replace EGM - KC ATA: Kansas City-Jackson: Other Measurement Capital Expenses 3810/3820 (32-408)</v>
          </cell>
          <cell r="K2012" t="str">
            <v>Approved by: Rob Kitterman on 06/23/2014,  Replace EGM equipment at KC ATA with a new Mini-AT-PT, S/N: , &amp; CNI2 Modem. Existing meter is a Roots 23M rotary meter# 00732429. Retire the damaged ECAT, S/N:  on this WO as well.</v>
          </cell>
          <cell r="L2012">
            <v>42443</v>
          </cell>
          <cell r="O2012">
            <v>42430</v>
          </cell>
          <cell r="P2012" t="str">
            <v>0401-043050  JACKSON CTY/KC</v>
          </cell>
          <cell r="Q2012">
            <v>193.37</v>
          </cell>
          <cell r="R2012">
            <v>18</v>
          </cell>
        </row>
        <row r="2013">
          <cell r="A2013" t="str">
            <v>004518</v>
          </cell>
          <cell r="B2013" t="str">
            <v>LDC 2</v>
          </cell>
          <cell r="D2013" t="str">
            <v>no</v>
          </cell>
          <cell r="E2013" t="str">
            <v>20401132605</v>
          </cell>
          <cell r="F2013" t="str">
            <v>F0639</v>
          </cell>
          <cell r="G2013" t="str">
            <v>EGM Equip-1st Time Installation</v>
          </cell>
          <cell r="H2013" t="str">
            <v>EGM - Churchill Condominium Owners</v>
          </cell>
          <cell r="I2013" t="str">
            <v>posted to CPR</v>
          </cell>
          <cell r="J2013" t="str">
            <v>EGM - Churchill Condominium Owners Assoc: Kansas City-Jackson: 803 W 48th St., Kansas City, MO 64122</v>
          </cell>
          <cell r="K2013" t="str">
            <v>Approved by: Rob Kitterman on 04/12/2013,  Install Mercury MiniMax-AT-T on Roots 11M meter no 008458003 to monitor daily gas usage of this transportation customer. Customer will reimburse company actual cost for EGM installation not to exceed $5,445.00, which should be coded to account 1072. ATTENTION: Plant &amp; Property Accounting, EGM work order, turn off A&amp;G indicator.</v>
          </cell>
          <cell r="L2013">
            <v>41374</v>
          </cell>
          <cell r="M2013">
            <v>41575</v>
          </cell>
          <cell r="N2013">
            <v>41576.418599536999</v>
          </cell>
          <cell r="P2013" t="str">
            <v>0401-043050  JACKSON CTY/KC</v>
          </cell>
          <cell r="Q2013">
            <v>0</v>
          </cell>
          <cell r="R2013">
            <v>4</v>
          </cell>
        </row>
        <row r="2014">
          <cell r="A2014" t="str">
            <v>004548</v>
          </cell>
          <cell r="B2014" t="str">
            <v>LDC 2</v>
          </cell>
          <cell r="D2014" t="str">
            <v>no</v>
          </cell>
          <cell r="E2014" t="str">
            <v>20401133022</v>
          </cell>
          <cell r="F2014" t="str">
            <v>F0670</v>
          </cell>
          <cell r="G2014" t="str">
            <v>Tools, Instruments &amp; Equipment (N)</v>
          </cell>
          <cell r="H2014" t="str">
            <v>PUR 1 CHICAGO  PNEUMATIC SCABBLER</v>
          </cell>
          <cell r="I2014" t="str">
            <v>posted to CPR</v>
          </cell>
          <cell r="J2014" t="str">
            <v>PUR 1 CHICAGO  PNEUMATIC SCABBLER: Kansas City-Jackson: 7500 E 35TH TER</v>
          </cell>
          <cell r="K2014" t="str">
            <v>Approved by: Gary Williams on 09/26/2013,  PURCHASING-1 SCABBLER FOR THE C&amp;M CREWS AT CENTRAL. THIS TOOL USED TO CLEAN/PREPARE GAS MAINS FOR REPAIRS OR MAINTENANCE. RECEIVED QUOTES FROM HETRZ EQUIPMENT RENTAL $548.25,OHIO POWER TOOL $575.25 AND TOTAL TOOL $531.18. THIS IS NOT A REPLACEMENT TOOL.</v>
          </cell>
          <cell r="L2014">
            <v>41567</v>
          </cell>
          <cell r="M2014">
            <v>41626</v>
          </cell>
          <cell r="N2014">
            <v>41630.722199074102</v>
          </cell>
          <cell r="P2014" t="str">
            <v>0401-043050  JACKSON CTY/KC</v>
          </cell>
          <cell r="Q2014">
            <v>785.29</v>
          </cell>
          <cell r="R2014">
            <v>0</v>
          </cell>
        </row>
        <row r="2015">
          <cell r="A2015" t="str">
            <v>004255</v>
          </cell>
          <cell r="B2015" t="str">
            <v>LDC 2</v>
          </cell>
          <cell r="D2015" t="str">
            <v>yes</v>
          </cell>
          <cell r="E2015" t="str">
            <v>20401133238</v>
          </cell>
          <cell r="F2015" t="str">
            <v>F0613</v>
          </cell>
          <cell r="G2015" t="str">
            <v>Replace bare steel main - safety re</v>
          </cell>
          <cell r="H2015" t="str">
            <v>12th &amp; Denver Repl Copper w 70'-2in</v>
          </cell>
          <cell r="I2015" t="str">
            <v>posted to CPR</v>
          </cell>
          <cell r="J2015" t="str">
            <v>12th &amp; Denver Repl Copper w 70'-2in TF Steel Main: Kansas City-Jackson: 12th St and Denver</v>
          </cell>
          <cell r="K2015" t="str">
            <v>Approved by: Kevin Driskell on 12/31/2013,  ISRS. To abandon 60' of 1.5" CU main and replace with 70' of 2" TF main. Main is on the C-3 pressure system with a MOP=25psig and MAOP=25psig. See attached sheet for size, length, type, and work orders of main to be retired.</v>
          </cell>
          <cell r="L2015">
            <v>41692</v>
          </cell>
          <cell r="M2015">
            <v>41729</v>
          </cell>
          <cell r="N2015">
            <v>41733.495578703703</v>
          </cell>
          <cell r="O2015">
            <v>41730</v>
          </cell>
          <cell r="P2015" t="str">
            <v>0401-043050  JACKSON CTY/KC</v>
          </cell>
          <cell r="Q2015">
            <v>28039.16</v>
          </cell>
          <cell r="R2015">
            <v>69.8</v>
          </cell>
        </row>
        <row r="2016">
          <cell r="A2016" t="str">
            <v>004805</v>
          </cell>
          <cell r="B2016" t="str">
            <v>LDC 2</v>
          </cell>
          <cell r="D2016" t="str">
            <v>no</v>
          </cell>
          <cell r="E2016" t="str">
            <v>29200000000</v>
          </cell>
          <cell r="F2016" t="str">
            <v>F0738</v>
          </cell>
          <cell r="G2016" t="str">
            <v>A&amp;G Salaries - MGE</v>
          </cell>
          <cell r="H2016" t="str">
            <v>A&amp;G Salaries - MGE</v>
          </cell>
          <cell r="I2016" t="str">
            <v>open</v>
          </cell>
          <cell r="J2016" t="str">
            <v>A&amp;G Salaries - MGE</v>
          </cell>
          <cell r="P2016" t="str">
            <v>Expense Only</v>
          </cell>
          <cell r="Q2016">
            <v>11690607.24</v>
          </cell>
          <cell r="R2016">
            <v>251394.02</v>
          </cell>
        </row>
        <row r="2017">
          <cell r="A2017" t="str">
            <v>004680</v>
          </cell>
          <cell r="B2017" t="str">
            <v>LDC 2</v>
          </cell>
          <cell r="D2017" t="str">
            <v>no</v>
          </cell>
          <cell r="E2017" t="str">
            <v>218JOPREBSH</v>
          </cell>
          <cell r="F2017" t="str">
            <v>F0680</v>
          </cell>
          <cell r="G2017" t="str">
            <v>Regulatory Assets MGE</v>
          </cell>
          <cell r="H2017" t="str">
            <v>Reg Ast Eng Eff Jop SH Reb MG</v>
          </cell>
          <cell r="I2017" t="str">
            <v>open</v>
          </cell>
          <cell r="J2017" t="str">
            <v>Reg Ast Eng Eff Jop SH Reb MG</v>
          </cell>
          <cell r="P2017" t="str">
            <v>Expense Only</v>
          </cell>
          <cell r="Q2017">
            <v>11325</v>
          </cell>
          <cell r="R2017">
            <v>0</v>
          </cell>
        </row>
        <row r="2018">
          <cell r="A2018" t="str">
            <v>008535</v>
          </cell>
          <cell r="B2018" t="str">
            <v>LDC 2</v>
          </cell>
          <cell r="D2018" t="str">
            <v>no</v>
          </cell>
          <cell r="E2018" t="str">
            <v>20501155288</v>
          </cell>
          <cell r="F2018" t="str">
            <v>F0485</v>
          </cell>
          <cell r="G2018" t="str">
            <v>Tools, Instruments &amp; Equipment (SW)</v>
          </cell>
          <cell r="H2018" t="str">
            <v>Tools Purchase 4 Sensit G2 TC EX CO</v>
          </cell>
          <cell r="I2018" t="str">
            <v>in service</v>
          </cell>
          <cell r="J2018" t="str">
            <v>Tools Purchase 4 Sensit G2 TC EX CO for Joplin: Joplin: Purchase Tools, Instruments &amp; Equipment  3940 (37-366)</v>
          </cell>
          <cell r="K2018" t="str">
            <v>Approved by: Michael Fornelli on 05/20/2015,  Purchase 4 Sensit G2 TC EX/CO instruments for Joplin C&amp;M. Part#: 911-00000-52</v>
          </cell>
          <cell r="L2018">
            <v>42235</v>
          </cell>
          <cell r="O2018">
            <v>42705</v>
          </cell>
          <cell r="P2018" t="str">
            <v>0501-044001  JASPER CTY/JOPLIN</v>
          </cell>
          <cell r="Q2018">
            <v>3303.76</v>
          </cell>
          <cell r="R2018">
            <v>28</v>
          </cell>
        </row>
        <row r="2019">
          <cell r="A2019" t="str">
            <v>007506</v>
          </cell>
          <cell r="B2019" t="str">
            <v>LDC 2</v>
          </cell>
          <cell r="D2019" t="str">
            <v>yes</v>
          </cell>
          <cell r="E2019" t="str">
            <v>20501155075</v>
          </cell>
          <cell r="F2019" t="str">
            <v>F0544</v>
          </cell>
          <cell r="G2019" t="str">
            <v>Replace bare steel main - safety re</v>
          </cell>
          <cell r="H2019" t="str">
            <v>Repl PBS with 1250ft of PE 12th and</v>
          </cell>
          <cell r="I2019" t="str">
            <v>posted to CPR</v>
          </cell>
          <cell r="J2019" t="str">
            <v>Repl PBS with 1250ft of PE 12th and Moffet: Joplin: Replace Bare Steel Main - 3760 Safety Related (34-394)</v>
          </cell>
          <cell r="K2019" t="str">
            <v>Approved by: Steve Holcomb on 01/26/2015,  Replace 470' - 2" PBS (WO None), 725' - 4" PBS (WO None), 10' - 1 1/4" PE (WO 800056), &amp; 25' - 4" PE (WO's 861424 &amp; 941665) with 505' of 2" PE and 745' of 4" PE due to 20 repaired leaks, 1 active leak (10-0082), and isolated bare steel main.  Project Location: Moffet Ave Between 11th St &amp; 14th St.  System:  C-2.  MOP: 1.5 PSIG.  MAOP: 1.5 PSIG.  Design: 58 PSIG.  Test: 100 PSIG.  Price Per Foot: $51.61.</v>
          </cell>
          <cell r="L2019">
            <v>42090</v>
          </cell>
          <cell r="M2019">
            <v>42247</v>
          </cell>
          <cell r="N2019">
            <v>42284.723148148099</v>
          </cell>
          <cell r="O2019">
            <v>42125</v>
          </cell>
          <cell r="P2019" t="str">
            <v>0501-044001  JASPER CTY/JOPLIN</v>
          </cell>
          <cell r="Q2019">
            <v>35990.1</v>
          </cell>
          <cell r="R2019">
            <v>39248.129999999997</v>
          </cell>
        </row>
        <row r="2020">
          <cell r="A2020" t="str">
            <v>008216</v>
          </cell>
          <cell r="B2020" t="str">
            <v>LDC 2</v>
          </cell>
          <cell r="D2020" t="str">
            <v>no</v>
          </cell>
          <cell r="E2020" t="str">
            <v>20501155296</v>
          </cell>
          <cell r="F2020" t="str">
            <v>F0493</v>
          </cell>
          <cell r="G2020" t="str">
            <v>Other main replacements - system re</v>
          </cell>
          <cell r="H2020" t="str">
            <v>Install 2800ft of 4in PE to loop C1</v>
          </cell>
          <cell r="I2020" t="str">
            <v>posted to CPR</v>
          </cell>
          <cell r="J2020" t="str">
            <v>Install 2800ft of 4in PE to loop C1 System: Joplin: Replace Steel &amp; Plastic Main - System Reinforcement (43-419)</v>
          </cell>
          <cell r="K2020" t="str">
            <v>Approved by: Joe Hampton on 04/14/2015,  MODOT PERMIT REQUIRED - Install 2,800' of 4" PE to reinforce the C-1 system by tying the S-121 system to the C-1 system. This will help both systems by creating another feed into the C-1 system and reinforce the industrial park area. The S-121 system will now be incorporated into the C-1 system. 
Project Location: 32nd and Prosperity. Pressure System# C-1, MOP = 58 psig, MAOP =58 psig, Design MAOP = 58 psig, Test Pressure = 100 psig. Average cost per foot $36.75.</v>
          </cell>
          <cell r="L2020">
            <v>42222</v>
          </cell>
          <cell r="M2020">
            <v>42491</v>
          </cell>
          <cell r="N2020">
            <v>42528.472187500003</v>
          </cell>
          <cell r="O2020">
            <v>42217</v>
          </cell>
          <cell r="P2020" t="str">
            <v>0501-044001  JASPER CTY/JOPLIN</v>
          </cell>
          <cell r="Q2020">
            <v>169839.38</v>
          </cell>
          <cell r="R2020">
            <v>-8810</v>
          </cell>
        </row>
        <row r="2021">
          <cell r="A2021" t="str">
            <v>007410</v>
          </cell>
          <cell r="B2021" t="str">
            <v>LDC 2</v>
          </cell>
          <cell r="D2021" t="str">
            <v>no</v>
          </cell>
          <cell r="F2021" t="str">
            <v>F0630</v>
          </cell>
          <cell r="G2021" t="str">
            <v>Meter &amp; Reg Settings 2" &amp; Lg (SW)</v>
          </cell>
          <cell r="H2021" t="str">
            <v>Install MGE CNI2 devices Joplin</v>
          </cell>
          <cell r="I2021" t="str">
            <v>posted to CPR</v>
          </cell>
          <cell r="J2021" t="str">
            <v>These units will provide load profile on MGE's Transportation Gas customers hour by hour including daily corrected and uncorrected consumption.</v>
          </cell>
          <cell r="K2021" t="str">
            <v>Furthermore, the units are necessary to provide reports for accurate billing of MGE Gas Transportation accounts.</v>
          </cell>
          <cell r="L2021">
            <v>42156</v>
          </cell>
          <cell r="M2021">
            <v>42278</v>
          </cell>
          <cell r="N2021">
            <v>42317.383553240703</v>
          </cell>
          <cell r="O2021">
            <v>42156</v>
          </cell>
          <cell r="P2021" t="str">
            <v>0501-044001  JASPER CTY/JOPLIN</v>
          </cell>
          <cell r="Q2021">
            <v>70564.72</v>
          </cell>
          <cell r="R2021">
            <v>994</v>
          </cell>
        </row>
        <row r="2022">
          <cell r="A2022" t="str">
            <v>005490</v>
          </cell>
          <cell r="B2022" t="str">
            <v>LDC 2</v>
          </cell>
          <cell r="D2022" t="str">
            <v>yes</v>
          </cell>
          <cell r="E2022" t="str">
            <v>20501143573</v>
          </cell>
          <cell r="F2022" t="str">
            <v>F0572</v>
          </cell>
          <cell r="G2022" t="str">
            <v>Main Replacement - ISRS (SW)</v>
          </cell>
          <cell r="H2022" t="str">
            <v>Picher Ave Repl PBS w 125'-6in CS;</v>
          </cell>
          <cell r="I2022" t="str">
            <v>posted to CPR</v>
          </cell>
          <cell r="J2022" t="str">
            <v>Picher Ave Repl PBS w 125'-6in CS; 490'-4in PE: Joplin: Replace Bare Steel Main - 3760 Safety Related (34-394)</v>
          </cell>
          <cell r="K2022" t="str">
            <v>Approved by: Galen Shoemaker on 06/11/2014,  Replace 328' of 6" PBS (W.O. 7132A), 6' of 4" PBS (W.O. 41733), 83' of 3" PBS (W.O. 7132A), 3' 4" PE (W.O. 998563), and 50' of 3" PE (W.O. 41733) with 490' of 4" PE due to cathodic protection issues.  Project Location: Picher Ave between 10th &amp; 11th St.  System: C-2.  MOP: 1.5 PSIG.  MAOP: 1.5 PSIG.  Design: 58 PSIG.  Test: 100 PSIG.  Price Per Foot: $69.17.</v>
          </cell>
          <cell r="L2022">
            <v>41996</v>
          </cell>
          <cell r="M2022">
            <v>42063</v>
          </cell>
          <cell r="N2022">
            <v>42256.640775462998</v>
          </cell>
          <cell r="O2022">
            <v>42005</v>
          </cell>
          <cell r="P2022" t="str">
            <v>0501-044001  JASPER CTY/JOPLIN</v>
          </cell>
          <cell r="Q2022">
            <v>16011.42</v>
          </cell>
          <cell r="R2022">
            <v>4148</v>
          </cell>
        </row>
        <row r="2023">
          <cell r="A2023" t="str">
            <v>004237</v>
          </cell>
          <cell r="B2023" t="str">
            <v>LDC 2</v>
          </cell>
          <cell r="D2023" t="str">
            <v>no</v>
          </cell>
          <cell r="E2023" t="str">
            <v>20501132833</v>
          </cell>
          <cell r="F2023" t="str">
            <v>F0677</v>
          </cell>
          <cell r="G2023" t="str">
            <v>New business</v>
          </cell>
          <cell r="H2023" t="str">
            <v>Sparkling Waters Crt Lay 200'-2in P</v>
          </cell>
          <cell r="I2023" t="str">
            <v>posted to CPR</v>
          </cell>
          <cell r="J2023" t="str">
            <v>Sparkling Waters Crt Lay 200'-2in PE main ext: Joplin: Sparkling Waters Court east of Waters Edge Blvd.</v>
          </cell>
          <cell r="K2023" t="str">
            <v>Approved by: Galen Shoemaker on 07/24/2013,  Extend main 200' to provide service to new customer.  Lay 200' 2&amp;quot; PE main. Customer will contribute $1375.00 prior to construction. Project Location: Sparkling Waters Ct east of Waters Edge Blvd. Pressure System: C-100. MOP: 30 PSIG. MAOP: 30 PSIG. Design: 58 PSIG. Test: 100 PSIG. Price Per Foot: $31.31</v>
          </cell>
          <cell r="L2023">
            <v>41506</v>
          </cell>
          <cell r="M2023">
            <v>41564</v>
          </cell>
          <cell r="N2023">
            <v>41564.624722222201</v>
          </cell>
          <cell r="P2023" t="str">
            <v>0501-044001  JASPER CTY/JOPLIN</v>
          </cell>
          <cell r="Q2023">
            <v>9788.73</v>
          </cell>
          <cell r="R2023">
            <v>693</v>
          </cell>
        </row>
        <row r="2024">
          <cell r="A2024" t="str">
            <v>800319</v>
          </cell>
          <cell r="B2024" t="str">
            <v>LDC 2</v>
          </cell>
          <cell r="C2024" t="str">
            <v>03 - Bare Steel Replacement</v>
          </cell>
          <cell r="D2024" t="str">
            <v>yes</v>
          </cell>
          <cell r="F2024" t="str">
            <v>F0572</v>
          </cell>
          <cell r="G2024" t="str">
            <v>Main Replacement - ISRS (SW)</v>
          </cell>
          <cell r="H2024" t="str">
            <v>Repl 6444F 2P Webb City Phase 3A</v>
          </cell>
          <cell r="I2024" t="str">
            <v>open</v>
          </cell>
          <cell r="J2024" t="str">
            <v>Install 6444 Ft 2in PL IP Main on W 4th St, W 3rd St, S Jefferson St, S Washington Ave, S Oronogo Ave, S Roane Ave, S Ball Ave, S Pennsylvania Ave, S Liberty St.</v>
          </cell>
          <cell r="K2024" t="str">
            <v>Abandon 44 Ft of 2in PL Main, 47 Ft of 3in PL Main, 95 Ft of 4in PL Main, 59 Ft of 1 1/4in ST Main, 972 Ft of 2in ST Main, 3710 Ft of 3in ST Main, 715 Ft of 4in ST Main, 1749 Ft of 6in ST Main at the above locations. Uprate 220 Ft of 2in PL LP Main, 1086 Ft of 3in PL LP Main at the above locations.  Total service tie overs = 92; Total service abandon = 18; Total service replace = 3; Total service uprates = 29.  This main is being replaced as part of the FY17 Bare Steel Replacement Program.</v>
          </cell>
          <cell r="P2024" t="str">
            <v>0502-044006  JASPER CTY/WEBB CITY</v>
          </cell>
          <cell r="Q2024">
            <v>0</v>
          </cell>
          <cell r="R2024">
            <v>7391</v>
          </cell>
        </row>
        <row r="2025">
          <cell r="A2025" t="str">
            <v>800262</v>
          </cell>
          <cell r="B2025" t="str">
            <v>LDC 2</v>
          </cell>
          <cell r="C2025" t="str">
            <v>03 - Bare Steel Replacement</v>
          </cell>
          <cell r="D2025" t="str">
            <v>yes</v>
          </cell>
          <cell r="F2025" t="str">
            <v>F0572</v>
          </cell>
          <cell r="G2025" t="str">
            <v>Main Replacement - ISRS (SW)</v>
          </cell>
          <cell r="H2025" t="str">
            <v>Webb City Phase 2A Grid Bare ST Rep</v>
          </cell>
          <cell r="I2025" t="str">
            <v>open</v>
          </cell>
          <cell r="J2025" t="str">
            <v>Inst 2510ft of 2in and 10ft of 4in PL IP on Walker Ave, Galena St, Vine St, Devon &amp; Elliot Ave - Webb City Ph 2A. Abandon 5ft of 2in and 5ft of 4in PL, 1928ft of 2in ST &amp; 705ft of 3in ST LP main at same locations.</v>
          </cell>
          <cell r="K2025" t="str">
            <v>Uprate 2436ft of 2in, 905ft of 3in and 268ft of 4in PL LP main to IP on Walker Ave, Devon Ave, Elliot Ave, Austin St, and Daugherty St.  Total Service Estimate: 19 Tie overs, 28 Upgrades, 1 Replacement, and 8 Abandonments. Main is being replaced as part of the FY 2016 Bare Steel Main Replacement Program.</v>
          </cell>
          <cell r="P2025" t="str">
            <v>0502-044006  JASPER CTY/WEBB CITY</v>
          </cell>
          <cell r="Q2025">
            <v>242928.56</v>
          </cell>
          <cell r="R2025">
            <v>-8661</v>
          </cell>
        </row>
        <row r="2026">
          <cell r="A2026" t="str">
            <v>007206</v>
          </cell>
          <cell r="B2026" t="str">
            <v>LDC 2</v>
          </cell>
          <cell r="D2026" t="str">
            <v>yes</v>
          </cell>
          <cell r="E2026" t="str">
            <v>20502144035</v>
          </cell>
          <cell r="F2026" t="str">
            <v>F0544</v>
          </cell>
          <cell r="G2026" t="str">
            <v>Replace bare steel main - safety re</v>
          </cell>
          <cell r="H2026" t="str">
            <v>Repl w 440ft of 4in PE 10th and Mad</v>
          </cell>
          <cell r="I2026" t="str">
            <v>in service</v>
          </cell>
          <cell r="J2026" t="str">
            <v>Repl w 440ft of 4in PE 10th and Madison CP: Webb City: Replace Bare Steel Main - 3760 Safety Related (34-394)</v>
          </cell>
          <cell r="K2026" t="str">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ell>
          <cell r="L2026">
            <v>42270</v>
          </cell>
          <cell r="O2026">
            <v>42278</v>
          </cell>
          <cell r="P2026" t="str">
            <v>0502-044006  JASPER CTY/WEBB CITY</v>
          </cell>
          <cell r="Q2026">
            <v>52319.58</v>
          </cell>
          <cell r="R2026">
            <v>1058</v>
          </cell>
        </row>
        <row r="2027">
          <cell r="A2027" t="str">
            <v>007183</v>
          </cell>
          <cell r="B2027" t="str">
            <v>LDC 2</v>
          </cell>
          <cell r="D2027" t="str">
            <v>yes</v>
          </cell>
          <cell r="E2027" t="str">
            <v>20502144036</v>
          </cell>
          <cell r="F2027" t="str">
            <v>F0544</v>
          </cell>
          <cell r="G2027" t="str">
            <v>Replace bare steel main - safety re</v>
          </cell>
          <cell r="H2027" t="str">
            <v>Repl w 225ft of 2in PE 8th and Oakl</v>
          </cell>
          <cell r="I2027" t="str">
            <v>posted to CPR</v>
          </cell>
          <cell r="J2027" t="str">
            <v>Repl w 225ft of 2in PE 8th and Oakland due to CP : Webb City: Replace Bare Steel Main - 3760 Safety Related (34-394)</v>
          </cell>
          <cell r="K2027" t="str">
            <v>Approved by: Galen Shoemaker on 12/09/2014,  Abandon 223' - 2" PBS (WO#: 42307) and replace with 225' - 2" PE due to CP 14-097 and isolated bare steel. Project Location: 8th and Oakland; Pressure System: C-1; MOP: 1.75 psig; MAOP: 1.75 psig; Design: 58 psig; Test: 100 psig; ISRS $48.76/ft</v>
          </cell>
          <cell r="L2027">
            <v>42080</v>
          </cell>
          <cell r="M2027">
            <v>42247</v>
          </cell>
          <cell r="N2027">
            <v>42284.722962963002</v>
          </cell>
          <cell r="O2027">
            <v>42095</v>
          </cell>
          <cell r="P2027" t="str">
            <v>0502-044006  JASPER CTY/WEBB CITY</v>
          </cell>
          <cell r="Q2027">
            <v>1921.54</v>
          </cell>
          <cell r="R2027">
            <v>-520</v>
          </cell>
        </row>
        <row r="2028">
          <cell r="A2028" t="str">
            <v>006848</v>
          </cell>
          <cell r="B2028" t="str">
            <v>LDC 2</v>
          </cell>
          <cell r="D2028" t="str">
            <v>no</v>
          </cell>
          <cell r="E2028" t="str">
            <v>20101143942</v>
          </cell>
          <cell r="F2028" t="str">
            <v>F0529</v>
          </cell>
          <cell r="G2028" t="str">
            <v>Meter Purchases - MGE</v>
          </cell>
          <cell r="H2028" t="str">
            <v>Pur 2000 I-250 Itron Mtrs Apr 2015</v>
          </cell>
          <cell r="I2028" t="str">
            <v>posted to CPR</v>
          </cell>
          <cell r="J2028" t="str">
            <v>Pur 2000 I-250 Itron Mtrs April 2015: Kansas City CORP: Purchase Domestic Diaphragm  Meters - 3810 (32-398)</v>
          </cell>
          <cell r="K2028" t="str">
            <v>Approved by: Steve Holcomb on 11/05/2014,  Purchase I-250 Itron / Sprague Meters 0940605 with Sprague AMR Ert attached for 2015 Sample Meter Program.</v>
          </cell>
          <cell r="L2028">
            <v>42156</v>
          </cell>
          <cell r="M2028">
            <v>42186</v>
          </cell>
          <cell r="N2028">
            <v>42223.566666666702</v>
          </cell>
          <cell r="O2028">
            <v>42156</v>
          </cell>
          <cell r="P2028" t="str">
            <v>0101-043050  JACKSON CTY/KC</v>
          </cell>
          <cell r="Q2028">
            <v>185133.06</v>
          </cell>
          <cell r="R2028">
            <v>2000</v>
          </cell>
        </row>
        <row r="2029">
          <cell r="A2029" t="str">
            <v>008755</v>
          </cell>
          <cell r="B2029" t="str">
            <v>LDC 2</v>
          </cell>
          <cell r="D2029" t="str">
            <v>yes</v>
          </cell>
          <cell r="E2029" t="str">
            <v>20201155406</v>
          </cell>
          <cell r="F2029" t="str">
            <v>F0578</v>
          </cell>
          <cell r="G2029" t="str">
            <v>Street &amp; Highway Relocates ISRS (S)</v>
          </cell>
          <cell r="H2029" t="str">
            <v>2in Main Relocation- 24 Hwy</v>
          </cell>
          <cell r="I2029" t="str">
            <v>posted to CPR</v>
          </cell>
          <cell r="J2029" t="str">
            <v>2in Main Relocation- 24 Hwy: Independence: Relocate for Street &amp; Highway-Public Improvements (44-388)</v>
          </cell>
          <cell r="K2029" t="str">
            <v>Approved by: Kevin Driskell on 06/16/2015,  This work order is necessary to relocate 2" PE main to avoid a new storm sewer in a Public Improvement project.  Install 36' of 2" PE and abandon 20' of 2" PE.    City of Independence, MO US 24 Hwy Sidewalk Improvements STP-3379(428).  ISRS project.  
Contact Jerry Christensen with Freeman Concrete. 913-915-7846</v>
          </cell>
          <cell r="L2029">
            <v>42195</v>
          </cell>
          <cell r="M2029">
            <v>42461</v>
          </cell>
          <cell r="N2029">
            <v>42496.560763888898</v>
          </cell>
          <cell r="O2029">
            <v>42217</v>
          </cell>
          <cell r="P2029" t="str">
            <v>0201-043001  JACKSON CTY/INDEPENDENCE</v>
          </cell>
          <cell r="Q2029">
            <v>4582.87</v>
          </cell>
          <cell r="R2029">
            <v>67</v>
          </cell>
        </row>
        <row r="2030">
          <cell r="A2030" t="str">
            <v>003864</v>
          </cell>
          <cell r="B2030" t="str">
            <v>LDC 2</v>
          </cell>
          <cell r="D2030" t="str">
            <v>no</v>
          </cell>
          <cell r="E2030" t="str">
            <v>20201132964</v>
          </cell>
          <cell r="F2030" t="str">
            <v>F0514</v>
          </cell>
          <cell r="G2030" t="str">
            <v>Other relocates</v>
          </cell>
          <cell r="H2030" t="str">
            <v>Bass Pro Dr Reloc 1830'-6in PE main</v>
          </cell>
          <cell r="I2030" t="str">
            <v>posted to CPR</v>
          </cell>
          <cell r="J2030" t="str">
            <v>Bass Pro Dr Reloc 1830'-6in PE main: Independence: 18011 E Bass Pro Dr Stoney Creek Inn</v>
          </cell>
          <cell r="K2030" t="str">
            <v>Approved by: Ken Thomas on 10/09/2013,  Main to abandon: 1463' of 6in PE main from wo# 071495. Relocate with 1830' of 6in PE main on WO# 13-2964. Relocation is necessary due to conflict with the redesigned Stoney Creek Inn. Our main to be abandoned lies within an utility easement, therefore this project is 100% reimbursable.</v>
          </cell>
          <cell r="L2030">
            <v>41569</v>
          </cell>
          <cell r="M2030">
            <v>41638</v>
          </cell>
          <cell r="N2030">
            <v>41643.435231481497</v>
          </cell>
          <cell r="P2030" t="str">
            <v>0201-043001  JACKSON CTY/INDEPENDENCE</v>
          </cell>
          <cell r="Q2030">
            <v>28737.32</v>
          </cell>
          <cell r="R2030">
            <v>5358</v>
          </cell>
        </row>
        <row r="2031">
          <cell r="A2031" t="str">
            <v>004295</v>
          </cell>
          <cell r="B2031" t="str">
            <v>LDC 2</v>
          </cell>
          <cell r="D2031" t="str">
            <v>no</v>
          </cell>
          <cell r="E2031" t="str">
            <v>20201050308</v>
          </cell>
          <cell r="F2031" t="str">
            <v>F0534</v>
          </cell>
          <cell r="G2031" t="str">
            <v>BWO Mtr/Reg Repl - Non ISRS (S)</v>
          </cell>
          <cell r="H2031" t="str">
            <v>BWO-REPL METER SETS LESS 2"</v>
          </cell>
          <cell r="I2031" t="str">
            <v>posted to CPR</v>
          </cell>
          <cell r="J2031" t="str">
            <v>BWO-REPL METER SETS LESS 2"</v>
          </cell>
          <cell r="K2031" t="str">
            <v>Project Type:B</v>
          </cell>
          <cell r="L2031">
            <v>41717</v>
          </cell>
          <cell r="M2031">
            <v>41717</v>
          </cell>
          <cell r="N2031">
            <v>41717</v>
          </cell>
          <cell r="O2031">
            <v>41730</v>
          </cell>
          <cell r="P2031" t="str">
            <v>0201-043001  JACKSON CTY/INDEPENDENCE</v>
          </cell>
          <cell r="Q2031">
            <v>18142.96</v>
          </cell>
          <cell r="R2031">
            <v>2272.5</v>
          </cell>
        </row>
        <row r="2032">
          <cell r="A2032" t="str">
            <v>011285</v>
          </cell>
          <cell r="B2032" t="str">
            <v>LDC 2</v>
          </cell>
          <cell r="D2032" t="str">
            <v>no</v>
          </cell>
          <cell r="F2032" t="str">
            <v>F0639</v>
          </cell>
          <cell r="G2032" t="str">
            <v>EGM Equip-1st Time Installation</v>
          </cell>
          <cell r="H2032" t="str">
            <v>EGM - Continental Deli (Smokehouse)</v>
          </cell>
          <cell r="I2032" t="str">
            <v>open</v>
          </cell>
          <cell r="J2032" t="str">
            <v>Mini AT-PT Corrector for Continental Deli Foods - Smokehouse at 1901 St Louis Ave in Corcordia to monitor daily gas usage. Customer will reimburse company actual cost for EGM installation not to exceed $5,445.</v>
          </cell>
          <cell r="K2032" t="str">
            <v>meter no 001216807</v>
          </cell>
          <cell r="P2032" t="str">
            <v>0307-049001  LAFAYETTE CTY/CONCORDIA</v>
          </cell>
          <cell r="Q2032">
            <v>2503.37</v>
          </cell>
          <cell r="R2032">
            <v>9</v>
          </cell>
        </row>
        <row r="2033">
          <cell r="A2033" t="str">
            <v>005030</v>
          </cell>
          <cell r="B2033" t="str">
            <v>LDC 2</v>
          </cell>
          <cell r="D2033" t="str">
            <v>yes</v>
          </cell>
          <cell r="E2033" t="str">
            <v>20307143483</v>
          </cell>
          <cell r="F2033" t="str">
            <v>F0578</v>
          </cell>
          <cell r="G2033" t="str">
            <v>Street &amp; Highway Relocates ISRS (S)</v>
          </cell>
          <cell r="H2033" t="str">
            <v>6th &amp; Main Reloc 4in PCS dogleg Sto</v>
          </cell>
          <cell r="I2033" t="str">
            <v>posted to CPR</v>
          </cell>
          <cell r="J2033" t="str">
            <v>6th &amp; Main Reloc 4in PCS dogleg Storm Sewer: Concordia: Relocate for Street &amp; Highway-Public Improvements (44-388)</v>
          </cell>
          <cell r="K2033" t="str">
            <v>Approved by: Ralph Janes on 04/18/2014,  Public Improvement - MoDOT Project J3S3025. Install 11' of 4" PCS as a dogleg to go underneath proposed 18" storm. Existing main was potholed at 38" deep. Proposed storm is 3' to top of pipe. Dogleg to be installed at 7' depth. Main to abandon: 5' - 4" PBS (NO WO). (ISRS).</v>
          </cell>
          <cell r="L2033">
            <v>42111</v>
          </cell>
          <cell r="M2033">
            <v>42216</v>
          </cell>
          <cell r="N2033">
            <v>42256.640208333301</v>
          </cell>
          <cell r="O2033">
            <v>42156</v>
          </cell>
          <cell r="P2033" t="str">
            <v>0307-049001  LAFAYETTE CTY/CONCORDIA</v>
          </cell>
          <cell r="Q2033">
            <v>5662.05</v>
          </cell>
          <cell r="R2033">
            <v>74</v>
          </cell>
        </row>
        <row r="2034">
          <cell r="A2034" t="str">
            <v>800932</v>
          </cell>
          <cell r="B2034" t="str">
            <v>LDC 2</v>
          </cell>
          <cell r="C2034" t="str">
            <v>03 - Bare Steel Replacement</v>
          </cell>
          <cell r="D2034" t="str">
            <v>yes</v>
          </cell>
          <cell r="F2034" t="str">
            <v>F0604</v>
          </cell>
          <cell r="G2034" t="str">
            <v>Main Replacement - ISRS (S)</v>
          </cell>
          <cell r="H2034" t="str">
            <v>Repl w 750F 2P Nipper S of Spring</v>
          </cell>
          <cell r="I2034" t="str">
            <v>open</v>
          </cell>
          <cell r="J2034" t="str">
            <v>Install ~750 Ft of 2" PL LP Main.</v>
          </cell>
          <cell r="K2034" t="str">
            <v>Abandon ~757 Ft of 3" ST LP Main.  Total Service Tie-over: 9.  Project Type: Main Replacement (MREPL).</v>
          </cell>
          <cell r="P2034" t="str">
            <v>0317-040001  HOWARD CTY/FAYETTE</v>
          </cell>
          <cell r="Q2034">
            <v>12182.1</v>
          </cell>
          <cell r="R2034">
            <v>-1102.5</v>
          </cell>
        </row>
        <row r="2035">
          <cell r="A2035" t="str">
            <v>800104</v>
          </cell>
          <cell r="B2035" t="str">
            <v>LDC 2</v>
          </cell>
          <cell r="C2035" t="str">
            <v>03 - Bare Steel Replacement</v>
          </cell>
          <cell r="D2035" t="str">
            <v>yes</v>
          </cell>
          <cell r="F2035" t="str">
            <v>F0604</v>
          </cell>
          <cell r="G2035" t="str">
            <v>Main Replacement - ISRS (S)</v>
          </cell>
          <cell r="H2035" t="str">
            <v>Centerview Grid Replacement Phase 1</v>
          </cell>
          <cell r="I2035" t="str">
            <v>in service</v>
          </cell>
          <cell r="J2035" t="str">
            <v>Install 595 Ft of 4 in PL MP and 3086 Ft of 2 in PL MP main for Centerview Phase 1. Abandon 3600 Ft of 2 in PBS, 344 Ft of 2 in PCS, and 12 Ft of 2 in PL MP main. Total service tie-overs are 20 and 9 abandons. FY16 Bare Steel Repl</v>
          </cell>
          <cell r="L2035">
            <v>42635</v>
          </cell>
          <cell r="O2035">
            <v>42614</v>
          </cell>
          <cell r="P2035" t="str">
            <v>0321-046009  JOHNSON CTY/CENTERVIEW</v>
          </cell>
          <cell r="Q2035">
            <v>206619.12</v>
          </cell>
          <cell r="R2035">
            <v>-2974</v>
          </cell>
        </row>
        <row r="2036">
          <cell r="A2036" t="str">
            <v>004413</v>
          </cell>
          <cell r="B2036" t="str">
            <v>LDC 2</v>
          </cell>
          <cell r="D2036" t="str">
            <v>yes</v>
          </cell>
          <cell r="E2036" t="str">
            <v>20801050370</v>
          </cell>
          <cell r="F2036" t="str">
            <v>F0618</v>
          </cell>
          <cell r="G2036" t="str">
            <v>SLRP - immediate response - contrac</v>
          </cell>
          <cell r="H2036" t="str">
            <v>BWO SERVICE LINE REPL CONTRACTOR SL</v>
          </cell>
          <cell r="I2036" t="str">
            <v>open</v>
          </cell>
          <cell r="J2036" t="str">
            <v>BWO SERVICE LINE REPL CONTRACTOR SLRP</v>
          </cell>
          <cell r="K2036" t="str">
            <v>Service/Yard Line Replacement (SLRP): Contract Crew.  Immediate response - replacement single unprotected steel or copper  (Monett - South Region)</v>
          </cell>
          <cell r="O2036">
            <v>41730</v>
          </cell>
          <cell r="P2036" t="str">
            <v>0801-005001  BARRY CTY/MONETT</v>
          </cell>
          <cell r="Q2036">
            <v>21526.86</v>
          </cell>
          <cell r="R2036">
            <v>277.5</v>
          </cell>
        </row>
        <row r="2037">
          <cell r="A2037" t="str">
            <v>003787</v>
          </cell>
          <cell r="B2037" t="str">
            <v>LDC 2</v>
          </cell>
          <cell r="D2037" t="str">
            <v>no</v>
          </cell>
          <cell r="E2037" t="str">
            <v>20932132736</v>
          </cell>
          <cell r="F2037" t="str">
            <v>F0602</v>
          </cell>
          <cell r="G2037" t="str">
            <v>New business</v>
          </cell>
          <cell r="H2037" t="str">
            <v>Edgewater 3rd-PH Lay 3220'-2in PE m</v>
          </cell>
          <cell r="I2037" t="str">
            <v>posted to CPR</v>
          </cell>
          <cell r="J2037" t="str">
            <v>Edgewater 3rd-PH Lay 3220'-2in PE main ext: Raymore: Creekmoor Dr and Lakecrest Circle</v>
          </cell>
          <cell r="K2037" t="str">
            <v>Approved by: Ralph Janes on 06/14/2013,  Install 3220' of 2in PE to serve lots 1-46 at Creekmoor Dr. and Lakecrest Circle for the 3rd phase of Edgewater. Tap into 6in PE main wo# 07-1456 C-001, (MOP=50 psig and MAOP=58 psig).</v>
          </cell>
          <cell r="L2037">
            <v>41572</v>
          </cell>
          <cell r="M2037">
            <v>41626</v>
          </cell>
          <cell r="N2037">
            <v>41627.582812499997</v>
          </cell>
          <cell r="O2037">
            <v>41730</v>
          </cell>
          <cell r="P2037" t="str">
            <v>0932-016022  CASS CTY/RAYMORE</v>
          </cell>
          <cell r="Q2037">
            <v>15052.1</v>
          </cell>
          <cell r="R2037">
            <v>7147</v>
          </cell>
        </row>
        <row r="2038">
          <cell r="A2038" t="str">
            <v>007501</v>
          </cell>
          <cell r="B2038" t="str">
            <v>LDC 2</v>
          </cell>
          <cell r="D2038" t="str">
            <v>no</v>
          </cell>
          <cell r="E2038" t="str">
            <v>20806155081</v>
          </cell>
          <cell r="F2038" t="str">
            <v>F0556</v>
          </cell>
          <cell r="G2038" t="str">
            <v>Tools, instruments &amp; equipment</v>
          </cell>
          <cell r="H2038" t="str">
            <v>Purchase Okada Top 60B Hydraulic Br</v>
          </cell>
          <cell r="I2038" t="str">
            <v>posted to CPR</v>
          </cell>
          <cell r="J2038" t="str">
            <v>Purchase Okada Top 60B Hydraulic Breaker: Neosho: Purchase Tools, Instruments &amp; Equipment  3940 (37-366)</v>
          </cell>
          <cell r="K2038" t="str">
            <v>Approved by: Michael Fornelli on 01/26/2015,  Purchase new Okada Top 60B Hydraulic Breaker for Neosho C&amp;M. They currently do not have a breaker and constantly have to borrow the one from Monett.</v>
          </cell>
          <cell r="L2038">
            <v>42116</v>
          </cell>
          <cell r="M2038">
            <v>42248</v>
          </cell>
          <cell r="N2038">
            <v>42284.344629629602</v>
          </cell>
          <cell r="O2038">
            <v>42095</v>
          </cell>
          <cell r="P2038" t="str">
            <v>0806-066010  NEWTON CTY/NEOSHO</v>
          </cell>
          <cell r="Q2038">
            <v>19753.13</v>
          </cell>
          <cell r="R2038">
            <v>3</v>
          </cell>
        </row>
        <row r="2039">
          <cell r="A2039" t="str">
            <v>004482</v>
          </cell>
          <cell r="B2039" t="str">
            <v>LDC 2</v>
          </cell>
          <cell r="D2039" t="str">
            <v>no</v>
          </cell>
          <cell r="E2039" t="str">
            <v>20806133018</v>
          </cell>
          <cell r="F2039" t="str">
            <v>F0639</v>
          </cell>
          <cell r="G2039" t="str">
            <v>EGM Equip-1st Time Installation</v>
          </cell>
          <cell r="H2039" t="str">
            <v>EGM - Moark, LLC (Hwy D)</v>
          </cell>
          <cell r="I2039" t="str">
            <v>posted to CPR</v>
          </cell>
          <cell r="J2039" t="str">
            <v>EGM - Moark, LLC (Hwy D): Neosho: 17331 E Hwy D - Neosho, MO 64850</v>
          </cell>
          <cell r="K2039" t="str">
            <v>Approved by: Rob Kitterman on 09/24/2013,  Install Mercury MiniMax-AT-T w/ Messenger Modem S/N:13012446 on Roots 5M meter no 08833364 to monitor daily gas usage of this transportation customer. Customer will reimburse company actual cost for EGM installation not to exceed $5,445.00, which should be coded to account 1072. ATTENTION: Plant &amp; Property Accounting, EGM work order, turn off A&amp;G indicator.</v>
          </cell>
          <cell r="L2039">
            <v>41516</v>
          </cell>
          <cell r="M2039">
            <v>41670</v>
          </cell>
          <cell r="N2039">
            <v>41677.509826388901</v>
          </cell>
          <cell r="P2039" t="str">
            <v>0806-066010  NEWTON CTY/NEOSHO</v>
          </cell>
          <cell r="Q2039">
            <v>272.83999999999997</v>
          </cell>
          <cell r="R2039">
            <v>4</v>
          </cell>
        </row>
        <row r="2040">
          <cell r="A2040" t="str">
            <v>800588</v>
          </cell>
          <cell r="B2040" t="str">
            <v>LDC 2</v>
          </cell>
          <cell r="C2040" t="str">
            <v>03 - Bare Steel Replacement</v>
          </cell>
          <cell r="D2040" t="str">
            <v>yes</v>
          </cell>
          <cell r="F2040" t="str">
            <v>F0572</v>
          </cell>
          <cell r="G2040" t="str">
            <v>Main Replacement - ISRS (SW)</v>
          </cell>
          <cell r="H2040" t="str">
            <v>Repl w 120F 2P Morgan #2 Leak</v>
          </cell>
          <cell r="I2040" t="str">
            <v>in service</v>
          </cell>
          <cell r="J2040" t="str">
            <v>Install - 120 ft of 2 in PL IP main at 115 Morgan Street. Abandon ~ 115 ft of 2in STL IP main on Morgan Street. This main is being replaced due to a No 2 Leak and is part of the FY16 Bare Steel Replacement Program.</v>
          </cell>
          <cell r="K2040" t="str">
            <v>Total Service Tie Over = 1</v>
          </cell>
          <cell r="L2040">
            <v>42565</v>
          </cell>
          <cell r="O2040">
            <v>42583</v>
          </cell>
          <cell r="P2040" t="str">
            <v>0809-050003  LAWRENCE CTY/AURORA</v>
          </cell>
          <cell r="Q2040">
            <v>2397.3000000000002</v>
          </cell>
          <cell r="R2040">
            <v>85</v>
          </cell>
        </row>
        <row r="2041">
          <cell r="A2041" t="str">
            <v>800933</v>
          </cell>
          <cell r="B2041" t="str">
            <v>LDC 2</v>
          </cell>
          <cell r="C2041" t="str">
            <v>03 - Bare Steel Replacement</v>
          </cell>
          <cell r="D2041" t="str">
            <v>yes</v>
          </cell>
          <cell r="F2041" t="str">
            <v>F0572</v>
          </cell>
          <cell r="G2041" t="str">
            <v>Main Replacement - ISRS (SW)</v>
          </cell>
          <cell r="H2041" t="str">
            <v>Repl w 5440F 2P Marionville Phase H</v>
          </cell>
          <cell r="I2041" t="str">
            <v>open</v>
          </cell>
          <cell r="J2041" t="str">
            <v>Install 5440 Ft. of 2 inch PL IP Main on Linn St., Missouri Ave., Eureka St., Myrtle St., Westview Dr. Melody St., and Western Ave.</v>
          </cell>
          <cell r="K2041" t="str">
            <v>Abandon 125 Ft of 2 in PL IP Main and  5151 Ft of 2 in ST IP Main on the above mentioned streets.  Total Service Tie-over =54; Total Service Abandoned = 4; Total Service Replace = 1.  This main is being abandoned as part of FY16 Bare Steel Replacement Program</v>
          </cell>
          <cell r="P2041" t="str">
            <v>0810-050015  LAWRENCE CTY/MARIONVILLE</v>
          </cell>
          <cell r="Q2041">
            <v>0</v>
          </cell>
          <cell r="R2041">
            <v>5276</v>
          </cell>
        </row>
        <row r="2042">
          <cell r="A2042" t="str">
            <v>007323</v>
          </cell>
          <cell r="B2042" t="str">
            <v>LDC 2</v>
          </cell>
          <cell r="D2042" t="str">
            <v>no</v>
          </cell>
          <cell r="E2042" t="str">
            <v>20813143939</v>
          </cell>
          <cell r="F2042" t="str">
            <v>F0523</v>
          </cell>
          <cell r="G2042" t="str">
            <v>New Main Extensions (SW)</v>
          </cell>
          <cell r="H2042" t="str">
            <v>Lay 75 ft 2 in Plastic Main</v>
          </cell>
          <cell r="I2042" t="str">
            <v>posted to CPR</v>
          </cell>
          <cell r="J2042" t="str">
            <v>Lay 75 ft 2 in Plastic Main: Billings: New Main Extension - Company Crews  3760 (33-305)</v>
          </cell>
          <cell r="K2042" t="str">
            <v>Approved by: Galen Shoemaker on 12/26/2014,  To install new 75ft of 2in Plastic Main to serve one new residential customer. No deposit required after one allowance. MAOP=20# MOP=20# SYSTEM=S-1 TEST=100#</v>
          </cell>
          <cell r="L2042">
            <v>42032</v>
          </cell>
          <cell r="M2042">
            <v>42248</v>
          </cell>
          <cell r="N2042">
            <v>42284.723055555602</v>
          </cell>
          <cell r="O2042">
            <v>42005</v>
          </cell>
          <cell r="P2042" t="str">
            <v>0813-019001  CHRISTIAN CTY/BILLING</v>
          </cell>
          <cell r="Q2042">
            <v>3228.18</v>
          </cell>
          <cell r="R2042">
            <v>-188</v>
          </cell>
        </row>
        <row r="2043">
          <cell r="A2043" t="str">
            <v>801056</v>
          </cell>
          <cell r="B2043" t="str">
            <v>LDC 2</v>
          </cell>
          <cell r="D2043" t="str">
            <v>no</v>
          </cell>
          <cell r="F2043" t="str">
            <v>F0664</v>
          </cell>
          <cell r="G2043" t="str">
            <v>Street &amp; Hwy Relocates ISRS (SW)</v>
          </cell>
          <cell r="H2043" t="str">
            <v>Reloc 321F 4S Ozark Jr High CJ</v>
          </cell>
          <cell r="I2043" t="str">
            <v>open</v>
          </cell>
          <cell r="J2043" t="str">
            <v>Install 321 Ft of 4 in ST FP main at the Ozark Jr. High School near 12th St and W Jackson St in Ozark.</v>
          </cell>
          <cell r="K2043" t="str">
            <v>Abandon 315 Ft of 4 in ST FP main at the above locations.  Total Service Tie Overs: 0.  Main being replaced due to Ozark Jr. High improvements and is 100% Reimbursable.</v>
          </cell>
          <cell r="P2043" t="str">
            <v>0815-019006  CHRISTIAN CTY/OZARK</v>
          </cell>
          <cell r="Q2043">
            <v>7134.14</v>
          </cell>
          <cell r="R2043">
            <v>-25</v>
          </cell>
        </row>
        <row r="2044">
          <cell r="A2044" t="str">
            <v>004675</v>
          </cell>
          <cell r="B2044" t="str">
            <v>LDC 2</v>
          </cell>
          <cell r="D2044" t="str">
            <v>no</v>
          </cell>
          <cell r="E2044" t="str">
            <v>20816133166</v>
          </cell>
          <cell r="F2044" t="str">
            <v>F0523</v>
          </cell>
          <cell r="G2044" t="str">
            <v>New Main Extensions (SW)</v>
          </cell>
          <cell r="H2044" t="str">
            <v>Pine Haven Lay 355'-2in PE Main</v>
          </cell>
          <cell r="I2044" t="str">
            <v>posted to CPR</v>
          </cell>
          <cell r="J2044" t="str">
            <v>Pine Haven Lay 355'-2in PE Main: Nixa: Pine Haven South of Buttonwood Dr</v>
          </cell>
          <cell r="K2044" t="str">
            <v>Approved by: Galen Shoemaker on 12/10/2013,  To install 355ft of 2in Plastic Main to serve one new residential customer. Customer will pay a refundable deposit of $3,080.00. MOP=58# MAOP=58# TEST=100# SYSTEM=S-2327</v>
          </cell>
          <cell r="L2044">
            <v>41653</v>
          </cell>
          <cell r="M2044">
            <v>41718</v>
          </cell>
          <cell r="N2044">
            <v>41719.593171296299</v>
          </cell>
          <cell r="O2044">
            <v>41730</v>
          </cell>
          <cell r="P2044" t="str">
            <v>0816-019004  CHRISTIAN CTY/NIXA</v>
          </cell>
          <cell r="Q2044">
            <v>3326.4</v>
          </cell>
          <cell r="R2044">
            <v>739</v>
          </cell>
        </row>
        <row r="2045">
          <cell r="A2045" t="str">
            <v>003858</v>
          </cell>
          <cell r="B2045" t="str">
            <v>LDC 2</v>
          </cell>
          <cell r="D2045" t="str">
            <v>yes</v>
          </cell>
          <cell r="E2045" t="str">
            <v>20902132419</v>
          </cell>
          <cell r="F2045" t="str">
            <v>F0549</v>
          </cell>
          <cell r="G2045" t="str">
            <v>Street &amp; highway relocates - safety</v>
          </cell>
          <cell r="H2045" t="str">
            <v>63rd &amp; Blue Ridge Reloc PBS w 555'-</v>
          </cell>
          <cell r="I2045" t="str">
            <v>posted to CPR</v>
          </cell>
          <cell r="J2045" t="str">
            <v>63rd &amp; Blue Ridge Reloc PBS w 555'-4in PE main: Raytown: 63rd St and Blue Ridge Blvd</v>
          </cell>
          <cell r="K2045" t="str">
            <v>Approved by: Ralph Janes on 02/19/2013,  Main to abandon: 80' of 2in PE (from wo# 771122); Replace with 95' of 2in PE. Main to abandon: 220' of 4in PBS (from wo# NONE); Replace with 245' of 4in PE. Main to abandon: 50' of 3in PBS (from wo# NONE) and 252' of 3in PCS (from wo# 673428); Replace with 310' of 4in PE. All abandons and replacements to take place on wo# 13-2419. Replacement needs to take place due to Raytown Streetscape Project. ISRS</v>
          </cell>
          <cell r="L2045">
            <v>41388</v>
          </cell>
          <cell r="M2045">
            <v>41455</v>
          </cell>
          <cell r="N2045">
            <v>41562.537256944401</v>
          </cell>
          <cell r="P2045" t="str">
            <v>0902-043025  JACKSON CTY/RAYTOWN</v>
          </cell>
          <cell r="Q2045">
            <v>41870.89</v>
          </cell>
          <cell r="R2045">
            <v>2181</v>
          </cell>
        </row>
        <row r="2046">
          <cell r="A2046" t="str">
            <v>006840</v>
          </cell>
          <cell r="B2046" t="str">
            <v>LDC 2</v>
          </cell>
          <cell r="D2046" t="str">
            <v>yes</v>
          </cell>
          <cell r="E2046" t="str">
            <v>20902143873</v>
          </cell>
          <cell r="F2046" t="str">
            <v>F0604</v>
          </cell>
          <cell r="G2046" t="str">
            <v>Main Replacement - ISRS (S)</v>
          </cell>
          <cell r="H2046" t="str">
            <v>Acc Main Repl 0403 S of 350</v>
          </cell>
          <cell r="I2046" t="str">
            <v>posted to CPR</v>
          </cell>
          <cell r="J2046" t="str">
            <v>Acc Main Repl 0403 S of 350: Raytown: Replace Bare Steel Main - 3760 Safety Related (34-394)</v>
          </cell>
          <cell r="K2046" t="str">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ell>
          <cell r="L2046">
            <v>42289</v>
          </cell>
          <cell r="M2046">
            <v>42429</v>
          </cell>
          <cell r="N2046">
            <v>42527.511030092603</v>
          </cell>
          <cell r="O2046">
            <v>42370</v>
          </cell>
          <cell r="P2046" t="str">
            <v>0902-043025  JACKSON CTY/RAYTOWN</v>
          </cell>
          <cell r="Q2046">
            <v>168748.48</v>
          </cell>
          <cell r="R2046">
            <v>-5594.5</v>
          </cell>
        </row>
        <row r="2047">
          <cell r="A2047" t="str">
            <v>004027</v>
          </cell>
          <cell r="B2047" t="str">
            <v>LDC 2</v>
          </cell>
          <cell r="D2047" t="str">
            <v>yes</v>
          </cell>
          <cell r="E2047" t="str">
            <v>20902132933</v>
          </cell>
          <cell r="F2047" t="str">
            <v>F0604</v>
          </cell>
          <cell r="G2047" t="str">
            <v>Main Replacement - ISRS (S)</v>
          </cell>
          <cell r="H2047" t="str">
            <v>Northern Blvd Repl PBS w 280'-2in P</v>
          </cell>
          <cell r="I2047" t="str">
            <v>posted to CPR</v>
          </cell>
          <cell r="J2047" t="str">
            <v>Northern Blvd Repl PBS w 280'-2in PE main: Raytown: 5728 Northern Blvd</v>
          </cell>
          <cell r="K2047" t="str">
            <v>Approved by: Ralph Janes on 09/05/2013,  Main to abandon: 280' of 2in PBS from wo# JO 7390. Replace with 280' of 2in PE on WO# 13-2933. There have been several leaks in this area lately. We would like to dwindle down the BS in this area, replacing with plastic, and eventually tie the new PE mains to the 54# S-015 pressure system. ISRS</v>
          </cell>
          <cell r="L2047">
            <v>41572</v>
          </cell>
          <cell r="M2047">
            <v>41654</v>
          </cell>
          <cell r="N2047">
            <v>41654.6039930556</v>
          </cell>
          <cell r="O2047">
            <v>41730</v>
          </cell>
          <cell r="P2047" t="str">
            <v>0902-043025  JACKSON CTY/RAYTOWN</v>
          </cell>
          <cell r="Q2047">
            <v>18768.810000000001</v>
          </cell>
          <cell r="R2047">
            <v>1184</v>
          </cell>
        </row>
        <row r="2048">
          <cell r="A2048" t="str">
            <v>008245</v>
          </cell>
          <cell r="B2048" t="str">
            <v>LDC 2</v>
          </cell>
          <cell r="D2048" t="str">
            <v>yes</v>
          </cell>
          <cell r="E2048" t="str">
            <v>20903155314</v>
          </cell>
          <cell r="F2048" t="str">
            <v>F0507</v>
          </cell>
          <cell r="G2048" t="str">
            <v>Rebuild Meter Install 2'' &amp; Lg (S)</v>
          </cell>
          <cell r="H2048" t="str">
            <v>Midwest Inn 7M Rotary Meter Rebuild</v>
          </cell>
          <cell r="I2048" t="str">
            <v>posted to CPR</v>
          </cell>
          <cell r="J2048" t="str">
            <v>Midwest Inn 7M Rotary Meter Rebuild SLRP: Blue Springs: Replace Meter &amp; Reg 2&amp;quot; &amp;  Larger - 3820/3830 (32-404)</v>
          </cell>
          <cell r="K2048" t="str">
            <v>Approved by: Kevin Driskell on 04/23/2015,  20 Year SLRP at Midwest Inn - 1110 NW State Route 7 (meter #08265865, installed on WO# 84-0576, premise #332822).  Rebuild a 7M rotary meter set at the building.</v>
          </cell>
          <cell r="L2048">
            <v>42292</v>
          </cell>
          <cell r="M2048">
            <v>42308</v>
          </cell>
          <cell r="N2048">
            <v>42314.376446759299</v>
          </cell>
          <cell r="O2048">
            <v>42278</v>
          </cell>
          <cell r="P2048" t="str">
            <v>0903-043026  JACKSON CTY/BLUE SPRINGS</v>
          </cell>
          <cell r="Q2048">
            <v>2866.67</v>
          </cell>
          <cell r="R2048">
            <v>-33.5</v>
          </cell>
        </row>
        <row r="2049">
          <cell r="A2049" t="str">
            <v>009247</v>
          </cell>
          <cell r="B2049" t="str">
            <v>LDC 2</v>
          </cell>
          <cell r="D2049" t="str">
            <v>yes</v>
          </cell>
          <cell r="E2049" t="str">
            <v>20904155515</v>
          </cell>
          <cell r="F2049" t="str">
            <v>F0613</v>
          </cell>
          <cell r="G2049" t="str">
            <v>Replace bare steel main - safety re</v>
          </cell>
          <cell r="H2049" t="str">
            <v>Grandview Repl Phase 3</v>
          </cell>
          <cell r="I2049" t="str">
            <v>posted to CPR</v>
          </cell>
          <cell r="J2049" t="str">
            <v>Grandview Repl Phase 3: Grandview: Replace Bare Steel Main - 3760 Safety Related (34-394)</v>
          </cell>
          <cell r="K2049" t="str">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ell>
          <cell r="L2049">
            <v>42508</v>
          </cell>
          <cell r="M2049">
            <v>42615</v>
          </cell>
          <cell r="N2049">
            <v>42649.700231481504</v>
          </cell>
          <cell r="O2049">
            <v>42491</v>
          </cell>
          <cell r="P2049" t="str">
            <v>0904-043030  JACKSON CTY/GRANDVIEW</v>
          </cell>
          <cell r="Q2049">
            <v>518305.01</v>
          </cell>
          <cell r="R2049">
            <v>-11789</v>
          </cell>
        </row>
        <row r="2050">
          <cell r="A2050" t="str">
            <v>007577</v>
          </cell>
          <cell r="B2050" t="str">
            <v>LDC 2</v>
          </cell>
          <cell r="D2050" t="str">
            <v>yes</v>
          </cell>
          <cell r="E2050" t="str">
            <v>20904155120</v>
          </cell>
          <cell r="F2050" t="str">
            <v>F0549</v>
          </cell>
          <cell r="G2050" t="str">
            <v>Street &amp; highway relocates - safety</v>
          </cell>
          <cell r="H2050" t="str">
            <v>Replace 2in PBS 135th and Parker Pa</v>
          </cell>
          <cell r="I2050" t="str">
            <v>posted to CPR</v>
          </cell>
          <cell r="J2050" t="str">
            <v>Replace 2in PBS 135th and Parker Paving: Grandview: Relocate for Street &amp; Highway-Safety Related (44-389)</v>
          </cell>
          <cell r="K2050" t="str">
            <v>Approved by: Kevin Driskell on 02/05/2015,  Public Improvement - Grandview will be paving 135th St between Bennington and 71 this summer. We will replace the PBS in the project area as well as along Parker south to 136th with 2" PE. Replace 1613' - 2" PBS/PCS with 1620' - 2" PE. Main to abandon: 522' - 2" PBS (unknown WO, pre-1949 vintage); 168' - 2" PBS (WO# JO7802); 703' - 2" PBS (WO# A6910B), 10' - 2" PCS (WO# 58382); and 210' - 2" PCS (WO# 72-3446). (ISRS) Price per ft = $42.31</v>
          </cell>
          <cell r="L2050">
            <v>42110</v>
          </cell>
          <cell r="M2050">
            <v>42155</v>
          </cell>
          <cell r="N2050">
            <v>42256.641990740703</v>
          </cell>
          <cell r="O2050">
            <v>42125</v>
          </cell>
          <cell r="P2050" t="str">
            <v>0904-043030  JACKSON CTY/GRANDVIEW</v>
          </cell>
          <cell r="Q2050">
            <v>20181.53</v>
          </cell>
          <cell r="R2050">
            <v>-2114</v>
          </cell>
        </row>
        <row r="2051">
          <cell r="A2051" t="str">
            <v>800252</v>
          </cell>
          <cell r="B2051" t="str">
            <v>LDC 2</v>
          </cell>
          <cell r="D2051" t="str">
            <v>no</v>
          </cell>
          <cell r="F2051" t="str">
            <v>F0673</v>
          </cell>
          <cell r="G2051" t="str">
            <v>New Main Extensions (S)</v>
          </cell>
          <cell r="H2051" t="str">
            <v>Transwest Main Ext</v>
          </cell>
          <cell r="I2051" t="str">
            <v>in service</v>
          </cell>
          <cell r="J2051" t="str">
            <v>Install 1,640 feet of 4 inch plastic main extension to serve one new commercial customer - Transwest.</v>
          </cell>
          <cell r="K2051" t="str">
            <v>2 inch is minimum to serve - the 4 inch will allow us to connect to the new main to the south installed to serve the new Benton House of Raymore on the South Outer Road at Johnson Pkwy.</v>
          </cell>
          <cell r="L2051">
            <v>42440</v>
          </cell>
          <cell r="O2051">
            <v>42461</v>
          </cell>
          <cell r="P2051" t="str">
            <v>0906-016001  CASS CTY/BELTON W OF MULLIN RD</v>
          </cell>
          <cell r="Q2051">
            <v>74474.23</v>
          </cell>
          <cell r="R2051">
            <v>-3476</v>
          </cell>
        </row>
        <row r="2052">
          <cell r="A2052" t="str">
            <v>006556</v>
          </cell>
          <cell r="B2052" t="str">
            <v>LDC 2</v>
          </cell>
          <cell r="D2052" t="str">
            <v>no</v>
          </cell>
          <cell r="E2052" t="str">
            <v>20909143801</v>
          </cell>
          <cell r="F2052" t="str">
            <v>F0602</v>
          </cell>
          <cell r="G2052" t="str">
            <v>New business</v>
          </cell>
          <cell r="H2052" t="str">
            <v>HSC Industrial Coatings 2in Main Ex</v>
          </cell>
          <cell r="I2052" t="str">
            <v>posted to CPR</v>
          </cell>
          <cell r="J2052" t="str">
            <v>HSC Industrial Coatings: Pleasant Hill: New Main Extension - Contractor Crews  3760 (33-380)</v>
          </cell>
          <cell r="K2052" t="str">
            <v>Approved by: Ralph Janes on 09/22/2014,  Install 835' - 2" pe main extension to serve 2 new commercial customers. 220' - 1-1/4" pe service line to be installed to 1408 and 330' - 1-1/4" pe service line to be installed to 1500 on BWO.</v>
          </cell>
          <cell r="L2052">
            <v>41941</v>
          </cell>
          <cell r="M2052">
            <v>41973</v>
          </cell>
          <cell r="N2052">
            <v>42072.4304513889</v>
          </cell>
          <cell r="O2052">
            <v>41944</v>
          </cell>
          <cell r="P2052" t="str">
            <v>0909-016012  CASS CTY/PLEASANT HILL</v>
          </cell>
          <cell r="Q2052">
            <v>16885.29</v>
          </cell>
          <cell r="R2052">
            <v>-2060</v>
          </cell>
        </row>
        <row r="2053">
          <cell r="A2053" t="str">
            <v>009224</v>
          </cell>
          <cell r="B2053" t="str">
            <v>LDC 2</v>
          </cell>
          <cell r="D2053" t="str">
            <v>yes</v>
          </cell>
          <cell r="E2053" t="str">
            <v>20910155472</v>
          </cell>
          <cell r="F2053" t="str">
            <v>F0604</v>
          </cell>
          <cell r="G2053" t="str">
            <v>Main Replacement - ISRS (S)</v>
          </cell>
          <cell r="H2053" t="str">
            <v>Replace 2 PCS/PE &amp; 4in PCS/PE</v>
          </cell>
          <cell r="I2053" t="str">
            <v>posted to CPR</v>
          </cell>
          <cell r="J2053" t="str">
            <v>Replace 2in PCS/PE &amp; 4in PCS/PE: Holden: Replace Bare Steel Main - 3760 Safety Related (34-394)</v>
          </cell>
          <cell r="K2053" t="str">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ell>
          <cell r="L2053">
            <v>42564</v>
          </cell>
          <cell r="M2053">
            <v>42614</v>
          </cell>
          <cell r="N2053">
            <v>42710.599965277797</v>
          </cell>
          <cell r="O2053">
            <v>42552</v>
          </cell>
          <cell r="P2053" t="str">
            <v>0910-046008  JOHNSON CTY/HOLDEN</v>
          </cell>
          <cell r="Q2053">
            <v>172929.09</v>
          </cell>
          <cell r="R2053">
            <v>-2963</v>
          </cell>
        </row>
        <row r="2054">
          <cell r="A2054" t="str">
            <v>007180</v>
          </cell>
          <cell r="B2054" t="str">
            <v>LDC 2</v>
          </cell>
          <cell r="D2054" t="str">
            <v>no</v>
          </cell>
          <cell r="E2054" t="str">
            <v>20901144044</v>
          </cell>
          <cell r="F2054" t="str">
            <v>F0673</v>
          </cell>
          <cell r="G2054" t="str">
            <v>New Main Extensions (S)</v>
          </cell>
          <cell r="H2054" t="str">
            <v>2in PE Main Extension</v>
          </cell>
          <cell r="I2054" t="str">
            <v>posted to CPR</v>
          </cell>
          <cell r="J2054" t="str">
            <v>2in PE Main Extension: Lees Summit: New Main Extension - Company Crews  3760 (33-305)</v>
          </cell>
          <cell r="K2054" t="str">
            <v>Approved by: Ralph Janes on 12/16/2014,  Install 35' - 2" pe main extension to serve one new residential lot.  The main extension installed on Work Order 061412 did not extend far enough to catch Lot 203 due to a re-plat in 2011.  Installing this main now will prevent having to perform a rock bore under a driveway in the future.</v>
          </cell>
          <cell r="L2054">
            <v>41989</v>
          </cell>
          <cell r="M2054">
            <v>42094</v>
          </cell>
          <cell r="N2054">
            <v>42193.495358796303</v>
          </cell>
          <cell r="O2054">
            <v>42064</v>
          </cell>
          <cell r="P2054" t="str">
            <v>0901-043021  JACKSON CTY/LEE'S SUMMIT OFFIC</v>
          </cell>
          <cell r="Q2054">
            <v>1266.7</v>
          </cell>
          <cell r="R2054">
            <v>-33.5</v>
          </cell>
        </row>
        <row r="2055">
          <cell r="A2055" t="str">
            <v>004065</v>
          </cell>
          <cell r="B2055" t="str">
            <v>LDC 2</v>
          </cell>
          <cell r="D2055" t="str">
            <v>no</v>
          </cell>
          <cell r="E2055" t="str">
            <v>20513133123</v>
          </cell>
          <cell r="F2055" t="str">
            <v>F0677</v>
          </cell>
          <cell r="G2055" t="str">
            <v>New business</v>
          </cell>
          <cell r="H2055" t="str">
            <v>Prairie Hills Dr Lay 130'-4in PE ma</v>
          </cell>
          <cell r="I2055" t="str">
            <v>posted to CPR</v>
          </cell>
          <cell r="J2055" t="str">
            <v>Prairie Hills Dr Lay 130'-4in PE main ext: Carl Junction: Prairie Hills Dr E of County Rd 290</v>
          </cell>
          <cell r="K2055" t="str">
            <v>Approved by: Galen Shoemaker on 11/01/2013,  *MODOT PERMIT REQUIRED.  Lay 130' of 4" PE main to provide service for new customers and future customers.  Company elects to not charge due to the fact that the service can be provided with 75" of 4" PE, but are laying more for future growth.  Project Location: Prairie Hills Dr W of Highway JJ.  Pressure System: S-1.  MOP: 40 PSIG.  MAOP: 60 PSIG.  Design: 60 PSIG.  Test: 100 PSIG.  Price Per Foot: $39.06.</v>
          </cell>
          <cell r="L2055">
            <v>41607</v>
          </cell>
          <cell r="M2055">
            <v>41729</v>
          </cell>
          <cell r="N2055">
            <v>41733.309953703698</v>
          </cell>
          <cell r="O2055">
            <v>41730</v>
          </cell>
          <cell r="P2055" t="str">
            <v>0513-044020  JASPER CTY/CARL JUNCTION</v>
          </cell>
          <cell r="Q2055">
            <v>10180.75</v>
          </cell>
          <cell r="R2055">
            <v>690</v>
          </cell>
        </row>
        <row r="2056">
          <cell r="A2056" t="str">
            <v>800490</v>
          </cell>
          <cell r="B2056" t="str">
            <v>LDC 2</v>
          </cell>
          <cell r="D2056" t="str">
            <v>no</v>
          </cell>
          <cell r="F2056" t="str">
            <v>F0647</v>
          </cell>
          <cell r="G2056" t="str">
            <v>New Main Extensions (N)</v>
          </cell>
          <cell r="H2056" t="str">
            <v>Inst 472F 2P N Cosby-Stonecrest NB</v>
          </cell>
          <cell r="I2056" t="str">
            <v>in service</v>
          </cell>
          <cell r="J2056" t="str">
            <v>Install 55 ft of 2 in IP PE main, 417 ft of 4 in IP PE main and install 448 ft of 2 in IP PE service to serve new customers N Cosby Ave - Stone Crest</v>
          </cell>
          <cell r="L2056">
            <v>42667</v>
          </cell>
          <cell r="O2056">
            <v>42644</v>
          </cell>
          <cell r="P2056" t="str">
            <v>1251-075010  PLATTE CTY/KANSAS CITY NORTH</v>
          </cell>
          <cell r="Q2056">
            <v>27130.639999999999</v>
          </cell>
          <cell r="R2056">
            <v>-1885</v>
          </cell>
        </row>
        <row r="2057">
          <cell r="A2057" t="str">
            <v>007476</v>
          </cell>
          <cell r="B2057" t="str">
            <v>LDC 2</v>
          </cell>
          <cell r="D2057" t="str">
            <v>no</v>
          </cell>
          <cell r="E2057" t="str">
            <v>21251144050</v>
          </cell>
          <cell r="F2057" t="str">
            <v>F0610</v>
          </cell>
          <cell r="G2057" t="str">
            <v>New business</v>
          </cell>
          <cell r="H2057" t="str">
            <v>Main Extension - Burger King</v>
          </cell>
          <cell r="I2057" t="str">
            <v>posted to CPR</v>
          </cell>
          <cell r="J2057" t="str">
            <v>Main Extension - Burger King: Kansas City-Platte Co: New Main Extension - Contractor Crews  3760 (33-380)</v>
          </cell>
          <cell r="K2057" t="str">
            <v>Approved by: Gary Williams on 01/19/2015,  Extend main 650' of 2'' PE to serve Burger King.  Contribution - $5,861 per WOES</v>
          </cell>
          <cell r="L2057">
            <v>42014</v>
          </cell>
          <cell r="M2057">
            <v>42248</v>
          </cell>
          <cell r="N2057">
            <v>42284.723078703697</v>
          </cell>
          <cell r="O2057">
            <v>42036</v>
          </cell>
          <cell r="P2057" t="str">
            <v>1251-075010  PLATTE CTY/KANSAS CITY NORTH</v>
          </cell>
          <cell r="Q2057">
            <v>9984.74</v>
          </cell>
          <cell r="R2057">
            <v>-1605</v>
          </cell>
        </row>
        <row r="2058">
          <cell r="A2058" t="str">
            <v>007319</v>
          </cell>
          <cell r="B2058" t="str">
            <v>LDC 2</v>
          </cell>
          <cell r="D2058" t="str">
            <v>yes</v>
          </cell>
          <cell r="E2058" t="str">
            <v>21251143731</v>
          </cell>
          <cell r="F2058" t="str">
            <v>F0665</v>
          </cell>
          <cell r="G2058" t="str">
            <v>Replace steel &amp; plastic main</v>
          </cell>
          <cell r="H2058" t="str">
            <v>Replace Thin Film with 4in and 2in</v>
          </cell>
          <cell r="I2058" t="str">
            <v>posted to CPR</v>
          </cell>
          <cell r="J2058" t="str">
            <v>Replace Thin Film with 4in and 2in PE: Kansas City-Platte Co: Replace Coated Steel &amp; Plastic Main - 3760 (34-396)</v>
          </cell>
          <cell r="K2058" t="str">
            <v>Approved by: Gary Williams on 01/05/2015,  LAY 188'-4" PE &amp; 218'-2" PE DUE TO LEAK ON EXISTING 5" PCS.</v>
          </cell>
          <cell r="L2058">
            <v>42067</v>
          </cell>
          <cell r="M2058">
            <v>42124</v>
          </cell>
          <cell r="N2058">
            <v>42223.566851851901</v>
          </cell>
          <cell r="O2058">
            <v>42125</v>
          </cell>
          <cell r="P2058" t="str">
            <v>1251-075010  PLATTE CTY/KANSAS CITY NORTH</v>
          </cell>
          <cell r="Q2058">
            <v>18418.14</v>
          </cell>
          <cell r="R2058">
            <v>-1251.5</v>
          </cell>
        </row>
        <row r="2059">
          <cell r="A2059" t="str">
            <v>004373</v>
          </cell>
          <cell r="B2059" t="str">
            <v>LDC 2</v>
          </cell>
          <cell r="D2059" t="str">
            <v>yes</v>
          </cell>
          <cell r="E2059" t="str">
            <v>21260132960</v>
          </cell>
          <cell r="F2059" t="str">
            <v>F0636</v>
          </cell>
          <cell r="G2059" t="str">
            <v>Replace steel &amp; plastic main</v>
          </cell>
          <cell r="H2059" t="str">
            <v>8875 Clark Abandon 20'-2in PE</v>
          </cell>
          <cell r="I2059" t="str">
            <v>posted to CPR</v>
          </cell>
          <cell r="J2059" t="str">
            <v>8875 Clark Abandon 20'-2in PE: Parkville: 8875 Clark</v>
          </cell>
          <cell r="K2059" t="str">
            <v>Approved by: Kevin Driskell on 09/12/2013,  Abandon 20' of 2in PE (WO 04-6711). Main no longer needed. Work done by MGE crew.  PRESSURE SYSTEM S-661, MOP=25#, MAOP=60#</v>
          </cell>
          <cell r="L2059">
            <v>41440</v>
          </cell>
          <cell r="M2059">
            <v>41626</v>
          </cell>
          <cell r="N2059">
            <v>41627.582916666703</v>
          </cell>
          <cell r="P2059" t="str">
            <v>1260-075020  PLATTE CTY/PARKVILLE</v>
          </cell>
          <cell r="Q2059">
            <v>2014.98</v>
          </cell>
          <cell r="R2059">
            <v>42</v>
          </cell>
        </row>
        <row r="2060">
          <cell r="A2060" t="str">
            <v>800336</v>
          </cell>
          <cell r="B2060" t="str">
            <v>LDC 2</v>
          </cell>
          <cell r="C2060" t="str">
            <v>03 - Bare Steel Replacement</v>
          </cell>
          <cell r="D2060" t="str">
            <v>yes</v>
          </cell>
          <cell r="F2060" t="str">
            <v>F0599</v>
          </cell>
          <cell r="G2060" t="str">
            <v>Main Replacement - ISRS (N)</v>
          </cell>
          <cell r="H2060" t="str">
            <v>Repl w/ 3147F 4-8P St Joe's Ph2B</v>
          </cell>
          <cell r="I2060" t="str">
            <v>open</v>
          </cell>
          <cell r="J2060" t="str">
            <v>Install 300 Ft of 4 in and 2847 Ft of 8 in PL IP main for St Joseph South Grid Phase 2B.Abandon 252 Ft of 2 in PL, 220 Ft of 4 in PL, 205 Ft of 2 in ST, 2257 Ft of 4 in ST, 57 Ft of 6 in ST and 5 Ft of 6 in CI LP main.</v>
          </cell>
          <cell r="K2060" t="str">
            <v>This main is being replaced as part of FY16 Bare Steel Replacement Program.
Total Service Tie-over = 47; Total Service Abandoned = 5; Total Service Replace = 4; Total Service Upgrade = 115</v>
          </cell>
          <cell r="P2060" t="str">
            <v>1001-010001  ST. JOSEPH CITY/BUCHANAN</v>
          </cell>
          <cell r="Q2060">
            <v>123706.88</v>
          </cell>
          <cell r="R2060">
            <v>-859.5</v>
          </cell>
        </row>
        <row r="2061">
          <cell r="A2061" t="str">
            <v>007675</v>
          </cell>
          <cell r="B2061" t="str">
            <v>LDC 2</v>
          </cell>
          <cell r="D2061" t="str">
            <v>no</v>
          </cell>
          <cell r="E2061" t="str">
            <v>21001143673</v>
          </cell>
          <cell r="F2061" t="str">
            <v>F0647</v>
          </cell>
          <cell r="G2061" t="str">
            <v>New Main Extensions (N)</v>
          </cell>
          <cell r="H2061" t="str">
            <v>GREYSTONE-4</v>
          </cell>
          <cell r="I2061" t="str">
            <v>posted to CPR</v>
          </cell>
          <cell r="J2061" t="str">
            <v>GREYSTONE-4: St Joseph: New Main Extension - Company Crews  3760 (33-305)</v>
          </cell>
          <cell r="K2061" t="str">
            <v>Approved by: Gary Williams on 02/19/2015,  LAY 1,477'-4" PE &amp; 450'-2" PE TO SERVE 23 LOTS.  LOTS 159-181.</v>
          </cell>
          <cell r="L2061">
            <v>42121</v>
          </cell>
          <cell r="M2061">
            <v>42216</v>
          </cell>
          <cell r="N2061">
            <v>42256.642025462999</v>
          </cell>
          <cell r="O2061">
            <v>42095</v>
          </cell>
          <cell r="P2061" t="str">
            <v>1001-010001  ST. JOSEPH CITY/BUCHANAN</v>
          </cell>
          <cell r="Q2061">
            <v>22946.76</v>
          </cell>
          <cell r="R2061">
            <v>-3894</v>
          </cell>
        </row>
        <row r="2062">
          <cell r="A2062" t="str">
            <v>007720</v>
          </cell>
          <cell r="B2062" t="str">
            <v>LDC 2</v>
          </cell>
          <cell r="D2062" t="str">
            <v>no</v>
          </cell>
          <cell r="E2062" t="str">
            <v>21001155165</v>
          </cell>
          <cell r="F2062" t="str">
            <v>F0483</v>
          </cell>
          <cell r="G2062" t="str">
            <v>Meter &amp; regulator settings - 2" &amp; l</v>
          </cell>
          <cell r="H2062" t="str">
            <v>Triumph Foods-Daileys Meats 38M Mtr</v>
          </cell>
          <cell r="I2062" t="str">
            <v>in service</v>
          </cell>
          <cell r="J2062" t="str">
            <v>Triumph Foods-Daileys Premium Meats: St Joseph: New Meter &amp; Reg Settings - 2&amp;quot; &amp; Larger 3820/3830 (33-382)</v>
          </cell>
          <cell r="K2062" t="str">
            <v>Approved by: Gary Williams on 02/25/2015,  To install new 38m meter set for new Triumph Foods bacon plant.
Total load=31,750 cfh, delivery pressure of 5#
Will require first cut second cut at property line.</v>
          </cell>
          <cell r="L2062">
            <v>42629</v>
          </cell>
          <cell r="O2062">
            <v>42614</v>
          </cell>
          <cell r="P2062" t="str">
            <v>1001-010001  ST. JOSEPH CITY/BUCHANAN</v>
          </cell>
          <cell r="Q2062">
            <v>4648.8</v>
          </cell>
          <cell r="R2062">
            <v>-111.5</v>
          </cell>
        </row>
        <row r="2063">
          <cell r="A2063" t="str">
            <v>004153</v>
          </cell>
          <cell r="B2063" t="str">
            <v>LDC 2</v>
          </cell>
          <cell r="D2063" t="str">
            <v>yes</v>
          </cell>
          <cell r="E2063" t="str">
            <v>20901050301</v>
          </cell>
          <cell r="F2063" t="str">
            <v>F0513</v>
          </cell>
          <cell r="G2063" t="str">
            <v>BWO Service Line Repl - ISRS (S)</v>
          </cell>
          <cell r="H2063" t="str">
            <v>BWO-Repl Svc w/ Pls (South Reg)</v>
          </cell>
          <cell r="I2063" t="str">
            <v>open</v>
          </cell>
          <cell r="J2063" t="str">
            <v>BWO-Replace Service w/ Plastic (South Region)</v>
          </cell>
          <cell r="K2063" t="str">
            <v>Project Type:B</v>
          </cell>
          <cell r="O2063">
            <v>41730</v>
          </cell>
          <cell r="P2063" t="str">
            <v>0901-043021  JACKSON CTY/LEE'S SUMMIT OFFIC</v>
          </cell>
          <cell r="Q2063">
            <v>4753162.28</v>
          </cell>
          <cell r="R2063">
            <v>-107538.52</v>
          </cell>
        </row>
        <row r="2064">
          <cell r="A2064" t="str">
            <v>009126</v>
          </cell>
          <cell r="B2064" t="str">
            <v>LDC 2</v>
          </cell>
          <cell r="D2064" t="str">
            <v>no</v>
          </cell>
          <cell r="E2064" t="str">
            <v>21251155389</v>
          </cell>
          <cell r="F2064" t="str">
            <v>F0610</v>
          </cell>
          <cell r="G2064" t="str">
            <v>New business</v>
          </cell>
          <cell r="H2064" t="str">
            <v>Hawksbury 4th Plat Main Extension</v>
          </cell>
          <cell r="I2064" t="str">
            <v>posted to CPR</v>
          </cell>
          <cell r="J2064" t="str">
            <v>Hawksbury 4th Plat Main Extension: Kansas City-Platte Co: New Main Extension - Contractor Crews  3760 (33-380)</v>
          </cell>
          <cell r="K2064" t="str">
            <v>Approved by: Gary Williams on 07/31/2015,  Extend 2,002' of 2'' PE in order to serve lots 135-176 this will serve 34 new residential customers; Hawksbury 4th Plat. Pressure System S-601. Coordinate for any staking necessary before construction.</v>
          </cell>
          <cell r="L2064">
            <v>42278</v>
          </cell>
          <cell r="M2064">
            <v>42461</v>
          </cell>
          <cell r="N2064">
            <v>42496.5608796296</v>
          </cell>
          <cell r="O2064">
            <v>42278</v>
          </cell>
          <cell r="P2064" t="str">
            <v>1251-075010  PLATTE CTY/KANSAS CITY NORTH</v>
          </cell>
          <cell r="Q2064">
            <v>24071.919999999998</v>
          </cell>
          <cell r="R2064">
            <v>-4316.5</v>
          </cell>
        </row>
        <row r="2065">
          <cell r="A2065" t="str">
            <v>800135</v>
          </cell>
          <cell r="B2065" t="str">
            <v>LDC 2</v>
          </cell>
          <cell r="C2065" t="str">
            <v>03 - Bare Steel Replacement</v>
          </cell>
          <cell r="D2065" t="str">
            <v>yes</v>
          </cell>
          <cell r="F2065" t="str">
            <v>F0599</v>
          </cell>
          <cell r="G2065" t="str">
            <v>Main Replacement - ISRS (N)</v>
          </cell>
          <cell r="H2065" t="str">
            <v>St. Joe's South Phase 1A - MGE</v>
          </cell>
          <cell r="I2065" t="str">
            <v>in service</v>
          </cell>
          <cell r="J2065" t="str">
            <v>Inst 236 Ft of 4 in PL LP, 617 Ft of 2 in PL LP and 1478 Ft of 6 in PL IP main for St Joseph Grid Phase 1A. Abandon 157 Ft of 2 PL LP, 816 Ft of 2 in PBS LP, 498 Ft of 2 in PCS LP, 170 Ft of 4 in PBS LP, and 1402 Ft of 4 in PBS IP Main</v>
          </cell>
          <cell r="K2065" t="str">
            <v>This main is being replaced as part of the FY 2016 Bare Steel Replacement Program.</v>
          </cell>
          <cell r="L2065">
            <v>42613</v>
          </cell>
          <cell r="O2065">
            <v>42583</v>
          </cell>
          <cell r="P2065" t="str">
            <v>1001-010001  ST. JOSEPH CITY/BUCHANAN</v>
          </cell>
          <cell r="Q2065">
            <v>495081.11</v>
          </cell>
          <cell r="R2065">
            <v>-3856</v>
          </cell>
        </row>
        <row r="2066">
          <cell r="A2066" t="str">
            <v>004896</v>
          </cell>
          <cell r="B2066" t="str">
            <v>LDC 2</v>
          </cell>
          <cell r="D2066" t="str">
            <v>no</v>
          </cell>
          <cell r="E2066" t="str">
            <v>21001143404</v>
          </cell>
          <cell r="F2066" t="str">
            <v>F0560</v>
          </cell>
          <cell r="G2066" t="str">
            <v>Tools, instruments &amp; equipment</v>
          </cell>
          <cell r="H2066" t="str">
            <v>PUR- 2IN PIPE SCRAPER &amp; 2IN MAIN SC</v>
          </cell>
          <cell r="I2066" t="str">
            <v>posted to CPR</v>
          </cell>
          <cell r="J2066" t="str">
            <v>PUR- 2IN PIPE SCRAPER &amp; 2IN MAIN SCRAPER: St Joseph: Purchase Tools, Instruments &amp; Equipment  3940 (37-366)</v>
          </cell>
          <cell r="K2066" t="str">
            <v>Approved by: Gary Williams on 03/24/2014,  PURCHASE-1 2IN Pipe scraper (split peeler), 2in Main scraper and 1 1/4in &amp; 2in multi-ze scraper. These will be used by the C&amp;M crews to scrape plastic pipe. Groebner only vendor that handles these instruments. This is to replace the non-repairable and obsolete ones they are using now.</v>
          </cell>
          <cell r="L2066">
            <v>41744</v>
          </cell>
          <cell r="M2066">
            <v>41913</v>
          </cell>
          <cell r="N2066">
            <v>41953.662615740701</v>
          </cell>
          <cell r="O2066">
            <v>41821</v>
          </cell>
          <cell r="P2066" t="str">
            <v>1001-010001  ST. JOSEPH CITY/BUCHANAN</v>
          </cell>
          <cell r="Q2066">
            <v>1864.96</v>
          </cell>
          <cell r="R2066">
            <v>3</v>
          </cell>
        </row>
        <row r="2067">
          <cell r="A2067" t="str">
            <v>004086</v>
          </cell>
          <cell r="B2067" t="str">
            <v>LDC 2</v>
          </cell>
          <cell r="D2067" t="str">
            <v>no</v>
          </cell>
          <cell r="E2067" t="str">
            <v>21001133158</v>
          </cell>
          <cell r="F2067" t="str">
            <v>F0483</v>
          </cell>
          <cell r="G2067" t="str">
            <v>Meter &amp; regulator settings - 2" &amp; l</v>
          </cell>
          <cell r="H2067" t="str">
            <v>NE ELEM SCHOOL-5M 4901 Cook Rd</v>
          </cell>
          <cell r="I2067" t="str">
            <v>posted to CPR</v>
          </cell>
          <cell r="J2067" t="str">
            <v>NE ELEM SCHOOL-5M 4901 Cook Rd: St Joseph: 4901 COOK RD</v>
          </cell>
          <cell r="K2067" t="str">
            <v>Approved by: Gary Williams on 11/15/2013,  This work order is necessary to install a 5M roots meter set to service one commercial customer. We'll set a 2in CL-34-2 regulator at 2psig with a 1in 289H-41 relief set at 3psig with a 3/8 orifice size and brown spring for a connected load of 5,027cfh.</v>
          </cell>
          <cell r="L2067">
            <v>41625</v>
          </cell>
          <cell r="M2067">
            <v>42491</v>
          </cell>
          <cell r="N2067">
            <v>42527.354375000003</v>
          </cell>
          <cell r="O2067">
            <v>42186</v>
          </cell>
          <cell r="P2067" t="str">
            <v>1001-010001  ST. JOSEPH CITY/BUCHANAN</v>
          </cell>
          <cell r="Q2067">
            <v>4491.96</v>
          </cell>
          <cell r="R2067">
            <v>14</v>
          </cell>
        </row>
        <row r="2068">
          <cell r="A2068" t="str">
            <v>004034</v>
          </cell>
          <cell r="B2068" t="str">
            <v>LDC 2</v>
          </cell>
          <cell r="D2068" t="str">
            <v>yes</v>
          </cell>
          <cell r="E2068" t="str">
            <v>21001143357</v>
          </cell>
          <cell r="F2068" t="str">
            <v>F0504</v>
          </cell>
          <cell r="G2068" t="str">
            <v>Replace bare steel main - safety re</v>
          </cell>
          <cell r="H2068" t="str">
            <v>35th &amp; Jackson Repl PBS w 680-4in P</v>
          </cell>
          <cell r="I2068" t="str">
            <v>posted to CPR</v>
          </cell>
          <cell r="J2068" t="str">
            <v>35th &amp; Jackson Repl PBS w 680-4in PE main: St Joseph: 35TH ST AND JACKSON ST</v>
          </cell>
          <cell r="K2068" t="str">
            <v>Approved by: Gary Williams on 03/03/2014,  TO LAY 680FT-4PE MAIN TO REPLACE 666FT-4 BARE STEEL MAIN.Due to other leakage on pipe.Cost per foot:$40.16 MOP:14oz MAOP: 21oz Design MAOP:14oz Test Pressure:100 PSIG.</v>
          </cell>
          <cell r="L2068">
            <v>41734</v>
          </cell>
          <cell r="M2068">
            <v>41821</v>
          </cell>
          <cell r="N2068">
            <v>41936.625578703701</v>
          </cell>
          <cell r="O2068">
            <v>41730</v>
          </cell>
          <cell r="P2068" t="str">
            <v>1001-010001  ST. JOSEPH CITY/BUCHANAN</v>
          </cell>
          <cell r="Q2068">
            <v>31423.86</v>
          </cell>
          <cell r="R2068">
            <v>1111</v>
          </cell>
        </row>
        <row r="2069">
          <cell r="A2069" t="str">
            <v>003936</v>
          </cell>
          <cell r="B2069" t="str">
            <v>LDC 2</v>
          </cell>
          <cell r="D2069" t="str">
            <v>yes</v>
          </cell>
          <cell r="E2069" t="str">
            <v>21001050367</v>
          </cell>
          <cell r="F2069" t="str">
            <v>F0563</v>
          </cell>
          <cell r="G2069" t="str">
            <v>SLRP - materials - company crews</v>
          </cell>
          <cell r="H2069" t="str">
            <v>BWO MATERIAL SERV LINE REPL COMP</v>
          </cell>
          <cell r="I2069" t="str">
            <v>posted to CPR</v>
          </cell>
          <cell r="J2069" t="str">
            <v>BWO MATERIAL SERV LINE REPL COMP</v>
          </cell>
          <cell r="K2069" t="str">
            <v>Project Type:B</v>
          </cell>
          <cell r="L2069">
            <v>41717</v>
          </cell>
          <cell r="M2069">
            <v>41717</v>
          </cell>
          <cell r="N2069">
            <v>41717</v>
          </cell>
          <cell r="P2069" t="str">
            <v>1001-010001  ST. JOSEPH CITY/BUCHANAN</v>
          </cell>
          <cell r="Q2069">
            <v>-100.81</v>
          </cell>
          <cell r="R2069">
            <v>0</v>
          </cell>
        </row>
        <row r="2070">
          <cell r="A2070" t="str">
            <v>004401</v>
          </cell>
          <cell r="B2070" t="str">
            <v>LDC 2</v>
          </cell>
          <cell r="D2070" t="str">
            <v>no</v>
          </cell>
          <cell r="E2070" t="str">
            <v>21001050309</v>
          </cell>
          <cell r="F2070" t="str">
            <v>F0489</v>
          </cell>
          <cell r="G2070" t="str">
            <v>Service line locates</v>
          </cell>
          <cell r="H2070" t="str">
            <v>BWO LINE LOCATES-REPL SERVICES ONLY</v>
          </cell>
          <cell r="I2070" t="str">
            <v>posted to CPR</v>
          </cell>
          <cell r="J2070" t="str">
            <v>BWO LINE LOCATES-REPL SERVICES ONLY</v>
          </cell>
          <cell r="K2070" t="str">
            <v>Project Type:B</v>
          </cell>
          <cell r="L2070">
            <v>41717</v>
          </cell>
          <cell r="M2070">
            <v>41717</v>
          </cell>
          <cell r="N2070">
            <v>41717</v>
          </cell>
          <cell r="P2070" t="str">
            <v>1001-010001  ST. JOSEPH CITY/BUCHANAN</v>
          </cell>
          <cell r="Q2070">
            <v>3014.48</v>
          </cell>
          <cell r="R2070">
            <v>51</v>
          </cell>
        </row>
        <row r="2071">
          <cell r="A2071" t="str">
            <v>800764</v>
          </cell>
          <cell r="B2071" t="str">
            <v>LDC 2</v>
          </cell>
          <cell r="D2071" t="str">
            <v>no</v>
          </cell>
          <cell r="F2071" t="str">
            <v>F0647</v>
          </cell>
          <cell r="G2071" t="str">
            <v>New Main Extensions (N)</v>
          </cell>
          <cell r="H2071" t="str">
            <v>Install 1994F 2-8P Vista Ridge</v>
          </cell>
          <cell r="I2071" t="str">
            <v>in service</v>
          </cell>
          <cell r="J2071" t="str">
            <v>Install 677 ft of 2 in IP PE main and 1317 ft of 8 in IP PE main to serve new residential customers.</v>
          </cell>
          <cell r="L2071">
            <v>42753</v>
          </cell>
          <cell r="O2071">
            <v>42736</v>
          </cell>
          <cell r="P2071" t="str">
            <v>1002-002001  ANDREW CTY/SAVANNAH</v>
          </cell>
          <cell r="Q2071">
            <v>268946.59999999998</v>
          </cell>
          <cell r="R2071">
            <v>-1292.5</v>
          </cell>
        </row>
        <row r="2072">
          <cell r="A2072" t="str">
            <v>004126</v>
          </cell>
          <cell r="B2072" t="str">
            <v>LDC 2</v>
          </cell>
          <cell r="D2072" t="str">
            <v>yes</v>
          </cell>
          <cell r="E2072" t="str">
            <v>21204133050</v>
          </cell>
          <cell r="F2072" t="str">
            <v>F0503</v>
          </cell>
          <cell r="G2072" t="str">
            <v>Rectifier New/Repl ISRS (N)</v>
          </cell>
          <cell r="H2072" t="str">
            <v>Glenaire Rectifier/Ground Bed Repl</v>
          </cell>
          <cell r="I2072" t="str">
            <v>posted to CPR</v>
          </cell>
          <cell r="J2072" t="str">
            <v>Glenaire Rectifier/Ground Bed Repl 196: Glenaire: 315 N Campbell</v>
          </cell>
          <cell r="K2072" t="str">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ell>
          <cell r="L2072">
            <v>41625</v>
          </cell>
          <cell r="M2072">
            <v>41729</v>
          </cell>
          <cell r="N2072">
            <v>41733.309942129599</v>
          </cell>
          <cell r="O2072">
            <v>41730</v>
          </cell>
          <cell r="P2072" t="str">
            <v>1204-020010  CLAY CTY/PLEASANT VALLEY</v>
          </cell>
          <cell r="Q2072">
            <v>19167.490000000002</v>
          </cell>
          <cell r="R2072">
            <v>592</v>
          </cell>
        </row>
        <row r="2073">
          <cell r="A2073" t="str">
            <v>004302</v>
          </cell>
          <cell r="B2073" t="str">
            <v>LDC 2</v>
          </cell>
          <cell r="D2073" t="str">
            <v>no</v>
          </cell>
          <cell r="E2073" t="str">
            <v>21215132336</v>
          </cell>
          <cell r="F2073" t="str">
            <v>F0639</v>
          </cell>
          <cell r="G2073" t="str">
            <v>EGM Equip-1st Time Installation</v>
          </cell>
          <cell r="H2073" t="str">
            <v>EGM Mr Dell Foods Inc</v>
          </cell>
          <cell r="I2073" t="str">
            <v>posted to CPR</v>
          </cell>
          <cell r="J2073" t="str">
            <v>EGM Mr Dell Foods Inc: Kearney: 300 W. Major St., Kearney, Mo. 64060</v>
          </cell>
          <cell r="K2073" t="str">
            <v>Approved by: Rob Kitterman on 01/16/2013,  Install Mercury MiniMax-AT-T on Roots 11M meter no 00237631 to monitor daily gas usage of this transportation customer. Customer will reimburse company actual cost for EGM installation not to exceed $5,445.00, which should be coded to account 1072. ATTENTION: Plant &amp; Property Accounting, EGM work order, turn off A&amp;G indicator.</v>
          </cell>
          <cell r="L2073">
            <v>41377</v>
          </cell>
          <cell r="M2073">
            <v>41670</v>
          </cell>
          <cell r="N2073">
            <v>41677.509837963</v>
          </cell>
          <cell r="O2073">
            <v>42125</v>
          </cell>
          <cell r="P2073" t="str">
            <v>1215-020023  CLAY CTY/KEARNEY</v>
          </cell>
          <cell r="Q2073">
            <v>0</v>
          </cell>
          <cell r="R2073">
            <v>4</v>
          </cell>
        </row>
        <row r="2074">
          <cell r="A2074" t="str">
            <v>004573</v>
          </cell>
          <cell r="B2074" t="str">
            <v>LDC 2</v>
          </cell>
          <cell r="D2074" t="str">
            <v>no</v>
          </cell>
          <cell r="E2074" t="str">
            <v>20913132905</v>
          </cell>
          <cell r="F2074" t="str">
            <v>F0514</v>
          </cell>
          <cell r="G2074" t="str">
            <v>Other relocates</v>
          </cell>
          <cell r="H2074" t="str">
            <v>Adriatic &amp; Vine Reloc 41'-4in PCS</v>
          </cell>
          <cell r="I2074" t="str">
            <v>posted to CPR</v>
          </cell>
          <cell r="J2074" t="str">
            <v>Adriatic &amp; Vine Reloc 41'-4in PCS: Kingsville: Adriatic and Vine Kingsville School</v>
          </cell>
          <cell r="K2074" t="str">
            <v>Approved by: Ralph Janes on 08/14/2013,  Relocate 4in thin film for the Kingsville School parking lot driveway. Install 41' of 4in PCS and retire 16' - 3in PCS and 25' - 4in PCS (both from WO# 66-4689). Project is reimbursible.</v>
          </cell>
          <cell r="L2074">
            <v>41514</v>
          </cell>
          <cell r="M2074">
            <v>41599</v>
          </cell>
          <cell r="N2074">
            <v>41603.384664351797</v>
          </cell>
          <cell r="P2074" t="str">
            <v>0913-046011  JOHNSON CTY/KINGSVILLE</v>
          </cell>
          <cell r="Q2074">
            <v>114.37</v>
          </cell>
          <cell r="R2074">
            <v>121</v>
          </cell>
        </row>
        <row r="2075">
          <cell r="A2075" t="str">
            <v>004508</v>
          </cell>
          <cell r="B2075" t="str">
            <v>LDC 2</v>
          </cell>
          <cell r="D2075" t="str">
            <v>yes</v>
          </cell>
          <cell r="E2075" t="str">
            <v>20926121995</v>
          </cell>
          <cell r="F2075" t="str">
            <v>F0514</v>
          </cell>
          <cell r="G2075" t="str">
            <v>Other relocates</v>
          </cell>
          <cell r="H2075" t="str">
            <v>26th &amp; Broadway Reloc  434'-4in PE</v>
          </cell>
          <cell r="I2075" t="str">
            <v>posted to CPR</v>
          </cell>
          <cell r="J2075" t="str">
            <v>22nd &amp; Broadway Reloc  434'-4in PE main MoDot Proj: Oak Grove: Broadway south of 22nd</v>
          </cell>
          <cell r="K2075" t="str">
            <v>Approved by: Ralph Janes on 01/10/2013,  Relocate 2&amp;quot;, 4&amp;quot;, and 6&amp;quot; PE for MoDOT project J4P2267. Route F (Broadway) is to be widened with storm structures installed. From 24th St south to the end of our main south of 26th St, we are in a utility easement, so this WO is completely reimbusable. Main to retire: 55' - 2&amp;quot; PE and 65' - 4&amp;quot; PE (WO# 88-5089); 10' - 2&amp;quot; PE and 45' - 4&amp;quot; PE (WO# 98-5623); and 10' - 6&amp;quot; PE (WO# 00-0555). Main to install: 234' - 4&amp;quot; PE and 4' - 2&amp;quot; PE.</v>
          </cell>
          <cell r="L2075">
            <v>41522</v>
          </cell>
          <cell r="M2075">
            <v>41608</v>
          </cell>
          <cell r="N2075">
            <v>41612.478252314802</v>
          </cell>
          <cell r="P2075" t="str">
            <v>0926-043037  JACKSON CTY/OAK GROVE</v>
          </cell>
          <cell r="Q2075">
            <v>32360.55</v>
          </cell>
          <cell r="R2075">
            <v>1011</v>
          </cell>
        </row>
        <row r="2076">
          <cell r="A2076" t="str">
            <v>801080</v>
          </cell>
          <cell r="B2076" t="str">
            <v>LDC 2</v>
          </cell>
          <cell r="C2076" t="str">
            <v>09 - Facility Relocation due to Civic Improvement</v>
          </cell>
          <cell r="D2076" t="str">
            <v>yes</v>
          </cell>
          <cell r="F2076" t="str">
            <v>F0547</v>
          </cell>
          <cell r="G2076" t="str">
            <v>Street &amp; Highway Relocates ISRS (N)</v>
          </cell>
          <cell r="H2076" t="str">
            <v>Reloc 2127F 2-4-6P Pleasant Val Ph2</v>
          </cell>
          <cell r="I2076" t="str">
            <v>open</v>
          </cell>
          <cell r="J2076" t="str">
            <v>Install ~63 ft of 2 in PL IP main, ~1041 ft of 4 in PL IP main, and ~1023 ft of 6 in PL IP main along Pleasant Valley Rd from N. Indiana to NE 63rd Ter.</v>
          </cell>
          <cell r="K2076" t="str">
            <v>Retire ~20 ft of 2 in PL IP main, ~39 ft of 2 in ST IP main, ~26 ft of 4 in ST IP main, and ~1913 ft of 6 in ST IP main at above locations. Total Service Tie-over = 4. This main is being replaced due to public improvement project.</v>
          </cell>
          <cell r="P2076" t="str">
            <v>1274-020045  CLAY CTY/GLADSTONE</v>
          </cell>
          <cell r="Q2076">
            <v>0</v>
          </cell>
          <cell r="R2076">
            <v>1998</v>
          </cell>
        </row>
        <row r="2077">
          <cell r="A2077" t="str">
            <v>008954</v>
          </cell>
          <cell r="B2077" t="str">
            <v>LDC 2</v>
          </cell>
          <cell r="D2077" t="str">
            <v>no</v>
          </cell>
          <cell r="E2077" t="str">
            <v>20101155442</v>
          </cell>
          <cell r="F2077" t="str">
            <v>F0577</v>
          </cell>
          <cell r="G2077" t="str">
            <v>ERT Purchases</v>
          </cell>
          <cell r="H2077" t="str">
            <v>Purchase New 100G Sprague Residenti</v>
          </cell>
          <cell r="I2077" t="str">
            <v>posted to CPR</v>
          </cell>
          <cell r="J2077" t="str">
            <v>Purchase New 100G Sprague Residential Erts : Kansas City CORP: Purchase ERT (Electronic Reading Transmitter)  3971 (32-312)</v>
          </cell>
          <cell r="K2077" t="str">
            <v>Approved by: John Jankovich on 07/14/2015,  Following purchase is for stock / Ert Changeout Program.</v>
          </cell>
          <cell r="L2077">
            <v>42460</v>
          </cell>
          <cell r="M2077">
            <v>42461</v>
          </cell>
          <cell r="N2077">
            <v>42496.560798611099</v>
          </cell>
          <cell r="O2077">
            <v>42461</v>
          </cell>
          <cell r="P2077" t="str">
            <v>1904-043050  JACKSON CTY/KC</v>
          </cell>
          <cell r="Q2077">
            <v>123379.2</v>
          </cell>
          <cell r="R2077">
            <v>3200</v>
          </cell>
        </row>
        <row r="2078">
          <cell r="A2078" t="str">
            <v>007219</v>
          </cell>
          <cell r="B2078" t="str">
            <v>LDC 2</v>
          </cell>
          <cell r="D2078" t="str">
            <v>no</v>
          </cell>
          <cell r="E2078" t="str">
            <v>20101144014</v>
          </cell>
          <cell r="F2078" t="str">
            <v>F0529</v>
          </cell>
          <cell r="G2078" t="str">
            <v>Meter Purchases - MGE</v>
          </cell>
          <cell r="H2078" t="str">
            <v>Pur 2000 I-250 Itron Mtrs August 20</v>
          </cell>
          <cell r="I2078" t="str">
            <v>posted to CPR</v>
          </cell>
          <cell r="J2078" t="str">
            <v>Pur 2000 I-250 Itron Mtrs August 2015  : Kansas City CORP: Purchase Domestic Diaphragm  Meters - 3810 (32-398)</v>
          </cell>
          <cell r="K2078" t="str">
            <v>Approved by: Steve Holcomb on 12/05/2014,  Purchase I-250 Itron Meters for Sample Testing Program 2015.</v>
          </cell>
          <cell r="L2078">
            <v>42454</v>
          </cell>
          <cell r="M2078">
            <v>42461</v>
          </cell>
          <cell r="N2078">
            <v>42496.560196759303</v>
          </cell>
          <cell r="O2078">
            <v>42461</v>
          </cell>
          <cell r="P2078" t="str">
            <v>1904-043050  JACKSON CTY/KC</v>
          </cell>
          <cell r="Q2078">
            <v>186535</v>
          </cell>
          <cell r="R2078">
            <v>2000</v>
          </cell>
        </row>
        <row r="2079">
          <cell r="A2079" t="str">
            <v>004451</v>
          </cell>
          <cell r="B2079" t="str">
            <v>LDC 2</v>
          </cell>
          <cell r="D2079" t="str">
            <v>no</v>
          </cell>
          <cell r="E2079" t="str">
            <v>21904133088</v>
          </cell>
          <cell r="F2079" t="str">
            <v>F0577</v>
          </cell>
          <cell r="G2079" t="str">
            <v>ERT Purchases</v>
          </cell>
          <cell r="H2079" t="str">
            <v>Pur 10000 100G  Erts Repl Program M</v>
          </cell>
          <cell r="I2079" t="str">
            <v>posted to CPR</v>
          </cell>
          <cell r="J2079" t="str">
            <v>Pur 10000 100G  Erts Repl Program Mar 2014: Kansas City CORP: Central Plant Meter Shop</v>
          </cell>
          <cell r="K2079" t="str">
            <v>Approved by: Steve Lindsey on 11/18/2013,  Purchase domestic 100G Am Erts 5198300 Rk Erts 5198310 for the replacement program.</v>
          </cell>
          <cell r="L2079">
            <v>41701</v>
          </cell>
          <cell r="M2079">
            <v>41710</v>
          </cell>
          <cell r="N2079">
            <v>41710.614560185197</v>
          </cell>
          <cell r="P2079" t="str">
            <v>1904-043050  JACKSON CTY/KC</v>
          </cell>
          <cell r="Q2079">
            <v>480536.55</v>
          </cell>
          <cell r="R2079">
            <v>4</v>
          </cell>
        </row>
        <row r="2080">
          <cell r="A2080" t="str">
            <v>004075</v>
          </cell>
          <cell r="B2080" t="str">
            <v>LDC 2</v>
          </cell>
          <cell r="D2080" t="str">
            <v>no</v>
          </cell>
          <cell r="E2080" t="str">
            <v>21904132757</v>
          </cell>
          <cell r="F2080" t="str">
            <v>F0529</v>
          </cell>
          <cell r="G2080" t="str">
            <v>Meter Purchases - MGE</v>
          </cell>
          <cell r="H2080" t="str">
            <v>Pur 2000 AC250-TC Am Meters Decembe</v>
          </cell>
          <cell r="I2080" t="str">
            <v>posted to CPR</v>
          </cell>
          <cell r="J2080" t="str">
            <v>Pur 2000 AC250-TC Am Meters December  2013: Kansas City CORP: Central Plant Meter Shop</v>
          </cell>
          <cell r="L2080">
            <v>41610</v>
          </cell>
          <cell r="M2080">
            <v>41626</v>
          </cell>
          <cell r="N2080">
            <v>41634.480694444399</v>
          </cell>
          <cell r="P2080" t="str">
            <v>1904-043050  JACKSON CTY/KC</v>
          </cell>
          <cell r="Q2080">
            <v>119609.28</v>
          </cell>
          <cell r="R2080">
            <v>0</v>
          </cell>
        </row>
        <row r="2081">
          <cell r="A2081" t="str">
            <v>800460</v>
          </cell>
          <cell r="B2081" t="str">
            <v>LDC 2</v>
          </cell>
          <cell r="D2081" t="str">
            <v>no</v>
          </cell>
          <cell r="F2081" t="str">
            <v>F0647</v>
          </cell>
          <cell r="G2081" t="str">
            <v>New Main Extensions (N)</v>
          </cell>
          <cell r="H2081" t="str">
            <v>Inst 3771F 4P Chapel RidgePlat 3 NB</v>
          </cell>
          <cell r="I2081" t="str">
            <v>in service</v>
          </cell>
          <cell r="J2081" t="str">
            <v> Install 3771 ft of 4 in IP PE main to serve new main Chapel Ridge Plat 3.</v>
          </cell>
          <cell r="L2081">
            <v>42751</v>
          </cell>
          <cell r="O2081">
            <v>42736</v>
          </cell>
          <cell r="P2081" t="str">
            <v>1261-075025  PLATTE CTY/??? TWP</v>
          </cell>
          <cell r="Q2081">
            <v>74102.350000000006</v>
          </cell>
          <cell r="R2081">
            <v>-7480.25</v>
          </cell>
        </row>
        <row r="2082">
          <cell r="A2082" t="str">
            <v>007477</v>
          </cell>
          <cell r="B2082" t="str">
            <v>LDC 2</v>
          </cell>
          <cell r="D2082" t="str">
            <v>no</v>
          </cell>
          <cell r="E2082" t="str">
            <v>21271144053</v>
          </cell>
          <cell r="F2082" t="str">
            <v>F0610</v>
          </cell>
          <cell r="G2082" t="str">
            <v>New business</v>
          </cell>
          <cell r="H2082" t="str">
            <v>Pat Hannah Main Extension</v>
          </cell>
          <cell r="I2082" t="str">
            <v>posted to CPR</v>
          </cell>
          <cell r="J2082" t="str">
            <v>Pat Hannah Extension: Kansas City-Clay Co: New Main Extension - Contractor Crews  3760 (33-380)</v>
          </cell>
          <cell r="K2082" t="str">
            <v>Approved by: Gary Williams on 01/19/2015,  Laying 800' of 4" PE main at 92nd Street and N Brooklyn Ave to serve 2 new customers. Contribution - $5,525</v>
          </cell>
          <cell r="L2082">
            <v>42089</v>
          </cell>
          <cell r="M2082">
            <v>42248</v>
          </cell>
          <cell r="N2082">
            <v>42284.723090277803</v>
          </cell>
          <cell r="O2082">
            <v>42125</v>
          </cell>
          <cell r="P2082" t="str">
            <v>1271-020036  CLAY CTY/KANSAS CITY</v>
          </cell>
          <cell r="Q2082">
            <v>35914.42</v>
          </cell>
          <cell r="R2082">
            <v>-1520</v>
          </cell>
        </row>
        <row r="2083">
          <cell r="A2083" t="str">
            <v>003802</v>
          </cell>
          <cell r="B2083" t="str">
            <v>LDC 2</v>
          </cell>
          <cell r="D2083" t="str">
            <v>yes</v>
          </cell>
          <cell r="E2083" t="str">
            <v>21271132955</v>
          </cell>
          <cell r="F2083" t="str">
            <v>F0663</v>
          </cell>
          <cell r="G2083" t="str">
            <v>Replace bare steel main - safety re</v>
          </cell>
          <cell r="H2083" t="str">
            <v>NE 50 &amp; N Chelsea Repl PBS w 12'-2i</v>
          </cell>
          <cell r="I2083" t="str">
            <v>posted to CPR</v>
          </cell>
          <cell r="J2083" t="str">
            <v>NE 50 &amp; N Chelsea Repl PBS w 12'-2in PE main: Kansas City-Clay Co: NE 50 and N Chelsea</v>
          </cell>
          <cell r="K2083" t="str">
            <v>Approved by: Kevin Driskell on 09/23/2013,  Replace 2" PBS with 12' of 2" thin film steel due to leak.  Abandon 8' of 2" PBS (WO I333).  Work done by MGE crew.  MOP=15#, MAOP=15#</v>
          </cell>
          <cell r="L2083">
            <v>41502</v>
          </cell>
          <cell r="M2083">
            <v>41626</v>
          </cell>
          <cell r="N2083">
            <v>41627.582870370403</v>
          </cell>
          <cell r="O2083">
            <v>41730</v>
          </cell>
          <cell r="P2083" t="str">
            <v>1271-020036  CLAY CTY/KANSAS CITY</v>
          </cell>
          <cell r="Q2083">
            <v>4048.33</v>
          </cell>
          <cell r="R2083">
            <v>68.5</v>
          </cell>
        </row>
        <row r="2084">
          <cell r="A2084" t="str">
            <v>800505</v>
          </cell>
          <cell r="B2084" t="str">
            <v>LDC 2</v>
          </cell>
          <cell r="C2084" t="str">
            <v>01 - Cast Iron Strategic Replacement</v>
          </cell>
          <cell r="D2084" t="str">
            <v>yes</v>
          </cell>
          <cell r="F2084" t="str">
            <v>F0599</v>
          </cell>
          <cell r="G2084" t="str">
            <v>Main Replacement - ISRS (N)</v>
          </cell>
          <cell r="H2084" t="str">
            <v>Repl w 7875F 2-6P 63rd &amp; 55th Ph 1I</v>
          </cell>
          <cell r="I2084" t="str">
            <v>open</v>
          </cell>
          <cell r="J2084" t="str">
            <v>Install 5,660 Ft of 2-inch PL IP main and 2,215 Ft of 6-inch PL IP main on Troost Ave, Forest Ave, Tracy Ave, and 55th and 58th Street between 55th and 59th Street.</v>
          </cell>
          <cell r="K2084" t="str">
            <v>Abandon 682 Ft of 4 CI LP main, 260 Ft of 6 CI LP main, 1,685 Ft of 8 CI LP main, 3,945 Ft of 3 ST LP main, and 270 Ft of 4 ST LP main at the above location.   Total Service Tie-over = 180; Total Service Replacement = 22; Total Service Abandoned = 17;   This main is being abandoned as part of FY16 Bare Steel Replacement Program.</v>
          </cell>
          <cell r="P2084" t="str">
            <v>0401-043050  JACKSON CTY/KC</v>
          </cell>
          <cell r="Q2084">
            <v>0</v>
          </cell>
          <cell r="R2084">
            <v>6842</v>
          </cell>
        </row>
        <row r="2085">
          <cell r="A2085" t="str">
            <v>800825</v>
          </cell>
          <cell r="B2085" t="str">
            <v>LDC 2</v>
          </cell>
          <cell r="C2085" t="str">
            <v>01 - Cast Iron Strategic Replacement</v>
          </cell>
          <cell r="D2085" t="str">
            <v>yes</v>
          </cell>
          <cell r="F2085" t="str">
            <v>F0599</v>
          </cell>
          <cell r="G2085" t="str">
            <v>Main Replacement - ISRS (N)</v>
          </cell>
          <cell r="H2085" t="str">
            <v>Repl w 251F 2-12P Highland/Independ</v>
          </cell>
          <cell r="I2085" t="str">
            <v>open</v>
          </cell>
          <cell r="J2085" t="str">
            <v>Install ~241 ft of 2 in PL MP main and 10 ft of 12 in ST LP main along Highland Street and Independence.</v>
          </cell>
          <cell r="K2085" t="str">
            <v>Retire ~235 ft of 4 in CI LP main and 10 ft of 12 in CI LP main at above location. Uprate ~30 ft of 2 in PL LP to IP main on Highland. Total Service Uprate = 2. This project is being done due to cast iron graphitization on 4 in CI pipe on Highland.  Due date: 02/25/2017.</v>
          </cell>
          <cell r="P2085" t="str">
            <v>0401-043050  JACKSON CTY/KC</v>
          </cell>
          <cell r="Q2085">
            <v>9769.27</v>
          </cell>
          <cell r="R2085">
            <v>-643</v>
          </cell>
        </row>
        <row r="2086">
          <cell r="A2086" t="str">
            <v>800900</v>
          </cell>
          <cell r="B2086" t="str">
            <v>LDC 2</v>
          </cell>
          <cell r="C2086" t="str">
            <v>02 - Cast Iron AOR Replacement</v>
          </cell>
          <cell r="D2086" t="str">
            <v>yes</v>
          </cell>
          <cell r="F2086" t="str">
            <v>F0599</v>
          </cell>
          <cell r="G2086" t="str">
            <v>Main Replacement - ISRS (N)</v>
          </cell>
          <cell r="H2086" t="str">
            <v>Repl w 30F 4P 2525 Oakley</v>
          </cell>
          <cell r="I2086" t="str">
            <v>open</v>
          </cell>
          <cell r="J2086" t="str">
            <v>Install ~30 ft of 4 in PL LP main at 2525 Oakley.</v>
          </cell>
          <cell r="K2086" t="str">
            <v>Retire ~30 ft of 4 in CI LP main at above address. Total Services to Tie-over = 0. This is being replaced due to cast iron pipe being in angle of repose.  This has a compliance date of 12/21/2016.</v>
          </cell>
          <cell r="P2086" t="str">
            <v>0401-043050  JACKSON CTY/KC</v>
          </cell>
          <cell r="Q2086">
            <v>7340.45</v>
          </cell>
          <cell r="R2086">
            <v>-29</v>
          </cell>
        </row>
        <row r="2087">
          <cell r="A2087" t="str">
            <v>800498</v>
          </cell>
          <cell r="B2087" t="str">
            <v>LDC 2</v>
          </cell>
          <cell r="C2087" t="str">
            <v>01 - Cast Iron Strategic Replacement</v>
          </cell>
          <cell r="D2087" t="str">
            <v>yes</v>
          </cell>
          <cell r="F2087" t="str">
            <v>F0599</v>
          </cell>
          <cell r="G2087" t="str">
            <v>Main Replacement - ISRS (N)</v>
          </cell>
          <cell r="H2087" t="str">
            <v>Repl w/ 5940F 2-4P 63rd &amp; 55th -1C</v>
          </cell>
          <cell r="I2087" t="str">
            <v>open</v>
          </cell>
          <cell r="J2087" t="str">
            <v>Install 2940 Ft of 2 in and 3000 Ft of 4 in PL IP main for 63rd and 55th St Phase 1C. Abandon 8 Ft of 3 in CI, 307 Ft of 4 in CI, 4464 Ft of 6 in CI, 315 Ft of 8 in CI, 131 Ft of 2 in ST and 820 Ft of 3 in ST LP main.</v>
          </cell>
          <cell r="K2087" t="str">
            <v>This main is being replaced as part of FY16 Bare Steel Replacement Program.</v>
          </cell>
          <cell r="P2087" t="str">
            <v>0401-043050  JACKSON CTY/KC</v>
          </cell>
          <cell r="Q2087">
            <v>0</v>
          </cell>
          <cell r="R2087">
            <v>6045</v>
          </cell>
        </row>
        <row r="2088">
          <cell r="A2088" t="str">
            <v>800440</v>
          </cell>
          <cell r="B2088" t="str">
            <v>LDC 2</v>
          </cell>
          <cell r="C2088" t="str">
            <v>01 - Cast Iron Strategic Replacement</v>
          </cell>
          <cell r="D2088" t="str">
            <v>yes</v>
          </cell>
          <cell r="F2088" t="str">
            <v>F0599</v>
          </cell>
          <cell r="G2088" t="str">
            <v>Main Replacement - ISRS (N)</v>
          </cell>
          <cell r="H2088" t="str">
            <v>KC-39th &amp; State Line Cast Iron PhC</v>
          </cell>
          <cell r="I2088" t="str">
            <v>open</v>
          </cell>
          <cell r="J2088" t="str">
            <v>Install 4941 Ft of 2 in and 125 Ft of 4 in PL IP main for 39th and State Line Phase C. Abandon 2396 Ft of 4 in CI, 2293 Ft of 6 in CI, 5 Ft of 2 in PL, 7 Ft of 4 in PL, 1335 Ft of 2 in ST, 30 Ft of 3 in ST and 209 Ft of 4 in ST LP.</v>
          </cell>
          <cell r="K2088" t="str">
            <v>This main is being replaced as part of FY16 Cast Iron Replacement Program
Uprate ~153 Ft of 2 in PL LP main on Bell St.
Total Service Tie-over = 102; Total Service Abandoned = 1; Total Service Replace = 22; Total Service Upgrade = 2.</v>
          </cell>
          <cell r="P2088" t="str">
            <v>0401-043050  JACKSON CTY/KC</v>
          </cell>
          <cell r="Q2088">
            <v>936922.59</v>
          </cell>
          <cell r="R2088">
            <v>-3908.5</v>
          </cell>
        </row>
        <row r="2089">
          <cell r="A2089" t="str">
            <v>009802</v>
          </cell>
          <cell r="B2089" t="str">
            <v>LDC 2</v>
          </cell>
          <cell r="D2089" t="str">
            <v>no</v>
          </cell>
          <cell r="F2089" t="str">
            <v>F0639</v>
          </cell>
          <cell r="G2089" t="str">
            <v>EGM Equip-1st Time Installation</v>
          </cell>
          <cell r="H2089" t="str">
            <v>EGM - Kansas City Chiefs Football</v>
          </cell>
          <cell r="I2089" t="str">
            <v>in service</v>
          </cell>
          <cell r="J2089" t="str">
            <v>Install Mini-AT-PT for the Kansas City Chiefs Football Club at  1 Arrowhead Dr., Kansas City, MO 64129 to monitor daily gas usage for this customer.  Customer will reimburse company actual cost for EGM installation not to exceed $5,445.</v>
          </cell>
          <cell r="L2089">
            <v>42443</v>
          </cell>
          <cell r="O2089">
            <v>42461</v>
          </cell>
          <cell r="P2089" t="str">
            <v>0401-043050  JACKSON CTY/KC</v>
          </cell>
          <cell r="Q2089">
            <v>2209.96</v>
          </cell>
          <cell r="R2089">
            <v>9</v>
          </cell>
        </row>
        <row r="2090">
          <cell r="A2090" t="str">
            <v>800184</v>
          </cell>
          <cell r="B2090" t="str">
            <v>LDC 2</v>
          </cell>
          <cell r="D2090" t="str">
            <v>no</v>
          </cell>
          <cell r="F2090" t="str">
            <v>F0647</v>
          </cell>
          <cell r="G2090" t="str">
            <v>New Main Extensions (N)</v>
          </cell>
          <cell r="H2090" t="str">
            <v>Three Trails Main Extension</v>
          </cell>
          <cell r="I2090" t="str">
            <v>in service</v>
          </cell>
          <cell r="J2090" t="str">
            <v>Install 1206' of 6'' PE and 1382' of 4'' PE for new business main extension - Three Trails. Load will be 10 million BTUs</v>
          </cell>
          <cell r="L2090">
            <v>42572</v>
          </cell>
          <cell r="O2090">
            <v>42583</v>
          </cell>
          <cell r="P2090" t="str">
            <v>0401-043050  JACKSON CTY/KC</v>
          </cell>
          <cell r="Q2090">
            <v>218697.87</v>
          </cell>
          <cell r="R2090">
            <v>-5610.25</v>
          </cell>
        </row>
        <row r="2091">
          <cell r="A2091" t="str">
            <v>008891</v>
          </cell>
          <cell r="B2091" t="str">
            <v>LDC 2</v>
          </cell>
          <cell r="D2091" t="str">
            <v>yes</v>
          </cell>
          <cell r="E2091" t="str">
            <v>20401155426</v>
          </cell>
          <cell r="F2091" t="str">
            <v>F0547</v>
          </cell>
          <cell r="G2091" t="str">
            <v>Street &amp; Highway Relocates ISRS (N)</v>
          </cell>
          <cell r="H2091" t="str">
            <v>Inlet and Outlet Piping to DRS 763</v>
          </cell>
          <cell r="I2091" t="str">
            <v>posted to CPR</v>
          </cell>
          <cell r="J2091" t="str">
            <v>Inlet and Outlet Piping to DRS 763: Kansas City-Jackson: Relocate for Street &amp; Highway-Public Improvements (44-388)</v>
          </cell>
          <cell r="K2091" t="str">
            <v>Approved by: Gary Williams on 07/07/2015,  ISRS Inlet and Oulet piping for relocated DRS 103 from 51st and Brookside to 51st and Wyandotte (new DRS 763), a new right hand turn lane will be installed at the existing location of DRS 103 which is in a vault.</v>
          </cell>
          <cell r="L2091">
            <v>42367</v>
          </cell>
          <cell r="M2091">
            <v>42675</v>
          </cell>
          <cell r="N2091">
            <v>42742.624664351897</v>
          </cell>
          <cell r="O2091">
            <v>42401</v>
          </cell>
          <cell r="P2091" t="str">
            <v>0401-043050  JACKSON CTY/KC</v>
          </cell>
          <cell r="Q2091">
            <v>5083.21</v>
          </cell>
          <cell r="R2091">
            <v>-174</v>
          </cell>
        </row>
        <row r="2092">
          <cell r="A2092" t="str">
            <v>007473</v>
          </cell>
          <cell r="B2092" t="str">
            <v>LDC 2</v>
          </cell>
          <cell r="D2092" t="str">
            <v>no</v>
          </cell>
          <cell r="E2092" t="str">
            <v>20401155092</v>
          </cell>
          <cell r="F2092" t="str">
            <v>F0670</v>
          </cell>
          <cell r="G2092" t="str">
            <v>Tools, Instruments &amp; Equipment (N)</v>
          </cell>
          <cell r="H2092" t="str">
            <v>Purchase Tools</v>
          </cell>
          <cell r="I2092" t="str">
            <v>posted to CPR</v>
          </cell>
          <cell r="J2092" t="str">
            <v>Purchase Tools: Kansas City-Jackson: Purchase Tools, Instruments &amp; Equipment  3940 (37-366)</v>
          </cell>
          <cell r="K2092" t="str">
            <v>Approved by: Gary Williams on 01/19/2015,  Tools for Field Base work trucks</v>
          </cell>
          <cell r="L2092">
            <v>42109</v>
          </cell>
          <cell r="M2092">
            <v>42248</v>
          </cell>
          <cell r="N2092">
            <v>42283.565162036997</v>
          </cell>
          <cell r="O2092">
            <v>42095</v>
          </cell>
          <cell r="P2092" t="str">
            <v>0401-043050  JACKSON CTY/KC</v>
          </cell>
          <cell r="Q2092">
            <v>7944.07</v>
          </cell>
          <cell r="R2092">
            <v>38</v>
          </cell>
        </row>
        <row r="2093">
          <cell r="A2093" t="str">
            <v>006410</v>
          </cell>
          <cell r="B2093" t="str">
            <v>LDC 2</v>
          </cell>
          <cell r="D2093" t="str">
            <v>no</v>
          </cell>
          <cell r="E2093" t="str">
            <v>20401143798</v>
          </cell>
          <cell r="F2093" t="str">
            <v>F0670</v>
          </cell>
          <cell r="G2093" t="str">
            <v>Tools, Instruments &amp; Equipment (N)</v>
          </cell>
          <cell r="H2093" t="str">
            <v>purchase Pneumatic 35# breaker</v>
          </cell>
          <cell r="I2093" t="str">
            <v>posted to CPR</v>
          </cell>
          <cell r="J2093" t="str">
            <v>purchase Pneumatic 35# breaker: Kansas City-Jackson: Purchase Tools, Instruments &amp; Equipment  3940 (37-366)</v>
          </cell>
          <cell r="K2093" t="str">
            <v>Approved by: Gary Williams on 09/12/2014,  This is not replacement tool.  Quote from Total Tool from Mike Perkins</v>
          </cell>
          <cell r="L2093">
            <v>41993</v>
          </cell>
          <cell r="M2093">
            <v>42004</v>
          </cell>
          <cell r="N2093">
            <v>42013.454768518503</v>
          </cell>
          <cell r="O2093">
            <v>41974</v>
          </cell>
          <cell r="P2093" t="str">
            <v>0401-043050  JACKSON CTY/KC</v>
          </cell>
          <cell r="Q2093">
            <v>3460.73</v>
          </cell>
          <cell r="R2093">
            <v>4</v>
          </cell>
        </row>
        <row r="2094">
          <cell r="A2094" t="str">
            <v>006351</v>
          </cell>
          <cell r="B2094" t="str">
            <v>LDC 2</v>
          </cell>
          <cell r="D2094" t="str">
            <v>yes</v>
          </cell>
          <cell r="E2094" t="str">
            <v>20401143705</v>
          </cell>
          <cell r="F2094" t="str">
            <v>F0599</v>
          </cell>
          <cell r="G2094" t="str">
            <v>Main Replacement - ISRS (N)</v>
          </cell>
          <cell r="H2094" t="str">
            <v>AOR 6in CI Replacement with 65ft-6i</v>
          </cell>
          <cell r="I2094" t="str">
            <v>posted to CPR</v>
          </cell>
          <cell r="J2094" t="str">
            <v>AOR 6in CI Replacement with 65ft-6in PE: Kansas City-Jackson: Replace Cast Iron Main - 3760 Safety Related (34-412)</v>
          </cell>
          <cell r="K2094" t="str">
            <v>Approved by: Gary Williams on 09/08/2014,  AOR.  This job must be completed by Dec. 12, 2014.  Replace 65ft of 6in CI with 6in PE due to 29' of exposed pipe.  CI pipe was exposed from 6' NSCB TO 23' SSCB of 29th Street.  No services to tie over.</v>
          </cell>
          <cell r="L2094">
            <v>41928</v>
          </cell>
          <cell r="M2094">
            <v>41943</v>
          </cell>
          <cell r="N2094">
            <v>42041.669374999998</v>
          </cell>
          <cell r="O2094">
            <v>41913</v>
          </cell>
          <cell r="P2094" t="str">
            <v>0401-043050  JACKSON CTY/KC</v>
          </cell>
          <cell r="Q2094">
            <v>7065.16</v>
          </cell>
          <cell r="R2094">
            <v>-486.5</v>
          </cell>
        </row>
        <row r="2095">
          <cell r="A2095" t="str">
            <v>005975</v>
          </cell>
          <cell r="B2095" t="str">
            <v>LDC 2</v>
          </cell>
          <cell r="D2095" t="str">
            <v>no</v>
          </cell>
          <cell r="E2095" t="str">
            <v>20401143307</v>
          </cell>
          <cell r="F2095" t="str">
            <v>F0610</v>
          </cell>
          <cell r="G2095" t="str">
            <v>New business</v>
          </cell>
          <cell r="H2095" t="str">
            <v>WOODS OF SOMERSET-Main Ext</v>
          </cell>
          <cell r="I2095" t="str">
            <v>posted to CPR</v>
          </cell>
          <cell r="J2095" t="str">
            <v>WOODS OF SOMERSET: Kansas City-Jackson: New Main Extension - Contractor Crews  3760 (33-380)</v>
          </cell>
          <cell r="K2095" t="str">
            <v>Approved by: Gary Williams on 07/24/2014,  LAY 2,613'-2" PLEXCO TO SERVE SUBDIVISION WITH 36 LOTS. LOTS 1-36.  ROCK CLIFFS ALONG E 122ND ST ENTRANCE; TURNING OFF WORNALL RD.  ONE WAY FEED.  2,613' x $8.50=$22,210.50  COST PER FOOT=$16.93  DEVELOPER TO CONTRIBUTE $22,210.50 BEFORE START OF PROJECT.</v>
          </cell>
          <cell r="L2095">
            <v>41904</v>
          </cell>
          <cell r="M2095">
            <v>41943</v>
          </cell>
          <cell r="N2095">
            <v>42044.380648148101</v>
          </cell>
          <cell r="O2095">
            <v>41913</v>
          </cell>
          <cell r="P2095" t="str">
            <v>0401-043050  JACKSON CTY/KC</v>
          </cell>
          <cell r="Q2095">
            <v>24706</v>
          </cell>
          <cell r="R2095">
            <v>-5869</v>
          </cell>
        </row>
        <row r="2096">
          <cell r="A2096" t="str">
            <v>005852</v>
          </cell>
          <cell r="B2096" t="str">
            <v>LDC 2</v>
          </cell>
          <cell r="D2096" t="str">
            <v>yes</v>
          </cell>
          <cell r="E2096" t="str">
            <v>20401143687</v>
          </cell>
          <cell r="F2096" t="str">
            <v>F0599</v>
          </cell>
          <cell r="G2096" t="str">
            <v>Main Replacement - ISRS (N)</v>
          </cell>
          <cell r="H2096" t="str">
            <v>2415 Walrond Repl CI w 15'-6in PE m</v>
          </cell>
          <cell r="I2096" t="str">
            <v>posted to CPR</v>
          </cell>
          <cell r="J2096" t="str">
            <v>2415 Walrond Repl CI w 15'-6in PE main: Kansas City-Jackson: Replace Cast Iron Main - 3760 Safety Related (34-412)</v>
          </cell>
          <cell r="K2096" t="str">
            <v>Approved by: Kevin Driskell on 08/03/2014,  Replaced 6'' CI with 6'' PE due to Cast Iron Break. System C-1.</v>
          </cell>
          <cell r="L2096">
            <v>41827</v>
          </cell>
          <cell r="M2096">
            <v>41852</v>
          </cell>
          <cell r="N2096">
            <v>42013.428622685198</v>
          </cell>
          <cell r="O2096">
            <v>41852</v>
          </cell>
          <cell r="P2096" t="str">
            <v>0401-043050  JACKSON CTY/KC</v>
          </cell>
          <cell r="Q2096">
            <v>2097.08</v>
          </cell>
          <cell r="R2096">
            <v>34.5</v>
          </cell>
        </row>
        <row r="2097">
          <cell r="A2097" t="str">
            <v>003958</v>
          </cell>
          <cell r="B2097" t="str">
            <v>LDC 2</v>
          </cell>
          <cell r="D2097" t="str">
            <v>yes</v>
          </cell>
          <cell r="E2097" t="str">
            <v>20401132644</v>
          </cell>
          <cell r="F2097" t="str">
            <v>F0547</v>
          </cell>
          <cell r="G2097" t="str">
            <v>Street &amp; Highway Relocates ISRS (N)</v>
          </cell>
          <cell r="H2097" t="str">
            <v>47th &amp; Troost Reloc 68'-2in PE main</v>
          </cell>
          <cell r="I2097" t="str">
            <v>posted to CPR</v>
          </cell>
          <cell r="J2097" t="str">
            <v>47th &amp; Troost 2in PE Relocation: Kansas City-Jackson: 47th &amp; Troost</v>
          </cell>
          <cell r="K2097" t="str">
            <v>Approved by: Kevin Driskell on 06/11/2013,  ISRS  Relocate 2in PE around storm boxes and storm planters due to public improvement project.  Strip back main around proposed structures.  Material included in case PE pipe cannot be striped back.</v>
          </cell>
          <cell r="L2097">
            <v>41472</v>
          </cell>
          <cell r="M2097">
            <v>41533</v>
          </cell>
          <cell r="N2097">
            <v>41562.537268518499</v>
          </cell>
          <cell r="P2097" t="str">
            <v>0401-043050  JACKSON CTY/KC</v>
          </cell>
          <cell r="Q2097">
            <v>14165.58</v>
          </cell>
          <cell r="R2097">
            <v>592</v>
          </cell>
        </row>
        <row r="2098">
          <cell r="A2098" t="str">
            <v>004314</v>
          </cell>
          <cell r="B2098" t="str">
            <v>LDC 2</v>
          </cell>
          <cell r="D2098" t="str">
            <v>yes</v>
          </cell>
          <cell r="E2098" t="str">
            <v>20401132411</v>
          </cell>
          <cell r="F2098" t="str">
            <v>F0599</v>
          </cell>
          <cell r="G2098" t="str">
            <v>Main Replacement - ISRS (N)</v>
          </cell>
          <cell r="H2098" t="str">
            <v>AOR 51st &amp; Michigan CI Repl w 175'-</v>
          </cell>
          <cell r="I2098" t="str">
            <v>posted to CPR</v>
          </cell>
          <cell r="J2098" t="str">
            <v>AOR 51st &amp; Michigan CI Repl w 175'-6&amp;150'-8in PE: Kansas City-Jackson: 51st and Michigan</v>
          </cell>
          <cell r="K2098" t="str">
            <v>Approved by: Ken Thomas on 03/20/2013,  (ISRS).  AOR.  Replace 150' of 8in CI and 170' of 6in CI year 1950, JO A1295 with 150'-8in and 175'-6in PE.  AOR occured on the east side of Michigan on the NE corner of Michigan and 51st at the new storm sewer box.  CI replacement must go 10' north of the new storm box.  Bypass required on south leg of project on Michigan due to one-way feed.  Dig Track ticket No. MO122960220.  Tie-over 6 services.  This must be completed by April 23, 2013.</v>
          </cell>
          <cell r="L2098">
            <v>41376</v>
          </cell>
          <cell r="M2098">
            <v>41499</v>
          </cell>
          <cell r="N2098">
            <v>41562.537268518499</v>
          </cell>
          <cell r="P2098" t="str">
            <v>0401-043050  JACKSON CTY/KC</v>
          </cell>
          <cell r="Q2098">
            <v>24585.1</v>
          </cell>
          <cell r="R2098">
            <v>666</v>
          </cell>
        </row>
        <row r="2099">
          <cell r="A2099" t="str">
            <v>004211</v>
          </cell>
          <cell r="B2099" t="str">
            <v>LDC 2</v>
          </cell>
          <cell r="D2099" t="str">
            <v>no</v>
          </cell>
          <cell r="E2099" t="str">
            <v>20401143437</v>
          </cell>
          <cell r="F2099" t="str">
            <v>F0538</v>
          </cell>
          <cell r="G2099" t="str">
            <v>Other Communication Costs</v>
          </cell>
          <cell r="H2099" t="str">
            <v>SCADA Equip Repl / Integration</v>
          </cell>
          <cell r="I2099" t="str">
            <v>in service</v>
          </cell>
          <cell r="J2099" t="str">
            <v>SCADA Equip Repl / Integration: Kansas City-Jackson: 3420 Broadway - KC</v>
          </cell>
          <cell r="K2099" t="str">
            <v>Approved by: Steve Lindsey on 03/19/2014,  SCADA Equipment Replacement / Integration</v>
          </cell>
          <cell r="L2099">
            <v>42443</v>
          </cell>
          <cell r="O2099">
            <v>42430</v>
          </cell>
          <cell r="P2099" t="str">
            <v>0401-043050  JACKSON CTY/KC</v>
          </cell>
          <cell r="Q2099">
            <v>682527.43</v>
          </cell>
          <cell r="R2099">
            <v>13911.23</v>
          </cell>
        </row>
        <row r="2100">
          <cell r="A2100" t="str">
            <v>004096</v>
          </cell>
          <cell r="B2100" t="str">
            <v>LDC 2</v>
          </cell>
          <cell r="D2100" t="str">
            <v>yes</v>
          </cell>
          <cell r="E2100" t="str">
            <v>20401133037</v>
          </cell>
          <cell r="F2100" t="str">
            <v>F0599</v>
          </cell>
          <cell r="G2100" t="str">
            <v>Main Replacement - ISRS (N)</v>
          </cell>
          <cell r="H2100" t="str">
            <v>AOR 2904 E 69th Repl CI w 30'-6in P</v>
          </cell>
          <cell r="I2100" t="str">
            <v>posted to CPR</v>
          </cell>
          <cell r="J2100" t="str">
            <v>AOR 2904 E 69th Repl CI w 30'-6in PE: Kansas City-Jackson: 2904 E. 69th</v>
          </cell>
          <cell r="K2100" t="str">
            <v>Approved by: Kevin Driskell on 10/15/2013,  AOR.  This job must be completed by Dec 19, 2013.  Replace 6" CI with 30' of 6in PE due to parallel excavation.  Retire 30'-6in CI, WO A1585, year 1926.</v>
          </cell>
          <cell r="L2100">
            <v>41614</v>
          </cell>
          <cell r="M2100">
            <v>41697</v>
          </cell>
          <cell r="N2100">
            <v>41698.505231481497</v>
          </cell>
          <cell r="O2100">
            <v>41730</v>
          </cell>
          <cell r="P2100" t="str">
            <v>0401-043050  JACKSON CTY/KC</v>
          </cell>
          <cell r="Q2100">
            <v>21040.68</v>
          </cell>
          <cell r="R2100">
            <v>167</v>
          </cell>
        </row>
        <row r="2101">
          <cell r="A2101" t="str">
            <v>003796</v>
          </cell>
          <cell r="B2101" t="str">
            <v>LDC 2</v>
          </cell>
          <cell r="D2101" t="str">
            <v>no</v>
          </cell>
          <cell r="E2101" t="str">
            <v>20401132768</v>
          </cell>
          <cell r="F2101" t="str">
            <v>F0542</v>
          </cell>
          <cell r="G2101" t="str">
            <v>New District Regulator Stations (N)</v>
          </cell>
          <cell r="H2101" t="str">
            <v>Gregory Blvd &amp;Chestnut New DRS 754</v>
          </cell>
          <cell r="I2101" t="str">
            <v>posted to CPR</v>
          </cell>
          <cell r="J2101" t="str">
            <v>Gregory Blvd &amp;Chestnut New DRS 754: Kansas City-Jackson: Chestnut ave and Gregory blvd</v>
          </cell>
          <cell r="K2101" t="str">
            <v>Approved by: Kevin Driskell on 07/18/2013,  New reg station will be placed in easement along Gregory Blvd. near Chestnut ave. Coordinate all work with Tom McGill of P&amp;M. WO goes with WO 13-2772 . Inlet 4in PCS system C-175KCLS, MOP 50 PSIG, MAOP 58 PSIG, DESIGN 58 PSIG, TEST 100 PSIG. Outlet 6in PCS system S-114B, MOP 1.1 PSIG, MAOP 2.2 PSIG, DESIGN 58 PSIG, TEST 100 PSIG.   Two MOONEY 4in 150# FG-39-100 RF FLANGED FLOWGRID REGULATOR, SERIES 20L FP-107 (1-3 PSIG) ALUMINUM PRV PILOT, 4in MOUNTING BRACKET P/N 100-024-01, TYPE 24 RESTRICTOR,  TYPE 30D FILTER WITH DRAIN ASSEMBLY,MOUNTING-C/SST, TUBING-D.</v>
          </cell>
          <cell r="L2101">
            <v>41912</v>
          </cell>
          <cell r="M2101">
            <v>42216</v>
          </cell>
          <cell r="N2101">
            <v>42496.433437500003</v>
          </cell>
          <cell r="O2101">
            <v>41883</v>
          </cell>
          <cell r="P2101" t="str">
            <v>0401-043050  JACKSON CTY/KC</v>
          </cell>
          <cell r="Q2101">
            <v>19181.009999999998</v>
          </cell>
          <cell r="R2101">
            <v>381.1</v>
          </cell>
        </row>
        <row r="2102">
          <cell r="A2102" t="str">
            <v>004197</v>
          </cell>
          <cell r="B2102" t="str">
            <v>LDC 2</v>
          </cell>
          <cell r="D2102" t="str">
            <v>yes</v>
          </cell>
          <cell r="E2102" t="str">
            <v>20401133189</v>
          </cell>
          <cell r="F2102" t="str">
            <v>F0599</v>
          </cell>
          <cell r="G2102" t="str">
            <v>Main Replacement - ISRS (N)</v>
          </cell>
          <cell r="H2102" t="str">
            <v>AOR 5345 Swope Prky Repl CI w 1090'</v>
          </cell>
          <cell r="I2102" t="str">
            <v>posted to CPR</v>
          </cell>
          <cell r="J2102" t="str">
            <v>AOR 5345 Swope Prky Repl CI w 1090'-6in PE main: Kansas City-Jackson: 5345 Swope Parkway</v>
          </cell>
          <cell r="K2102" t="str">
            <v>Approved by: Steve Holcomb on 01/14/2014,  AOR.  This job must be completed by March 17, 2014.  Replace 6in CI with 1,090'-6in PE due to angle of repose.  Bell joint was exposed 2' SSLH at 5345 Swope Parkway.  Tie over 11 services.  Replace 3 services.  Retire 82'-6in CI, WO A2752, year 1931; 990'-6in CI, WO A1488, year 1925; 21'-6in CS, WO 78-1488, year 1978.</v>
          </cell>
          <cell r="L2102">
            <v>41715</v>
          </cell>
          <cell r="M2102">
            <v>41821</v>
          </cell>
          <cell r="N2102">
            <v>41858.746666666702</v>
          </cell>
          <cell r="O2102">
            <v>41730</v>
          </cell>
          <cell r="P2102" t="str">
            <v>0401-043050  JACKSON CTY/KC</v>
          </cell>
          <cell r="Q2102">
            <v>84092.82</v>
          </cell>
          <cell r="R2102">
            <v>3106.3</v>
          </cell>
        </row>
        <row r="2103">
          <cell r="A2103" t="str">
            <v>004794</v>
          </cell>
          <cell r="B2103" t="str">
            <v>LDC 2</v>
          </cell>
          <cell r="D2103" t="str">
            <v>no</v>
          </cell>
          <cell r="E2103" t="str">
            <v>29030000000</v>
          </cell>
          <cell r="F2103" t="str">
            <v>F0716</v>
          </cell>
          <cell r="G2103" t="str">
            <v>Cust Rec &amp; Collection Exp MGE</v>
          </cell>
          <cell r="H2103" t="str">
            <v>Cust Rec &amp; Collection Exp MGE</v>
          </cell>
          <cell r="I2103" t="str">
            <v>open</v>
          </cell>
          <cell r="J2103" t="str">
            <v>Cust Rec &amp; Collection Exp MGE</v>
          </cell>
          <cell r="P2103" t="str">
            <v>Expense Only</v>
          </cell>
          <cell r="Q2103">
            <v>23730086.32</v>
          </cell>
          <cell r="R2103">
            <v>4308953.47</v>
          </cell>
        </row>
        <row r="2104">
          <cell r="A2104" t="str">
            <v>004743</v>
          </cell>
          <cell r="B2104" t="str">
            <v>LDC 2</v>
          </cell>
          <cell r="D2104" t="str">
            <v>no</v>
          </cell>
          <cell r="E2104" t="str">
            <v>28870500000</v>
          </cell>
          <cell r="F2104" t="str">
            <v>F0700</v>
          </cell>
          <cell r="G2104" t="str">
            <v>Maintenance of Mains - MGE</v>
          </cell>
          <cell r="H2104" t="str">
            <v>ST Main Corr Repair Exp MGE</v>
          </cell>
          <cell r="I2104" t="str">
            <v>open</v>
          </cell>
          <cell r="J2104" t="str">
            <v>ST Main Corr Repair Exp MGE</v>
          </cell>
          <cell r="P2104" t="str">
            <v>Expense Only</v>
          </cell>
          <cell r="Q2104">
            <v>14432776.5</v>
          </cell>
          <cell r="R2104">
            <v>4094615.18</v>
          </cell>
        </row>
        <row r="2105">
          <cell r="A2105" t="str">
            <v>004807</v>
          </cell>
          <cell r="B2105" t="str">
            <v>LDC 2</v>
          </cell>
          <cell r="D2105" t="str">
            <v>no</v>
          </cell>
          <cell r="E2105" t="str">
            <v>29230600000</v>
          </cell>
          <cell r="F2105" t="str">
            <v>F0699</v>
          </cell>
          <cell r="G2105" t="str">
            <v>Outside Services - MGE</v>
          </cell>
          <cell r="H2105" t="str">
            <v>Outside Services - MGE</v>
          </cell>
          <cell r="I2105" t="str">
            <v>open</v>
          </cell>
          <cell r="J2105" t="str">
            <v>Outside Services - MGE</v>
          </cell>
          <cell r="P2105" t="str">
            <v>Expense Only</v>
          </cell>
          <cell r="Q2105">
            <v>5665835.2300000004</v>
          </cell>
          <cell r="R2105">
            <v>6068004</v>
          </cell>
        </row>
        <row r="2106">
          <cell r="A2106" t="str">
            <v>004738</v>
          </cell>
          <cell r="B2106" t="str">
            <v>LDC 2</v>
          </cell>
          <cell r="D2106" t="str">
            <v>no</v>
          </cell>
          <cell r="E2106" t="str">
            <v>28870410000</v>
          </cell>
          <cell r="F2106" t="str">
            <v>F0700</v>
          </cell>
          <cell r="G2106" t="str">
            <v>Maintenance of Mains - MGE</v>
          </cell>
          <cell r="H2106" t="str">
            <v>Service Line Survey MGE</v>
          </cell>
          <cell r="I2106" t="str">
            <v>open</v>
          </cell>
          <cell r="J2106" t="str">
            <v>Service Line Survey MGE</v>
          </cell>
          <cell r="P2106" t="str">
            <v>Expense Only</v>
          </cell>
          <cell r="Q2106">
            <v>1980273.14</v>
          </cell>
          <cell r="R2106">
            <v>37156.32</v>
          </cell>
        </row>
        <row r="2107">
          <cell r="A2107" t="str">
            <v>801149</v>
          </cell>
          <cell r="B2107" t="str">
            <v>LDC 2</v>
          </cell>
          <cell r="C2107" t="str">
            <v>08 - Cast Iron or Bare Steel Replacement - Leaks</v>
          </cell>
          <cell r="D2107" t="str">
            <v>yes</v>
          </cell>
          <cell r="F2107" t="str">
            <v>F0572</v>
          </cell>
          <cell r="G2107" t="str">
            <v>Main Replacement - ISRS (SW)</v>
          </cell>
          <cell r="H2107" t="str">
            <v>Repl 4180F 2-4P 24th &amp; Meadow</v>
          </cell>
          <cell r="I2107" t="str">
            <v>open</v>
          </cell>
          <cell r="J2107" t="str">
            <v>Install 2930 Ft. of 2 inch PL MP Main and 1250 Ft. of 4 inch PL MP Main  on Iron Gates Rd., Meadow Ave., Highland Ave., 23rd St., 24th St., 25th St., and 26th St.</v>
          </cell>
          <cell r="K2107" t="str">
            <v>Abandon 79 Ft of 2 in PL MP Main, 11 Ft of 3 in PL MP Main, 19 Ft of 4 in PL MP Main, 3597 Ft of 2 in ST MP Main, and 294 Ft of 3 in ST MP Main on the above mentioned streets.  Total Service Tie-over =35; Total Service Abandoned = 10; Total Service Replace = 0.  This main is being abandoned as part of FY17 Bare Steel Replacement Program.</v>
          </cell>
          <cell r="P2107" t="str">
            <v>0501-044001  JASPER CTY/JOPLIN</v>
          </cell>
          <cell r="Q2107">
            <v>0</v>
          </cell>
          <cell r="R2107">
            <v>4000</v>
          </cell>
        </row>
        <row r="2108">
          <cell r="A2108" t="str">
            <v>011092</v>
          </cell>
          <cell r="B2108" t="str">
            <v>LDC 2</v>
          </cell>
          <cell r="D2108" t="str">
            <v>no</v>
          </cell>
          <cell r="F2108" t="str">
            <v>F0485</v>
          </cell>
          <cell r="G2108" t="str">
            <v>Tools, Instruments &amp; Equipment (SW)</v>
          </cell>
          <cell r="H2108" t="str">
            <v>Purch Var Capital Tools/Eqpt-SWest</v>
          </cell>
          <cell r="I2108" t="str">
            <v>in service</v>
          </cell>
          <cell r="J2108" t="str">
            <v>Purchase various capital tools and equipment for MGE Southwest Region - see attached list.</v>
          </cell>
          <cell r="K2108" t="str">
            <v>This is to capitalize various tools/equipment charged to clearing/expense accounts in error.</v>
          </cell>
          <cell r="L2108">
            <v>42522</v>
          </cell>
          <cell r="O2108">
            <v>42522</v>
          </cell>
          <cell r="P2108" t="str">
            <v>0501-044001  JASPER CTY/JOPLIN</v>
          </cell>
          <cell r="Q2108">
            <v>93701.13</v>
          </cell>
          <cell r="R2108">
            <v>0</v>
          </cell>
        </row>
        <row r="2109">
          <cell r="A2109" t="str">
            <v>007910</v>
          </cell>
          <cell r="B2109" t="str">
            <v>LDC 2</v>
          </cell>
          <cell r="D2109" t="str">
            <v>yes</v>
          </cell>
          <cell r="E2109" t="str">
            <v>20501155157</v>
          </cell>
          <cell r="F2109" t="str">
            <v>F0572</v>
          </cell>
          <cell r="G2109" t="str">
            <v>Main Replacement - ISRS (SW)</v>
          </cell>
          <cell r="H2109" t="str">
            <v>3in and 4in PBS Main Replacement</v>
          </cell>
          <cell r="I2109" t="str">
            <v>posted to CPR</v>
          </cell>
          <cell r="J2109" t="str">
            <v>3in and 4in PBS Main Replacement: Joplin: Replace Bare Steel Main - 3760 Safety Related (34-394)</v>
          </cell>
          <cell r="K2109" t="str">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ell>
          <cell r="L2109">
            <v>42320</v>
          </cell>
          <cell r="M2109">
            <v>42429</v>
          </cell>
          <cell r="N2109">
            <v>42528.472106481502</v>
          </cell>
          <cell r="O2109">
            <v>42339</v>
          </cell>
          <cell r="P2109" t="str">
            <v>0501-044001  JASPER CTY/JOPLIN</v>
          </cell>
          <cell r="Q2109">
            <v>147316.28</v>
          </cell>
          <cell r="R2109">
            <v>16231</v>
          </cell>
        </row>
        <row r="2110">
          <cell r="A2110" t="str">
            <v>006919</v>
          </cell>
          <cell r="B2110" t="str">
            <v>LDC 2</v>
          </cell>
          <cell r="D2110" t="str">
            <v>no</v>
          </cell>
          <cell r="E2110" t="str">
            <v>20501143963</v>
          </cell>
          <cell r="F2110" t="str">
            <v>F0485</v>
          </cell>
          <cell r="G2110" t="str">
            <v>Tools, Instruments &amp; Equipment (SW)</v>
          </cell>
          <cell r="H2110" t="str">
            <v>Tools Purchase 6in PE Scrapers for</v>
          </cell>
          <cell r="I2110" t="str">
            <v>posted to CPR</v>
          </cell>
          <cell r="J2110" t="str">
            <v>Tools Purchase 6in PE Scrapers for Joplin C and M: Joplin: Purchase Tools, Instruments &amp; Equipment  3940 (37-366)</v>
          </cell>
          <cell r="K2110" t="str">
            <v>Approved by: Galen Shoemaker on 11/14/2014,  Purchase two 6" OEM Pipe Scrapers for Joplin C&amp;M. No units will be retired.</v>
          </cell>
          <cell r="L2110">
            <v>41641</v>
          </cell>
          <cell r="M2110">
            <v>42063</v>
          </cell>
          <cell r="N2110">
            <v>42067.7635532407</v>
          </cell>
          <cell r="O2110">
            <v>42005</v>
          </cell>
          <cell r="P2110" t="str">
            <v>0501-044001  JASPER CTY/JOPLIN</v>
          </cell>
          <cell r="Q2110">
            <v>1440.09</v>
          </cell>
          <cell r="R2110">
            <v>2</v>
          </cell>
        </row>
        <row r="2111">
          <cell r="A2111" t="str">
            <v>004076</v>
          </cell>
          <cell r="B2111" t="str">
            <v>LDC 2</v>
          </cell>
          <cell r="D2111" t="str">
            <v>yes</v>
          </cell>
          <cell r="E2111" t="str">
            <v>20501132980</v>
          </cell>
          <cell r="F2111" t="str">
            <v>F0657</v>
          </cell>
          <cell r="G2111" t="str">
            <v>Services - 2" &amp; larger</v>
          </cell>
          <cell r="H2111" t="str">
            <v>Ret 2in Service Line 1610 E 7th St</v>
          </cell>
          <cell r="I2111" t="str">
            <v>posted to CPR</v>
          </cell>
          <cell r="J2111" t="str">
            <v>Ret 2in Service Line 1610 E 7th St: Joplin: 7th St W of St. Louis Ave.</v>
          </cell>
          <cell r="K2111" t="str">
            <v>Approved by: Galen Shoemaker on 09/23/2013,  Retire 95' 2in PE service due to building being torn down.  Project Location: 7th St, between St. Louis Ave &amp; Vermont Ave.  Pressure System: C-2.  MOP: 1.5 PSIG.  MAOP: 1.5 PSIG.  Design: 58 PSIG.  Test: 100 PSIG.</v>
          </cell>
          <cell r="L2111">
            <v>41529</v>
          </cell>
          <cell r="M2111">
            <v>41600</v>
          </cell>
          <cell r="N2111">
            <v>41603.3847453704</v>
          </cell>
          <cell r="P2111" t="str">
            <v>0501-044001  JASPER CTY/JOPLIN</v>
          </cell>
          <cell r="Q2111">
            <v>3099.34</v>
          </cell>
          <cell r="R2111">
            <v>1</v>
          </cell>
        </row>
        <row r="2112">
          <cell r="A2112" t="str">
            <v>800264</v>
          </cell>
          <cell r="B2112" t="str">
            <v>LDC 2</v>
          </cell>
          <cell r="C2112" t="str">
            <v>03 - Bare Steel Replacement</v>
          </cell>
          <cell r="D2112" t="str">
            <v>yes</v>
          </cell>
          <cell r="F2112" t="str">
            <v>F0572</v>
          </cell>
          <cell r="G2112" t="str">
            <v>Main Replacement - ISRS (SW)</v>
          </cell>
          <cell r="H2112" t="str">
            <v>Repl w/ 6503F 2P Webb City Ph2C</v>
          </cell>
          <cell r="I2112" t="str">
            <v>open</v>
          </cell>
          <cell r="J2112" t="str">
            <v>Install 6503 Ft of 2 in PL IP, &amp; abandon 1214 Ft of PL LP, 6326 of ST LP, and uprate 325 Ft of 2 in PL LP, 139 Ft of 3 in PL LP, and 371 Ft of 4 in PL LP main for Webb City, Ph 2C.</v>
          </cell>
          <cell r="K2112" t="str">
            <v>This main is being replaced as part of FY16 Bare Steel Replacement Program.</v>
          </cell>
          <cell r="P2112" t="str">
            <v>0502-044006  JASPER CTY/WEBB CITY</v>
          </cell>
          <cell r="Q2112">
            <v>430623.22</v>
          </cell>
          <cell r="R2112">
            <v>-10470</v>
          </cell>
        </row>
        <row r="2113">
          <cell r="A2113" t="str">
            <v>011157</v>
          </cell>
          <cell r="B2113" t="str">
            <v>LDC 2</v>
          </cell>
          <cell r="D2113" t="str">
            <v>no</v>
          </cell>
          <cell r="F2113" t="str">
            <v>F1153</v>
          </cell>
          <cell r="G2113" t="str">
            <v>Power Operated Equip - MGE</v>
          </cell>
          <cell r="H2113" t="str">
            <v>Retire 2 Crew Trucks MGE</v>
          </cell>
          <cell r="I2113" t="str">
            <v>posted to CPR</v>
          </cell>
          <cell r="J2113" t="str">
            <v>Retire MGE Units 21296 and 21341</v>
          </cell>
          <cell r="L2113">
            <v>42521</v>
          </cell>
          <cell r="M2113">
            <v>42521</v>
          </cell>
          <cell r="N2113">
            <v>42557.553101851903</v>
          </cell>
          <cell r="P2113" t="str">
            <v>0101-043050  JACKSON CTY/KC</v>
          </cell>
          <cell r="Q2113">
            <v>232300.79</v>
          </cell>
          <cell r="R2113">
            <v>6</v>
          </cell>
        </row>
        <row r="2114">
          <cell r="A2114" t="str">
            <v>009295</v>
          </cell>
          <cell r="B2114" t="str">
            <v>LDC 2</v>
          </cell>
          <cell r="D2114" t="str">
            <v>no</v>
          </cell>
          <cell r="F2114" t="str">
            <v>F1152</v>
          </cell>
          <cell r="G2114" t="str">
            <v>Vehicle Purchases - MGE</v>
          </cell>
          <cell r="H2114" t="str">
            <v>Purchase 23 vans. MGE</v>
          </cell>
          <cell r="I2114" t="str">
            <v>posted to CPR</v>
          </cell>
          <cell r="J2114" t="str">
            <v>Purchase 23 Vans - MGE FY16</v>
          </cell>
          <cell r="L2114">
            <v>42490</v>
          </cell>
          <cell r="M2114">
            <v>42733</v>
          </cell>
          <cell r="N2114">
            <v>42742.624849537002</v>
          </cell>
          <cell r="O2114">
            <v>42552</v>
          </cell>
          <cell r="P2114" t="str">
            <v>0101-043050  JACKSON CTY/KC</v>
          </cell>
          <cell r="Q2114">
            <v>723159.38</v>
          </cell>
          <cell r="R2114">
            <v>75</v>
          </cell>
        </row>
        <row r="2115">
          <cell r="A2115" t="str">
            <v>013113</v>
          </cell>
          <cell r="B2115" t="str">
            <v>LDC 2</v>
          </cell>
          <cell r="D2115" t="str">
            <v>no</v>
          </cell>
          <cell r="F2115" t="str">
            <v>F1531</v>
          </cell>
          <cell r="G2115" t="str">
            <v>Tools for MGE Operations Services</v>
          </cell>
          <cell r="H2115" t="str">
            <v>OMD Leak Detector</v>
          </cell>
          <cell r="I2115" t="str">
            <v>open</v>
          </cell>
          <cell r="J2115" t="str">
            <v>Purchase Heath OMD (optical methane detector) for leak department. I&amp;C to install the unit on leak truck.</v>
          </cell>
          <cell r="P2115" t="str">
            <v>0201-043001  JACKSON CTY/INDEPENDENCE</v>
          </cell>
          <cell r="Q2115">
            <v>28390.21</v>
          </cell>
          <cell r="R2115">
            <v>1</v>
          </cell>
        </row>
        <row r="2116">
          <cell r="A2116" t="str">
            <v>800435</v>
          </cell>
          <cell r="B2116" t="str">
            <v>LDC 2</v>
          </cell>
          <cell r="C2116" t="str">
            <v>03 - Bare Steel Replacement</v>
          </cell>
          <cell r="D2116" t="str">
            <v>yes</v>
          </cell>
          <cell r="F2116" t="str">
            <v>F0604</v>
          </cell>
          <cell r="G2116" t="str">
            <v>Main Replacement - ISRS (S)</v>
          </cell>
          <cell r="H2116" t="str">
            <v>Repl w 12550F 2-4P TC Lea &amp; Kriger</v>
          </cell>
          <cell r="I2116" t="str">
            <v>open</v>
          </cell>
          <cell r="J2116" t="str">
            <v>Install ~9215 Ft of 2" PL IP Main, ~3335 Ft of 4" PL IP Main.</v>
          </cell>
          <cell r="K2116" t="str">
            <v>Abandon ~10335 Ft of 2" ST MP Main, ~1153 Ft of ST 4" ST MP Main, ~1054 Ft of PL MP Main.  Service Tie-Over=193: Service Replace= 3 (21 Ft).  Work Order Type: MREPL- Main Replacement.</v>
          </cell>
          <cell r="P2116" t="str">
            <v>0201-043001  JACKSON CTY/INDEPENDENCE</v>
          </cell>
          <cell r="Q2116">
            <v>0</v>
          </cell>
          <cell r="R2116">
            <v>12542</v>
          </cell>
        </row>
        <row r="2117">
          <cell r="A2117" t="str">
            <v>004112</v>
          </cell>
          <cell r="B2117" t="str">
            <v>LDC 2</v>
          </cell>
          <cell r="D2117" t="str">
            <v>no</v>
          </cell>
          <cell r="E2117" t="str">
            <v>20201132857</v>
          </cell>
          <cell r="F2117" t="str">
            <v>F0507</v>
          </cell>
          <cell r="G2117" t="str">
            <v>Rebuild Meter Install 2'' &amp; Lg (S)</v>
          </cell>
          <cell r="H2117" t="str">
            <v>1311 W Elm Rebuild 5M Meter Set</v>
          </cell>
          <cell r="I2117" t="str">
            <v>posted to CPR</v>
          </cell>
          <cell r="J2117" t="str">
            <v>1311 W Elm Rebuild 5M Meter Set: Independence: 1311 W Elm St 1National Brass &amp; Aluminum</v>
          </cell>
          <cell r="K2117" t="str">
            <v>Approved by: Ralph Janes on 08/07/2013,  The AL 2300 meter (meter# 00070895) at 1311 W Elm St. 1 (premise 9353) is due for change out on the 2013 Time Limit Program. The existing load was gathered: 5,000 cfh. Retire the AL 2300 meter set (original WO# 94000458) and rebuild with 5M Rotary meter set on WO# 13-2857.</v>
          </cell>
          <cell r="L2117">
            <v>41530</v>
          </cell>
          <cell r="M2117">
            <v>41600</v>
          </cell>
          <cell r="N2117">
            <v>41612.300173611096</v>
          </cell>
          <cell r="P2117" t="str">
            <v>0201-043001  JACKSON CTY/INDEPENDENCE</v>
          </cell>
          <cell r="Q2117">
            <v>3803.69</v>
          </cell>
          <cell r="R2117">
            <v>95</v>
          </cell>
        </row>
        <row r="2118">
          <cell r="A2118" t="str">
            <v>011637</v>
          </cell>
          <cell r="B2118" t="str">
            <v>LDC 2</v>
          </cell>
          <cell r="D2118" t="str">
            <v>no</v>
          </cell>
          <cell r="F2118" t="str">
            <v>F0538</v>
          </cell>
          <cell r="G2118" t="str">
            <v>Other Communication Costs</v>
          </cell>
          <cell r="H2118" t="str">
            <v>Repl Transmitter Warrensburg TB</v>
          </cell>
          <cell r="I2118" t="str">
            <v>in service</v>
          </cell>
          <cell r="J2118" t="str">
            <v>Purchase Rosemount 2088 transmitter to replace BB pressure 2808 transmitter at Warrensburg South town border station. Existing transmitter damaged beyond repair due to lightning surge.</v>
          </cell>
          <cell r="K2118" t="str">
            <v>Per Matt Taylor 6-28-16</v>
          </cell>
          <cell r="L2118">
            <v>42643</v>
          </cell>
          <cell r="O2118">
            <v>42614</v>
          </cell>
          <cell r="P2118" t="str">
            <v>0301-046001  JOHNSON CTY/WARRENSBURG</v>
          </cell>
          <cell r="Q2118">
            <v>3101.39</v>
          </cell>
          <cell r="R2118">
            <v>2</v>
          </cell>
        </row>
        <row r="2119">
          <cell r="A2119" t="str">
            <v>008640</v>
          </cell>
          <cell r="B2119" t="str">
            <v>LDC 2</v>
          </cell>
          <cell r="D2119" t="str">
            <v>yes</v>
          </cell>
          <cell r="E2119" t="str">
            <v>20305155191</v>
          </cell>
          <cell r="F2119" t="str">
            <v>F0604</v>
          </cell>
          <cell r="G2119" t="str">
            <v>Main Replacement - ISRS (S)</v>
          </cell>
          <cell r="H2119" t="str">
            <v>Replace 2in and 4in pbs mai</v>
          </cell>
          <cell r="I2119" t="str">
            <v>posted to CPR</v>
          </cell>
          <cell r="J2119" t="str">
            <v>Replace 2in and 4in pbs main: Sweet Springs: Replace Bare Steel Main - 3760 Safety Related (34-394)</v>
          </cell>
          <cell r="K2119" t="str">
            <v>Approved by: Joe Hampton on 05/28/2015,  Replace and Abandon 2" and 4" pbs, pcs and pe main by installing 4,975' - 2" pe main.  Estimate = $35.27 per foot(ISRS)</v>
          </cell>
          <cell r="L2119">
            <v>42302</v>
          </cell>
          <cell r="M2119">
            <v>42429</v>
          </cell>
          <cell r="N2119">
            <v>42527.512314814798</v>
          </cell>
          <cell r="O2119">
            <v>42370</v>
          </cell>
          <cell r="P2119" t="str">
            <v>0305-086001  SALINE CTY/SWEET SPRINGS</v>
          </cell>
          <cell r="Q2119">
            <v>131958.60999999999</v>
          </cell>
          <cell r="R2119">
            <v>-5499</v>
          </cell>
        </row>
        <row r="2120">
          <cell r="A2120" t="str">
            <v>800714</v>
          </cell>
          <cell r="B2120" t="str">
            <v>LDC 2</v>
          </cell>
          <cell r="C2120" t="str">
            <v>03 - Bare Steel Replacement</v>
          </cell>
          <cell r="D2120" t="str">
            <v>yes</v>
          </cell>
          <cell r="F2120" t="str">
            <v>F0572</v>
          </cell>
          <cell r="G2120" t="str">
            <v>Main Replacement - ISRS (SW)</v>
          </cell>
          <cell r="H2120" t="str">
            <v>Repl w 2748F 2-4P Monett Phase 1B</v>
          </cell>
          <cell r="I2120" t="str">
            <v>in service</v>
          </cell>
          <cell r="J2120" t="str">
            <v>Install 1416 ft of 2 in PL IP main and 1332 Ft of 4 in PL IP main on 10th St, 11th St, Bond St, 9th St, Broadway St, and 13th St.</v>
          </cell>
          <cell r="K2120" t="str">
            <v>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ell>
          <cell r="L2120">
            <v>42733</v>
          </cell>
          <cell r="O2120">
            <v>42705</v>
          </cell>
          <cell r="P2120" t="str">
            <v>0801-005001  BARRY CTY/MONETT</v>
          </cell>
          <cell r="Q2120">
            <v>167776.26</v>
          </cell>
          <cell r="R2120">
            <v>-5825</v>
          </cell>
        </row>
        <row r="2121">
          <cell r="A2121" t="str">
            <v>003823</v>
          </cell>
          <cell r="B2121" t="str">
            <v>LDC 2</v>
          </cell>
          <cell r="D2121" t="str">
            <v>yes</v>
          </cell>
          <cell r="E2121" t="str">
            <v>20801050361</v>
          </cell>
          <cell r="F2121" t="str">
            <v>F0522</v>
          </cell>
          <cell r="G2121" t="str">
            <v>SLRP - modified block by block - co</v>
          </cell>
          <cell r="H2121" t="str">
            <v>BWO SERVICE LINE REPL MODIFIED BLOC</v>
          </cell>
          <cell r="I2121" t="str">
            <v>open</v>
          </cell>
          <cell r="J2121" t="str">
            <v>BWO SERVICE LINE REPL MODIFIED BLOCK COMP</v>
          </cell>
          <cell r="K2121" t="str">
            <v>Service/Yard Line Replacement (SLRP): Company Crew.  Modified Block by Block - Planned replacement of all unprotected steel or copper in a single block.  (Monett - South Region)</v>
          </cell>
          <cell r="O2121">
            <v>41730</v>
          </cell>
          <cell r="P2121" t="str">
            <v>0801-005001  BARRY CTY/MONETT</v>
          </cell>
          <cell r="Q2121">
            <v>1437879.53</v>
          </cell>
          <cell r="R2121">
            <v>158970.07999999999</v>
          </cell>
        </row>
        <row r="2122">
          <cell r="A2122" t="str">
            <v>006473</v>
          </cell>
          <cell r="B2122" t="str">
            <v>LDC 2</v>
          </cell>
          <cell r="D2122" t="str">
            <v>yes</v>
          </cell>
          <cell r="E2122" t="str">
            <v>20813143792</v>
          </cell>
          <cell r="F2122" t="str">
            <v>F0573</v>
          </cell>
          <cell r="G2122" t="str">
            <v>Replace bare steel main - safety re</v>
          </cell>
          <cell r="H2122" t="str">
            <v>Repl 391ft BS 86ft CS  with 479ft 2</v>
          </cell>
          <cell r="I2122" t="str">
            <v>posted to CPR</v>
          </cell>
          <cell r="J2122" t="str">
            <v>Repl 391ft BS 86ft CS  with 479ft 2in Plastic : Billings: Replace Bare Steel Main - 3760 Safety Related (34-394)</v>
          </cell>
          <cell r="K2122" t="str">
            <v>Approved by: Galen Shoemaker on 09/18/2014,  Lay 479ft of 2in Plastic Main to replace 391ft of 2in PBS from WO JO10B and 86ft of 2in CS from WO 66-7352 and 2'-2" PE from 82-0762. MOP=20# MAOP=20# TEST=100# SYSTEM=S-1</v>
          </cell>
          <cell r="L2122">
            <v>41878</v>
          </cell>
          <cell r="M2122">
            <v>42248</v>
          </cell>
          <cell r="N2122">
            <v>42284.722303240698</v>
          </cell>
          <cell r="O2122">
            <v>41913</v>
          </cell>
          <cell r="P2122" t="str">
            <v>0813-019001  CHRISTIAN CTY/BILLING</v>
          </cell>
          <cell r="Q2122">
            <v>5552.23</v>
          </cell>
          <cell r="R2122">
            <v>-198</v>
          </cell>
        </row>
        <row r="2123">
          <cell r="A2123" t="str">
            <v>004502</v>
          </cell>
          <cell r="B2123" t="str">
            <v>LDC 2</v>
          </cell>
          <cell r="D2123" t="str">
            <v>no</v>
          </cell>
          <cell r="E2123" t="str">
            <v>20801050302</v>
          </cell>
          <cell r="F2123" t="str">
            <v>F0590</v>
          </cell>
          <cell r="G2123" t="str">
            <v>BWO New Mtr/Reg Install &lt;2'' (SW)</v>
          </cell>
          <cell r="H2123" t="str">
            <v>BWO-New Bus Meter Sets-Southwest</v>
          </cell>
          <cell r="I2123" t="str">
            <v>open</v>
          </cell>
          <cell r="J2123" t="str">
            <v>BWO-New Business Meter Sets Under 2 inch - Southwest Region</v>
          </cell>
          <cell r="O2123">
            <v>41730</v>
          </cell>
          <cell r="P2123" t="str">
            <v>0801-005001  BARRY CTY/MONETT</v>
          </cell>
          <cell r="Q2123">
            <v>2099277.36</v>
          </cell>
          <cell r="R2123">
            <v>168950.95</v>
          </cell>
        </row>
        <row r="2124">
          <cell r="A2124" t="str">
            <v>007936</v>
          </cell>
          <cell r="B2124" t="str">
            <v>LDC 2</v>
          </cell>
          <cell r="D2124" t="str">
            <v>no</v>
          </cell>
          <cell r="E2124" t="str">
            <v>20806155215</v>
          </cell>
          <cell r="F2124" t="str">
            <v>F0556</v>
          </cell>
          <cell r="G2124" t="str">
            <v>Tools, instruments &amp; equipment</v>
          </cell>
          <cell r="H2124" t="str">
            <v>Tool Purchase OEM 2in Pipe Scrapper</v>
          </cell>
          <cell r="I2124" t="str">
            <v>posted to CPR</v>
          </cell>
          <cell r="J2124" t="str">
            <v>Tool Purchase OEM 2in Pipe Scrapper for Neosho: Neosho: Purchase Tools, Instruments &amp; Equipment  3940 (37-366)</v>
          </cell>
          <cell r="K2124" t="str">
            <v>Approved by: Michael Fornelli on 03/25/2015,  Purchase two (2) OEM 2" Pipe Scraper (Split Peeler) for Neosho C&amp;M.</v>
          </cell>
          <cell r="L2124">
            <v>42118</v>
          </cell>
          <cell r="M2124">
            <v>42491</v>
          </cell>
          <cell r="N2124">
            <v>42527.511782407397</v>
          </cell>
          <cell r="O2124">
            <v>42125</v>
          </cell>
          <cell r="P2124" t="str">
            <v>0806-066010  NEWTON CTY/NEOSHO</v>
          </cell>
          <cell r="Q2124">
            <v>1022.16</v>
          </cell>
          <cell r="R2124">
            <v>2</v>
          </cell>
        </row>
        <row r="2125">
          <cell r="A2125" t="str">
            <v>800724</v>
          </cell>
          <cell r="B2125" t="str">
            <v>LDC 2</v>
          </cell>
          <cell r="C2125" t="str">
            <v>03 - Bare Steel Replacement</v>
          </cell>
          <cell r="D2125" t="str">
            <v>yes</v>
          </cell>
          <cell r="F2125" t="str">
            <v>F0604</v>
          </cell>
          <cell r="G2125" t="str">
            <v>Main Replacement - ISRS (S)</v>
          </cell>
          <cell r="H2125" t="str">
            <v>Repl w 2490F 2-4P 60th Terr &amp; Elm</v>
          </cell>
          <cell r="I2125" t="str">
            <v>in service</v>
          </cell>
          <cell r="J2125" t="str">
            <v>Install ~1815 Ft of 2" PL MP Main, ~675 Ft of 4" PL MP Main.</v>
          </cell>
          <cell r="K2125" t="str">
            <v>Abandon ~85 Ft of 2" PL MP Main, ~7 Ft of PL MP Main, ~1728 Ft of 2" ST MP Main, ~671 Ft of 4" ST MP Main Total Service Tie-overs= 30 This bare steel grid main replacement project will clear active leak 419978.</v>
          </cell>
          <cell r="L2125">
            <v>42671</v>
          </cell>
          <cell r="O2125">
            <v>42705</v>
          </cell>
          <cell r="P2125" t="str">
            <v>0902-043025  JACKSON CTY/RAYTOWN</v>
          </cell>
          <cell r="Q2125">
            <v>130349.19</v>
          </cell>
          <cell r="R2125">
            <v>-2793.5</v>
          </cell>
        </row>
        <row r="2126">
          <cell r="A2126" t="str">
            <v>008740</v>
          </cell>
          <cell r="B2126" t="str">
            <v>LDC 2</v>
          </cell>
          <cell r="D2126" t="str">
            <v>yes</v>
          </cell>
          <cell r="E2126" t="str">
            <v>20902155375</v>
          </cell>
          <cell r="F2126" t="str">
            <v>F0604</v>
          </cell>
          <cell r="G2126" t="str">
            <v>Main Replacement - ISRS (S)</v>
          </cell>
          <cell r="H2126" t="str">
            <v>Replace 4in PBS- Westridge Rd</v>
          </cell>
          <cell r="I2126" t="str">
            <v>posted to CPR</v>
          </cell>
          <cell r="J2126" t="str">
            <v>Replace 4in PBS- Westridge Rd: Raytown: Replace Bare Steel Main - 3760 Safety Related (34-394)</v>
          </cell>
          <cell r="K2126" t="str">
            <v>Approved by: Kevin Driskell on 06/16/2015,  This work order is necessary to replace 760' of leaking 4" PBS on Westridge Rd between 350 Hwy and 50 Hwy.  Install 780' of 4" PE, abandon 760' of 4" PBS.  ISRS.</v>
          </cell>
          <cell r="L2126">
            <v>42221</v>
          </cell>
          <cell r="M2126">
            <v>42247</v>
          </cell>
          <cell r="N2126">
            <v>42345.490439814799</v>
          </cell>
          <cell r="O2126">
            <v>42217</v>
          </cell>
          <cell r="P2126" t="str">
            <v>0902-043025  JACKSON CTY/RAYTOWN</v>
          </cell>
          <cell r="Q2126">
            <v>35221.5</v>
          </cell>
          <cell r="R2126">
            <v>-1013</v>
          </cell>
        </row>
        <row r="2127">
          <cell r="A2127" t="str">
            <v>006360</v>
          </cell>
          <cell r="B2127" t="str">
            <v>LDC 2</v>
          </cell>
          <cell r="D2127" t="str">
            <v>no</v>
          </cell>
          <cell r="E2127" t="str">
            <v>20816143670</v>
          </cell>
          <cell r="F2127" t="str">
            <v>F0579</v>
          </cell>
          <cell r="G2127" t="str">
            <v>New business</v>
          </cell>
          <cell r="H2127" t="str">
            <v>Extend Main 535ft of 2in PE to Ente</v>
          </cell>
          <cell r="I2127" t="str">
            <v>posted to CPR</v>
          </cell>
          <cell r="J2127" t="str">
            <v>Extend Main 535ft of 2in PE to Enterprise Place: Nixa: New Main Extension - Contractor Crews  3760 (33-380)</v>
          </cell>
          <cell r="K2127" t="str">
            <v>Approved by: Galen Shoemaker on 09/10/2014,  Install 535' of 2" PE for 9 new customers converting from propane to natural gas.  Customer will not be charged due to refunds for all meters being installed will equal the cost to install main. Main will lay in 10' utility easement.  Project Location: N of Kathryn St, E of Red Hawk Ct.  System: C-1.  MOP: 44 PSIG.  MAOP: 44 PSIG.  Design: 58 PSIG.  Test: 100 PSIG.  Price Per Foot: $26.48.</v>
          </cell>
          <cell r="L2127">
            <v>41950</v>
          </cell>
          <cell r="M2127">
            <v>42248</v>
          </cell>
          <cell r="N2127">
            <v>42284.722245370402</v>
          </cell>
          <cell r="O2127">
            <v>41944</v>
          </cell>
          <cell r="P2127" t="str">
            <v>0816-019004  CHRISTIAN CTY/NIXA</v>
          </cell>
          <cell r="Q2127">
            <v>7124.39</v>
          </cell>
          <cell r="R2127">
            <v>-1056</v>
          </cell>
        </row>
        <row r="2128">
          <cell r="A2128" t="str">
            <v>008676</v>
          </cell>
          <cell r="B2128" t="str">
            <v>LDC 2</v>
          </cell>
          <cell r="D2128" t="str">
            <v>yes</v>
          </cell>
          <cell r="E2128" t="str">
            <v>20902155316</v>
          </cell>
          <cell r="F2128" t="str">
            <v>F0604</v>
          </cell>
          <cell r="G2128" t="str">
            <v>Main Replacement - ISRS (S)</v>
          </cell>
          <cell r="H2128" t="str">
            <v>Replace 2in PCS /PBS Main</v>
          </cell>
          <cell r="I2128" t="str">
            <v>posted to CPR</v>
          </cell>
          <cell r="J2128" t="str">
            <v>Replace 2in PCS /PBS Main: Raytown: Replace Bare Steel Main - 3760 Safety Related (34-394)</v>
          </cell>
          <cell r="K2128" t="str">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ell>
          <cell r="L2128">
            <v>42527</v>
          </cell>
          <cell r="M2128">
            <v>42551</v>
          </cell>
          <cell r="N2128">
            <v>42649.699930555602</v>
          </cell>
          <cell r="O2128">
            <v>42522</v>
          </cell>
          <cell r="P2128" t="str">
            <v>0902-043025  JACKSON CTY/RAYTOWN</v>
          </cell>
          <cell r="Q2128">
            <v>217799.06</v>
          </cell>
          <cell r="R2128">
            <v>-8039.5</v>
          </cell>
        </row>
        <row r="2129">
          <cell r="A2129" t="str">
            <v>004220</v>
          </cell>
          <cell r="B2129" t="str">
            <v>LDC 2</v>
          </cell>
          <cell r="D2129" t="str">
            <v>no</v>
          </cell>
          <cell r="E2129" t="str">
            <v>20902132876</v>
          </cell>
          <cell r="F2129" t="str">
            <v>F0507</v>
          </cell>
          <cell r="G2129" t="str">
            <v>Rebuild Meter Install 2'' &amp; Lg (S)</v>
          </cell>
          <cell r="H2129" t="str">
            <v>Remove 3M Rotary Meter Buffalo Wild</v>
          </cell>
          <cell r="I2129" t="str">
            <v>posted to CPR</v>
          </cell>
          <cell r="J2129" t="str">
            <v>Remove 3M Rotary Meter Buffalo Wild Wings: Raytown: 9490 E 350 Highway</v>
          </cell>
          <cell r="K2129" t="str">
            <v>Approved by: Ralph Janes on 08/07/2013,  Remove and dismantle the 3M rotary meter setting (meter #09910894, installed on WO# 00-1781) at the old Buffalo Wild Wings.  The building has been bought and will be split into 2 units requiring 2 diaphragm meters.</v>
          </cell>
          <cell r="L2129">
            <v>41494</v>
          </cell>
          <cell r="M2129">
            <v>41575</v>
          </cell>
          <cell r="N2129">
            <v>41576.418611111098</v>
          </cell>
          <cell r="O2129">
            <v>42156</v>
          </cell>
          <cell r="P2129" t="str">
            <v>0902-043025  JACKSON CTY/RAYTOWN</v>
          </cell>
          <cell r="Q2129">
            <v>1448.5</v>
          </cell>
          <cell r="R2129">
            <v>16</v>
          </cell>
        </row>
        <row r="2130">
          <cell r="A2130" t="str">
            <v>800097</v>
          </cell>
          <cell r="B2130" t="str">
            <v>LDC 2</v>
          </cell>
          <cell r="C2130" t="str">
            <v>03 - Bare Steel Replacement</v>
          </cell>
          <cell r="D2130" t="str">
            <v>yes</v>
          </cell>
          <cell r="F2130" t="str">
            <v>F0604</v>
          </cell>
          <cell r="G2130" t="str">
            <v>Main Replacement - ISRS (S)</v>
          </cell>
          <cell r="H2130" t="str">
            <v>Repl w/ 1385F 2P Belton Ph1F</v>
          </cell>
          <cell r="I2130" t="str">
            <v>open</v>
          </cell>
          <cell r="J2130" t="str">
            <v>Install 1385 Ft 2 in PL IP Main for Belton Phase 1F.  Abandon 20 Ft 2 in PL, 299 Ft 2 in ST and 2188 Ft 4 in ST.  Uprate approximately 968 Ft 2 in PL LP Main to IP.</v>
          </cell>
          <cell r="K2130" t="str">
            <v>FY16 Bare Steel Replacement Program.</v>
          </cell>
          <cell r="P2130" t="str">
            <v>0906-016001  CASS CTY/BELTON W OF MULLIN RD</v>
          </cell>
          <cell r="Q2130">
            <v>0</v>
          </cell>
          <cell r="R2130">
            <v>2507</v>
          </cell>
        </row>
        <row r="2131">
          <cell r="A2131" t="str">
            <v>009231</v>
          </cell>
          <cell r="B2131" t="str">
            <v>LDC 2</v>
          </cell>
          <cell r="D2131" t="str">
            <v>yes</v>
          </cell>
          <cell r="E2131" t="str">
            <v>20904155501</v>
          </cell>
          <cell r="F2131" t="str">
            <v>F0613</v>
          </cell>
          <cell r="G2131" t="str">
            <v>Replace bare steel main - safety re</v>
          </cell>
          <cell r="H2131" t="str">
            <v>Grandview Repl Phase 1</v>
          </cell>
          <cell r="I2131" t="str">
            <v>posted to CPR</v>
          </cell>
          <cell r="J2131" t="str">
            <v>Grandview Repl Phase 1: Grandview: Replace Bare Steel Main - 3760 Safety Related (34-394)</v>
          </cell>
          <cell r="K2131" t="str">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ell>
          <cell r="L2131">
            <v>42398</v>
          </cell>
          <cell r="M2131">
            <v>42614</v>
          </cell>
          <cell r="N2131">
            <v>42649.700173611098</v>
          </cell>
          <cell r="O2131">
            <v>42401</v>
          </cell>
          <cell r="P2131" t="str">
            <v>0904-043030  JACKSON CTY/GRANDVIEW</v>
          </cell>
          <cell r="Q2131">
            <v>563909.72</v>
          </cell>
          <cell r="R2131">
            <v>-5286.25</v>
          </cell>
        </row>
        <row r="2132">
          <cell r="A2132" t="str">
            <v>800255</v>
          </cell>
          <cell r="B2132" t="str">
            <v>LDC 2</v>
          </cell>
          <cell r="C2132" t="str">
            <v>03 - Bare Steel Replacement</v>
          </cell>
          <cell r="D2132" t="str">
            <v>yes</v>
          </cell>
          <cell r="F2132" t="str">
            <v>F0604</v>
          </cell>
          <cell r="G2132" t="str">
            <v>Main Replacement - ISRS (S)</v>
          </cell>
          <cell r="H2132" t="str">
            <v>Pleasant Hill Main Replace-Phase 2</v>
          </cell>
          <cell r="I2132" t="str">
            <v>in service</v>
          </cell>
          <cell r="J2132" t="str">
            <v>Install 2936Ft of 2in and 704Ft of 4in PL IP main for Pleasant Hill Grid Phase 2. Abandon 80Ft of 2in PL, 215Ft of 4in PL, 668Ft of 2in ST, 512Ft of 3in ST, 2968ft of 4in ST and 115ft of 5in ST main.</v>
          </cell>
          <cell r="K2132" t="str">
            <v>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ell>
          <cell r="L2132">
            <v>42668</v>
          </cell>
          <cell r="O2132">
            <v>42644</v>
          </cell>
          <cell r="P2132" t="str">
            <v>0909-016012  CASS CTY/PLEASANT HILL</v>
          </cell>
          <cell r="Q2132">
            <v>294399.88</v>
          </cell>
          <cell r="R2132">
            <v>-4059.25</v>
          </cell>
        </row>
        <row r="2133">
          <cell r="A2133" t="str">
            <v>800085</v>
          </cell>
          <cell r="B2133" t="str">
            <v>LDC 2</v>
          </cell>
          <cell r="C2133" t="str">
            <v>03 - Bare Steel Replacement</v>
          </cell>
          <cell r="D2133" t="str">
            <v>yes</v>
          </cell>
          <cell r="F2133" t="str">
            <v>F0604</v>
          </cell>
          <cell r="G2133" t="str">
            <v>Main Replacement - ISRS (S)</v>
          </cell>
          <cell r="H2133" t="str">
            <v>Holden Grid Phase 2G</v>
          </cell>
          <cell r="I2133" t="str">
            <v>in service</v>
          </cell>
          <cell r="J2133" t="str">
            <v>Install 4695 Ft of 2 in PL IP main for Holden Phase 2G (Saint Charles St, W 5th St, Buffalo St, Niagara St, S Buffalo St and 8th St.) Abandon 4538 Ft of 2 in Steel and 472 Ft of 2 in PL LP main.</v>
          </cell>
          <cell r="K2133" t="str">
            <v>This main is being replaced as part of FY16 Bare Steel Replacement Program.
Uprate ~ 665 Ft of 2 in PL LP main to IP main at 7th St, and Lindy Ln
Total Service Tie-over = 34; Total Service Replacement = 3; Total Service Abandoned = 8; Total Service Upgrade =2</v>
          </cell>
          <cell r="L2133">
            <v>42663</v>
          </cell>
          <cell r="O2133">
            <v>42644</v>
          </cell>
          <cell r="P2133" t="str">
            <v>0910-046008  JOHNSON CTY/HOLDEN</v>
          </cell>
          <cell r="Q2133">
            <v>212779.5</v>
          </cell>
          <cell r="R2133">
            <v>-922</v>
          </cell>
        </row>
        <row r="2134">
          <cell r="A2134" t="str">
            <v>006359</v>
          </cell>
          <cell r="B2134" t="str">
            <v>LDC 2</v>
          </cell>
          <cell r="D2134" t="str">
            <v>no</v>
          </cell>
          <cell r="E2134" t="str">
            <v>20901143739</v>
          </cell>
          <cell r="F2134" t="str">
            <v>F0625</v>
          </cell>
          <cell r="G2134" t="str">
            <v>Tools, instruments &amp; equipment</v>
          </cell>
          <cell r="H2134" t="str">
            <v>Purchase 2 Val Tex Grease Guns</v>
          </cell>
          <cell r="I2134" t="str">
            <v>posted to CPR</v>
          </cell>
          <cell r="J2134" t="str">
            <v>Purchase 2 Val Tex Grease Guns : Lees Summit: Purchase Tools, Instruments &amp; Equipment  3940 (37-366)</v>
          </cell>
          <cell r="K2134" t="str">
            <v>Approved by: Rob Kitterman on 09/09/2014,  Purchase 2 Grease Guns - Val Tex Model 1400 - for the two additional employees that are being added to the Lee's Summit P&amp;M department due to the changes in the union contract.</v>
          </cell>
          <cell r="L2134">
            <v>41960</v>
          </cell>
          <cell r="M2134">
            <v>42491</v>
          </cell>
          <cell r="N2134">
            <v>42527.510775463001</v>
          </cell>
          <cell r="O2134">
            <v>41944</v>
          </cell>
          <cell r="P2134" t="str">
            <v>0901-043021  JACKSON CTY/LEE'S SUMMIT OFFIC</v>
          </cell>
          <cell r="Q2134">
            <v>1665.52</v>
          </cell>
          <cell r="R2134">
            <v>2</v>
          </cell>
        </row>
        <row r="2135">
          <cell r="A2135" t="str">
            <v>004202</v>
          </cell>
          <cell r="B2135" t="str">
            <v>LDC 2</v>
          </cell>
          <cell r="D2135" t="str">
            <v>no</v>
          </cell>
          <cell r="E2135" t="str">
            <v>20901132887</v>
          </cell>
          <cell r="F2135" t="str">
            <v>F0602</v>
          </cell>
          <cell r="G2135" t="str">
            <v>New business</v>
          </cell>
          <cell r="H2135" t="str">
            <v>SW 41st St Lay 2245'-4in PE main ex</v>
          </cell>
          <cell r="I2135" t="str">
            <v>posted to CPR</v>
          </cell>
          <cell r="J2135" t="str">
            <v>SW 41st St Lay 2245'-4in PE main ext: Lees Summit: SW 41st Street Parkwood @ Stoney Creek - 6th Phase</v>
          </cell>
          <cell r="K2135" t="str">
            <v>Approved by: Ralph Janes on 08/20/2013,  Install 2245' of 4" PE main to serve the 6th Phase for Parkwood @ Stoney Creek development. Pressure system is C-017 with a MOP and MAOP of 55 psig.</v>
          </cell>
          <cell r="L2135">
            <v>41634</v>
          </cell>
          <cell r="M2135">
            <v>41697</v>
          </cell>
          <cell r="N2135">
            <v>41698.505231481497</v>
          </cell>
          <cell r="O2135">
            <v>41730</v>
          </cell>
          <cell r="P2135" t="str">
            <v>0901-043021  JACKSON CTY/LEE'S SUMMIT OFFIC</v>
          </cell>
          <cell r="Q2135">
            <v>22844.799999999999</v>
          </cell>
          <cell r="R2135">
            <v>4946</v>
          </cell>
        </row>
        <row r="2136">
          <cell r="A2136" t="str">
            <v>004545</v>
          </cell>
          <cell r="B2136" t="str">
            <v>LDC 2</v>
          </cell>
          <cell r="D2136" t="str">
            <v>no</v>
          </cell>
          <cell r="E2136" t="str">
            <v>20901132854</v>
          </cell>
          <cell r="F2136" t="str">
            <v>F0507</v>
          </cell>
          <cell r="G2136" t="str">
            <v>Rebuild Meter Install 2'' &amp; Lg (S)</v>
          </cell>
          <cell r="H2136" t="str">
            <v>Retire AL 1400 Billy Goat Ind Inc</v>
          </cell>
          <cell r="I2136" t="str">
            <v>posted to CPR</v>
          </cell>
          <cell r="J2136" t="str">
            <v>Retire AL 1400 Billy Goat Ind Inc: Lees Summit: 1803 SW Jefferson St</v>
          </cell>
          <cell r="K2136" t="str">
            <v>Approved by: Ralph Janes on 07/31/2013,  The AL 1400 meter (meter# 13N52031) at 1803 SW Jefferson St. (premise# 371142) is due for change out on the 2013 Time Limit Program. The existing load was gathered: 1,600 cfh. Retire the AL 1400 meter set (original WO# 89-9376) on WO# 13-2854 and downsize to an AL-1000 meter.</v>
          </cell>
          <cell r="L2136">
            <v>41494</v>
          </cell>
          <cell r="M2136">
            <v>41575</v>
          </cell>
          <cell r="N2136">
            <v>41576.418587963002</v>
          </cell>
          <cell r="P2136" t="str">
            <v>0901-043021  JACKSON CTY/LEE'S SUMMIT OFFIC</v>
          </cell>
          <cell r="Q2136">
            <v>794.58</v>
          </cell>
          <cell r="R2136">
            <v>9</v>
          </cell>
        </row>
        <row r="2137">
          <cell r="A2137" t="str">
            <v>004067</v>
          </cell>
          <cell r="B2137" t="str">
            <v>LDC 2</v>
          </cell>
          <cell r="D2137" t="str">
            <v>no</v>
          </cell>
          <cell r="E2137" t="str">
            <v>20901133148</v>
          </cell>
          <cell r="F2137" t="str">
            <v>F0602</v>
          </cell>
          <cell r="G2137" t="str">
            <v>New business</v>
          </cell>
          <cell r="H2137" t="str">
            <v>Longview &amp; Sampson Lay 405'-2;135'-</v>
          </cell>
          <cell r="I2137" t="str">
            <v>posted to CPR</v>
          </cell>
          <cell r="J2137" t="str">
            <v>Longview &amp; Sampson Lay 405'-2;135'-4in PE main ext: Lees Summit: Longview &amp; Sampson Rd Highland Meadows PH2A</v>
          </cell>
          <cell r="K2137" t="str">
            <v>Approved by: Ralph Janes on 11/13/2013,  Install 405' of 2" PE main and 135 of 4" PE main to serve 12 lots (79-87 &amp; 90-92) in Highland Meadows for Phase 2a. Tie into 2" and 4" PE main installed on wo# 12-1559 and 03-6128 respectively. Pressure system C-017, MOP = MAOP=55 psig).</v>
          </cell>
          <cell r="L2137">
            <v>41617</v>
          </cell>
          <cell r="M2137">
            <v>41698</v>
          </cell>
          <cell r="N2137">
            <v>41704.711678240703</v>
          </cell>
          <cell r="O2137">
            <v>41730</v>
          </cell>
          <cell r="P2137" t="str">
            <v>0901-043021  JACKSON CTY/LEE'S SUMMIT OFFIC</v>
          </cell>
          <cell r="Q2137">
            <v>3107.2</v>
          </cell>
          <cell r="R2137">
            <v>1695</v>
          </cell>
        </row>
        <row r="2138">
          <cell r="A2138" t="str">
            <v>004137</v>
          </cell>
          <cell r="B2138" t="str">
            <v>LDC 2</v>
          </cell>
          <cell r="D2138" t="str">
            <v>yes</v>
          </cell>
          <cell r="E2138" t="str">
            <v>20601132923</v>
          </cell>
          <cell r="F2138" t="str">
            <v>F0664</v>
          </cell>
          <cell r="G2138" t="str">
            <v>Street &amp; Hwy Relocates ISRS (SW)</v>
          </cell>
          <cell r="H2138" t="str">
            <v>Airport Dr Reloc 260'-4in PE main</v>
          </cell>
          <cell r="I2138" t="str">
            <v>posted to CPR</v>
          </cell>
          <cell r="J2138" t="str">
            <v>Airport Dr Reloc 260'-4in PE main: Carthage: Airport Dr &amp; Rebekah St</v>
          </cell>
          <cell r="K2138" t="str">
            <v>Approved by: Galen Shoemaker on 08/26/2013,  Lay 260' of 4IN PE to replace 250' of 4IN PE due to storm drain improvement.  Project Location: Airport Dr south of Rebekah St.  Pressure System: C-5.  MOP: 20 PSIG.  MAOP: 20 PSIG.  Design: 58 PSIG.  Test: 100 PSIG.  ISRS.  Price Per Foot: $35.17.</v>
          </cell>
          <cell r="L2138">
            <v>41520</v>
          </cell>
          <cell r="M2138">
            <v>41626</v>
          </cell>
          <cell r="N2138">
            <v>41627.5828356481</v>
          </cell>
          <cell r="P2138" t="str">
            <v>0601-044025  JASPER CTY/CARTHAGE</v>
          </cell>
          <cell r="Q2138">
            <v>10376.84</v>
          </cell>
          <cell r="R2138">
            <v>1066</v>
          </cell>
        </row>
        <row r="2139">
          <cell r="A2139" t="str">
            <v>009019</v>
          </cell>
          <cell r="B2139" t="str">
            <v>LDC 2</v>
          </cell>
          <cell r="D2139" t="str">
            <v>no</v>
          </cell>
          <cell r="E2139" t="str">
            <v>20605155349</v>
          </cell>
          <cell r="F2139" t="str">
            <v>F0630</v>
          </cell>
          <cell r="G2139" t="str">
            <v>Meter &amp; Reg Settings 2" &amp; Lg (SW)</v>
          </cell>
          <cell r="H2139" t="str">
            <v>Reg Station for Paul Steffan Golden</v>
          </cell>
          <cell r="I2139" t="str">
            <v>in service</v>
          </cell>
          <cell r="J2139" t="str">
            <v>Reg Station for Paul Steffan Golden City: Golden City: New District/TB Stations  3780/3790 (33-383)</v>
          </cell>
          <cell r="K2139" t="str">
            <v>Approved by: Michael Fornelli on 07/27/2015,  New regulator station will be installed to provide service to the Paul Stefan irrigation operation. Will install two 2-inch flanged Sensus 461-57S regulators with 1" SS Dbl valves as operator/monitor. Operator will be set at 55 psig and the monitor will be set at 60 psig. Will use a 1" Fisher relief set at 59 psig as a warning relief. Inlet System 0604-S-1 MAOP=157PSIG  Outlet System 0605-S-2  MA0P=58PSIG MOP=55PSIG</v>
          </cell>
          <cell r="L2139">
            <v>42216</v>
          </cell>
          <cell r="O2139">
            <v>42248</v>
          </cell>
          <cell r="P2139" t="str">
            <v>0605-006007  BARTON CTY/GOLDEN CITY</v>
          </cell>
          <cell r="Q2139">
            <v>4691.6099999999997</v>
          </cell>
          <cell r="R2139">
            <v>0</v>
          </cell>
        </row>
        <row r="2140">
          <cell r="A2140" t="str">
            <v>003805</v>
          </cell>
          <cell r="B2140" t="str">
            <v>LDC 2</v>
          </cell>
          <cell r="D2140" t="str">
            <v>no</v>
          </cell>
          <cell r="E2140" t="str">
            <v>20101143283</v>
          </cell>
          <cell r="F2140" t="str">
            <v>F0492</v>
          </cell>
          <cell r="G2140" t="str">
            <v>Special projects</v>
          </cell>
          <cell r="H2140" t="str">
            <v>Mainframe Software System Reporting</v>
          </cell>
          <cell r="I2140" t="str">
            <v>posted to CPR</v>
          </cell>
          <cell r="J2140" t="str">
            <v>Mainframe Software System Reporting: Kansas City CORP: Broadway</v>
          </cell>
          <cell r="K2140" t="str">
            <v>Approved by: Steve Holcomb on 01/07/2014,  Purchase mainframe software for system reporting.  Current software is obsolete.</v>
          </cell>
          <cell r="L2140">
            <v>41628</v>
          </cell>
          <cell r="M2140">
            <v>41670</v>
          </cell>
          <cell r="N2140">
            <v>41710.614583333299</v>
          </cell>
          <cell r="P2140" t="str">
            <v>0101-043050  Mainframe Software Dev JACKSON CTY/KC</v>
          </cell>
          <cell r="Q2140">
            <v>131403.85999999999</v>
          </cell>
          <cell r="R2140">
            <v>0</v>
          </cell>
        </row>
        <row r="2141">
          <cell r="A2141" t="str">
            <v>800945</v>
          </cell>
          <cell r="B2141" t="str">
            <v>LDC 2</v>
          </cell>
          <cell r="D2141" t="str">
            <v>no</v>
          </cell>
          <cell r="F2141" t="str">
            <v>F0647</v>
          </cell>
          <cell r="G2141" t="str">
            <v>New Main Extensions (N)</v>
          </cell>
          <cell r="H2141" t="str">
            <v>Install 905F 2P 6301 N Klamm Rd</v>
          </cell>
          <cell r="I2141" t="str">
            <v>open</v>
          </cell>
          <cell r="J2141" t="str">
            <v>Install approximately 905ft of 2in IP PE of new main for new apartment complex.  Replaces WO #800653.</v>
          </cell>
          <cell r="K2141" t="str">
            <v>LOAD (1,200 CFH) - Clubhouse.  Install approximately 125ft of 1in PE service line to clubhouse.  Replaces WO #800653.</v>
          </cell>
          <cell r="P2141" t="str">
            <v>1251-075010  PLATTE CTY/KANSAS CITY NORTH</v>
          </cell>
          <cell r="Q2141">
            <v>39168.26</v>
          </cell>
          <cell r="R2141">
            <v>-2979.5</v>
          </cell>
        </row>
        <row r="2142">
          <cell r="A2142" t="str">
            <v>007142</v>
          </cell>
          <cell r="B2142" t="str">
            <v>LDC 2</v>
          </cell>
          <cell r="D2142" t="str">
            <v>no</v>
          </cell>
          <cell r="E2142" t="str">
            <v>21251143968</v>
          </cell>
          <cell r="F2142" t="str">
            <v>F0660</v>
          </cell>
          <cell r="G2142" t="str">
            <v>Meter &amp; Reg Settings 2" &amp; Lg (N)</v>
          </cell>
          <cell r="H2142" t="str">
            <v>Benton House Tiffany Springs 5M Roo</v>
          </cell>
          <cell r="I2142" t="str">
            <v>posted to CPR</v>
          </cell>
          <cell r="J2142" t="str">
            <v>Benton House Tiffany Springs 5M Roots: Kansas City-Platte Co: New Meter &amp; Reg Settings - 2&amp;quot; &amp; Larger 3820/3830 (33-382)</v>
          </cell>
          <cell r="K2142" t="str">
            <v>Approved by: Rob Kitterman on 12/04/2014,  This work is necessary to install a 5M Roots meter to serve one new commercial customer. We'll set a 2in CL-34-1 regulator at 2psig with a 1in 289H relief set at 3psig for a connected load of 4313cfh.</v>
          </cell>
          <cell r="L2142">
            <v>41974</v>
          </cell>
          <cell r="M2142">
            <v>42003</v>
          </cell>
          <cell r="N2142">
            <v>42013.490231481497</v>
          </cell>
          <cell r="O2142">
            <v>41974</v>
          </cell>
          <cell r="P2142" t="str">
            <v>1251-075010  PLATTE CTY/KANSAS CITY NORTH</v>
          </cell>
          <cell r="Q2142">
            <v>1377.03</v>
          </cell>
          <cell r="R2142">
            <v>-38</v>
          </cell>
        </row>
        <row r="2143">
          <cell r="A2143" t="str">
            <v>005180</v>
          </cell>
          <cell r="B2143" t="str">
            <v>LDC 2</v>
          </cell>
          <cell r="D2143" t="str">
            <v>no</v>
          </cell>
          <cell r="E2143" t="str">
            <v>21251143537</v>
          </cell>
          <cell r="F2143" t="str">
            <v>F0639</v>
          </cell>
          <cell r="G2143" t="str">
            <v>EGM Equip-1st Time Installation</v>
          </cell>
          <cell r="H2143" t="str">
            <v>EGM - Pure FIshing</v>
          </cell>
          <cell r="I2143" t="str">
            <v>posted to CPR</v>
          </cell>
          <cell r="J2143" t="str">
            <v>EGM - Pure FIshing: Kansas City-Platte Co: Install EGM Equipment - First Time Installation  3850 (32-403)</v>
          </cell>
          <cell r="K2143" t="str">
            <v>Approved by: Rob Kitterman on 05/01/2014,  Install Mercury MiniMax-AT-T w/ Messenger Modem S/N:13066402 on Roots 5M meter no 08512845 to monitor daily gas usage of this transportation customer. Customer will reimburse company actual cost for EGM installation not to exceed $5,445.00, which should be coded to account 1072. ATTENTION: Plant &amp; Property Accounting, EGM work order, turn off A&amp;G indicator.</v>
          </cell>
          <cell r="L2143">
            <v>42443</v>
          </cell>
          <cell r="M2143">
            <v>42491</v>
          </cell>
          <cell r="N2143">
            <v>42528.313159722202</v>
          </cell>
          <cell r="O2143">
            <v>42430</v>
          </cell>
          <cell r="P2143" t="str">
            <v>1251-075010  PLATTE CTY/KANSAS CITY NORTH</v>
          </cell>
          <cell r="Q2143">
            <v>-197.52</v>
          </cell>
          <cell r="R2143">
            <v>9</v>
          </cell>
        </row>
        <row r="2144">
          <cell r="A2144" t="str">
            <v>004142</v>
          </cell>
          <cell r="B2144" t="str">
            <v>LDC 2</v>
          </cell>
          <cell r="D2144" t="str">
            <v>no</v>
          </cell>
          <cell r="E2144" t="str">
            <v>21251132500</v>
          </cell>
          <cell r="F2144" t="str">
            <v>F0610</v>
          </cell>
          <cell r="G2144" t="str">
            <v>New business</v>
          </cell>
          <cell r="H2144" t="str">
            <v>Tiffany Springs Rd Lay 1092'-2;877'</v>
          </cell>
          <cell r="I2144" t="str">
            <v>posted to CPR</v>
          </cell>
          <cell r="J2144" t="str">
            <v>Tiffany Springs Rd Lay 1092'-2;877'-4in Main: Kansas City-Platte Co: N DAWN AVE &amp; NW TIFFANY SPRINGS RD TIFFANY WOODS</v>
          </cell>
          <cell r="K2144" t="str">
            <v>Approved by: Gary Williams on 12/02/2013,  LAY 1,092'-2' PE &amp; 877'-4" PE TO SERVE 34 LOTS IN SUBDIVISION.  LOTS 1-34.  ONE WAY FEED INTO SUBDIVISION. COST PER FOOT=$14.78   1,969' x $8.50=$16,736.50  DEVELOPER TO CONTRIBUTE $16,736.50 BEFORE START OF PROJECT.</v>
          </cell>
          <cell r="L2144">
            <v>41704</v>
          </cell>
          <cell r="M2144">
            <v>41821</v>
          </cell>
          <cell r="N2144">
            <v>41918.762395833299</v>
          </cell>
          <cell r="O2144">
            <v>41730</v>
          </cell>
          <cell r="P2144" t="str">
            <v>1251-075010  PLATTE CTY/KANSAS CITY NORTH</v>
          </cell>
          <cell r="Q2144">
            <v>14065.83</v>
          </cell>
          <cell r="R2144">
            <v>5124</v>
          </cell>
        </row>
        <row r="2145">
          <cell r="A2145" t="str">
            <v>007789</v>
          </cell>
          <cell r="B2145" t="str">
            <v>LDC 2</v>
          </cell>
          <cell r="D2145" t="str">
            <v>yes</v>
          </cell>
          <cell r="E2145" t="str">
            <v>21001143861</v>
          </cell>
          <cell r="F2145" t="str">
            <v>F0678</v>
          </cell>
          <cell r="G2145" t="str">
            <v>Replace bare steel main - safety re</v>
          </cell>
          <cell r="H2145" t="str">
            <v>REPLACE 2151ft of PBS and PCS WITH</v>
          </cell>
          <cell r="I2145" t="str">
            <v>posted to CPR</v>
          </cell>
          <cell r="J2145" t="str">
            <v>REPLACE 2151ft of PBS and PCS WITH 4in PE. : St Joseph: Replace Bare Steel Main - 3760 Safety Related (34-394)</v>
          </cell>
          <cell r="K2145" t="str">
            <v>Approved by: Joe Hampton on 03/03/2015,  Replace 1210ft of 4" BS AND 831ft of CS main with 4"PE.Also replace 110ft of 2"CS main with 2"PE.All due to down projects.</v>
          </cell>
          <cell r="L2145">
            <v>42094</v>
          </cell>
          <cell r="M2145">
            <v>42217</v>
          </cell>
          <cell r="N2145">
            <v>42284.723368055602</v>
          </cell>
          <cell r="O2145">
            <v>42095</v>
          </cell>
          <cell r="P2145" t="str">
            <v>1001-010001  ST. JOSEPH CITY/BUCHANAN</v>
          </cell>
          <cell r="Q2145">
            <v>50467.67</v>
          </cell>
          <cell r="R2145">
            <v>-1898</v>
          </cell>
        </row>
        <row r="2146">
          <cell r="A2146" t="str">
            <v>006810</v>
          </cell>
          <cell r="B2146" t="str">
            <v>LDC 2</v>
          </cell>
          <cell r="D2146" t="str">
            <v>no</v>
          </cell>
          <cell r="F2146" t="str">
            <v>F0852</v>
          </cell>
          <cell r="G2146" t="str">
            <v>Security equipment - MGE</v>
          </cell>
          <cell r="H2146" t="str">
            <v>Exit Gate at Lee's Summit</v>
          </cell>
          <cell r="I2146" t="str">
            <v>posted to CPR</v>
          </cell>
          <cell r="J2146" t="str">
            <v>Replace exit gate, operator and optical eye at Lee's Summit.</v>
          </cell>
          <cell r="K2146" t="str">
            <v>Complete 5-15 per Fac Mgmt - AMM</v>
          </cell>
          <cell r="L2146">
            <v>42154</v>
          </cell>
          <cell r="M2146">
            <v>42278</v>
          </cell>
          <cell r="N2146">
            <v>42317.383541666699</v>
          </cell>
          <cell r="O2146">
            <v>42156</v>
          </cell>
          <cell r="P2146" t="str">
            <v>0901-043021  JACKSON CTY/LEE'S SUMMIT OFFIC</v>
          </cell>
          <cell r="Q2146">
            <v>18277.3</v>
          </cell>
          <cell r="R2146">
            <v>80675</v>
          </cell>
        </row>
        <row r="2147">
          <cell r="A2147" t="str">
            <v>010133</v>
          </cell>
          <cell r="B2147" t="str">
            <v>LDC 2</v>
          </cell>
          <cell r="D2147" t="str">
            <v>no</v>
          </cell>
          <cell r="F2147" t="str">
            <v>F1071</v>
          </cell>
          <cell r="G2147" t="str">
            <v>MGE Misc Capital</v>
          </cell>
          <cell r="H2147" t="str">
            <v>Retire Various MGE Software</v>
          </cell>
          <cell r="I2147" t="str">
            <v>in service</v>
          </cell>
          <cell r="J2147" t="str">
            <v>Retire various MGE software in account 303000 that is no longer in use following integration.</v>
          </cell>
          <cell r="K2147" t="str">
            <v>The majority is fully amortized - The unamortized balance will be transferred to a reg asset to continue amortization.  See attachment.</v>
          </cell>
          <cell r="L2147">
            <v>42339</v>
          </cell>
          <cell r="P2147" t="str">
            <v>0101-043050  Mainframe Software Dev JACKSON CTY/KC</v>
          </cell>
          <cell r="Q2147">
            <v>32863233.760000002</v>
          </cell>
          <cell r="R2147">
            <v>2</v>
          </cell>
        </row>
        <row r="2148">
          <cell r="A2148" t="str">
            <v>007314</v>
          </cell>
          <cell r="B2148" t="str">
            <v>LDC 2</v>
          </cell>
          <cell r="D2148" t="str">
            <v>no</v>
          </cell>
          <cell r="E2148" t="str">
            <v>21251143995</v>
          </cell>
          <cell r="F2148" t="str">
            <v>F0610</v>
          </cell>
          <cell r="G2148" t="str">
            <v>New business</v>
          </cell>
          <cell r="H2148" t="str">
            <v>Bank of Weston 4in Main Ext</v>
          </cell>
          <cell r="I2148" t="str">
            <v>posted to CPR</v>
          </cell>
          <cell r="J2148" t="str">
            <v>Bank of Weston: Kansas City-Platte Co: New Main Extension - Contractor Crews  3760 (33-380)</v>
          </cell>
          <cell r="K2148" t="str">
            <v>Approved by: Kevin Driskell on 12/10/2014,  Extend 4'' PE main (355') to serve Bank of Western. Bypass required due to one-way feed when doing tie-in. Pressure system C-041 - 45psig.</v>
          </cell>
          <cell r="L2148">
            <v>42033</v>
          </cell>
          <cell r="M2148">
            <v>42063</v>
          </cell>
          <cell r="N2148">
            <v>42160.554131944402</v>
          </cell>
          <cell r="O2148">
            <v>42036</v>
          </cell>
          <cell r="P2148" t="str">
            <v>1251-075010  PLATTE CTY/KANSAS CITY NORTH</v>
          </cell>
          <cell r="Q2148">
            <v>8955.4699999999993</v>
          </cell>
          <cell r="R2148">
            <v>-927</v>
          </cell>
        </row>
        <row r="2149">
          <cell r="A2149" t="str">
            <v>004326</v>
          </cell>
          <cell r="B2149" t="str">
            <v>LDC 2</v>
          </cell>
          <cell r="D2149" t="str">
            <v>no</v>
          </cell>
          <cell r="E2149" t="str">
            <v>21001121543</v>
          </cell>
          <cell r="F2149" t="str">
            <v>F0491</v>
          </cell>
          <cell r="G2149" t="str">
            <v>Tools, instruments &amp; equipment</v>
          </cell>
          <cell r="H2149" t="str">
            <v>Install Fast-Fill CNG Station St Jo</v>
          </cell>
          <cell r="I2149" t="str">
            <v>posted to CPR</v>
          </cell>
          <cell r="J2149" t="str">
            <v>Install Fast-Fill CNG Station St Joe: St Joseph: St Joseph</v>
          </cell>
          <cell r="K2149" t="str">
            <v>Approved by: Rob Hack on 07/18/2012,  Install a fast-fill CNG Station (compressed natural gas)at the St Joseph plant.  Station to be installed by Midwest Energy Solutions.</v>
          </cell>
          <cell r="L2149">
            <v>41379</v>
          </cell>
          <cell r="M2149">
            <v>41394</v>
          </cell>
          <cell r="N2149">
            <v>41698.505254629599</v>
          </cell>
          <cell r="P2149" t="str">
            <v>1001-010001  ST. JOSEPH CITY/BUCHANAN</v>
          </cell>
          <cell r="Q2149">
            <v>616229.75</v>
          </cell>
          <cell r="R2149">
            <v>716.3</v>
          </cell>
        </row>
        <row r="2150">
          <cell r="A2150" t="str">
            <v>004151</v>
          </cell>
          <cell r="B2150" t="str">
            <v>LDC 2</v>
          </cell>
          <cell r="D2150" t="str">
            <v>no</v>
          </cell>
          <cell r="E2150" t="str">
            <v>21001106325</v>
          </cell>
          <cell r="F2150" t="str">
            <v>F0553</v>
          </cell>
          <cell r="G2150" t="str">
            <v>Rebuild Meter Install 2'' &amp; Lg (N)</v>
          </cell>
          <cell r="H2150" t="str">
            <v>Retire Junked Domestic Regs</v>
          </cell>
          <cell r="I2150" t="str">
            <v>posted to CPR</v>
          </cell>
          <cell r="J2150" t="str">
            <v>Retire Junked Domestic Regs 2010: St Joseph: 2202 Locust St</v>
          </cell>
          <cell r="K2150" t="str">
            <v>Approved by: David Glass on 01/06/2010,  To retire domestic regulators that have been removed from service during the calendar year 2010.
Note - To be used to retire from all locations  AMM 11-7-14</v>
          </cell>
          <cell r="L2150">
            <v>41656</v>
          </cell>
          <cell r="M2150">
            <v>41656</v>
          </cell>
          <cell r="N2150">
            <v>41656</v>
          </cell>
          <cell r="P2150" t="str">
            <v>1001-010001  ST. JOSEPH CITY/BUCHANAN</v>
          </cell>
          <cell r="Q2150">
            <v>4923.47</v>
          </cell>
          <cell r="R2150">
            <v>287</v>
          </cell>
        </row>
        <row r="2151">
          <cell r="A2151" t="str">
            <v>801064</v>
          </cell>
          <cell r="B2151" t="str">
            <v>LDC 2</v>
          </cell>
          <cell r="D2151" t="str">
            <v>no</v>
          </cell>
          <cell r="F2151" t="str">
            <v>F0614</v>
          </cell>
          <cell r="G2151" t="str">
            <v>Main Repl - Sys Reinforcement (N)</v>
          </cell>
          <cell r="H2151" t="str">
            <v>Rein 600F 4P Claywoods Pkwy</v>
          </cell>
          <cell r="I2151" t="str">
            <v>open</v>
          </cell>
          <cell r="J2151" t="str">
            <v>Install ~600ft of 4" IP PL to tie two separate systems.</v>
          </cell>
          <cell r="K2151" t="str">
            <v>System S-115 pressure will increased to 33 PSIG MOP to reinforce pressure system C-001 that also has a pressure of 33 PSIG MOP.</v>
          </cell>
          <cell r="P2151" t="str">
            <v>1207-020001  CLAY CTY/LIBERTY</v>
          </cell>
          <cell r="Q2151">
            <v>3642.35</v>
          </cell>
          <cell r="R2151">
            <v>-2295</v>
          </cell>
        </row>
        <row r="2152">
          <cell r="A2152" t="str">
            <v>800109</v>
          </cell>
          <cell r="B2152" t="str">
            <v>LDC 2</v>
          </cell>
          <cell r="D2152" t="str">
            <v>no</v>
          </cell>
          <cell r="F2152" t="str">
            <v>F0647</v>
          </cell>
          <cell r="G2152" t="str">
            <v>New Main Extensions (N)</v>
          </cell>
          <cell r="H2152" t="str">
            <v>ESTATES OF MARIMACK - FIRST PLAT</v>
          </cell>
          <cell r="I2152" t="str">
            <v>in service</v>
          </cell>
          <cell r="J2152" t="str">
            <v>Install 2,084ft of 2in PL IP main to serve 40 lots in new subdivision - Estates of Marimack 1st Plat</v>
          </cell>
          <cell r="L2152">
            <v>42562</v>
          </cell>
          <cell r="O2152">
            <v>42583</v>
          </cell>
          <cell r="P2152" t="str">
            <v>1215-020023  CLAY CTY/KEARNEY</v>
          </cell>
          <cell r="Q2152">
            <v>26814.37</v>
          </cell>
          <cell r="R2152">
            <v>-2254.5</v>
          </cell>
        </row>
        <row r="2153">
          <cell r="A2153" t="str">
            <v>007318</v>
          </cell>
          <cell r="B2153" t="str">
            <v>LDC 2</v>
          </cell>
          <cell r="D2153" t="str">
            <v>no</v>
          </cell>
          <cell r="E2153" t="str">
            <v>21215143828</v>
          </cell>
          <cell r="F2153" t="str">
            <v>F0610</v>
          </cell>
          <cell r="G2153" t="str">
            <v>New business</v>
          </cell>
          <cell r="H2153" t="str">
            <v>CLEAR CREEK VALLEY Main Ext</v>
          </cell>
          <cell r="I2153" t="str">
            <v>posted to CPR</v>
          </cell>
          <cell r="J2153" t="str">
            <v>CLEAR CREEK VALLEY: Kearney: New Main Extension - Contractor Crews  3760 (33-380)</v>
          </cell>
          <cell r="K2153" t="str">
            <v>Approved by: Kevin Driskell on 12/16/2014,  Laying 1,786' of 2" PE main to serve Clear Creek Valley Subdivision with 30 new lots. Lots 1-30. Cost per foot =$12.68. 1,786'x$8.50 = $15,181</v>
          </cell>
          <cell r="L2153">
            <v>42088</v>
          </cell>
          <cell r="M2153">
            <v>42248</v>
          </cell>
          <cell r="N2153">
            <v>42284.723032407397</v>
          </cell>
          <cell r="O2153">
            <v>42125</v>
          </cell>
          <cell r="P2153" t="str">
            <v>1215-020023  CLAY CTY/KEARNEY</v>
          </cell>
          <cell r="Q2153">
            <v>18552.54</v>
          </cell>
          <cell r="R2153">
            <v>-4110</v>
          </cell>
        </row>
        <row r="2154">
          <cell r="A2154" t="str">
            <v>008956</v>
          </cell>
          <cell r="B2154" t="str">
            <v>LDC 2</v>
          </cell>
          <cell r="D2154" t="str">
            <v>no</v>
          </cell>
          <cell r="E2154" t="str">
            <v>20101155444</v>
          </cell>
          <cell r="F2154" t="str">
            <v>F0577</v>
          </cell>
          <cell r="G2154" t="str">
            <v>ERT Purchases</v>
          </cell>
          <cell r="H2154" t="str">
            <v>Purchase New 100G Rockwell 11 Tooth</v>
          </cell>
          <cell r="I2154" t="str">
            <v>posted to CPR</v>
          </cell>
          <cell r="J2154" t="str">
            <v>Purchase New 100G Rockwell 11 Tooth Erts : Kansas City CORP: Purchase ERT (Electronic Reading Transmitter)  3971 (32-312)</v>
          </cell>
          <cell r="K2154" t="str">
            <v>Approved by: John Jankovich on 07/14/2015,  Following purchase is for stock / Ert Changeout Program</v>
          </cell>
          <cell r="L2154">
            <v>42460</v>
          </cell>
          <cell r="M2154">
            <v>42461</v>
          </cell>
          <cell r="N2154">
            <v>42496.560810185198</v>
          </cell>
          <cell r="O2154">
            <v>42461</v>
          </cell>
          <cell r="P2154" t="str">
            <v>1904-043050  JACKSON CTY/KC</v>
          </cell>
          <cell r="Q2154">
            <v>123379.2</v>
          </cell>
          <cell r="R2154">
            <v>3200</v>
          </cell>
        </row>
        <row r="2155">
          <cell r="A2155" t="str">
            <v>005952</v>
          </cell>
          <cell r="B2155" t="str">
            <v>LDC 2</v>
          </cell>
          <cell r="D2155" t="str">
            <v>no</v>
          </cell>
          <cell r="E2155" t="str">
            <v>21904143726</v>
          </cell>
          <cell r="F2155" t="str">
            <v>F0577</v>
          </cell>
          <cell r="G2155" t="str">
            <v>ERT Purchases</v>
          </cell>
          <cell r="H2155" t="str">
            <v>Pur Sprague &amp; Lanc Res Erts</v>
          </cell>
          <cell r="I2155" t="str">
            <v>posted to CPR</v>
          </cell>
          <cell r="J2155" t="str">
            <v>Pur Sprague &amp; Lanc Res Erts: Kansas City CORP: Purchase ERT (Electronic Reading Transmitter)  3971 (32-312)</v>
          </cell>
          <cell r="K2155" t="str">
            <v>Approved by: Steve Holcomb on 08/11/2014,  Purchase Sprague 0239815  and Lancaster 0100400 to be shipped to Laclede Meter Shop in St.Louis.</v>
          </cell>
          <cell r="L2155">
            <v>41912</v>
          </cell>
          <cell r="M2155">
            <v>41944</v>
          </cell>
          <cell r="N2155">
            <v>41978.594074074099</v>
          </cell>
          <cell r="O2155">
            <v>41944</v>
          </cell>
          <cell r="P2155" t="str">
            <v>1904-043050  JACKSON CTY/KC</v>
          </cell>
          <cell r="Q2155">
            <v>71289.600000000006</v>
          </cell>
          <cell r="R2155">
            <v>1600</v>
          </cell>
        </row>
        <row r="2156">
          <cell r="A2156" t="str">
            <v>004020</v>
          </cell>
          <cell r="B2156" t="str">
            <v>LDC 2</v>
          </cell>
          <cell r="D2156" t="str">
            <v>no</v>
          </cell>
          <cell r="E2156" t="str">
            <v>21904133087</v>
          </cell>
          <cell r="F2156" t="str">
            <v>F0577</v>
          </cell>
          <cell r="G2156" t="str">
            <v>ERT Purchases</v>
          </cell>
          <cell r="H2156" t="str">
            <v>Pur 10000 100G  Erts Repl Program F</v>
          </cell>
          <cell r="I2156" t="str">
            <v>posted to CPR</v>
          </cell>
          <cell r="J2156" t="str">
            <v>Pur 10000 100G  Erts Repl Program Feb 2014: Kansas City CORP: Central Plant Meter Shop</v>
          </cell>
          <cell r="K2156" t="str">
            <v>Approved by: Steve Lindsey on 11/18/2013,  Purchase domestic 100G AM Erts 5198300 Rk Erts 5198310 for the replacement program.</v>
          </cell>
          <cell r="L2156">
            <v>41695</v>
          </cell>
          <cell r="M2156">
            <v>41698</v>
          </cell>
          <cell r="N2156">
            <v>41704.711597222202</v>
          </cell>
          <cell r="P2156" t="str">
            <v>1904-043050  JACKSON CTY/KC</v>
          </cell>
          <cell r="Q2156">
            <v>482226.67</v>
          </cell>
          <cell r="R2156">
            <v>1169.25</v>
          </cell>
        </row>
        <row r="2157">
          <cell r="A2157" t="str">
            <v>006742</v>
          </cell>
          <cell r="B2157" t="str">
            <v>LDC 2</v>
          </cell>
          <cell r="D2157" t="str">
            <v>no</v>
          </cell>
          <cell r="E2157" t="str">
            <v>21271143909</v>
          </cell>
          <cell r="F2157" t="str">
            <v>F0639</v>
          </cell>
          <cell r="G2157" t="str">
            <v>EGM Equip-1st Time Installation</v>
          </cell>
          <cell r="H2157" t="str">
            <v>EGM - Cosentino Enterprises Inc - K</v>
          </cell>
          <cell r="I2157" t="str">
            <v>in service</v>
          </cell>
          <cell r="J2157" t="str">
            <v>EGM - Cosentino Enterprises Inc - KC - N Oak: Kansas City-Clay Co: Install EGM Equipment - First Time Installation  3850 (32-403)</v>
          </cell>
          <cell r="K2157" t="str">
            <v>Approved by: Rob Kitterman on 10/23/2014,  PURPOSE:
Install Mercury MiniMax-AT-PT (S/N: 13094591) with CNI-2 on Roots 3M meter no 09949136 to monitor daily gas usage of this transportation customer. Customer will reimburse company actual cost for EGM installation not to exceed $5,445.00, which should be coded to account 1072. ATTENTION: Plant &amp; Property Accounting, EGM work order, turn off A&amp;G indicator.</v>
          </cell>
          <cell r="L2157">
            <v>42443</v>
          </cell>
          <cell r="O2157">
            <v>42430</v>
          </cell>
          <cell r="P2157" t="str">
            <v>1271-020036  CLAY CTY/KANSAS CITY</v>
          </cell>
          <cell r="Q2157">
            <v>-7.25</v>
          </cell>
          <cell r="R2157">
            <v>35</v>
          </cell>
        </row>
        <row r="2158">
          <cell r="A2158" t="str">
            <v>004391</v>
          </cell>
          <cell r="B2158" t="str">
            <v>LDC 2</v>
          </cell>
          <cell r="D2158" t="str">
            <v>yes</v>
          </cell>
          <cell r="E2158" t="str">
            <v>21272132877</v>
          </cell>
          <cell r="F2158" t="str">
            <v>F0498</v>
          </cell>
          <cell r="G2158" t="str">
            <v>Other relocates</v>
          </cell>
          <cell r="H2158" t="str">
            <v>Armour Rd Reloc PCS w 55'-2in TF St</v>
          </cell>
          <cell r="I2158" t="str">
            <v>posted to CPR</v>
          </cell>
          <cell r="J2158" t="str">
            <v>Armour Rd Reloc PCS w 55'-2in TF Steel main: North Kansas City: Armour Rd and Burlington</v>
          </cell>
          <cell r="K2158" t="str">
            <v>Approved by: Kevin Driskell on 08/27/2013,  Relocate 55' of 3in PCS, 1969, wo 69-2635 with 55'-2in thin film steel due to new bus stop construction.  Place pipe on west side of existing sidewalk.  Job is reimbursable.  No services to tie-over.</v>
          </cell>
          <cell r="L2158">
            <v>41555</v>
          </cell>
          <cell r="M2158">
            <v>41626</v>
          </cell>
          <cell r="N2158">
            <v>41643.435358796298</v>
          </cell>
          <cell r="P2158" t="str">
            <v>1272-020043  CLAY CTY/NORTH KANSAS CITY</v>
          </cell>
          <cell r="Q2158">
            <v>362.82</v>
          </cell>
          <cell r="R2158">
            <v>149.69999999999999</v>
          </cell>
        </row>
        <row r="2159">
          <cell r="A2159" t="str">
            <v>801063</v>
          </cell>
          <cell r="B2159" t="str">
            <v>LDC 2</v>
          </cell>
          <cell r="C2159" t="str">
            <v>07 - Cast Iron or Bare Steel Replacement - Corrosion</v>
          </cell>
          <cell r="D2159" t="str">
            <v>yes</v>
          </cell>
          <cell r="F2159" t="str">
            <v>F0599</v>
          </cell>
          <cell r="G2159" t="str">
            <v>Main Replacement - ISRS (N)</v>
          </cell>
          <cell r="H2159" t="str">
            <v>Repl 430F 4P 27th &amp; McGee</v>
          </cell>
          <cell r="I2159" t="str">
            <v>open</v>
          </cell>
          <cell r="J2159" t="str">
            <v>Install approximately 430ft of 4" LP PL to replace Cast Iron, Steel and Plastic.</v>
          </cell>
          <cell r="K2159" t="str">
            <v>Abandon: 113ft of 1 1/8in LP PL 126ft of 2in LP PL 249ft of 3in LP ST 327ft of 6in LP CI 253ft of 6in LP ST.</v>
          </cell>
          <cell r="P2159" t="str">
            <v>0401-043050  JACKSON CTY/KC</v>
          </cell>
          <cell r="Q2159">
            <v>0</v>
          </cell>
          <cell r="R2159">
            <v>819</v>
          </cell>
        </row>
        <row r="2160">
          <cell r="A2160" t="str">
            <v>800722</v>
          </cell>
          <cell r="B2160" t="str">
            <v>LDC 2</v>
          </cell>
          <cell r="C2160" t="str">
            <v>06 - Other Legacy Main Material Replacement</v>
          </cell>
          <cell r="D2160" t="str">
            <v>yes</v>
          </cell>
          <cell r="F2160" t="str">
            <v>F0599</v>
          </cell>
          <cell r="G2160" t="str">
            <v>Main Replacement - ISRS (N)</v>
          </cell>
          <cell r="H2160" t="str">
            <v>Repl 3015F 2-4P Hwy71 /Gregory Ph O</v>
          </cell>
          <cell r="I2160" t="str">
            <v>open</v>
          </cell>
          <cell r="J2160" t="str">
            <v>Install ~1686 ft of 4 in PL IP main and ~1329 ft of 2 in PL IP main at Monroe, Gregory Blvd, Myrtle, 71st, and 71st Ter.</v>
          </cell>
          <cell r="K2160" t="str">
            <v>Retire ~2482 ft of 4 in ST IP main, ~294 ft of 2 in ST IP main, and ~28 ft of 2 in PL IP main at above location.  Total Service Tie-over=65.</v>
          </cell>
          <cell r="P2160" t="str">
            <v>0401-043050  JACKSON CTY/KC</v>
          </cell>
          <cell r="Q2160">
            <v>0</v>
          </cell>
          <cell r="R2160">
            <v>2804</v>
          </cell>
        </row>
        <row r="2161">
          <cell r="A2161" t="str">
            <v>800496</v>
          </cell>
          <cell r="B2161" t="str">
            <v>LDC 2</v>
          </cell>
          <cell r="C2161" t="str">
            <v>01 - Cast Iron Strategic Replacement</v>
          </cell>
          <cell r="D2161" t="str">
            <v>yes</v>
          </cell>
          <cell r="F2161" t="str">
            <v>F0599</v>
          </cell>
          <cell r="G2161" t="str">
            <v>Main Replacement - ISRS (N)</v>
          </cell>
          <cell r="H2161" t="str">
            <v>Repl w/ 7350F 2-4P 63rd &amp; 55th St</v>
          </cell>
          <cell r="I2161" t="str">
            <v>open</v>
          </cell>
          <cell r="J2161" t="str">
            <v>Install 5965 Ft of 2 in and 1385 Ft of 4 in PL IP main for 63rd and 55th St Cast Iron Replacement Phase 1A. Abandon 5 Ft of 4 in PL,1456 Ft of 4 in CI, 661 Ft of 6 in CI, 3064 Ft of 3 in ST and 835 Ft of 4 in ST LP main.</v>
          </cell>
          <cell r="K2161" t="str">
            <v>Main being replaced as part of the FY16 cast iron replacement program.</v>
          </cell>
          <cell r="P2161" t="str">
            <v>0401-043050  JACKSON CTY/KC</v>
          </cell>
          <cell r="Q2161">
            <v>63515.53</v>
          </cell>
          <cell r="R2161">
            <v>-8125</v>
          </cell>
        </row>
        <row r="2162">
          <cell r="A2162" t="str">
            <v>011343</v>
          </cell>
          <cell r="B2162" t="str">
            <v>LDC 2</v>
          </cell>
          <cell r="D2162" t="str">
            <v>no</v>
          </cell>
          <cell r="F2162" t="str">
            <v>F0639</v>
          </cell>
          <cell r="G2162" t="str">
            <v>EGM Equip-1st Time Installation</v>
          </cell>
          <cell r="H2162" t="str">
            <v>EGM Replace-Quality Wood Products</v>
          </cell>
          <cell r="I2162" t="str">
            <v>open</v>
          </cell>
          <cell r="J2162" t="str">
            <v>Replace ECAT device w/ MiniMax AT-PT at 7400 E 12th St in KCMO for Quality Wood Products.  Existing ECAT was damaged beyond repair.</v>
          </cell>
          <cell r="K2162" t="str">
            <v>Could not find any EGM equipment at this location to retire - AMM</v>
          </cell>
          <cell r="P2162" t="str">
            <v>0401-043050  JACKSON CTY/KC</v>
          </cell>
          <cell r="Q2162">
            <v>1545.31</v>
          </cell>
          <cell r="R2162">
            <v>1</v>
          </cell>
        </row>
        <row r="2163">
          <cell r="A2163" t="str">
            <v>800347</v>
          </cell>
          <cell r="B2163" t="str">
            <v>LDC 2</v>
          </cell>
          <cell r="C2163" t="str">
            <v>02 - Cast Iron AOR Replacement</v>
          </cell>
          <cell r="D2163" t="str">
            <v>yes</v>
          </cell>
          <cell r="F2163" t="str">
            <v>F0599</v>
          </cell>
          <cell r="G2163" t="str">
            <v>Main Replacement - ISRS (N)</v>
          </cell>
          <cell r="H2163" t="str">
            <v>AOR 3211 Cypress Ave Replacement -</v>
          </cell>
          <cell r="I2163" t="str">
            <v>completed</v>
          </cell>
          <cell r="J2163" t="str">
            <v>Install 40' of 4'' PE. Abandon 30' of 6'' CI due to AOR at 3211 Cypress Ave.</v>
          </cell>
          <cell r="L2163">
            <v>42551</v>
          </cell>
          <cell r="M2163">
            <v>42735</v>
          </cell>
          <cell r="O2163">
            <v>42522</v>
          </cell>
          <cell r="P2163" t="str">
            <v>0401-043050  JACKSON CTY/KC</v>
          </cell>
          <cell r="Q2163">
            <v>21518.59</v>
          </cell>
          <cell r="R2163">
            <v>-346</v>
          </cell>
        </row>
        <row r="2164">
          <cell r="A2164" t="str">
            <v>800142</v>
          </cell>
          <cell r="B2164" t="str">
            <v>LDC 2</v>
          </cell>
          <cell r="C2164" t="str">
            <v>01 - Cast Iron Strategic Replacement</v>
          </cell>
          <cell r="D2164" t="str">
            <v>yes</v>
          </cell>
          <cell r="F2164" t="str">
            <v>F0599</v>
          </cell>
          <cell r="G2164" t="str">
            <v>Main Replacement - ISRS (N)</v>
          </cell>
          <cell r="H2164" t="str">
            <v>Hwy 71 and Gregory Grid Replace PhB</v>
          </cell>
          <cell r="I2164" t="str">
            <v>in service</v>
          </cell>
          <cell r="J2164" t="str">
            <v>Install 3082' of 2'' PE, 1079' of 4'' PE - Hwy 71 &amp; Gregory Grid - B.  Abandon 1731' of 4'' CI, 2991' of 6'' CI, 6' of 4'' Coated STL (less than 20% of footage). Strategic Cast Iron Replacement.</v>
          </cell>
          <cell r="L2164">
            <v>42674</v>
          </cell>
          <cell r="O2164">
            <v>42644</v>
          </cell>
          <cell r="P2164" t="str">
            <v>0401-043050  JACKSON CTY/KC</v>
          </cell>
          <cell r="Q2164">
            <v>369186.51</v>
          </cell>
          <cell r="R2164">
            <v>979.51</v>
          </cell>
        </row>
        <row r="2165">
          <cell r="A2165" t="str">
            <v>008389</v>
          </cell>
          <cell r="B2165" t="str">
            <v>LDC 2</v>
          </cell>
          <cell r="D2165" t="str">
            <v>yes</v>
          </cell>
          <cell r="E2165" t="str">
            <v>20401155301</v>
          </cell>
          <cell r="F2165" t="str">
            <v>F0599</v>
          </cell>
          <cell r="G2165" t="str">
            <v>Main Replacement - ISRS (N)</v>
          </cell>
          <cell r="H2165" t="str">
            <v>Cast Iron Replacement project phase</v>
          </cell>
          <cell r="I2165" t="str">
            <v>posted to CPR</v>
          </cell>
          <cell r="J2165" t="str">
            <v>Cast Iron Replacement project phase 8: Kansas City-Jackson: Replace Cast Iron Main - 3760 Safety Related (34-412)</v>
          </cell>
          <cell r="K2165" t="str">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ell>
          <cell r="L2165">
            <v>42269</v>
          </cell>
          <cell r="M2165">
            <v>42429</v>
          </cell>
          <cell r="N2165">
            <v>42527.511909722198</v>
          </cell>
          <cell r="O2165">
            <v>42278</v>
          </cell>
          <cell r="P2165" t="str">
            <v>0401-043050  JACKSON CTY/KC</v>
          </cell>
          <cell r="Q2165">
            <v>1126031.99</v>
          </cell>
          <cell r="R2165">
            <v>642468.5</v>
          </cell>
        </row>
        <row r="2166">
          <cell r="A2166" t="str">
            <v>007823</v>
          </cell>
          <cell r="B2166" t="str">
            <v>LDC 2</v>
          </cell>
          <cell r="D2166" t="str">
            <v>no</v>
          </cell>
          <cell r="E2166" t="str">
            <v>20401155207</v>
          </cell>
          <cell r="F2166" t="str">
            <v>F0670</v>
          </cell>
          <cell r="G2166" t="str">
            <v>Tools, Instruments &amp; Equipment (N)</v>
          </cell>
          <cell r="H2166" t="str">
            <v>Purchase 3 Air Paks</v>
          </cell>
          <cell r="I2166" t="str">
            <v>posted to CPR</v>
          </cell>
          <cell r="J2166" t="str">
            <v>Purchase 3 Air Paks: Kansas City-Jackson: Purchase Tools, Instruments &amp; Equipment  3940 (37-366)</v>
          </cell>
          <cell r="K2166" t="str">
            <v>Approved by: Ray Wilson on 03/11/2015,  Purchase 3 Air Paks For field base work force new not a replacement tool.</v>
          </cell>
          <cell r="L2166">
            <v>42144</v>
          </cell>
          <cell r="M2166">
            <v>42491</v>
          </cell>
          <cell r="N2166">
            <v>42527.511666666702</v>
          </cell>
          <cell r="O2166">
            <v>42125</v>
          </cell>
          <cell r="P2166" t="str">
            <v>0401-043050  JACKSON CTY/KC</v>
          </cell>
          <cell r="Q2166">
            <v>18728.580000000002</v>
          </cell>
          <cell r="R2166">
            <v>9</v>
          </cell>
        </row>
        <row r="2167">
          <cell r="A2167" t="str">
            <v>003826</v>
          </cell>
          <cell r="B2167" t="str">
            <v>LDC 2</v>
          </cell>
          <cell r="D2167" t="str">
            <v>yes</v>
          </cell>
          <cell r="E2167" t="str">
            <v>20401050367</v>
          </cell>
          <cell r="F2167" t="str">
            <v>F0487</v>
          </cell>
          <cell r="G2167" t="str">
            <v>SLRP - materials - company crews</v>
          </cell>
          <cell r="H2167" t="str">
            <v>BWO SERVICE LINE MATERIAL-COMPANY S</v>
          </cell>
          <cell r="I2167" t="str">
            <v>open</v>
          </cell>
          <cell r="J2167" t="str">
            <v>BWO SERVICE LINE MATERIAL-COMPANY SLRP</v>
          </cell>
          <cell r="K2167" t="str">
            <v>Service/Yard Line Replacement (SLRP): Company Crew.  Service/yard line replacement - Material Charges Only  (Kansas City - Central Region)</v>
          </cell>
          <cell r="O2167">
            <v>41730</v>
          </cell>
          <cell r="P2167" t="str">
            <v>0401-043050  JACKSON CTY/KC</v>
          </cell>
          <cell r="Q2167">
            <v>1103348.5</v>
          </cell>
          <cell r="R2167">
            <v>682536.4</v>
          </cell>
        </row>
        <row r="2168">
          <cell r="A2168" t="str">
            <v>007155</v>
          </cell>
          <cell r="B2168" t="str">
            <v>LDC 2</v>
          </cell>
          <cell r="D2168" t="str">
            <v>no</v>
          </cell>
          <cell r="E2168" t="str">
            <v>20401143993</v>
          </cell>
          <cell r="F2168" t="str">
            <v>F0670</v>
          </cell>
          <cell r="G2168" t="str">
            <v>Tools, Instruments &amp; Equipment (N)</v>
          </cell>
          <cell r="H2168" t="str">
            <v>Tools-Cleco Triple Scaler</v>
          </cell>
          <cell r="I2168" t="str">
            <v>posted to CPR</v>
          </cell>
          <cell r="J2168" t="str">
            <v>Tools-Cleco Triple Scaler: Kansas City-Jackson: Purchase Tools, Instruments &amp; Equipment  3940 (37-366)</v>
          </cell>
          <cell r="K2168" t="str">
            <v>Approved by: Gary Williams on 12/15/2014,  This is not a replacement tool. Purchase for new crew truck.</v>
          </cell>
          <cell r="L2168">
            <v>42009</v>
          </cell>
          <cell r="M2168">
            <v>42035</v>
          </cell>
          <cell r="N2168">
            <v>42044.360370370399</v>
          </cell>
          <cell r="O2168">
            <v>42005</v>
          </cell>
          <cell r="P2168" t="str">
            <v>0401-043050  JACKSON CTY/KC</v>
          </cell>
          <cell r="Q2168">
            <v>829.24</v>
          </cell>
          <cell r="R2168">
            <v>1</v>
          </cell>
        </row>
        <row r="2169">
          <cell r="A2169" t="str">
            <v>006414</v>
          </cell>
          <cell r="B2169" t="str">
            <v>LDC 2</v>
          </cell>
          <cell r="D2169" t="str">
            <v>no</v>
          </cell>
          <cell r="E2169" t="str">
            <v>20401143790</v>
          </cell>
          <cell r="F2169" t="str">
            <v>F0670</v>
          </cell>
          <cell r="G2169" t="str">
            <v>Tools, Instruments &amp; Equipment (N)</v>
          </cell>
          <cell r="H2169" t="str">
            <v>PURCHASE MULTIPLE TOOLS FROM GROENB</v>
          </cell>
          <cell r="I2169" t="str">
            <v>posted to CPR</v>
          </cell>
          <cell r="J2169" t="str">
            <v>PURCHASE MULTIPLE TOOLS FROM GROENBER: Kansas City-Jackson: Purchase Tools, Instruments &amp; Equipment  3940 (37-366)</v>
          </cell>
          <cell r="K2169" t="str">
            <v>Approved by: Steve Holcomb on 09/12/2014,  THIS TOOL IS NOT A REPLACEMENT 2 STREET CREW 2 FIELD BASE 1 STATION B QUOTE FROM GROEBNER
tools and equipment to outfit 2 field base work crews and 2 crews recently added to cover weekend shifts. sold by Groebneer in a  package for cost reduction.</v>
          </cell>
          <cell r="L2169">
            <v>41910</v>
          </cell>
          <cell r="M2169">
            <v>42004</v>
          </cell>
          <cell r="N2169">
            <v>42013.449247685203</v>
          </cell>
          <cell r="O2169">
            <v>41974</v>
          </cell>
          <cell r="P2169" t="str">
            <v>0401-043050  JACKSON CTY/KC</v>
          </cell>
          <cell r="Q2169">
            <v>60172.46</v>
          </cell>
          <cell r="R2169">
            <v>120</v>
          </cell>
        </row>
        <row r="2170">
          <cell r="A2170" t="str">
            <v>005133</v>
          </cell>
          <cell r="B2170" t="str">
            <v>LDC 2</v>
          </cell>
          <cell r="D2170" t="str">
            <v>no</v>
          </cell>
          <cell r="F2170" t="str">
            <v>F0588</v>
          </cell>
          <cell r="G2170" t="str">
            <v>Transportation &amp; power operated equ</v>
          </cell>
          <cell r="H2170" t="str">
            <v>Purchase 5 Service Trucks MGE</v>
          </cell>
          <cell r="I2170" t="str">
            <v>posted to CPR</v>
          </cell>
          <cell r="J2170" t="str">
            <v>Replace five service trucks for MGE 21262, 21295, 21233, 21234, 2197.</v>
          </cell>
          <cell r="K2170" t="str">
            <v>In service 6-15 per Mike M 6-19-15  AMM</v>
          </cell>
          <cell r="L2170">
            <v>42156</v>
          </cell>
          <cell r="M2170">
            <v>42309</v>
          </cell>
          <cell r="N2170">
            <v>42345.490057870396</v>
          </cell>
          <cell r="O2170">
            <v>42156</v>
          </cell>
          <cell r="P2170" t="str">
            <v>0401-043050  JACKSON CTY/KC</v>
          </cell>
          <cell r="Q2170">
            <v>630525.72</v>
          </cell>
          <cell r="R2170">
            <v>130</v>
          </cell>
        </row>
        <row r="2171">
          <cell r="A2171" t="str">
            <v>004523</v>
          </cell>
          <cell r="B2171" t="str">
            <v>LDC 2</v>
          </cell>
          <cell r="D2171" t="str">
            <v>yes</v>
          </cell>
          <cell r="E2171" t="str">
            <v>20401132651</v>
          </cell>
          <cell r="F2171" t="str">
            <v>F0547</v>
          </cell>
          <cell r="G2171" t="str">
            <v>Street &amp; Highway Relocates ISRS (N)</v>
          </cell>
          <cell r="H2171" t="str">
            <v>Ward Pkwy &amp; 62nd St Reloc CI w 3564</v>
          </cell>
          <cell r="I2171" t="str">
            <v>posted to CPR</v>
          </cell>
          <cell r="J2171" t="str">
            <v>Ward Pkwy &amp; 62nd St Reloc CI w 3564'-4;1746'-6inPE: Kansas City-Jackson: Brookside Watershed 3B Project</v>
          </cell>
          <cell r="K2171" t="str">
            <v>Approved by: Rob Hack on 05/21/2013,  (ISRS) BROOKSIDE WATERSHED STORM AND SANITARY SEWER IMPROVEMENTS PHASE 3B. MULTIPLE PRESSURES INTERMEDIATE AND LOW PRESS,CHECK FOR TWO WAY FEED AND ONE WAY FEED. CHECK AREAS AND VERIFY ALL PRESSURES BY GAGES WITH MGE INSPECTOR AND SUPERVISOR PRIOR TO STOPPING OFF ANY MAINS. CITY CONTACT:W.S.D. KARINE PAPIKIAN, PROJECT MANAGER, (816) 513-0300.</v>
          </cell>
          <cell r="L2171">
            <v>41554</v>
          </cell>
          <cell r="M2171">
            <v>41608</v>
          </cell>
          <cell r="N2171">
            <v>41643.4352546296</v>
          </cell>
          <cell r="O2171">
            <v>41730</v>
          </cell>
          <cell r="P2171" t="str">
            <v>0401-043050  JACKSON CTY/KC</v>
          </cell>
          <cell r="Q2171">
            <v>371779.21</v>
          </cell>
          <cell r="R2171">
            <v>16572.599999999999</v>
          </cell>
        </row>
        <row r="2172">
          <cell r="A2172" t="str">
            <v>004054</v>
          </cell>
          <cell r="B2172" t="str">
            <v>LDC 2</v>
          </cell>
          <cell r="D2172" t="str">
            <v>no</v>
          </cell>
          <cell r="E2172" t="str">
            <v>20401132811</v>
          </cell>
          <cell r="F2172" t="str">
            <v>F0670</v>
          </cell>
          <cell r="G2172" t="str">
            <v>Tools, Instruments &amp; Equipment (N)</v>
          </cell>
          <cell r="H2172" t="str">
            <v>PUR-GREENLEE WATER PUMP</v>
          </cell>
          <cell r="I2172" t="str">
            <v>posted to CPR</v>
          </cell>
          <cell r="J2172" t="str">
            <v>PUR-GREENLEE WATER PUMP: Kansas City-Jackson: 7500 E 35TH TER</v>
          </cell>
          <cell r="K2172" t="str">
            <v>Approved by: Gary Williams on 07/16/2013,  PURCHASE-1 GREENLEE WATER PUMP (H4665A). This is used by the C&amp;M crews at Central plant. This is a submersible water pump to pump out water in an excavation area. Received a bid from Grainger for $1,874.00 and Mahr Inc $1,800.00. Total Tool $1,298.59. This is a replacement tool.</v>
          </cell>
          <cell r="L2172">
            <v>41541</v>
          </cell>
          <cell r="M2172">
            <v>41575</v>
          </cell>
          <cell r="N2172">
            <v>41576.418564814798</v>
          </cell>
          <cell r="P2172" t="str">
            <v>0401-043050  JACKSON CTY/KC</v>
          </cell>
          <cell r="Q2172">
            <v>3414.08</v>
          </cell>
          <cell r="R2172">
            <v>2</v>
          </cell>
        </row>
        <row r="2173">
          <cell r="A2173" t="str">
            <v>004582</v>
          </cell>
          <cell r="B2173" t="str">
            <v>LDC 2</v>
          </cell>
          <cell r="D2173" t="str">
            <v>yes</v>
          </cell>
          <cell r="E2173" t="str">
            <v>20401132828</v>
          </cell>
          <cell r="F2173" t="str">
            <v>F0599</v>
          </cell>
          <cell r="G2173" t="str">
            <v>Main Replacement - ISRS (N)</v>
          </cell>
          <cell r="H2173" t="str">
            <v>AOR CI Repl 240'-6in PE main</v>
          </cell>
          <cell r="I2173" t="str">
            <v>posted to CPR</v>
          </cell>
          <cell r="J2173" t="str">
            <v>AOR CI Repl 240'-6in PE main: Kansas City-Jackson: Oakley Ave and E 29th St</v>
          </cell>
          <cell r="K2173" t="str">
            <v>Approved by: Gary Williams on 10/07/2013,  AOR.  Replace 240 ft of 6in CI with 6in PE due to joint exposure.  Must be completed by Nov 21, 2013.  Replace one service.  Tie over 2 services.  See tie-in procedure.  COST PER FOOT $164.90 Retire 229'-6in CI year 1927; 11'-6in PE, yr 2012, wo 12-1682.</v>
          </cell>
          <cell r="L2173">
            <v>41597</v>
          </cell>
          <cell r="M2173">
            <v>41670</v>
          </cell>
          <cell r="N2173">
            <v>41677.5096990741</v>
          </cell>
          <cell r="O2173">
            <v>41730</v>
          </cell>
          <cell r="P2173" t="str">
            <v>0401-043050  JACKSON CTY/KC</v>
          </cell>
          <cell r="Q2173">
            <v>66394.14</v>
          </cell>
          <cell r="R2173">
            <v>1224.5</v>
          </cell>
        </row>
        <row r="2174">
          <cell r="A2174" t="str">
            <v>008699</v>
          </cell>
          <cell r="B2174" t="str">
            <v>LDC 2</v>
          </cell>
          <cell r="D2174" t="str">
            <v>no</v>
          </cell>
          <cell r="F2174" t="str">
            <v>F0639</v>
          </cell>
          <cell r="G2174" t="str">
            <v>EGM Equip-1st Time Installation</v>
          </cell>
          <cell r="H2174" t="str">
            <v>Purchase 49 CNI2 devices for MGE</v>
          </cell>
          <cell r="I2174" t="str">
            <v>in service</v>
          </cell>
          <cell r="J2174" t="str">
            <v>These units will provide profile on MGE's Transportation Gas Customers hour by hour including daily corrected and uncorrected consumption.</v>
          </cell>
          <cell r="K2174" t="str">
            <v>Furthermore, the units are necessary to provide reports for accurate billing of MGE Gas Transportation accounts</v>
          </cell>
          <cell r="L2174">
            <v>42248</v>
          </cell>
          <cell r="O2174">
            <v>42339</v>
          </cell>
          <cell r="P2174" t="str">
            <v>0401-045030  No Description</v>
          </cell>
          <cell r="Q2174">
            <v>39353.31</v>
          </cell>
          <cell r="R2174">
            <v>441</v>
          </cell>
        </row>
        <row r="2175">
          <cell r="A2175" t="str">
            <v>008086</v>
          </cell>
          <cell r="B2175" t="str">
            <v>LDC 2</v>
          </cell>
          <cell r="D2175" t="str">
            <v>no</v>
          </cell>
          <cell r="F2175" t="str">
            <v>F0731</v>
          </cell>
          <cell r="G2175" t="str">
            <v>Mtce Admin &amp; Gen Office MGE</v>
          </cell>
          <cell r="H2175" t="str">
            <v>KC Duplicate Facilities Mtce Expens</v>
          </cell>
          <cell r="I2175" t="str">
            <v>open</v>
          </cell>
          <cell r="J2175" t="str">
            <v>KC Duplicate Facilities Mtce Expense</v>
          </cell>
          <cell r="P2175" t="str">
            <v>Expense Only</v>
          </cell>
          <cell r="Q2175">
            <v>123433.32</v>
          </cell>
          <cell r="R2175">
            <v>790</v>
          </cell>
        </row>
        <row r="2176">
          <cell r="A2176" t="str">
            <v>004768</v>
          </cell>
          <cell r="B2176" t="str">
            <v>LDC 2</v>
          </cell>
          <cell r="D2176" t="str">
            <v>no</v>
          </cell>
          <cell r="E2176" t="str">
            <v>21841700000</v>
          </cell>
          <cell r="F2176" t="str">
            <v>F0732</v>
          </cell>
          <cell r="G2176" t="str">
            <v>Transportation &amp; Eq Clrg MGE</v>
          </cell>
          <cell r="H2176" t="str">
            <v>Fleet Clrg - 21841700000 MGE</v>
          </cell>
          <cell r="I2176" t="str">
            <v>open</v>
          </cell>
          <cell r="J2176" t="str">
            <v>Fleet Clrg - 21841700000 MGE</v>
          </cell>
          <cell r="P2176" t="str">
            <v>Expense Only</v>
          </cell>
          <cell r="Q2176">
            <v>-90157.06</v>
          </cell>
          <cell r="R2176">
            <v>9</v>
          </cell>
        </row>
        <row r="2177">
          <cell r="A2177" t="str">
            <v>004759</v>
          </cell>
          <cell r="B2177" t="str">
            <v>LDC 2</v>
          </cell>
          <cell r="D2177" t="str">
            <v>no</v>
          </cell>
          <cell r="E2177" t="str">
            <v>21841406000</v>
          </cell>
          <cell r="F2177" t="str">
            <v>F0732</v>
          </cell>
          <cell r="G2177" t="str">
            <v>Transportation &amp; Eq Clrg MGE</v>
          </cell>
          <cell r="H2177" t="str">
            <v>Fleet Clrg - 21841406000 MGE</v>
          </cell>
          <cell r="I2177" t="str">
            <v>open</v>
          </cell>
          <cell r="J2177" t="str">
            <v>Fleet Clrg - 21841406000 MGE</v>
          </cell>
          <cell r="P2177" t="str">
            <v>Expense Only</v>
          </cell>
          <cell r="Q2177">
            <v>10275.77</v>
          </cell>
          <cell r="R2177">
            <v>3000</v>
          </cell>
        </row>
        <row r="2178">
          <cell r="A2178" t="str">
            <v>004758</v>
          </cell>
          <cell r="B2178" t="str">
            <v>LDC 2</v>
          </cell>
          <cell r="D2178" t="str">
            <v>no</v>
          </cell>
          <cell r="E2178" t="str">
            <v>21841405000</v>
          </cell>
          <cell r="F2178" t="str">
            <v>F0732</v>
          </cell>
          <cell r="G2178" t="str">
            <v>Transportation &amp; Eq Clrg MGE</v>
          </cell>
          <cell r="H2178" t="str">
            <v>Fleet Clrg - 21841405000 MGE</v>
          </cell>
          <cell r="I2178" t="str">
            <v>open</v>
          </cell>
          <cell r="J2178" t="str">
            <v>Fleet Clrg - 21841405000 MGE</v>
          </cell>
          <cell r="P2178" t="str">
            <v>Expense Only</v>
          </cell>
          <cell r="Q2178">
            <v>57033.23</v>
          </cell>
          <cell r="R2178">
            <v>249</v>
          </cell>
        </row>
        <row r="2179">
          <cell r="A2179" t="str">
            <v>004731</v>
          </cell>
          <cell r="B2179" t="str">
            <v>LDC 2</v>
          </cell>
          <cell r="D2179" t="str">
            <v>no</v>
          </cell>
          <cell r="E2179" t="str">
            <v>28850000000</v>
          </cell>
          <cell r="F2179" t="str">
            <v>F0706</v>
          </cell>
          <cell r="G2179" t="str">
            <v>Maint Distr System Supv MGE</v>
          </cell>
          <cell r="H2179" t="str">
            <v>Maint Distr System Supv MGE</v>
          </cell>
          <cell r="I2179" t="str">
            <v>open</v>
          </cell>
          <cell r="J2179" t="str">
            <v>Maint Distr System Supv MGE</v>
          </cell>
          <cell r="P2179" t="str">
            <v>Expense Only</v>
          </cell>
          <cell r="Q2179">
            <v>2812545.03</v>
          </cell>
          <cell r="R2179">
            <v>65728.95</v>
          </cell>
        </row>
        <row r="2180">
          <cell r="A2180" t="str">
            <v>004708</v>
          </cell>
          <cell r="B2180" t="str">
            <v>LDC 2</v>
          </cell>
          <cell r="D2180" t="str">
            <v>no</v>
          </cell>
          <cell r="E2180" t="str">
            <v>24265000000</v>
          </cell>
          <cell r="F2180" t="str">
            <v>F0690</v>
          </cell>
          <cell r="G2180" t="str">
            <v>Misc Income Deductions MGE</v>
          </cell>
          <cell r="H2180" t="str">
            <v>Misc Income Deductions MGE</v>
          </cell>
          <cell r="I2180" t="str">
            <v>open</v>
          </cell>
          <cell r="J2180" t="str">
            <v>Misc Income Deductions MGE</v>
          </cell>
          <cell r="P2180" t="str">
            <v>Expense Only</v>
          </cell>
          <cell r="Q2180">
            <v>4.91</v>
          </cell>
          <cell r="R2180">
            <v>-1</v>
          </cell>
        </row>
        <row r="2181">
          <cell r="A2181" t="str">
            <v>011236</v>
          </cell>
          <cell r="B2181" t="str">
            <v>LDC 2</v>
          </cell>
          <cell r="D2181" t="str">
            <v>no</v>
          </cell>
          <cell r="F2181" t="str">
            <v>F1191</v>
          </cell>
          <cell r="G2181" t="str">
            <v>Station Rebuild &amp; Repl ISRS (S)</v>
          </cell>
          <cell r="H2181" t="str">
            <v>Repl Transmitters -Var Locations</v>
          </cell>
          <cell r="I2181" t="str">
            <v>in service</v>
          </cell>
          <cell r="J2181" t="str">
            <v>Purchase 11 Rosemount 4088 Pressure Transmitters, 6 Rosemount 2088 Pressure Transmitters and 6 Temperature Transmitters to replace obsolete/unrepairable eqpt at 6 SCADA sites in Joplin/Noel.</v>
          </cell>
          <cell r="K2181" t="str">
            <v>Per Kevin Adlard.  See attachment for Locations.</v>
          </cell>
          <cell r="L2181">
            <v>42705</v>
          </cell>
          <cell r="O2181">
            <v>42736</v>
          </cell>
          <cell r="P2181" t="str">
            <v>0501-044001  JASPER CTY/JOPLIN</v>
          </cell>
          <cell r="Q2181">
            <v>37538.42</v>
          </cell>
          <cell r="R2181">
            <v>30</v>
          </cell>
        </row>
        <row r="2182">
          <cell r="A2182" t="str">
            <v>800074</v>
          </cell>
          <cell r="B2182" t="str">
            <v>LDC 2</v>
          </cell>
          <cell r="C2182" t="str">
            <v>09 - Facility Relocation due to Civic Improvement</v>
          </cell>
          <cell r="D2182" t="str">
            <v>yes</v>
          </cell>
          <cell r="F2182" t="str">
            <v>F0664</v>
          </cell>
          <cell r="G2182" t="str">
            <v>Street &amp; Hwy Relocates ISRS (SW)</v>
          </cell>
          <cell r="H2182" t="str">
            <v>156' Main Replace N Central City Rd</v>
          </cell>
          <cell r="I2182" t="str">
            <v>posted to CPR</v>
          </cell>
          <cell r="J2182" t="str">
            <v>Relocate 156'of 3" PE along North Central City Road. This relocation is necessitated by public improvements. Division: 05 Town: 01 Sector: 0216. Pressure System: C-1 MAOP: 58 psig MOP: 58 psig Design: 66 psig Test: 100 psig ISRS $58.04/ft ISRS</v>
          </cell>
          <cell r="L2182">
            <v>42352</v>
          </cell>
          <cell r="M2182">
            <v>42583</v>
          </cell>
          <cell r="N2182">
            <v>42649.700347222199</v>
          </cell>
          <cell r="O2182">
            <v>42461</v>
          </cell>
          <cell r="P2182" t="str">
            <v>0501-044001  JASPER CTY/JOPLIN</v>
          </cell>
          <cell r="Q2182">
            <v>1561.16</v>
          </cell>
          <cell r="R2182">
            <v>-550</v>
          </cell>
        </row>
        <row r="2183">
          <cell r="A2183" t="str">
            <v>009913</v>
          </cell>
          <cell r="B2183" t="str">
            <v>LDC 2</v>
          </cell>
          <cell r="D2183" t="str">
            <v>no</v>
          </cell>
          <cell r="F2183" t="str">
            <v>F0660</v>
          </cell>
          <cell r="G2183" t="str">
            <v>Meter &amp; Reg Settings 2" &amp; Lg (N)</v>
          </cell>
          <cell r="H2183" t="str">
            <v>Eagle Picher 11M Rotary Meter Set</v>
          </cell>
          <cell r="I2183" t="str">
            <v>in service</v>
          </cell>
          <cell r="J2183" t="str">
            <v>Install 11M Prefab Rotary Meter Setting to serve one new commercial customer at 8230 E 23rd St. for Eagle Picher</v>
          </cell>
          <cell r="L2183">
            <v>42361</v>
          </cell>
          <cell r="O2183">
            <v>42614</v>
          </cell>
          <cell r="P2183" t="str">
            <v>0501-044001  JASPER CTY/JOPLIN</v>
          </cell>
          <cell r="Q2183">
            <v>6547.54</v>
          </cell>
          <cell r="R2183">
            <v>3</v>
          </cell>
        </row>
        <row r="2184">
          <cell r="A2184" t="str">
            <v>007500</v>
          </cell>
          <cell r="B2184" t="str">
            <v>LDC 2</v>
          </cell>
          <cell r="D2184" t="str">
            <v>yes</v>
          </cell>
          <cell r="E2184" t="str">
            <v>20501155098</v>
          </cell>
          <cell r="F2184" t="str">
            <v>F0575</v>
          </cell>
          <cell r="G2184" t="str">
            <v>Replace steel &amp; plastic main</v>
          </cell>
          <cell r="H2184" t="str">
            <v>PCS Main Replacement</v>
          </cell>
          <cell r="I2184" t="str">
            <v>posted to CPR</v>
          </cell>
          <cell r="J2184" t="str">
            <v>PCS Main Replacement: Joplin: Replace Coated Steel &amp; Plastic Main - 3760 (34-396)</v>
          </cell>
          <cell r="K2184" t="str">
            <v>Approved by: Michael Fornelli on 01/26/2015,  Replace 259' of 3" PCS (WO 744151) with 260' 4" PE due to cathodic protections issues.  Project Location: 31st St. between Main St. &amp; Virginia Ave.  System: C-2.  MOP: 1.5 PSIG.  MAOP: 1.5 PSIG.  Design: 58 PSIG.  Test: 100 PSIG.  Price Per Foot: $66.22.</v>
          </cell>
          <cell r="L2184">
            <v>42419</v>
          </cell>
          <cell r="M2184">
            <v>42461</v>
          </cell>
          <cell r="N2184">
            <v>42586.569247685198</v>
          </cell>
          <cell r="O2184">
            <v>42461</v>
          </cell>
          <cell r="P2184" t="str">
            <v>0501-044001  JASPER CTY/JOPLIN</v>
          </cell>
          <cell r="Q2184">
            <v>184613.7</v>
          </cell>
          <cell r="R2184">
            <v>17380</v>
          </cell>
        </row>
        <row r="2185">
          <cell r="A2185" t="str">
            <v>005012</v>
          </cell>
          <cell r="B2185" t="str">
            <v>LDC 2</v>
          </cell>
          <cell r="D2185" t="str">
            <v>yes</v>
          </cell>
          <cell r="E2185" t="str">
            <v>20501143304</v>
          </cell>
          <cell r="F2185" t="str">
            <v>F0572</v>
          </cell>
          <cell r="G2185" t="str">
            <v>Main Replacement - ISRS (SW)</v>
          </cell>
          <cell r="H2185" t="str">
            <v>15th &amp; Delaware Repl PBS w 4935'-PE</v>
          </cell>
          <cell r="I2185" t="str">
            <v>posted to CPR</v>
          </cell>
          <cell r="J2185" t="str">
            <v>15th &amp; Delaware Repl PBS w 4935'-PE main: Joplin: Replace Bare Steel Main - 3760 Safety Related (34-394)</v>
          </cell>
          <cell r="K2185" t="str">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ell>
          <cell r="L2185">
            <v>42178</v>
          </cell>
          <cell r="M2185">
            <v>42370</v>
          </cell>
          <cell r="N2185">
            <v>42496.559513888897</v>
          </cell>
          <cell r="O2185">
            <v>42339</v>
          </cell>
          <cell r="P2185" t="str">
            <v>0501-044001  JASPER CTY/JOPLIN</v>
          </cell>
          <cell r="Q2185">
            <v>528046.97</v>
          </cell>
          <cell r="R2185">
            <v>14917.5</v>
          </cell>
        </row>
        <row r="2186">
          <cell r="A2186" t="str">
            <v>004186</v>
          </cell>
          <cell r="B2186" t="str">
            <v>LDC 2</v>
          </cell>
          <cell r="D2186" t="str">
            <v>no</v>
          </cell>
          <cell r="E2186" t="str">
            <v>20501132437</v>
          </cell>
          <cell r="F2186" t="str">
            <v>F0485</v>
          </cell>
          <cell r="G2186" t="str">
            <v>Tools, Instruments &amp; Equipment (SW)</v>
          </cell>
          <cell r="H2186" t="str">
            <v>Build Four Flame Ionization Units f</v>
          </cell>
          <cell r="I2186" t="str">
            <v>posted to CPR</v>
          </cell>
          <cell r="J2186" t="str">
            <v>Build Four Flame Ionization Units for Joplin: Joplin: 520 E 5th St</v>
          </cell>
          <cell r="K2186" t="str">
            <v>Approved by: Galen Shoemaker on 02/19/2013,  Roger Harrison will order the parts and build 4 new FI units for Joplin I&amp;S Crews. These will all be extras.</v>
          </cell>
          <cell r="L2186">
            <v>41379</v>
          </cell>
          <cell r="M2186">
            <v>41626</v>
          </cell>
          <cell r="N2186">
            <v>41630.722129629597</v>
          </cell>
          <cell r="P2186" t="str">
            <v>0501-044001  JASPER CTY/JOPLIN</v>
          </cell>
          <cell r="Q2186">
            <v>11462.11</v>
          </cell>
          <cell r="R2186">
            <v>0</v>
          </cell>
        </row>
        <row r="2187">
          <cell r="A2187" t="str">
            <v>004440</v>
          </cell>
          <cell r="B2187" t="str">
            <v>LDC 2</v>
          </cell>
          <cell r="D2187" t="str">
            <v>no</v>
          </cell>
          <cell r="E2187" t="str">
            <v>20501133014</v>
          </cell>
          <cell r="F2187" t="str">
            <v>F0495</v>
          </cell>
          <cell r="G2187" t="str">
            <v>General structures</v>
          </cell>
          <cell r="H2187" t="str">
            <v>Construct Soil Bin 25x35</v>
          </cell>
          <cell r="I2187" t="str">
            <v>posted to CPR</v>
          </cell>
          <cell r="J2187" t="str">
            <v>Construct Soil Bin 25x35: Joplin: Joplin FOP</v>
          </cell>
          <cell r="K2187" t="str">
            <v>Approved by: Galen Shoemaker on 09/24/2013,  Construct 25'x35'concrete block soil bin.  The bins are for any excess spoil that does not fit back in the hole. The spoil will be stock piled in these bins (there will be one at every location) and picked up and taken to a land fill as the bin becomes full.We were told just to charge it to facilities (from the environmental department</v>
          </cell>
          <cell r="L2187">
            <v>41523</v>
          </cell>
          <cell r="M2187">
            <v>41547</v>
          </cell>
          <cell r="N2187">
            <v>41627.582858796297</v>
          </cell>
          <cell r="P2187" t="str">
            <v>0501-044001  JASPER CTY/JOPLIN</v>
          </cell>
          <cell r="Q2187">
            <v>14441.94</v>
          </cell>
          <cell r="R2187">
            <v>0</v>
          </cell>
        </row>
        <row r="2188">
          <cell r="A2188" t="str">
            <v>003807</v>
          </cell>
          <cell r="B2188" t="str">
            <v>LDC 2</v>
          </cell>
          <cell r="D2188" t="str">
            <v>yes</v>
          </cell>
          <cell r="E2188" t="str">
            <v>20501132871</v>
          </cell>
          <cell r="F2188" t="str">
            <v>F0664</v>
          </cell>
          <cell r="G2188" t="str">
            <v>Street &amp; Hwy Relocates ISRS (SW)</v>
          </cell>
          <cell r="H2188" t="str">
            <v>20th &amp; Ozark Reloc PCS w 370'-4in;5</v>
          </cell>
          <cell r="I2188" t="str">
            <v>posted to CPR</v>
          </cell>
          <cell r="J2188" t="str">
            <v>20th &amp; Ozark Reloc PCS w 370'-4in;50'-6in PE Main: Joplin: 20th between Ozark and MS</v>
          </cell>
          <cell r="K2188" t="str">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ell>
          <cell r="L2188">
            <v>41794</v>
          </cell>
          <cell r="M2188">
            <v>42063</v>
          </cell>
          <cell r="N2188">
            <v>42160.550347222197</v>
          </cell>
          <cell r="O2188">
            <v>41883</v>
          </cell>
          <cell r="P2188" t="str">
            <v>0501-044001  JASPER CTY/JOPLIN</v>
          </cell>
          <cell r="Q2188">
            <v>20824.080000000002</v>
          </cell>
          <cell r="R2188">
            <v>342</v>
          </cell>
        </row>
        <row r="2189">
          <cell r="A2189" t="str">
            <v>800410</v>
          </cell>
          <cell r="B2189" t="str">
            <v>LDC 2</v>
          </cell>
          <cell r="D2189" t="str">
            <v>no</v>
          </cell>
          <cell r="F2189" t="str">
            <v>F0633</v>
          </cell>
          <cell r="G2189" t="str">
            <v>Main Repl - Sys Reinforcement (SW)</v>
          </cell>
          <cell r="H2189" t="str">
            <v>Reinf w/ 130F 4P Madison &amp;Country</v>
          </cell>
          <cell r="I2189" t="str">
            <v>in service</v>
          </cell>
          <cell r="J2189" t="str">
            <v>Replace 130ft of 2in PL with 130ft of 4in PL to reinforce system for future growth - Madison &amp; Country Crossing.This work order is necessary to supply new subdivision..</v>
          </cell>
          <cell r="K2189" t="str">
            <v>Related new business project 800373/14644428 - Stadium View</v>
          </cell>
          <cell r="L2189">
            <v>42551</v>
          </cell>
          <cell r="O2189">
            <v>42522</v>
          </cell>
          <cell r="P2189" t="str">
            <v>0502-044006  JASPER CTY/WEBB CITY</v>
          </cell>
          <cell r="Q2189">
            <v>11354.02</v>
          </cell>
          <cell r="R2189">
            <v>-1037</v>
          </cell>
        </row>
        <row r="2190">
          <cell r="A2190" t="str">
            <v>007508</v>
          </cell>
          <cell r="B2190" t="str">
            <v>LDC 2</v>
          </cell>
          <cell r="D2190" t="str">
            <v>yes</v>
          </cell>
          <cell r="E2190" t="str">
            <v>20502155074</v>
          </cell>
          <cell r="F2190" t="str">
            <v>F0572</v>
          </cell>
          <cell r="G2190" t="str">
            <v>Main Replacement - ISRS (SW)</v>
          </cell>
          <cell r="H2190" t="str">
            <v>Walker St PBS Replacement</v>
          </cell>
          <cell r="I2190" t="str">
            <v>posted to CPR</v>
          </cell>
          <cell r="J2190" t="str">
            <v>Walker St PBS Replacement: Webb City: Replace Bare Steel Main - 3760 Safety Related (34-394)</v>
          </cell>
          <cell r="K2190" t="str">
            <v>Approved by: Steve Holcomb on 01/26/2015,  Replace 13' 4" PE (WO 034844), 40' 2" PE (WO 121357), 799' 2" PBS (WO None), 300' 2" PCS (WO's 962347 &amp; 636245), 19' 3" PCS (WO 962347), and 451' 3" PBS (WO None) with 1595' of 4" PE due to history of leakage, rotten main, 5 repaired leaks, and isolated bare steel.  Project Location: Walker St between Noble St &amp; 4th St and Tracy St between Hall St &amp; Devon St.  System: C-2.  MOP: 1.5 PSIG.  MAOP: 1.5 PSIG.  Design: 58 PSIG.  Test: 100 PSIG.  Price Per Foot: $49.23.</v>
          </cell>
          <cell r="L2190">
            <v>42205</v>
          </cell>
          <cell r="M2190">
            <v>42429</v>
          </cell>
          <cell r="N2190">
            <v>42527.511481481502</v>
          </cell>
          <cell r="O2190">
            <v>42217</v>
          </cell>
          <cell r="P2190" t="str">
            <v>0502-044006  JASPER CTY/WEBB CITY</v>
          </cell>
          <cell r="Q2190">
            <v>31744.23</v>
          </cell>
          <cell r="R2190">
            <v>-864.5</v>
          </cell>
        </row>
        <row r="2191">
          <cell r="A2191" t="str">
            <v>800179</v>
          </cell>
          <cell r="B2191" t="str">
            <v>LDC 2</v>
          </cell>
          <cell r="C2191" t="str">
            <v>03 - Bare Steel Replacement</v>
          </cell>
          <cell r="D2191" t="str">
            <v>yes</v>
          </cell>
          <cell r="F2191" t="str">
            <v>F0572</v>
          </cell>
          <cell r="G2191" t="str">
            <v>Main Replacement - ISRS (SW)</v>
          </cell>
          <cell r="H2191" t="str">
            <v>Webb City Phase 1F Grid Repl</v>
          </cell>
          <cell r="I2191" t="str">
            <v>in service</v>
          </cell>
          <cell r="J2191" t="str">
            <v>Inst 2740ft of 2in, 415ft of 4in, and 925ft of 6in PL IP main for Webb City Phase 1F. Abdn 362ft of 2in, 42ft of 4in and 5ft of 6in PL, 802ft of 2in and 902ft of 6in PBS, 163ft of 2in, 2165ft of 3in and 302ft of 4in PCS (majority poorly coated).</v>
          </cell>
          <cell r="K2191" t="str">
            <v>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ell>
          <cell r="L2191">
            <v>42671</v>
          </cell>
          <cell r="O2191">
            <v>42644</v>
          </cell>
          <cell r="P2191" t="str">
            <v>0502-044006  JASPER CTY/WEBB CITY</v>
          </cell>
          <cell r="Q2191">
            <v>382166.85</v>
          </cell>
          <cell r="R2191">
            <v>-11930</v>
          </cell>
        </row>
        <row r="2192">
          <cell r="A2192" t="str">
            <v>011517</v>
          </cell>
          <cell r="B2192" t="str">
            <v>LDC 2</v>
          </cell>
          <cell r="D2192" t="str">
            <v>no</v>
          </cell>
          <cell r="F2192" t="str">
            <v>F1071</v>
          </cell>
          <cell r="G2192" t="str">
            <v>MGE Misc Capital</v>
          </cell>
          <cell r="H2192" t="str">
            <v>Warrensburg- LED wall packs</v>
          </cell>
          <cell r="I2192" t="str">
            <v>in service</v>
          </cell>
          <cell r="J2192" t="str">
            <v>Replace 7 existing 250w Metal Halide wall pack fixtures with 7 LED wall pack fixtures at Warrensburg facility.</v>
          </cell>
          <cell r="L2192">
            <v>42643</v>
          </cell>
          <cell r="O2192">
            <v>42614</v>
          </cell>
          <cell r="P2192" t="str">
            <v>0301-046001  JOHNSON CTY/WARRENSBURG</v>
          </cell>
          <cell r="Q2192">
            <v>4802.84</v>
          </cell>
          <cell r="R2192">
            <v>4209</v>
          </cell>
        </row>
        <row r="2193">
          <cell r="A2193" t="str">
            <v>800582</v>
          </cell>
          <cell r="B2193" t="str">
            <v>LDC 2</v>
          </cell>
          <cell r="C2193" t="str">
            <v>03 - Bare Steel Replacement</v>
          </cell>
          <cell r="D2193" t="str">
            <v>yes</v>
          </cell>
          <cell r="F2193" t="str">
            <v>F0604</v>
          </cell>
          <cell r="G2193" t="str">
            <v>Main Replacement - ISRS (S)</v>
          </cell>
          <cell r="H2193" t="str">
            <v>Repl w/ 540F 6P Coll Terr E of Fore</v>
          </cell>
          <cell r="I2193" t="str">
            <v>in service</v>
          </cell>
          <cell r="J2193" t="str">
            <v>Retire 15' - 4" bare steel main (1928), 541' - 6" bare steel main (1946), 30' - 8" bare steel main (1946) &amp; 8' 6" plastic main (2006)&gt; Install 35' steel (outlet of DRS 26), 40' of 4" plastic main &amp; 540' of 6" plastic. College Terrace E of Forest</v>
          </cell>
          <cell r="K2193" t="str">
            <v>O&amp;M crews have put numerous leak clamps on the 6" bare main and have yet to clear the leak.</v>
          </cell>
          <cell r="L2193">
            <v>42551</v>
          </cell>
          <cell r="O2193">
            <v>42522</v>
          </cell>
          <cell r="P2193" t="str">
            <v>0201-043001  JACKSON CTY/INDEPENDENCE</v>
          </cell>
          <cell r="Q2193">
            <v>167070.89000000001</v>
          </cell>
          <cell r="R2193">
            <v>-905.11</v>
          </cell>
        </row>
        <row r="2194">
          <cell r="A2194" t="str">
            <v>800027</v>
          </cell>
          <cell r="B2194" t="str">
            <v>LDC 2</v>
          </cell>
          <cell r="C2194" t="str">
            <v>03 - Bare Steel Replacement</v>
          </cell>
          <cell r="D2194" t="str">
            <v>yes</v>
          </cell>
          <cell r="F2194" t="str">
            <v>F0604</v>
          </cell>
          <cell r="G2194" t="str">
            <v>Main Replacement - ISRS (S)</v>
          </cell>
          <cell r="H2194" t="str">
            <v>CP15-02 Replace 2" pbs main</v>
          </cell>
          <cell r="I2194" t="str">
            <v>completed</v>
          </cell>
          <cell r="J2194" t="str">
            <v>Install 2,615 feet of 2 inch plastic main to retire 2,564 feet of bare steel main and 45 feet of coated steel main to clear cp15-02 - S. Home, S Hall, E22nd and S Cedar Ave.</v>
          </cell>
          <cell r="L2194">
            <v>42401</v>
          </cell>
          <cell r="M2194">
            <v>42735</v>
          </cell>
          <cell r="O2194">
            <v>42401</v>
          </cell>
          <cell r="P2194" t="str">
            <v>0201-043001  JACKSON CTY/INDEPENDENCE</v>
          </cell>
          <cell r="Q2194">
            <v>373948.15</v>
          </cell>
          <cell r="R2194">
            <v>-653.75</v>
          </cell>
        </row>
        <row r="2195">
          <cell r="A2195" t="str">
            <v>004427</v>
          </cell>
          <cell r="B2195" t="str">
            <v>LDC 2</v>
          </cell>
          <cell r="D2195" t="str">
            <v>yes</v>
          </cell>
          <cell r="E2195" t="str">
            <v>20201132511</v>
          </cell>
          <cell r="F2195" t="str">
            <v>F0604</v>
          </cell>
          <cell r="G2195" t="str">
            <v>Main Replacement - ISRS (S)</v>
          </cell>
          <cell r="H2195" t="str">
            <v>Hayward Ave Repl PBS w 5040'-2in PE</v>
          </cell>
          <cell r="I2195" t="str">
            <v>posted to CPR</v>
          </cell>
          <cell r="J2195" t="str">
            <v>Hayward Ave Repl PBS w 5040'-2in PE main: Independence: Hayward between Kiger Rd and Savage St</v>
          </cell>
          <cell r="K2195" t="str">
            <v>Approved by: Rob Hack on 04/05/2013,  Main to abandon: 856' of 4in PCS from wo# A9939, 331' of 4in PBS from wo# A4826, 1901' of 2in PBS from wo# A1191B, 105' 2in PCS from wo# 630987, 49' of 2in PBS from wo# 46994, 23' of 2in PBS from wo# 37319, 2' of 4in PCS from wo# 744910, 1057' of 4in PBS from wo# A1191A, 20' of 4in PCS and 12' of 2in PCS from wo# 096036, 20' of 4in PE and 12' of 2in PE from wo# 840984, 14' of 2&amp;quot; PBS from wo# 38339, 32' of 2&amp;quot; PE from wo# 096086, 73' of 2in PE from wo# 842766, 36' of 2in PBS from wo# 35006, 126' of 2in PCS from wo# 721342, and 2' of 4in PE from wo# 801163. Replace with 5,040' of 2in PE on wo# 13-2511. New 2in PE main will tie into the 8in PCS main (wo# 642364) changing the pressure system of the replaced portion of main from C-025 (MOP and MAOP = 1.13 psig) to C-500 (MOP = 30 psig and MAOP = 44 psig). Tie all affected service lines over to new 2&amp;quot; PE main. These services will change to the C-500 pressure system. All services have adequate tests except for 812 Saville and 1102 Hayward. We need to retest these 2 services to standards. Regulator orifices will need to be changed on the tied over services to accomodate for the higher pressure system.  Existing low pressure main had water in it affecting a few services. Plan to budget future replacements with high pressure main eventually resulting in the removal of 3 district regulator stations. (ISRS)</v>
          </cell>
          <cell r="L2195">
            <v>41555</v>
          </cell>
          <cell r="M2195">
            <v>41638</v>
          </cell>
          <cell r="N2195">
            <v>41676.633391203701</v>
          </cell>
          <cell r="O2195">
            <v>41730</v>
          </cell>
          <cell r="P2195" t="str">
            <v>0201-043001  JACKSON CTY/INDEPENDENCE</v>
          </cell>
          <cell r="Q2195">
            <v>144757.26999999999</v>
          </cell>
          <cell r="R2195">
            <v>82707.37</v>
          </cell>
        </row>
        <row r="2196">
          <cell r="A2196" t="str">
            <v>008538</v>
          </cell>
          <cell r="B2196" t="str">
            <v>LDC 2</v>
          </cell>
          <cell r="D2196" t="str">
            <v>yes</v>
          </cell>
          <cell r="E2196" t="str">
            <v>20305155188</v>
          </cell>
          <cell r="F2196" t="str">
            <v>F0604</v>
          </cell>
          <cell r="G2196" t="str">
            <v>Main Replacement - ISRS (S)</v>
          </cell>
          <cell r="H2196" t="str">
            <v>Install 2inch PL Main</v>
          </cell>
          <cell r="I2196" t="str">
            <v>posted to CPR</v>
          </cell>
          <cell r="J2196" t="str">
            <v>Install 2inch PL Main: Sweet Springs: Replace Bare Steel Main - 3760 Safety Related (34-394)</v>
          </cell>
          <cell r="K2196" t="str">
            <v>Approved by: Joe Hampton on 05/20/2015,  Replace and Abandon existing 2",  4" and 6" pbs, pcs and pe main (See pipe  tab) by installing 4,549' - 2" pe main. (ISRS)</v>
          </cell>
          <cell r="L2196">
            <v>42305</v>
          </cell>
          <cell r="M2196">
            <v>42583</v>
          </cell>
          <cell r="N2196">
            <v>42620.419849537</v>
          </cell>
          <cell r="O2196">
            <v>42370</v>
          </cell>
          <cell r="P2196" t="str">
            <v>0305-086001  SALINE CTY/SWEET SPRINGS</v>
          </cell>
          <cell r="Q2196">
            <v>161956.07999999999</v>
          </cell>
          <cell r="R2196">
            <v>-7212</v>
          </cell>
        </row>
        <row r="2197">
          <cell r="A2197" t="str">
            <v>800493</v>
          </cell>
          <cell r="B2197" t="str">
            <v>LDC 2</v>
          </cell>
          <cell r="C2197" t="str">
            <v>03 - Bare Steel Replacement</v>
          </cell>
          <cell r="D2197" t="str">
            <v>yes</v>
          </cell>
          <cell r="F2197" t="str">
            <v>F0604</v>
          </cell>
          <cell r="G2197" t="str">
            <v>Main Replacement - ISRS (S)</v>
          </cell>
          <cell r="H2197" t="str">
            <v>Aband 2" Bare Steel St Louis St</v>
          </cell>
          <cell r="I2197" t="str">
            <v>in service</v>
          </cell>
          <cell r="J2197" t="str">
            <v>Abandon and retire 200' of 2" bare steel main (1949) on St Louis St south of 9th St due to leakage. Existing 4 services to be tied over to parallel IP 6" Coated steel main.</v>
          </cell>
          <cell r="L2197">
            <v>42674</v>
          </cell>
          <cell r="P2197" t="str">
            <v>0307-049001  LAFAYETTE CTY/CONCORDIA</v>
          </cell>
          <cell r="Q2197">
            <v>6633.44</v>
          </cell>
          <cell r="R2197">
            <v>430.75</v>
          </cell>
        </row>
        <row r="2198">
          <cell r="A2198" t="str">
            <v>800845</v>
          </cell>
          <cell r="B2198" t="str">
            <v>LDC 2</v>
          </cell>
          <cell r="D2198" t="str">
            <v>no</v>
          </cell>
          <cell r="F2198" t="str">
            <v>F0673</v>
          </cell>
          <cell r="G2198" t="str">
            <v>New Main Extensions (S)</v>
          </cell>
          <cell r="H2198" t="str">
            <v>Install 365F 2P 404 SW 11th St</v>
          </cell>
          <cell r="I2198" t="str">
            <v>in service</v>
          </cell>
          <cell r="J2198" t="str">
            <v>Install 365 Ft of 2" PL LP Main.</v>
          </cell>
          <cell r="K2198" t="str">
            <v>Install 44 Ft of 1/2" PL Service Line.  This is a New Business project to serve 1 residential lot.</v>
          </cell>
          <cell r="L2198">
            <v>42670</v>
          </cell>
          <cell r="O2198">
            <v>42644</v>
          </cell>
          <cell r="P2198" t="str">
            <v>0307-049001  LAFAYETTE CTY/CONCORDIA</v>
          </cell>
          <cell r="Q2198">
            <v>4711.3599999999997</v>
          </cell>
          <cell r="R2198">
            <v>53.5</v>
          </cell>
        </row>
        <row r="2199">
          <cell r="A2199" t="str">
            <v>800279</v>
          </cell>
          <cell r="B2199" t="str">
            <v>LDC 2</v>
          </cell>
          <cell r="C2199" t="str">
            <v>03 - Bare Steel Replacement</v>
          </cell>
          <cell r="D2199" t="str">
            <v>yes</v>
          </cell>
          <cell r="F2199" t="str">
            <v>F0604</v>
          </cell>
          <cell r="G2199" t="str">
            <v>Main Replacement - ISRS (S)</v>
          </cell>
          <cell r="H2199" t="str">
            <v>Repl w 9003F 2P Carollton Phase F</v>
          </cell>
          <cell r="I2199" t="str">
            <v>open</v>
          </cell>
          <cell r="J2199" t="str">
            <v>Install 7575 Ft of 2 in PL IP main, and 10 Ft of 4 in PL IP main, and 1418 Ft of 6 in PL IP main on N. Ely, W. Benton, W. Washington, S. Locust, E Washington, S. Monroe, S. Folger, S. Main St, E. Heidel, and W. Heidel.</v>
          </cell>
          <cell r="K2199" t="str">
            <v>Carrollton Grid Main Replacement Phase F.  Abandon- 262 Ft of 1 ¼ in PL LP main, and 150 Ft of 2 in PL LP main, and 22 Ft of 2 in PL IP main, and 104 Ft of 6 in PL IP main, and 190 Ft of 1 ¼ in ST LP main, and 6908 Ft of 2 in ST LP main, and 316 Ft of 2 in ST IP main, and 1999 Ft of 4 in ST LP main, and 30 Ft of 4 in ST IP main, and 220 Ft of 6 in ST LP main, and 1396 Ft of 6 in ST IP main at the above locations.  Uprate- 1910 Ft of 2 in PL LP main, and 560 Ft of 3 in PL LP main, and 762 Ft of 4 in PL LP main on S. Locust St., E Washington Ave, E Benton St, S. Monroe, N. Main St., W. Lincoln Ave, Monroe St, and S. Folger St.  Total Service Tie-over = 135; Total Service Replace = 2; Total Service Upgrade = 27; Total Service Abandoned =32.  This main is being abandoned as part of FY16 Bare Steel Replacement Program</v>
          </cell>
          <cell r="P2199" t="str">
            <v>0312-014001  CARROLL CTY/CARROLLTON</v>
          </cell>
          <cell r="Q2199">
            <v>277103.12</v>
          </cell>
          <cell r="R2199">
            <v>-7639</v>
          </cell>
        </row>
        <row r="2200">
          <cell r="A2200" t="str">
            <v>006515</v>
          </cell>
          <cell r="B2200" t="str">
            <v>LDC 2</v>
          </cell>
          <cell r="D2200" t="str">
            <v>no</v>
          </cell>
          <cell r="E2200" t="str">
            <v>20317143817</v>
          </cell>
          <cell r="F2200" t="str">
            <v>F0507</v>
          </cell>
          <cell r="G2200" t="str">
            <v>Rebuild Meter Install 2'' &amp; Lg (S)</v>
          </cell>
          <cell r="H2200" t="str">
            <v>Remove 5M Rotary Meter</v>
          </cell>
          <cell r="I2200" t="str">
            <v>posted to CPR</v>
          </cell>
          <cell r="J2200" t="str">
            <v>Remove 5M Rotary Meter: Fayette: Replace Meter &amp; Reg 2&amp;quot; &amp;  Larger - 3820/3830 (32-404)</v>
          </cell>
          <cell r="K2200" t="str">
            <v>Approved by: Ralph Janes on 09/22/2014,  Remove and dismantle the 5M rotary meter setting (meter #09949168, installed on WO# 001970) at the Glasgow Coop in Fayette due to inactivity.</v>
          </cell>
          <cell r="L2200">
            <v>41932</v>
          </cell>
          <cell r="M2200">
            <v>41943</v>
          </cell>
          <cell r="N2200">
            <v>42041.669386574104</v>
          </cell>
          <cell r="O2200">
            <v>42036</v>
          </cell>
          <cell r="P2200" t="str">
            <v>0317-040001  HOWARD CTY/FAYETTE</v>
          </cell>
          <cell r="Q2200">
            <v>1838.92</v>
          </cell>
          <cell r="R2200">
            <v>5</v>
          </cell>
        </row>
        <row r="2201">
          <cell r="A2201" t="str">
            <v>005008</v>
          </cell>
          <cell r="B2201" t="str">
            <v>LDC 2</v>
          </cell>
          <cell r="D2201" t="str">
            <v>yes</v>
          </cell>
          <cell r="E2201" t="str">
            <v>20802143485</v>
          </cell>
          <cell r="F2201" t="str">
            <v>F0592</v>
          </cell>
          <cell r="G2201" t="str">
            <v>Replace bare steel main - safety re</v>
          </cell>
          <cell r="H2201" t="str">
            <v>Morris &amp; Myrtle Repl PBS w 2885'-PE</v>
          </cell>
          <cell r="I2201" t="str">
            <v>posted to CPR</v>
          </cell>
          <cell r="J2201" t="str">
            <v>Morris &amp; Myrtle Repl PBS w 2885'-PE main Ret DRS : Pierce City: Replace Bare Steel Main - 3760 Safety Related (34-394)</v>
          </cell>
          <cell r="K2201" t="str">
            <v>Approved by: Steve Holcomb on 04/14/2014,  *MODOT PERMIT REQUIRED* Abandon 1323' - 2' PBS (WO#'s: J09B, 18879, 29054, 92-6519), 968' - 4" PBS (WO#: J09B), 94' - 2" PCS (WO#'s: 62-5833, 93-3097), and 100' - 2" PE (WO#: 88-1778) and replace with 1995' - 2" PE and 890' - 4" PE to clear one (1) active #3 Leak (Leak No. 13-47) and history of leakage. This main has three repaired leaks. This work will also retire DRS 08-02-S-3 and essential valve E 02-503 as well as create multiple loops in the S-6 Pressure System. Project Location: Morris and Alley west of Myrtle; Pressure System: S-6; MOP: 30 psig; MAOP: 31 psig; Design: 58 psig; Test: 100 psig; $29.11/ft ISRS</v>
          </cell>
          <cell r="L2201">
            <v>42059</v>
          </cell>
          <cell r="M2201">
            <v>42216</v>
          </cell>
          <cell r="N2201">
            <v>42223.622233796297</v>
          </cell>
          <cell r="O2201">
            <v>42036</v>
          </cell>
          <cell r="P2201" t="str">
            <v>0802-050010  LAWRENCE CTY/PIERCE</v>
          </cell>
          <cell r="Q2201">
            <v>117345.64</v>
          </cell>
          <cell r="R2201">
            <v>-1817.7</v>
          </cell>
        </row>
        <row r="2202">
          <cell r="A2202" t="str">
            <v>800831</v>
          </cell>
          <cell r="B2202" t="str">
            <v>LDC 2</v>
          </cell>
          <cell r="D2202" t="str">
            <v>no</v>
          </cell>
          <cell r="F2202" t="str">
            <v>F0523</v>
          </cell>
          <cell r="G2202" t="str">
            <v>New Main Extensions (SW)</v>
          </cell>
          <cell r="H2202" t="str">
            <v>Install 270F 2P 420 Tripper Ct</v>
          </cell>
          <cell r="I2202" t="str">
            <v>in service</v>
          </cell>
          <cell r="J2202" t="str">
            <v>Install ~ 270 Ft of 2 in MP PL Main on Tripper Ct W of Tracy Ln.</v>
          </cell>
          <cell r="K2202" t="str">
            <v>2 Residential's @ 250 cfh for total of 500 cfh connected load.</v>
          </cell>
          <cell r="L2202">
            <v>42659</v>
          </cell>
          <cell r="O2202">
            <v>42644</v>
          </cell>
          <cell r="P2202" t="str">
            <v>0804-050005  LAWRENCE CTY/MT. VERNON</v>
          </cell>
          <cell r="Q2202">
            <v>437.18</v>
          </cell>
          <cell r="R2202">
            <v>-458</v>
          </cell>
        </row>
        <row r="2203">
          <cell r="A2203" t="str">
            <v>004550</v>
          </cell>
          <cell r="B2203" t="str">
            <v>LDC 2</v>
          </cell>
          <cell r="D2203" t="str">
            <v>no</v>
          </cell>
          <cell r="E2203" t="str">
            <v>20804143279</v>
          </cell>
          <cell r="F2203" t="str">
            <v>F0523</v>
          </cell>
          <cell r="G2203" t="str">
            <v>New Main Extensions (SW)</v>
          </cell>
          <cell r="H2203" t="str">
            <v>Tracy Ln Lay 240'-4in PE Main ext</v>
          </cell>
          <cell r="I2203" t="str">
            <v>posted to CPR</v>
          </cell>
          <cell r="J2203" t="str">
            <v>Tracy Ln Lay 240'-4in PE Main ext: Mount Vernon: Tracy Ln and Tripper Ct</v>
          </cell>
          <cell r="K2203" t="str">
            <v>Approved by: Galen Shoemaker on 01/09/2014,  Lay 240ft of 4in Plastic Main to serve one residential customer. Customer to pay $1,815.00 refundable deposit with refunds in the amount of $825.00 each. TEST=100# MAOP=25# MOP=25# SYSTEM=S-3</v>
          </cell>
          <cell r="L2203">
            <v>41709</v>
          </cell>
          <cell r="M2203">
            <v>41821</v>
          </cell>
          <cell r="N2203">
            <v>41918.763402777797</v>
          </cell>
          <cell r="O2203">
            <v>41730</v>
          </cell>
          <cell r="P2203" t="str">
            <v>0804-050005  LAWRENCE CTY/MT. VERNON</v>
          </cell>
          <cell r="Q2203">
            <v>7229.68</v>
          </cell>
          <cell r="R2203">
            <v>614</v>
          </cell>
        </row>
        <row r="2204">
          <cell r="A2204" t="str">
            <v>800854</v>
          </cell>
          <cell r="B2204" t="str">
            <v>LDC 2</v>
          </cell>
          <cell r="D2204" t="str">
            <v>no</v>
          </cell>
          <cell r="F2204" t="str">
            <v>F0523</v>
          </cell>
          <cell r="G2204" t="str">
            <v>New Main Extensions (SW)</v>
          </cell>
          <cell r="H2204" t="str">
            <v>Install 915F 4P Neosho Jr High</v>
          </cell>
          <cell r="I2204" t="str">
            <v>open</v>
          </cell>
          <cell r="J2204" t="str">
            <v>Install ~ 915 Ft of 4 in PL IP Main on Norway Rd just E of Hwy 71 in Neosho, MO.</v>
          </cell>
          <cell r="K2204" t="str">
            <v>Install ~ 125 Ft of 2 in PL IP Service for total load of 7687 CFH.  Easement will need to be acquired from school prior to installation. See service request. Total Load Breakdown: HVAC  6092 mbh W.H.  400 mbh Kitchen  885 mbh Generator  310 mbh TOTAL: 7687 CFH</v>
          </cell>
          <cell r="P2204" t="str">
            <v>0806-066010  NEWTON CTY/NEOSHO</v>
          </cell>
          <cell r="Q2204">
            <v>54480.58</v>
          </cell>
          <cell r="R2204">
            <v>9722.5300000000007</v>
          </cell>
        </row>
        <row r="2205">
          <cell r="A2205" t="str">
            <v>800558</v>
          </cell>
          <cell r="B2205" t="str">
            <v>LDC 2</v>
          </cell>
          <cell r="C2205" t="str">
            <v>03 - Bare Steel Replacement</v>
          </cell>
          <cell r="D2205" t="str">
            <v>yes</v>
          </cell>
          <cell r="F2205" t="str">
            <v>F0572</v>
          </cell>
          <cell r="G2205" t="str">
            <v>Main Replacement - ISRS (SW)</v>
          </cell>
          <cell r="H2205" t="str">
            <v>Repl w 3645F 2-4P Neosho Grid Ph1</v>
          </cell>
          <cell r="I2205" t="str">
            <v>open</v>
          </cell>
          <cell r="J2205" t="str">
            <v>Install 1385 Ft of 2in PL IP, 2260 Ft of 4in PL IP, abandon 471 Ft of 1.25in PL  IP, 50 Ft of 2in PL IP, 4074 Ft of ST IP, and uprate 698 Ft of PL IP main - Neosho Grid Repl Ph 1.</v>
          </cell>
          <cell r="K2205" t="str">
            <v>This main is being replaced as part of the FY16 Bare Steel Replacement Program.</v>
          </cell>
          <cell r="P2205" t="str">
            <v>0806-066010  NEWTON CTY/NEOSHO</v>
          </cell>
          <cell r="Q2205">
            <v>332773.67</v>
          </cell>
          <cell r="R2205">
            <v>7612</v>
          </cell>
        </row>
        <row r="2206">
          <cell r="A2206" t="str">
            <v>004666</v>
          </cell>
          <cell r="B2206" t="str">
            <v>LDC 2</v>
          </cell>
          <cell r="D2206" t="str">
            <v>yes</v>
          </cell>
          <cell r="E2206" t="str">
            <v>20806133208</v>
          </cell>
          <cell r="F2206" t="str">
            <v>F0527</v>
          </cell>
          <cell r="G2206" t="str">
            <v>Replace steel &amp; plastic main</v>
          </cell>
          <cell r="H2206" t="str">
            <v>Alley at Sherman Ret PBS/PCS with 6</v>
          </cell>
          <cell r="I2206" t="str">
            <v>posted to CPR</v>
          </cell>
          <cell r="J2206" t="str">
            <v>Alley at Sherman Ret PBS/PCS with 6'-2in CS main: Neosho: alley SE of Sherman and College</v>
          </cell>
          <cell r="K2206" t="str">
            <v>Approved by: Galen Shoemaker on 12/13/2013,  To replace 5ft of 2in Coated Steel from WO 64-2267 and 1ft of 2in Protected Bare Steel from WO 4800 with 6ft Coated Steel due to #1 Leak on fittings (Leak No. 13-142). MOP=42# MAOP=42# SYSTEM=C-1 TEST=100#</v>
          </cell>
          <cell r="L2206">
            <v>41612</v>
          </cell>
          <cell r="M2206">
            <v>41698</v>
          </cell>
          <cell r="N2206">
            <v>41704.711689814802</v>
          </cell>
          <cell r="O2206">
            <v>41730</v>
          </cell>
          <cell r="P2206" t="str">
            <v>0806-066010  NEWTON CTY/NEOSHO</v>
          </cell>
          <cell r="Q2206">
            <v>2578.23</v>
          </cell>
          <cell r="R2206">
            <v>38</v>
          </cell>
        </row>
        <row r="2207">
          <cell r="A2207" t="str">
            <v>008217</v>
          </cell>
          <cell r="B2207" t="str">
            <v>LDC 2</v>
          </cell>
          <cell r="D2207" t="str">
            <v>no</v>
          </cell>
          <cell r="E2207" t="str">
            <v>20812155271</v>
          </cell>
          <cell r="F2207" t="str">
            <v>F0556</v>
          </cell>
          <cell r="G2207" t="str">
            <v>Tools, instruments &amp; equipment</v>
          </cell>
          <cell r="H2207" t="str">
            <v>Pur Two Autofuse Electrofusion Proc</v>
          </cell>
          <cell r="I2207" t="str">
            <v>posted to CPR</v>
          </cell>
          <cell r="J2207" t="str">
            <v>Pur Two Autofuse Electrofusion Processor Republic: Republic: Purchase Tools, Instruments &amp; Equipment  3940 (37-366)</v>
          </cell>
          <cell r="K2207" t="str">
            <v>Approved by: Michael Fornelli on 04/14/2015,  To purchase two new Autofuse Universal Processors 120V with quick disconnect, 25 ft leads with MTD Univeral Tips (4.7' 4.0 MM) Autoscan Barcode Reader and carrying case from M.T. Deason for Republic C&amp;M. Quoted $3000.00 each.</v>
          </cell>
          <cell r="L2207">
            <v>42200</v>
          </cell>
          <cell r="M2207">
            <v>42461</v>
          </cell>
          <cell r="N2207">
            <v>42496.560474537</v>
          </cell>
          <cell r="O2207">
            <v>42248</v>
          </cell>
          <cell r="P2207" t="str">
            <v>0812-034002  GREENE CTY/REPUBLIC</v>
          </cell>
          <cell r="Q2207">
            <v>6345.29</v>
          </cell>
          <cell r="R2207">
            <v>2</v>
          </cell>
        </row>
        <row r="2208">
          <cell r="A2208" t="str">
            <v>800389</v>
          </cell>
          <cell r="B2208" t="str">
            <v>LDC 2</v>
          </cell>
          <cell r="C2208" t="str">
            <v>03 - Bare Steel Replacement</v>
          </cell>
          <cell r="D2208" t="str">
            <v>yes</v>
          </cell>
          <cell r="F2208" t="str">
            <v>F0572</v>
          </cell>
          <cell r="G2208" t="str">
            <v>Main Replacement - ISRS (SW)</v>
          </cell>
          <cell r="H2208" t="str">
            <v>Repl w/ 3270F 2-4P Lincoln-Jefferso</v>
          </cell>
          <cell r="I2208" t="str">
            <v>in service</v>
          </cell>
          <cell r="J2208" t="str">
            <v>Install 1593 Ft of 2 in and 1677 Ft of 4 in PL MP main from Lincoln to Jefferson.  Abandon 136 Ft of 2 in PL and 2986 Ft of 2 in ST MP main at the above locations.</v>
          </cell>
          <cell r="K2208" t="str">
            <v>Main replacement needed due to Cathodic Protection related issues.</v>
          </cell>
          <cell r="L2208">
            <v>42611</v>
          </cell>
          <cell r="O2208">
            <v>42583</v>
          </cell>
          <cell r="P2208" t="str">
            <v>0813-019001  CHRISTIAN CTY/BILLING</v>
          </cell>
          <cell r="Q2208">
            <v>186680.64</v>
          </cell>
          <cell r="R2208">
            <v>-210.09</v>
          </cell>
        </row>
        <row r="2209">
          <cell r="A2209" t="str">
            <v>004207</v>
          </cell>
          <cell r="B2209" t="str">
            <v>LDC 2</v>
          </cell>
          <cell r="D2209" t="str">
            <v>no</v>
          </cell>
          <cell r="E2209" t="str">
            <v>20813133154</v>
          </cell>
          <cell r="F2209" t="str">
            <v>F0592</v>
          </cell>
          <cell r="G2209" t="str">
            <v>Replace bare steel main - safety re</v>
          </cell>
          <cell r="H2209" t="str">
            <v>Purdy &amp; Pine Repl PBS w 315'-2in PE</v>
          </cell>
          <cell r="I2209" t="str">
            <v>posted to CPR</v>
          </cell>
          <cell r="J2209" t="str">
            <v>Purdy &amp; Pine Repl PBS w 315'-2in PE main: Billings: Purdy and Pine</v>
          </cell>
          <cell r="K2209" t="str">
            <v>Approved by: Ken Thomas on 11/15/2013,  Abandon 314' - 2" PBS (WO#'s: 43781, 44486) and replace with 315' - 2" PE due to history of leakage and isolated bare steel. Project Location: Purdy West of Pine; Pressure System: S-1; MOP: 20 psig; MAOP: 20 psig; Design: 58 psig; Test: 100 psig; ISRS $35.77/ft</v>
          </cell>
          <cell r="L2209">
            <v>41659</v>
          </cell>
          <cell r="M2209">
            <v>41715</v>
          </cell>
          <cell r="N2209">
            <v>41715.574351851901</v>
          </cell>
          <cell r="O2209">
            <v>41730</v>
          </cell>
          <cell r="P2209" t="str">
            <v>0813-019001  CHRISTIAN CTY/BILLING</v>
          </cell>
          <cell r="Q2209">
            <v>11302.26</v>
          </cell>
          <cell r="R2209">
            <v>1107</v>
          </cell>
        </row>
        <row r="2210">
          <cell r="A2210" t="str">
            <v>801099</v>
          </cell>
          <cell r="B2210" t="str">
            <v>LDC 2</v>
          </cell>
          <cell r="D2210" t="str">
            <v>no</v>
          </cell>
          <cell r="F2210" t="str">
            <v>F0664</v>
          </cell>
          <cell r="G2210" t="str">
            <v>Street &amp; Hwy Relocates ISRS (SW)</v>
          </cell>
          <cell r="H2210" t="str">
            <v>Reloc 356F 4P Daisy Falls Dr</v>
          </cell>
          <cell r="I2210" t="str">
            <v>open</v>
          </cell>
          <cell r="J2210" t="str">
            <v>Install 396 Ft of 4 in PL IP main along E Daisy Falls Dr.</v>
          </cell>
          <cell r="K2210" t="str">
            <v>Abandon 355 Ft of 4in PL IP main at the above location.  0 Service Tie-Overs.  Relocation due to customer request. No fee to customer. After discussing with Sales their was a sufficient amount of lots as part of the main extension for this subdivision to cover the cost of the relocation. SW Region Supervisor agrees with the no charge.</v>
          </cell>
          <cell r="P2210" t="str">
            <v>0816-019004  CHRISTIAN CTY/NIXA</v>
          </cell>
          <cell r="Q2210">
            <v>0</v>
          </cell>
          <cell r="R2210">
            <v>355</v>
          </cell>
        </row>
        <row r="2211">
          <cell r="A2211" t="str">
            <v>007695</v>
          </cell>
          <cell r="B2211" t="str">
            <v>LDC 2</v>
          </cell>
          <cell r="D2211" t="str">
            <v>no</v>
          </cell>
          <cell r="E2211" t="str">
            <v>20904155167</v>
          </cell>
          <cell r="F2211" t="str">
            <v>F0606</v>
          </cell>
          <cell r="G2211" t="str">
            <v>Station rebuild &amp; replacement</v>
          </cell>
          <cell r="H2211" t="str">
            <v>Retire District Regulator Station 1</v>
          </cell>
          <cell r="I2211" t="str">
            <v>posted to CPR</v>
          </cell>
          <cell r="J2211" t="str">
            <v>Retire District Regulator Station 11 : Grandview: Rebuild District/TB Stations  3780/3790 (45-387)</v>
          </cell>
          <cell r="K2211" t="str">
            <v>Approved by: Ray Wilson on 02/23/2015,  Remove and retire DRS 11 (WO A-2138) as it will not be needed after the completion of WO# 15-5148. 2 - 2in Fisher 133L regulators.</v>
          </cell>
          <cell r="L2211">
            <v>42124</v>
          </cell>
          <cell r="M2211">
            <v>42369</v>
          </cell>
          <cell r="N2211">
            <v>42377</v>
          </cell>
          <cell r="P2211" t="str">
            <v>0904-043030  JACKSON CTY/GRANDVIEW</v>
          </cell>
          <cell r="Q2211">
            <v>2245.15</v>
          </cell>
          <cell r="R2211">
            <v>4</v>
          </cell>
        </row>
        <row r="2212">
          <cell r="A2212" t="str">
            <v>009853</v>
          </cell>
          <cell r="B2212" t="str">
            <v>LDC 2</v>
          </cell>
          <cell r="D2212" t="str">
            <v>no</v>
          </cell>
          <cell r="F2212" t="str">
            <v>F0644</v>
          </cell>
          <cell r="G2212" t="str">
            <v>Meter &amp; Reg Settings 2" &amp; Lg (S)</v>
          </cell>
          <cell r="H2212" t="str">
            <v>Targe Time Defense Meter Set</v>
          </cell>
          <cell r="I2212" t="str">
            <v>in service</v>
          </cell>
          <cell r="J2212" t="str">
            <v>Install 3M Rotary Meter set to serve new commercial customer.  14" wc Delivery Pressure Requested.  2410 NE S Outer Road - Blue Springs</v>
          </cell>
          <cell r="L2212">
            <v>42355</v>
          </cell>
          <cell r="O2212">
            <v>42614</v>
          </cell>
          <cell r="P2212" t="str">
            <v>0903-043026  JACKSON CTY/BLUE SPRINGS</v>
          </cell>
          <cell r="Q2212">
            <v>3179.55</v>
          </cell>
          <cell r="R2212">
            <v>-46.5</v>
          </cell>
        </row>
        <row r="2213">
          <cell r="A2213" t="str">
            <v>800077</v>
          </cell>
          <cell r="B2213" t="str">
            <v>LDC 2</v>
          </cell>
          <cell r="D2213" t="str">
            <v>no</v>
          </cell>
          <cell r="F2213" t="str">
            <v>F0673</v>
          </cell>
          <cell r="G2213" t="str">
            <v>New Main Extensions (S)</v>
          </cell>
          <cell r="H2213" t="str">
            <v>Hobby Lobby Main Ext-520 Markey Pkw</v>
          </cell>
          <cell r="I2213" t="str">
            <v>in service</v>
          </cell>
          <cell r="J2213" t="str">
            <v>Install 1,505 feet - 6 inch pe main extension at 520 Markey Pkwy to serve 1 new commercial customer - 2 inch is minimum to serve.  475 feet of 1-1/4 inch pe service line to be installed.</v>
          </cell>
          <cell r="L2213">
            <v>42551</v>
          </cell>
          <cell r="O2213">
            <v>42522</v>
          </cell>
          <cell r="P2213" t="str">
            <v>0906-016001  CASS CTY/BELTON W OF MULLIN RD</v>
          </cell>
          <cell r="Q2213">
            <v>76074.11</v>
          </cell>
          <cell r="R2213">
            <v>-2539.5</v>
          </cell>
        </row>
        <row r="2214">
          <cell r="A2214" t="str">
            <v>800032</v>
          </cell>
          <cell r="B2214" t="str">
            <v>LDC 2</v>
          </cell>
          <cell r="C2214" t="str">
            <v>09 - Facility Relocation due to Civic Improvement</v>
          </cell>
          <cell r="D2214" t="str">
            <v>yes</v>
          </cell>
          <cell r="F2214" t="str">
            <v>F0578</v>
          </cell>
          <cell r="G2214" t="str">
            <v>Street &amp; Highway Relocates ISRS (S)</v>
          </cell>
          <cell r="H2214" t="str">
            <v>Relocate 3in &amp; 4i Steel Rt 7 fro</v>
          </cell>
          <cell r="I2214" t="str">
            <v>in service</v>
          </cell>
          <cell r="J2214" t="str">
            <v>Install 1229 ft of 4 in PE on Mechanic St (Route 7) between Lexington and Lake and north on Marler from Mechanic to Wall St. in Harrisonville, MO.  Abandon 40 ft of 4 in PE, 883 ft of 3 in bare steel,and 315 ft of 4 in steel.</v>
          </cell>
          <cell r="K2214" t="str">
            <v>Main on Mechanic is in conflict with proposed sewer and road improvements by the Missouri Department of Transportation. Main to be replaced on Marler is bare steel. Work is not reimbursable. Work is ISRS recoverable.MODOT PERMIT REQUIRED.</v>
          </cell>
          <cell r="L2214">
            <v>42626</v>
          </cell>
          <cell r="O2214">
            <v>42614</v>
          </cell>
          <cell r="P2214" t="str">
            <v>0908-016007  CASS CTY/HARRISONVILLE N</v>
          </cell>
          <cell r="Q2214">
            <v>148572.93</v>
          </cell>
          <cell r="R2214">
            <v>-1904.75</v>
          </cell>
        </row>
        <row r="2215">
          <cell r="A2215" t="str">
            <v>800067</v>
          </cell>
          <cell r="B2215" t="str">
            <v>LDC 2</v>
          </cell>
          <cell r="D2215" t="str">
            <v>no</v>
          </cell>
          <cell r="F2215" t="str">
            <v>F0673</v>
          </cell>
          <cell r="G2215" t="str">
            <v>New Main Extensions (S)</v>
          </cell>
          <cell r="H2215" t="str">
            <v>Pleasant Hill Fire District New Mai</v>
          </cell>
          <cell r="I2215" t="str">
            <v>posted to CPR</v>
          </cell>
          <cell r="J2215" t="str">
            <v>Install 410 feet of 2 in plastic main extension to serve one new commercial customer. 280 feet of 1-1/4 in plastic service line to be installed on work order 14409133. MEA has been paid</v>
          </cell>
          <cell r="L2215">
            <v>42279</v>
          </cell>
          <cell r="M2215">
            <v>42551</v>
          </cell>
          <cell r="N2215">
            <v>42587.463344907403</v>
          </cell>
          <cell r="O2215">
            <v>42461</v>
          </cell>
          <cell r="P2215" t="str">
            <v>0909-016012  CASS CTY/PLEASANT HILL</v>
          </cell>
          <cell r="Q2215">
            <v>12385.76</v>
          </cell>
          <cell r="R2215">
            <v>-930</v>
          </cell>
        </row>
        <row r="2216">
          <cell r="A2216" t="str">
            <v>004285</v>
          </cell>
          <cell r="B2216" t="str">
            <v>LDC 2</v>
          </cell>
          <cell r="D2216" t="str">
            <v>yes</v>
          </cell>
          <cell r="E2216" t="str">
            <v>20910132654</v>
          </cell>
          <cell r="F2216" t="str">
            <v>F0604</v>
          </cell>
          <cell r="G2216" t="str">
            <v>Main Replacement - ISRS (S)</v>
          </cell>
          <cell r="H2216" t="str">
            <v>2nd &amp; St ChralesRepl PBS w 75'-2in</v>
          </cell>
          <cell r="I2216" t="str">
            <v>in service</v>
          </cell>
          <cell r="J2216" t="str">
            <v>2nd &amp; St ChralesRepl PBS w 75'-2in PE: Holden: 2nd and St Charles</v>
          </cell>
          <cell r="K2216" t="str">
            <v>Approved by: Ralph Janes on 05/01/2013,  Replace and abandon 75' of 2&amp;quot; PBS (NONE WO) with 75' of 2&amp;quot; PE on WO# 13-2654. The existing main was leaking under 2nd Street (MO Hwy 58). ISRS</v>
          </cell>
          <cell r="L2216">
            <v>41390</v>
          </cell>
          <cell r="O2216">
            <v>41730</v>
          </cell>
          <cell r="P2216" t="str">
            <v>0910-046008  JOHNSON CTY/HOLDEN</v>
          </cell>
          <cell r="Q2216">
            <v>549.55999999999995</v>
          </cell>
          <cell r="R2216">
            <v>100</v>
          </cell>
        </row>
        <row r="2217">
          <cell r="A2217" t="str">
            <v>800955</v>
          </cell>
          <cell r="B2217" t="str">
            <v>LDC 2</v>
          </cell>
          <cell r="D2217" t="str">
            <v>no</v>
          </cell>
          <cell r="F2217" t="str">
            <v>F0673</v>
          </cell>
          <cell r="G2217" t="str">
            <v>New Main Extensions (S)</v>
          </cell>
          <cell r="H2217" t="str">
            <v>Install 180F 2P 3603 SW Crane Rd</v>
          </cell>
          <cell r="I2217" t="str">
            <v>open</v>
          </cell>
          <cell r="J2217" t="str">
            <v>Install ~180 Ft of 2" PL IP Main to serve 1 residential lot.</v>
          </cell>
          <cell r="K2217" t="str">
            <v>This is tied to Main SINSR: 15511200 Conversion Furnace- 1-- cfh Range/Oven - 75 cfh Water(electric) - on fence to switch - 50 cfh.</v>
          </cell>
          <cell r="P2217" t="str">
            <v>0901-043021  JACKSON CTY/LEE'S SUMMIT OFFIC</v>
          </cell>
          <cell r="Q2217">
            <v>703.81</v>
          </cell>
          <cell r="R2217">
            <v>-524</v>
          </cell>
        </row>
        <row r="2218">
          <cell r="A2218" t="str">
            <v>012419</v>
          </cell>
          <cell r="B2218" t="str">
            <v>LDC 2</v>
          </cell>
          <cell r="D2218" t="str">
            <v>no</v>
          </cell>
          <cell r="F2218" t="str">
            <v>F1171</v>
          </cell>
          <cell r="G2218" t="str">
            <v>Tools For MGE Operation Services</v>
          </cell>
          <cell r="H2218" t="str">
            <v>FC300 Meter Field Collection Units</v>
          </cell>
          <cell r="I2218" t="str">
            <v>in service</v>
          </cell>
          <cell r="J2218" t="str">
            <v>FC300 Meter Read Field Collection - 5 Units</v>
          </cell>
          <cell r="K2218" t="str">
            <v>4 at Lee's Summit and 1 at Warrensburg.
Requested by Arthur Cheatham - for I&amp;S Techs.  These are not replacements</v>
          </cell>
          <cell r="L2218">
            <v>42735</v>
          </cell>
          <cell r="O2218">
            <v>42736</v>
          </cell>
          <cell r="P2218" t="str">
            <v>0901-043021  JACKSON CTY/LEE'S SUMMIT OFFIC</v>
          </cell>
          <cell r="Q2218">
            <v>25493.16</v>
          </cell>
          <cell r="R2218">
            <v>5</v>
          </cell>
        </row>
        <row r="2219">
          <cell r="A2219" t="str">
            <v>800710</v>
          </cell>
          <cell r="B2219" t="str">
            <v>LDC 2</v>
          </cell>
          <cell r="D2219" t="str">
            <v>no</v>
          </cell>
          <cell r="F2219" t="str">
            <v>F0673</v>
          </cell>
          <cell r="G2219" t="str">
            <v>New Main Extensions (S)</v>
          </cell>
          <cell r="H2219" t="str">
            <v>Install 485F 2P Stoney Creek 2nd</v>
          </cell>
          <cell r="I2219" t="str">
            <v>completed</v>
          </cell>
          <cell r="J2219" t="str">
            <v>Install 485 of 2" PL IP Main.  This is a new business main extension to serve a 6 lots of a subdivision. Summit Homes is developing and building 6 lots.  Streets are planned to be completed by the end of April.  Furnaces, water heaters, and logs.</v>
          </cell>
          <cell r="L2219">
            <v>42626</v>
          </cell>
          <cell r="M2219">
            <v>42766</v>
          </cell>
          <cell r="O2219">
            <v>42614</v>
          </cell>
          <cell r="P2219" t="str">
            <v>0901-043021  JACKSON CTY/LEE'S SUMMIT OFFIC</v>
          </cell>
          <cell r="Q2219">
            <v>4789.68</v>
          </cell>
          <cell r="R2219">
            <v>-906.25</v>
          </cell>
        </row>
        <row r="2220">
          <cell r="A2220" t="str">
            <v>009118</v>
          </cell>
          <cell r="B2220" t="str">
            <v>LDC 2</v>
          </cell>
          <cell r="D2220" t="str">
            <v>no</v>
          </cell>
          <cell r="F2220" t="str">
            <v>F0852</v>
          </cell>
          <cell r="G2220" t="str">
            <v>Security equipment - MGE</v>
          </cell>
          <cell r="H2220" t="str">
            <v>Security System Conv. Lee's Summit</v>
          </cell>
          <cell r="I2220" t="str">
            <v>in service</v>
          </cell>
          <cell r="J2220" t="str">
            <v>Convert access control system to Genetec/Mercury hardware at Lee's Summit</v>
          </cell>
          <cell r="K2220" t="str">
            <v>Revised 12-22-15</v>
          </cell>
          <cell r="L2220">
            <v>42369</v>
          </cell>
          <cell r="O2220">
            <v>42339</v>
          </cell>
          <cell r="P2220" t="str">
            <v>0901-043021  JACKSON CTY/LEE'S SUMMIT OFFIC</v>
          </cell>
          <cell r="Q2220">
            <v>20556.05</v>
          </cell>
          <cell r="R2220">
            <v>16661</v>
          </cell>
        </row>
        <row r="2221">
          <cell r="A2221" t="str">
            <v>008470</v>
          </cell>
          <cell r="B2221" t="str">
            <v>LDC 2</v>
          </cell>
          <cell r="D2221" t="str">
            <v>no</v>
          </cell>
          <cell r="F2221" t="str">
            <v>F0850</v>
          </cell>
          <cell r="G2221" t="str">
            <v>Facilities - MGE - Remodel Svc Cen</v>
          </cell>
          <cell r="H2221" t="str">
            <v>Lee's Summit Sidewalks</v>
          </cell>
          <cell r="I2221" t="str">
            <v>posted to CPR</v>
          </cell>
          <cell r="J2221" t="str">
            <v>Remove &amp; replace 496 sq. ft. of sidewalk at Lee's Summit</v>
          </cell>
          <cell r="L2221">
            <v>42216</v>
          </cell>
          <cell r="M2221">
            <v>42278</v>
          </cell>
          <cell r="N2221">
            <v>42317.3835763889</v>
          </cell>
          <cell r="O2221">
            <v>42248</v>
          </cell>
          <cell r="P2221" t="str">
            <v>0901-043021  JACKSON CTY/LEE'S SUMMIT OFFIC</v>
          </cell>
          <cell r="Q2221">
            <v>9087.2999999999993</v>
          </cell>
          <cell r="R2221">
            <v>4489</v>
          </cell>
        </row>
        <row r="2222">
          <cell r="A2222" t="str">
            <v>006762</v>
          </cell>
          <cell r="B2222" t="str">
            <v>LDC 2</v>
          </cell>
          <cell r="D2222" t="str">
            <v>yes</v>
          </cell>
          <cell r="E2222" t="str">
            <v>20901143903</v>
          </cell>
          <cell r="F2222" t="str">
            <v>F0604</v>
          </cell>
          <cell r="G2222" t="str">
            <v>Main Replacement - ISRS (S)</v>
          </cell>
          <cell r="H2222" t="str">
            <v>Replace pbs main</v>
          </cell>
          <cell r="I2222" t="str">
            <v>posted to CPR</v>
          </cell>
          <cell r="J2222" t="str">
            <v>Replace pbs main: Lees Summit: Replace Bare Steel Main - 3760 Safety Related (34-394)</v>
          </cell>
          <cell r="K2222" t="str">
            <v>Approved by: Ray Wilson on 10/24/2014,  Replace and abandon 483' - 3" pbs main (work order BD151) by installing 490' - 2" pe main.  DNR is chasing a petroleum leak from an old filling station on the SW corner of 3rd and Market.  We believe that replacing the remaining bare steel main in the vicinity is the prudent thing to do. (ISRS)</v>
          </cell>
          <cell r="L2222">
            <v>42044</v>
          </cell>
          <cell r="M2222">
            <v>42154</v>
          </cell>
          <cell r="N2222">
            <v>42284.722685185203</v>
          </cell>
          <cell r="O2222">
            <v>42036</v>
          </cell>
          <cell r="P2222" t="str">
            <v>0901-043021  JACKSON CTY/LEE'S SUMMIT OFFIC</v>
          </cell>
          <cell r="Q2222">
            <v>9125.81</v>
          </cell>
          <cell r="R2222">
            <v>-555.5</v>
          </cell>
        </row>
        <row r="2223">
          <cell r="A2223" t="str">
            <v>004131</v>
          </cell>
          <cell r="B2223" t="str">
            <v>LDC 2</v>
          </cell>
          <cell r="D2223" t="str">
            <v>no</v>
          </cell>
          <cell r="E2223" t="str">
            <v>20901132987</v>
          </cell>
          <cell r="F2223" t="str">
            <v>F0602</v>
          </cell>
          <cell r="G2223" t="str">
            <v>New business</v>
          </cell>
          <cell r="H2223" t="str">
            <v>NW Oldham Pkwy Lay 370'-2in PE main</v>
          </cell>
          <cell r="I2223" t="str">
            <v>posted to CPR</v>
          </cell>
          <cell r="J2223" t="str">
            <v>NW Oldham Pkwy Lay 370'-2in PE main ext: Lees Summit: 190 NW Oldham Pkwy Midwest Tire</v>
          </cell>
          <cell r="K2223" t="str">
            <v>Approved by: Ralph Janes on 09/20/2013,  Service to 190 NW Oldham Pkwy is on the 20 SLRP list. It has an existing premise of 372406 with an AL 800 currently in use. In order to serve 190 correctly, we must perform a MAIN EXTENSION on WO# 13-2987: 370' of 2in PE main starting at SW McClendon Dr a&amp; NW Oldham Pkwy, and extending North in the West ROW of Oldham Pkwy. Also, install 70' of 1/2in IPS service line for an AL 800 TC meter on a BWO. The main extension will be constructed at the same time as wo# 13-2988.</v>
          </cell>
          <cell r="L2223">
            <v>41586</v>
          </cell>
          <cell r="M2223">
            <v>41697</v>
          </cell>
          <cell r="N2223">
            <v>41698.505289351902</v>
          </cell>
          <cell r="O2223">
            <v>41730</v>
          </cell>
          <cell r="P2223" t="str">
            <v>0901-043021  JACKSON CTY/LEE'S SUMMIT OFFIC</v>
          </cell>
          <cell r="Q2223">
            <v>4057.04</v>
          </cell>
          <cell r="R2223">
            <v>929.5</v>
          </cell>
        </row>
        <row r="2224">
          <cell r="A2224" t="str">
            <v>801193</v>
          </cell>
          <cell r="B2224" t="str">
            <v>LDC 2</v>
          </cell>
          <cell r="C2224" t="str">
            <v>07 - Cast Iron or Bare Steel Replacement - Corrosion</v>
          </cell>
          <cell r="D2224" t="str">
            <v>yes</v>
          </cell>
          <cell r="F2224" t="str">
            <v>F0572</v>
          </cell>
          <cell r="G2224" t="str">
            <v>Main Replacement - ISRS (SW)</v>
          </cell>
          <cell r="H2224" t="str">
            <v>Repl 6790F 2-4P Carthage Area Ph 1A</v>
          </cell>
          <cell r="I2224" t="str">
            <v>open</v>
          </cell>
          <cell r="J2224" t="str">
            <v>Install 3195 Ft. of 2 inch PL IP Main and 3595 Ft. of 4 inch on Centennial Ave, Sophia St., Rombauer Ave., Griswold Ave., Pine St., Ash St., Park Pl., Macon St., Reagan St., and Sophia St.</v>
          </cell>
          <cell r="K2224" t="str">
            <v>Abandon 353 Ft of 2 in PL IP Main, 3688 Ft of 2 in ST IP Main, 2340 Ft of 4 in ST IP Main, and 653 Ft of 6 in ST IP Main on the above mentioned streets.  Total Service Tie-over =61; Total Service Abandoned = 7; Total Service Replace = 0.  This main is being abandoned as part of FY16 Bare Steel Replacement Program.</v>
          </cell>
          <cell r="P2224" t="str">
            <v>0601-044025  JASPER CTY/CARTHAGE</v>
          </cell>
          <cell r="Q2224">
            <v>0</v>
          </cell>
          <cell r="R2224">
            <v>7034</v>
          </cell>
        </row>
        <row r="2225">
          <cell r="A2225" t="str">
            <v>007200</v>
          </cell>
          <cell r="B2225" t="str">
            <v>LDC 2</v>
          </cell>
          <cell r="D2225" t="str">
            <v>no</v>
          </cell>
          <cell r="E2225" t="str">
            <v>20601143901</v>
          </cell>
          <cell r="F2225" t="str">
            <v>F0496</v>
          </cell>
          <cell r="G2225" t="str">
            <v>New main extensions - less than 200</v>
          </cell>
          <cell r="H2225" t="str">
            <v>185ft 2in PE Extension</v>
          </cell>
          <cell r="I2225" t="str">
            <v>posted to CPR</v>
          </cell>
          <cell r="J2225" t="str">
            <v>185ft 2in PE Extension: Carthage: New Main Extension - Company Crews  3760 (33-305)</v>
          </cell>
          <cell r="K2225" t="str">
            <v>Approved by: Galen Shoemaker on 10/22/2014,  Install 185' 2" PE for new service.  Customer will contribute $1155.00.  Project Location: River St. N of Central Ave.  System: S-38.  MOP: 5 PSIG.  MAOP: 5 PSIG.  Design: 58 PSIG.  Test: 100 PSIG.  Price Per Foot: $26.02.</v>
          </cell>
          <cell r="L2225">
            <v>42023</v>
          </cell>
          <cell r="M2225">
            <v>42154</v>
          </cell>
          <cell r="N2225">
            <v>42256.6418865741</v>
          </cell>
          <cell r="O2225">
            <v>42005</v>
          </cell>
          <cell r="P2225" t="str">
            <v>0601-044025  JASPER CTY/CARTHAGE</v>
          </cell>
          <cell r="Q2225">
            <v>7055.85</v>
          </cell>
          <cell r="R2225">
            <v>-765.5</v>
          </cell>
        </row>
        <row r="2226">
          <cell r="A2226" t="str">
            <v>004242</v>
          </cell>
          <cell r="B2226" t="str">
            <v>LDC 2</v>
          </cell>
          <cell r="D2226" t="str">
            <v>no</v>
          </cell>
          <cell r="E2226" t="str">
            <v>20605133198</v>
          </cell>
          <cell r="F2226" t="str">
            <v>F0496</v>
          </cell>
          <cell r="G2226" t="str">
            <v>New main extensions - less than 200</v>
          </cell>
          <cell r="H2226" t="str">
            <v>Maple St 80'-2in PE Main Ext</v>
          </cell>
          <cell r="I2226" t="str">
            <v>posted to CPR</v>
          </cell>
          <cell r="J2226" t="str">
            <v>Maple St 80'-2in PE Main Ext: Golden City: Maple St W of Hicks Ave</v>
          </cell>
          <cell r="K2226" t="str">
            <v>Approved by: Galen Shoemaker on 12/06/2013,  Lay 80' of 2" PE to provide service for a new customer.  No customer contributions required.  Project Location: Maple St E of Golden Ave.  Pressure System: S-1.  MOP: 20 PSIG.  MAOP: 25 PSIG.  Design: 58 PSIG.  Test: 100 PSIG.  Price Per Foot: $72.22.</v>
          </cell>
          <cell r="L2226">
            <v>41612</v>
          </cell>
          <cell r="M2226">
            <v>41729</v>
          </cell>
          <cell r="N2226">
            <v>41733.309976851902</v>
          </cell>
          <cell r="O2226">
            <v>41730</v>
          </cell>
          <cell r="P2226" t="str">
            <v>0605-006007  BARTON CTY/GOLDEN CITY</v>
          </cell>
          <cell r="Q2226">
            <v>1973.4</v>
          </cell>
          <cell r="R2226">
            <v>130</v>
          </cell>
        </row>
        <row r="2227">
          <cell r="A2227" t="str">
            <v>007393</v>
          </cell>
          <cell r="B2227" t="str">
            <v>LDC 2</v>
          </cell>
          <cell r="D2227" t="str">
            <v>no</v>
          </cell>
          <cell r="E2227" t="str">
            <v>21260143746</v>
          </cell>
          <cell r="F2227" t="str">
            <v>F0498</v>
          </cell>
          <cell r="G2227" t="str">
            <v>Other relocates</v>
          </cell>
          <cell r="H2227" t="str">
            <v>The Village-National Dr Main Rel CJ</v>
          </cell>
          <cell r="I2227" t="str">
            <v>posted to CPR</v>
          </cell>
          <cell r="J2227" t="str">
            <v>The Village at the National: Parkville: Other Relocates - Per Customer Request - Contribution (44-390)</v>
          </cell>
          <cell r="K2227" t="str">
            <v>Approved by: Steve Holcomb on 12/11/2014,  Relocate 300 feet of 8in steel due to site development (private development).  Highway permit will be needed before start of this project.  This is a high pressure main.  MOP - 90#; MAOP - 125#. REIMBURSABLE - check for $50608.94 rec'd 1-7-15 per WOES</v>
          </cell>
          <cell r="L2227">
            <v>42054</v>
          </cell>
          <cell r="M2227">
            <v>42124</v>
          </cell>
          <cell r="N2227">
            <v>42223.566898148099</v>
          </cell>
          <cell r="O2227">
            <v>42064</v>
          </cell>
          <cell r="P2227" t="str">
            <v>1260-075020  PLATTE CTY/PARKVILLE</v>
          </cell>
          <cell r="Q2227">
            <v>14505.25</v>
          </cell>
          <cell r="R2227">
            <v>33</v>
          </cell>
        </row>
        <row r="2228">
          <cell r="A2228" t="str">
            <v>800344</v>
          </cell>
          <cell r="B2228" t="str">
            <v>LDC 2</v>
          </cell>
          <cell r="C2228" t="str">
            <v>03 - Bare Steel Replacement</v>
          </cell>
          <cell r="D2228" t="str">
            <v>yes</v>
          </cell>
          <cell r="F2228" t="str">
            <v>F0599</v>
          </cell>
          <cell r="G2228" t="str">
            <v>Main Replacement - ISRS (N)</v>
          </cell>
          <cell r="H2228" t="str">
            <v>Repl w 2500F 2P St Joe South 2H</v>
          </cell>
          <cell r="I2228" t="str">
            <v>open</v>
          </cell>
          <cell r="J2228" t="str">
            <v>Install 2500 Ft of 2 in PL IP main on Joseph St, Flower Ave, and Eureka Ave.</v>
          </cell>
          <cell r="K2228" t="str">
            <v>Abandon 18 Ft of 2 in ST MP main, 7 Ft of 4 in ST MP main, and 3300 Ft of 6 in ST MP main at the above locations.  Total Service Tie-over = 16; Total Service Abandoned = 0; Total Service Replace = 0; Total Service Upgrade = 0.  This main is being abandoned as part of FY16 Bare Steel Replacement Program.</v>
          </cell>
          <cell r="P2228" t="str">
            <v>1001-010001  ST. JOSEPH CITY/BUCHANAN</v>
          </cell>
          <cell r="Q2228">
            <v>0</v>
          </cell>
          <cell r="R2228">
            <v>3325</v>
          </cell>
        </row>
        <row r="2229">
          <cell r="A2229" t="str">
            <v>012165</v>
          </cell>
          <cell r="B2229" t="str">
            <v>LDC 2</v>
          </cell>
          <cell r="D2229" t="str">
            <v>no</v>
          </cell>
          <cell r="F2229" t="str">
            <v>F0639</v>
          </cell>
          <cell r="G2229" t="str">
            <v>EGM Equip-1st Time Installation</v>
          </cell>
          <cell r="H2229" t="str">
            <v>EGM Dailys Premium Meats LLC</v>
          </cell>
          <cell r="I2229" t="str">
            <v>open</v>
          </cell>
          <cell r="J2229" t="str">
            <v>EGM Equipment - Mini AT- PT Corrector for Daily Premium Meats at 5501 Stockyards Expy monitor gas usage for this transportation customer.  Customer will reimburse company actual cost for EGM installation not to exceed $5,445.</v>
          </cell>
          <cell r="K2229" t="str">
            <v>Requested by Linda Lane  meter no 001531631 - No CNI2 needed</v>
          </cell>
          <cell r="P2229" t="str">
            <v>1001-010001  ST. JOSEPH CITY/BUCHANAN</v>
          </cell>
          <cell r="Q2229">
            <v>2512.61</v>
          </cell>
          <cell r="R2229">
            <v>3</v>
          </cell>
        </row>
        <row r="2230">
          <cell r="A2230" t="str">
            <v>008443</v>
          </cell>
          <cell r="B2230" t="str">
            <v>LDC 2</v>
          </cell>
          <cell r="D2230" t="str">
            <v>yes</v>
          </cell>
          <cell r="E2230" t="str">
            <v>21001155318</v>
          </cell>
          <cell r="F2230" t="str">
            <v>F0504</v>
          </cell>
          <cell r="G2230" t="str">
            <v>Replace bare steel main - safety re</v>
          </cell>
          <cell r="H2230" t="str">
            <v>Replace 4in &amp; 2in PBS/PCS</v>
          </cell>
          <cell r="I2230" t="str">
            <v>posted to CPR</v>
          </cell>
          <cell r="J2230" t="str">
            <v>Replace 4in &amp; 2in PBS/PCS: St Joseph: Replace Bare Steel Main - 3760 Safety Related (34-394)</v>
          </cell>
          <cell r="K2230" t="str">
            <v>Approved by: Joe Hampton on 05/12/2015,  ISRS Main Replacement project: Replace and abandon existing mains on C-14 pressure system with 4,336' - 2" of PE on C-04 intermediate pressure on Brown Rd, Neighbor Rd, 35th St., and 32nd St. XX tie-overs. Summary of main to abandon (see pipe tab for details). Note: DRS #153 and DRS #109 to be retired on separate work orders. (ISRS)</v>
          </cell>
          <cell r="L2230">
            <v>42241</v>
          </cell>
          <cell r="M2230">
            <v>42461</v>
          </cell>
          <cell r="N2230">
            <v>42496.5606134259</v>
          </cell>
          <cell r="O2230">
            <v>42370</v>
          </cell>
          <cell r="P2230" t="str">
            <v>1001-010001  ST. JOSEPH CITY/BUCHANAN</v>
          </cell>
          <cell r="Q2230">
            <v>102666.31</v>
          </cell>
          <cell r="R2230">
            <v>-5718</v>
          </cell>
        </row>
        <row r="2231">
          <cell r="A2231" t="str">
            <v>005592</v>
          </cell>
          <cell r="B2231" t="str">
            <v>LDC 2</v>
          </cell>
          <cell r="D2231" t="str">
            <v>yes</v>
          </cell>
          <cell r="E2231" t="str">
            <v>21001143533</v>
          </cell>
          <cell r="F2231" t="str">
            <v>F0599</v>
          </cell>
          <cell r="G2231" t="str">
            <v>Main Replacement - ISRS (N)</v>
          </cell>
          <cell r="H2231" t="str">
            <v>4th &amp; Sylvanie St Repl 8in CI w 600</v>
          </cell>
          <cell r="I2231" t="str">
            <v>posted to CPR</v>
          </cell>
          <cell r="J2231" t="str">
            <v>4th &amp; Sylvanie St Repl 8in CI w 600'-6in PE main : St Joseph: Replace Cast Iron Main - 3760 Safety Related (34-412)</v>
          </cell>
          <cell r="K2231" t="str">
            <v>Approved by: Steve Holcomb on 06/30/2014,  Replace 8'' CI WITH 6'' PE DUE TO LEAKS. PRESSURE SYSTEM C-01</v>
          </cell>
          <cell r="L2231">
            <v>41904</v>
          </cell>
          <cell r="M2231">
            <v>41913</v>
          </cell>
          <cell r="N2231">
            <v>42041.669166666703</v>
          </cell>
          <cell r="O2231">
            <v>41883</v>
          </cell>
          <cell r="P2231" t="str">
            <v>1001-010001  ST. JOSEPH CITY/BUCHANAN</v>
          </cell>
          <cell r="Q2231">
            <v>14326.32</v>
          </cell>
          <cell r="R2231">
            <v>-362</v>
          </cell>
        </row>
        <row r="2232">
          <cell r="A2232" t="str">
            <v>005610</v>
          </cell>
          <cell r="B2232" t="str">
            <v>LDC 2</v>
          </cell>
          <cell r="D2232" t="str">
            <v>no</v>
          </cell>
          <cell r="E2232" t="str">
            <v>20910143640</v>
          </cell>
          <cell r="F2232" t="str">
            <v>F0623</v>
          </cell>
          <cell r="G2232" t="str">
            <v>Street &amp; highway relocates</v>
          </cell>
          <cell r="H2232" t="str">
            <v>1901 S Market Reloc 2in PE Service</v>
          </cell>
          <cell r="I2232" t="str">
            <v>posted to CPR</v>
          </cell>
          <cell r="J2232" t="str">
            <v>1901 S Market Reloc 2in PE Service Line: Holden: Relocate for Street &amp; Highway-Public Improvements (44-388)</v>
          </cell>
          <cell r="K2232" t="str">
            <v>Approved by: Ralph Janes on 06/23/2014,  Relocate and retire 120' - 2" pe service line (work order 05-8339) by installing 135' - 2" pe service line to allow the Holden School District to build a new Childhood Development Center.</v>
          </cell>
          <cell r="L2232">
            <v>41823</v>
          </cell>
          <cell r="M2232">
            <v>41912</v>
          </cell>
          <cell r="N2232">
            <v>42013.428576388898</v>
          </cell>
          <cell r="O2232">
            <v>41821</v>
          </cell>
          <cell r="P2232" t="str">
            <v>0910-046008  JOHNSON CTY/HOLDEN</v>
          </cell>
          <cell r="Q2232">
            <v>2256.81</v>
          </cell>
          <cell r="R2232">
            <v>-606</v>
          </cell>
        </row>
        <row r="2233">
          <cell r="A2233" t="str">
            <v>800108</v>
          </cell>
          <cell r="B2233" t="str">
            <v>LDC 2</v>
          </cell>
          <cell r="D2233" t="str">
            <v>no</v>
          </cell>
          <cell r="F2233" t="str">
            <v>F0547</v>
          </cell>
          <cell r="G2233" t="str">
            <v>Street &amp; Highway Relocates ISRS (N)</v>
          </cell>
          <cell r="H2233" t="str">
            <v>8in PCS Relocation - HWY 45 CJ</v>
          </cell>
          <cell r="I2233" t="str">
            <v>in service</v>
          </cell>
          <cell r="J2233" t="str">
            <v>Install 100' of 8'' PCS Abandon 100' of 8'' PCS - Hwy 45 and Chatham Dr. This relocation work is due to private development. Work is reimbursable.  EMAILED CONTRACT FOR LEGAL APPROVAL TO  MARCIA POLSTER 10/8/15</v>
          </cell>
          <cell r="K2233" t="str">
            <v>Check for $58785.98 and contract attached - AMM</v>
          </cell>
          <cell r="L2233">
            <v>42339</v>
          </cell>
          <cell r="O2233">
            <v>42401</v>
          </cell>
          <cell r="P2233" t="str">
            <v>1251-075010  PLATTE CTY/KANSAS CITY NORTH</v>
          </cell>
          <cell r="Q2233">
            <v>57471.09</v>
          </cell>
          <cell r="R2233">
            <v>-72.239999999999995</v>
          </cell>
        </row>
        <row r="2234">
          <cell r="A2234" t="str">
            <v>004140</v>
          </cell>
          <cell r="B2234" t="str">
            <v>LDC 2</v>
          </cell>
          <cell r="D2234" t="str">
            <v>no</v>
          </cell>
          <cell r="E2234" t="str">
            <v>21001133065</v>
          </cell>
          <cell r="F2234" t="str">
            <v>F0647</v>
          </cell>
          <cell r="G2234" t="str">
            <v>New Main Extensions (N)</v>
          </cell>
          <cell r="H2234" t="str">
            <v>4901 Cook Rd Lay 370'-4in PE main e</v>
          </cell>
          <cell r="I2234" t="str">
            <v>posted to CPR</v>
          </cell>
          <cell r="J2234" t="str">
            <v>4901 Cook Rd Lay 370'-4in PE main ext: St Joseph: 4901 Cook Rd St Joe NE Elem School</v>
          </cell>
          <cell r="K2234" t="str">
            <v>Approved by: Gary Williams on 11/25/2013,  Laying 370ft-4in main ext tie-in Damascus Dr and Cook Rd on south side of Cook Rd extend east past Bishop Rd. To service St Joe Elementary School. Load (5,027 cfh).</v>
          </cell>
          <cell r="L2234">
            <v>41639</v>
          </cell>
          <cell r="M2234">
            <v>41698</v>
          </cell>
          <cell r="N2234">
            <v>41704.711666666699</v>
          </cell>
          <cell r="O2234">
            <v>41730</v>
          </cell>
          <cell r="P2234" t="str">
            <v>1001-010001  ST. JOSEPH CITY/BUCHANAN</v>
          </cell>
          <cell r="Q2234">
            <v>5493.68</v>
          </cell>
          <cell r="R2234">
            <v>865</v>
          </cell>
        </row>
        <row r="2235">
          <cell r="A2235" t="str">
            <v>003861</v>
          </cell>
          <cell r="B2235" t="str">
            <v>LDC 2</v>
          </cell>
          <cell r="D2235" t="str">
            <v>yes</v>
          </cell>
          <cell r="E2235" t="str">
            <v>21001132830</v>
          </cell>
          <cell r="F2235" t="str">
            <v>F0504</v>
          </cell>
          <cell r="G2235" t="str">
            <v>Replace bare steel main - safety re</v>
          </cell>
          <cell r="H2235" t="str">
            <v>22nd &amp; Vories REPL PBS w 377-4in PE</v>
          </cell>
          <cell r="I2235" t="str">
            <v>posted to CPR</v>
          </cell>
          <cell r="J2235" t="str">
            <v>22nd &amp; Vories REPL PBS w 377-4in PE main : St Joseph: 22ND &amp; VORIES ST</v>
          </cell>
          <cell r="K2235" t="str">
            <v>Approved by: Gary Williams on 11/15/2013,  REPLACING 377'-4in BARE STEEL MAIN (WO#512) WITH 377'-4in PE (WO#13-2830).PRESSURE SYSTEM C-01.</v>
          </cell>
          <cell r="L2235">
            <v>41624</v>
          </cell>
          <cell r="M2235">
            <v>41698</v>
          </cell>
          <cell r="N2235">
            <v>41704.711620370399</v>
          </cell>
          <cell r="O2235">
            <v>41730</v>
          </cell>
          <cell r="P2235" t="str">
            <v>1001-010001  ST. JOSEPH CITY/BUCHANAN</v>
          </cell>
          <cell r="Q2235">
            <v>21098.89</v>
          </cell>
          <cell r="R2235">
            <v>1441</v>
          </cell>
        </row>
        <row r="2236">
          <cell r="A2236" t="str">
            <v>004397</v>
          </cell>
          <cell r="B2236" t="str">
            <v>LDC 2</v>
          </cell>
          <cell r="D2236" t="str">
            <v>no</v>
          </cell>
          <cell r="E2236" t="str">
            <v>21201050320</v>
          </cell>
          <cell r="F2236" t="str">
            <v>F0609</v>
          </cell>
          <cell r="G2236" t="str">
            <v>New service installations - contrac</v>
          </cell>
          <cell r="H2236" t="str">
            <v>BWO NEW SVC CONTRACT</v>
          </cell>
          <cell r="I2236" t="str">
            <v>posted to CPR</v>
          </cell>
          <cell r="J2236" t="str">
            <v>BWO NEW SVC CONTRACT</v>
          </cell>
          <cell r="K2236" t="str">
            <v>Project Type:B</v>
          </cell>
          <cell r="L2236">
            <v>41717</v>
          </cell>
          <cell r="M2236">
            <v>41717</v>
          </cell>
          <cell r="N2236">
            <v>41717</v>
          </cell>
          <cell r="O2236">
            <v>42552</v>
          </cell>
          <cell r="P2236" t="str">
            <v>1201-020042  CLAY CTY/KANSAS CITY (N PLANT)</v>
          </cell>
          <cell r="Q2236">
            <v>881.94</v>
          </cell>
          <cell r="R2236">
            <v>14</v>
          </cell>
        </row>
        <row r="2237">
          <cell r="A2237" t="str">
            <v>004520</v>
          </cell>
          <cell r="B2237" t="str">
            <v>LDC 2</v>
          </cell>
          <cell r="D2237" t="str">
            <v>yes</v>
          </cell>
          <cell r="E2237" t="str">
            <v>21215121912</v>
          </cell>
          <cell r="F2237" t="str">
            <v>F0595</v>
          </cell>
          <cell r="G2237" t="str">
            <v>Street &amp; highway relocates</v>
          </cell>
          <cell r="H2237" t="str">
            <v>Rt 92 &amp; I-35 Reloc PE w 2300'-6in P</v>
          </cell>
          <cell r="I2237" t="str">
            <v>posted to CPR</v>
          </cell>
          <cell r="J2237" t="str">
            <v>Rt 92 &amp; I-35 Reloc PE w 2300'-6in PE main: Kearney: Route 92 and I-35</v>
          </cell>
          <cell r="K2237" t="str">
            <v>Approved by: Rob Hack on 03/13/2013,  (ISRS).  Relocate 1850' of 6in PE and 57' of 4in PE due to public improvement project.  MODOT Project No. J4P1748.  Project is 85% reimbursed by MODOT at $117,204.60.  Contact Chris Collins (472-3413) 2 weeks prior to start of work to scheduling staking.  COST PER FOOT $71.73</v>
          </cell>
          <cell r="L2237">
            <v>41397</v>
          </cell>
          <cell r="M2237">
            <v>41475</v>
          </cell>
          <cell r="N2237">
            <v>41676.633425925902</v>
          </cell>
          <cell r="O2237">
            <v>42156</v>
          </cell>
          <cell r="P2237" t="str">
            <v>1215-020023  CLAY CTY/KEARNEY</v>
          </cell>
          <cell r="Q2237">
            <v>42133.3</v>
          </cell>
          <cell r="R2237">
            <v>7152.6</v>
          </cell>
        </row>
        <row r="2238">
          <cell r="A2238" t="str">
            <v>007140</v>
          </cell>
          <cell r="B2238" t="str">
            <v>LDC 2</v>
          </cell>
          <cell r="D2238" t="str">
            <v>no</v>
          </cell>
          <cell r="E2238" t="str">
            <v>20925143845</v>
          </cell>
          <cell r="F2238" t="str">
            <v>F0676</v>
          </cell>
          <cell r="G2238" t="str">
            <v>Meter &amp; regulator settings - 2" &amp; l</v>
          </cell>
          <cell r="H2238" t="str">
            <v>Grain Valley Transportation Center</v>
          </cell>
          <cell r="I2238" t="str">
            <v>posted to CPR</v>
          </cell>
          <cell r="J2238" t="str">
            <v>Grain Valley Transportation Center 5M Meter Set: Grain Valley: New Meter &amp; Reg Settings - 2in &amp; Larger 3820/3830 (33-382)</v>
          </cell>
          <cell r="K2238" t="str">
            <v>Approved by: Ray Wilson on 09/29/2014,  Install a 5M Rotary meter setting to serve one new commercial customer. Note 1:  We plan to install 4¿ main because there is a lot of undeveloped commercial property north of Route AA 
Minimum to serve this customer  is 2¿ plastic main for a total project estimated cost of $11,893.84.  Note 2:  335' - " pe main extension to be installed on work order 14-3846.  220' - 1-1/4" pe service line to be installed on BWO.</v>
          </cell>
          <cell r="L2238">
            <v>42139</v>
          </cell>
          <cell r="M2238">
            <v>42248</v>
          </cell>
          <cell r="N2238">
            <v>42270.483622685198</v>
          </cell>
          <cell r="O2238">
            <v>42125</v>
          </cell>
          <cell r="P2238" t="str">
            <v>0925-043035  JACKSON CTY/GRAIN VALLEY</v>
          </cell>
          <cell r="Q2238">
            <v>242.78</v>
          </cell>
          <cell r="R2238">
            <v>-35</v>
          </cell>
        </row>
        <row r="2239">
          <cell r="A2239" t="str">
            <v>003916</v>
          </cell>
          <cell r="B2239" t="str">
            <v>LDC 2</v>
          </cell>
          <cell r="D2239" t="str">
            <v>no</v>
          </cell>
          <cell r="E2239" t="str">
            <v>21904133079</v>
          </cell>
          <cell r="F2239" t="str">
            <v>F0577</v>
          </cell>
          <cell r="G2239" t="str">
            <v>ERT Purchases</v>
          </cell>
          <cell r="H2239" t="str">
            <v>Pur 2020 Am Res 100G Erts Jan 2014</v>
          </cell>
          <cell r="I2239" t="str">
            <v>posted to CPR</v>
          </cell>
          <cell r="J2239" t="str">
            <v>Pur 2020 Am Res 100G Erts Jan 2014: Kansas City CORP: Central Plant Meter Shop</v>
          </cell>
          <cell r="K2239" t="str">
            <v>Approved by: Steve Holcomb on 11/11/2013,  Purchase 2020 American Erts, Retirement unit # 95198300. These Erts ship to American Meter in January 2014 for meters February 2014.</v>
          </cell>
          <cell r="L2239">
            <v>41740</v>
          </cell>
          <cell r="M2239">
            <v>41944</v>
          </cell>
          <cell r="N2239">
            <v>41978.5925810185</v>
          </cell>
          <cell r="O2239">
            <v>41791</v>
          </cell>
          <cell r="P2239" t="str">
            <v>1904-043050  JACKSON CTY/KC</v>
          </cell>
          <cell r="Q2239">
            <v>89112</v>
          </cell>
          <cell r="R2239">
            <v>2000</v>
          </cell>
        </row>
        <row r="2240">
          <cell r="A2240" t="str">
            <v>009915</v>
          </cell>
          <cell r="B2240" t="str">
            <v>LDC 2</v>
          </cell>
          <cell r="D2240" t="str">
            <v>yes</v>
          </cell>
          <cell r="F2240" t="str">
            <v>F1195</v>
          </cell>
          <cell r="G2240" t="str">
            <v>Pipeline Safety/Integrity ISRS (N)</v>
          </cell>
          <cell r="H2240" t="str">
            <v>Leavenworth Hydrotest</v>
          </cell>
          <cell r="I2240" t="str">
            <v>open</v>
          </cell>
          <cell r="J2240" t="str">
            <v>Hydrotest the Leavenworth 12 transmission main from the takepoint at 92 MO State Hwy to NW 112th St. in North Kansas City at the entrance to the KCI Overhaul Base  Total estimated dollars = $980,878</v>
          </cell>
          <cell r="K2240" t="str">
            <v>Requested per Kent Alms.  Per Donnie Richards, primarily in town code 1261 - Platte County (no city) with some in 1251 - Platte (KC North).</v>
          </cell>
          <cell r="P2240" t="str">
            <v>1261-075025  PLATTE CTY/??? TWP</v>
          </cell>
          <cell r="Q2240">
            <v>3268063.34</v>
          </cell>
          <cell r="R2240">
            <v>1221622.1632999999</v>
          </cell>
        </row>
        <row r="2241">
          <cell r="A2241" t="str">
            <v>800691</v>
          </cell>
          <cell r="B2241" t="str">
            <v>LDC 2</v>
          </cell>
          <cell r="D2241" t="str">
            <v>no</v>
          </cell>
          <cell r="F2241" t="str">
            <v>F0647</v>
          </cell>
          <cell r="G2241" t="str">
            <v>New Main Extensions (N)</v>
          </cell>
          <cell r="H2241" t="str">
            <v>Install 8615F 2-6P Shoal Creek Val</v>
          </cell>
          <cell r="I2241" t="str">
            <v>open</v>
          </cell>
          <cell r="J2241" t="str">
            <v>Install 5750 ft of 2 in IP PE main and 2865 ft of 6 in IP PE main to serve new residential and commercial customers - The Preserve at Shoal Creek Valley.</v>
          </cell>
          <cell r="K2241" t="str">
            <v>87 RESIDENTIAL
20,000 CFH RETAIL/RESTAURANT
 5,000 CFH  BANK
 5,000 CFH RETAIL
 5,000 CFH RETAIL
 7,000 CFH RETAIL
15,000 CFH RETAIL/OFFICE
  6,000 CFH RESTAURANT
  7,000 CFH RESTAURANT
17,500 CFH OFFICE/RETAIL = TOTAL 87,500 CFH
Related relocation project is 800688 (15224644)</v>
          </cell>
          <cell r="P2241" t="str">
            <v>1271-020036  CLAY CTY/KANSAS CITY</v>
          </cell>
          <cell r="Q2241">
            <v>0</v>
          </cell>
          <cell r="R2241">
            <v>1450</v>
          </cell>
        </row>
        <row r="2242">
          <cell r="A2242" t="str">
            <v>008241</v>
          </cell>
          <cell r="B2242" t="str">
            <v>LDC 2</v>
          </cell>
          <cell r="D2242" t="str">
            <v>yes</v>
          </cell>
          <cell r="E2242" t="str">
            <v>21271144038</v>
          </cell>
          <cell r="F2242" t="str">
            <v>F0501</v>
          </cell>
          <cell r="G2242" t="str">
            <v>Station rebuild &amp; replacement</v>
          </cell>
          <cell r="H2242" t="str">
            <v>DR 384 REBUILD</v>
          </cell>
          <cell r="I2242" t="str">
            <v>posted to CPR</v>
          </cell>
          <cell r="J2242" t="str">
            <v>DR 384 REBUILD: Kansas City-Clay Co: Rebuild District/TB Stations  3780/3790 (45-387)</v>
          </cell>
          <cell r="K2242" t="str">
            <v>Approved by: Gary Williams on 04/23/2015,  Rebuild DRS #384 new DRS #761. Inlet system C-055 90psig. Outlet system C-006 35 psig. Main WO # 14-3521.Retire 2- 627M Fisher Regulators and install 2- Rockwell 441-57S 4" Regulators. Note: transferring dupl chgs from 008243 2-16 (changed overhead class codes - AMM)</v>
          </cell>
          <cell r="L2242">
            <v>42156</v>
          </cell>
          <cell r="M2242">
            <v>42429</v>
          </cell>
          <cell r="N2242">
            <v>42717.564131944397</v>
          </cell>
          <cell r="O2242">
            <v>42186</v>
          </cell>
          <cell r="P2242" t="str">
            <v>1271-020036  CLAY CTY/KANSAS CITY</v>
          </cell>
          <cell r="Q2242">
            <v>25145.81</v>
          </cell>
          <cell r="R2242">
            <v>-251</v>
          </cell>
        </row>
        <row r="2243">
          <cell r="A2243" t="str">
            <v>008134</v>
          </cell>
          <cell r="B2243" t="str">
            <v>LDC 2</v>
          </cell>
          <cell r="D2243" t="str">
            <v>no</v>
          </cell>
          <cell r="E2243" t="str">
            <v>21271155193</v>
          </cell>
          <cell r="F2243" t="str">
            <v>F0610</v>
          </cell>
          <cell r="G2243" t="str">
            <v>New business</v>
          </cell>
          <cell r="H2243" t="str">
            <v>Staley Meadows - 4th Plat</v>
          </cell>
          <cell r="I2243" t="str">
            <v>posted to CPR</v>
          </cell>
          <cell r="J2243" t="str">
            <v>Staley Meadows - 4th Plat: Kansas City-Clay Co: New Main Extension - Contractor Crews  3760 (33-380)</v>
          </cell>
          <cell r="K2243" t="str">
            <v>Approved by: Gary Williams on 03/19/2015,  Staley Meadows 4th Plat. Extend 2'' PE 1015' to serve 20 new residential customers lots 50-69. Pressure system C-050. Customer to contribute $8,627.50 before start of project.</v>
          </cell>
          <cell r="L2243">
            <v>42152</v>
          </cell>
          <cell r="M2243">
            <v>42248</v>
          </cell>
          <cell r="N2243">
            <v>42284.7235069444</v>
          </cell>
          <cell r="O2243">
            <v>42156</v>
          </cell>
          <cell r="P2243" t="str">
            <v>1271-020036  CLAY CTY/KANSAS CITY</v>
          </cell>
          <cell r="Q2243">
            <v>16620.73</v>
          </cell>
          <cell r="R2243">
            <v>-2422</v>
          </cell>
        </row>
        <row r="2244">
          <cell r="A2244" t="str">
            <v>004344</v>
          </cell>
          <cell r="B2244" t="str">
            <v>LDC 2</v>
          </cell>
          <cell r="D2244" t="str">
            <v>no</v>
          </cell>
          <cell r="E2244" t="str">
            <v>21271132401</v>
          </cell>
          <cell r="F2244" t="str">
            <v>F0610</v>
          </cell>
          <cell r="G2244" t="str">
            <v>New business</v>
          </cell>
          <cell r="H2244" t="str">
            <v>PRAIRIE VIEW AT BRISTOL PARK-1 Lay</v>
          </cell>
          <cell r="I2244" t="str">
            <v>posted to CPR</v>
          </cell>
          <cell r="J2244" t="str">
            <v>PRAIRIE VIEW AT BRISTOL PARK-1 Lay 1682'-2in PE : Kansas City-Clay Co: N JEFFERSON ST &amp; N SUMMIT ST</v>
          </cell>
          <cell r="K2244" t="str">
            <v>Approved by: Gary Williams on 08/02/2013,  LAY 1,673'-2" PE GAS MAIN TO SERVE 31 METERS IN SUBDIVISION.  LOTS 1-31.  TWO WAY FEED. FUTURE TIE-IN INTO W.O.13-2463 BRISTOL EAST-1; NOT PAID FOR AT THIS TIME 7-8-13. COST PER FOOT=$16.05  1,673FT x $8.50ft=$14,220.50  DEVELOPER TO PAY $14,220.50 BEFORE START OF PROJECT.</v>
          </cell>
          <cell r="L2244">
            <v>41610</v>
          </cell>
          <cell r="M2244">
            <v>41697</v>
          </cell>
          <cell r="N2244">
            <v>41698.505266203698</v>
          </cell>
          <cell r="P2244" t="str">
            <v>1271-020036  CLAY CTY/KANSAS CITY</v>
          </cell>
          <cell r="Q2244">
            <v>8305.89</v>
          </cell>
          <cell r="R2244">
            <v>3829</v>
          </cell>
        </row>
        <row r="2245">
          <cell r="A2245" t="str">
            <v>800798</v>
          </cell>
          <cell r="B2245" t="str">
            <v>LDC 2</v>
          </cell>
          <cell r="C2245" t="str">
            <v>01 - Cast Iron Strategic Replacement</v>
          </cell>
          <cell r="D2245" t="str">
            <v>yes</v>
          </cell>
          <cell r="F2245" t="str">
            <v>F0599</v>
          </cell>
          <cell r="G2245" t="str">
            <v>Main Replacement - ISRS (N)</v>
          </cell>
          <cell r="H2245" t="str">
            <v>Repl 7525F 2-4P Dunn Park Phase 1H</v>
          </cell>
          <cell r="I2245" t="str">
            <v>open</v>
          </cell>
          <cell r="J2245" t="str">
            <v>Install 6,215 Ft of 2 in PL IP main and 1,310 Ft of 4 in PL IP main along Prospect Ave, 68th St, 68th Ter, 69th St, 69th Ter, and Brooklyn Ave.</v>
          </cell>
          <cell r="K2245" t="str">
            <v>Abandon 1291 Ft of 10 in CI LP Main, 59 Ft of 4 in CI LP Main, 7043 Ft of 6 in CI LP Main, 2 Ft of 8 in CI LP Main,  36 Ft of 6 in PL LP Main,  5 Ft of 10 in ST LP Main,  112 Ft of 2 in ST LP Main,  Total Service Tie-over = 125; Total Service Replacement = 52; Total Service Abandoned = 40;  This main is being replaced as part of FY17 Bare Steel Replacement Program.</v>
          </cell>
          <cell r="P2245" t="str">
            <v>0401-043050  JACKSON CTY/KC</v>
          </cell>
          <cell r="Q2245">
            <v>0</v>
          </cell>
          <cell r="R2245">
            <v>8548</v>
          </cell>
        </row>
        <row r="2246">
          <cell r="A2246" t="str">
            <v>800800</v>
          </cell>
          <cell r="B2246" t="str">
            <v>LDC 2</v>
          </cell>
          <cell r="C2246" t="str">
            <v>01 - Cast Iron Strategic Replacement</v>
          </cell>
          <cell r="D2246" t="str">
            <v>yes</v>
          </cell>
          <cell r="F2246" t="str">
            <v>F0599</v>
          </cell>
          <cell r="G2246" t="str">
            <v>Main Replacement - ISRS (N)</v>
          </cell>
          <cell r="H2246" t="str">
            <v>Repl w 10745F 2-4P Dunn Park Hwy 71</v>
          </cell>
          <cell r="I2246" t="str">
            <v>open</v>
          </cell>
          <cell r="J2246" t="str">
            <v>Install 8,585 Ft of 2 in PL IP main and 2,160 Ft of 4 in PL IP main along Paseo blvd, 66th ST, 66th Ter, 67th ST, Flora Ave, Forest Ave, Tracy Ave, Virginia Ave, Lydia Ave, Wayne Ave Broadmoor Rd and Woodland Ave. Phase 1C</v>
          </cell>
          <cell r="K2246" t="str">
            <v>Abandon 109 Ft of 2 in ST LP main, 693 Ft of 3 in ST LP main, 1473 Ft of 4 in ST LP main, 52 Ft of 6 in ST LP main, 181 Ft of 12 in ST LP main, 49 Ft of 16 in ST LP main, 1,498 Ft of 4 in CI LP main, 8,268 Ft of 6 in CI LP main, 622 Ft of 8 in CI LP main, 2,408 Ft of 12 in CI LP main, 70 Ft of 2 in PL LP main, 73 Ft of 4 in PL LP main, and 291 Ft of 6 in PL LP main at the above location.  Total Service Tie-over = 173; Total Service Replacement =28; Total Service Abandoned = 30;   This main is being abandoned as part of FY17 Bare Steel Replacement Program.</v>
          </cell>
          <cell r="P2246" t="str">
            <v>0401-043050  JACKSON CTY/KC</v>
          </cell>
          <cell r="Q2246">
            <v>0</v>
          </cell>
          <cell r="R2246">
            <v>15787</v>
          </cell>
        </row>
        <row r="2247">
          <cell r="A2247" t="str">
            <v>801042</v>
          </cell>
          <cell r="B2247" t="str">
            <v>LDC 2</v>
          </cell>
          <cell r="C2247" t="str">
            <v>01 - Cast Iron Strategic Replacement</v>
          </cell>
          <cell r="D2247" t="str">
            <v>yes</v>
          </cell>
          <cell r="F2247" t="str">
            <v>F0599</v>
          </cell>
          <cell r="G2247" t="str">
            <v>Main Replacement - ISRS (N)</v>
          </cell>
          <cell r="H2247" t="str">
            <v>Inst 8105F 6-8 Bud Park Header Ph3</v>
          </cell>
          <cell r="I2247" t="str">
            <v>open</v>
          </cell>
          <cell r="J2247" t="str">
            <v>Install 195 Ft of 6in PLIP and 7910 Ft of 8in PLIP header main on Lawn Ave. Van Brunt Blvd., St. John Ave., 7th St., 8th St., and 9th St.</v>
          </cell>
          <cell r="K2247" t="str">
            <v>This header main is being installed as part of FY17 Cast Iron Replacement Program.</v>
          </cell>
          <cell r="P2247" t="str">
            <v>0401-043050  JACKSON CTY/KC</v>
          </cell>
          <cell r="Q2247">
            <v>6091.86</v>
          </cell>
          <cell r="R2247">
            <v>-9108</v>
          </cell>
        </row>
        <row r="2248">
          <cell r="A2248" t="str">
            <v>800149</v>
          </cell>
          <cell r="B2248" t="str">
            <v>LDC 2</v>
          </cell>
          <cell r="C2248" t="str">
            <v>01 - Cast Iron Strategic Replacement</v>
          </cell>
          <cell r="D2248" t="str">
            <v>yes</v>
          </cell>
          <cell r="F2248" t="str">
            <v>F0599</v>
          </cell>
          <cell r="G2248" t="str">
            <v>Main Replacement - ISRS (N)</v>
          </cell>
          <cell r="H2248" t="str">
            <v>Repl w 4561F 2-6P Hwy 71&amp;Gregory-I</v>
          </cell>
          <cell r="I2248" t="str">
            <v>open</v>
          </cell>
          <cell r="J2248" t="str">
            <v>Install 2439 ft of 2 in PL IP main, 40 ft of 4 in PL IP main, and 2082 ft of 6 in PL IP main on Chestnut, S Benton, Agnes, and 73rd Street.  Abandon 1530 ft of 6 in CI LP main, 1557 ft of 4 in LP main, 149 ft of 2 in PL. Hwy 71 &amp; Gregory Phase I.</v>
          </cell>
          <cell r="K2248" t="str">
            <v>This main is being replaced as part of FY16 Cast Iron Replacement Program.</v>
          </cell>
          <cell r="P2248" t="str">
            <v>0401-043050  JACKSON CTY/KC</v>
          </cell>
          <cell r="Q2248">
            <v>301737.2</v>
          </cell>
          <cell r="R2248">
            <v>-5137</v>
          </cell>
        </row>
        <row r="2249">
          <cell r="A2249" t="str">
            <v>010218</v>
          </cell>
          <cell r="B2249" t="str">
            <v>LDC 2</v>
          </cell>
          <cell r="D2249" t="str">
            <v>no</v>
          </cell>
          <cell r="F2249" t="str">
            <v>F0538</v>
          </cell>
          <cell r="G2249" t="str">
            <v>Other Communication Costs</v>
          </cell>
          <cell r="H2249" t="str">
            <v>Purch Hand Held HART 475 Programmer</v>
          </cell>
          <cell r="I2249" t="str">
            <v>in service</v>
          </cell>
          <cell r="J2249" t="str">
            <v>Purchase Hand Held HART 475 Programmer necessary to configure and calibrate SCADA pressure transmitters.</v>
          </cell>
          <cell r="K2249" t="str">
            <v>Requested per Matt Taylor email 1-20-16</v>
          </cell>
          <cell r="L2249">
            <v>42643</v>
          </cell>
          <cell r="O2249">
            <v>42614</v>
          </cell>
          <cell r="P2249" t="str">
            <v>0401-043050  JACKSON CTY/KC</v>
          </cell>
          <cell r="Q2249">
            <v>7356.86</v>
          </cell>
          <cell r="R2249">
            <v>1</v>
          </cell>
        </row>
        <row r="2250">
          <cell r="A2250" t="str">
            <v>800154</v>
          </cell>
          <cell r="B2250" t="str">
            <v>LDC 2</v>
          </cell>
          <cell r="C2250" t="str">
            <v>01 - Cast Iron Strategic Replacement</v>
          </cell>
          <cell r="D2250" t="str">
            <v>yes</v>
          </cell>
          <cell r="F2250" t="str">
            <v>F0599</v>
          </cell>
          <cell r="G2250" t="str">
            <v>Main Replacement - ISRS (N)</v>
          </cell>
          <cell r="H2250" t="str">
            <v>N Budd Park CI Grid Repl Phase 1C</v>
          </cell>
          <cell r="I2250" t="str">
            <v>open</v>
          </cell>
          <cell r="J2250" t="str">
            <v>Install 1282 Ft of 4 in and 3978 Ft of 2 in PL IP main for N Budd Park Phase 1C.  Abandon 45 Ft of 4 in PL, 613 Ft of 4 in PBS, 20 Ft of 4 in PCS, 365 Ft of 4 in CI, 3925 Ft of 6 in CI and 300 Ft of 8in CI LP main.</v>
          </cell>
          <cell r="K2250" t="str">
            <v>Total Service Tie-over = 150; Total Service Abandoned = 10; Total Service Replace = 15; Total Service Upgrade = 0.  This main is being replaced as part of FY16 Cast Iron Replacement Program</v>
          </cell>
          <cell r="P2250" t="str">
            <v>0401-043050  JACKSON CTY/KC</v>
          </cell>
          <cell r="Q2250">
            <v>533415.69999999995</v>
          </cell>
          <cell r="R2250">
            <v>-2148.85</v>
          </cell>
        </row>
        <row r="2251">
          <cell r="A2251" t="str">
            <v>009213</v>
          </cell>
          <cell r="B2251" t="str">
            <v>LDC 2</v>
          </cell>
          <cell r="D2251" t="str">
            <v>no</v>
          </cell>
          <cell r="F2251" t="str">
            <v>F0539</v>
          </cell>
          <cell r="G2251" t="str">
            <v>BWO New Service Line Install (N)</v>
          </cell>
          <cell r="H2251" t="str">
            <v>BWO-New Svc-Steel (North)</v>
          </cell>
          <cell r="I2251" t="str">
            <v>open</v>
          </cell>
          <cell r="J2251" t="str">
            <v>BWO-New Services Installed with Steel (North Region)</v>
          </cell>
          <cell r="O2251">
            <v>42248</v>
          </cell>
          <cell r="P2251" t="str">
            <v>0401-043050  JACKSON CTY/KC</v>
          </cell>
          <cell r="Q2251">
            <v>37329.620000000003</v>
          </cell>
          <cell r="R2251">
            <v>-174</v>
          </cell>
        </row>
        <row r="2252">
          <cell r="A2252" t="str">
            <v>008896</v>
          </cell>
          <cell r="B2252" t="str">
            <v>LDC 2</v>
          </cell>
          <cell r="D2252" t="str">
            <v>yes</v>
          </cell>
          <cell r="E2252" t="str">
            <v>20401155411</v>
          </cell>
          <cell r="F2252" t="str">
            <v>F0497</v>
          </cell>
          <cell r="G2252" t="str">
            <v>Street &amp; highway relocates - safety</v>
          </cell>
          <cell r="H2252" t="str">
            <v>3inch PBS Abandonment</v>
          </cell>
          <cell r="I2252" t="str">
            <v>in service</v>
          </cell>
          <cell r="J2252" t="str">
            <v>3inch PBS Abandonment: Kansas City-Jackson: Relocate for Street &amp; Highway-Safety Related (44-389)</v>
          </cell>
          <cell r="K2252" t="str">
            <v>Approved by: Gary Williams on 07/07/2015,  ISRS Due to Public Improvement Project at 51st and Brookside a right turn lane will be installed on Brookside to go west on 51st Street. Abandon 33' of 4" steel and 352' of 3" steel main and relocate DRS #103 to the corner of 51st Street and Wyandotte work order #15-5408. Work Order 15-5408 and 15-5426 need to be completed before this project is started.</v>
          </cell>
          <cell r="L2252">
            <v>42383</v>
          </cell>
          <cell r="P2252" t="str">
            <v>0401-043050  JACKSON CTY/KC</v>
          </cell>
          <cell r="Q2252">
            <v>21150.44</v>
          </cell>
          <cell r="R2252">
            <v>778.5</v>
          </cell>
        </row>
        <row r="2253">
          <cell r="A2253" t="str">
            <v>008537</v>
          </cell>
          <cell r="B2253" t="str">
            <v>LDC 2</v>
          </cell>
          <cell r="D2253" t="str">
            <v>yes</v>
          </cell>
          <cell r="E2253" t="str">
            <v>20401155365</v>
          </cell>
          <cell r="F2253" t="str">
            <v>F0599</v>
          </cell>
          <cell r="G2253" t="str">
            <v>Main Replacement - ISRS (N)</v>
          </cell>
          <cell r="H2253" t="str">
            <v>AOR - 4in and 6in CI Replacement</v>
          </cell>
          <cell r="I2253" t="str">
            <v>posted to CPR</v>
          </cell>
          <cell r="J2253" t="str">
            <v>AOR - 4in and 6in CI Replacement: Kansas City-Jackson: Replace Cast Iron Main - 3760 Safety Related (34-412)</v>
          </cell>
          <cell r="K2253" t="str">
            <v>Approved by: Joe Hampton on 05/21/2015,  Replace 2069' of CI with 1235' of 4'' PE. There is an AOR at 900 E.21st Street due 08/20/2015. Some of the main being killed out will not need to be replaced because of not having any services in the area. Pressure system C-001.</v>
          </cell>
          <cell r="L2253">
            <v>42210</v>
          </cell>
          <cell r="M2253">
            <v>42309</v>
          </cell>
          <cell r="N2253">
            <v>42436.430659722202</v>
          </cell>
          <cell r="O2253">
            <v>42217</v>
          </cell>
          <cell r="P2253" t="str">
            <v>0401-043050  JACKSON CTY/KC</v>
          </cell>
          <cell r="Q2253">
            <v>87236.38</v>
          </cell>
          <cell r="R2253">
            <v>-362.5</v>
          </cell>
        </row>
        <row r="2254">
          <cell r="A2254" t="str">
            <v>007938</v>
          </cell>
          <cell r="B2254" t="str">
            <v>LDC 2</v>
          </cell>
          <cell r="D2254" t="str">
            <v>yes</v>
          </cell>
          <cell r="E2254" t="str">
            <v>20401155201</v>
          </cell>
          <cell r="F2254" t="str">
            <v>F0604</v>
          </cell>
          <cell r="G2254" t="str">
            <v>Main Replacement - ISRS (S)</v>
          </cell>
          <cell r="H2254" t="str">
            <v>Replace 10in pbs main</v>
          </cell>
          <cell r="I2254" t="str">
            <v>posted to CPR</v>
          </cell>
          <cell r="J2254" t="str">
            <v>Replace 10in; pbs main: Kansas City-Jackson: Replace Bare Steel Main - 3760 Safety Related (34-394)</v>
          </cell>
          <cell r="K2254" t="str">
            <v>Approved by: Joe Hampton on 03/26/2015,  Replace and abandon 1,100' - 10" pbs main (WO M2X158) by installing 1,150' - 10" pcs main due to a class 3 leak. (ISRS)  Project is in the approved budget to replace 1,200' for a total cost of $240,000.  Estimated footage was pared back to allow North Region to relocate their rectifier that protects this main heading West.</v>
          </cell>
          <cell r="L2254">
            <v>42195</v>
          </cell>
          <cell r="M2254">
            <v>42216</v>
          </cell>
          <cell r="N2254">
            <v>42317.483761574098</v>
          </cell>
          <cell r="O2254">
            <v>42186</v>
          </cell>
          <cell r="P2254" t="str">
            <v>0401-043050  JACKSON CTY/KC</v>
          </cell>
          <cell r="Q2254">
            <v>174205.71</v>
          </cell>
          <cell r="R2254">
            <v>230.75</v>
          </cell>
        </row>
        <row r="2255">
          <cell r="A2255" t="str">
            <v>007710</v>
          </cell>
          <cell r="B2255" t="str">
            <v>LDC 2</v>
          </cell>
          <cell r="D2255" t="str">
            <v>no</v>
          </cell>
          <cell r="E2255" t="str">
            <v>20401155153</v>
          </cell>
          <cell r="F2255" t="str">
            <v>F0670</v>
          </cell>
          <cell r="G2255" t="str">
            <v>Tools, Instruments &amp; Equipment (N)</v>
          </cell>
          <cell r="H2255" t="str">
            <v>Purchase Corrosion Equipment</v>
          </cell>
          <cell r="I2255" t="str">
            <v>posted to CPR</v>
          </cell>
          <cell r="J2255" t="str">
            <v>Purchase Corrosion Equipment: Kansas City-Jackson: Purchase Tools, Instruments &amp; Equipment  3940 (37-366)</v>
          </cell>
          <cell r="K2255" t="str">
            <v>Approved by: Ray Wilson on 02/26/2015,  Purchase corrosion equipment, these are not replacements</v>
          </cell>
          <cell r="L2255">
            <v>42082</v>
          </cell>
          <cell r="M2255">
            <v>42124</v>
          </cell>
          <cell r="N2255">
            <v>42131.408252314803</v>
          </cell>
          <cell r="O2255">
            <v>42064</v>
          </cell>
          <cell r="P2255" t="str">
            <v>0401-043050  JACKSON CTY/KC</v>
          </cell>
          <cell r="Q2255">
            <v>1583.12</v>
          </cell>
          <cell r="R2255">
            <v>3</v>
          </cell>
        </row>
        <row r="2256">
          <cell r="A2256" t="str">
            <v>007673</v>
          </cell>
          <cell r="B2256" t="str">
            <v>LDC 2</v>
          </cell>
          <cell r="D2256" t="str">
            <v>no</v>
          </cell>
          <cell r="F2256" t="str">
            <v>F0912</v>
          </cell>
          <cell r="G2256" t="str">
            <v>MGE GIS Data Mapping</v>
          </cell>
          <cell r="H2256" t="str">
            <v>Purch GIS parcel data MGE</v>
          </cell>
          <cell r="I2256" t="str">
            <v>in service</v>
          </cell>
          <cell r="J2256" t="str">
            <v>Purchase GIS parcel data from County gov't in MGE territory.</v>
          </cell>
          <cell r="L2256">
            <v>42369</v>
          </cell>
          <cell r="O2256">
            <v>42370</v>
          </cell>
          <cell r="P2256" t="str">
            <v>0401-043050  JACKSON CTY/KC</v>
          </cell>
          <cell r="Q2256">
            <v>5459.55</v>
          </cell>
          <cell r="R2256">
            <v>0</v>
          </cell>
        </row>
        <row r="2257">
          <cell r="A2257" t="str">
            <v>007317</v>
          </cell>
          <cell r="B2257" t="str">
            <v>LDC 2</v>
          </cell>
          <cell r="D2257" t="str">
            <v>yes</v>
          </cell>
          <cell r="E2257" t="str">
            <v>20401144045</v>
          </cell>
          <cell r="F2257" t="str">
            <v>F0599</v>
          </cell>
          <cell r="G2257" t="str">
            <v>Main Replacement - ISRS (N)</v>
          </cell>
          <cell r="H2257" t="str">
            <v>AOR 6in CI Replacement</v>
          </cell>
          <cell r="I2257" t="str">
            <v>posted to CPR</v>
          </cell>
          <cell r="J2257" t="str">
            <v>AOR 6in CI Replacement: Kansas City-Jackson: Replace Cast Iron Main - 3760 Safety Related (34-412)</v>
          </cell>
          <cell r="K2257" t="str">
            <v>Approved by: Gary Williams on 01/05/2015,  Replace 6'' CI due to coupling being exposed. Tie in to 6'' PE - C-175KCLS at Meyer and run 330' south on Benton. Do not connect to existing 6'' CI, different pressure system. Change out all regulators for live services. Replacement services - 6618, 6625, 6626 S Benton, 2821, 2901 E Meyer Blvd. 4 Tie overs.</v>
          </cell>
          <cell r="L2257">
            <v>42060</v>
          </cell>
          <cell r="M2257">
            <v>42248</v>
          </cell>
          <cell r="N2257">
            <v>42284.723020833299</v>
          </cell>
          <cell r="O2257">
            <v>42064</v>
          </cell>
          <cell r="P2257" t="str">
            <v>0401-043050  JACKSON CTY/KC</v>
          </cell>
          <cell r="Q2257">
            <v>13588.07</v>
          </cell>
          <cell r="R2257">
            <v>-523.5</v>
          </cell>
        </row>
        <row r="2258">
          <cell r="A2258" t="str">
            <v>006832</v>
          </cell>
          <cell r="B2258" t="str">
            <v>LDC 2</v>
          </cell>
          <cell r="D2258" t="str">
            <v>no</v>
          </cell>
          <cell r="E2258" t="str">
            <v>20401143935</v>
          </cell>
          <cell r="F2258" t="str">
            <v>F0670</v>
          </cell>
          <cell r="G2258" t="str">
            <v>Tools, Instruments &amp; Equipment (N)</v>
          </cell>
          <cell r="H2258" t="str">
            <v>Tools (Flame Paks- Leak Survey)</v>
          </cell>
          <cell r="I2258" t="str">
            <v>posted to CPR</v>
          </cell>
          <cell r="J2258" t="str">
            <v>Tools: Kansas City-Jackson: Purchase Tools, Instruments &amp; Equipment  3940 (37-366)</v>
          </cell>
          <cell r="K2258" t="str">
            <v>Approved by: Gary Williams on 11/07/2014,  This is a leak survey tool.  This is a replacement since other units cannot be repaired.</v>
          </cell>
          <cell r="L2258">
            <v>41985</v>
          </cell>
          <cell r="M2258">
            <v>41670</v>
          </cell>
          <cell r="N2258">
            <v>42044.360358796301</v>
          </cell>
          <cell r="O2258">
            <v>42005</v>
          </cell>
          <cell r="P2258" t="str">
            <v>0401-043050  JACKSON CTY/KC</v>
          </cell>
          <cell r="Q2258">
            <v>10388.32</v>
          </cell>
          <cell r="R2258">
            <v>2</v>
          </cell>
        </row>
        <row r="2259">
          <cell r="A2259" t="str">
            <v>006416</v>
          </cell>
          <cell r="B2259" t="str">
            <v>LDC 2</v>
          </cell>
          <cell r="D2259" t="str">
            <v>no</v>
          </cell>
          <cell r="E2259" t="str">
            <v>20401143808</v>
          </cell>
          <cell r="F2259" t="str">
            <v>F0660</v>
          </cell>
          <cell r="G2259" t="str">
            <v>Meter &amp; Reg Settings 2" &amp; Lg (N)</v>
          </cell>
          <cell r="H2259" t="str">
            <v>Municipal CNG - 16M Meter</v>
          </cell>
          <cell r="I2259" t="str">
            <v>posted to CPR</v>
          </cell>
          <cell r="J2259" t="str">
            <v>Municipal CNG: Kansas City-Jackson: New Meter &amp; Reg Settings - 2in &amp; Larger 3820/3830 (33-382)</v>
          </cell>
          <cell r="K2259" t="str">
            <v>Approved by: Rob Kitterman on 09/12/2014,  This work is necessary to install a 16M roots meter for one new CNG Compressor station(connected load of 79,200cfh)</v>
          </cell>
          <cell r="L2259">
            <v>41974</v>
          </cell>
          <cell r="M2259">
            <v>42248</v>
          </cell>
          <cell r="N2259">
            <v>42270.4835185185</v>
          </cell>
          <cell r="O2259">
            <v>41974</v>
          </cell>
          <cell r="P2259" t="str">
            <v>0401-043050  JACKSON CTY/KC</v>
          </cell>
          <cell r="Q2259">
            <v>1478.85</v>
          </cell>
          <cell r="R2259">
            <v>-80</v>
          </cell>
        </row>
        <row r="2260">
          <cell r="A2260" t="str">
            <v>006411</v>
          </cell>
          <cell r="B2260" t="str">
            <v>LDC 2</v>
          </cell>
          <cell r="D2260" t="str">
            <v>no</v>
          </cell>
          <cell r="E2260" t="str">
            <v>20401143788</v>
          </cell>
          <cell r="F2260" t="str">
            <v>F0670</v>
          </cell>
          <cell r="G2260" t="str">
            <v>Tools, Instruments &amp; Equipment (N)</v>
          </cell>
          <cell r="H2260" t="str">
            <v>Purch Pneumatic Sand Earth Rammer-5</v>
          </cell>
          <cell r="I2260" t="str">
            <v>posted to CPR</v>
          </cell>
          <cell r="J2260" t="str">
            <v>Purchase Pneumatic Sand Earth Rammer/Tamper: Kansas City-Jackson: Purchase Tools, Instruments &amp; Equipment  3940 (37-366)</v>
          </cell>
          <cell r="K2260" t="str">
            <v>Approved by: Gary Williams on 09/12/2014,  THIS IS NOT REPLACEMENT TOOLS 2 STREET CREW 2 FIELD BASE 1 STATION B QUOTE FROM E-AIRTOOL1</v>
          </cell>
          <cell r="L2260">
            <v>41911</v>
          </cell>
          <cell r="M2260">
            <v>42004</v>
          </cell>
          <cell r="N2260">
            <v>42013.449247685203</v>
          </cell>
          <cell r="O2260">
            <v>41974</v>
          </cell>
          <cell r="P2260" t="str">
            <v>0401-043050  JACKSON CTY/KC</v>
          </cell>
          <cell r="Q2260">
            <v>5203.24</v>
          </cell>
          <cell r="R2260">
            <v>5</v>
          </cell>
        </row>
        <row r="2261">
          <cell r="A2261" t="str">
            <v>005619</v>
          </cell>
          <cell r="B2261" t="str">
            <v>LDC 2</v>
          </cell>
          <cell r="D2261" t="str">
            <v>no</v>
          </cell>
          <cell r="F2261" t="str">
            <v>F0588</v>
          </cell>
          <cell r="G2261" t="str">
            <v>Transportation &amp; power operated equ</v>
          </cell>
          <cell r="H2261" t="str">
            <v>Purchase Used Ram Cab Chassis</v>
          </cell>
          <cell r="I2261" t="str">
            <v>posted to CPR</v>
          </cell>
          <cell r="J2261" t="str">
            <v>Purchase one used Ram Cab Chassis from Chrysler Fleet this unit has been on demo for last two years in MGE's fleet.</v>
          </cell>
          <cell r="K2261" t="str">
            <v>Complete per Mike Menendez 9-18-14  AMM</v>
          </cell>
          <cell r="L2261">
            <v>41900</v>
          </cell>
          <cell r="M2261">
            <v>42278</v>
          </cell>
          <cell r="N2261">
            <v>42317.483263888898</v>
          </cell>
          <cell r="O2261">
            <v>41883</v>
          </cell>
          <cell r="P2261" t="str">
            <v>0401-043050  JACKSON CTY/KC</v>
          </cell>
          <cell r="Q2261">
            <v>20379</v>
          </cell>
          <cell r="R2261">
            <v>1</v>
          </cell>
        </row>
        <row r="2262">
          <cell r="A2262" t="str">
            <v>005184</v>
          </cell>
          <cell r="B2262" t="str">
            <v>LDC 2</v>
          </cell>
          <cell r="D2262" t="str">
            <v>no</v>
          </cell>
          <cell r="E2262" t="str">
            <v>20401143541</v>
          </cell>
          <cell r="F2262" t="str">
            <v>F0639</v>
          </cell>
          <cell r="G2262" t="str">
            <v>EGM Equip-1st Time Installation</v>
          </cell>
          <cell r="H2262" t="str">
            <v>EGM - Burns and McDonnell Engineeri</v>
          </cell>
          <cell r="I2262" t="str">
            <v>posted to CPR</v>
          </cell>
          <cell r="J2262" t="str">
            <v>EGM - Burns and McDonnell Engineering: Kansas City-Jackson: Install EGM Equipment - First Time Installation  3850 (32-403)</v>
          </cell>
          <cell r="K2262" t="str">
            <v>Approved by: Rob Kitterman on 05/01/2014,  Install Mercury MiniMax-AT-T w/ Messenger Modem S/N: 13066401 on Roots 11M meter no 08070237 to monitor daily gas usage of this transportation customer. Customer will reimburse company actual cost for EGM installation not to exceed $5,445.00, which should be coded to account 1072. ATTENTION: Plant &amp; Property Accounting, EGM work order, turn off A&amp;G indicator.</v>
          </cell>
          <cell r="L2262">
            <v>42443</v>
          </cell>
          <cell r="M2262">
            <v>42491</v>
          </cell>
          <cell r="N2262">
            <v>42528.313182870399</v>
          </cell>
          <cell r="O2262">
            <v>42430</v>
          </cell>
          <cell r="P2262" t="str">
            <v>0401-043050  JACKSON CTY/KC</v>
          </cell>
          <cell r="Q2262">
            <v>-59.5</v>
          </cell>
          <cell r="R2262">
            <v>9</v>
          </cell>
        </row>
        <row r="2263">
          <cell r="A2263" t="str">
            <v>004141</v>
          </cell>
          <cell r="B2263" t="str">
            <v>LDC 2</v>
          </cell>
          <cell r="D2263" t="str">
            <v>yes</v>
          </cell>
          <cell r="E2263" t="str">
            <v>20401132947</v>
          </cell>
          <cell r="F2263" t="str">
            <v>F0623</v>
          </cell>
          <cell r="G2263" t="str">
            <v>Street &amp; highway relocates</v>
          </cell>
          <cell r="H2263" t="str">
            <v>Lees Summit Rd 20in Reloc Proj</v>
          </cell>
          <cell r="I2263" t="str">
            <v>posted to CPR</v>
          </cell>
          <cell r="J2263" t="str">
            <v>Lees Summit Rd 20in Reloc Proj: Kansas City-Jackson: LSRD from 40 to Anderson</v>
          </cell>
          <cell r="K2263" t="str">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ell>
          <cell r="L2263">
            <v>41929</v>
          </cell>
          <cell r="M2263">
            <v>42004</v>
          </cell>
          <cell r="N2263">
            <v>42100.7007407407</v>
          </cell>
          <cell r="O2263">
            <v>41944</v>
          </cell>
          <cell r="P2263" t="str">
            <v>0401-043050  JACKSON CTY/KC</v>
          </cell>
          <cell r="Q2263">
            <v>53358.239999999998</v>
          </cell>
          <cell r="R2263">
            <v>38554.370000000003</v>
          </cell>
        </row>
        <row r="2264">
          <cell r="A2264" t="str">
            <v>003843</v>
          </cell>
          <cell r="B2264" t="str">
            <v>LDC 2</v>
          </cell>
          <cell r="D2264" t="str">
            <v>no</v>
          </cell>
          <cell r="E2264" t="str">
            <v>20401132529</v>
          </cell>
          <cell r="F2264" t="str">
            <v>F0639</v>
          </cell>
          <cell r="G2264" t="str">
            <v>EGM Equip-1st Time Installation</v>
          </cell>
          <cell r="H2264" t="str">
            <v>EGM - UMKC - Student Union</v>
          </cell>
          <cell r="I2264" t="str">
            <v>posted to CPR</v>
          </cell>
          <cell r="J2264" t="str">
            <v>EGM - UMKC - Student Union: Kansas City-Jackson: 5100 Cherry St - KC, MO</v>
          </cell>
          <cell r="K2264" t="str">
            <v>Approved by: Rob Kitterman on 04/04/2013,  Install Mercury Mini-AT-PT w/ Messenger Modem S/N: 11088576 on Roots 23M meter no 00934194 to monitor daily gas usage of this transportation customer. Customer will reimburse company actual cost for EGM installation not to exceed $5,445.00, which should be coded to account 1072. ATTENTION: Plant &amp; Property Accounting, EGM work order, turn off A&amp;G indicator.</v>
          </cell>
          <cell r="L2264">
            <v>41368</v>
          </cell>
          <cell r="M2264">
            <v>41670</v>
          </cell>
          <cell r="N2264">
            <v>41677.509837963</v>
          </cell>
          <cell r="P2264" t="str">
            <v>0401-043050  JACKSON CTY/KC</v>
          </cell>
          <cell r="Q2264">
            <v>0</v>
          </cell>
          <cell r="R2264">
            <v>5</v>
          </cell>
        </row>
        <row r="2265">
          <cell r="A2265" t="str">
            <v>003954</v>
          </cell>
          <cell r="B2265" t="str">
            <v>LDC 2</v>
          </cell>
          <cell r="D2265" t="str">
            <v>no</v>
          </cell>
          <cell r="E2265" t="str">
            <v>20401132600</v>
          </cell>
          <cell r="F2265" t="str">
            <v>F0639</v>
          </cell>
          <cell r="G2265" t="str">
            <v>EGM Equip-1st Time Installation</v>
          </cell>
          <cell r="H2265" t="str">
            <v>EGM - Blue Hills Country Club</v>
          </cell>
          <cell r="I2265" t="str">
            <v>posted to CPR</v>
          </cell>
          <cell r="J2265" t="str">
            <v>EGM - Blue Hills Country Club: Kansas City-Jackson: 777 Burning Tree Dr., Kansas City, MO 64145</v>
          </cell>
          <cell r="K2265" t="str">
            <v>Approved by: Rob Kitterman on 04/12/2013,  Install Mercury MiniMax-AT-T on Roots 7M meter # 08265889 to monitor daily gas usage of this transportation customer. Customer will reimburse company actual cost for EGM installation not to exceed $5,445.00, which should be coded to account 1072. ATTENTION: Plant &amp; Property Accounting, EGM work order, turn off A&amp;G indicator.</v>
          </cell>
          <cell r="L2265">
            <v>41375</v>
          </cell>
          <cell r="M2265">
            <v>41575</v>
          </cell>
          <cell r="N2265">
            <v>41576.418599536999</v>
          </cell>
          <cell r="P2265" t="str">
            <v>0401-043050  JACKSON CTY/KC</v>
          </cell>
          <cell r="Q2265">
            <v>0</v>
          </cell>
          <cell r="R2265">
            <v>4</v>
          </cell>
        </row>
        <row r="2266">
          <cell r="A2266" t="str">
            <v>004375</v>
          </cell>
          <cell r="B2266" t="str">
            <v>LDC 2</v>
          </cell>
          <cell r="D2266" t="str">
            <v>yes</v>
          </cell>
          <cell r="E2266" t="str">
            <v>20401143389</v>
          </cell>
          <cell r="F2266" t="str">
            <v>F0599</v>
          </cell>
          <cell r="G2266" t="str">
            <v>Main Replacement - ISRS (N)</v>
          </cell>
          <cell r="H2266" t="str">
            <v>AOR 5717 Troost Repl CI w 50'-8in T</v>
          </cell>
          <cell r="I2266" t="str">
            <v>posted to CPR</v>
          </cell>
          <cell r="J2266" t="str">
            <v>AOR 5717 Troost Repl CI w 50'-8in TF Steel: Kansas City-Jackson: 5717 Troost</v>
          </cell>
          <cell r="K2266" t="str">
            <v>Approved by: Gary Williams on 03/17/2014,  AOR.  Replace 8in CI with 50'-8in thin film.  Parallel excavation from 256' SSCB to 281' SSCB of 57th.  Bell joint was exposed 277' SSCB of 57th and 6' EECB of Troost.  This job must be completed by May 15, 2014.  Retire 50'-8in CI, N37P44, year 1921.</v>
          </cell>
          <cell r="L2266">
            <v>41765</v>
          </cell>
          <cell r="M2266">
            <v>41821</v>
          </cell>
          <cell r="N2266">
            <v>41858.746990740699</v>
          </cell>
          <cell r="O2266">
            <v>41760</v>
          </cell>
          <cell r="P2266" t="str">
            <v>0401-043050  JACKSON CTY/KC</v>
          </cell>
          <cell r="Q2266">
            <v>48743.49</v>
          </cell>
          <cell r="R2266">
            <v>38.4</v>
          </cell>
        </row>
        <row r="2267">
          <cell r="A2267" t="str">
            <v>004638</v>
          </cell>
          <cell r="B2267" t="str">
            <v>LDC 2</v>
          </cell>
          <cell r="D2267" t="str">
            <v>yes</v>
          </cell>
          <cell r="E2267" t="str">
            <v>20401132849</v>
          </cell>
          <cell r="F2267" t="str">
            <v>F0502</v>
          </cell>
          <cell r="G2267" t="str">
            <v>34-394-100-PIPESAFE</v>
          </cell>
          <cell r="H2267" t="str">
            <v>Cass County Hydrotest Phase 2</v>
          </cell>
          <cell r="I2267" t="str">
            <v>posted to CPR</v>
          </cell>
          <cell r="J2267" t="str">
            <v>Cass County Hydrotest Phase 2: Kansas City-Jackson: Highgrove Rd South to 155th Street</v>
          </cell>
          <cell r="K2267" t="str">
            <v>Approved by: Rob Hack on 07/29/2013,  This work order is necessary to hydrostatic test approximately 7,891' of 12 inch transmission to properly establish a 280 PSIG MAOP. The main is located from in a priviate easement from Highgrove Road south to 155th Steet. This work is being performed to comply with PHMSA Advisory Bullentin ADB-11-01 issued January 3, 2011. Infrasouce has provided a lump sum amount to perform the hydrostatic testing. All blow-out replacements will be performed on a time and material basis. Also, 160' of 12in line will be installed from the north side of 155th St. to inside the Cass County TB. Ther will be a 12in X 6in bridle valve install on the 8in main north of 150 HWY. Also, install 2,300' of 2in Steel to transfer customers along Kelly Road and Raytown Road from the 12in main to a 2in special main for hydrotesting purpose. This line will be hydrostatic tested at a minimum of 784 psig. See attached scope of work.</v>
          </cell>
          <cell r="L2267">
            <v>41617</v>
          </cell>
          <cell r="M2267">
            <v>41698</v>
          </cell>
          <cell r="N2267">
            <v>41704.711539351803</v>
          </cell>
          <cell r="O2267">
            <v>41760</v>
          </cell>
          <cell r="P2267" t="str">
            <v>0401-043050  JACKSON CTY/KC</v>
          </cell>
          <cell r="Q2267">
            <v>863363.14</v>
          </cell>
          <cell r="R2267">
            <v>7623.5</v>
          </cell>
        </row>
        <row r="2268">
          <cell r="A2268" t="str">
            <v>004093</v>
          </cell>
          <cell r="B2268" t="str">
            <v>LDC 2</v>
          </cell>
          <cell r="D2268" t="str">
            <v>yes</v>
          </cell>
          <cell r="E2268" t="str">
            <v>20401133187</v>
          </cell>
          <cell r="F2268" t="str">
            <v>F0599</v>
          </cell>
          <cell r="G2268" t="str">
            <v>Main Replacement - ISRS (N)</v>
          </cell>
          <cell r="H2268" t="str">
            <v>AOR 4937-43 S Benton Repl CI w 140'</v>
          </cell>
          <cell r="I2268" t="str">
            <v>posted to CPR</v>
          </cell>
          <cell r="J2268" t="str">
            <v>AOR 4937-43 S Benton Repl CI w 140'-4in PE: Kansas City-Jackson: 4943 S Benton</v>
          </cell>
          <cell r="K2268" t="str">
            <v>Approved by: Gary Williams on 01/14/2014,  AOR.  This job must be completed by March 11, 2014.  Replace 4in CI with 140'-4in PE due to two angle of reposes.  Bell joint exposed at 48' NNCB of 50th (4943 S Benton).  Four feet also exposed 161' NCL 50th.  Retire 140'-4in CI, WO BK31P123.  Tie-over 3 services.  Replace 3 services.</v>
          </cell>
          <cell r="L2268">
            <v>41688</v>
          </cell>
          <cell r="M2268">
            <v>41729</v>
          </cell>
          <cell r="N2268">
            <v>41733.309930555602</v>
          </cell>
          <cell r="O2268">
            <v>41730</v>
          </cell>
          <cell r="P2268" t="str">
            <v>0401-043050  JACKSON CTY/KC</v>
          </cell>
          <cell r="Q2268">
            <v>25131.06</v>
          </cell>
          <cell r="R2268">
            <v>269.5</v>
          </cell>
        </row>
        <row r="2269">
          <cell r="A2269" t="str">
            <v>004645</v>
          </cell>
          <cell r="B2269" t="str">
            <v>LDC 2</v>
          </cell>
          <cell r="D2269" t="str">
            <v>yes</v>
          </cell>
          <cell r="E2269" t="str">
            <v>20401132400</v>
          </cell>
          <cell r="F2269" t="str">
            <v>F0547</v>
          </cell>
          <cell r="G2269" t="str">
            <v>Street &amp; Highway Relocates ISRS (N)</v>
          </cell>
          <cell r="H2269" t="str">
            <v>Kansas City Street Car Phase 2</v>
          </cell>
          <cell r="I2269" t="str">
            <v>posted to CPR</v>
          </cell>
          <cell r="J2269" t="str">
            <v>Kansas City Street Car Phase 2: Kansas City-Jackson: Main Street from I-670 to I-70 (Downtown)</v>
          </cell>
          <cell r="K2269" t="str">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  Reopen per Adam H for addl paving - 6-5-15</v>
          </cell>
          <cell r="L2269">
            <v>41771</v>
          </cell>
          <cell r="M2269">
            <v>42063</v>
          </cell>
          <cell r="N2269">
            <v>42160.552129629599</v>
          </cell>
          <cell r="O2269">
            <v>41974</v>
          </cell>
          <cell r="P2269" t="str">
            <v>0401-043050  JACKSON CTY/KC</v>
          </cell>
          <cell r="Q2269">
            <v>107955.95</v>
          </cell>
          <cell r="R2269">
            <v>3325.7</v>
          </cell>
        </row>
        <row r="2270">
          <cell r="A2270" t="str">
            <v>004790</v>
          </cell>
          <cell r="B2270" t="str">
            <v>LDC 2</v>
          </cell>
          <cell r="D2270" t="str">
            <v>no</v>
          </cell>
          <cell r="E2270" t="str">
            <v>28940000000</v>
          </cell>
          <cell r="F2270" t="str">
            <v>F0713</v>
          </cell>
          <cell r="G2270" t="str">
            <v>Maint of Other Equip MGE</v>
          </cell>
          <cell r="H2270" t="str">
            <v>Maint of Other Equip MGE</v>
          </cell>
          <cell r="I2270" t="str">
            <v>open</v>
          </cell>
          <cell r="J2270" t="str">
            <v>Maint of Other Equip MGE</v>
          </cell>
          <cell r="P2270" t="str">
            <v>Expense Only</v>
          </cell>
          <cell r="Q2270">
            <v>314366.93</v>
          </cell>
          <cell r="R2270">
            <v>25940.5</v>
          </cell>
        </row>
        <row r="2271">
          <cell r="A2271" t="str">
            <v>004791</v>
          </cell>
          <cell r="B2271" t="str">
            <v>LDC 2</v>
          </cell>
          <cell r="D2271" t="str">
            <v>no</v>
          </cell>
          <cell r="E2271" t="str">
            <v>29010000000</v>
          </cell>
          <cell r="F2271" t="str">
            <v>F0714</v>
          </cell>
          <cell r="G2271" t="str">
            <v>Customer Accounts Supv MGE</v>
          </cell>
          <cell r="H2271" t="str">
            <v>Customer Accounts Supv MGE</v>
          </cell>
          <cell r="I2271" t="str">
            <v>open</v>
          </cell>
          <cell r="J2271" t="str">
            <v>Customer Accounts Supv MGE</v>
          </cell>
          <cell r="P2271" t="str">
            <v>Expense Only</v>
          </cell>
          <cell r="Q2271">
            <v>275324.73</v>
          </cell>
          <cell r="R2271">
            <v>5442</v>
          </cell>
        </row>
        <row r="2272">
          <cell r="A2272" t="str">
            <v>004695</v>
          </cell>
          <cell r="B2272" t="str">
            <v>LDC 2</v>
          </cell>
          <cell r="D2272" t="str">
            <v>no</v>
          </cell>
          <cell r="E2272" t="str">
            <v>21841301000</v>
          </cell>
          <cell r="F2272" t="str">
            <v>F0732</v>
          </cell>
          <cell r="G2272" t="str">
            <v>Transportation &amp; Eq Clrg MGE</v>
          </cell>
          <cell r="H2272" t="str">
            <v>Fleet Clrg - 21841301000 MGE</v>
          </cell>
          <cell r="I2272" t="str">
            <v>open</v>
          </cell>
          <cell r="J2272" t="str">
            <v>Fleet Clrg - 21841301000 MGE</v>
          </cell>
          <cell r="P2272" t="str">
            <v>Expense Only</v>
          </cell>
          <cell r="Q2272">
            <v>45146.75</v>
          </cell>
          <cell r="R2272">
            <v>0</v>
          </cell>
        </row>
        <row r="2273">
          <cell r="A2273" t="str">
            <v>004834</v>
          </cell>
          <cell r="B2273" t="str">
            <v>LDC 2</v>
          </cell>
          <cell r="D2273" t="str">
            <v>no</v>
          </cell>
          <cell r="E2273" t="str">
            <v>29210300000</v>
          </cell>
          <cell r="F2273" t="str">
            <v>F0723</v>
          </cell>
          <cell r="G2273" t="str">
            <v>Gen Office Sup&amp; Exp MGE</v>
          </cell>
          <cell r="H2273" t="str">
            <v>Copy Machine Expense MGE</v>
          </cell>
          <cell r="I2273" t="str">
            <v>open</v>
          </cell>
          <cell r="J2273" t="str">
            <v>Copy Machine Expense MGE</v>
          </cell>
          <cell r="P2273" t="str">
            <v>Expense Only</v>
          </cell>
          <cell r="Q2273">
            <v>248040.08</v>
          </cell>
          <cell r="R2273">
            <v>28477</v>
          </cell>
        </row>
        <row r="2274">
          <cell r="A2274" t="str">
            <v>004832</v>
          </cell>
          <cell r="B2274" t="str">
            <v>LDC 2</v>
          </cell>
          <cell r="D2274" t="str">
            <v>no</v>
          </cell>
          <cell r="E2274" t="str">
            <v>29030100000</v>
          </cell>
          <cell r="F2274" t="str">
            <v>F0716</v>
          </cell>
          <cell r="G2274" t="str">
            <v>Cust Rec &amp; Collection Exp MGE</v>
          </cell>
          <cell r="H2274" t="str">
            <v>Customer Billing Expense MGE</v>
          </cell>
          <cell r="I2274" t="str">
            <v>open</v>
          </cell>
          <cell r="J2274" t="str">
            <v>Customer Billing Expense MGE</v>
          </cell>
          <cell r="P2274" t="str">
            <v>Expense Only</v>
          </cell>
          <cell r="Q2274">
            <v>2543582.67</v>
          </cell>
          <cell r="R2274">
            <v>937598.98</v>
          </cell>
        </row>
        <row r="2275">
          <cell r="A2275" t="str">
            <v>004811</v>
          </cell>
          <cell r="B2275" t="str">
            <v>LDC 2</v>
          </cell>
          <cell r="D2275" t="str">
            <v>no</v>
          </cell>
          <cell r="E2275" t="str">
            <v>21860201300</v>
          </cell>
          <cell r="F2275" t="str">
            <v>F0687</v>
          </cell>
          <cell r="G2275" t="str">
            <v>Misc Deferred Debits-Oth MGE</v>
          </cell>
          <cell r="H2275" t="str">
            <v>Misc Def-Rate Case 2013 MGE</v>
          </cell>
          <cell r="I2275" t="str">
            <v>cancelled</v>
          </cell>
          <cell r="J2275" t="str">
            <v>Misc Def-Rate Case 2013 MGE</v>
          </cell>
          <cell r="K2275" t="str">
            <v>Cancelled 1-30-17 - cannot change to Posted To Cpr Status - AMM</v>
          </cell>
          <cell r="L2275">
            <v>42765</v>
          </cell>
          <cell r="M2275">
            <v>42765</v>
          </cell>
          <cell r="N2275">
            <v>42765.501111111102</v>
          </cell>
          <cell r="P2275" t="str">
            <v>Expense Only</v>
          </cell>
          <cell r="Q2275">
            <v>69804.37</v>
          </cell>
          <cell r="R2275">
            <v>0</v>
          </cell>
        </row>
        <row r="2276">
          <cell r="A2276" t="str">
            <v>009120</v>
          </cell>
          <cell r="B2276" t="str">
            <v>LDC 2</v>
          </cell>
          <cell r="D2276" t="str">
            <v>no</v>
          </cell>
          <cell r="F2276" t="str">
            <v>F0852</v>
          </cell>
          <cell r="G2276" t="str">
            <v>Security equipment - MGE</v>
          </cell>
          <cell r="H2276" t="str">
            <v>Security System Conv. Joplin</v>
          </cell>
          <cell r="I2276" t="str">
            <v>in service</v>
          </cell>
          <cell r="J2276" t="str">
            <v>Convert control system to Genetec/Mercury hardware at Joplin.</v>
          </cell>
          <cell r="K2276" t="str">
            <v>Revised 3-8-16 due to additional work performed</v>
          </cell>
          <cell r="L2276">
            <v>42460</v>
          </cell>
          <cell r="O2276">
            <v>42522</v>
          </cell>
          <cell r="P2276" t="str">
            <v>0501-044001  JASPER CTY/JOPLIN</v>
          </cell>
          <cell r="Q2276">
            <v>32859.03</v>
          </cell>
          <cell r="R2276">
            <v>26862</v>
          </cell>
        </row>
        <row r="2277">
          <cell r="A2277" t="str">
            <v>800024</v>
          </cell>
          <cell r="B2277" t="str">
            <v>LDC 2</v>
          </cell>
          <cell r="C2277" t="str">
            <v>09 - Facility Relocation due to Civic Improvement</v>
          </cell>
          <cell r="D2277" t="str">
            <v>yes</v>
          </cell>
          <cell r="F2277" t="str">
            <v>F0523</v>
          </cell>
          <cell r="G2277" t="str">
            <v>New Main Extensions (SW)</v>
          </cell>
          <cell r="H2277" t="str">
            <v>Hill Street Main Relocation due to</v>
          </cell>
          <cell r="I2277" t="str">
            <v>cancelled</v>
          </cell>
          <cell r="J2277" t="str">
            <v>Abandon 1547' - 2" Steel, 221' - 2" PL, 477' - 3" Steel, 234' - 3" PL and 4' - 4" PL and replace with 2,840' of 2" PL and 30' of 4" PL due to Civic Improvement CANCELLED - WRONG FUNDING PROJECT</v>
          </cell>
          <cell r="K2277" t="str">
            <v>Test: 100 psig, 22 Services, ISRS $43.35/ft ($124,411.47). Pressure System: C-2: MOP: 1.5 psig, MAOP: 1.5 psig, Design: 66 psig, Test: 100 psig and System: C-1: MOP 58 psig,  A portion of System C-2 will be uprated to C-1 as part of this replacement. CANCELLED DUE TO INCORRECT FUNDING PROJECT</v>
          </cell>
          <cell r="N2277">
            <v>42388.438194444403</v>
          </cell>
          <cell r="P2277" t="str">
            <v>0501-044001  JASPER CTY/JOPLIN</v>
          </cell>
          <cell r="Q2277">
            <v>0</v>
          </cell>
          <cell r="R2277">
            <v>225</v>
          </cell>
        </row>
        <row r="2278">
          <cell r="A2278" t="str">
            <v>007054</v>
          </cell>
          <cell r="B2278" t="str">
            <v>LDC 2</v>
          </cell>
          <cell r="D2278" t="str">
            <v>yes</v>
          </cell>
          <cell r="F2278" t="str">
            <v>F0604</v>
          </cell>
          <cell r="G2278" t="str">
            <v>Main Replacement - ISRS (S)</v>
          </cell>
          <cell r="H2278" t="str">
            <v>BWO Mains Installed Mtce-Southwest</v>
          </cell>
          <cell r="I2278" t="str">
            <v>open</v>
          </cell>
          <cell r="J2278" t="str">
            <v>BWO Mains Installed Mtce Southwest Region</v>
          </cell>
          <cell r="K2278" t="str">
            <v>For short replacements of main done on emergency basis - Southwest Region</v>
          </cell>
          <cell r="O2278">
            <v>42278</v>
          </cell>
          <cell r="P2278" t="str">
            <v>0501-044001  JASPER CTY/JOPLIN</v>
          </cell>
          <cell r="Q2278">
            <v>157572.18</v>
          </cell>
          <cell r="R2278">
            <v>8198.8665999999994</v>
          </cell>
        </row>
        <row r="2279">
          <cell r="A2279" t="str">
            <v>003951</v>
          </cell>
          <cell r="B2279" t="str">
            <v>LDC 2</v>
          </cell>
          <cell r="D2279" t="str">
            <v>no</v>
          </cell>
          <cell r="E2279" t="str">
            <v>20501121866</v>
          </cell>
          <cell r="F2279" t="str">
            <v>F0611</v>
          </cell>
          <cell r="G2279" t="str">
            <v>Meter &amp; regulator replacements - 2"</v>
          </cell>
          <cell r="H2279" t="str">
            <v>CANCEL Doane Reloc 38M Setting</v>
          </cell>
          <cell r="I2279" t="str">
            <v>cancelled</v>
          </cell>
          <cell r="J2279" t="str">
            <v>Doane Pet Care Reloc 38M Setting: Joplin: Doane Pet Care 1983 State Line Rd CANCEL due to customer no longer need project. 3/5/2013</v>
          </cell>
          <cell r="K2279" t="str">
            <v>Approved by: Galen Shoemaker on 11/08/2012,  WORK IS NECESSARY DUE TO PLANT EXPANSION AND THE REQUEST BY MARS/DOANE TO REDUCE THE DELIVERY PRESSURE FROM OUR EXISTING SYSTEM MAOP OF 58 PSIG TO A NEW DELIVERY PRESSURE OF 5 PSIG. THE NEW 38M ROTARY SETTING WILL BE INSTALLED WITH A NEW 4in/6in SERVICE LINE ON WORK ORDER 12-1864. CUSTOMER WILL BE RESPONSIBLE FOR THE ENTIRE COST OF THE RELOCATION AND WILL SIGN RELOCATION CONTRACTS AND DEPOSIT $43,217.76 (TOTAL OF WO 12-1866 &amp; WO 12-1864)PRIOR TO THE INSTALLATION OF THE JOB. THIS WORK ORDER WILL RETIRE EXISTING 38M SETTING INSTALLED ON WO 02-3927. WILL USE TWO 2in FLANGED ROCKWELL 441-57S REGULATORS AS OPERATOR/MONITOR AND A 1in 289 H-42 RELIEF VALVE AS A WARNING RELIEF. THIS WORK ORDER ALSO INCLUDES MATERIAL AND LABOR TO INSTALL A NEW 4&amp;quot; BARRICADE AROUND THE SETTING.SYSTEM 0501-C-1  MAOP=58 PSIG  MOP=58 PSIG</v>
          </cell>
          <cell r="N2279">
            <v>41704</v>
          </cell>
          <cell r="P2279" t="str">
            <v>0501-044001  JASPER CTY/JOPLIN</v>
          </cell>
          <cell r="Q2279">
            <v>0</v>
          </cell>
          <cell r="R2279">
            <v>654.4</v>
          </cell>
        </row>
        <row r="2280">
          <cell r="A2280" t="str">
            <v>004510</v>
          </cell>
          <cell r="B2280" t="str">
            <v>LDC 2</v>
          </cell>
          <cell r="D2280" t="str">
            <v>yes</v>
          </cell>
          <cell r="E2280" t="str">
            <v>20501132734</v>
          </cell>
          <cell r="F2280" t="str">
            <v>F0572</v>
          </cell>
          <cell r="G2280" t="str">
            <v>Main Replacement - ISRS (SW)</v>
          </cell>
          <cell r="H2280" t="str">
            <v>Range Line Rd Repl PBS w 105'-2"PE</v>
          </cell>
          <cell r="I2280" t="str">
            <v>posted to CPR</v>
          </cell>
          <cell r="J2280" t="str">
            <v>Range Line Rd &amp; Kennedy Ln Repl 105ft of 2in PBS: Joplin: Range Line Rd and Kennedy Ln</v>
          </cell>
          <cell r="K2280" t="str">
            <v>Approved by: Galen Shoemaker on 06/13/2013,  Abandon 105' - 2in PBS (WO#: A3145A) and replace with 105' - 2in PE due to isolated steel that is hard to cathodically protect. Project Location: Range Line Rd and Kennnedy Ln; Pressure System: C-100; MOP: 30 psig; MAOP: 30 psig; Design: 58 psig; Test: 100 psig; ISRS</v>
          </cell>
          <cell r="L2280">
            <v>41502</v>
          </cell>
          <cell r="M2280">
            <v>41626</v>
          </cell>
          <cell r="N2280">
            <v>41627.582893518498</v>
          </cell>
          <cell r="O2280">
            <v>41730</v>
          </cell>
          <cell r="P2280" t="str">
            <v>0501-044001  JASPER CTY/JOPLIN</v>
          </cell>
          <cell r="Q2280">
            <v>1654.01</v>
          </cell>
          <cell r="R2280">
            <v>201</v>
          </cell>
        </row>
        <row r="2281">
          <cell r="A2281" t="str">
            <v>003912</v>
          </cell>
          <cell r="B2281" t="str">
            <v>LDC 2</v>
          </cell>
          <cell r="D2281" t="str">
            <v>no</v>
          </cell>
          <cell r="E2281" t="str">
            <v>20501132842</v>
          </cell>
          <cell r="F2281" t="str">
            <v>F0677</v>
          </cell>
          <cell r="G2281" t="str">
            <v>New business</v>
          </cell>
          <cell r="H2281" t="str">
            <v>Pepsi 24th &amp; Prigmore Lay 935'-4in</v>
          </cell>
          <cell r="I2281" t="str">
            <v>posted to CPR</v>
          </cell>
          <cell r="J2281" t="str">
            <v>Pepsi 24th &amp; Prigmore Lay 935'-4in PE main ext: Joplin: 24th &amp; Prigmore Ave</v>
          </cell>
          <cell r="K2281" t="str">
            <v>Approved by: Galen Shoemaker on 08/05/2013,  Lay 30' of 6&amp;quot; PE and 935' of 4&amp;quot; PE for main extension to provide service for new Pepsi building at 24th &amp; Prigmor Ave.  Customer will contribute $10,580.00 prior to construction.  Project Location: 24th St. east of Prigmor Ave.  Pressure System: S-121.  MOP: 58 PSIG.  MAOP: 60 PSIG.  Design: 66 PSIG.  Test: 100 PSIG.  Price Per Foot: $28.37</v>
          </cell>
          <cell r="L2281">
            <v>41515</v>
          </cell>
          <cell r="M2281">
            <v>41626</v>
          </cell>
          <cell r="N2281">
            <v>41627.582800925898</v>
          </cell>
          <cell r="O2281">
            <v>41730</v>
          </cell>
          <cell r="P2281" t="str">
            <v>0501-044001  JASPER CTY/JOPLIN</v>
          </cell>
          <cell r="Q2281">
            <v>18017.2</v>
          </cell>
          <cell r="R2281">
            <v>1891.75</v>
          </cell>
        </row>
        <row r="2282">
          <cell r="A2282" t="str">
            <v>800281</v>
          </cell>
          <cell r="B2282" t="str">
            <v>LDC 2</v>
          </cell>
          <cell r="C2282" t="str">
            <v>03 - Bare Steel Replacement</v>
          </cell>
          <cell r="D2282" t="str">
            <v>yes</v>
          </cell>
          <cell r="F2282" t="str">
            <v>F0572</v>
          </cell>
          <cell r="G2282" t="str">
            <v>Main Replacement - ISRS (SW)</v>
          </cell>
          <cell r="H2282" t="str">
            <v>Repl w 3357F 2-4P WebbCity Phase 2F</v>
          </cell>
          <cell r="I2282" t="str">
            <v>open</v>
          </cell>
          <cell r="J2282" t="str">
            <v>Install 1745 Ft of 2in PL, 1612 Ft of 4in PL, abandon 165 Ft of 2in ST, and 300 Ft of 3in PL, 2521 Ft of 4 in ST, 286 Ft of 6 in ST and uprate 2859 Ft of PL in Webb City, MO.</v>
          </cell>
          <cell r="K2282" t="str">
            <v>This main is being abandoned as part of FY16 Bare Steel Replacement Program.</v>
          </cell>
          <cell r="P2282" t="str">
            <v>0502-044006  JASPER CTY/WEBB CITY</v>
          </cell>
          <cell r="Q2282">
            <v>0</v>
          </cell>
          <cell r="R2282">
            <v>3271</v>
          </cell>
        </row>
        <row r="2283">
          <cell r="A2283" t="str">
            <v>800192</v>
          </cell>
          <cell r="B2283" t="str">
            <v>LDC 2</v>
          </cell>
          <cell r="D2283" t="str">
            <v>no</v>
          </cell>
          <cell r="F2283" t="str">
            <v>F0523</v>
          </cell>
          <cell r="G2283" t="str">
            <v>New Main Extensions (SW)</v>
          </cell>
          <cell r="H2283" t="str">
            <v>New Main Ext to Serve Colby Mitche</v>
          </cell>
          <cell r="I2283" t="str">
            <v>in service</v>
          </cell>
          <cell r="J2283" t="str">
            <v>437ft 4in Pl.  Main Extension to serve new customer in Carterville. TownCode: 0503 Sector:0002 System: C-1 MOP: 1.5 MAOP: 1.69 Design: 66 Test: 100 $20,143.33 ($46.09/ft)</v>
          </cell>
          <cell r="L2283">
            <v>42551</v>
          </cell>
          <cell r="O2283">
            <v>42522</v>
          </cell>
          <cell r="P2283" t="str">
            <v>0503-044010  JASPER CTY/CARTERVILLE</v>
          </cell>
          <cell r="Q2283">
            <v>52020.34</v>
          </cell>
          <cell r="R2283">
            <v>-2245</v>
          </cell>
        </row>
        <row r="2284">
          <cell r="A2284" t="str">
            <v>007970</v>
          </cell>
          <cell r="B2284" t="str">
            <v>LDC 2</v>
          </cell>
          <cell r="D2284" t="str">
            <v>yes</v>
          </cell>
          <cell r="E2284" t="str">
            <v>20501144037</v>
          </cell>
          <cell r="F2284" t="str">
            <v>F0544</v>
          </cell>
          <cell r="G2284" t="str">
            <v>Replace bare steel main - safety re</v>
          </cell>
          <cell r="H2284" t="str">
            <v>Repl w 4640ft of 4in PE due to CP i</v>
          </cell>
          <cell r="I2284" t="str">
            <v>posted to CPR</v>
          </cell>
          <cell r="J2284" t="str">
            <v>Repl w 4640ft of 4in PE due to CP in ESMT: Joplin(S. of 32ND): Replace Bare Steel Main - 3760 Safety Related (34-394)</v>
          </cell>
          <cell r="K2284" t="str">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ell>
          <cell r="L2284">
            <v>42459</v>
          </cell>
          <cell r="M2284">
            <v>42491</v>
          </cell>
          <cell r="N2284">
            <v>42586.569421296299</v>
          </cell>
          <cell r="O2284">
            <v>42461</v>
          </cell>
          <cell r="P2284" t="str">
            <v>0501-066001  NEWTON CTY/JOPLIN</v>
          </cell>
          <cell r="Q2284">
            <v>122028.69</v>
          </cell>
          <cell r="R2284">
            <v>-4057</v>
          </cell>
        </row>
        <row r="2285">
          <cell r="A2285" t="str">
            <v>007670</v>
          </cell>
          <cell r="B2285" t="str">
            <v>LDC 2</v>
          </cell>
          <cell r="D2285" t="str">
            <v>no</v>
          </cell>
          <cell r="E2285" t="str">
            <v>20551143831</v>
          </cell>
          <cell r="F2285" t="str">
            <v>F0677</v>
          </cell>
          <cell r="G2285" t="str">
            <v>New business</v>
          </cell>
          <cell r="H2285" t="str">
            <v>Phase I Loop in C-1 System S End of</v>
          </cell>
          <cell r="I2285" t="str">
            <v>posted to CPR</v>
          </cell>
          <cell r="J2285" t="str">
            <v>Phase I Loop in C-1 System S End of Joplin: Joplin(S. of 32ND): New Main Extension - Contractor Crews  3760 (33-380)</v>
          </cell>
          <cell r="K2285" t="str">
            <v>Approved by: Kevin Driskell on 02/11/2015,  Lay 175' - 2" PE and 4945' - 4" PE in order to loop C-1 pressure system on the South side of Joplin. This work order will tie plastic main with adequate test on file to existing C-1 system and prepare for a second work order to create a new feed into the Joplin C-1 system from what is now the Saginaw S-1 system.</v>
          </cell>
          <cell r="L2285">
            <v>42263</v>
          </cell>
          <cell r="M2285">
            <v>42461</v>
          </cell>
          <cell r="N2285">
            <v>42496.560324074097</v>
          </cell>
          <cell r="O2285">
            <v>42278</v>
          </cell>
          <cell r="P2285" t="str">
            <v>0501-066001  NEWTON CTY/JOPLIN</v>
          </cell>
          <cell r="Q2285">
            <v>331539.18</v>
          </cell>
          <cell r="R2285">
            <v>-14050.75</v>
          </cell>
        </row>
        <row r="2286">
          <cell r="A2286" t="str">
            <v>003902</v>
          </cell>
          <cell r="B2286" t="str">
            <v>LDC 2</v>
          </cell>
          <cell r="D2286" t="str">
            <v>yes</v>
          </cell>
          <cell r="E2286" t="str">
            <v>20501132513</v>
          </cell>
          <cell r="F2286" t="str">
            <v>F0657</v>
          </cell>
          <cell r="G2286" t="str">
            <v>Services - 2" &amp; larger</v>
          </cell>
          <cell r="H2286" t="str">
            <v>3615 Rangeline Renew 2in service (3</v>
          </cell>
          <cell r="I2286" t="str">
            <v>posted to CPR</v>
          </cell>
          <cell r="J2286" t="str">
            <v>3615 Rangeline Renew 2in service (370'): Joplin: 3615 Range Line Rd Holiday Inn</v>
          </cell>
          <cell r="K2286" t="str">
            <v>Approved by: Galen Shoemaker on 06/24/2013,  Renew with 370' - 2in PE Service. Abandon 55' - 2in PCS service. This job was completed in two phases due to time constraints that customer could go without gas. Part of service could be inserted. Part had to be bored due to creek crossing. Customer contributed $13,445.65. Project Location: Hammon's Blvd and Holliday Inn Driveway; Pressure System: C-1; MOP: 58 psig; MAOP: 58 psig; Design: 58 psig; Test: 100 psig;</v>
          </cell>
          <cell r="L2286">
            <v>41408</v>
          </cell>
          <cell r="M2286">
            <v>41638</v>
          </cell>
          <cell r="N2286">
            <v>41643.435300925899</v>
          </cell>
          <cell r="P2286" t="str">
            <v>0501-066001  NEWTON CTY/JOPLIN</v>
          </cell>
          <cell r="Q2286">
            <v>2219.15</v>
          </cell>
          <cell r="R2286">
            <v>1018</v>
          </cell>
        </row>
        <row r="2287">
          <cell r="A2287" t="str">
            <v>006511</v>
          </cell>
          <cell r="B2287" t="str">
            <v>LDC 2</v>
          </cell>
          <cell r="D2287" t="str">
            <v>no</v>
          </cell>
          <cell r="E2287" t="str">
            <v>20502143706</v>
          </cell>
          <cell r="F2287" t="str">
            <v>F0575</v>
          </cell>
          <cell r="G2287" t="str">
            <v>Replace steel &amp; plastic main</v>
          </cell>
          <cell r="H2287" t="str">
            <v>Reactivate Main for Webster Element</v>
          </cell>
          <cell r="I2287" t="str">
            <v>posted to CPR</v>
          </cell>
          <cell r="J2287" t="str">
            <v>Reactivate Main for Webster Elementary FEMA: Webb City: Replace Coated Steel &amp; Plastic Main - 3760 (34-396)</v>
          </cell>
          <cell r="K2287" t="str">
            <v>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v>
          </cell>
          <cell r="L2287">
            <v>41920</v>
          </cell>
          <cell r="M2287">
            <v>42063</v>
          </cell>
          <cell r="N2287">
            <v>42160.553657407399</v>
          </cell>
          <cell r="O2287">
            <v>41944</v>
          </cell>
          <cell r="P2287" t="str">
            <v>0502-044006  JASPER CTY/WEBB CITY</v>
          </cell>
          <cell r="Q2287">
            <v>415.53</v>
          </cell>
          <cell r="R2287">
            <v>-44</v>
          </cell>
        </row>
        <row r="2288">
          <cell r="A2288" t="str">
            <v>005612</v>
          </cell>
          <cell r="B2288" t="str">
            <v>LDC 2</v>
          </cell>
          <cell r="D2288" t="str">
            <v>no</v>
          </cell>
          <cell r="E2288" t="str">
            <v>20502143638</v>
          </cell>
          <cell r="F2288" t="str">
            <v>F0677</v>
          </cell>
          <cell r="G2288" t="str">
            <v>New business</v>
          </cell>
          <cell r="H2288" t="str">
            <v>Aylor &amp; Penn Lay 195'-2in PE main e</v>
          </cell>
          <cell r="I2288" t="str">
            <v>posted to CPR</v>
          </cell>
          <cell r="J2288" t="str">
            <v>Aylor &amp; Penn Lay 195'-2in PE main ext: Webb City: New Main Extension - Contractor Crews  3760 (33-380)</v>
          </cell>
          <cell r="K2288" t="str">
            <v>Approved by: Galen Shoemaker on 06/30/2014,  Extend main with 195' - 2" PE to provide service to Madge T James Kindergarten Center FEMA Shelter, 211 W Aylor, Webb City. Customer will contribute $868.00 prior to work for main extension and 1-1/4" PE service. Project Location: Pennsylvania and Aylor; Pressure System: C-2; MOP: 1.5 psig; MAOP: 1.5 psig; Design: 58 psig; Test: 100 psig; $34.93/ft</v>
          </cell>
          <cell r="L2288">
            <v>41815</v>
          </cell>
          <cell r="M2288">
            <v>42248</v>
          </cell>
          <cell r="N2288">
            <v>42377.3507060185</v>
          </cell>
          <cell r="O2288">
            <v>41852</v>
          </cell>
          <cell r="P2288" t="str">
            <v>0502-044006  JASPER CTY/WEBB CITY</v>
          </cell>
          <cell r="Q2288">
            <v>12704.53</v>
          </cell>
          <cell r="R2288">
            <v>-209</v>
          </cell>
        </row>
        <row r="2289">
          <cell r="A2289" t="str">
            <v>009136</v>
          </cell>
          <cell r="B2289" t="str">
            <v>LDC 2</v>
          </cell>
          <cell r="D2289" t="str">
            <v>yes</v>
          </cell>
          <cell r="E2289" t="str">
            <v>20813155491</v>
          </cell>
          <cell r="F2289" t="str">
            <v>F0592</v>
          </cell>
          <cell r="G2289" t="str">
            <v>Replace bare steel main - safety re</v>
          </cell>
          <cell r="H2289" t="str">
            <v>2in Main Replacement</v>
          </cell>
          <cell r="I2289" t="str">
            <v>posted to CPR</v>
          </cell>
          <cell r="J2289" t="str">
            <v>2in Main Replacement: Billings: Replace Bare Steel Main - 3760 Safety Related (34-394)</v>
          </cell>
          <cell r="K2289" t="str">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ell>
          <cell r="L2289">
            <v>42285</v>
          </cell>
          <cell r="M2289">
            <v>42369</v>
          </cell>
          <cell r="N2289">
            <v>42496.5608796296</v>
          </cell>
          <cell r="O2289">
            <v>42309</v>
          </cell>
          <cell r="P2289" t="str">
            <v>0506-044008  JASPER CTY/AIRPORT DRIVE</v>
          </cell>
          <cell r="Q2289">
            <v>31402.43</v>
          </cell>
          <cell r="R2289">
            <v>-889</v>
          </cell>
        </row>
        <row r="2290">
          <cell r="A2290" t="str">
            <v>800444</v>
          </cell>
          <cell r="B2290" t="str">
            <v>LDC 2</v>
          </cell>
          <cell r="C2290" t="str">
            <v>03 - Bare Steel Replacement</v>
          </cell>
          <cell r="D2290" t="str">
            <v>yes</v>
          </cell>
          <cell r="F2290" t="str">
            <v>F0604</v>
          </cell>
          <cell r="G2290" t="str">
            <v>Main Replacement - ISRS (S)</v>
          </cell>
          <cell r="H2290" t="str">
            <v>Repl w/ 3600F 2-4P Liberty Ph1</v>
          </cell>
          <cell r="I2290" t="str">
            <v>open</v>
          </cell>
          <cell r="J2290" t="str">
            <v>Install 2920 Ft 2in PL IP, 680 Ft 4in PL IP - Liberty S of 23rd Ph 1, abandon 3535 Ft of ST LP, uprate 1674 Ft of 2in PL, and 1173 Ft of 4in PL LP to IP main in Independence, MO.</v>
          </cell>
          <cell r="K2290" t="str">
            <v>This main is being replaced as part of the FY16 Bare Steel Replacement Program.</v>
          </cell>
          <cell r="P2290" t="str">
            <v>0201-043001  JACKSON CTY/INDEPENDENCE</v>
          </cell>
          <cell r="Q2290">
            <v>216838.02</v>
          </cell>
          <cell r="R2290">
            <v>-5139.75</v>
          </cell>
        </row>
        <row r="2291">
          <cell r="A2291" t="str">
            <v>008370</v>
          </cell>
          <cell r="B2291" t="str">
            <v>LDC 2</v>
          </cell>
          <cell r="D2291" t="str">
            <v>no</v>
          </cell>
          <cell r="E2291" t="str">
            <v>20201155337</v>
          </cell>
          <cell r="F2291" t="str">
            <v>F0507</v>
          </cell>
          <cell r="G2291" t="str">
            <v>Rebuild Meter Install 2'' &amp; Lg (S)</v>
          </cell>
          <cell r="H2291" t="str">
            <v>Remove 3M Rotary Meter</v>
          </cell>
          <cell r="I2291" t="str">
            <v>posted to CPR</v>
          </cell>
          <cell r="J2291" t="str">
            <v>Remove 3M Rotary Meter: Independence: Replace Meter &amp; Reg 2&amp;quot; &amp;  Larger - 3820/3830 (32-404)</v>
          </cell>
          <cell r="K2291" t="str">
            <v>Approved by: Kevin Driskell on 05/05/2015,  Remove and dismantle the 3M rotary meter setting (meter #09013537, premise #200385517, installed on WO#92-7754) at the Ryan's Steakhouse.  The building is being demolished and the meter set is to be removed and the service abandoned.</v>
          </cell>
          <cell r="L2291">
            <v>42138</v>
          </cell>
          <cell r="M2291">
            <v>42491</v>
          </cell>
          <cell r="N2291">
            <v>42528.472326388903</v>
          </cell>
          <cell r="P2291" t="str">
            <v>0201-043001  JACKSON CTY/INDEPENDENCE</v>
          </cell>
          <cell r="Q2291">
            <v>1383.42</v>
          </cell>
          <cell r="R2291">
            <v>8</v>
          </cell>
        </row>
        <row r="2292">
          <cell r="A2292" t="str">
            <v>008139</v>
          </cell>
          <cell r="B2292" t="str">
            <v>LDC 2</v>
          </cell>
          <cell r="D2292" t="str">
            <v>no</v>
          </cell>
          <cell r="E2292" t="str">
            <v>20201155275</v>
          </cell>
          <cell r="F2292" t="str">
            <v>F0676</v>
          </cell>
          <cell r="G2292" t="str">
            <v>Meter &amp; regulator settings - 2" &amp; l</v>
          </cell>
          <cell r="H2292" t="str">
            <v>Strouds 19700 Valley View Pk 3M Mtr</v>
          </cell>
          <cell r="I2292" t="str">
            <v>posted to CPR</v>
          </cell>
          <cell r="J2292" t="str">
            <v>Strouds 19700 Valley View Parkway: Independence: New Meter &amp; Reg Settings - 2&amp;quot; &amp; Larger 3820/3830 (33-382)</v>
          </cell>
          <cell r="K2292" t="str">
            <v>Approved by: Kevin Driskell on 04/10/2015,  Rebuild existing 2M rotary meter setting (work order 03-6070) by constructing a 3M rotary meter setting to serve a new commercial customer.</v>
          </cell>
          <cell r="L2292">
            <v>42117</v>
          </cell>
          <cell r="M2292">
            <v>42155</v>
          </cell>
          <cell r="N2292">
            <v>42160.554212962998</v>
          </cell>
          <cell r="O2292">
            <v>42125</v>
          </cell>
          <cell r="P2292" t="str">
            <v>0201-043001  JACKSON CTY/INDEPENDENCE</v>
          </cell>
          <cell r="Q2292">
            <v>4420.71</v>
          </cell>
          <cell r="R2292">
            <v>-27</v>
          </cell>
        </row>
        <row r="2293">
          <cell r="A2293" t="str">
            <v>004246</v>
          </cell>
          <cell r="B2293" t="str">
            <v>LDC 2</v>
          </cell>
          <cell r="D2293" t="str">
            <v>no</v>
          </cell>
          <cell r="E2293" t="str">
            <v>20201132904</v>
          </cell>
          <cell r="F2293" t="str">
            <v>F0578</v>
          </cell>
          <cell r="G2293" t="str">
            <v>Street &amp; Highway Relocates ISRS (S)</v>
          </cell>
          <cell r="H2293" t="str">
            <v>35th &amp; Erickson Ret 2in PBS cut/cap</v>
          </cell>
          <cell r="I2293" t="str">
            <v>posted to CPR</v>
          </cell>
          <cell r="J2293" t="str">
            <v>35th &amp; Erickson Ret 2in PBS cut/cap: Independence: 35th and Erickson</v>
          </cell>
          <cell r="K2293" t="str">
            <v>Approved by: Ralph Janes on 08/14/2013,  Cut and cap 2in PBS main north of driveway to 12712 S Erickson Rd to abandon 45' - 2in PCS (WO# A5274) as part of 35th Street public improvement project. The city changed the plans in the field so our relocation on WO# 13-2356 was not sufficient. As such they should pay for this work as well as the work performed 8/13/13 to relocate the service line to 12712 Erickson.</v>
          </cell>
          <cell r="L2293">
            <v>41499</v>
          </cell>
          <cell r="M2293">
            <v>41599</v>
          </cell>
          <cell r="N2293">
            <v>41603.384756944397</v>
          </cell>
          <cell r="P2293" t="str">
            <v>0201-043001  JACKSON CTY/INDEPENDENCE</v>
          </cell>
          <cell r="Q2293">
            <v>44.67</v>
          </cell>
          <cell r="R2293">
            <v>73.5</v>
          </cell>
        </row>
        <row r="2294">
          <cell r="A2294" t="str">
            <v>004024</v>
          </cell>
          <cell r="B2294" t="str">
            <v>LDC 2</v>
          </cell>
          <cell r="D2294" t="str">
            <v>no</v>
          </cell>
          <cell r="E2294" t="str">
            <v>20201132785</v>
          </cell>
          <cell r="F2294" t="str">
            <v>F0672</v>
          </cell>
          <cell r="G2294" t="str">
            <v>Main Repl - Sys Reinforcement (S)</v>
          </cell>
          <cell r="H2294" t="str">
            <v>Phelps Rd Repl I/O Drs 159 w 4in CS</v>
          </cell>
          <cell r="I2294" t="str">
            <v>posted to CPR</v>
          </cell>
          <cell r="J2294" t="str">
            <v>Phelps Rd Repl I/O Drs 159 w 4in CS Tie-in: Independence: Phelps Rd and 42nd St</v>
          </cell>
          <cell r="K2294" t="str">
            <v>Approved by: Ralph Janes on 07/09/2013,  Tie together C-500 and C-013 by replacing 10' of 4in pcs main (wo# 641536) with 20' of 4in thin film after uprate of pressure system C-013 (MOP=MAOP = 5 psig) to pressure system C-500 (MOP=30 psig and MOAP=44 psig). DRS 159 will be removed and retired on wo# 13-2781.</v>
          </cell>
          <cell r="L2294">
            <v>41584</v>
          </cell>
          <cell r="M2294">
            <v>41670</v>
          </cell>
          <cell r="N2294">
            <v>41677.509768518503</v>
          </cell>
          <cell r="O2294">
            <v>41730</v>
          </cell>
          <cell r="P2294" t="str">
            <v>0201-043001  JACKSON CTY/INDEPENDENCE</v>
          </cell>
          <cell r="Q2294">
            <v>11617.66</v>
          </cell>
          <cell r="R2294">
            <v>63.5</v>
          </cell>
        </row>
        <row r="2295">
          <cell r="A2295" t="str">
            <v>003871</v>
          </cell>
          <cell r="B2295" t="str">
            <v>LDC 2</v>
          </cell>
          <cell r="D2295" t="str">
            <v>yes</v>
          </cell>
          <cell r="E2295" t="str">
            <v>20201132920</v>
          </cell>
          <cell r="F2295" t="str">
            <v>F0604</v>
          </cell>
          <cell r="G2295" t="str">
            <v>Main Replacement - ISRS (S)</v>
          </cell>
          <cell r="H2295" t="str">
            <v>Smart Ave Repl PBS w 620'-2in PE Ma</v>
          </cell>
          <cell r="I2295" t="str">
            <v>posted to CPR</v>
          </cell>
          <cell r="J2295" t="str">
            <v>Smart Ave Repl PBS w 620'-2in PE Main: Independence: Stark Ave and Smart Ave</v>
          </cell>
          <cell r="K2295" t="str">
            <v>Approved by: Ralph Janes on 09/03/2013,  Main to Abandon: 620' of 4in PBS, year 1926,work order 149. Replace with 640' of 4in PE on wo# 13-2920. This section of bare steel main has a history of leakage with several leak clamps installed.  ISRS</v>
          </cell>
          <cell r="L2295">
            <v>41656</v>
          </cell>
          <cell r="M2295">
            <v>41696</v>
          </cell>
          <cell r="N2295">
            <v>41710.614606481497</v>
          </cell>
          <cell r="O2295">
            <v>41730</v>
          </cell>
          <cell r="P2295" t="str">
            <v>0201-043001  JACKSON CTY/INDEPENDENCE</v>
          </cell>
          <cell r="Q2295">
            <v>32838.71</v>
          </cell>
          <cell r="R2295">
            <v>2417</v>
          </cell>
        </row>
        <row r="2296">
          <cell r="A2296" t="str">
            <v>004069</v>
          </cell>
          <cell r="B2296" t="str">
            <v>LDC 2</v>
          </cell>
          <cell r="D2296" t="str">
            <v>no</v>
          </cell>
          <cell r="E2296" t="str">
            <v>20201143414</v>
          </cell>
          <cell r="F2296" t="str">
            <v>F0644</v>
          </cell>
          <cell r="G2296" t="str">
            <v>Meter &amp; Reg Settings 2" &amp; Lg (S)</v>
          </cell>
          <cell r="H2296" t="str">
            <v>Stoney Creek Inn 7M Meter Set</v>
          </cell>
          <cell r="I2296" t="str">
            <v>posted to CPR</v>
          </cell>
          <cell r="J2296" t="str">
            <v>Stoney Creek Inn 7M Meter Set: Independence: 18011 E. Bass Pro Dr.</v>
          </cell>
          <cell r="K2296" t="str">
            <v>Approved by: Ralph Janes on 03/10/2014,  Install 7M Rotary meter setting to serve one new commercial customer.  810' - 2" pe service line to be installed on work order 14-3415.</v>
          </cell>
          <cell r="L2296">
            <v>41960</v>
          </cell>
          <cell r="M2296">
            <v>42004</v>
          </cell>
          <cell r="N2296">
            <v>42012.551203703697</v>
          </cell>
          <cell r="O2296">
            <v>41944</v>
          </cell>
          <cell r="P2296" t="str">
            <v>0201-043001  JACKSON CTY/INDEPENDENCE</v>
          </cell>
          <cell r="Q2296">
            <v>2793.22</v>
          </cell>
          <cell r="R2296">
            <v>-67</v>
          </cell>
        </row>
        <row r="2297">
          <cell r="A2297" t="str">
            <v>003814</v>
          </cell>
          <cell r="B2297" t="str">
            <v>LDC 2</v>
          </cell>
          <cell r="D2297" t="str">
            <v>no</v>
          </cell>
          <cell r="E2297" t="str">
            <v>20301050320</v>
          </cell>
          <cell r="F2297" t="str">
            <v>F0674</v>
          </cell>
          <cell r="G2297" t="str">
            <v>New service installations - contrac</v>
          </cell>
          <cell r="H2297" t="str">
            <v>BWO NEW SVC CONT</v>
          </cell>
          <cell r="I2297" t="str">
            <v>posted to CPR</v>
          </cell>
          <cell r="J2297" t="str">
            <v>BWO NEW SVC CONT</v>
          </cell>
          <cell r="K2297" t="str">
            <v>Project Type:B</v>
          </cell>
          <cell r="L2297">
            <v>41717</v>
          </cell>
          <cell r="M2297">
            <v>41717</v>
          </cell>
          <cell r="N2297">
            <v>41717</v>
          </cell>
          <cell r="P2297" t="str">
            <v>0301-046001  JOHNSON CTY/WARRENSBURG</v>
          </cell>
          <cell r="Q2297">
            <v>-292</v>
          </cell>
          <cell r="R2297">
            <v>0</v>
          </cell>
        </row>
        <row r="2298">
          <cell r="A2298" t="str">
            <v>004101</v>
          </cell>
          <cell r="B2298" t="str">
            <v>LDC 2</v>
          </cell>
          <cell r="D2298" t="str">
            <v>no</v>
          </cell>
          <cell r="E2298" t="str">
            <v>20301143288</v>
          </cell>
          <cell r="F2298" t="str">
            <v>F0628</v>
          </cell>
          <cell r="G2298" t="str">
            <v>Services - 2" &amp; larger</v>
          </cell>
          <cell r="H2298" t="str">
            <v>618 Enterprise Dr Repl 2in Service</v>
          </cell>
          <cell r="I2298" t="str">
            <v>posted to CPR</v>
          </cell>
          <cell r="J2298" t="str">
            <v>618 Enterprise Dr Repl 2in Service Line: Warrensburg: 618 Enterprise Dr Jainesville Acoustic</v>
          </cell>
          <cell r="K2298" t="str">
            <v>Approved by: Ralph Janes on 01/17/2014,  Not ISRS due to load increase. Replace and abandon existing 2" pe service line (wo 11-7461) by installing 75' - 4" pe service line due to additional load.  16M Rotary meter setting to be installed on parent work order 14-3287.</v>
          </cell>
          <cell r="L2298">
            <v>41737</v>
          </cell>
          <cell r="M2298">
            <v>41882</v>
          </cell>
          <cell r="N2298">
            <v>41887.681736111103</v>
          </cell>
          <cell r="O2298">
            <v>41730</v>
          </cell>
          <cell r="P2298" t="str">
            <v>0301-046001  JOHNSON CTY/WARRENSBURG</v>
          </cell>
          <cell r="Q2298">
            <v>10198.19</v>
          </cell>
          <cell r="R2298">
            <v>-144</v>
          </cell>
        </row>
        <row r="2299">
          <cell r="A2299" t="str">
            <v>800758</v>
          </cell>
          <cell r="B2299" t="str">
            <v>LDC 2</v>
          </cell>
          <cell r="C2299" t="str">
            <v>03 - Bare Steel Replacement</v>
          </cell>
          <cell r="D2299" t="str">
            <v>yes</v>
          </cell>
          <cell r="F2299" t="str">
            <v>F0604</v>
          </cell>
          <cell r="G2299" t="str">
            <v>Main Replacement - ISRS (S)</v>
          </cell>
          <cell r="H2299" t="str">
            <v>Repl w 1011F 2-6P Concordia Phase A</v>
          </cell>
          <cell r="I2299" t="str">
            <v>open</v>
          </cell>
          <cell r="J2299" t="str">
            <v>Install 464 ft of 2in PL IP and 547 Ft of 6in PL IP and abandon 80 Ft of 2 in PL main, 5 Ft of 3in PL, 1089 Ft of 4in PL, and 1341 Ft of 2in ST in Concordia, MO. This main is being replaced as part of FY16 Bare Steel Replacement</v>
          </cell>
          <cell r="P2299" t="str">
            <v>0307-049001  LAFAYETTE CTY/CONCORDIA</v>
          </cell>
          <cell r="Q2299">
            <v>0</v>
          </cell>
          <cell r="R2299">
            <v>5030</v>
          </cell>
        </row>
        <row r="2300">
          <cell r="A2300" t="str">
            <v>008735</v>
          </cell>
          <cell r="B2300" t="str">
            <v>LDC 2</v>
          </cell>
          <cell r="D2300" t="str">
            <v>no</v>
          </cell>
          <cell r="E2300" t="str">
            <v>20305155396</v>
          </cell>
          <cell r="F2300" t="str">
            <v>F0606</v>
          </cell>
          <cell r="G2300" t="str">
            <v>Station rebuild &amp; replacement</v>
          </cell>
          <cell r="H2300" t="str">
            <v>Retire DRS 3 in Sweet Springs</v>
          </cell>
          <cell r="I2300" t="str">
            <v>posted to CPR</v>
          </cell>
          <cell r="J2300" t="str">
            <v>Retire DRS 3 in Sweet Springs: Sweet Springs: Rebuild District/TB Stations  3780/3790 (45-387)</v>
          </cell>
          <cell r="K2300" t="str">
            <v>Approved by: Kevin Driskell on 06/16/2015,  Remove and retire DRS 3 (WO# 94002700) as it will not be needed after the completion of WO# 15-5203.  The 2-2" Fisher 133H regulators will be junked.</v>
          </cell>
          <cell r="L2300">
            <v>42278</v>
          </cell>
          <cell r="M2300">
            <v>42278</v>
          </cell>
          <cell r="N2300">
            <v>42405.4511921296</v>
          </cell>
          <cell r="P2300" t="str">
            <v>0305-086001  SALINE CTY/SWEET SPRINGS</v>
          </cell>
          <cell r="Q2300">
            <v>3516.76</v>
          </cell>
          <cell r="R2300">
            <v>9</v>
          </cell>
        </row>
        <row r="2301">
          <cell r="A2301" t="str">
            <v>006737</v>
          </cell>
          <cell r="B2301" t="str">
            <v>LDC 2</v>
          </cell>
          <cell r="D2301" t="str">
            <v>no</v>
          </cell>
          <cell r="E2301" t="str">
            <v>20308143897</v>
          </cell>
          <cell r="F2301" t="str">
            <v>F0676</v>
          </cell>
          <cell r="G2301" t="str">
            <v>Meter &amp; regulator settings - 2" &amp; l</v>
          </cell>
          <cell r="H2301" t="str">
            <v>Ag Power 3M Rotary Meter Set</v>
          </cell>
          <cell r="I2301" t="str">
            <v>posted to CPR</v>
          </cell>
          <cell r="J2301" t="str">
            <v>Ag Power 3M Rotary Meter Set: Higginsville: New Meter &amp; Reg Settings - 2&amp;quot; &amp; Larger 3820/3830 (33-382)</v>
          </cell>
          <cell r="K2301" t="str">
            <v>Approved by: Ralph Janes on 10/22/2014,  Install a 3M Rotary meter set to serve one new commercial customer.  Note:  310' - 1-1/4" pe service line to be installed on BWO.</v>
          </cell>
          <cell r="L2301">
            <v>41990</v>
          </cell>
          <cell r="M2301">
            <v>41670</v>
          </cell>
          <cell r="N2301">
            <v>42345.345856481501</v>
          </cell>
          <cell r="O2301">
            <v>41974</v>
          </cell>
          <cell r="P2301" t="str">
            <v>0308-049004  LAFAYETTE CTY/HIGGINSVILLE</v>
          </cell>
          <cell r="Q2301">
            <v>2368.2600000000002</v>
          </cell>
          <cell r="R2301">
            <v>-45.5</v>
          </cell>
        </row>
        <row r="2302">
          <cell r="A2302" t="str">
            <v>004539</v>
          </cell>
          <cell r="B2302" t="str">
            <v>LDC 2</v>
          </cell>
          <cell r="D2302" t="str">
            <v>no</v>
          </cell>
          <cell r="E2302" t="str">
            <v>20317132729</v>
          </cell>
          <cell r="F2302" t="str">
            <v>F0673</v>
          </cell>
          <cell r="G2302" t="str">
            <v>New Main Extensions (S)</v>
          </cell>
          <cell r="H2302" t="str">
            <v>704 Luck St Lay 160'-2in PE main ex</v>
          </cell>
          <cell r="I2302" t="str">
            <v>posted to CPR</v>
          </cell>
          <cell r="J2302" t="str">
            <v>704 Luck St Lay 160'-2in PE main ext: Fayette: 704 Lucky St Fayette School District Main</v>
          </cell>
          <cell r="K2302" t="str">
            <v>Approved by: Ralph Janes on 07/25/2013,  Main Extension: 160' of 2in PE main to serve exisitng customer Fayette School District at 704 Lucky St (premise 63806) in Fayette. Tie into existing 4in PE main on wo# 01-3781. Pressure system is S-005 with a MOP of 15 psig and MAOP of 16 psig. Also, retire 17' of 2in coated steel service line on BWO 05-8328, and install a 1-1/4in PE Ball Valve on 100' of 1-1/4in PE service line with a 2in x 1-1/4in PE Reducer, 2in flanged riser, 2in Balon ball valve, and a 48in meter spread on a BWO for an 5M Rotary meter set to be built on wo# 13-2730. Main extension to be completed on wo# 13-2729. Main extension is necessary due to a proposed addition on the exisitng building interfering with existing yard lines. Meter set will be moved as well which will complete a 20 year slrp.</v>
          </cell>
          <cell r="L2302">
            <v>41495</v>
          </cell>
          <cell r="M2302">
            <v>41729</v>
          </cell>
          <cell r="N2302">
            <v>41733.309965277796</v>
          </cell>
          <cell r="O2302">
            <v>41730</v>
          </cell>
          <cell r="P2302" t="str">
            <v>0317-040001  HOWARD CTY/FAYETTE</v>
          </cell>
          <cell r="Q2302">
            <v>3993.15</v>
          </cell>
          <cell r="R2302">
            <v>492</v>
          </cell>
        </row>
        <row r="2303">
          <cell r="A2303" t="str">
            <v>008905</v>
          </cell>
          <cell r="B2303" t="str">
            <v>LDC 2</v>
          </cell>
          <cell r="D2303" t="str">
            <v>yes</v>
          </cell>
          <cell r="E2303" t="str">
            <v>20932155371</v>
          </cell>
          <cell r="F2303" t="str">
            <v>F0578</v>
          </cell>
          <cell r="G2303" t="str">
            <v>Street &amp; Highway Relocates ISRS (S)</v>
          </cell>
          <cell r="H2303" t="str">
            <v>4in PCS Replacement- Johnston D</v>
          </cell>
          <cell r="I2303" t="str">
            <v>posted to CPR</v>
          </cell>
          <cell r="J2303" t="str">
            <v>4in PCS Replacement- Johnston Dr.: Raymore: Relocate for Street &amp; Highway-Public Improvements (44-388)</v>
          </cell>
          <cell r="K2303" t="str">
            <v>Approved by: Kevin Driskell on 07/06/2015,  This Work Order is necessary to relocate 4" PCS main to avoid a Public Works Project.  Install 33' of 4" PCS.  Abandon 25' of 4" PCS.</v>
          </cell>
          <cell r="L2303">
            <v>42003</v>
          </cell>
          <cell r="M2303">
            <v>42370</v>
          </cell>
          <cell r="N2303">
            <v>42496.560798611099</v>
          </cell>
          <cell r="P2303" t="str">
            <v>0932-016022  CASS CTY/RAYMORE</v>
          </cell>
          <cell r="Q2303">
            <v>3687.12</v>
          </cell>
          <cell r="R2303">
            <v>-16</v>
          </cell>
        </row>
        <row r="2304">
          <cell r="A2304" t="str">
            <v>010793</v>
          </cell>
          <cell r="B2304" t="str">
            <v>LDC 2</v>
          </cell>
          <cell r="D2304" t="str">
            <v>no</v>
          </cell>
          <cell r="F2304" t="str">
            <v>F1071</v>
          </cell>
          <cell r="G2304" t="str">
            <v>MGE Misc Capital</v>
          </cell>
          <cell r="H2304" t="str">
            <v>Neosho- Ice Maker</v>
          </cell>
          <cell r="I2304" t="str">
            <v>in service</v>
          </cell>
          <cell r="J2304" t="str">
            <v>Hoshizaki Model# KM-260BAH ice maker with bin, self contained condesener, front opening bin, stainless steel exterior. Includes water filtration system, &amp;  installation.</v>
          </cell>
          <cell r="L2304">
            <v>42490</v>
          </cell>
          <cell r="O2304">
            <v>42522</v>
          </cell>
          <cell r="P2304" t="str">
            <v>0806-066010  NEWTON CTY/NEOSHO</v>
          </cell>
          <cell r="Q2304">
            <v>3147.17</v>
          </cell>
          <cell r="R2304">
            <v>2936</v>
          </cell>
        </row>
        <row r="2305">
          <cell r="A2305" t="str">
            <v>800612</v>
          </cell>
          <cell r="B2305" t="str">
            <v>LDC 2</v>
          </cell>
          <cell r="C2305" t="str">
            <v>03 - Bare Steel Replacement</v>
          </cell>
          <cell r="D2305" t="str">
            <v>yes</v>
          </cell>
          <cell r="F2305" t="str">
            <v>F0572</v>
          </cell>
          <cell r="G2305" t="str">
            <v>Main Replacement - ISRS (SW)</v>
          </cell>
          <cell r="H2305" t="str">
            <v>Repl w 4060F 2-4P Marionville Ph E</v>
          </cell>
          <cell r="I2305" t="str">
            <v>open</v>
          </cell>
          <cell r="J2305" t="str">
            <v>Install 3760 Ft of 2in PL and 300 Ft of 4in. Abandon 344 Ft of 1.25in ST, 388 Ft of 2in PL, 2878 Ft of 2in ST, and 313 Ft of 4in ST in Marionville, MO. This main is being replaced as part of FY16 Bare Steel Replacement Program</v>
          </cell>
          <cell r="P2305" t="str">
            <v>0810-050015  LAWRENCE CTY/MARIONVILLE</v>
          </cell>
          <cell r="Q2305">
            <v>0</v>
          </cell>
          <cell r="R2305">
            <v>3923</v>
          </cell>
        </row>
        <row r="2306">
          <cell r="A2306" t="str">
            <v>008730</v>
          </cell>
          <cell r="B2306" t="str">
            <v>LDC 2</v>
          </cell>
          <cell r="D2306" t="str">
            <v>no</v>
          </cell>
          <cell r="E2306" t="str">
            <v>20932155224</v>
          </cell>
          <cell r="F2306" t="str">
            <v>F0676</v>
          </cell>
          <cell r="G2306" t="str">
            <v>Meter &amp; regulator settings - 2" &amp; l</v>
          </cell>
          <cell r="H2306" t="str">
            <v>Benton House of Raymore 3M Meter Se</v>
          </cell>
          <cell r="I2306" t="str">
            <v>posted to CPR</v>
          </cell>
          <cell r="J2306" t="str">
            <v>Benton House of Raymore 3M Meter Set: Raymore: New Meter &amp; Reg Settings - 2&amp;quot; &amp; Larger 3820/3830 (33-382)</v>
          </cell>
          <cell r="K2306" t="str">
            <v>Approved by: Kevin Driskell on 04/02/2015,  Install a 3M Rotary meter setting to serve one new commercial customer.  Note:  Main extension of 915' - 6" pe and 1,395' - 2" peto be installed on work order 15-5223  (Note:  2,160' - 2" pe is minimum to serve (estimated cost = $19,469.98)- larger main is for MGE benefit as Dean Aveneu will eventually give us a much needed connection to the mains south of Lucy Webb Road where our pressure drops from 50 psig to 10 psig during cold weather). 430' - 1-1/4" pe service line to be installed on BWO.</v>
          </cell>
          <cell r="L2306">
            <v>42268</v>
          </cell>
          <cell r="M2306">
            <v>42308</v>
          </cell>
          <cell r="N2306">
            <v>42314.376458333303</v>
          </cell>
          <cell r="O2306">
            <v>42248</v>
          </cell>
          <cell r="P2306" t="str">
            <v>0932-016022  CASS CTY/RAYMORE</v>
          </cell>
          <cell r="Q2306">
            <v>3690.07</v>
          </cell>
          <cell r="R2306">
            <v>-25.5</v>
          </cell>
        </row>
        <row r="2307">
          <cell r="A2307" t="str">
            <v>800069</v>
          </cell>
          <cell r="B2307" t="str">
            <v>LDC 2</v>
          </cell>
          <cell r="C2307" t="str">
            <v>03 - Bare Steel Replacement</v>
          </cell>
          <cell r="D2307" t="str">
            <v>yes</v>
          </cell>
          <cell r="F2307" t="str">
            <v>F0604</v>
          </cell>
          <cell r="G2307" t="str">
            <v>Main Replacement - ISRS (S)</v>
          </cell>
          <cell r="H2307" t="str">
            <v>Tipton Grid Phase C - Bare steel re</v>
          </cell>
          <cell r="I2307" t="str">
            <v>in service</v>
          </cell>
          <cell r="J2307" t="str">
            <v>Install 4529 Ft of 2 in PL and 2863 Ft of 4 in PL MP Main for Tipton Phase C. Abandon 2168 Ft of 2 in and 74 Ft of 4 in PCS (Majority poorly coated), 4819 Ft of 2 in PBS and 138 Ft of 3 in PBS MP Main.</v>
          </cell>
          <cell r="K2307" t="str">
            <v>Total services are 79. FY 2016 Bare Steel Replacement Program</v>
          </cell>
          <cell r="L2307">
            <v>42669</v>
          </cell>
          <cell r="O2307">
            <v>42644</v>
          </cell>
          <cell r="P2307" t="str">
            <v>0318-062001  MONITEAU CTY/TIPTON</v>
          </cell>
          <cell r="Q2307">
            <v>377819.87</v>
          </cell>
          <cell r="R2307">
            <v>-8977.8366999999998</v>
          </cell>
        </row>
        <row r="2308">
          <cell r="A2308" t="str">
            <v>800574</v>
          </cell>
          <cell r="B2308" t="str">
            <v>LDC 2</v>
          </cell>
          <cell r="C2308" t="str">
            <v>09 - Facility Relocation due to Civic Improvement</v>
          </cell>
          <cell r="D2308" t="str">
            <v>yes</v>
          </cell>
          <cell r="F2308" t="str">
            <v>F0578</v>
          </cell>
          <cell r="G2308" t="str">
            <v>Street &amp; Highway Relocates ISRS (S)</v>
          </cell>
          <cell r="H2308" t="str">
            <v>Rel w/ 160F 8S Feeder Main</v>
          </cell>
          <cell r="I2308" t="str">
            <v>completed</v>
          </cell>
          <cell r="J2308" t="str">
            <v>Install 160' - 8" Coated Steel main and abandon 150' - 8" coated steel main to allow City to build road - main is in existing right-of-way.</v>
          </cell>
          <cell r="L2308">
            <v>42551</v>
          </cell>
          <cell r="M2308">
            <v>42704</v>
          </cell>
          <cell r="O2308">
            <v>42522</v>
          </cell>
          <cell r="P2308" t="str">
            <v>0904-043030  JACKSON CTY/GRANDVIEW</v>
          </cell>
          <cell r="Q2308">
            <v>48593.440000000002</v>
          </cell>
          <cell r="R2308">
            <v>-47</v>
          </cell>
        </row>
        <row r="2309">
          <cell r="A2309" t="str">
            <v>004433</v>
          </cell>
          <cell r="B2309" t="str">
            <v>LDC 2</v>
          </cell>
          <cell r="D2309" t="str">
            <v>yes</v>
          </cell>
          <cell r="E2309" t="str">
            <v>20906133149</v>
          </cell>
          <cell r="F2309" t="str">
            <v>F0580</v>
          </cell>
          <cell r="G2309" t="str">
            <v>Replace steel &amp; plastic main</v>
          </cell>
          <cell r="H2309" t="str">
            <v>Oakland &amp; 165th Abandon 4in PE main</v>
          </cell>
          <cell r="I2309" t="str">
            <v>posted to CPR</v>
          </cell>
          <cell r="J2309" t="str">
            <v>Oakland &amp; 165th Abandon 4in PE main : Belton: Oakland and 165th</v>
          </cell>
          <cell r="K2309" t="str">
            <v>Approved by: Ralph Janes on 11/13/2013,  Abandon 15' of 4in PE main (WO# 06-9559) on dead end street. In 2006 the developer hoped to purchase the land to the south of his development and was unable to. The landowner is now putting up a new fence and discovered that the dead end 4in PE main is on his private property.</v>
          </cell>
          <cell r="L2309">
            <v>41597</v>
          </cell>
          <cell r="M2309">
            <v>41653</v>
          </cell>
          <cell r="N2309">
            <v>41654.604120370401</v>
          </cell>
          <cell r="P2309" t="str">
            <v>0906-016001  CASS CTY/BELTON W OF MULLIN RD</v>
          </cell>
          <cell r="Q2309">
            <v>1244.68</v>
          </cell>
          <cell r="R2309">
            <v>46</v>
          </cell>
        </row>
        <row r="2310">
          <cell r="A2310" t="str">
            <v>007786</v>
          </cell>
          <cell r="B2310" t="str">
            <v>LDC 2</v>
          </cell>
          <cell r="D2310" t="str">
            <v>no</v>
          </cell>
          <cell r="E2310" t="str">
            <v>20908155202</v>
          </cell>
          <cell r="F2310" t="str">
            <v>F0482</v>
          </cell>
          <cell r="G2310" t="str">
            <v>BWO House Regulators 2'' &amp; Sm (S)</v>
          </cell>
          <cell r="H2310" t="str">
            <v>Rebuild 3M Rotary Meter Set</v>
          </cell>
          <cell r="I2310" t="str">
            <v>posted to CPR</v>
          </cell>
          <cell r="J2310" t="str">
            <v>Rebuild 3M Rotary Meter Set: Harrisonville: Replace Meter &amp; Reg 2&amp;quot; &amp;  Larger - 3820/3830 (32-404)</v>
          </cell>
          <cell r="K2310" t="str">
            <v>Approved by: Kevin Driskell on 03/09/2015,  The RK 3000 meter at 1811 E Mechanic Street, premise #375910, meter #00028806 (installed on WO# 664406), is due for change out on the 2015 Time Limit Program.  Existing load: 2,700 cfh.  Rebuild a 3M rotary meter setting and retire the existing meter.</v>
          </cell>
          <cell r="L2310">
            <v>42128</v>
          </cell>
          <cell r="M2310">
            <v>42155</v>
          </cell>
          <cell r="N2310">
            <v>42160.554201388899</v>
          </cell>
          <cell r="O2310">
            <v>42125</v>
          </cell>
          <cell r="P2310" t="str">
            <v>0908-016007  CASS CTY/HARRISONVILLE N</v>
          </cell>
          <cell r="Q2310">
            <v>855.76</v>
          </cell>
          <cell r="R2310">
            <v>-6.5</v>
          </cell>
        </row>
        <row r="2311">
          <cell r="A2311" t="str">
            <v>800089</v>
          </cell>
          <cell r="B2311" t="str">
            <v>LDC 2</v>
          </cell>
          <cell r="C2311" t="str">
            <v>03 - Bare Steel Replacement</v>
          </cell>
          <cell r="D2311" t="str">
            <v>yes</v>
          </cell>
          <cell r="F2311" t="str">
            <v>F0604</v>
          </cell>
          <cell r="G2311" t="str">
            <v>Main Replacement - ISRS (S)</v>
          </cell>
          <cell r="H2311" t="str">
            <v>Holden Grid Phase 2C</v>
          </cell>
          <cell r="I2311" t="str">
            <v>in service</v>
          </cell>
          <cell r="J2311" t="str">
            <v>Install 6230 Ft of 4 in and 920 Ft of 2 in PL IP main for Holden Phase 2C. Abandon 1317 Ft of 2 in PBS at above location. Total Services is 43. Main is being abandoned as part of the FY16 Bare Steel Replacement Program.</v>
          </cell>
          <cell r="L2311">
            <v>42669</v>
          </cell>
          <cell r="O2311">
            <v>42644</v>
          </cell>
          <cell r="P2311" t="str">
            <v>0910-046008  JOHNSON CTY/HOLDEN</v>
          </cell>
          <cell r="Q2311">
            <v>455189.63</v>
          </cell>
          <cell r="R2311">
            <v>-16114</v>
          </cell>
        </row>
        <row r="2312">
          <cell r="A2312" t="str">
            <v>800311</v>
          </cell>
          <cell r="B2312" t="str">
            <v>LDC 2</v>
          </cell>
          <cell r="D2312" t="str">
            <v>no</v>
          </cell>
          <cell r="F2312" t="str">
            <v>F0523</v>
          </cell>
          <cell r="G2312" t="str">
            <v>New Main Extensions (SW)</v>
          </cell>
          <cell r="H2312" t="str">
            <v>Inst 100F 2P Nelson Ave NB</v>
          </cell>
          <cell r="I2312" t="str">
            <v>in service</v>
          </cell>
          <cell r="J2312" t="str">
            <v>Main Extension - Install 100' of 2" IP PL to serve City of Neosho Generator in Neosho, Missouri. System: S-0003 MAOP: 30 MOP: 30 Div: 08 Twn: 24 Sector: A1213 - MGE Crew to be used
Cost - $2,585.28  $25.85/ft</v>
          </cell>
          <cell r="L2312">
            <v>42570</v>
          </cell>
          <cell r="O2312">
            <v>42614</v>
          </cell>
          <cell r="P2312" t="str">
            <v>0824-066011  NEWTON CTY/NEOSHO TWP</v>
          </cell>
          <cell r="Q2312">
            <v>451.46</v>
          </cell>
          <cell r="R2312">
            <v>-245</v>
          </cell>
        </row>
        <row r="2313">
          <cell r="A2313" t="str">
            <v>009834</v>
          </cell>
          <cell r="B2313" t="str">
            <v>LDC 2</v>
          </cell>
          <cell r="D2313" t="str">
            <v>no</v>
          </cell>
          <cell r="F2313" t="str">
            <v>F1172</v>
          </cell>
          <cell r="G2313" t="str">
            <v>Right-Of-Way - MGE</v>
          </cell>
          <cell r="H2313" t="str">
            <v>BWO-Right of Way-MGE South Region</v>
          </cell>
          <cell r="I2313" t="str">
            <v>open</v>
          </cell>
          <cell r="J2313" t="str">
            <v>BWO-Right of Way-MGE South Region</v>
          </cell>
          <cell r="K2313" t="str">
            <v>Requested per Tod Fagan 11-25-15</v>
          </cell>
          <cell r="O2313">
            <v>42430</v>
          </cell>
          <cell r="P2313" t="str">
            <v>0901-043021  JACKSON CTY/LEE'S SUMMIT OFFIC</v>
          </cell>
          <cell r="Q2313">
            <v>27960.03</v>
          </cell>
          <cell r="R2313">
            <v>0</v>
          </cell>
        </row>
        <row r="2314">
          <cell r="A2314" t="str">
            <v>007653</v>
          </cell>
          <cell r="B2314" t="str">
            <v>LDC 2</v>
          </cell>
          <cell r="D2314" t="str">
            <v>no</v>
          </cell>
          <cell r="E2314" t="str">
            <v>20901155126</v>
          </cell>
          <cell r="F2314" t="str">
            <v>F0507</v>
          </cell>
          <cell r="G2314" t="str">
            <v>Rebuild Meter Install 2'' &amp; Lg (S)</v>
          </cell>
          <cell r="H2314" t="str">
            <v>Remove 1.5M Rotary Meter</v>
          </cell>
          <cell r="I2314" t="str">
            <v>posted to CPR</v>
          </cell>
          <cell r="J2314" t="str">
            <v>Remove 1.5M Rotary Meter: Lees Summit: Replace Meter &amp; Reg 2&amp;quot; &amp;  Larger - 3820/3830 (32-404)</v>
          </cell>
          <cell r="K2314" t="str">
            <v>Approved by: Kevin Driskell on 02/11/2015,  Remove and dismantle the 1.5M rotary meter setting (meter# 00281843, installed on unknown WO) at BHA Altair - 417 SE Thompson Dr due to them connect the equipment on this meter to the new 23M rotary meter installed on WO# 143535.</v>
          </cell>
          <cell r="L2314">
            <v>42053</v>
          </cell>
          <cell r="M2314">
            <v>42094</v>
          </cell>
          <cell r="N2314">
            <v>42193.495462963001</v>
          </cell>
          <cell r="O2314">
            <v>42156</v>
          </cell>
          <cell r="P2314" t="str">
            <v>0901-043021  JACKSON CTY/LEE'S SUMMIT OFFIC</v>
          </cell>
          <cell r="Q2314">
            <v>106.71</v>
          </cell>
          <cell r="R2314">
            <v>2.5</v>
          </cell>
        </row>
        <row r="2315">
          <cell r="A2315" t="str">
            <v>005698</v>
          </cell>
          <cell r="B2315" t="str">
            <v>LDC 2</v>
          </cell>
          <cell r="D2315" t="str">
            <v>no</v>
          </cell>
          <cell r="F2315" t="str">
            <v>F0495</v>
          </cell>
          <cell r="G2315" t="str">
            <v>General structures</v>
          </cell>
          <cell r="H2315" t="str">
            <v>Security Cameras - Lee's Summit</v>
          </cell>
          <cell r="I2315" t="str">
            <v>posted to CPR</v>
          </cell>
          <cell r="J2315" t="str">
            <v>Install Genetec 4TB Archiver System</v>
          </cell>
          <cell r="K2315" t="str">
            <v>Complete per Al Moore 9-18-14 - AMM</v>
          </cell>
          <cell r="L2315">
            <v>41897</v>
          </cell>
          <cell r="M2315">
            <v>42156</v>
          </cell>
          <cell r="N2315">
            <v>42223.566030092603</v>
          </cell>
          <cell r="O2315">
            <v>41883</v>
          </cell>
          <cell r="P2315" t="str">
            <v>0901-043021  JACKSON CTY/LEE'S SUMMIT OFFIC</v>
          </cell>
          <cell r="Q2315">
            <v>16591.46</v>
          </cell>
          <cell r="R2315">
            <v>13103</v>
          </cell>
        </row>
        <row r="2316">
          <cell r="A2316" t="str">
            <v>004437</v>
          </cell>
          <cell r="B2316" t="str">
            <v>LDC 2</v>
          </cell>
          <cell r="D2316" t="str">
            <v>no</v>
          </cell>
          <cell r="E2316" t="str">
            <v>20901132691</v>
          </cell>
          <cell r="F2316" t="str">
            <v>F0507</v>
          </cell>
          <cell r="G2316" t="str">
            <v>Rebuild Meter Install 2'' &amp; Lg (S)</v>
          </cell>
          <cell r="H2316" t="str">
            <v>Volkswagen Dealership 5M Mtr 2225 N</v>
          </cell>
          <cell r="I2316" t="str">
            <v>posted to CPR</v>
          </cell>
          <cell r="J2316" t="str">
            <v>Volkswagen Dealership 5M Mtr 2225 NE Indep Ave: Lees Summit: 2225 NE Independence Ave.</v>
          </cell>
          <cell r="K2316" t="str">
            <v>Approved by: Ralph Janes on 07/25/2013,  Build a 5M Rotary meter set at the building for new commercial customer Volkswagen Dealership. Volkswagen Dealership will be located at existing premise 600011313. Existing load is 1194 CFH with a Rockwell 750. Rockwell 750 (meter# 02201894) to be removed and replaced with 5M Rotary meter. Volkswagen is adding a load of 3095 CFH yielding a total load of 4289 CFH. Elevated pressure of 2 psig has been requested.</v>
          </cell>
          <cell r="L2316">
            <v>41929</v>
          </cell>
          <cell r="M2316">
            <v>41973</v>
          </cell>
          <cell r="N2316">
            <v>41978.437986111101</v>
          </cell>
          <cell r="O2316">
            <v>41913</v>
          </cell>
          <cell r="P2316" t="str">
            <v>0901-043021  JACKSON CTY/LEE'S SUMMIT OFFIC</v>
          </cell>
          <cell r="Q2316">
            <v>2018.87</v>
          </cell>
          <cell r="R2316">
            <v>-51</v>
          </cell>
        </row>
        <row r="2317">
          <cell r="A2317" t="str">
            <v>004284</v>
          </cell>
          <cell r="B2317" t="str">
            <v>LDC 2</v>
          </cell>
          <cell r="D2317" t="str">
            <v>no</v>
          </cell>
          <cell r="E2317" t="str">
            <v>20901050300</v>
          </cell>
          <cell r="F2317" t="str">
            <v>F0550</v>
          </cell>
          <cell r="G2317" t="str">
            <v>BWO New Service Line Install (S)</v>
          </cell>
          <cell r="H2317" t="str">
            <v>BWO-New Svc-Plastic (South Reg)</v>
          </cell>
          <cell r="I2317" t="str">
            <v>open</v>
          </cell>
          <cell r="J2317" t="str">
            <v>BWO-New Services-Plastic (South Region)</v>
          </cell>
          <cell r="K2317" t="str">
            <v>Project Type:B</v>
          </cell>
          <cell r="O2317">
            <v>41730</v>
          </cell>
          <cell r="P2317" t="str">
            <v>0901-043021  JACKSON CTY/LEE'S SUMMIT OFFIC</v>
          </cell>
          <cell r="Q2317">
            <v>9416631</v>
          </cell>
          <cell r="R2317">
            <v>121396.7267</v>
          </cell>
        </row>
        <row r="2318">
          <cell r="A2318" t="str">
            <v>004012</v>
          </cell>
          <cell r="B2318" t="str">
            <v>LDC 2</v>
          </cell>
          <cell r="D2318" t="str">
            <v>no</v>
          </cell>
          <cell r="E2318" t="str">
            <v>21251133192</v>
          </cell>
          <cell r="F2318" t="str">
            <v>F0658</v>
          </cell>
          <cell r="G2318" t="str">
            <v>Services -  2" &amp; larger</v>
          </cell>
          <cell r="H2318" t="str">
            <v>KCI LOGISTICS II-2IN SERVICE LINE</v>
          </cell>
          <cell r="I2318" t="str">
            <v>posted to CPR</v>
          </cell>
          <cell r="J2318" t="str">
            <v>KCI LOGISTICS II-2IN SERVICE LINE: Kansas City-Platte Co: 10501 NW TRANSCON DR</v>
          </cell>
          <cell r="K2318" t="str">
            <v>Approved by: Kevin Driskell on 12/05/2013,  Laying 450ft-2in pe service line to service 1 commercial building. Tie-in 4in pe main (WO#11-7690). ECONOMIC EVALUATION WILL COVER COST OF PROJECT.</v>
          </cell>
          <cell r="L2318">
            <v>41719</v>
          </cell>
          <cell r="M2318">
            <v>41882</v>
          </cell>
          <cell r="N2318">
            <v>41914.651111111103</v>
          </cell>
          <cell r="O2318">
            <v>41730</v>
          </cell>
          <cell r="P2318" t="str">
            <v>1251-075010  PLATTE CTY/KANSAS CITY NORTH</v>
          </cell>
          <cell r="Q2318">
            <v>6526.71</v>
          </cell>
          <cell r="R2318">
            <v>1180</v>
          </cell>
        </row>
        <row r="2319">
          <cell r="A2319" t="str">
            <v>004183</v>
          </cell>
          <cell r="B2319" t="str">
            <v>LDC 2</v>
          </cell>
          <cell r="D2319" t="str">
            <v>no</v>
          </cell>
          <cell r="E2319" t="str">
            <v>21251121974</v>
          </cell>
          <cell r="F2319" t="str">
            <v>F0660</v>
          </cell>
          <cell r="G2319" t="str">
            <v>Meter &amp; Reg Settings 2" &amp; Lg (N)</v>
          </cell>
          <cell r="H2319" t="str">
            <v>Senior Star at wexford 5M METER</v>
          </cell>
          <cell r="I2319" t="str">
            <v>posted to CPR</v>
          </cell>
          <cell r="J2319" t="str">
            <v>Senior Star at wexford 5M METER: Kansas City-Platte Co: 5900 NW 64th Terr</v>
          </cell>
          <cell r="K2319" t="str">
            <v>Approved by: Mike Fornelli on 12/03/2012,  This work is necessary to install a 5M Roots meter to serve one new commercial customer. We'll set a 2in CL-34-2 regulator( 3/8in orifice) at 2psig with a 1in 289H relief set at 3psig for a connected load of 5682cfh.</v>
          </cell>
          <cell r="L2319">
            <v>41572</v>
          </cell>
          <cell r="M2319">
            <v>41626</v>
          </cell>
          <cell r="N2319">
            <v>41630.722187500003</v>
          </cell>
          <cell r="P2319" t="str">
            <v>1251-075013  PLATTE CTY/KANSAS CITY NORTH</v>
          </cell>
          <cell r="Q2319">
            <v>1539.53</v>
          </cell>
          <cell r="R2319">
            <v>60</v>
          </cell>
        </row>
        <row r="2320">
          <cell r="A2320" t="str">
            <v>004543</v>
          </cell>
          <cell r="B2320" t="str">
            <v>LDC 2</v>
          </cell>
          <cell r="D2320" t="str">
            <v>no</v>
          </cell>
          <cell r="E2320" t="str">
            <v>21258132647</v>
          </cell>
          <cell r="F2320" t="str">
            <v>F0610</v>
          </cell>
          <cell r="G2320" t="str">
            <v>New business</v>
          </cell>
          <cell r="H2320" t="str">
            <v>YANFENG USA/TRIM Lay 1191'-4in PE m</v>
          </cell>
          <cell r="I2320" t="str">
            <v>posted to CPR</v>
          </cell>
          <cell r="J2320" t="str">
            <v>YANFENG USA/TRIM Lay 1191'-4in PE main: Riverside: 4110 NW 41ST ST</v>
          </cell>
          <cell r="K2320" t="str">
            <v>Approved by: Gary Williams on 09/25/2013,  LAY 1,191'-4in PLEXCO TO SERVE COMMERCIAL BUILDING.  TIE-INTO EXIST. 4" PE-(11-7394). ONE WAY FEED. CONTACT PATRICIA KOEB 2 WEEKS PRIOR TO STARTING PROJECT; FOR SCHEDULING SURVEY &amp; STAKE OF 10' UTILITY EASEMENT.  (2) 4" PE CAPS INCLUDED FOR AIR TESTING OF PIPE. COST PER FOOT=$24.66</v>
          </cell>
          <cell r="L2320">
            <v>41591</v>
          </cell>
          <cell r="M2320">
            <v>41670</v>
          </cell>
          <cell r="N2320">
            <v>41710.614594907398</v>
          </cell>
          <cell r="O2320">
            <v>41730</v>
          </cell>
          <cell r="P2320" t="str">
            <v>1258-075017  PLATTE CTY/RIVERSIDE</v>
          </cell>
          <cell r="Q2320">
            <v>22574.42</v>
          </cell>
          <cell r="R2320">
            <v>2733</v>
          </cell>
        </row>
        <row r="2321">
          <cell r="A2321" t="str">
            <v>004267</v>
          </cell>
          <cell r="B2321" t="str">
            <v>LDC 2</v>
          </cell>
          <cell r="D2321" t="str">
            <v>yes</v>
          </cell>
          <cell r="E2321" t="str">
            <v>21258143346</v>
          </cell>
          <cell r="F2321" t="str">
            <v>F0665</v>
          </cell>
          <cell r="G2321" t="str">
            <v>Replace steel &amp; plastic main</v>
          </cell>
          <cell r="H2321" t="str">
            <v>4800 NW Homestead Repl 4'-2IN PE</v>
          </cell>
          <cell r="I2321" t="str">
            <v>posted to CPR</v>
          </cell>
          <cell r="J2321" t="str">
            <v>4800 NW Homestead Repl 4'-2IN PE: Riverside: 4800 NW HOMESTEAD RD</v>
          </cell>
          <cell r="K2321" t="str">
            <v>Approved by: Kevin Driskell on 02/20/2014,  RELOCATE 4'-2" PLEXCO DUE TO WATER DEPARTMENT SHUTTING OFF BALL VALVE IN ERROR.  MGE DIDN'T WANT WATER DEPARTMENT TO ACCIDENTALLY DO THIS AGAIN; SO REMOVED 3-WAY TEE &amp; BALL VALVE.  ABANDONED 3'-2" PE (98-8159).</v>
          </cell>
          <cell r="L2321">
            <v>41558</v>
          </cell>
          <cell r="M2321">
            <v>41729</v>
          </cell>
          <cell r="N2321">
            <v>41733.495613425897</v>
          </cell>
          <cell r="O2321">
            <v>41730</v>
          </cell>
          <cell r="P2321" t="str">
            <v>1258-075017  PLATTE CTY/RIVERSIDE</v>
          </cell>
          <cell r="Q2321">
            <v>3114.29</v>
          </cell>
          <cell r="R2321">
            <v>577</v>
          </cell>
        </row>
        <row r="2322">
          <cell r="A2322" t="str">
            <v>800348</v>
          </cell>
          <cell r="B2322" t="str">
            <v>LDC 2</v>
          </cell>
          <cell r="C2322" t="str">
            <v>03 - Bare Steel Replacement</v>
          </cell>
          <cell r="D2322" t="str">
            <v>yes</v>
          </cell>
          <cell r="F2322" t="str">
            <v>F0599</v>
          </cell>
          <cell r="G2322" t="str">
            <v>Main Replacement - ISRS (N)</v>
          </cell>
          <cell r="H2322" t="str">
            <v>Repl w 4181F 2P St Joe Sth Phase 3A</v>
          </cell>
          <cell r="I2322" t="str">
            <v>open</v>
          </cell>
          <cell r="J2322" t="str">
            <v>Install 4181 Ft of 2 in PL MP main on 1st St, 2nd St, Tucker St, and Walter Ln.</v>
          </cell>
          <cell r="K2322" t="str">
            <v>Abandon 82 Ft of 2 in PL LP main, 395 Ft of 4 in PL LP main, 2678 Ft of 2 in ST LP main, 26 Ft of 2 in ST MP main, and 901 Ft of 4 in ST LP main at the above locations.  Uprate 1117 Ft of 2 in PL LP main on Tucker St.  Total Service Tie-over = 26; Total Service Abandoned = 1; Total Service Replace = 0; Total Service Upgrade = 13.  This main is being replaced as part of FY16 Bare Steel Replacement Program</v>
          </cell>
          <cell r="P2322" t="str">
            <v>1001-010001  ST. JOSEPH CITY/BUCHANAN</v>
          </cell>
          <cell r="Q2322">
            <v>0</v>
          </cell>
          <cell r="R2322">
            <v>4082</v>
          </cell>
        </row>
        <row r="2323">
          <cell r="A2323" t="str">
            <v>011015</v>
          </cell>
          <cell r="B2323" t="str">
            <v>LDC 2</v>
          </cell>
          <cell r="D2323" t="str">
            <v>no</v>
          </cell>
          <cell r="F2323" t="str">
            <v>F0639</v>
          </cell>
          <cell r="G2323" t="str">
            <v>EGM Equip-1st Time Installation</v>
          </cell>
          <cell r="H2323" t="str">
            <v>EGM-Boehringer Ingelheim Animal Hos</v>
          </cell>
          <cell r="I2323" t="str">
            <v>open</v>
          </cell>
          <cell r="J2323" t="str">
            <v>EGM Equipment - Mini AT- PT Corrector for Boehringer Ingelheim Animal Hospital at 2621 N Belt HWY to monitor gas usage for this transportation customer.  Customer will reimburse company actual cost for EGM installation not to exceed $5,445.</v>
          </cell>
          <cell r="K2323" t="str">
            <v>Requested by Matt Taylor  meter no 000613879</v>
          </cell>
          <cell r="P2323" t="str">
            <v>1001-010001  ST. JOSEPH CITY/BUCHANAN</v>
          </cell>
          <cell r="Q2323">
            <v>2496.92</v>
          </cell>
          <cell r="R2323">
            <v>9</v>
          </cell>
        </row>
        <row r="2324">
          <cell r="A2324" t="str">
            <v>006791</v>
          </cell>
          <cell r="B2324" t="str">
            <v>LDC 2</v>
          </cell>
          <cell r="D2324" t="str">
            <v>no</v>
          </cell>
          <cell r="E2324" t="str">
            <v>21001143914</v>
          </cell>
          <cell r="F2324" t="str">
            <v>F0483</v>
          </cell>
          <cell r="G2324" t="str">
            <v>Meter &amp; regulator settings - 2" &amp; l</v>
          </cell>
          <cell r="H2324" t="str">
            <v>The Big Biscuit Inst 3M Meter</v>
          </cell>
          <cell r="I2324" t="str">
            <v>in service</v>
          </cell>
          <cell r="J2324" t="str">
            <v>The Big Biscuit: St Joseph: New Meter &amp; Reg Settings - 2in &amp; Larger 3820/3830 (33-382)</v>
          </cell>
          <cell r="K2324" t="str">
            <v>Approved by: Gary Williams on 11/03/2014,  This work is to install a 3m Rotary meter pre fab meter set due to a new commerical customer. The total load is 1770 cfh with elevated delivery pressure of 2 psig.
We will set a Cl-34-2 reg set at 2# with a relief set at 3 psig.</v>
          </cell>
          <cell r="L2324">
            <v>41958</v>
          </cell>
          <cell r="O2324">
            <v>42614</v>
          </cell>
          <cell r="P2324" t="str">
            <v>1001-010001  ST. JOSEPH CITY/BUCHANAN</v>
          </cell>
          <cell r="Q2324">
            <v>552.57000000000005</v>
          </cell>
          <cell r="R2324">
            <v>16</v>
          </cell>
        </row>
        <row r="2325">
          <cell r="A2325" t="str">
            <v>800189</v>
          </cell>
          <cell r="B2325" t="str">
            <v>LDC 2</v>
          </cell>
          <cell r="C2325" t="str">
            <v>09 - Facility Relocation due to Civic Improvement</v>
          </cell>
          <cell r="D2325" t="str">
            <v>yes</v>
          </cell>
          <cell r="F2325" t="str">
            <v>F0578</v>
          </cell>
          <cell r="G2325" t="str">
            <v>Street &amp; Highway Relocates ISRS (S)</v>
          </cell>
          <cell r="H2325" t="str">
            <v>Rel w/ 2515F 4P Tudor Rd Ph2</v>
          </cell>
          <cell r="I2325" t="str">
            <v>in service</v>
          </cell>
          <cell r="J2325" t="str">
            <v>Relocate and abandon 2,250' - 2PE Main (2001), 22' - 4PE Main (1986) and 167' 4PE Main by installing 2,515' 4PE Main to allow the City to widen Tudor Road and install new storm structures.</v>
          </cell>
          <cell r="L2325">
            <v>42712</v>
          </cell>
          <cell r="O2325">
            <v>42705</v>
          </cell>
          <cell r="P2325" t="str">
            <v>0901-043021  JACKSON CTY/LEE'S SUMMIT OFFIC</v>
          </cell>
          <cell r="Q2325">
            <v>123353.33</v>
          </cell>
          <cell r="R2325">
            <v>-423.25</v>
          </cell>
        </row>
        <row r="2326">
          <cell r="A2326" t="str">
            <v>800198</v>
          </cell>
          <cell r="B2326" t="str">
            <v>LDC 2</v>
          </cell>
          <cell r="D2326" t="str">
            <v>no</v>
          </cell>
          <cell r="F2326" t="str">
            <v>F0647</v>
          </cell>
          <cell r="G2326" t="str">
            <v>New Main Extensions (N)</v>
          </cell>
          <cell r="H2326" t="str">
            <v>Tiffany Woods Reserve Plat 2 - 40 l</v>
          </cell>
          <cell r="I2326" t="str">
            <v>in service</v>
          </cell>
          <cell r="J2326" t="str">
            <v>Install 1,929' of 2inch PE and 668' of 4inch PE main to serve 40 new residential customers. Pressure System= C-081, MAOP= 58PSIG, MOP= 25PSIG.</v>
          </cell>
          <cell r="L2326">
            <v>42562</v>
          </cell>
          <cell r="O2326">
            <v>42583</v>
          </cell>
          <cell r="P2326" t="str">
            <v>1251-075010  PLATTE CTY/KANSAS CITY NORTH</v>
          </cell>
          <cell r="Q2326">
            <v>47215.01</v>
          </cell>
          <cell r="R2326">
            <v>-5661</v>
          </cell>
        </row>
        <row r="2327">
          <cell r="A2327" t="str">
            <v>004636</v>
          </cell>
          <cell r="B2327" t="str">
            <v>LDC 2</v>
          </cell>
          <cell r="D2327" t="str">
            <v>yes</v>
          </cell>
          <cell r="E2327" t="str">
            <v>21001132362</v>
          </cell>
          <cell r="F2327" t="str">
            <v>F0678</v>
          </cell>
          <cell r="G2327" t="str">
            <v>Replace bare steel main - safety re</v>
          </cell>
          <cell r="H2327" t="str">
            <v>26TH St &amp; Felix Repl PBS w 260'-4in</v>
          </cell>
          <cell r="I2327" t="str">
            <v>posted to CPR</v>
          </cell>
          <cell r="J2327" t="str">
            <v>26TH St &amp; Felix Repl PBS w 260'-4in PE main: St Joseph: 26TH ST Between Francis and Felix</v>
          </cell>
          <cell r="K2327" t="str">
            <v>Approved by: Gary Williams on 05/21/2013,  To lay 260' of 4in plastic main. To replace 4in bare steel main due to down project.Cost per foot: $60.60. Retire 260'-4in PBS main, year 1939, wo 553</v>
          </cell>
          <cell r="L2327">
            <v>41481</v>
          </cell>
          <cell r="M2327">
            <v>41600</v>
          </cell>
          <cell r="N2327">
            <v>41603.384641203702</v>
          </cell>
          <cell r="P2327" t="str">
            <v>1001-010001  ST. JOSEPH CITY/BUCHANAN</v>
          </cell>
          <cell r="Q2327">
            <v>13304.34</v>
          </cell>
          <cell r="R2327">
            <v>1038</v>
          </cell>
        </row>
        <row r="2328">
          <cell r="A2328" t="str">
            <v>006179</v>
          </cell>
          <cell r="B2328" t="str">
            <v>LDC 2</v>
          </cell>
          <cell r="D2328" t="str">
            <v>no</v>
          </cell>
          <cell r="E2328" t="str">
            <v>21002143642</v>
          </cell>
          <cell r="F2328" t="str">
            <v>F0647</v>
          </cell>
          <cell r="G2328" t="str">
            <v>New Main Extensions (N)</v>
          </cell>
          <cell r="H2328" t="str">
            <v>Install 525 ft of 2in PE Main Ext</v>
          </cell>
          <cell r="I2328" t="str">
            <v>posted to CPR</v>
          </cell>
          <cell r="J2328" t="str">
            <v>Install 525 ft of 2in PE: Savannah: New Main Extension - Company Crews  3760 (33-305)</v>
          </cell>
          <cell r="K2328" t="str">
            <v>Approved by: Gary Williams on 07/02/2014,  LAYING 525FT-2IN PE MAIN EXTENSION FOR RESIDENTIAL CUSTOMER.....CUSTOMER TO PAY 525FT-75FT (ALLOWANCE)=450 X $8.50=$3,825.00.....  Received payment $3825 8-27-14 per WOES (No refunds)</v>
          </cell>
          <cell r="L2328">
            <v>41911</v>
          </cell>
          <cell r="M2328">
            <v>42216</v>
          </cell>
          <cell r="N2328">
            <v>42256.641192129602</v>
          </cell>
          <cell r="O2328">
            <v>41883</v>
          </cell>
          <cell r="P2328" t="str">
            <v>1002-002001  ANDREW CTY/SAVANNAH</v>
          </cell>
          <cell r="Q2328">
            <v>4092.78</v>
          </cell>
          <cell r="R2328">
            <v>-1620.5</v>
          </cell>
        </row>
        <row r="2329">
          <cell r="A2329" t="str">
            <v>004592</v>
          </cell>
          <cell r="B2329" t="str">
            <v>LDC 2</v>
          </cell>
          <cell r="D2329" t="str">
            <v>no</v>
          </cell>
          <cell r="E2329" t="str">
            <v>21201050308</v>
          </cell>
          <cell r="F2329" t="str">
            <v>F0540</v>
          </cell>
          <cell r="G2329" t="str">
            <v>BWO Mtr/Reg Repl - Non ISRS (N)</v>
          </cell>
          <cell r="H2329" t="str">
            <v>BWO-REPL METER SETS LESS 2"</v>
          </cell>
          <cell r="I2329" t="str">
            <v>posted to CPR</v>
          </cell>
          <cell r="J2329" t="str">
            <v>BWO-REPL METER SETS LESS 2"</v>
          </cell>
          <cell r="K2329" t="str">
            <v>Project Type:B</v>
          </cell>
          <cell r="L2329">
            <v>41717</v>
          </cell>
          <cell r="M2329">
            <v>41717</v>
          </cell>
          <cell r="N2329">
            <v>41717</v>
          </cell>
          <cell r="P2329" t="str">
            <v>1201-020042  CLAY CTY/KANSAS CITY (N PLANT)</v>
          </cell>
          <cell r="Q2329">
            <v>281.25</v>
          </cell>
          <cell r="R2329">
            <v>0</v>
          </cell>
        </row>
        <row r="2330">
          <cell r="A2330" t="str">
            <v>006753</v>
          </cell>
          <cell r="B2330" t="str">
            <v>LDC 2</v>
          </cell>
          <cell r="D2330" t="str">
            <v>no</v>
          </cell>
          <cell r="E2330" t="str">
            <v>20925143846</v>
          </cell>
          <cell r="F2330" t="str">
            <v>F0602</v>
          </cell>
          <cell r="G2330" t="str">
            <v>New business</v>
          </cell>
          <cell r="H2330" t="str">
            <v>Grain Valley Transpor Ctr Main Ext</v>
          </cell>
          <cell r="I2330" t="str">
            <v>posted to CPR</v>
          </cell>
          <cell r="J2330" t="str">
            <v>Grain Valley Transportation Center 4in PE Main: Grain Valley: New Main Extension - Contractor Crews  3760 (33-380)</v>
          </cell>
          <cell r="K2330" t="str">
            <v>Approved by: Ralph Janes on 10/05/2014,  Install 525' - 4" pe main extension to serve one new commercial customer.  Note:  5M Rotary meter set to be installed on parent work order 14-3845.  220' - 1-1/4" pe service line to be installed on BWO.</v>
          </cell>
          <cell r="L2330">
            <v>42021</v>
          </cell>
          <cell r="M2330">
            <v>42035</v>
          </cell>
          <cell r="N2330">
            <v>42131.408032407402</v>
          </cell>
          <cell r="O2330">
            <v>42005</v>
          </cell>
          <cell r="P2330" t="str">
            <v>0925-043035  JACKSON CTY/GRAIN VALLEY</v>
          </cell>
          <cell r="Q2330">
            <v>26715.3</v>
          </cell>
          <cell r="R2330">
            <v>-1150</v>
          </cell>
        </row>
        <row r="2331">
          <cell r="A2331" t="str">
            <v>004108</v>
          </cell>
          <cell r="B2331" t="str">
            <v>LDC 2</v>
          </cell>
          <cell r="D2331" t="str">
            <v>no</v>
          </cell>
          <cell r="E2331" t="str">
            <v>21904143296</v>
          </cell>
          <cell r="F2331" t="str">
            <v>F0640</v>
          </cell>
          <cell r="G2331" t="str">
            <v>32-700-420-METERS</v>
          </cell>
          <cell r="H2331" t="str">
            <v>Pur 564 Rebuilt Meters Load 9272 EE</v>
          </cell>
          <cell r="I2331" t="str">
            <v>posted to CPR</v>
          </cell>
          <cell r="J2331" t="str">
            <v>Pur 564 Rebuilt Meters Load 9272 EEI March 2014: Kansas City CORP: Central Plant Meter Shop</v>
          </cell>
          <cell r="K2331" t="str">
            <v>Approved by: Rob Kitterman on 02/03/2014,  Remanufacturing Meters - 73005096,March 2014</v>
          </cell>
          <cell r="L2331">
            <v>41675</v>
          </cell>
          <cell r="M2331">
            <v>41944</v>
          </cell>
          <cell r="N2331">
            <v>41978.5929861111</v>
          </cell>
          <cell r="O2331">
            <v>41883</v>
          </cell>
          <cell r="P2331" t="str">
            <v>1904-043050  JACKSON CTY/KC</v>
          </cell>
          <cell r="Q2331">
            <v>20558.43</v>
          </cell>
          <cell r="R2331">
            <v>1086</v>
          </cell>
        </row>
        <row r="2332">
          <cell r="A2332" t="str">
            <v>004346</v>
          </cell>
          <cell r="B2332" t="str">
            <v>LDC 2</v>
          </cell>
          <cell r="D2332" t="str">
            <v>no</v>
          </cell>
          <cell r="E2332" t="str">
            <v>21904133074</v>
          </cell>
          <cell r="F2332" t="str">
            <v>F0529</v>
          </cell>
          <cell r="G2332" t="str">
            <v>Meter Purchases - MGE</v>
          </cell>
          <cell r="H2332" t="str">
            <v>Pur 2000 AC250-TC Am Meters Feb  20</v>
          </cell>
          <cell r="I2332" t="str">
            <v>posted to CPR</v>
          </cell>
          <cell r="J2332" t="str">
            <v>Pur 2000 AC250-TC Am Meters Feb  2014: Kansas City CORP: Central Plant Meter Shop</v>
          </cell>
          <cell r="K2332" t="str">
            <v>Approved by: Steve Lindsey on 11/18/2013,  This work order is for new domestic meters to be delivered Feb 2014. Retirement unit # 73003086.</v>
          </cell>
          <cell r="L2332">
            <v>41641</v>
          </cell>
          <cell r="M2332">
            <v>41944</v>
          </cell>
          <cell r="N2332">
            <v>41978.593472222201</v>
          </cell>
          <cell r="O2332">
            <v>41883</v>
          </cell>
          <cell r="P2332" t="str">
            <v>1904-043050  JACKSON CTY/KC</v>
          </cell>
          <cell r="Q2332">
            <v>113538.69</v>
          </cell>
          <cell r="R2332">
            <v>6000</v>
          </cell>
        </row>
        <row r="2333">
          <cell r="A2333" t="str">
            <v>800579</v>
          </cell>
          <cell r="B2333" t="str">
            <v>LDC 2</v>
          </cell>
          <cell r="D2333" t="str">
            <v>no</v>
          </cell>
          <cell r="F2333" t="str">
            <v>F0647</v>
          </cell>
          <cell r="G2333" t="str">
            <v>New Main Extensions (N)</v>
          </cell>
          <cell r="H2333" t="str">
            <v>Install 1902F 2P Pine Grove Plat 2</v>
          </cell>
          <cell r="I2333" t="str">
            <v>in service</v>
          </cell>
          <cell r="J2333" t="str">
            <v>Install 1902 ft of 2 in IP PE main to serve 33 new residential customers.</v>
          </cell>
          <cell r="K2333" t="str">
            <v>33 lot single family detached home subdivision.</v>
          </cell>
          <cell r="L2333">
            <v>42669</v>
          </cell>
          <cell r="O2333">
            <v>42644</v>
          </cell>
          <cell r="P2333" t="str">
            <v>1271-020036  CLAY CTY/KANSAS CITY</v>
          </cell>
          <cell r="Q2333">
            <v>25961.05</v>
          </cell>
          <cell r="R2333">
            <v>-3335.5</v>
          </cell>
        </row>
        <row r="2334">
          <cell r="A2334" t="str">
            <v>007211</v>
          </cell>
          <cell r="B2334" t="str">
            <v>LDC 2</v>
          </cell>
          <cell r="D2334" t="str">
            <v>no</v>
          </cell>
          <cell r="E2334" t="str">
            <v>21271144004</v>
          </cell>
          <cell r="F2334" t="str">
            <v>F0638</v>
          </cell>
          <cell r="G2334" t="str">
            <v>Meter &amp; regulator replacements - 2"</v>
          </cell>
          <cell r="H2334" t="str">
            <v>Heartland Sheets 38M Roots</v>
          </cell>
          <cell r="I2334" t="str">
            <v>posted to CPR</v>
          </cell>
          <cell r="J2334" t="str">
            <v>Heartland Sheets 38M Roots: Kansas City-Clay Co: Replace Meter &amp; Reg 2&amp;quot; &amp;  Larger - 3820/3830 (32-404)</v>
          </cell>
          <cell r="K2334" t="str">
            <v>Approved by: Rob Kitterman on 12/05/2014,  We will be taking the 23M Roots meter and 2in CL-34-2 regulator out and replacing them with a 38M Roots meter. We'll set a 2in CL-38-2 regulator at 10psig with a 1in 289H relief set at 12psig for a connected load of 50000cfh.</v>
          </cell>
          <cell r="L2334">
            <v>41981</v>
          </cell>
          <cell r="M2334">
            <v>42248</v>
          </cell>
          <cell r="N2334">
            <v>42276.360659722202</v>
          </cell>
          <cell r="O2334">
            <v>42217</v>
          </cell>
          <cell r="P2334" t="str">
            <v>1271-020036  CLAY CTY/KANSAS CITY</v>
          </cell>
          <cell r="Q2334">
            <v>3825.08</v>
          </cell>
          <cell r="R2334">
            <v>20</v>
          </cell>
        </row>
        <row r="2335">
          <cell r="A2335" t="str">
            <v>003865</v>
          </cell>
          <cell r="B2335" t="str">
            <v>LDC 2</v>
          </cell>
          <cell r="D2335" t="str">
            <v>no</v>
          </cell>
          <cell r="E2335" t="str">
            <v>21271132899</v>
          </cell>
          <cell r="F2335" t="str">
            <v>F0610</v>
          </cell>
          <cell r="G2335" t="str">
            <v>New business</v>
          </cell>
          <cell r="H2335" t="str">
            <v>NE 88th Ter &amp; Mersington Lay 1200'-</v>
          </cell>
          <cell r="I2335" t="str">
            <v>posted to CPR</v>
          </cell>
          <cell r="J2335" t="str">
            <v>NE 88th Ter &amp; Mersington Lay 1200'-4in PE main ex: Kansas City-Clay Co: Highland of Northview 4</v>
          </cell>
          <cell r="K2335" t="str">
            <v>Approved by: Gary Williams on 10/04/2013,  LAYING 1,200'- PLEXCO MAIN TO SERVE 25 METERS.  LOTS 126-150.  ONE WAY FEED.  COST PER FT=$21.12  1,200'x$8.50=$10,200  DEVELOPER TO CONTRIBUTE $10,200  BEFORE START OF PROJECT.</v>
          </cell>
          <cell r="L2335">
            <v>41570</v>
          </cell>
          <cell r="M2335">
            <v>41654</v>
          </cell>
          <cell r="N2335">
            <v>41654.604016203702</v>
          </cell>
          <cell r="O2335">
            <v>41730</v>
          </cell>
          <cell r="P2335" t="str">
            <v>1271-020036  CLAY CTY/KANSAS CITY</v>
          </cell>
          <cell r="Q2335">
            <v>13761.78</v>
          </cell>
          <cell r="R2335">
            <v>3243</v>
          </cell>
        </row>
        <row r="2336">
          <cell r="A2336" t="str">
            <v>005462</v>
          </cell>
          <cell r="B2336" t="str">
            <v>LDC 2</v>
          </cell>
          <cell r="D2336" t="str">
            <v>yes</v>
          </cell>
          <cell r="E2336" t="str">
            <v>21001143534</v>
          </cell>
          <cell r="F2336" t="str">
            <v>F0678</v>
          </cell>
          <cell r="G2336" t="str">
            <v>Replace bare steel main - safety re</v>
          </cell>
          <cell r="H2336" t="str">
            <v>18th St Repl PBS w 303'-2in PE main</v>
          </cell>
          <cell r="I2336" t="str">
            <v>posted to CPR</v>
          </cell>
          <cell r="J2336" t="str">
            <v>18th St Repl PBS w 303'-2in PE main: St Joseph: Replace Bare Steel Main - 3760 Safety Related (34-394)</v>
          </cell>
          <cell r="K2336" t="str">
            <v>Approved by: Gary Williams on 06/10/2014,  Replace PBS due to down project. Pressure system C-01</v>
          </cell>
          <cell r="L2336">
            <v>41835</v>
          </cell>
          <cell r="M2336">
            <v>41882</v>
          </cell>
          <cell r="N2336">
            <v>41978.594004629602</v>
          </cell>
          <cell r="O2336">
            <v>41821</v>
          </cell>
          <cell r="P2336" t="str">
            <v>1001-010001  ST. JOSEPH CITY/BUCHANAN</v>
          </cell>
          <cell r="Q2336">
            <v>2160.48</v>
          </cell>
          <cell r="R2336">
            <v>-435</v>
          </cell>
        </row>
        <row r="2337">
          <cell r="A2337" t="str">
            <v>800850</v>
          </cell>
          <cell r="B2337" t="str">
            <v>LDC 2</v>
          </cell>
          <cell r="D2337" t="str">
            <v>no</v>
          </cell>
          <cell r="F2337" t="str">
            <v>F0547</v>
          </cell>
          <cell r="G2337" t="str">
            <v>Street &amp; Highway Relocates ISRS (N)</v>
          </cell>
          <cell r="H2337" t="str">
            <v>Reloc 1560F 4P Forest Ave @ Hwy 291</v>
          </cell>
          <cell r="I2337" t="str">
            <v>cancelled</v>
          </cell>
          <cell r="J2337" t="str">
            <v>WO # 800850 Canceled - New WO # is 800920  
- Install ~1560 ft of 4 in PL IP main along Forest Ave, north of Highway 291.</v>
          </cell>
          <cell r="K2337" t="str">
            <v>WO # 800850 Canceled - New WO # is 800920
- Retire ~1503 ft of 4 in ST IP main at above location.  Total Service Tie-over = 3.  This relocation is being done due to private development.</v>
          </cell>
          <cell r="N2337">
            <v>42626.579768518503</v>
          </cell>
          <cell r="P2337" t="str">
            <v>0401-043050  JACKSON CTY/KC</v>
          </cell>
          <cell r="Q2337">
            <v>0</v>
          </cell>
          <cell r="R2337">
            <v>1503</v>
          </cell>
        </row>
        <row r="2338">
          <cell r="A2338" t="str">
            <v>008407</v>
          </cell>
          <cell r="B2338" t="str">
            <v>LDC 2</v>
          </cell>
          <cell r="D2338" t="str">
            <v>no</v>
          </cell>
          <cell r="F2338" t="str">
            <v>F0950</v>
          </cell>
          <cell r="G2338" t="str">
            <v>Power Operated Eq - MGE</v>
          </cell>
          <cell r="H2338" t="str">
            <v>Purchase 4 Dump Trucks MGE</v>
          </cell>
          <cell r="I2338" t="str">
            <v>posted to CPR</v>
          </cell>
          <cell r="L2338">
            <v>42551</v>
          </cell>
          <cell r="M2338">
            <v>42552</v>
          </cell>
          <cell r="N2338">
            <v>42587.420555555596</v>
          </cell>
          <cell r="O2338">
            <v>42552</v>
          </cell>
          <cell r="P2338" t="str">
            <v>0401-043050  JACKSON CTY/KC</v>
          </cell>
          <cell r="Q2338">
            <v>392536.62</v>
          </cell>
          <cell r="R2338">
            <v>12</v>
          </cell>
        </row>
        <row r="2339">
          <cell r="A2339" t="str">
            <v>008829</v>
          </cell>
          <cell r="B2339" t="str">
            <v>LDC 2</v>
          </cell>
          <cell r="D2339" t="str">
            <v>no</v>
          </cell>
          <cell r="F2339" t="str">
            <v>F0950</v>
          </cell>
          <cell r="G2339" t="str">
            <v>Power Operated Eq - MGE</v>
          </cell>
          <cell r="H2339" t="str">
            <v>Purchase (3) port generators MGE*</v>
          </cell>
          <cell r="I2339" t="str">
            <v>posted to CPR</v>
          </cell>
          <cell r="J2339" t="str">
            <v>Purchase 3 new generators for new crews MGE</v>
          </cell>
          <cell r="L2339">
            <v>42369</v>
          </cell>
          <cell r="M2339">
            <v>42491</v>
          </cell>
          <cell r="N2339">
            <v>42528.472893518498</v>
          </cell>
          <cell r="O2339">
            <v>42339</v>
          </cell>
          <cell r="P2339" t="str">
            <v>0401-043050  JACKSON CTY/KC</v>
          </cell>
          <cell r="Q2339">
            <v>6852.62</v>
          </cell>
          <cell r="R2339">
            <v>6</v>
          </cell>
        </row>
        <row r="2340">
          <cell r="A2340" t="str">
            <v>008635</v>
          </cell>
          <cell r="B2340" t="str">
            <v>LDC 2</v>
          </cell>
          <cell r="D2340" t="str">
            <v>yes</v>
          </cell>
          <cell r="E2340" t="str">
            <v>20401155356</v>
          </cell>
          <cell r="F2340" t="str">
            <v>F0599</v>
          </cell>
          <cell r="G2340" t="str">
            <v>Main Replacement - ISRS (N)</v>
          </cell>
          <cell r="H2340" t="str">
            <v>Cast Iron Replacement Proj Phase 10</v>
          </cell>
          <cell r="I2340" t="str">
            <v>posted to CPR</v>
          </cell>
          <cell r="J2340" t="str">
            <v>Cast Iron Replacement Project Phase 10: Kansas City-Jackson: Replace Cast Iron Main - 3760 Safety Related (34-412)</v>
          </cell>
          <cell r="K2340" t="str">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ell>
          <cell r="L2340">
            <v>42327</v>
          </cell>
          <cell r="M2340">
            <v>42429</v>
          </cell>
          <cell r="N2340">
            <v>42527.512233796297</v>
          </cell>
          <cell r="O2340">
            <v>42309</v>
          </cell>
          <cell r="P2340" t="str">
            <v>0401-043050  JACKSON CTY/KC</v>
          </cell>
          <cell r="Q2340">
            <v>659685.5</v>
          </cell>
          <cell r="R2340">
            <v>-10447.25</v>
          </cell>
        </row>
        <row r="2341">
          <cell r="A2341" t="str">
            <v>008360</v>
          </cell>
          <cell r="B2341" t="str">
            <v>LDC 2</v>
          </cell>
          <cell r="D2341" t="str">
            <v>yes</v>
          </cell>
          <cell r="E2341" t="str">
            <v>20401155292</v>
          </cell>
          <cell r="F2341" t="str">
            <v>F0599</v>
          </cell>
          <cell r="G2341" t="str">
            <v>Main Replacement - ISRS (N)</v>
          </cell>
          <cell r="H2341" t="str">
            <v>Cast Iron Replacement proj KC Ph7</v>
          </cell>
          <cell r="I2341" t="str">
            <v>posted to CPR</v>
          </cell>
          <cell r="J2341" t="str">
            <v>Cast Iron Replacement project phase 7: Kansas City-Jackson: Replace Cast Iron Main - 3760 Safety Related (34-412)</v>
          </cell>
          <cell r="K2341" t="str">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ell>
          <cell r="L2341">
            <v>42261</v>
          </cell>
          <cell r="M2341">
            <v>42429</v>
          </cell>
          <cell r="N2341">
            <v>42528.472222222197</v>
          </cell>
          <cell r="O2341">
            <v>42278</v>
          </cell>
          <cell r="P2341" t="str">
            <v>0401-043050  JACKSON CTY/KC</v>
          </cell>
          <cell r="Q2341">
            <v>1504581.1</v>
          </cell>
          <cell r="R2341">
            <v>576353.25</v>
          </cell>
        </row>
        <row r="2342">
          <cell r="A2342" t="str">
            <v>008536</v>
          </cell>
          <cell r="B2342" t="str">
            <v>LDC 2</v>
          </cell>
          <cell r="D2342" t="str">
            <v>yes</v>
          </cell>
          <cell r="E2342" t="str">
            <v>20401155356</v>
          </cell>
          <cell r="F2342" t="str">
            <v>F0599</v>
          </cell>
          <cell r="G2342" t="str">
            <v>Main Replacement - ISRS (N)</v>
          </cell>
          <cell r="H2342" t="str">
            <v>Cast Iron Replacement Project Phase</v>
          </cell>
          <cell r="I2342" t="str">
            <v>cancelled</v>
          </cell>
          <cell r="J2342" t="str">
            <v>Cast Iron Replacement Project Phase 10: Kansas City-Jackson: Replace Cast Iron Main - 3760 Safety Related (34-412)</v>
          </cell>
          <cell r="K2342" t="str">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ell>
          <cell r="N2342">
            <v>42275.454016203701</v>
          </cell>
          <cell r="P2342" t="str">
            <v>0401-043050  JACKSON CTY/KC</v>
          </cell>
          <cell r="Q2342">
            <v>16906.59</v>
          </cell>
          <cell r="R2342">
            <v>164.5</v>
          </cell>
        </row>
        <row r="2343">
          <cell r="A2343" t="str">
            <v>006074</v>
          </cell>
          <cell r="B2343" t="str">
            <v>LDC 2</v>
          </cell>
          <cell r="D2343" t="str">
            <v>no</v>
          </cell>
          <cell r="E2343" t="str">
            <v>20401143685</v>
          </cell>
          <cell r="F2343" t="str">
            <v>F0587</v>
          </cell>
          <cell r="G2343" t="str">
            <v>Services - 2" &amp; larger</v>
          </cell>
          <cell r="H2343" t="str">
            <v>9400 Wornall 2in Service Cut off</v>
          </cell>
          <cell r="I2343" t="str">
            <v>posted to CPR</v>
          </cell>
          <cell r="J2343" t="str">
            <v>9400 Wornall 2in Service Cut off: Kansas City-Jackson: Replace Services 2&amp;quot; &amp; Larger - 3800 (42-385)</v>
          </cell>
          <cell r="K2343" t="str">
            <v>Approved by: Gary Williams on 08/19/2014,  Cut off 2'' PE service 9400 Wornall Rd. Service no longer needed, building demolished.</v>
          </cell>
          <cell r="L2343">
            <v>41823</v>
          </cell>
          <cell r="M2343">
            <v>42036</v>
          </cell>
          <cell r="N2343">
            <v>42100.702013888898</v>
          </cell>
          <cell r="P2343" t="str">
            <v>0401-043050  JACKSON CTY/KC</v>
          </cell>
          <cell r="Q2343">
            <v>5270.37</v>
          </cell>
          <cell r="R2343">
            <v>22</v>
          </cell>
        </row>
        <row r="2344">
          <cell r="A2344" t="str">
            <v>007198</v>
          </cell>
          <cell r="B2344" t="str">
            <v>LDC 2</v>
          </cell>
          <cell r="D2344" t="str">
            <v>no</v>
          </cell>
          <cell r="E2344" t="str">
            <v>20401144000</v>
          </cell>
          <cell r="F2344" t="str">
            <v>F0658</v>
          </cell>
          <cell r="G2344" t="str">
            <v>Services -  2" &amp; larger</v>
          </cell>
          <cell r="H2344" t="str">
            <v>2in Service Hampton Inn</v>
          </cell>
          <cell r="I2344" t="str">
            <v>posted to CPR</v>
          </cell>
          <cell r="J2344" t="str">
            <v>2in Service Hampton Inn: Kansas City-Jackson: New Services 2in &amp; Larger  3800 (33-381)</v>
          </cell>
          <cell r="K2344" t="str">
            <v>Approved by: Kevin Driskell on 12/16/2014,  2'' PE (55') Service for Hampton Inn - 801 Walnut St. - Load 2100 cfh. Pressure System C-1. ECONOMIC EVALUATION WILL COVER COST OF PROJECT.</v>
          </cell>
          <cell r="L2344">
            <v>42431</v>
          </cell>
          <cell r="M2344">
            <v>42583</v>
          </cell>
          <cell r="N2344">
            <v>42649.699548611097</v>
          </cell>
          <cell r="O2344">
            <v>42461</v>
          </cell>
          <cell r="P2344" t="str">
            <v>0401-043050  JACKSON CTY/KC</v>
          </cell>
          <cell r="Q2344">
            <v>4932.04</v>
          </cell>
          <cell r="R2344">
            <v>-18.5</v>
          </cell>
        </row>
        <row r="2345">
          <cell r="A2345" t="str">
            <v>006915</v>
          </cell>
          <cell r="B2345" t="str">
            <v>LDC 2</v>
          </cell>
          <cell r="D2345" t="str">
            <v>yes</v>
          </cell>
          <cell r="E2345" t="str">
            <v>20401143595</v>
          </cell>
          <cell r="F2345" t="str">
            <v>F0547</v>
          </cell>
          <cell r="G2345" t="str">
            <v>Street &amp; Highway Relocates ISRS (N)</v>
          </cell>
          <cell r="H2345" t="str">
            <v>Replace BS with 2in and 4in</v>
          </cell>
          <cell r="I2345" t="str">
            <v>posted to CPR</v>
          </cell>
          <cell r="J2345" t="str">
            <v>Replace BS with 2in and 4in PE: Kansas City-Jackson: Relocate for Street &amp; Highway-Public Improvements (44-388)</v>
          </cell>
          <cell r="K2345" t="str">
            <v>Approved by: Donnie Richards on 11/12/2014,  (ISRS). Replace 4" PBS, 2" PBS, and 3" PCS due to public improvement project.  Lay 475'-4in PE and 180'-2in PE.</v>
          </cell>
          <cell r="L2345">
            <v>42039</v>
          </cell>
          <cell r="M2345">
            <v>42094</v>
          </cell>
          <cell r="N2345">
            <v>42193.495266203703</v>
          </cell>
          <cell r="O2345">
            <v>42036</v>
          </cell>
          <cell r="P2345" t="str">
            <v>0401-043050  JACKSON CTY/KC</v>
          </cell>
          <cell r="Q2345">
            <v>27392.83</v>
          </cell>
          <cell r="R2345">
            <v>-1051.5</v>
          </cell>
        </row>
        <row r="2346">
          <cell r="A2346" t="str">
            <v>005992</v>
          </cell>
          <cell r="B2346" t="str">
            <v>LDC 2</v>
          </cell>
          <cell r="D2346" t="str">
            <v>no</v>
          </cell>
          <cell r="F2346" t="str">
            <v>F0548</v>
          </cell>
          <cell r="G2346" t="str">
            <v>Tools and Equipment</v>
          </cell>
          <cell r="H2346" t="str">
            <v>Purch 5 SKA-PAK Respirators</v>
          </cell>
          <cell r="I2346" t="str">
            <v>posted to CPR</v>
          </cell>
          <cell r="J2346" t="str">
            <v>Purchase 5 SKA-PAK Respirators</v>
          </cell>
          <cell r="K2346" t="str">
            <v>Requested by Sheryl Payne
Complete per Sheryl Jan 2015 - AMM</v>
          </cell>
          <cell r="L2346">
            <v>42094</v>
          </cell>
          <cell r="M2346">
            <v>42278</v>
          </cell>
          <cell r="N2346">
            <v>42317.483287037001</v>
          </cell>
          <cell r="O2346">
            <v>42156</v>
          </cell>
          <cell r="P2346" t="str">
            <v>0401-043050  JACKSON CTY/KC</v>
          </cell>
          <cell r="Q2346">
            <v>9569.3799999999992</v>
          </cell>
          <cell r="R2346">
            <v>5</v>
          </cell>
        </row>
        <row r="2347">
          <cell r="A2347" t="str">
            <v>005433</v>
          </cell>
          <cell r="B2347" t="str">
            <v>LDC 2</v>
          </cell>
          <cell r="D2347" t="str">
            <v>yes</v>
          </cell>
          <cell r="E2347" t="str">
            <v>20401143480</v>
          </cell>
          <cell r="F2347" t="str">
            <v>F0500</v>
          </cell>
          <cell r="G2347" t="str">
            <v>Replace cast iron main - CPI / prio</v>
          </cell>
          <cell r="H2347" t="str">
            <v>1511 Brooklyn REPL CI w 101'-4IN PE</v>
          </cell>
          <cell r="I2347" t="str">
            <v>posted to CPR</v>
          </cell>
          <cell r="J2347" t="str">
            <v>1511 Brooklyn REPL CI w 101'-4IN PE : Kansas City-Jackson: Replace Cast Iron Main - 3760 Safety Related (34-412)</v>
          </cell>
          <cell r="K2347" t="str">
            <v>Approved by: Kevin Driskell on 06/05/2014,  ISRS LAY 101' - 4" PE DUE TO LEAK ON EXISTING 4" CI MAIN ON EAST SIDE OF BROOKLYN AVE.  ABANDON 112'-4" CI (UNKNOWN W.O.).  ONE WAY FEED.</v>
          </cell>
          <cell r="L2347">
            <v>41723</v>
          </cell>
          <cell r="M2347">
            <v>41821</v>
          </cell>
          <cell r="N2347">
            <v>41936.625868055598</v>
          </cell>
          <cell r="O2347">
            <v>41852</v>
          </cell>
          <cell r="P2347" t="str">
            <v>0401-043050  JACKSON CTY/KC</v>
          </cell>
          <cell r="Q2347">
            <v>4544.8100000000004</v>
          </cell>
          <cell r="R2347">
            <v>-398.7</v>
          </cell>
        </row>
        <row r="2348">
          <cell r="A2348" t="str">
            <v>004565</v>
          </cell>
          <cell r="B2348" t="str">
            <v>LDC 2</v>
          </cell>
          <cell r="D2348" t="str">
            <v>no</v>
          </cell>
          <cell r="E2348" t="str">
            <v>20401133119</v>
          </cell>
          <cell r="F2348" t="str">
            <v>F0670</v>
          </cell>
          <cell r="G2348" t="str">
            <v>Tools, Instruments &amp; Equipment (N)</v>
          </cell>
          <cell r="H2348" t="str">
            <v>PUR-TOOLING FOR TAPPING EQUIP</v>
          </cell>
          <cell r="I2348" t="str">
            <v>posted to CPR</v>
          </cell>
          <cell r="J2348" t="str">
            <v>PUR-TOOLING FOR TAPPING EQUIP: Kansas City-Jackson: 7500 E 35TH TER</v>
          </cell>
          <cell r="K2348" t="str">
            <v>Approved by: Gary Williams on 11/05/2013,  PURCHASING TOOLING FOR TAPPING EQUIPMENT TO MEET INDUSTRIES NEEDS AND NEW FABRICATION. TDW ONLY VENDOR THAT HANDLES THESE TOOLS</v>
          </cell>
          <cell r="L2348">
            <v>41596</v>
          </cell>
          <cell r="M2348">
            <v>41626</v>
          </cell>
          <cell r="N2348">
            <v>41676.633391203701</v>
          </cell>
          <cell r="P2348" t="str">
            <v>0401-043050  JACKSON CTY/KC</v>
          </cell>
          <cell r="Q2348">
            <v>7803.54</v>
          </cell>
          <cell r="R2348">
            <v>2</v>
          </cell>
        </row>
        <row r="2349">
          <cell r="A2349" t="str">
            <v>004038</v>
          </cell>
          <cell r="B2349" t="str">
            <v>LDC 2</v>
          </cell>
          <cell r="D2349" t="str">
            <v>yes</v>
          </cell>
          <cell r="E2349" t="str">
            <v>20401133116</v>
          </cell>
          <cell r="F2349" t="str">
            <v>F0547</v>
          </cell>
          <cell r="G2349" t="str">
            <v>Street &amp; Highway Relocates ISRS (N)</v>
          </cell>
          <cell r="H2349" t="str">
            <v>135th Reloc PCS/pe w 167'-6in;2884'</v>
          </cell>
          <cell r="I2349" t="str">
            <v>posted to CPR</v>
          </cell>
          <cell r="J2349" t="str">
            <v>135th Reloc PCS/pe w 167'-6in;2884'-4in PE main: Kansas City-Jackson: 135th from Inverness to Oak</v>
          </cell>
          <cell r="K2349" t="str">
            <v>Approved by: Steve Lindsey on 11/18/2013,  (ISRS)  Relocate 4in PCS for public improvement project. Public improvement project involves new road, storm sewer boxes, and water line. This project cannot start till after Jan. 15th 2014. Contact Chris Collins 2 weeks prior to start of work to schedule staking.  Install 2,884 ft of 4" PE, 167 ft of 6" PE, and 50 ft 4" thin film. RETIRE 167'-6IN CS, WO 71-5778, YEAR 1971; 20'-4IN CS, WO 89-6994, YEAR 1981; 430'-4IN CS, WO 67-7097, YEAR 1967; 2,072'-4IN CS, WO 67-5140, YEAR 1967; 300'-4IN PE, WO 04-6687, YEAR 2004.  MOP=35#, MAOP=35#. TIE-OVER 8 SERVICES. REPLACE 1 SERVICE. COST PER FOOT $36.00</v>
          </cell>
          <cell r="L2349">
            <v>41771</v>
          </cell>
          <cell r="M2349">
            <v>42063</v>
          </cell>
          <cell r="N2349">
            <v>42160.551006944399</v>
          </cell>
          <cell r="O2349">
            <v>41821</v>
          </cell>
          <cell r="P2349" t="str">
            <v>0401-043050  JACKSON CTY/KC</v>
          </cell>
          <cell r="Q2349">
            <v>64336.08</v>
          </cell>
          <cell r="R2349">
            <v>9961.2999999999993</v>
          </cell>
        </row>
        <row r="2350">
          <cell r="A2350" t="str">
            <v>004216</v>
          </cell>
          <cell r="B2350" t="str">
            <v>LDC 2</v>
          </cell>
          <cell r="D2350" t="str">
            <v>yes</v>
          </cell>
          <cell r="E2350" t="str">
            <v>20401132928</v>
          </cell>
          <cell r="F2350" t="str">
            <v>F0665</v>
          </cell>
          <cell r="G2350" t="str">
            <v>Replace steel &amp; plastic main</v>
          </cell>
          <cell r="H2350" t="str">
            <v>4821 Chelsea Repl CS w 62'-2in PE m</v>
          </cell>
          <cell r="I2350" t="str">
            <v>posted to CPR</v>
          </cell>
          <cell r="J2350" t="str">
            <v>4821 Chelsea Repl CS w 62'-2in PE main: Kansas City-Jackson: 4821 Chelsea</v>
          </cell>
          <cell r="K2350" t="str">
            <v>Approved by: Kevin Driskell on 09/05/2013,  Replaced 62' of 2in PCS year 1981(WO# 81-0254) with 62'-2in PE due to leak.</v>
          </cell>
          <cell r="L2350">
            <v>41485</v>
          </cell>
          <cell r="M2350">
            <v>41626</v>
          </cell>
          <cell r="N2350">
            <v>41627.5828819444</v>
          </cell>
          <cell r="O2350">
            <v>41730</v>
          </cell>
          <cell r="P2350" t="str">
            <v>0401-043050  JACKSON CTY/KC</v>
          </cell>
          <cell r="Q2350">
            <v>3643.6</v>
          </cell>
          <cell r="R2350">
            <v>159.6</v>
          </cell>
        </row>
        <row r="2351">
          <cell r="A2351" t="str">
            <v>004393</v>
          </cell>
          <cell r="B2351" t="str">
            <v>LDC 2</v>
          </cell>
          <cell r="D2351" t="str">
            <v>no</v>
          </cell>
          <cell r="E2351" t="str">
            <v>20401133136</v>
          </cell>
          <cell r="F2351" t="str">
            <v>F0670</v>
          </cell>
          <cell r="G2351" t="str">
            <v>Tools, Instruments &amp; Equipment (N)</v>
          </cell>
          <cell r="H2351" t="str">
            <v>EGM - Temp Calibrator Tool</v>
          </cell>
          <cell r="I2351" t="str">
            <v>posted to CPR</v>
          </cell>
          <cell r="J2351" t="str">
            <v>EGM - Temp Calibrator Tool: Kansas City-Jackson: 3420 Broadway - KC, MO</v>
          </cell>
          <cell r="K2351" t="str">
            <v>Approved by: Randy Spector on 11/11/2013,  Need to purchase replacement tool: Fluke Corp, model #9100s Dry Well Temperature Calibrator (Temp Calibrator required to calibrate EGM electronic corrector temperature probes.)  Please retire damaged 1990's Hart-Scientific Dry Well Temp Calibrator (S/N: 64081)on this WO.</v>
          </cell>
          <cell r="L2351">
            <v>41613</v>
          </cell>
          <cell r="M2351">
            <v>41654</v>
          </cell>
          <cell r="N2351">
            <v>41654.604108796302</v>
          </cell>
          <cell r="P2351" t="str">
            <v>0401-043050  JACKSON CTY/KC</v>
          </cell>
          <cell r="Q2351">
            <v>2852.06</v>
          </cell>
          <cell r="R2351">
            <v>1</v>
          </cell>
        </row>
        <row r="2352">
          <cell r="A2352" t="str">
            <v>004127</v>
          </cell>
          <cell r="B2352" t="str">
            <v>LDC 2</v>
          </cell>
          <cell r="D2352" t="str">
            <v>no</v>
          </cell>
          <cell r="E2352" t="str">
            <v>20401132977</v>
          </cell>
          <cell r="F2352" t="str">
            <v>F0670</v>
          </cell>
          <cell r="G2352" t="str">
            <v>Tools, Instruments &amp; Equipment (N)</v>
          </cell>
          <cell r="H2352" t="str">
            <v>PURCHASE 6 - 4in SQUEEZE  OFF TOOLS</v>
          </cell>
          <cell r="I2352" t="str">
            <v>posted to CPR</v>
          </cell>
          <cell r="J2352" t="str">
            <v>PURCHASE 6 - 4in SQUEEZE  OFF TOOLS: Kansas City-Jackson: 7500 E 35TH TER</v>
          </cell>
          <cell r="K2352" t="str">
            <v>Approved by: Gary Williams on 09/17/2013,  PURCHASE-6 SQUEEZE OFF TOOLS TO BE USED BY THE C&amp;M CREWS AT CENTRAL TO SQUEEZE OFF 4" PIPES.  RECEIVED A QUOTED FROM GROEBNER $845.50 EACH. ISCO INDUSTRIES $925.00 EACH. THESE ARE NOT REPLACEMENT TOOLS.</v>
          </cell>
          <cell r="L2352">
            <v>41582</v>
          </cell>
          <cell r="M2352">
            <v>41626</v>
          </cell>
          <cell r="N2352">
            <v>41630.722141203703</v>
          </cell>
          <cell r="P2352" t="str">
            <v>0401-043050  JACKSON CTY/KC</v>
          </cell>
          <cell r="Q2352">
            <v>5627.93</v>
          </cell>
          <cell r="R2352">
            <v>0</v>
          </cell>
        </row>
        <row r="2353">
          <cell r="A2353" t="str">
            <v>004381</v>
          </cell>
          <cell r="B2353" t="str">
            <v>LDC 2</v>
          </cell>
          <cell r="D2353" t="str">
            <v>yes</v>
          </cell>
          <cell r="E2353" t="str">
            <v>20401133242</v>
          </cell>
          <cell r="F2353" t="str">
            <v>F0497</v>
          </cell>
          <cell r="G2353" t="str">
            <v>Street &amp; highway relocates - safety</v>
          </cell>
          <cell r="H2353" t="str">
            <v>14th &amp; Bennington Reloc PBS w 15'-3</v>
          </cell>
          <cell r="I2353" t="str">
            <v>posted to CPR</v>
          </cell>
          <cell r="J2353" t="str">
            <v>14th &amp; Bennington Reloc PBS w 15'-3in TF Steel: Kansas City-Jackson: 14TH ST &amp; BENNINGTON AVE</v>
          </cell>
          <cell r="K2353" t="str">
            <v>Approved by: Kevin Driskell on 12/31/2013,  ISRS LAY 15'-3" TF STEEL TO GO AROUND SEWER MAIN.  TWO WAY FEED.  ABANDON 8'-3" BS (B26P90)</v>
          </cell>
          <cell r="L2353">
            <v>41513</v>
          </cell>
          <cell r="M2353">
            <v>41715</v>
          </cell>
          <cell r="N2353">
            <v>41715.574363425898</v>
          </cell>
          <cell r="O2353">
            <v>41730</v>
          </cell>
          <cell r="P2353" t="str">
            <v>0401-043050  JACKSON CTY/KC</v>
          </cell>
          <cell r="Q2353">
            <v>10399.11</v>
          </cell>
          <cell r="R2353">
            <v>106.2</v>
          </cell>
        </row>
        <row r="2354">
          <cell r="A2354" t="str">
            <v>004968</v>
          </cell>
          <cell r="B2354" t="str">
            <v>LDC 2</v>
          </cell>
          <cell r="D2354" t="str">
            <v>no</v>
          </cell>
          <cell r="F2354" t="str">
            <v>F0680</v>
          </cell>
          <cell r="G2354" t="str">
            <v>Regulatory Assets MGE</v>
          </cell>
          <cell r="H2354" t="str">
            <v>Reg Ast Eff WH Admin MG</v>
          </cell>
          <cell r="I2354" t="str">
            <v>open</v>
          </cell>
          <cell r="J2354" t="str">
            <v>Energy Efficiency - Water Heating Administration MGE</v>
          </cell>
          <cell r="P2354" t="str">
            <v>Expense Only</v>
          </cell>
          <cell r="Q2354">
            <v>160</v>
          </cell>
          <cell r="R2354">
            <v>0</v>
          </cell>
        </row>
        <row r="2355">
          <cell r="A2355" t="str">
            <v>004967</v>
          </cell>
          <cell r="B2355" t="str">
            <v>LDC 2</v>
          </cell>
          <cell r="D2355" t="str">
            <v>no</v>
          </cell>
          <cell r="F2355" t="str">
            <v>F0680</v>
          </cell>
          <cell r="G2355" t="str">
            <v>Regulatory Assets MGE</v>
          </cell>
          <cell r="H2355" t="str">
            <v>Reg Ast Eng Eff - SH Admin MG</v>
          </cell>
          <cell r="I2355" t="str">
            <v>open</v>
          </cell>
          <cell r="J2355" t="str">
            <v>Energy Efficiency - Space Heating Administration MGE</v>
          </cell>
          <cell r="P2355" t="str">
            <v>Expense Only</v>
          </cell>
          <cell r="Q2355">
            <v>31425.46</v>
          </cell>
          <cell r="R2355">
            <v>0</v>
          </cell>
        </row>
        <row r="2356">
          <cell r="A2356" t="str">
            <v>004735</v>
          </cell>
          <cell r="B2356" t="str">
            <v>LDC 2</v>
          </cell>
          <cell r="D2356" t="str">
            <v>no</v>
          </cell>
          <cell r="E2356" t="str">
            <v>28870110000</v>
          </cell>
          <cell r="F2356" t="str">
            <v>F0700</v>
          </cell>
          <cell r="G2356" t="str">
            <v>Maintenance of Mains - MGE</v>
          </cell>
          <cell r="H2356" t="str">
            <v>#1 Main Leak Repair MGE</v>
          </cell>
          <cell r="I2356" t="str">
            <v>open</v>
          </cell>
          <cell r="J2356" t="str">
            <v>#1 Main Leak Repair MGE</v>
          </cell>
          <cell r="P2356" t="str">
            <v>Expense Only</v>
          </cell>
          <cell r="Q2356">
            <v>1580308.97</v>
          </cell>
          <cell r="R2356">
            <v>32461.986499999999</v>
          </cell>
        </row>
        <row r="2357">
          <cell r="A2357" t="str">
            <v>004727</v>
          </cell>
          <cell r="B2357" t="str">
            <v>LDC 2</v>
          </cell>
          <cell r="D2357" t="str">
            <v>no</v>
          </cell>
          <cell r="E2357" t="str">
            <v>28790350000</v>
          </cell>
          <cell r="F2357" t="str">
            <v>F0703</v>
          </cell>
          <cell r="G2357" t="str">
            <v>Customer Service Work MGE</v>
          </cell>
          <cell r="H2357" t="str">
            <v>CIE Farm Tap Maint MGE</v>
          </cell>
          <cell r="I2357" t="str">
            <v>open</v>
          </cell>
          <cell r="J2357" t="str">
            <v>CIE Farm Tap Maint MGE</v>
          </cell>
          <cell r="P2357" t="str">
            <v>Expense Only</v>
          </cell>
          <cell r="Q2357">
            <v>56248.07</v>
          </cell>
          <cell r="R2357">
            <v>952.62</v>
          </cell>
        </row>
        <row r="2358">
          <cell r="A2358" t="str">
            <v>004682</v>
          </cell>
          <cell r="B2358" t="str">
            <v>LDC 2</v>
          </cell>
          <cell r="D2358" t="str">
            <v>no</v>
          </cell>
          <cell r="E2358" t="str">
            <v>218SGSAEXEE</v>
          </cell>
          <cell r="F2358" t="str">
            <v>F0680</v>
          </cell>
          <cell r="G2358" t="str">
            <v>Regulatory Assets MGE</v>
          </cell>
          <cell r="H2358" t="str">
            <v>Reg Ast Eng Eff SGS Del Cst MG</v>
          </cell>
          <cell r="I2358" t="str">
            <v>open</v>
          </cell>
          <cell r="J2358" t="str">
            <v>Reg Ast Eng Eff SGS Del Cst MG</v>
          </cell>
          <cell r="P2358" t="str">
            <v>Expense Only</v>
          </cell>
          <cell r="Q2358">
            <v>0</v>
          </cell>
          <cell r="R2358">
            <v>88</v>
          </cell>
        </row>
        <row r="2359">
          <cell r="A2359" t="str">
            <v>004681</v>
          </cell>
          <cell r="B2359" t="str">
            <v>LDC 2</v>
          </cell>
          <cell r="D2359" t="str">
            <v>no</v>
          </cell>
          <cell r="E2359" t="str">
            <v>218JOPREBWH</v>
          </cell>
          <cell r="F2359" t="str">
            <v>F0680</v>
          </cell>
          <cell r="G2359" t="str">
            <v>Regulatory Assets MGE</v>
          </cell>
          <cell r="H2359" t="str">
            <v>Reg Ast Eng Eff Jop WH Reb MG</v>
          </cell>
          <cell r="I2359" t="str">
            <v>open</v>
          </cell>
          <cell r="J2359" t="str">
            <v>Reg Ast Eng Eff Jop WH Reb MG</v>
          </cell>
          <cell r="P2359" t="str">
            <v>Expense Only</v>
          </cell>
          <cell r="Q2359">
            <v>596.73</v>
          </cell>
          <cell r="R2359">
            <v>8</v>
          </cell>
        </row>
        <row r="2360">
          <cell r="A2360" t="str">
            <v>004821</v>
          </cell>
          <cell r="B2360" t="str">
            <v>LDC 2</v>
          </cell>
          <cell r="D2360" t="str">
            <v>no</v>
          </cell>
          <cell r="E2360" t="str">
            <v>222820INMGP</v>
          </cell>
          <cell r="F2360" t="str">
            <v>F0688</v>
          </cell>
          <cell r="G2360" t="str">
            <v>Misc Cur &amp; Accr Liab-EPA MGE</v>
          </cell>
          <cell r="H2360" t="str">
            <v>Prov Res-Env Ind MGP Cleanup</v>
          </cell>
          <cell r="I2360" t="str">
            <v>open</v>
          </cell>
          <cell r="J2360" t="str">
            <v>Prov Res-Env Ind MGP Cleanup</v>
          </cell>
          <cell r="P2360" t="str">
            <v>Expense Only</v>
          </cell>
          <cell r="Q2360">
            <v>41322.47</v>
          </cell>
          <cell r="R2360">
            <v>0</v>
          </cell>
        </row>
        <row r="2361">
          <cell r="A2361" t="str">
            <v>007326</v>
          </cell>
          <cell r="B2361" t="str">
            <v>LDC 2</v>
          </cell>
          <cell r="D2361" t="str">
            <v>yes</v>
          </cell>
          <cell r="E2361" t="str">
            <v>20501144049</v>
          </cell>
          <cell r="F2361" t="str">
            <v>F0664</v>
          </cell>
          <cell r="G2361" t="str">
            <v>Street &amp; Hwy Relocates ISRS (SW)</v>
          </cell>
          <cell r="H2361" t="str">
            <v>Relocate 3in PBS Due to Storm Impro</v>
          </cell>
          <cell r="I2361" t="str">
            <v>posted to CPR</v>
          </cell>
          <cell r="J2361" t="str">
            <v>Relocate 3in PBS Due to Storm Improvements: Joplin: Relocate for Street &amp; Highway-Public Improvements (44-388)</v>
          </cell>
          <cell r="K2361" t="str">
            <v>Approved by: Galen Shoemaker on 12/22/2014,  Abandon 120' - 3" PBS (WO# 62-4690), and 20' - 4" PE (WO# 09-5709) and replace with 135' - 4" PE due to proposed storm water improvements. Project Location: 24th and Patterson; Pressure System: C-3; MOP: 8.00 psig; MAOP: 8.50 psig; Design: 58 psig; Test: 100 psig; ISRS $81.07/ft</v>
          </cell>
          <cell r="L2361">
            <v>42024</v>
          </cell>
          <cell r="M2361">
            <v>42217</v>
          </cell>
          <cell r="N2361">
            <v>42284.723055555602</v>
          </cell>
          <cell r="O2361">
            <v>42036</v>
          </cell>
          <cell r="P2361" t="str">
            <v>0501-044001  JASPER CTY/JOPLIN</v>
          </cell>
          <cell r="Q2361">
            <v>3813.44</v>
          </cell>
          <cell r="R2361">
            <v>1664</v>
          </cell>
        </row>
        <row r="2362">
          <cell r="A2362" t="str">
            <v>006985</v>
          </cell>
          <cell r="B2362" t="str">
            <v>LDC 2</v>
          </cell>
          <cell r="D2362" t="str">
            <v>yes</v>
          </cell>
          <cell r="E2362" t="str">
            <v>20501143978</v>
          </cell>
          <cell r="F2362" t="str">
            <v>F0575</v>
          </cell>
          <cell r="G2362" t="str">
            <v>Replace steel &amp; plastic main</v>
          </cell>
          <cell r="H2362" t="str">
            <v>Repl 230ft of 2in PE 19th and NH Jo</v>
          </cell>
          <cell r="I2362" t="str">
            <v>posted to CPR</v>
          </cell>
          <cell r="J2362" t="str">
            <v>Repl 230ft of 2in PE 19th and NH Joplin Tornado: Joplin: Replace Coated Steel &amp; Plastic Main - 3760 (34-396)</v>
          </cell>
          <cell r="K2362" t="str">
            <v>Approved by: Galen Shoemaker on 11/18/2014,  *JOPLIN TORNADO* Replace main after Joplin Tornado to provide service to 1511 E 19th. Project Location: 19th and New Hampshire; Pressure System: C-3; MOP: 8.00 psig; MAOP: 8.50 psig; Design: 58 psig; Test: 100 psig; $31.21</v>
          </cell>
          <cell r="L2362">
            <v>41996</v>
          </cell>
          <cell r="M2362">
            <v>42063</v>
          </cell>
          <cell r="N2362">
            <v>42160.554062499999</v>
          </cell>
          <cell r="O2362">
            <v>42005</v>
          </cell>
          <cell r="P2362" t="str">
            <v>0501-044001  JASPER CTY/JOPLIN</v>
          </cell>
          <cell r="Q2362">
            <v>-5078.97</v>
          </cell>
          <cell r="R2362">
            <v>-728</v>
          </cell>
        </row>
        <row r="2363">
          <cell r="A2363" t="str">
            <v>004229</v>
          </cell>
          <cell r="B2363" t="str">
            <v>LDC 2</v>
          </cell>
          <cell r="D2363" t="str">
            <v>no</v>
          </cell>
          <cell r="E2363" t="str">
            <v>20501143367</v>
          </cell>
          <cell r="F2363" t="str">
            <v>F0630</v>
          </cell>
          <cell r="G2363" t="str">
            <v>Meter &amp; Reg Settings 2" &amp; Lg (SW)</v>
          </cell>
          <cell r="H2363" t="str">
            <v>Heartland Petfood 23M Meter Set</v>
          </cell>
          <cell r="I2363" t="str">
            <v>posted to CPR</v>
          </cell>
          <cell r="J2363" t="str">
            <v>Heartland Petfood 23M Meter Set: Joplin: 8101 E 32nd St</v>
          </cell>
          <cell r="K2363" t="str">
            <v>Approved by: Galen Shoemaker on 03/10/2014,  INSTALL 4" 23M ROTARY SETTING TO SERVE HEARTLAND PETFOOD LOCATED AT 8101 E 32ND IN JOPLIN. TOTAL CONNECTED DEMAND IS 71,835 CFH. WILL USE 2" FLANGED ROCKWELL 441-57S W/1" DBL VALVE AND BLUE SPRING SET AT 10 PSIG AS THE OPERATOR AND 2" FLANGED ROCKWELL 441-57S W/1" DBL VALVE AND RED SPRING SET AT 15 PSIG AS THE MONITOR. WILL USE 1" FISHER 289H-43 RELIEF SET AT 9 PSIG AS A WARNING RELIEF. TOTAL CUSTOMER DEMAND IS 71,835 CFH. BASED ON THE ECONOMIC EVALUATION, THERE WILL BE NO CHARGE TO THE CUSTOMER. SYSTEM S-121  MOP=58 PSIG   MAOP=60 PSIG</v>
          </cell>
          <cell r="L2363">
            <v>41754</v>
          </cell>
          <cell r="M2363">
            <v>41904</v>
          </cell>
          <cell r="N2363">
            <v>41914.651122685202</v>
          </cell>
          <cell r="O2363">
            <v>41791</v>
          </cell>
          <cell r="P2363" t="str">
            <v>0501-044001  JASPER CTY/JOPLIN</v>
          </cell>
          <cell r="Q2363">
            <v>16992.48</v>
          </cell>
          <cell r="R2363">
            <v>-141</v>
          </cell>
        </row>
        <row r="2364">
          <cell r="A2364" t="str">
            <v>004051</v>
          </cell>
          <cell r="B2364" t="str">
            <v>LDC 2</v>
          </cell>
          <cell r="D2364" t="str">
            <v>no</v>
          </cell>
          <cell r="E2364" t="str">
            <v>20501132774</v>
          </cell>
          <cell r="F2364" t="str">
            <v>F0677</v>
          </cell>
          <cell r="G2364" t="str">
            <v>New business</v>
          </cell>
          <cell r="H2364" t="str">
            <v>Sunny Crest Ln Lay 110'-2in PE main</v>
          </cell>
          <cell r="I2364" t="str">
            <v>posted to CPR</v>
          </cell>
          <cell r="J2364" t="str">
            <v>Sunny Crest Ln Lay 110'-2in PE main ext: Joplin: Sunny Crest Ln and Newman Rd</v>
          </cell>
          <cell r="K2364" t="str">
            <v>Approved by: Galen Shoemaker on 06/25/2013,  Extend main with 110' - 2in PE in order to renew two services without crossing other properties. Project Location: Sunny Crest Ln and Newman Rd; Pressure System: C-100; MOP: 30 psig; MAOP: 30 psig; Design: 58 psig; Test: 100 psig; $23.67/ft</v>
          </cell>
          <cell r="L2364">
            <v>41450</v>
          </cell>
          <cell r="M2364">
            <v>41564</v>
          </cell>
          <cell r="N2364">
            <v>41564.624745370398</v>
          </cell>
          <cell r="P2364" t="str">
            <v>0501-044001  JASPER CTY/JOPLIN</v>
          </cell>
          <cell r="Q2364">
            <v>1369.3</v>
          </cell>
          <cell r="R2364">
            <v>621</v>
          </cell>
        </row>
        <row r="2365">
          <cell r="A2365" t="str">
            <v>005733</v>
          </cell>
          <cell r="B2365" t="str">
            <v>LDC 2</v>
          </cell>
          <cell r="D2365" t="str">
            <v>yes</v>
          </cell>
          <cell r="E2365" t="str">
            <v>20501143667</v>
          </cell>
          <cell r="F2365" t="str">
            <v>F0664</v>
          </cell>
          <cell r="G2365" t="str">
            <v>Street &amp; Hwy Relocates ISRS (SW)</v>
          </cell>
          <cell r="H2365" t="str">
            <v>1st &amp; McKinley Reloc PBS w 1215'-2i</v>
          </cell>
          <cell r="I2365" t="str">
            <v>posted to CPR</v>
          </cell>
          <cell r="J2365" t="str">
            <v>1st &amp; McKinley Reloc PBS w 1215'-2in PE main: Joplin: Relocate for Street &amp; Highway-Public Improvements (44-388)</v>
          </cell>
          <cell r="K2365" t="str">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ell>
          <cell r="L2365">
            <v>41852</v>
          </cell>
          <cell r="M2365">
            <v>41913</v>
          </cell>
          <cell r="N2365">
            <v>42012.316944444399</v>
          </cell>
          <cell r="O2365">
            <v>41852</v>
          </cell>
          <cell r="P2365" t="str">
            <v>0501-044001  JASPER CTY/JOPLIN</v>
          </cell>
          <cell r="Q2365">
            <v>24341.3</v>
          </cell>
          <cell r="R2365">
            <v>-3021.5</v>
          </cell>
        </row>
        <row r="2366">
          <cell r="A2366" t="str">
            <v>003798</v>
          </cell>
          <cell r="B2366" t="str">
            <v>LDC 2</v>
          </cell>
          <cell r="D2366" t="str">
            <v>no</v>
          </cell>
          <cell r="E2366" t="str">
            <v>20501133016</v>
          </cell>
          <cell r="F2366" t="str">
            <v>F0639</v>
          </cell>
          <cell r="G2366" t="str">
            <v>EGM Equip-1st Time Installation</v>
          </cell>
          <cell r="H2366" t="str">
            <v>EGM - Able Mfg &amp; Assembly</v>
          </cell>
          <cell r="I2366" t="str">
            <v>posted to CPR</v>
          </cell>
          <cell r="J2366" t="str">
            <v>EGM - Able Mfg &amp; Assembly: Joplin: 1000 S Schifferdecker Ave - Joplin, MO 64801</v>
          </cell>
          <cell r="K2366" t="str">
            <v>Approved by: Rob Kitterman on 09/24/2013,  Install Mercury MiniMax-AT-T w/ Messenger Modem S/N:        on Roots 16M meter no 00441343 to monitor daily gas usage of this transportation customer. Customer will reimburse company actual cost for EGM installation not to exceed $5,445.00, which should be coded to account 1072. ATTENTION: Plant &amp; Property Accounting, EGM work order, turn off A&amp;G indicator.</v>
          </cell>
          <cell r="L2366">
            <v>41578</v>
          </cell>
          <cell r="M2366">
            <v>41670</v>
          </cell>
          <cell r="N2366">
            <v>41677.509826388901</v>
          </cell>
          <cell r="P2366" t="str">
            <v>0501-044001  JASPER CTY/JOPLIN</v>
          </cell>
          <cell r="Q2366">
            <v>272.83999999999997</v>
          </cell>
          <cell r="R2366">
            <v>4</v>
          </cell>
        </row>
        <row r="2367">
          <cell r="A2367" t="str">
            <v>800263</v>
          </cell>
          <cell r="B2367" t="str">
            <v>LDC 2</v>
          </cell>
          <cell r="C2367" t="str">
            <v>03 - Bare Steel Replacement</v>
          </cell>
          <cell r="D2367" t="str">
            <v>yes</v>
          </cell>
          <cell r="F2367" t="str">
            <v>F0572</v>
          </cell>
          <cell r="G2367" t="str">
            <v>Main Replacement - ISRS (SW)</v>
          </cell>
          <cell r="H2367" t="str">
            <v>Repl w/ 1375F 2P Webb City Ph2B</v>
          </cell>
          <cell r="I2367" t="str">
            <v>open</v>
          </cell>
          <cell r="J2367" t="str">
            <v>Install 1375 ft of 2 in PL IP and 20 ft of 4 in PL IP main &amp; abandon 2242 ft of ST LP and Uprate 5041 PL LP main to IP on Walker Ave, Hall Ave, Tom Ave, and Cook St. - Webb City Ph 2B.</v>
          </cell>
          <cell r="K2367" t="str">
            <v>Main is being replaced as part of the FY2016 Bare Steel Main Replacement Program.
Uprate ~103' of 1-1/4'' PL LP, ~2831' of 2'' PL LP, and ~2107' of 4'' PL LP main to IP. on Galena St, Wood St, Vine St, Devon Ave, Walker Ave, and Hall Ave. Total Service Estimate: 8 Tie-Overs, 55 Upgrades, and 8 Abandonments</v>
          </cell>
          <cell r="P2367" t="str">
            <v>0502-044006  JASPER CTY/WEBB CITY</v>
          </cell>
          <cell r="Q2367">
            <v>204413.57</v>
          </cell>
          <cell r="R2367">
            <v>-6254.5</v>
          </cell>
        </row>
        <row r="2368">
          <cell r="A2368" t="str">
            <v>009238</v>
          </cell>
          <cell r="B2368" t="str">
            <v>LDC 2</v>
          </cell>
          <cell r="D2368" t="str">
            <v>no</v>
          </cell>
          <cell r="E2368" t="str">
            <v>20502155514</v>
          </cell>
          <cell r="F2368" t="str">
            <v>F0630</v>
          </cell>
          <cell r="G2368" t="str">
            <v>Meter &amp; Reg Settings 2" &amp; Lg (SW)</v>
          </cell>
          <cell r="H2368" t="str">
            <v>Inst 2 Inch Prefab Set For 3M Rotar</v>
          </cell>
          <cell r="I2368" t="str">
            <v>in service</v>
          </cell>
          <cell r="J2368" t="str">
            <v>Inst 2 Inch Prefab Set For 3M Rotary: Webb City: New Meter &amp; Reg Settings - 2&amp;quot; &amp; Larger 3820/3830 (33-382)</v>
          </cell>
          <cell r="K2368" t="str">
            <v>Approved by: Michael Fornelli on 08/19/2015,  Install 2" prefab meter setting for 3M rotary meter. Will use 2" flanged American Reliance regulator with 7"-14" spring to deliver 14" WC to the customer. Will use Fisher 289 relief set at 2 PSIG for overpressure protection. There will be no charge to the customer for the setting due to economic evaluation. Total connected demand is 2992 cfh. System 0502-C-1  MAOP=1.75 PSIG  MOP=1.75 PSIG</v>
          </cell>
          <cell r="L2368">
            <v>42325</v>
          </cell>
          <cell r="O2368">
            <v>42614</v>
          </cell>
          <cell r="P2368" t="str">
            <v>0502-044006  JASPER CTY/WEBB CITY</v>
          </cell>
          <cell r="Q2368">
            <v>3322.05</v>
          </cell>
          <cell r="R2368">
            <v>12</v>
          </cell>
        </row>
        <row r="2369">
          <cell r="A2369" t="str">
            <v>003808</v>
          </cell>
          <cell r="B2369" t="str">
            <v>LDC 2</v>
          </cell>
          <cell r="D2369" t="str">
            <v>yes</v>
          </cell>
          <cell r="E2369" t="str">
            <v>20503143406</v>
          </cell>
          <cell r="F2369" t="str">
            <v>F0544</v>
          </cell>
          <cell r="G2369" t="str">
            <v>Replace bare steel main - safety re</v>
          </cell>
          <cell r="H2369" t="str">
            <v>3rd &amp; Arch Repl PBS w 2795'-4;745'-</v>
          </cell>
          <cell r="I2369" t="str">
            <v>posted to CPR</v>
          </cell>
          <cell r="J2369" t="str">
            <v>3rd &amp; Arch Repl PBS w 2795'-4;745'-2in PE main: Carterville: 3rd and Arch</v>
          </cell>
          <cell r="K2369" t="str">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ell>
          <cell r="L2369">
            <v>41943</v>
          </cell>
          <cell r="M2369">
            <v>42063</v>
          </cell>
          <cell r="N2369">
            <v>42160.550358796303</v>
          </cell>
          <cell r="O2369">
            <v>41944</v>
          </cell>
          <cell r="P2369" t="str">
            <v>0503-044010  JASPER CTY/CARTERVILLE</v>
          </cell>
          <cell r="Q2369">
            <v>42375.7</v>
          </cell>
          <cell r="R2369">
            <v>-6128</v>
          </cell>
        </row>
        <row r="2370">
          <cell r="A2370" t="str">
            <v>003975</v>
          </cell>
          <cell r="B2370" t="str">
            <v>LDC 2</v>
          </cell>
          <cell r="D2370" t="str">
            <v>yes</v>
          </cell>
          <cell r="E2370" t="str">
            <v>20501050361</v>
          </cell>
          <cell r="F2370" t="str">
            <v>F0494</v>
          </cell>
          <cell r="G2370" t="str">
            <v>SLRP - modified block by block - co</v>
          </cell>
          <cell r="H2370" t="str">
            <v>BWO SERVICE LINE REPL MODIFIED BLOC</v>
          </cell>
          <cell r="I2370" t="str">
            <v>open</v>
          </cell>
          <cell r="J2370" t="str">
            <v>BWO SERVICE LINE REPL MODIFIED BLOCK COMP</v>
          </cell>
          <cell r="K2370" t="str">
            <v>Service/Yard Line Replacement (SLRP): Company Crew.  Modified Block by Block - Planned replacement of all unprotected steel or copper in a single block.  (Joplin - South Region)</v>
          </cell>
          <cell r="O2370">
            <v>41730</v>
          </cell>
          <cell r="P2370" t="str">
            <v>0501-044001  JASPER CTY/JOPLIN</v>
          </cell>
          <cell r="Q2370">
            <v>69112.399999999994</v>
          </cell>
          <cell r="R2370">
            <v>1015.5</v>
          </cell>
        </row>
        <row r="2371">
          <cell r="A2371" t="str">
            <v>004588</v>
          </cell>
          <cell r="B2371" t="str">
            <v>LDC 2</v>
          </cell>
          <cell r="D2371" t="str">
            <v>yes</v>
          </cell>
          <cell r="E2371" t="str">
            <v>20502143412</v>
          </cell>
          <cell r="F2371" t="str">
            <v>F0544</v>
          </cell>
          <cell r="G2371" t="str">
            <v>Replace bare steel main - safety re</v>
          </cell>
          <cell r="H2371" t="str">
            <v>Jefferson Repl PBS/PCS w 1080'-6;82</v>
          </cell>
          <cell r="I2371" t="str">
            <v>posted to CPR</v>
          </cell>
          <cell r="J2371" t="str">
            <v>Jefferson Repl PBS/PCS w 1080'-6;820'-2in PE main: Webb City: Jefferson and Daugherty</v>
          </cell>
          <cell r="K2371" t="str">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
Reopened for Infrasource invoice 8-5-15 per Cindy Peck. - AMM</v>
          </cell>
          <cell r="L2371">
            <v>41870</v>
          </cell>
          <cell r="M2371">
            <v>42063</v>
          </cell>
          <cell r="N2371">
            <v>42160.551909722199</v>
          </cell>
          <cell r="O2371">
            <v>41974</v>
          </cell>
          <cell r="P2371" t="str">
            <v>0502-044006  JASPER CTY/WEBB CITY</v>
          </cell>
          <cell r="Q2371">
            <v>48193.75</v>
          </cell>
          <cell r="R2371">
            <v>-4624</v>
          </cell>
        </row>
        <row r="2372">
          <cell r="A2372" t="str">
            <v>008761</v>
          </cell>
          <cell r="B2372" t="str">
            <v>LDC 2</v>
          </cell>
          <cell r="D2372" t="str">
            <v>yes</v>
          </cell>
          <cell r="E2372" t="str">
            <v>20201155405</v>
          </cell>
          <cell r="F2372" t="str">
            <v>F0604</v>
          </cell>
          <cell r="G2372" t="str">
            <v>Main Replacement - ISRS (S)</v>
          </cell>
          <cell r="H2372" t="str">
            <v>Replace  2in &amp; 4in PBS Main</v>
          </cell>
          <cell r="I2372" t="str">
            <v>posted to CPR</v>
          </cell>
          <cell r="J2372" t="str">
            <v>Replace  2in &amp; 4in PBS Main: Independence: Replace Bare Steel Main - 3760 Safety Related (34-394)</v>
          </cell>
          <cell r="K2372" t="str">
            <v>Approved by: Joe Hampton on 06/23/2015,  Replace and abandon 2" and 4" pbs main by installing 2,140' of pe main to clear CP 15-42 dated 02/25/15 due to a low CP read which would require the installation of anodes on O&amp;M (ISRS).
FCOMP 7-22-16 PER MAXIMO</v>
          </cell>
          <cell r="L2372">
            <v>42573</v>
          </cell>
          <cell r="M2372">
            <v>42675</v>
          </cell>
          <cell r="N2372">
            <v>42710.599907407399</v>
          </cell>
          <cell r="O2372">
            <v>42552</v>
          </cell>
          <cell r="P2372" t="str">
            <v>0201-043001  JACKSON CTY/INDEPENDENCE</v>
          </cell>
          <cell r="Q2372">
            <v>126787.04</v>
          </cell>
          <cell r="R2372">
            <v>-1517</v>
          </cell>
        </row>
        <row r="2373">
          <cell r="A2373" t="str">
            <v>004624</v>
          </cell>
          <cell r="B2373" t="str">
            <v>LDC 2</v>
          </cell>
          <cell r="D2373" t="str">
            <v>yes</v>
          </cell>
          <cell r="E2373" t="str">
            <v>20201132733</v>
          </cell>
          <cell r="F2373" t="str">
            <v>F0578</v>
          </cell>
          <cell r="G2373" t="str">
            <v>Street &amp; Highway Relocates ISRS (S)</v>
          </cell>
          <cell r="H2373" t="str">
            <v>33rd Terr Reloc PBS w 620'-2in Pe</v>
          </cell>
          <cell r="I2373" t="str">
            <v>posted to CPR</v>
          </cell>
          <cell r="J2373" t="str">
            <v>33rd Terr Sanitary Improvement 2in Relocation: Independence: 31st and Sheley</v>
          </cell>
          <cell r="K2373" t="str">
            <v>Approved by: Ralph Janes on 06/14/2013,  Public Improvement Project: 33rd Terrace Sanitary Sewer Improvements. The existing main is 4in PBS under the pavement. As part of the project the city will mill and overlay the street. We will relocate to the parkway with 2in PE to avoid costly pavement restoration in the future. Install 80' of 4in PE and 620' of 2in PE. Main to retire: 42' - 4&amp;quot; PCS (WO# 63-6062); 633' - 4in PBS (WO# A5064); 10' - 2in PBS (WO# 14524); 20' - 4in PE (WO# 03-5933). Price per ft = $42.63  (ISRS)</v>
          </cell>
          <cell r="L2373">
            <v>41639</v>
          </cell>
          <cell r="M2373">
            <v>41696</v>
          </cell>
          <cell r="N2373">
            <v>41710.614594907398</v>
          </cell>
          <cell r="O2373">
            <v>41730</v>
          </cell>
          <cell r="P2373" t="str">
            <v>0201-043001  JACKSON CTY/INDEPENDENCE</v>
          </cell>
          <cell r="Q2373">
            <v>30584.9</v>
          </cell>
          <cell r="R2373">
            <v>2480</v>
          </cell>
        </row>
        <row r="2374">
          <cell r="A2374" t="str">
            <v>003921</v>
          </cell>
          <cell r="B2374" t="str">
            <v>LDC 2</v>
          </cell>
          <cell r="D2374" t="str">
            <v>no</v>
          </cell>
          <cell r="E2374" t="str">
            <v>20201133170</v>
          </cell>
          <cell r="F2374" t="str">
            <v>F0604</v>
          </cell>
          <cell r="G2374" t="str">
            <v>Main Replacement - ISRS (S)</v>
          </cell>
          <cell r="H2374" t="str">
            <v>Crysler &amp; 35th Repl PBS w 5440'-2in</v>
          </cell>
          <cell r="I2374" t="str">
            <v>posted to CPR</v>
          </cell>
          <cell r="J2374" t="str">
            <v>Crysler &amp; 35th Repl PBS w 5440'-2in PE main: Independence: Crysler and 25th Street</v>
          </cell>
          <cell r="K2374" t="str">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ell>
          <cell r="L2374">
            <v>41782</v>
          </cell>
          <cell r="M2374">
            <v>41913</v>
          </cell>
          <cell r="N2374">
            <v>41978.592604166697</v>
          </cell>
          <cell r="O2374">
            <v>41791</v>
          </cell>
          <cell r="P2374" t="str">
            <v>0201-043001  JACKSON CTY/INDEPENDENCE</v>
          </cell>
          <cell r="Q2374">
            <v>166836.28</v>
          </cell>
          <cell r="R2374">
            <v>17247</v>
          </cell>
        </row>
        <row r="2375">
          <cell r="A2375" t="str">
            <v>004403</v>
          </cell>
          <cell r="B2375" t="str">
            <v>LDC 2</v>
          </cell>
          <cell r="D2375" t="str">
            <v>yes</v>
          </cell>
          <cell r="E2375" t="str">
            <v>20201050372</v>
          </cell>
          <cell r="F2375" t="str">
            <v>F0650</v>
          </cell>
          <cell r="G2375" t="str">
            <v>SLRP - block by block - contract</v>
          </cell>
          <cell r="H2375" t="str">
            <v>BWO SERVICE LINE REPL BLOCK CONTRAC</v>
          </cell>
          <cell r="I2375" t="str">
            <v>posted to CPR</v>
          </cell>
          <cell r="J2375" t="str">
            <v>BWO SERVICE LINE REPL BLOCK CONTRACT</v>
          </cell>
          <cell r="K2375" t="str">
            <v>Project Type:B</v>
          </cell>
          <cell r="L2375">
            <v>41717</v>
          </cell>
          <cell r="M2375">
            <v>41717</v>
          </cell>
          <cell r="N2375">
            <v>41717</v>
          </cell>
          <cell r="P2375" t="str">
            <v>0201-043001  JACKSON CTY/INDEPENDENCE</v>
          </cell>
          <cell r="Q2375">
            <v>54328.06</v>
          </cell>
          <cell r="R2375">
            <v>101</v>
          </cell>
        </row>
        <row r="2376">
          <cell r="A2376" t="str">
            <v>003824</v>
          </cell>
          <cell r="B2376" t="str">
            <v>LDC 2</v>
          </cell>
          <cell r="D2376" t="str">
            <v>yes</v>
          </cell>
          <cell r="E2376" t="str">
            <v>20301050363</v>
          </cell>
          <cell r="F2376" t="str">
            <v>F0516</v>
          </cell>
          <cell r="G2376" t="str">
            <v>SLRP - meter &amp; regulator replacemen</v>
          </cell>
          <cell r="H2376" t="str">
            <v>BWO SLRP MTR/REG REPL COMPANY</v>
          </cell>
          <cell r="I2376" t="str">
            <v>posted to CPR</v>
          </cell>
          <cell r="J2376" t="str">
            <v>BWO SLRP MTR/REG REPL COMPANY</v>
          </cell>
          <cell r="K2376" t="str">
            <v>Project Type:B</v>
          </cell>
          <cell r="L2376">
            <v>41717</v>
          </cell>
          <cell r="M2376">
            <v>41717</v>
          </cell>
          <cell r="N2376">
            <v>41717</v>
          </cell>
          <cell r="P2376" t="str">
            <v>0301-046001  JOHNSON CTY/WARRENSBURG</v>
          </cell>
          <cell r="Q2376">
            <v>13507.11</v>
          </cell>
          <cell r="R2376">
            <v>143</v>
          </cell>
        </row>
        <row r="2377">
          <cell r="A2377" t="str">
            <v>008961</v>
          </cell>
          <cell r="B2377" t="str">
            <v>LDC 2</v>
          </cell>
          <cell r="D2377" t="str">
            <v>yes</v>
          </cell>
          <cell r="E2377" t="str">
            <v>20305155131</v>
          </cell>
          <cell r="F2377" t="str">
            <v>F0604</v>
          </cell>
          <cell r="G2377" t="str">
            <v>Main Replacement - ISRS (S)</v>
          </cell>
          <cell r="H2377" t="str">
            <v>Replace 2in PBS/PCS/PE Main</v>
          </cell>
          <cell r="I2377" t="str">
            <v>posted to CPR</v>
          </cell>
          <cell r="J2377" t="str">
            <v>Replace 2in PBS/PCS/PE Main: Sweet Springs: Replace Bare Steel Main - 3760 Safety Related (34-394)</v>
          </cell>
          <cell r="K2377" t="str">
            <v>Approved by: Joe Hampton on 07/09/2015,  Replace and Abandon 2" PBS, PCS and PE main as part of the whole town main replacement project.  (ISRS)</v>
          </cell>
          <cell r="L2377">
            <v>42286</v>
          </cell>
          <cell r="M2377">
            <v>42429</v>
          </cell>
          <cell r="N2377">
            <v>42527.512604166703</v>
          </cell>
          <cell r="O2377">
            <v>42370</v>
          </cell>
          <cell r="P2377" t="str">
            <v>0305-086001  SALINE CTY/SWEET SPRINGS</v>
          </cell>
          <cell r="Q2377">
            <v>99164.34</v>
          </cell>
          <cell r="R2377">
            <v>-5634</v>
          </cell>
        </row>
        <row r="2378">
          <cell r="A2378" t="str">
            <v>008061</v>
          </cell>
          <cell r="B2378" t="str">
            <v>LDC 2</v>
          </cell>
          <cell r="D2378" t="str">
            <v>yes</v>
          </cell>
          <cell r="E2378" t="str">
            <v>20305155214</v>
          </cell>
          <cell r="F2378" t="str">
            <v>F0604</v>
          </cell>
          <cell r="G2378" t="str">
            <v>Main Replacement - ISRS (S)</v>
          </cell>
          <cell r="H2378" t="str">
            <v>Replace pbs main</v>
          </cell>
          <cell r="I2378" t="str">
            <v>posted to CPR</v>
          </cell>
          <cell r="J2378" t="str">
            <v>Replace pbs main: Sweet Springs: Replace Bare Steel Main - 3760 Safety Related (34-394)</v>
          </cell>
          <cell r="K2378" t="str">
            <v>Approved by: Joe Hampton on 04/03/2015,  Replace main that currently runs on S. Locust St, Daisy St, Willa St, and Union Ave. ISRS</v>
          </cell>
          <cell r="L2378">
            <v>42286</v>
          </cell>
          <cell r="M2378">
            <v>42429</v>
          </cell>
          <cell r="N2378">
            <v>42527.511805555601</v>
          </cell>
          <cell r="O2378">
            <v>42370</v>
          </cell>
          <cell r="P2378" t="str">
            <v>0305-086001  SALINE CTY/SWEET SPRINGS</v>
          </cell>
          <cell r="Q2378">
            <v>177630.69</v>
          </cell>
          <cell r="R2378">
            <v>-5224.5</v>
          </cell>
        </row>
        <row r="2379">
          <cell r="A2379" t="str">
            <v>800516</v>
          </cell>
          <cell r="B2379" t="str">
            <v>LDC 2</v>
          </cell>
          <cell r="D2379" t="str">
            <v>no</v>
          </cell>
          <cell r="F2379" t="str">
            <v>F0604</v>
          </cell>
          <cell r="G2379" t="str">
            <v>Main Replacement - ISRS (S)</v>
          </cell>
          <cell r="H2379" t="str">
            <v>Repl w/ 365F 4P Country Club Dr</v>
          </cell>
          <cell r="I2379" t="str">
            <v>open</v>
          </cell>
          <cell r="J2379" t="str">
            <v>Replace and abandon 364' of 4PE Main installed on work order 998972 by installing 365' of 4P main. Existing main was installed prior to curb and street. Main ended up under new street and was too shallow.</v>
          </cell>
          <cell r="K2379" t="str">
            <v>Main had been previously cut off and capped but not reported as abandoned on a work order. The planned houses are now being built and the main is needed.</v>
          </cell>
          <cell r="P2379" t="str">
            <v>0312-014001  CARROLL CTY/CARROLLTON</v>
          </cell>
          <cell r="Q2379">
            <v>1090.92</v>
          </cell>
          <cell r="R2379">
            <v>-78</v>
          </cell>
        </row>
        <row r="2380">
          <cell r="A2380" t="str">
            <v>004233</v>
          </cell>
          <cell r="B2380" t="str">
            <v>LDC 2</v>
          </cell>
          <cell r="D2380" t="str">
            <v>yes</v>
          </cell>
          <cell r="E2380" t="str">
            <v>20312143312</v>
          </cell>
          <cell r="F2380" t="str">
            <v>F0604</v>
          </cell>
          <cell r="G2380" t="str">
            <v>Main Replacement - ISRS (S)</v>
          </cell>
          <cell r="H2380" t="str">
            <v>Virginia &amp; 2nd St Repl PBS/PCS w 60</v>
          </cell>
          <cell r="I2380" t="str">
            <v>posted to CPR</v>
          </cell>
          <cell r="J2380" t="str">
            <v>Virginia &amp; 2nd St Repl PBS/PCS w 600'-2in PE main: Carrollton: N Virginia St and E 2nd St</v>
          </cell>
          <cell r="K2380" t="str">
            <v>Approved by: Ralph Janes on 01/30/2014,  Replace and retire 333' - 2" pbs main (Unknown wo) and 265' - 2" pcs main (wo 671296) by installing 600' - 2" pe main due to leakage.  (ISRS)</v>
          </cell>
          <cell r="L2380">
            <v>41717</v>
          </cell>
          <cell r="M2380">
            <v>41820</v>
          </cell>
          <cell r="N2380">
            <v>41890.701759259297</v>
          </cell>
          <cell r="O2380">
            <v>41730</v>
          </cell>
          <cell r="P2380" t="str">
            <v>0312-014001  CARROLL CTY/CARROLLTON</v>
          </cell>
          <cell r="Q2380">
            <v>35470.15</v>
          </cell>
          <cell r="R2380">
            <v>3394.5</v>
          </cell>
        </row>
        <row r="2381">
          <cell r="A2381" t="str">
            <v>004448</v>
          </cell>
          <cell r="B2381" t="str">
            <v>LDC 2</v>
          </cell>
          <cell r="D2381" t="str">
            <v>yes</v>
          </cell>
          <cell r="E2381" t="str">
            <v>20317132851</v>
          </cell>
          <cell r="F2381" t="str">
            <v>F0604</v>
          </cell>
          <cell r="G2381" t="str">
            <v>Main Replacement - ISRS (S)</v>
          </cell>
          <cell r="H2381" t="str">
            <v>Railroad St Repl PBS w 25'-6;10'-4i</v>
          </cell>
          <cell r="I2381" t="str">
            <v>posted to CPR</v>
          </cell>
          <cell r="J2381" t="str">
            <v>Railroad St Repl PBS w 25'-6;10'-4in TF Steel main: Fayette: Railroad St and Watts Ave</v>
          </cell>
          <cell r="K2381" t="str">
            <v>Approved by: Ralph Janes on 07/31/2013,  Main to abandon: 10' of 4in PBS from wo-none, 10' of 4in PBS from wo A1804, and 15' of 6in PBS from wo A1804. Replace with 25' of 6in thin film and 10' of 4in thin film on WO# 13-2851. Remove 2 existing 4in gate valves. There is leakage in the home-made &amp;quot;Y&amp;quot; where the 6in main reduces into two 4&amp;quot; PBS mains.</v>
          </cell>
          <cell r="L2381">
            <v>41572</v>
          </cell>
          <cell r="M2381">
            <v>41715</v>
          </cell>
          <cell r="N2381">
            <v>41715.574351851901</v>
          </cell>
          <cell r="O2381">
            <v>41730</v>
          </cell>
          <cell r="P2381" t="str">
            <v>0317-040001  HOWARD CTY/FAYETTE</v>
          </cell>
          <cell r="Q2381">
            <v>29694</v>
          </cell>
          <cell r="R2381">
            <v>165.2</v>
          </cell>
        </row>
        <row r="2382">
          <cell r="A2382" t="str">
            <v>800076</v>
          </cell>
          <cell r="B2382" t="str">
            <v>LDC 2</v>
          </cell>
          <cell r="C2382" t="str">
            <v>03 - Bare Steel Replacement</v>
          </cell>
          <cell r="D2382" t="str">
            <v>yes</v>
          </cell>
          <cell r="F2382" t="str">
            <v>F0604</v>
          </cell>
          <cell r="G2382" t="str">
            <v>Main Replacement - ISRS (S)</v>
          </cell>
          <cell r="H2382" t="str">
            <v>Repl w/ 4914 2-8P Tipton PhG</v>
          </cell>
          <cell r="I2382" t="str">
            <v>open</v>
          </cell>
          <cell r="J2382" t="str">
            <v>Install 713 Ft of 2 in PL, 12 Ft of 4 in PL, 4164 Ft of 8 in PL and 25 Ft of 8 in ST IP Main for Tipton Ph G. Abandon 156 Ft of 2 in ST and 5667 Ft of 4 in ST Main. Uprate approximately 26 miles of MP main and services to IP.</v>
          </cell>
          <cell r="K2382" t="str">
            <v>This main is being replaced as part of the FY16 Bare Steel Replacement Program.</v>
          </cell>
          <cell r="P2382" t="str">
            <v>0318-062001  MONITEAU CTY/TIPTON</v>
          </cell>
          <cell r="Q2382">
            <v>349645.38</v>
          </cell>
          <cell r="R2382">
            <v>-17153.5</v>
          </cell>
        </row>
        <row r="2383">
          <cell r="A2383" t="str">
            <v>800070</v>
          </cell>
          <cell r="B2383" t="str">
            <v>LDC 2</v>
          </cell>
          <cell r="C2383" t="str">
            <v>03 - Bare Steel Replacement</v>
          </cell>
          <cell r="D2383" t="str">
            <v>yes</v>
          </cell>
          <cell r="F2383" t="str">
            <v>F0604</v>
          </cell>
          <cell r="G2383" t="str">
            <v>Main Replacement - ISRS (S)</v>
          </cell>
          <cell r="H2383" t="str">
            <v>Tipton Grid Phase D - Bare steel re</v>
          </cell>
          <cell r="I2383" t="str">
            <v>in service</v>
          </cell>
          <cell r="J2383" t="str">
            <v>Install 1277 Ft of 4 in and 1089 Ft of 2 in PL MP Main on Briar, S. Ferguson &amp; Prospect St (Tipton Grid Ph D). Abandon 1997 Ft of 3 in PCS and 388 Ft of 2 in PBS MP main at the above locations.</v>
          </cell>
          <cell r="K2383" t="str">
            <v>Total Service Tie overs = 20; Total Service Abandon = 1; Total Service uprate = 0  This main is being replaced as part of the FY16 Bare Steel Replacement Program.</v>
          </cell>
          <cell r="L2383">
            <v>42674</v>
          </cell>
          <cell r="O2383">
            <v>42644</v>
          </cell>
          <cell r="P2383" t="str">
            <v>0318-062001  MONITEAU CTY/TIPTON</v>
          </cell>
          <cell r="Q2383">
            <v>155911.76</v>
          </cell>
          <cell r="R2383">
            <v>-3705.8366999999998</v>
          </cell>
        </row>
        <row r="2384">
          <cell r="A2384" t="str">
            <v>004405</v>
          </cell>
          <cell r="B2384" t="str">
            <v>LDC 2</v>
          </cell>
          <cell r="D2384" t="str">
            <v>yes</v>
          </cell>
          <cell r="E2384" t="str">
            <v>20801050377</v>
          </cell>
          <cell r="F2384" t="str">
            <v>F0557</v>
          </cell>
          <cell r="G2384" t="str">
            <v>SLRP - materials - contract</v>
          </cell>
          <cell r="H2384" t="str">
            <v>BWO MATERIAL SERV LINE REPL CONT</v>
          </cell>
          <cell r="I2384" t="str">
            <v>open</v>
          </cell>
          <cell r="J2384" t="str">
            <v>BWO MATERIAL SERV LINE REPL CONT</v>
          </cell>
          <cell r="K2384" t="str">
            <v>Project Type:B</v>
          </cell>
          <cell r="P2384" t="str">
            <v>0801-005001  BARRY CTY/MONETT</v>
          </cell>
          <cell r="Q2384">
            <v>44807.57</v>
          </cell>
          <cell r="R2384">
            <v>3385</v>
          </cell>
        </row>
        <row r="2385">
          <cell r="A2385" t="str">
            <v>004105</v>
          </cell>
          <cell r="B2385" t="str">
            <v>LDC 2</v>
          </cell>
          <cell r="D2385" t="str">
            <v>no</v>
          </cell>
          <cell r="E2385" t="str">
            <v>20802143276</v>
          </cell>
          <cell r="F2385" t="str">
            <v>F0656</v>
          </cell>
          <cell r="G2385" t="str">
            <v>Meter &amp; regulator settings - 2" &amp; l</v>
          </cell>
          <cell r="H2385" t="str">
            <v>21016 Hwy 97 Prefab 7M Mtr Set</v>
          </cell>
          <cell r="I2385" t="str">
            <v>posted to CPR</v>
          </cell>
          <cell r="J2385" t="str">
            <v>21016 Hwy 97 Prefab 7M Mtr Set: Pierce City: 21016 Hwy 97 Pierce City, Lil'Peckers LLC</v>
          </cell>
          <cell r="K2385" t="str">
            <v>Approved by: Galen Shoemaker on 03/05/2014,  JOB IS NECESSARY TO PROVIDE SERVICE TO LIL' PECKERS LLC CHICKEN FARM LOCATED AT 21016 HWY 97 IN PIERCE CITY. WILL USE 3" PREFAB SETTING FOR 7M ROTARY METER. WILL USE 2" FLANGED CL34-2 REGULATOR WITH 1/2" ORIFICE, ORANGE CLOSING SPRING, &amp; GREEN PILOT SPRING TO DELIVER 5 PSIG. WILL USE 1" FISHER 289 H-42 RELIEF SET AT 7 PSIG FOR OVERPRESSURE PROTECTION. TOTAL CONNECTED DEMAND IS 7,680 CFH. THERE WILL BE NO CHARGE FOR THE SETTING DUE TO ECONOMIC EVALUATION. SYSTEM S-6 MOP=30 PSIG  MAOP=31 PSIG.
Can't find completion report - entered As-Built AMM 10-4-14</v>
          </cell>
          <cell r="L2385">
            <v>41730</v>
          </cell>
          <cell r="M2385">
            <v>41883</v>
          </cell>
          <cell r="N2385">
            <v>41918.570092592599</v>
          </cell>
          <cell r="O2385">
            <v>41760</v>
          </cell>
          <cell r="P2385" t="str">
            <v>0802-050010  LAWRENCE CTY/PIERCE</v>
          </cell>
          <cell r="Q2385">
            <v>3379.5</v>
          </cell>
          <cell r="R2385">
            <v>17</v>
          </cell>
        </row>
        <row r="2386">
          <cell r="A2386" t="str">
            <v>004590</v>
          </cell>
          <cell r="B2386" t="str">
            <v>LDC 2</v>
          </cell>
          <cell r="D2386" t="str">
            <v>yes</v>
          </cell>
          <cell r="E2386" t="str">
            <v>20806133026</v>
          </cell>
          <cell r="F2386" t="str">
            <v>F0506</v>
          </cell>
          <cell r="G2386" t="str">
            <v>Services - 2" &amp; larger - safety</v>
          </cell>
          <cell r="H2386" t="str">
            <v>Doniphan Dr Repl 2in CS Service Lin</v>
          </cell>
          <cell r="I2386" t="str">
            <v>posted to CPR</v>
          </cell>
          <cell r="J2386" t="str">
            <v>Doniphan Dr Repl 2in CS Service Line : Neosho: Doniphan Dr Premier Turbine</v>
          </cell>
          <cell r="K2386" t="str">
            <v>Approved by: Galen Shoemaker on 11/26/2013,  Abandon 40' - 2" PBS service (WO#: NONE) and replace with 45' - 2" Thinfilm service in order to replace meter set. Operator-Monitor-11M Meter setting to be insalled on seperate work order. Project Location: Doniphan Dr; Pressure System: S-2301; MOP: 224 psig; MAOP: 224 psig; Design: 224 psig; Test: 336 psig; ISRS</v>
          </cell>
          <cell r="L2386">
            <v>41625</v>
          </cell>
          <cell r="M2386">
            <v>41698</v>
          </cell>
          <cell r="N2386">
            <v>41704.711643518502</v>
          </cell>
          <cell r="O2386">
            <v>41730</v>
          </cell>
          <cell r="P2386" t="str">
            <v>0806-066010  NEWTON CTY/NEOSHO</v>
          </cell>
          <cell r="Q2386">
            <v>7560.2</v>
          </cell>
          <cell r="R2386">
            <v>149</v>
          </cell>
        </row>
        <row r="2387">
          <cell r="A2387" t="str">
            <v>004072</v>
          </cell>
          <cell r="B2387" t="str">
            <v>LDC 2</v>
          </cell>
          <cell r="D2387" t="str">
            <v>no</v>
          </cell>
          <cell r="E2387" t="str">
            <v>20806133017</v>
          </cell>
          <cell r="F2387" t="str">
            <v>F0639</v>
          </cell>
          <cell r="G2387" t="str">
            <v>EGM Equip-1st Time Installation</v>
          </cell>
          <cell r="H2387" t="str">
            <v>EGM - Moark, LLC (Mallard)</v>
          </cell>
          <cell r="I2387" t="str">
            <v>posted to CPR</v>
          </cell>
          <cell r="J2387" t="str">
            <v>EGM - Moark, LLC (Mallard): Neosho: 19242 Mallard Dr - Neosho, MO 64850</v>
          </cell>
          <cell r="K2387" t="str">
            <v>Approved by: Rob Kitterman on 10/01/2013,  Install Mercury MiniMax-AT-T w/ Messenger Modem S/N:13012445 on Roots 7M meter no 08191622 to monitor daily gas usage of this transportation customer. Customer will reimburse company actual cost for EGM installation not to exceed $5,445.00, which should be coded to account 1072. ATTENTION: Plant &amp; Property Accounting, EGM work order, turn off A&amp;G indicator.</v>
          </cell>
          <cell r="L2387">
            <v>41670</v>
          </cell>
          <cell r="M2387">
            <v>41729</v>
          </cell>
          <cell r="N2387">
            <v>41732.346238425896</v>
          </cell>
          <cell r="P2387" t="str">
            <v>0806-066010  NEWTON CTY/NEOSHO</v>
          </cell>
          <cell r="Q2387">
            <v>0</v>
          </cell>
          <cell r="R2387">
            <v>4</v>
          </cell>
        </row>
        <row r="2388">
          <cell r="A2388" t="str">
            <v>004338</v>
          </cell>
          <cell r="B2388" t="str">
            <v>LDC 2</v>
          </cell>
          <cell r="D2388" t="str">
            <v>no</v>
          </cell>
          <cell r="E2388" t="str">
            <v>20808133248</v>
          </cell>
          <cell r="F2388" t="str">
            <v>F0523</v>
          </cell>
          <cell r="G2388" t="str">
            <v>New Main Extensions (SW)</v>
          </cell>
          <cell r="H2388" t="str">
            <v>Grand &amp; Lian Lay 350'-2in PE main e</v>
          </cell>
          <cell r="I2388" t="str">
            <v>posted to CPR</v>
          </cell>
          <cell r="J2388" t="str">
            <v>Grand &amp; Lian Lay 350'-2in PE main ext: Seneca: Grand and Lian</v>
          </cell>
          <cell r="K2388" t="str">
            <v>Approved by: Galen Shoemaker on 01/20/2014,  Extend main with 350' - 2" PE to rerun one service currently in too small of an easement and pick up another service. Existing service to 310 Grand lays in 5' easement close to a new house. New customer at 308 Grand will not contribute anything as the main extension to clear up existing service issues covers their location. Project Location: Grand and Lian; Pressure System: S-0001; MOP 30 psig; MAOP: 30 psig; Design: 58 psig; Test: 100 psig; $34.17/ft</v>
          </cell>
          <cell r="L2388">
            <v>41694</v>
          </cell>
          <cell r="M2388">
            <v>41729</v>
          </cell>
          <cell r="N2388">
            <v>41733.495590277802</v>
          </cell>
          <cell r="O2388">
            <v>41730</v>
          </cell>
          <cell r="P2388" t="str">
            <v>0808-066013  NEWTON CTY/SENECA</v>
          </cell>
          <cell r="Q2388">
            <v>10205.14</v>
          </cell>
          <cell r="R2388">
            <v>329</v>
          </cell>
        </row>
        <row r="2389">
          <cell r="A2389" t="str">
            <v>800610</v>
          </cell>
          <cell r="B2389" t="str">
            <v>LDC 2</v>
          </cell>
          <cell r="C2389" t="str">
            <v>03 - Bare Steel Replacement</v>
          </cell>
          <cell r="D2389" t="str">
            <v>yes</v>
          </cell>
          <cell r="F2389" t="str">
            <v>F0572</v>
          </cell>
          <cell r="G2389" t="str">
            <v>Main Replacement - ISRS (SW)</v>
          </cell>
          <cell r="H2389" t="str">
            <v>Repl w/ 6055F 2-4P Marionville PhC</v>
          </cell>
          <cell r="I2389" t="str">
            <v>open</v>
          </cell>
          <cell r="J2389" t="str">
            <v>Install 4165 Ft 2in PL and 1890 Ft 4in PL. Abandon 5803 Ft of 2 in ST,42 Ft of 1.25in ST, 141 Ft of 2in PL for Marionville Grid - Phase C.</v>
          </cell>
          <cell r="K2389" t="str">
            <v>This main is being replaced as part of the FY16 Bare Steel Replacement Program.</v>
          </cell>
          <cell r="P2389" t="str">
            <v>0810-050015  LAWRENCE CTY/MARIONVILLE</v>
          </cell>
          <cell r="Q2389">
            <v>354248.93</v>
          </cell>
          <cell r="R2389">
            <v>-3983.7867999999999</v>
          </cell>
        </row>
        <row r="2390">
          <cell r="A2390" t="str">
            <v>004023</v>
          </cell>
          <cell r="B2390" t="str">
            <v>LDC 2</v>
          </cell>
          <cell r="D2390" t="str">
            <v>no</v>
          </cell>
          <cell r="E2390" t="str">
            <v>20816143392</v>
          </cell>
          <cell r="F2390" t="str">
            <v>F0523</v>
          </cell>
          <cell r="G2390" t="str">
            <v>New Main Extensions (SW)</v>
          </cell>
          <cell r="H2390" t="str">
            <v>Bennett St Lay 375'- 2in PE main to</v>
          </cell>
          <cell r="I2390" t="str">
            <v>posted to CPR</v>
          </cell>
          <cell r="J2390" t="str">
            <v>Bennett St Lay 375'- 2in PE main to loop system: Nixa: Bennett St West of Main St</v>
          </cell>
          <cell r="K2390" t="str">
            <v>Approved by: Galen Shoemaker on 03/04/2014,  To lay 375 ft of 2 in Plastic Main to serve one new residential customer and loop system.  Customer will pay a deposit of $275 after one allowance. Company elects to lay additional main in order to loop pressure system. MOP=44# MAOP=44# SYSTEM=C-1 TEST=100#.  Price Per Foot= $14.72.</v>
          </cell>
          <cell r="L2390">
            <v>41709</v>
          </cell>
          <cell r="M2390">
            <v>41821</v>
          </cell>
          <cell r="N2390">
            <v>41918.762222222198</v>
          </cell>
          <cell r="O2390">
            <v>41730</v>
          </cell>
          <cell r="P2390" t="str">
            <v>0816-019004  CHRISTIAN CTY/NIXA</v>
          </cell>
          <cell r="Q2390">
            <v>6521.06</v>
          </cell>
          <cell r="R2390">
            <v>609.1</v>
          </cell>
        </row>
        <row r="2391">
          <cell r="A2391" t="str">
            <v>004222</v>
          </cell>
          <cell r="B2391" t="str">
            <v>LDC 2</v>
          </cell>
          <cell r="D2391" t="str">
            <v>no</v>
          </cell>
          <cell r="E2391" t="str">
            <v>20822133112</v>
          </cell>
          <cell r="F2391" t="str">
            <v>F0579</v>
          </cell>
          <cell r="G2391" t="str">
            <v>New business</v>
          </cell>
          <cell r="H2391" t="str">
            <v>Bradford Pear Rd Lay 1250'-4;130'-2</v>
          </cell>
          <cell r="I2391" t="str">
            <v>posted to CPR</v>
          </cell>
          <cell r="J2391" t="str">
            <v>Bradford Pear Rd Lay 1250'-4;130'-2in PE main ext: Clever: Bradford Pear Rd W of Spruce Ave Westview Fields</v>
          </cell>
          <cell r="K2391" t="str">
            <v>Approved by: Galen Shoemaker on 10/28/2013,  Lay 1250' of 4" PE &amp; 130' of 2" PE due to expansion of subdivision.  Project Location: Bradford Pear W of Spruce Ave. Customer will pay a deposit of $12,320.00 for 1120' of Main.  We are not charging customer for 260' that the company is electing to install to loop system. Pressure System: S-1.  MOP: 32 PSIG.  MAOP: 32 PSIG.  Design: 58 PSIG.  Test: 100 PSIG.  Price Per Foot: $ 18.11.</v>
          </cell>
          <cell r="L2391">
            <v>41709</v>
          </cell>
          <cell r="M2391">
            <v>41821</v>
          </cell>
          <cell r="N2391">
            <v>41953.446817129603</v>
          </cell>
          <cell r="O2391">
            <v>41730</v>
          </cell>
          <cell r="P2391" t="str">
            <v>0822-019008  CHRISTIAN CTY/CLEVER</v>
          </cell>
          <cell r="Q2391">
            <v>19661.62</v>
          </cell>
          <cell r="R2391">
            <v>2810</v>
          </cell>
        </row>
        <row r="2392">
          <cell r="A2392" t="str">
            <v>800316</v>
          </cell>
          <cell r="B2392" t="str">
            <v>LDC 2</v>
          </cell>
          <cell r="D2392" t="str">
            <v>no</v>
          </cell>
          <cell r="F2392" t="str">
            <v>F0673</v>
          </cell>
          <cell r="G2392" t="str">
            <v>New Main Extensions (S)</v>
          </cell>
          <cell r="H2392" t="str">
            <v>Install 530F 2P Indigo Hills Plat 2</v>
          </cell>
          <cell r="I2392" t="str">
            <v>in service</v>
          </cell>
          <cell r="J2392" t="str">
            <v>Install ~530 Ft of 2" PL MP Main to serve 7 lots of subdivision.</v>
          </cell>
          <cell r="K2392" t="str">
            <v>This is a new business Project.</v>
          </cell>
          <cell r="L2392">
            <v>42711</v>
          </cell>
          <cell r="O2392">
            <v>42705</v>
          </cell>
          <cell r="P2392" t="str">
            <v>0903-043026  JACKSON CTY/BLUE SPRINGS</v>
          </cell>
          <cell r="Q2392">
            <v>28266.28</v>
          </cell>
          <cell r="R2392">
            <v>-1445</v>
          </cell>
        </row>
        <row r="2393">
          <cell r="A2393" t="str">
            <v>004566</v>
          </cell>
          <cell r="B2393" t="str">
            <v>LDC 2</v>
          </cell>
          <cell r="D2393" t="str">
            <v>yes</v>
          </cell>
          <cell r="E2393" t="str">
            <v>20908133165</v>
          </cell>
          <cell r="F2393" t="str">
            <v>F0604</v>
          </cell>
          <cell r="G2393" t="str">
            <v>Main Replacement - ISRS (S)</v>
          </cell>
          <cell r="H2393" t="str">
            <v>Butler Repl PBS w 2930'-2in PE main</v>
          </cell>
          <cell r="I2393" t="str">
            <v>posted to CPR</v>
          </cell>
          <cell r="J2393" t="str">
            <v>Butler Repl PBS w 2930'-2in PE main: Harrisonville: Butler btwn Washington and South</v>
          </cell>
          <cell r="K2393" t="str">
            <v>Approved by: Steve Holcomb on 11/20/2013,  This work order is being written as part of the accelerated main replacement program. We have a crew scheduled to replace main due to leakage at Polk and Butler on WO# 12-1857 and feel it is prudent to replace more bare steel main while the crew is in the area to give us time to formulate our accelerated main replacement program.. We will install 2930' of 2" PE main and abandon: 1541' - 3" PBS (WO NONE); 173' - 3" PBS (WO# 22727); 160' - 3" PBS (WO# 33526); 170' - 3" PBS (WO# 34696); 126' - 3" PBS (WO# 35570); 147' - 3" PBS (WO# 45932); 100' - 3" PCS (WO# 61-1830); 34' - 3" PCS (WO# 62-1806); 63' - 3" PCS (WO# 64-5067); 404' - 2" PCS (WO# 65-4014); 10' - 3" PCS (WO# 66-6106); 169' - 2" PE (WO# 82-0972); and 9' - 2" PE (WO# 10-6676). (ISRS) Price per ft = $32.87</v>
          </cell>
          <cell r="L2393">
            <v>41722</v>
          </cell>
          <cell r="M2393">
            <v>41820</v>
          </cell>
          <cell r="N2393">
            <v>41858.747361111098</v>
          </cell>
          <cell r="O2393">
            <v>41730</v>
          </cell>
          <cell r="P2393" t="str">
            <v>0908-016007  CASS CTY/HARRISONVILLE N</v>
          </cell>
          <cell r="Q2393">
            <v>110450.2</v>
          </cell>
          <cell r="R2393">
            <v>8622</v>
          </cell>
        </row>
        <row r="2394">
          <cell r="A2394" t="str">
            <v>005027</v>
          </cell>
          <cell r="B2394" t="str">
            <v>LDC 2</v>
          </cell>
          <cell r="D2394" t="str">
            <v>yes</v>
          </cell>
          <cell r="E2394" t="str">
            <v>20903143508</v>
          </cell>
          <cell r="F2394" t="str">
            <v>F0580</v>
          </cell>
          <cell r="G2394" t="str">
            <v>Replace steel &amp; plastic main</v>
          </cell>
          <cell r="H2394" t="str">
            <v>RD Mize &amp; 7 hwy Repl PCS inlet DRS</v>
          </cell>
          <cell r="I2394" t="str">
            <v>posted to CPR</v>
          </cell>
          <cell r="J2394" t="str">
            <v>RD Mize &amp; 7 hwy Repl PCS inlet DRS 5: Blue Springs: Replace Coated Steel &amp; Plastic Main - 3760 (34-396)</v>
          </cell>
          <cell r="K2394" t="str">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ell>
          <cell r="L2394">
            <v>41808</v>
          </cell>
          <cell r="M2394">
            <v>42004</v>
          </cell>
          <cell r="N2394">
            <v>42100.701655092598</v>
          </cell>
          <cell r="O2394">
            <v>41791</v>
          </cell>
          <cell r="P2394" t="str">
            <v>0903-043026  JACKSON CTY/BLUE SPRINGS</v>
          </cell>
          <cell r="Q2394">
            <v>13199.72</v>
          </cell>
          <cell r="R2394">
            <v>76.5</v>
          </cell>
        </row>
        <row r="2395">
          <cell r="A2395" t="str">
            <v>003829</v>
          </cell>
          <cell r="B2395" t="str">
            <v>LDC 2</v>
          </cell>
          <cell r="D2395" t="str">
            <v>yes</v>
          </cell>
          <cell r="E2395" t="str">
            <v>20910132661</v>
          </cell>
          <cell r="F2395" t="str">
            <v>F0604</v>
          </cell>
          <cell r="G2395" t="str">
            <v>Main Replacement - ISRS (S)</v>
          </cell>
          <cell r="H2395" t="str">
            <v>2nd &amp; Charles Repl PBS w 340'-2in P</v>
          </cell>
          <cell r="I2395" t="str">
            <v>posted to CPR</v>
          </cell>
          <cell r="J2395" t="str">
            <v>2nd &amp; Charles Repl PBS w 340'-2in PE: Holden: 2nd and St Charles</v>
          </cell>
          <cell r="K2395" t="str">
            <v>Approved by: Ralph Janes on 05/01/2013,  Replace and abandon 337' of 2&amp;quot; PBS main (none WO) with 340' of 2&amp;quot; PE. The existing main was isolated and cut off the rectifier by the installation of PE main on WO# 13-2654. (ISRS).</v>
          </cell>
          <cell r="L2395">
            <v>41549</v>
          </cell>
          <cell r="M2395">
            <v>41626</v>
          </cell>
          <cell r="N2395">
            <v>41627.582858796297</v>
          </cell>
          <cell r="O2395">
            <v>41730</v>
          </cell>
          <cell r="P2395" t="str">
            <v>0910-046008  JOHNSON CTY/HOLDEN</v>
          </cell>
          <cell r="Q2395">
            <v>6064.08</v>
          </cell>
          <cell r="R2395">
            <v>1230</v>
          </cell>
        </row>
        <row r="2396">
          <cell r="A2396" t="str">
            <v>800979</v>
          </cell>
          <cell r="B2396" t="str">
            <v>LDC 2</v>
          </cell>
          <cell r="D2396" t="str">
            <v>no</v>
          </cell>
          <cell r="F2396" t="str">
            <v>F0673</v>
          </cell>
          <cell r="G2396" t="str">
            <v>New Main Extensions (S)</v>
          </cell>
          <cell r="H2396" t="str">
            <v>Install 790F 2-4P Lakewood Memory</v>
          </cell>
          <cell r="I2396" t="str">
            <v>open</v>
          </cell>
          <cell r="J2396" t="str">
            <v>Install ~295 Ft of 2" PL MP Main, ~495 Ft of 4" PL MP Main, ~225 Ft 1-1/4" PL MP Service Line for Lakewood Memory Care on Wilshire</v>
          </cell>
          <cell r="K2396" t="str">
            <v>Project Type: Main Extension (MEXTE).</v>
          </cell>
          <cell r="P2396" t="str">
            <v>0901-043021  JACKSON CTY/LEE'S SUMMIT OFFIC</v>
          </cell>
          <cell r="Q2396">
            <v>15851.95</v>
          </cell>
          <cell r="R2396">
            <v>-3437</v>
          </cell>
        </row>
        <row r="2397">
          <cell r="A2397" t="str">
            <v>003817</v>
          </cell>
          <cell r="B2397" t="str">
            <v>LDC 2</v>
          </cell>
          <cell r="D2397" t="str">
            <v>yes</v>
          </cell>
          <cell r="E2397" t="str">
            <v>20901050371</v>
          </cell>
          <cell r="F2397" t="str">
            <v>F0581</v>
          </cell>
          <cell r="G2397" t="str">
            <v>SLRP - modified block by block - co</v>
          </cell>
          <cell r="H2397" t="str">
            <v>BWO SERVICE LINE REPL MODIFIED BLOC</v>
          </cell>
          <cell r="I2397" t="str">
            <v>open</v>
          </cell>
          <cell r="J2397" t="str">
            <v>BWO SERVICE LINE REPL MODIFIED BLOCK CONT</v>
          </cell>
          <cell r="K2397" t="str">
            <v>Service/Yard Line Replacement (SLRP): Contract Crew.  Modified Block by Block - Planned replacement of unprotected steel or copper  (Lee's Summit - East Region)</v>
          </cell>
          <cell r="O2397">
            <v>41730</v>
          </cell>
          <cell r="P2397" t="str">
            <v>0901-043021  JACKSON CTY/LEE'S SUMMIT OFFIC</v>
          </cell>
          <cell r="Q2397">
            <v>221877.98</v>
          </cell>
          <cell r="R2397">
            <v>426.5</v>
          </cell>
        </row>
        <row r="2398">
          <cell r="A2398" t="str">
            <v>800711</v>
          </cell>
          <cell r="B2398" t="str">
            <v>LDC 2</v>
          </cell>
          <cell r="C2398" t="str">
            <v>08 - Cast Iron or Bare Steel Replacement - Leaks</v>
          </cell>
          <cell r="D2398" t="str">
            <v>yes</v>
          </cell>
          <cell r="F2398" t="str">
            <v>F0572</v>
          </cell>
          <cell r="G2398" t="str">
            <v>Main Replacement - ISRS (SW)</v>
          </cell>
          <cell r="H2398" t="str">
            <v>Repl w/ 1020F 13th Hervey</v>
          </cell>
          <cell r="I2398" t="str">
            <v>in service</v>
          </cell>
          <cell r="J2398" t="str">
            <v>Install 1020 Ft of 2 in PL IP Main on 13th St and Hervey Ln.  Abandon 634 Ft of 2 in ST and 78 Ft of 2 in PL IP Main at the above locations.</v>
          </cell>
          <cell r="K2398" t="str">
            <v>This main is being replaced due to several active class 3 leaks and as part of the FY16 Bare Steel Replacement Program.</v>
          </cell>
          <cell r="L2398">
            <v>42745</v>
          </cell>
          <cell r="O2398">
            <v>42736</v>
          </cell>
          <cell r="P2398" t="str">
            <v>0515-044022  JASPER CTY/VILLAGE OF DUQUESNE</v>
          </cell>
          <cell r="Q2398">
            <v>120447.73</v>
          </cell>
          <cell r="R2398">
            <v>-135</v>
          </cell>
        </row>
        <row r="2399">
          <cell r="A2399" t="str">
            <v>004040</v>
          </cell>
          <cell r="B2399" t="str">
            <v>LDC 2</v>
          </cell>
          <cell r="D2399" t="str">
            <v>yes</v>
          </cell>
          <cell r="E2399" t="str">
            <v>20601133126</v>
          </cell>
          <cell r="F2399" t="str">
            <v>F0544</v>
          </cell>
          <cell r="G2399" t="str">
            <v>Replace bare steel main - safety re</v>
          </cell>
          <cell r="H2399" t="str">
            <v>Hazel &amp; Airport Repl PBS w 2620'-8;</v>
          </cell>
          <cell r="I2399" t="str">
            <v>posted to CPR</v>
          </cell>
          <cell r="J2399" t="str">
            <v>Hazel &amp; Airport Repl PBS w 2620'-8;250'-2in PE mai: Carthage: Hazel and Airport</v>
          </cell>
          <cell r="K2399" t="str">
            <v>Approved by: Steve Lindsey on 11/20/2013,  Abandon 2561' - 8" PBS (WO#: NONE) and 60' - 8' PCS (WO#: 73-2609) and replace with 250' - 2" PE, 15' - 4" PE, 2620' - 8" PE in order to clear 1 - #3 Leak (Leak No. 12-0086), replace large section of bare steel with history of leakage, and loop C-1 pressure system. Project Location: Airport and Hazel; Pressure System: C-1; MOP: 50 psig; MAOP: 58 psig; Design: 58 psig; Test: 100 psig; ISRS $65.85/ft</v>
          </cell>
          <cell r="L2399">
            <v>41866</v>
          </cell>
          <cell r="M2399">
            <v>42004</v>
          </cell>
          <cell r="N2399">
            <v>42010.548912036997</v>
          </cell>
          <cell r="O2399">
            <v>41913</v>
          </cell>
          <cell r="P2399" t="str">
            <v>0601-044025  JASPER CTY/CARTHAGE</v>
          </cell>
          <cell r="Q2399">
            <v>261738.69</v>
          </cell>
          <cell r="R2399">
            <v>8366.5</v>
          </cell>
        </row>
        <row r="2400">
          <cell r="A2400" t="str">
            <v>011858</v>
          </cell>
          <cell r="B2400" t="str">
            <v>LDC 2</v>
          </cell>
          <cell r="D2400" t="str">
            <v>no</v>
          </cell>
          <cell r="F2400" t="str">
            <v>F0639</v>
          </cell>
          <cell r="G2400" t="str">
            <v>EGM Equip-1st Time Installation</v>
          </cell>
          <cell r="H2400" t="str">
            <v>Repl EGM - Winntonka HS</v>
          </cell>
          <cell r="I2400" t="str">
            <v>open</v>
          </cell>
          <cell r="J2400" t="str">
            <v>Replace EGM Winntonka HS with Mini-AT-PT corrector at 5812 NE 48th St in KC, MO</v>
          </cell>
          <cell r="K2400" t="str">
            <v>Corrector damaged beyond repair, would not register/measure accurately.
Requested per Matt Taylor 7-20-16</v>
          </cell>
          <cell r="P2400" t="str">
            <v>0401-043050  CCMS JACKSON CTY/KC</v>
          </cell>
          <cell r="Q2400">
            <v>2085.35</v>
          </cell>
          <cell r="R2400">
            <v>1</v>
          </cell>
        </row>
        <row r="2401">
          <cell r="A2401" t="str">
            <v>004336</v>
          </cell>
          <cell r="B2401" t="str">
            <v>LDC 2</v>
          </cell>
          <cell r="D2401" t="str">
            <v>no</v>
          </cell>
          <cell r="E2401" t="str">
            <v>21251143286</v>
          </cell>
          <cell r="F2401" t="str">
            <v>F0614</v>
          </cell>
          <cell r="G2401" t="str">
            <v>Main Repl - Sys Reinforcement (N)</v>
          </cell>
          <cell r="H2401" t="str">
            <v>Barry Rd &amp; Chariton Reinf 1545'-4in</v>
          </cell>
          <cell r="I2401" t="str">
            <v>posted to CPR</v>
          </cell>
          <cell r="J2401" t="str">
            <v>Barry Rd &amp; Chariton Reinf 1545'-4in PE: Kansas City-Platte Co: Barry Rd and N Chariton</v>
          </cell>
          <cell r="K2401" t="str">
            <v>Approved by: Gary Williams on 01/15/2014,  Lay 1,545ft of 4in PE for system reinforcement (due to low pressure during cold snap).  Lay pipe on east side of storm boxes on east side of N Chariton Rd.  Retire 20'-4in PE, WO 035305, year 2003. This work will be in conjunction with installing a DRS at 76th Street and John Anders Road WO# 14-3282 and 14-3281.</v>
          </cell>
          <cell r="L2401">
            <v>41673</v>
          </cell>
          <cell r="M2401">
            <v>41821</v>
          </cell>
          <cell r="N2401">
            <v>41919.558032407404</v>
          </cell>
          <cell r="O2401">
            <v>41730</v>
          </cell>
          <cell r="P2401" t="str">
            <v>1251-075010  PLATTE CTY/KANSAS CITY NORTH</v>
          </cell>
          <cell r="Q2401">
            <v>19104.95</v>
          </cell>
          <cell r="R2401">
            <v>3119</v>
          </cell>
        </row>
        <row r="2402">
          <cell r="A2402" t="str">
            <v>007966</v>
          </cell>
          <cell r="B2402" t="str">
            <v>LDC 2</v>
          </cell>
          <cell r="D2402" t="str">
            <v>no</v>
          </cell>
          <cell r="E2402" t="str">
            <v>21258155260</v>
          </cell>
          <cell r="F2402" t="str">
            <v>F0636</v>
          </cell>
          <cell r="G2402" t="str">
            <v>Replace steel &amp; plastic main</v>
          </cell>
          <cell r="H2402" t="str">
            <v>2in PE Abandonment</v>
          </cell>
          <cell r="I2402" t="str">
            <v>posted to CPR</v>
          </cell>
          <cell r="J2402" t="str">
            <v>2in PE Abandonment: Riverside: Replace Coated Steel &amp; Plastic Main - 3760 (34-396)</v>
          </cell>
          <cell r="K2402" t="str">
            <v>Approved by: Ray Wilson on 03/30/2015,  Abandon 154' of 2" PE main with no replacement to make way for new Quick-Trip Store.</v>
          </cell>
          <cell r="L2402">
            <v>41906</v>
          </cell>
          <cell r="M2402">
            <v>42248</v>
          </cell>
          <cell r="N2402">
            <v>42284.723483796297</v>
          </cell>
          <cell r="P2402" t="str">
            <v>1258-075017  PLATTE CTY/RIVERSIDE</v>
          </cell>
          <cell r="Q2402">
            <v>5309.71</v>
          </cell>
          <cell r="R2402">
            <v>159</v>
          </cell>
        </row>
        <row r="2403">
          <cell r="A2403" t="str">
            <v>012715</v>
          </cell>
          <cell r="B2403" t="str">
            <v>LDC 2</v>
          </cell>
          <cell r="D2403" t="str">
            <v>no</v>
          </cell>
          <cell r="F2403" t="str">
            <v>F0639</v>
          </cell>
          <cell r="G2403" t="str">
            <v>EGM Equip-1st Time Installation</v>
          </cell>
          <cell r="H2403" t="str">
            <v>EGM - Walmart (St Joseph S Belt)</v>
          </cell>
          <cell r="I2403" t="str">
            <v>open</v>
          </cell>
          <cell r="J2403" t="str">
            <v>Mini-Max AT-PT Corrector for Walmart at 3022 S Belt Hwy to monitor daily gas usage. Customer will reimburse company actual cost for EGM installation not to exceed $5,445.</v>
          </cell>
          <cell r="K2403" t="str">
            <v>meter no 000281920</v>
          </cell>
          <cell r="P2403" t="str">
            <v>1001-010001  ST. JOSEPH CITY/BUCHANAN</v>
          </cell>
          <cell r="Q2403">
            <v>1971.95</v>
          </cell>
          <cell r="R2403">
            <v>1</v>
          </cell>
        </row>
        <row r="2404">
          <cell r="A2404" t="str">
            <v>009116</v>
          </cell>
          <cell r="B2404" t="str">
            <v>LDC 2</v>
          </cell>
          <cell r="D2404" t="str">
            <v>no</v>
          </cell>
          <cell r="F2404" t="str">
            <v>F0852</v>
          </cell>
          <cell r="G2404" t="str">
            <v>Security equipment - MGE</v>
          </cell>
          <cell r="H2404" t="str">
            <v>Security System Conv. St. Joseph</v>
          </cell>
          <cell r="I2404" t="str">
            <v>in service</v>
          </cell>
          <cell r="J2404" t="str">
            <v>Convert access control system to Genetec/Mercury hardware St. Joseph</v>
          </cell>
          <cell r="L2404">
            <v>42369</v>
          </cell>
          <cell r="O2404">
            <v>42339</v>
          </cell>
          <cell r="P2404" t="str">
            <v>1001-010001  ST. JOSEPH CITY/BUCHANAN</v>
          </cell>
          <cell r="Q2404">
            <v>23365.83</v>
          </cell>
          <cell r="R2404">
            <v>18685</v>
          </cell>
        </row>
        <row r="2405">
          <cell r="A2405" t="str">
            <v>006988</v>
          </cell>
          <cell r="B2405" t="str">
            <v>LDC 2</v>
          </cell>
          <cell r="D2405" t="str">
            <v>no</v>
          </cell>
          <cell r="F2405" t="str">
            <v>F0850</v>
          </cell>
          <cell r="G2405" t="str">
            <v>Facilities - MGE - Remodel Svc Cen</v>
          </cell>
          <cell r="H2405" t="str">
            <v>Install Flood Light at St. Joseph</v>
          </cell>
          <cell r="I2405" t="str">
            <v>posted to CPR</v>
          </cell>
          <cell r="J2405" t="str">
            <v>Provide &amp; install 1000W MH Flood Light with pole bracket on existing pole at the southwest corner of the lot.  Install electrical needed for the flood light.</v>
          </cell>
          <cell r="L2405">
            <v>42004</v>
          </cell>
          <cell r="M2405">
            <v>42309</v>
          </cell>
          <cell r="N2405">
            <v>42345.382465277798</v>
          </cell>
          <cell r="O2405">
            <v>41974</v>
          </cell>
          <cell r="P2405" t="str">
            <v>1001-010001  ST. JOSEPH CITY/BUCHANAN</v>
          </cell>
          <cell r="Q2405">
            <v>2330.4</v>
          </cell>
          <cell r="R2405">
            <v>40950</v>
          </cell>
        </row>
        <row r="2406">
          <cell r="A2406" t="str">
            <v>800191</v>
          </cell>
          <cell r="B2406" t="str">
            <v>LDC 2</v>
          </cell>
          <cell r="D2406" t="str">
            <v>no</v>
          </cell>
          <cell r="F2406" t="str">
            <v>F0673</v>
          </cell>
          <cell r="G2406" t="str">
            <v>New Main Extensions (S)</v>
          </cell>
          <cell r="H2406" t="str">
            <v>The Reserve at Stoney Creek</v>
          </cell>
          <cell r="I2406" t="str">
            <v>in service</v>
          </cell>
          <cell r="J2406" t="str">
            <v>Install 2,665 feet of 2" plastic main and 275 feet of 4 inch plastic main to serve 53 new residential lots in the Reserve at Stoney Creek.</v>
          </cell>
          <cell r="L2406">
            <v>42454</v>
          </cell>
          <cell r="O2406">
            <v>42461</v>
          </cell>
          <cell r="P2406" t="str">
            <v>0901-043021  JACKSON CTY/LEE'S SUMMIT OFFIC</v>
          </cell>
          <cell r="Q2406">
            <v>30664.62</v>
          </cell>
          <cell r="R2406">
            <v>-6114</v>
          </cell>
        </row>
        <row r="2407">
          <cell r="A2407" t="str">
            <v>005339</v>
          </cell>
          <cell r="B2407" t="str">
            <v>LDC 2</v>
          </cell>
          <cell r="D2407" t="str">
            <v>no</v>
          </cell>
          <cell r="E2407" t="str">
            <v>20901143571</v>
          </cell>
          <cell r="F2407" t="str">
            <v>F0514</v>
          </cell>
          <cell r="G2407" t="str">
            <v>Other relocates</v>
          </cell>
          <cell r="H2407" t="str">
            <v>Jefferson &amp; Persels Reloc PCS w 280</v>
          </cell>
          <cell r="I2407" t="str">
            <v>posted to CPR</v>
          </cell>
          <cell r="J2407" t="str">
            <v>Jefferson &amp; Persels Reloc PCS w 280'-6in PE main: Lees Summit: Other Relocates - Per Customer Request - Contribution (44-390)</v>
          </cell>
          <cell r="K2407" t="str">
            <v>Approved by: Ralph Janes on 05/19/2014,  Relocate 280' - 6" PE main for the Abundant Life Baptist Church on the NW corner of Jefferson and Persels. There are grade cuts for the driveway to the parking lot and the main from 289' N CL Persels to 564' N CL Persels needs to be lowered. This project is reimbursable.</v>
          </cell>
          <cell r="L2407">
            <v>41806</v>
          </cell>
          <cell r="M2407">
            <v>41882</v>
          </cell>
          <cell r="N2407">
            <v>41978.593969907401</v>
          </cell>
          <cell r="O2407">
            <v>41821</v>
          </cell>
          <cell r="P2407" t="str">
            <v>0901-043021  JACKSON CTY/LEE'S SUMMIT OFFIC</v>
          </cell>
          <cell r="Q2407">
            <v>-17075.04</v>
          </cell>
          <cell r="R2407">
            <v>-487</v>
          </cell>
        </row>
        <row r="2408">
          <cell r="A2408" t="str">
            <v>004618</v>
          </cell>
          <cell r="B2408" t="str">
            <v>LDC 2</v>
          </cell>
          <cell r="D2408" t="str">
            <v>no</v>
          </cell>
          <cell r="E2408" t="str">
            <v>21001121706</v>
          </cell>
          <cell r="F2408" t="str">
            <v>F0588</v>
          </cell>
          <cell r="G2408" t="str">
            <v>Transportation &amp; power operated equ</v>
          </cell>
          <cell r="H2408" t="str">
            <v>Pur 2012 Kenworth 6cyl CNG T440 CC</v>
          </cell>
          <cell r="I2408" t="str">
            <v>posted to CPR</v>
          </cell>
          <cell r="J2408" t="str">
            <v>Pur 2012 Kenworth 6cyl CNG T440 CC w Hydraulics: St Joseph: St Joseph</v>
          </cell>
          <cell r="K2408" t="str">
            <v>Approved by: Rob Hack on 09/11/2012,  Pur 2012 Kenworth T440 CNG Crew Truck w/hydraulics.  C&amp;C $125,666; title/tags $9,950 and Upfit $48,000.</v>
          </cell>
          <cell r="L2408">
            <v>41241</v>
          </cell>
          <cell r="M2408">
            <v>41263</v>
          </cell>
          <cell r="N2408">
            <v>41627.582905092597</v>
          </cell>
          <cell r="P2408" t="str">
            <v>1001-010001  ST. JOSEPH CITY/BUCHANAN</v>
          </cell>
          <cell r="Q2408">
            <v>182159.91</v>
          </cell>
          <cell r="R2408">
            <v>0</v>
          </cell>
        </row>
        <row r="2409">
          <cell r="A2409" t="str">
            <v>004117</v>
          </cell>
          <cell r="B2409" t="str">
            <v>LDC 2</v>
          </cell>
          <cell r="D2409" t="str">
            <v>no</v>
          </cell>
          <cell r="E2409" t="str">
            <v>21001132975</v>
          </cell>
          <cell r="F2409" t="str">
            <v>F0483</v>
          </cell>
          <cell r="G2409" t="str">
            <v>Meter &amp; regulator settings - 2" &amp; l</v>
          </cell>
          <cell r="H2409" t="str">
            <v>FED EX BUILDING-5M METER SET</v>
          </cell>
          <cell r="I2409" t="str">
            <v>posted to CPR</v>
          </cell>
          <cell r="J2409" t="str">
            <v>FED EX BUILDING-5M METER SET: St Joseph: 5501 PROVIDENCE HILL DR</v>
          </cell>
          <cell r="K2409" t="str">
            <v>Approved by: Gary Williams on 11/04/2013,  THIS WORK ORDER IS NECESSARY TO INSTALL A 5M ROOTS METER TO SERVE ONE COMMERCIAL CUSTOMER. LOAD 4,300 CFH REQUESTING 2PSIG. SET 2IN CL-34-1 AT 2PSIG WITH A 1IN 289H RELIEF SET AT 3PSIG.</v>
          </cell>
          <cell r="L2409">
            <v>41593</v>
          </cell>
          <cell r="M2409">
            <v>41716</v>
          </cell>
          <cell r="N2409">
            <v>41719.593182870398</v>
          </cell>
          <cell r="P2409" t="str">
            <v>1001-010001  ST. JOSEPH CITY/BUCHANAN</v>
          </cell>
          <cell r="Q2409">
            <v>1616.9</v>
          </cell>
          <cell r="R2409">
            <v>37</v>
          </cell>
        </row>
        <row r="2410">
          <cell r="A2410" t="str">
            <v>004392</v>
          </cell>
          <cell r="B2410" t="str">
            <v>LDC 2</v>
          </cell>
          <cell r="D2410" t="str">
            <v>no</v>
          </cell>
          <cell r="E2410" t="str">
            <v>21001132940</v>
          </cell>
          <cell r="F2410" t="str">
            <v>F0560</v>
          </cell>
          <cell r="G2410" t="str">
            <v>Tools, instruments &amp; equipment</v>
          </cell>
          <cell r="H2410" t="str">
            <v>PUR TRAK-IT III</v>
          </cell>
          <cell r="I2410" t="str">
            <v>posted to CPR</v>
          </cell>
          <cell r="J2410" t="str">
            <v>PUR TRAK-IT III: St Joseph: 402 CEDAR</v>
          </cell>
          <cell r="K2410" t="str">
            <v>Approved by: Gary Williams on 08/28/2013,  Trak-IT III, used by  LEAK SURVEY for detecting both LEL &amp;% Volume and CO.Groebner &amp; associates, Inc only vendor that carries this instrument.This is to replace Bacraks that are non-repairable and obsolete.</v>
          </cell>
          <cell r="L2410">
            <v>41548</v>
          </cell>
          <cell r="M2410">
            <v>41626</v>
          </cell>
          <cell r="N2410">
            <v>41630.722175925897</v>
          </cell>
          <cell r="O2410">
            <v>42005</v>
          </cell>
          <cell r="P2410" t="str">
            <v>1001-010001  ST. JOSEPH CITY/BUCHANAN</v>
          </cell>
          <cell r="Q2410">
            <v>5690.51</v>
          </cell>
          <cell r="R2410">
            <v>11</v>
          </cell>
        </row>
        <row r="2411">
          <cell r="A2411" t="str">
            <v>800078</v>
          </cell>
          <cell r="B2411" t="str">
            <v>LDC 2</v>
          </cell>
          <cell r="C2411" t="str">
            <v>03 - Bare Steel Replacement</v>
          </cell>
          <cell r="D2411" t="str">
            <v>yes</v>
          </cell>
          <cell r="F2411" t="str">
            <v>F0599</v>
          </cell>
          <cell r="G2411" t="str">
            <v>Main Replacement - ISRS (N)</v>
          </cell>
          <cell r="H2411" t="str">
            <v>Liberty Header - Phase 1</v>
          </cell>
          <cell r="I2411" t="str">
            <v>in service</v>
          </cell>
          <cell r="J2411" t="str">
            <v>Install ~5685 feet of 4 inch PLS. IP Main on Corbin St, N Grover St, Nwater St, Doniphan St, N Lightburne St, Miller St, and Jewel St. Total Service Estimate: 41 Service Tie-Overs. Replacement Program.</v>
          </cell>
          <cell r="K2411" t="str">
            <v>Main is being installed as part of the FY 2016 Bare Steel.  Work order estimates also contain 100 ft 2in Pl.</v>
          </cell>
          <cell r="L2411">
            <v>42674</v>
          </cell>
          <cell r="O2411">
            <v>42644</v>
          </cell>
          <cell r="P2411" t="str">
            <v>1207-020001  CLAY CTY/LIBERTY</v>
          </cell>
          <cell r="Q2411">
            <v>674982.24</v>
          </cell>
          <cell r="R2411">
            <v>-8664.49</v>
          </cell>
        </row>
        <row r="2412">
          <cell r="A2412" t="str">
            <v>005732</v>
          </cell>
          <cell r="B2412" t="str">
            <v>LDC 2</v>
          </cell>
          <cell r="D2412" t="str">
            <v>yes</v>
          </cell>
          <cell r="E2412" t="str">
            <v>21207143620</v>
          </cell>
          <cell r="F2412" t="str">
            <v>F0547</v>
          </cell>
          <cell r="G2412" t="str">
            <v>Street &amp; Highway Relocates ISRS (N)</v>
          </cell>
          <cell r="H2412" t="str">
            <v>Franklin St Reloc PBS w 1402'-4;70'</v>
          </cell>
          <cell r="I2412" t="str">
            <v>posted to CPR</v>
          </cell>
          <cell r="J2412" t="str">
            <v>Franklin St Reloc PBS w 1402'-4;70'-2in PE main: Liberty: Relocate for Street &amp; Highway-Public Improvements (44-388)</v>
          </cell>
          <cell r="K2412" t="str">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ell>
          <cell r="L2412">
            <v>41898</v>
          </cell>
          <cell r="M2412">
            <v>41912</v>
          </cell>
          <cell r="N2412">
            <v>42013.369837963</v>
          </cell>
          <cell r="O2412">
            <v>41883</v>
          </cell>
          <cell r="P2412" t="str">
            <v>1207-020001  CLAY CTY/LIBERTY</v>
          </cell>
          <cell r="Q2412">
            <v>26305.99</v>
          </cell>
          <cell r="R2412">
            <v>-322.5</v>
          </cell>
        </row>
        <row r="2413">
          <cell r="A2413" t="str">
            <v>005550</v>
          </cell>
          <cell r="B2413" t="str">
            <v>LDC 2</v>
          </cell>
          <cell r="D2413" t="str">
            <v>no</v>
          </cell>
          <cell r="E2413" t="str">
            <v>21213133043</v>
          </cell>
          <cell r="F2413" t="str">
            <v>F0597</v>
          </cell>
          <cell r="G2413" t="str">
            <v>Other</v>
          </cell>
          <cell r="H2413" t="str">
            <v>Repl EGM - American Italian Pasta</v>
          </cell>
          <cell r="I2413" t="str">
            <v>in service</v>
          </cell>
          <cell r="J2413" t="str">
            <v>Repl EGM - American Italian Pasta: Excelsior Sprgs-Clay Co: Other Measurement Capital Expenses 3810/3820 (32-408)</v>
          </cell>
          <cell r="K2413" t="str">
            <v>Approved by: Rob Kitterman on 06/23/2014,  Replace EGM equipment at Amer Ital Pasta with a new Mini-AT-PT, &amp; Messenger Modem. The existing equipment was damaged beyond repair.
Retire ECAT/ECI-II Corrector Serial Number 9502629.
Existing meter is a Roots 23M rotary meter# 09831073.</v>
          </cell>
          <cell r="L2413">
            <v>42443</v>
          </cell>
          <cell r="O2413">
            <v>42430</v>
          </cell>
          <cell r="P2413" t="str">
            <v>1213-020018  CLAY CTY/EXCEL SPRINGS</v>
          </cell>
          <cell r="Q2413">
            <v>525.29</v>
          </cell>
          <cell r="R2413">
            <v>8</v>
          </cell>
        </row>
        <row r="2414">
          <cell r="A2414" t="str">
            <v>800906</v>
          </cell>
          <cell r="B2414" t="str">
            <v>LDC 2</v>
          </cell>
          <cell r="D2414" t="str">
            <v>no</v>
          </cell>
          <cell r="F2414" t="str">
            <v>F0673</v>
          </cell>
          <cell r="G2414" t="str">
            <v>New Main Extensions (S)</v>
          </cell>
          <cell r="H2414" t="str">
            <v>Install 900F 2P Adams Pointe Vilage</v>
          </cell>
          <cell r="I2414" t="str">
            <v>in service</v>
          </cell>
          <cell r="J2414" t="str">
            <v>Install 900' 0f 2" Plastic Main to serve 16 new residential lots.</v>
          </cell>
          <cell r="L2414">
            <v>42707</v>
          </cell>
          <cell r="O2414">
            <v>42705</v>
          </cell>
          <cell r="P2414" t="str">
            <v>0925-043035  JACKSON CTY/GRAIN VALLEY</v>
          </cell>
          <cell r="Q2414">
            <v>23710.71</v>
          </cell>
          <cell r="R2414">
            <v>-1922.5</v>
          </cell>
        </row>
        <row r="2415">
          <cell r="A2415" t="str">
            <v>007175</v>
          </cell>
          <cell r="B2415" t="str">
            <v>LDC 2</v>
          </cell>
          <cell r="D2415" t="str">
            <v>no</v>
          </cell>
          <cell r="E2415" t="str">
            <v>20101144019</v>
          </cell>
          <cell r="F2415" t="str">
            <v>F0620</v>
          </cell>
          <cell r="G2415" t="str">
            <v>32-399-420-METERS</v>
          </cell>
          <cell r="H2415" t="str">
            <v>Purchase New Rotary Meters May 2015</v>
          </cell>
          <cell r="I2415" t="str">
            <v>posted to CPR</v>
          </cell>
          <cell r="J2415" t="str">
            <v>Purchase New Rotary Meters May 2015: Kansas City CORP: Purchase of Rotary Meters  3810 (32-399) Purchase 3 size 23M, 2 size 16M, 5 size 11M and 20 size 3M.</v>
          </cell>
          <cell r="K2415" t="str">
            <v>Approved by: Steve Holcomb on 12/08/2014,  Replacements and new sets.  
Complete per 4-15 meter report</v>
          </cell>
          <cell r="L2415">
            <v>42095</v>
          </cell>
          <cell r="M2415">
            <v>42461</v>
          </cell>
          <cell r="N2415">
            <v>42496.560127314799</v>
          </cell>
          <cell r="O2415">
            <v>42125</v>
          </cell>
          <cell r="P2415" t="str">
            <v>1904-043050  JACKSON CTY/KC</v>
          </cell>
          <cell r="Q2415">
            <v>56975.95</v>
          </cell>
          <cell r="R2415">
            <v>72</v>
          </cell>
        </row>
        <row r="2416">
          <cell r="A2416" t="str">
            <v>003956</v>
          </cell>
          <cell r="B2416" t="str">
            <v>LDC 2</v>
          </cell>
          <cell r="D2416" t="str">
            <v>no</v>
          </cell>
          <cell r="E2416" t="str">
            <v>21261132389</v>
          </cell>
          <cell r="F2416" t="str">
            <v>F0610</v>
          </cell>
          <cell r="G2416" t="str">
            <v>New business</v>
          </cell>
          <cell r="H2416" t="str">
            <v>NW 60th Crt Lay 980'-2in PE main ex</v>
          </cell>
          <cell r="I2416" t="str">
            <v>posted to CPR</v>
          </cell>
          <cell r="J2416" t="str">
            <v>NW 60th Crt Lay 980'-2in PE main ext: Kansas City-Rural: NW 60TH CRT THOUSAND OAKS-13, PHASE A</v>
          </cell>
          <cell r="K2416" t="str">
            <v>Approved by: Kevin Driskell on 03/12/2013,  LAYING 980'-2in PLEXCO TO SERVE 12 LOTS IN SUBDIVISION.  LOTS 603-614.  ONE WAY FEED.  COST PER FOOT=$18.11 980' X $8.50/ft=$8,330.00  DEVELOPER TO CONTRIBUTE $8,330.00 BEFORE START OF PROJECT.</v>
          </cell>
          <cell r="L2416">
            <v>41528</v>
          </cell>
          <cell r="M2416">
            <v>41600</v>
          </cell>
          <cell r="N2416">
            <v>41603.384687500002</v>
          </cell>
          <cell r="O2416">
            <v>41730</v>
          </cell>
          <cell r="P2416" t="str">
            <v>1261-075025  PLATTE CTY/??? TWP</v>
          </cell>
          <cell r="Q2416">
            <v>8893.5</v>
          </cell>
          <cell r="R2416">
            <v>2416</v>
          </cell>
        </row>
        <row r="2417">
          <cell r="A2417" t="str">
            <v>008243</v>
          </cell>
          <cell r="B2417" t="str">
            <v>LDC 2</v>
          </cell>
          <cell r="D2417" t="str">
            <v>yes</v>
          </cell>
          <cell r="E2417" t="str">
            <v>21271144038</v>
          </cell>
          <cell r="F2417" t="str">
            <v>F0501</v>
          </cell>
          <cell r="G2417" t="str">
            <v>Station rebuild &amp; replacement</v>
          </cell>
          <cell r="H2417" t="str">
            <v>DR 384 REBUILD</v>
          </cell>
          <cell r="I2417" t="str">
            <v>posted to CPR</v>
          </cell>
          <cell r="J2417" t="str">
            <v>DR 384 REBUILD: Kansas City-Clay Co: Rebuild District/TB Stations  3780/3790 (45-387)</v>
          </cell>
          <cell r="K2417" t="str">
            <v>Approved by: Gary Williams on 04/23/2015,  Rebuild DRS #384 new DRS #761. Inlet system C-055 90psig. Outlet system C-006 35 psig. Main WO # 14-3521.Retire 2- 627M Fisher Regulators and install 2- Rockwell 441-57S 4" Regulators.</v>
          </cell>
          <cell r="L2417">
            <v>42156</v>
          </cell>
          <cell r="M2417">
            <v>42429</v>
          </cell>
          <cell r="N2417">
            <v>42431</v>
          </cell>
          <cell r="O2417">
            <v>42186</v>
          </cell>
          <cell r="P2417" t="str">
            <v>1271-020036  CLAY CTY/KANSAS CITY</v>
          </cell>
          <cell r="Q2417">
            <v>0</v>
          </cell>
          <cell r="R2417">
            <v>0</v>
          </cell>
        </row>
        <row r="2418">
          <cell r="A2418" t="str">
            <v>011346</v>
          </cell>
          <cell r="B2418" t="str">
            <v>LDC 2</v>
          </cell>
          <cell r="D2418" t="str">
            <v>no</v>
          </cell>
          <cell r="F2418" t="str">
            <v>F0670</v>
          </cell>
          <cell r="G2418" t="str">
            <v>Tools, Instruments &amp; Equipment (N)</v>
          </cell>
          <cell r="H2418" t="str">
            <v>Purch 6 Sensit Kits</v>
          </cell>
          <cell r="I2418" t="str">
            <v>posted to CPR</v>
          </cell>
          <cell r="J2418" t="str">
            <v>Purchase 6 Sensit Leak Detectors - Part#911-00000-55 Sensit G2 TC EX/CO/O2.  These are replacement units.</v>
          </cell>
          <cell r="L2418">
            <v>42635</v>
          </cell>
          <cell r="M2418">
            <v>42735</v>
          </cell>
          <cell r="N2418">
            <v>42772.668599536999</v>
          </cell>
          <cell r="O2418">
            <v>42614</v>
          </cell>
          <cell r="P2418" t="str">
            <v>0401-043050  JACKSON CTY/KC</v>
          </cell>
          <cell r="Q2418">
            <v>16460.36</v>
          </cell>
          <cell r="R2418">
            <v>13</v>
          </cell>
        </row>
        <row r="2419">
          <cell r="A2419" t="str">
            <v>010887</v>
          </cell>
          <cell r="B2419" t="str">
            <v>LDC 2</v>
          </cell>
          <cell r="D2419" t="str">
            <v>no</v>
          </cell>
          <cell r="F2419" t="str">
            <v>F0538</v>
          </cell>
          <cell r="G2419" t="str">
            <v>Other Communication Costs</v>
          </cell>
          <cell r="H2419" t="str">
            <v>Purchase I&amp;C Eqpt Blue River DRS</v>
          </cell>
          <cell r="I2419" t="str">
            <v>in service</v>
          </cell>
          <cell r="J2419" t="str">
            <v>Purchase 4 Rosemount Pressure Transmitters and 2 ABB Controllers /Adapters/ Mounting Brackets to replace obsolete 624 controllers at Blue River DRS in KC.</v>
          </cell>
          <cell r="L2419">
            <v>42705</v>
          </cell>
          <cell r="O2419">
            <v>42736</v>
          </cell>
          <cell r="P2419" t="str">
            <v>0401-043050  JACKSON CTY/KC</v>
          </cell>
          <cell r="Q2419">
            <v>34465.910000000003</v>
          </cell>
          <cell r="R2419">
            <v>16</v>
          </cell>
        </row>
        <row r="2420">
          <cell r="A2420" t="str">
            <v>007510</v>
          </cell>
          <cell r="B2420" t="str">
            <v>LDC 2</v>
          </cell>
          <cell r="D2420" t="str">
            <v>no</v>
          </cell>
          <cell r="E2420" t="str">
            <v>20401144009</v>
          </cell>
          <cell r="F2420" t="str">
            <v>F0658</v>
          </cell>
          <cell r="G2420" t="str">
            <v>Services -  2" &amp; larger</v>
          </cell>
          <cell r="H2420" t="str">
            <v>4in Service Marriott Hotel</v>
          </cell>
          <cell r="I2420" t="str">
            <v>posted to CPR</v>
          </cell>
          <cell r="J2420" t="str">
            <v>4in Service Marriott Hotel: Kansas City-Jackson: New Services 2&amp;quot; &amp; Larger  3800 (33-381)</v>
          </cell>
          <cell r="K2420" t="str">
            <v>Approved by: Gary Williams on 01/26/2015,  Install 100' 4'' PE service to serve Marriott hotel. Economic evaluation will cover the cost of the project.</v>
          </cell>
          <cell r="L2420">
            <v>42089</v>
          </cell>
          <cell r="M2420">
            <v>42248</v>
          </cell>
          <cell r="N2420">
            <v>42283.5651967593</v>
          </cell>
          <cell r="O2420">
            <v>42156</v>
          </cell>
          <cell r="P2420" t="str">
            <v>0401-043050  JACKSON CTY/KC</v>
          </cell>
          <cell r="Q2420">
            <v>23989.68</v>
          </cell>
          <cell r="R2420">
            <v>-400</v>
          </cell>
        </row>
        <row r="2421">
          <cell r="A2421" t="str">
            <v>006976</v>
          </cell>
          <cell r="B2421" t="str">
            <v>LDC 2</v>
          </cell>
          <cell r="D2421" t="str">
            <v>no</v>
          </cell>
          <cell r="E2421" t="str">
            <v>20401143759</v>
          </cell>
          <cell r="F2421" t="str">
            <v>F0660</v>
          </cell>
          <cell r="G2421" t="str">
            <v>Meter &amp; Reg Settings 2" &amp; Lg (N)</v>
          </cell>
          <cell r="H2421" t="str">
            <v>Funeral Directors Service 11M Mtr</v>
          </cell>
          <cell r="I2421" t="str">
            <v>posted to CPR</v>
          </cell>
          <cell r="J2421" t="str">
            <v>Funeral Directors Service Inc: Kansas City-Jackson: New Meter &amp; Reg Settings - 2in &amp; Larger 3820/3830 (33-382)</v>
          </cell>
          <cell r="K2421" t="str">
            <v>Approved by: Rob Kitterman on 11/18/2014,  This work is necessary to install an 11M Roots meter to serve one new commercial customer. We'll set a 2in B34 IMRV regulator with a 5/8in orifice and a purple spring, at 14in WC for a connected load of 10,630.</v>
          </cell>
          <cell r="L2421">
            <v>41963</v>
          </cell>
          <cell r="M2421">
            <v>42248</v>
          </cell>
          <cell r="N2421">
            <v>42270.483599537001</v>
          </cell>
          <cell r="O2421">
            <v>41974</v>
          </cell>
          <cell r="P2421" t="str">
            <v>0401-043050  JACKSON CTY/KC</v>
          </cell>
          <cell r="Q2421">
            <v>1363.73</v>
          </cell>
          <cell r="R2421">
            <v>-43</v>
          </cell>
        </row>
        <row r="2422">
          <cell r="A2422" t="str">
            <v>006421</v>
          </cell>
          <cell r="B2422" t="str">
            <v>LDC 2</v>
          </cell>
          <cell r="D2422" t="str">
            <v>no</v>
          </cell>
          <cell r="E2422" t="str">
            <v>20401143786</v>
          </cell>
          <cell r="F2422" t="str">
            <v>F0670</v>
          </cell>
          <cell r="G2422" t="str">
            <v>Tools, Instruments &amp; Equipment (N)</v>
          </cell>
          <cell r="H2422" t="str">
            <v>PURCHASE 5 PNUEMATIC HAMMER WITH CH</v>
          </cell>
          <cell r="I2422" t="str">
            <v>posted to CPR</v>
          </cell>
          <cell r="J2422" t="str">
            <v>PURCHASE 5 PNUEMATIC HAMMER WITH CHISEL SET: Kansas City-Jackson: Purchase Tools, Instruments &amp; Equipment  3940 (37-366)</v>
          </cell>
          <cell r="K2422" t="str">
            <v>Approved by: Gary Williams on 09/12/2014,  PURCHASE TOOLS FOR 2 FIELD BASE 2 STREET CREW AND 1 STATION B NOT REPLACEMENT TOOLS.</v>
          </cell>
          <cell r="L2422">
            <v>41907</v>
          </cell>
          <cell r="M2422">
            <v>42004</v>
          </cell>
          <cell r="N2422">
            <v>42013.446851851797</v>
          </cell>
          <cell r="O2422">
            <v>41974</v>
          </cell>
          <cell r="P2422" t="str">
            <v>0401-043050  JACKSON CTY/KC</v>
          </cell>
          <cell r="Q2422">
            <v>4293.62</v>
          </cell>
          <cell r="R2422">
            <v>35</v>
          </cell>
        </row>
        <row r="2423">
          <cell r="A2423" t="str">
            <v>005181</v>
          </cell>
          <cell r="B2423" t="str">
            <v>LDC 2</v>
          </cell>
          <cell r="D2423" t="str">
            <v>no</v>
          </cell>
          <cell r="E2423" t="str">
            <v>20401143529</v>
          </cell>
          <cell r="F2423" t="str">
            <v>F0639</v>
          </cell>
          <cell r="G2423" t="str">
            <v>EGM Equip-1st Time Installation</v>
          </cell>
          <cell r="H2423" t="str">
            <v>EGM - Highland Nursing and Rehab</v>
          </cell>
          <cell r="I2423" t="str">
            <v>posted to CPR</v>
          </cell>
          <cell r="J2423" t="str">
            <v>EGM - Highland Nursing and Rehab: Kansas City-Jackson: Install EGM Equipment - First Time Installation  3850 (32-403)</v>
          </cell>
          <cell r="K2423" t="str">
            <v>Approved by: Rob Kitterman on 05/01/2014,  Install Mercury MiniMax-AT-T w/ Messenger Modem S/N:13066409 on American AL-5000 meter no 05367399 to monitor daily gas usage of this transportation customer. Customer will reimburse company actual cost for EGM installation not to exceed $5,445.00, which should be coded to account 1072. ATTENTION: Plant &amp; Property Accounting, EGM work order, turn off A&amp;G indicator.</v>
          </cell>
          <cell r="L2423">
            <v>42443</v>
          </cell>
          <cell r="M2423">
            <v>42491</v>
          </cell>
          <cell r="N2423">
            <v>42528.3131712963</v>
          </cell>
          <cell r="O2423">
            <v>42430</v>
          </cell>
          <cell r="P2423" t="str">
            <v>0401-043050  JACKSON CTY/KC</v>
          </cell>
          <cell r="Q2423">
            <v>-59.5</v>
          </cell>
          <cell r="R2423">
            <v>9</v>
          </cell>
        </row>
        <row r="2424">
          <cell r="A2424" t="str">
            <v>005038</v>
          </cell>
          <cell r="B2424" t="str">
            <v>LDC 2</v>
          </cell>
          <cell r="D2424" t="str">
            <v>no</v>
          </cell>
          <cell r="E2424" t="str">
            <v>20401143496</v>
          </cell>
          <cell r="F2424" t="str">
            <v>F0670</v>
          </cell>
          <cell r="G2424" t="str">
            <v>Tools, Instruments &amp; Equipment (N)</v>
          </cell>
          <cell r="H2424" t="str">
            <v>PUR-AIR BACKFILLTAMPER</v>
          </cell>
          <cell r="I2424" t="str">
            <v>posted to CPR</v>
          </cell>
          <cell r="J2424" t="str">
            <v>PUR-AIR BACKFILLTAMPER: Kansas City-Jackson: Purchase Tools, Instruments &amp; Equipment  3940 (37-366)</v>
          </cell>
          <cell r="K2424" t="str">
            <v>Approved by: Gary Williams on 04/22/2014,  PURCHASE-1 5 3/4IN AIR BACKFILL TAMPER 4IN PISTON STROKE 1550BPM. THIS WILL BE USED BY THE C&amp;M CREWS AT CENTRAL TO COMPACT SOIL BACK AROUND MAINS. THIS IS A REPLACEMENT TOOL UNREPAIRABLE.</v>
          </cell>
          <cell r="L2424">
            <v>41806</v>
          </cell>
          <cell r="M2424">
            <v>42216</v>
          </cell>
          <cell r="N2424">
            <v>42221.758055555598</v>
          </cell>
          <cell r="O2424">
            <v>41791</v>
          </cell>
          <cell r="P2424" t="str">
            <v>0401-043050  JACKSON CTY/KC</v>
          </cell>
          <cell r="Q2424">
            <v>1764.64</v>
          </cell>
          <cell r="R2424">
            <v>2</v>
          </cell>
        </row>
        <row r="2425">
          <cell r="A2425" t="str">
            <v>004303</v>
          </cell>
          <cell r="B2425" t="str">
            <v>LDC 2</v>
          </cell>
          <cell r="D2425" t="str">
            <v>yes</v>
          </cell>
          <cell r="E2425" t="str">
            <v>20401132652</v>
          </cell>
          <cell r="F2425" t="str">
            <v>F0587</v>
          </cell>
          <cell r="G2425" t="str">
            <v>Services - 2" &amp; larger</v>
          </cell>
          <cell r="H2425" t="str">
            <v>6300 Ward Pkwy Repl 2in PE servi</v>
          </cell>
          <cell r="I2425" t="str">
            <v>posted to CPR</v>
          </cell>
          <cell r="J2425" t="str">
            <v>6300 Ward Pkwy Replace 2in PE service: Kansas City-Jackson: 6300 WARD PARKWAY BENNY LEE</v>
          </cell>
          <cell r="K2425" t="str">
            <v>Approved by: Kevin Driskell on 06/19/2013,  Laying 137'-2in pe service line for a residential home adding a generator customer on 1.10 psig system. Load (2,900 cfh). Customer to pay $5,034.09 before start of project. Replace existing 117'-1 1/8in plastic service (premise #175830), original installation 1984 to be retired on blanket work order.</v>
          </cell>
          <cell r="L2425">
            <v>41491</v>
          </cell>
          <cell r="M2425">
            <v>41638</v>
          </cell>
          <cell r="N2425">
            <v>41676.633414351803</v>
          </cell>
          <cell r="P2425" t="str">
            <v>0401-043050  JACKSON CTY/KC</v>
          </cell>
          <cell r="Q2425">
            <v>455.87</v>
          </cell>
          <cell r="R2425">
            <v>640</v>
          </cell>
        </row>
        <row r="2426">
          <cell r="A2426" t="str">
            <v>004579</v>
          </cell>
          <cell r="B2426" t="str">
            <v>LDC 2</v>
          </cell>
          <cell r="D2426" t="str">
            <v>no</v>
          </cell>
          <cell r="E2426" t="str">
            <v>20401132826</v>
          </cell>
          <cell r="F2426" t="str">
            <v>F0670</v>
          </cell>
          <cell r="G2426" t="str">
            <v>Tools, Instruments &amp; Equipment (N)</v>
          </cell>
          <cell r="H2426" t="str">
            <v>PUR-5 CRYSTAL 300 TEST GAUGES</v>
          </cell>
          <cell r="I2426" t="str">
            <v>posted to CPR</v>
          </cell>
          <cell r="J2426" t="str">
            <v>PUR-5 CRYSTAL 300 TEST GAUGES: Kansas City-Jackson: 7500 E 35th Ter</v>
          </cell>
          <cell r="K2426" t="str">
            <v>Approved by: Gary Williams on 07/22/2013,  PURCHASE-5 CRYSTAL 300PSIXP2I TEST GAUGES. THE BIG METER TRUCK CREWS WILL BE USING THESE GAUGES FOR DIFFERENTIAL TESTING, CHECKING AND SETTING PRESSURE (PSIG/WC)ON METER SETS. PROMAC INC ONLY VENDOR THAT HANDLES THESE TOOLS. THESE ARE NOT REPLACEMENT TOOLS.</v>
          </cell>
          <cell r="L2426">
            <v>41505</v>
          </cell>
          <cell r="M2426">
            <v>41575</v>
          </cell>
          <cell r="N2426">
            <v>41643.435370370396</v>
          </cell>
          <cell r="P2426" t="str">
            <v>0401-043050  JACKSON CTY/KC</v>
          </cell>
          <cell r="Q2426">
            <v>6584.14</v>
          </cell>
          <cell r="R2426">
            <v>0</v>
          </cell>
        </row>
        <row r="2427">
          <cell r="A2427" t="str">
            <v>003948</v>
          </cell>
          <cell r="B2427" t="str">
            <v>LDC 2</v>
          </cell>
          <cell r="D2427" t="str">
            <v>no</v>
          </cell>
          <cell r="E2427" t="str">
            <v>20401132340</v>
          </cell>
          <cell r="F2427" t="str">
            <v>F0639</v>
          </cell>
          <cell r="G2427" t="str">
            <v>EGM Equip-1st Time Installation</v>
          </cell>
          <cell r="H2427" t="str">
            <v>EGM Heartland Sheets LLC</v>
          </cell>
          <cell r="I2427" t="str">
            <v>posted to CPR</v>
          </cell>
          <cell r="J2427" t="str">
            <v>EGM Heartland Sheets LLC: Kansas City-Jackson: 3950 NE Kimball Dr. N., Kansas City, Mo. 64161</v>
          </cell>
          <cell r="K2427" t="str">
            <v>Approved by: Rob Kitterman on 01/15/2013,  Install Mercury MiniMax-AT-T on Roots 23M meter no 01022761 to monitor daily gas usage of this transportation customer. Customer will reimburse company actual cost for EGM installation not to exceed $5,445.00, which should be coded to account 1072. ATTENTION: Plant &amp; Property Accounting, EGM work order, turn off A&amp;G indicator.</v>
          </cell>
          <cell r="L2427">
            <v>41377</v>
          </cell>
          <cell r="M2427">
            <v>41575</v>
          </cell>
          <cell r="N2427">
            <v>41576.418611111098</v>
          </cell>
          <cell r="P2427" t="str">
            <v>0401-043050  JACKSON CTY/KC</v>
          </cell>
          <cell r="Q2427">
            <v>0</v>
          </cell>
          <cell r="R2427">
            <v>1</v>
          </cell>
        </row>
        <row r="2428">
          <cell r="A2428" t="str">
            <v>003842</v>
          </cell>
          <cell r="B2428" t="str">
            <v>LDC 2</v>
          </cell>
          <cell r="D2428" t="str">
            <v>no</v>
          </cell>
          <cell r="E2428" t="str">
            <v>20401132681</v>
          </cell>
          <cell r="F2428" t="str">
            <v>F0610</v>
          </cell>
          <cell r="G2428" t="str">
            <v>New business</v>
          </cell>
          <cell r="H2428" t="str">
            <v>114th Ter &amp; Grandview Rd I/O main t</v>
          </cell>
          <cell r="I2428" t="str">
            <v>posted to CPR</v>
          </cell>
          <cell r="J2428" t="str">
            <v>114th Ter &amp; Grandview Rd I/O main to DRS: Kansas City-Jackson: Grandview Rd and 114th Ter</v>
          </cell>
          <cell r="K2428" t="str">
            <v>Approved by: Gary Williams on 05/17/2013,  Lay 110' of 2in thin film and 40' of 4in thin film.  New main extension is for new 2in reg station (WO 13-2682). System reinforcement for Mayfair 20in replacement project. Install in existing MGE easement.</v>
          </cell>
          <cell r="L2428">
            <v>41437</v>
          </cell>
          <cell r="M2428">
            <v>41600</v>
          </cell>
          <cell r="N2428">
            <v>41612.478263888901</v>
          </cell>
          <cell r="O2428">
            <v>41760</v>
          </cell>
          <cell r="P2428" t="str">
            <v>0401-043050  JACKSON CTY/KC</v>
          </cell>
          <cell r="Q2428">
            <v>10177.77</v>
          </cell>
          <cell r="R2428">
            <v>202.6</v>
          </cell>
        </row>
        <row r="2429">
          <cell r="A2429" t="str">
            <v>004230</v>
          </cell>
          <cell r="B2429" t="str">
            <v>LDC 2</v>
          </cell>
          <cell r="D2429" t="str">
            <v>no</v>
          </cell>
          <cell r="E2429" t="str">
            <v>20401143413</v>
          </cell>
          <cell r="F2429" t="str">
            <v>F0670</v>
          </cell>
          <cell r="G2429" t="str">
            <v>Tools, Instruments &amp; Equipment (N)</v>
          </cell>
          <cell r="H2429" t="str">
            <v>PUR-ALLEGRO MX COLOR FIELD COMPUTER</v>
          </cell>
          <cell r="I2429" t="str">
            <v>posted to CPR</v>
          </cell>
          <cell r="J2429" t="str">
            <v>PUR-ALLEGRO MX COLOR FIELD COMPUTER: Kansas City-Jackson: 7500 E 35TH TER</v>
          </cell>
          <cell r="K2429" t="str">
            <v>Approved by: Kevin Driskell on 03/11/2014,  Purchase-1 Allegro MX128/2G COLOR FIELD COMPUTER. The corrosion department at Central will use this hand held computer to download survey,schedule and route collect pipeline or facility data. American Innovations only vendor that handles this instrument. This is not a replacement.</v>
          </cell>
          <cell r="L2429">
            <v>41740</v>
          </cell>
          <cell r="M2429">
            <v>41821</v>
          </cell>
          <cell r="N2429">
            <v>41852.724606481497</v>
          </cell>
          <cell r="O2429">
            <v>41730</v>
          </cell>
          <cell r="P2429" t="str">
            <v>0401-043050  JACKSON CTY/KC</v>
          </cell>
          <cell r="Q2429">
            <v>7502.61</v>
          </cell>
          <cell r="R2429">
            <v>1</v>
          </cell>
        </row>
        <row r="2430">
          <cell r="A2430" t="str">
            <v>004041</v>
          </cell>
          <cell r="B2430" t="str">
            <v>LDC 2</v>
          </cell>
          <cell r="D2430" t="str">
            <v>yes</v>
          </cell>
          <cell r="E2430" t="str">
            <v>20401133219</v>
          </cell>
          <cell r="F2430" t="str">
            <v>F0613</v>
          </cell>
          <cell r="G2430" t="str">
            <v>Replace bare steel main - safety re</v>
          </cell>
          <cell r="H2430" t="str">
            <v>109th Terr Repl Copper w 25'-2in TF</v>
          </cell>
          <cell r="I2430" t="str">
            <v>posted to CPR</v>
          </cell>
          <cell r="J2430" t="str">
            <v>109th Terr Repl Copper w 25'-2in TF Steel: Kansas City-Jackson: E 109th Terr and Sycamore Terr</v>
          </cell>
          <cell r="K2430" t="str">
            <v>Approved by: Kevin Driskell on 12/16/2013,  ISRS.  To replace 18' of 1.5" CU main in front of 7408 109th Terr with 25' of 2" TF steel.  Main is on the C-250 KCLS pressure system with a MOP=30psig and MAOP=36psig.  Please see attached sheet for size, length, and work order numbers of main to be retired.</v>
          </cell>
          <cell r="L2430">
            <v>41663</v>
          </cell>
          <cell r="M2430">
            <v>41715</v>
          </cell>
          <cell r="N2430">
            <v>41715.574363425898</v>
          </cell>
          <cell r="O2430">
            <v>41730</v>
          </cell>
          <cell r="P2430" t="str">
            <v>0401-043050  JACKSON CTY/KC</v>
          </cell>
          <cell r="Q2430">
            <v>13237.34</v>
          </cell>
          <cell r="R2430">
            <v>83.7</v>
          </cell>
        </row>
        <row r="2431">
          <cell r="A2431" t="str">
            <v>004633</v>
          </cell>
          <cell r="B2431" t="str">
            <v>LDC 2</v>
          </cell>
          <cell r="D2431" t="str">
            <v>yes</v>
          </cell>
          <cell r="E2431" t="str">
            <v>21271132604</v>
          </cell>
          <cell r="F2431" t="str">
            <v>F0599</v>
          </cell>
          <cell r="G2431" t="str">
            <v>Main Replacement - ISRS (N)</v>
          </cell>
          <cell r="H2431" t="str">
            <v>Highland Ave Repl CI w 1330'-2in PE</v>
          </cell>
          <cell r="I2431" t="str">
            <v>posted to CPR</v>
          </cell>
          <cell r="J2431" t="str">
            <v>Highland Ave Repl CI w 1330'-2in PE main: Kansas City-Clay Co: Highland Ave between 33rd and 35th St</v>
          </cell>
          <cell r="K2431" t="str">
            <v>Approved by: Ken Thomas on 04/23/2013,  ISRS This work order is necessary due to cast iron breaks on the 4in cast iron main. Replace with 1330' of 2in PE main by tying on to existing 2in PE main (wo#  01-2254 pressure system C-175 KCLS) South of 35th Street. Bag off, cut, and cap 4in CI main (pressure system C-001) at points 2 and 4. Tie over all affected services to new 2in PE main (pressure system C-175 KCLS). Regulator orifices need to be changed due to the new, higher pressure system.</v>
          </cell>
          <cell r="L2431">
            <v>41648</v>
          </cell>
          <cell r="M2431">
            <v>41729</v>
          </cell>
          <cell r="N2431">
            <v>41733.309895833299</v>
          </cell>
          <cell r="O2431">
            <v>41730</v>
          </cell>
          <cell r="P2431" t="str">
            <v>0401-043050  JACKSON CTY/KC</v>
          </cell>
          <cell r="Q2431">
            <v>79892.84</v>
          </cell>
          <cell r="R2431">
            <v>4206.5</v>
          </cell>
        </row>
        <row r="2432">
          <cell r="A2432" t="str">
            <v>004776</v>
          </cell>
          <cell r="B2432" t="str">
            <v>LDC 2</v>
          </cell>
          <cell r="D2432" t="str">
            <v>no</v>
          </cell>
          <cell r="E2432" t="str">
            <v>21846700000</v>
          </cell>
          <cell r="F2432" t="str">
            <v>F0682</v>
          </cell>
          <cell r="G2432" t="str">
            <v>Non-Productive Ops MGE</v>
          </cell>
          <cell r="H2432" t="str">
            <v>Non Prod Lab - Weather MGE</v>
          </cell>
          <cell r="I2432" t="str">
            <v>open</v>
          </cell>
          <cell r="J2432" t="str">
            <v>Non Prod Lab - Weather MGE</v>
          </cell>
          <cell r="P2432" t="str">
            <v>Expense Only</v>
          </cell>
          <cell r="Q2432">
            <v>320784.46000000002</v>
          </cell>
          <cell r="R2432">
            <v>8416.56</v>
          </cell>
        </row>
        <row r="2433">
          <cell r="A2433" t="str">
            <v>004778</v>
          </cell>
          <cell r="B2433" t="str">
            <v>LDC 2</v>
          </cell>
          <cell r="D2433" t="str">
            <v>no</v>
          </cell>
          <cell r="E2433" t="str">
            <v>21848000000</v>
          </cell>
          <cell r="F2433" t="str">
            <v>F0733</v>
          </cell>
          <cell r="G2433" t="str">
            <v>Tools/Uniforms Clrg MGE</v>
          </cell>
          <cell r="H2433" t="str">
            <v>Small Tools Clearing MGE</v>
          </cell>
          <cell r="I2433" t="str">
            <v>open</v>
          </cell>
          <cell r="J2433" t="str">
            <v>Small Tools Clearing MGE</v>
          </cell>
          <cell r="P2433" t="str">
            <v>Expense Only</v>
          </cell>
          <cell r="Q2433">
            <v>3367660.86</v>
          </cell>
          <cell r="R2433">
            <v>-257865.32</v>
          </cell>
        </row>
        <row r="2434">
          <cell r="A2434" t="str">
            <v>004750</v>
          </cell>
          <cell r="B2434" t="str">
            <v>LDC 2</v>
          </cell>
          <cell r="D2434" t="str">
            <v>no</v>
          </cell>
          <cell r="E2434" t="str">
            <v>28910000000</v>
          </cell>
          <cell r="F2434" t="str">
            <v>F0710</v>
          </cell>
          <cell r="G2434" t="str">
            <v>Mtce Meas-Reg Cty Gate MGE</v>
          </cell>
          <cell r="H2434" t="str">
            <v>Mtce Meas-Reg Cty Gate MGE</v>
          </cell>
          <cell r="I2434" t="str">
            <v>open</v>
          </cell>
          <cell r="J2434" t="str">
            <v>Mtce Meas-Reg Cty Gate MGE</v>
          </cell>
          <cell r="P2434" t="str">
            <v>Expense Only</v>
          </cell>
          <cell r="Q2434">
            <v>63103.82</v>
          </cell>
          <cell r="R2434">
            <v>132748.32</v>
          </cell>
        </row>
        <row r="2435">
          <cell r="A2435" t="str">
            <v>004857</v>
          </cell>
          <cell r="B2435" t="str">
            <v>LDC 2</v>
          </cell>
          <cell r="D2435" t="str">
            <v>no</v>
          </cell>
          <cell r="E2435" t="str">
            <v>21846905000</v>
          </cell>
          <cell r="F2435" t="str">
            <v>F0687</v>
          </cell>
          <cell r="G2435" t="str">
            <v>Misc Deferred Debits-Oth MGE</v>
          </cell>
          <cell r="H2435" t="str">
            <v>Unpaid Hours - Union MGE</v>
          </cell>
          <cell r="I2435" t="str">
            <v>open</v>
          </cell>
          <cell r="J2435" t="str">
            <v>Unpaid Hours - Union MGE</v>
          </cell>
          <cell r="P2435" t="str">
            <v>Expense Only</v>
          </cell>
          <cell r="Q2435">
            <v>36750.14</v>
          </cell>
          <cell r="R2435">
            <v>14727.79</v>
          </cell>
        </row>
        <row r="2436">
          <cell r="A2436" t="str">
            <v>800474</v>
          </cell>
          <cell r="B2436" t="str">
            <v>LDC 2</v>
          </cell>
          <cell r="C2436" t="str">
            <v>07 - Cast Iron or Bare Steel Replacement - Corrosion</v>
          </cell>
          <cell r="D2436" t="str">
            <v>yes</v>
          </cell>
          <cell r="F2436" t="str">
            <v>F0572</v>
          </cell>
          <cell r="G2436" t="str">
            <v>Main Replacement - ISRS (SW)</v>
          </cell>
          <cell r="H2436" t="str">
            <v>Repl w 2597F 4P 1201 Schifferdecker</v>
          </cell>
          <cell r="I2436" t="str">
            <v>open</v>
          </cell>
          <cell r="J2436" t="str">
            <v>Install ~ 2597 ft of 4 in PE main due to CP at 1201 Schifferdecker Ave and 9th Street in Joplin.</v>
          </cell>
          <cell r="K2436" t="str">
            <v>Abandon ~12 ft of 2 in PL IP main, ~4 ft of 4 in PL IP main, ~2571 ft of 4 in ST IP main and ~9 ft of 6 in PL IP main at the above location.  Total Service Tie-Overs: 8.  This main is being abandoned as mandated by state and as part of the bare steel replacement program.</v>
          </cell>
          <cell r="P2436" t="str">
            <v>0501-044001  JASPER CTY/JOPLIN</v>
          </cell>
          <cell r="Q2436">
            <v>234614.85</v>
          </cell>
          <cell r="R2436">
            <v>-5455.4633000000003</v>
          </cell>
        </row>
        <row r="2437">
          <cell r="A2437" t="str">
            <v>800065</v>
          </cell>
          <cell r="B2437" t="str">
            <v>LDC 2</v>
          </cell>
          <cell r="D2437" t="str">
            <v>no</v>
          </cell>
          <cell r="F2437" t="str">
            <v>F0523</v>
          </cell>
          <cell r="G2437" t="str">
            <v>New Main Extensions (SW)</v>
          </cell>
          <cell r="H2437" t="str">
            <v>Brompton and Malang Rd Main Ext</v>
          </cell>
          <cell r="I2437" t="str">
            <v>posted to CPR</v>
          </cell>
          <cell r="J2437" t="str">
            <v>Install 290ft of 2in main extension to serve new customer. Joplin MO. Division: 05 Town: 01 Sector: 0221 Pressure System: C-1 MAOP: 58 psig MOP: 58 psig Design Pressure: 66 psig Test Pressure: 100 psig Total: $37.65/ft (10,920.46)</v>
          </cell>
          <cell r="L2437">
            <v>42324</v>
          </cell>
          <cell r="M2437">
            <v>42613</v>
          </cell>
          <cell r="N2437">
            <v>42649.7003356481</v>
          </cell>
          <cell r="O2437">
            <v>42339</v>
          </cell>
          <cell r="P2437" t="str">
            <v>0501-044001  JASPER CTY/JOPLIN</v>
          </cell>
          <cell r="Q2437">
            <v>41850.79</v>
          </cell>
          <cell r="R2437">
            <v>-858</v>
          </cell>
        </row>
        <row r="2438">
          <cell r="A2438" t="str">
            <v>008204</v>
          </cell>
          <cell r="B2438" t="str">
            <v>LDC 2</v>
          </cell>
          <cell r="D2438" t="str">
            <v>no</v>
          </cell>
          <cell r="E2438" t="str">
            <v>20501155287</v>
          </cell>
          <cell r="F2438" t="str">
            <v>F0485</v>
          </cell>
          <cell r="G2438" t="str">
            <v>Tools, Instruments &amp; Equipment (SW)</v>
          </cell>
          <cell r="H2438" t="str">
            <v>Tools Purchase Timberline Pinch off</v>
          </cell>
          <cell r="I2438" t="str">
            <v>posted to CPR</v>
          </cell>
          <cell r="J2438" t="str">
            <v>Tools Purchase Timberline Pinch off Joplin: Joplin: Purchase Tools, Instruments &amp; Equipment  3940 (37-366)</v>
          </cell>
          <cell r="K2438" t="str">
            <v>Approved by: Michael Fornelli on 04/14/2015,  Purchase 2 Timberline TC1-S Pinch Off Tools and 1 Timberline TC1-S Extended Handle Pinch Off Tool for Joplin C&amp;M.</v>
          </cell>
          <cell r="L2438">
            <v>42235</v>
          </cell>
          <cell r="M2438">
            <v>42491</v>
          </cell>
          <cell r="N2438">
            <v>42527.511851851901</v>
          </cell>
          <cell r="O2438">
            <v>42217</v>
          </cell>
          <cell r="P2438" t="str">
            <v>0501-044001  JASPER CTY/JOPLIN</v>
          </cell>
          <cell r="Q2438">
            <v>1329.3</v>
          </cell>
          <cell r="R2438">
            <v>3</v>
          </cell>
        </row>
        <row r="2439">
          <cell r="A2439" t="str">
            <v>004064</v>
          </cell>
          <cell r="B2439" t="str">
            <v>LDC 2</v>
          </cell>
          <cell r="D2439" t="str">
            <v>yes</v>
          </cell>
          <cell r="E2439" t="str">
            <v>20501133125</v>
          </cell>
          <cell r="F2439" t="str">
            <v>F0572</v>
          </cell>
          <cell r="G2439" t="str">
            <v>Main Replacement - ISRS (SW)</v>
          </cell>
          <cell r="H2439" t="str">
            <v>Repl I/O Piping DRS 0182C</v>
          </cell>
          <cell r="I2439" t="str">
            <v>posted to CPR</v>
          </cell>
          <cell r="J2439" t="str">
            <v>Repl I/O Piping DRS 0182C : Joplin: Wisconsin and Montana</v>
          </cell>
          <cell r="K2439" t="str">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ell>
          <cell r="L2439">
            <v>41870</v>
          </cell>
          <cell r="M2439">
            <v>42063</v>
          </cell>
          <cell r="N2439">
            <v>42160.551111111097</v>
          </cell>
          <cell r="O2439">
            <v>41974</v>
          </cell>
          <cell r="P2439" t="str">
            <v>0501-044001  JASPER CTY/JOPLIN</v>
          </cell>
          <cell r="Q2439">
            <v>10589.53</v>
          </cell>
          <cell r="R2439">
            <v>-85.5</v>
          </cell>
        </row>
        <row r="2440">
          <cell r="A2440" t="str">
            <v>004458</v>
          </cell>
          <cell r="B2440" t="str">
            <v>LDC 2</v>
          </cell>
          <cell r="D2440" t="str">
            <v>yes</v>
          </cell>
          <cell r="E2440" t="str">
            <v>20501133213</v>
          </cell>
          <cell r="F2440" t="str">
            <v>F0572</v>
          </cell>
          <cell r="G2440" t="str">
            <v>Main Replacement - ISRS (SW)</v>
          </cell>
          <cell r="H2440" t="str">
            <v>12th &amp; Joplin Ave Repl PBS w 1355'-</v>
          </cell>
          <cell r="I2440" t="str">
            <v>posted to CPR</v>
          </cell>
          <cell r="J2440" t="str">
            <v>12th &amp; Joplin Ave Repl PBS w 1355'-2;580'-4in PE : Joplin: 12th &amp; Joplin Ave</v>
          </cell>
          <cell r="K2440" t="str">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ell>
          <cell r="L2440">
            <v>42048</v>
          </cell>
          <cell r="M2440">
            <v>42217</v>
          </cell>
          <cell r="N2440">
            <v>42256.6398148148</v>
          </cell>
          <cell r="O2440">
            <v>42036</v>
          </cell>
          <cell r="P2440" t="str">
            <v>0501-044001  JASPER CTY/JOPLIN</v>
          </cell>
          <cell r="Q2440">
            <v>173008.82</v>
          </cell>
          <cell r="R2440">
            <v>48428.5</v>
          </cell>
        </row>
        <row r="2441">
          <cell r="A2441" t="str">
            <v>004205</v>
          </cell>
          <cell r="B2441" t="str">
            <v>LDC 2</v>
          </cell>
          <cell r="D2441" t="str">
            <v>no</v>
          </cell>
          <cell r="E2441" t="str">
            <v>20501133078</v>
          </cell>
          <cell r="F2441" t="str">
            <v>F0630</v>
          </cell>
          <cell r="G2441" t="str">
            <v>Meter &amp; Reg Settings 2" &amp; Lg (SW)</v>
          </cell>
          <cell r="H2441" t="str">
            <v>St Mary's 7M Meter set prefab</v>
          </cell>
          <cell r="I2441" t="str">
            <v>posted to CPR</v>
          </cell>
          <cell r="J2441" t="str">
            <v>St Mary's 7M Meter set prefab: Joplin: St. Mary's Catholic School 3025 S. Central City Rd</v>
          </cell>
          <cell r="K2441" t="str">
            <v>Approved by: Galen Shoemaker on 10/17/2013,  Will install prefab setting for 7M rotary meter. Will use Itron 2in flanged CL 34-1 regulator with 3/8in orifice, orange closing spring, and red/white pilot spring to deliver 2 psig. Will use 1in Fisher 289H42 relief set at 4 psig for overpressure protection. Total initial demand is 5,514 cfh. Setting is designed to accomodate planned expansion of school. There will be no charge to the customer for the setting. System 0501-C-1 MOP=58psig MAOP=58psig</v>
          </cell>
          <cell r="L2441">
            <v>41626</v>
          </cell>
          <cell r="M2441">
            <v>41698</v>
          </cell>
          <cell r="N2441">
            <v>41704.7116550926</v>
          </cell>
          <cell r="P2441" t="str">
            <v>0501-044001  JASPER CTY/JOPLIN</v>
          </cell>
          <cell r="Q2441">
            <v>5729.95</v>
          </cell>
          <cell r="R2441">
            <v>13</v>
          </cell>
        </row>
        <row r="2442">
          <cell r="A2442" t="str">
            <v>004379</v>
          </cell>
          <cell r="B2442" t="str">
            <v>LDC 2</v>
          </cell>
          <cell r="D2442" t="str">
            <v>yes</v>
          </cell>
          <cell r="E2442" t="str">
            <v>20501133245</v>
          </cell>
          <cell r="F2442" t="str">
            <v>F0544</v>
          </cell>
          <cell r="G2442" t="str">
            <v>Replace bare steel main - safety re</v>
          </cell>
          <cell r="H2442" t="str">
            <v>19th &amp; Harlem Repl PBS w 430'-2in P</v>
          </cell>
          <cell r="I2442" t="str">
            <v>posted to CPR</v>
          </cell>
          <cell r="J2442" t="str">
            <v>19th &amp; Harlem Repl PBS w 430'-2in PE main: Joplin: 19th and Harlem</v>
          </cell>
          <cell r="K2442" t="str">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ell>
          <cell r="L2442">
            <v>41740</v>
          </cell>
          <cell r="M2442">
            <v>41821</v>
          </cell>
          <cell r="N2442">
            <v>41936.625659722202</v>
          </cell>
          <cell r="O2442">
            <v>41791</v>
          </cell>
          <cell r="P2442" t="str">
            <v>0501-044001  JASPER CTY/JOPLIN</v>
          </cell>
          <cell r="Q2442">
            <v>21078.58</v>
          </cell>
          <cell r="R2442">
            <v>205</v>
          </cell>
        </row>
        <row r="2443">
          <cell r="A2443" t="str">
            <v>800980</v>
          </cell>
          <cell r="B2443" t="str">
            <v>LDC 2</v>
          </cell>
          <cell r="D2443" t="str">
            <v>no</v>
          </cell>
          <cell r="F2443" t="str">
            <v>F0523</v>
          </cell>
          <cell r="G2443" t="str">
            <v>New Main Extensions (SW)</v>
          </cell>
          <cell r="H2443" t="str">
            <v>Install 325F 4P 1530 Anderson</v>
          </cell>
          <cell r="I2443" t="str">
            <v>open</v>
          </cell>
          <cell r="J2443" t="str">
            <v>Install ~ 325 Ft of 4" PL IP Main for 1530 Anderson Dr in Webb City MO.</v>
          </cell>
          <cell r="K2443" t="str">
            <v>Total Load is 250 CFH.  This is necessary to extend gas main to convert an existing home with gas.  Owner plans to convert furnace, fireplace and install a new gas dryer.</v>
          </cell>
          <cell r="P2443" t="str">
            <v>0502-044006  JASPER CTY/WEBB CITY</v>
          </cell>
          <cell r="Q2443">
            <v>1729.45</v>
          </cell>
          <cell r="R2443">
            <v>-1405</v>
          </cell>
        </row>
        <row r="2444">
          <cell r="A2444" t="str">
            <v>003972</v>
          </cell>
          <cell r="B2444" t="str">
            <v>LDC 2</v>
          </cell>
          <cell r="D2444" t="str">
            <v>yes</v>
          </cell>
          <cell r="E2444" t="str">
            <v>20501050372</v>
          </cell>
          <cell r="F2444" t="str">
            <v>F0624</v>
          </cell>
          <cell r="G2444" t="str">
            <v>SLRP - block by block - contract</v>
          </cell>
          <cell r="H2444" t="str">
            <v>BWO SERVICE LINE REPL BLOCK CONTRAC</v>
          </cell>
          <cell r="I2444" t="str">
            <v>open</v>
          </cell>
          <cell r="J2444" t="str">
            <v>BWO SERVICE LINE REPL BLOCK CONTRACT</v>
          </cell>
          <cell r="K2444" t="str">
            <v>Service/Yard Line Replacement (SLRP): Contract Crew.  Block by Block - Planned replacement of all unprotected steel or copper in a single block.  (Joplin - South Region)</v>
          </cell>
          <cell r="O2444">
            <v>41730</v>
          </cell>
          <cell r="P2444" t="str">
            <v>0501-044001  JASPER CTY/JOPLIN</v>
          </cell>
          <cell r="Q2444">
            <v>110548.75</v>
          </cell>
          <cell r="R2444">
            <v>1922</v>
          </cell>
        </row>
        <row r="2445">
          <cell r="A2445" t="str">
            <v>009137</v>
          </cell>
          <cell r="B2445" t="str">
            <v>LDC 2</v>
          </cell>
          <cell r="D2445" t="str">
            <v>no</v>
          </cell>
          <cell r="E2445" t="str">
            <v>20506155500</v>
          </cell>
          <cell r="F2445" t="str">
            <v>F0630</v>
          </cell>
          <cell r="G2445" t="str">
            <v>Meter &amp; Reg Settings 2" &amp; Lg (SW)</v>
          </cell>
          <cell r="H2445" t="str">
            <v>Install Prefab Setting For 3M Rotar</v>
          </cell>
          <cell r="I2445" t="str">
            <v>posted to CPR</v>
          </cell>
          <cell r="J2445" t="str">
            <v>Install Prefab Setting For 3M Rotary Meter: Airport Drive: New Meter &amp; Reg Settings - 2in &amp; Larger 3820/3830 (33-382)</v>
          </cell>
          <cell r="K2445" t="str">
            <v>Approved by: Michael Fornelli on 08/11/2015,  Install prefab setting for 3M rotary meter. Will use 2" flanged CL34-1 regulator with 3/8" orifice, orange closing spring and yellow/white pilot spring to deliver 2 psig. Will use 1" Fisher 289 relief set at 4 psig for overpressure protection. Due to the investment allowance, there will be no charge to the customer. System Airport Drive 0506-S-1  MAOP=18 PSIG  MOP=18 PSIG</v>
          </cell>
          <cell r="L2445">
            <v>42286</v>
          </cell>
          <cell r="M2445">
            <v>42491</v>
          </cell>
          <cell r="N2445">
            <v>42527.354432870401</v>
          </cell>
          <cell r="O2445">
            <v>42491</v>
          </cell>
          <cell r="P2445" t="str">
            <v>0506-044008  JASPER CTY/AIRPORT DRIVE</v>
          </cell>
          <cell r="Q2445">
            <v>3074.26</v>
          </cell>
          <cell r="R2445">
            <v>-7</v>
          </cell>
        </row>
        <row r="2446">
          <cell r="A2446" t="str">
            <v>013853</v>
          </cell>
          <cell r="B2446" t="str">
            <v>LDC 2</v>
          </cell>
          <cell r="D2446" t="str">
            <v>no</v>
          </cell>
          <cell r="F2446" t="str">
            <v>F0644</v>
          </cell>
          <cell r="G2446" t="str">
            <v>Meter &amp; Reg Settings 2" &amp; Lg (S)</v>
          </cell>
          <cell r="H2446" t="str">
            <v>Mid Continent Library 5M</v>
          </cell>
          <cell r="I2446" t="str">
            <v>open</v>
          </cell>
          <cell r="J2446" t="str">
            <v>Replace &amp; retire existing property line 5M Rotary Meter set installed on wo 68-6211 by constructing a new 5M meter set at the building to complete a SLRP. 15616 E US Highway 24</v>
          </cell>
          <cell r="K2446" t="str">
            <v>Maximo WO 15818511
Note: Retire asset ID 1044323</v>
          </cell>
          <cell r="P2446" t="str">
            <v>0201-043001  JACKSON CTY/INDEPENDENCE</v>
          </cell>
          <cell r="Q2446">
            <v>826.37</v>
          </cell>
          <cell r="R2446">
            <v>-67</v>
          </cell>
        </row>
        <row r="2447">
          <cell r="A2447" t="str">
            <v>009022</v>
          </cell>
          <cell r="B2447" t="str">
            <v>LDC 2</v>
          </cell>
          <cell r="D2447" t="str">
            <v>no</v>
          </cell>
          <cell r="E2447" t="str">
            <v>20201155467</v>
          </cell>
          <cell r="F2447" t="str">
            <v>F0507</v>
          </cell>
          <cell r="G2447" t="str">
            <v>Rebuild Meter Install 2'' &amp; Lg (S)</v>
          </cell>
          <cell r="H2447" t="str">
            <v>Remove 5M Rotary Meter</v>
          </cell>
          <cell r="I2447" t="str">
            <v>posted to CPR</v>
          </cell>
          <cell r="J2447" t="str">
            <v>Remove 5M Rotary Meter: Belton: Replace Meter &amp; Reg 2&amp;quot; &amp;  Larger - 3820/3830 (32-404)</v>
          </cell>
          <cell r="K2447" t="str">
            <v>Approved by: Kevin Driskell on 07/24/2015,  Remove and dismantle the 5M rotary meter setting (meter #08510759, premise #343308, installed on WO# 082601) due to inactivity.</v>
          </cell>
          <cell r="L2447">
            <v>42251</v>
          </cell>
          <cell r="M2447">
            <v>42491</v>
          </cell>
          <cell r="N2447">
            <v>42528.472997685203</v>
          </cell>
          <cell r="P2447" t="str">
            <v>0201-043001  JACKSON CTY/INDEPENDENCE</v>
          </cell>
          <cell r="Q2447">
            <v>4111.5</v>
          </cell>
          <cell r="R2447">
            <v>10</v>
          </cell>
        </row>
        <row r="2448">
          <cell r="A2448" t="str">
            <v>008639</v>
          </cell>
          <cell r="B2448" t="str">
            <v>LDC 2</v>
          </cell>
          <cell r="D2448" t="str">
            <v>yes</v>
          </cell>
          <cell r="E2448" t="str">
            <v>20201155321</v>
          </cell>
          <cell r="F2448" t="str">
            <v>F0604</v>
          </cell>
          <cell r="G2448" t="str">
            <v>Main Replacement - ISRS (S)</v>
          </cell>
          <cell r="H2448" t="str">
            <v>Replace 4in PBS/PCS &amp; 2in P</v>
          </cell>
          <cell r="I2448" t="str">
            <v>posted to CPR</v>
          </cell>
          <cell r="J2448" t="str">
            <v>Replace 4in PBS/PCS &amp; 2in PBS Main: Independence: Replace Bare Steel Main - 3760 Safety Related (34-394)</v>
          </cell>
          <cell r="K2448" t="str">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ell>
          <cell r="L2448">
            <v>42353</v>
          </cell>
          <cell r="M2448">
            <v>42429</v>
          </cell>
          <cell r="N2448">
            <v>42527.512291666702</v>
          </cell>
          <cell r="O2448">
            <v>42370</v>
          </cell>
          <cell r="P2448" t="str">
            <v>0201-043001  JACKSON CTY/INDEPENDENCE</v>
          </cell>
          <cell r="Q2448">
            <v>230037.48</v>
          </cell>
          <cell r="R2448">
            <v>-4751.5</v>
          </cell>
        </row>
        <row r="2449">
          <cell r="A2449" t="str">
            <v>005215</v>
          </cell>
          <cell r="B2449" t="str">
            <v>LDC 2</v>
          </cell>
          <cell r="D2449" t="str">
            <v>no</v>
          </cell>
          <cell r="E2449" t="str">
            <v>20201143519</v>
          </cell>
          <cell r="F2449" t="str">
            <v>F0676</v>
          </cell>
          <cell r="G2449" t="str">
            <v>Meter &amp; regulator settings - 2" &amp; l</v>
          </cell>
          <cell r="H2449" t="str">
            <v>Washhouse Laundry 2M mtr set</v>
          </cell>
          <cell r="I2449" t="str">
            <v>posted to CPR</v>
          </cell>
          <cell r="J2449" t="str">
            <v>Washhouse Laundry 2M mtr set: Independence: New Meter &amp; Reg Settings - 2&amp;quot; &amp; Larger 3820/3830 (33-382)</v>
          </cell>
          <cell r="K2449" t="str">
            <v>Approved by: Ralph Janes on 05/02/2014,  Build a 2M Rotary meter setting to serve one new commercial customer.  Note:  Existing ½¿ pe service line is too small ¿ need 125¿ ¿ 1-1/4¿ pe service line installed on BWO w/ 2¿ riser for a rotary meter ¿ bored under asphalt ¿ highway permit required.</v>
          </cell>
          <cell r="L2449">
            <v>41799</v>
          </cell>
          <cell r="M2449">
            <v>41904</v>
          </cell>
          <cell r="N2449">
            <v>41914.651168981502</v>
          </cell>
          <cell r="O2449">
            <v>41791</v>
          </cell>
          <cell r="P2449" t="str">
            <v>0201-043001  JACKSON CTY/INDEPENDENCE</v>
          </cell>
          <cell r="Q2449">
            <v>2081.23</v>
          </cell>
          <cell r="R2449">
            <v>-34</v>
          </cell>
        </row>
        <row r="2450">
          <cell r="A2450" t="str">
            <v>003955</v>
          </cell>
          <cell r="B2450" t="str">
            <v>LDC 2</v>
          </cell>
          <cell r="D2450" t="str">
            <v>no</v>
          </cell>
          <cell r="E2450" t="str">
            <v>20201132531</v>
          </cell>
          <cell r="F2450" t="str">
            <v>F0597</v>
          </cell>
          <cell r="G2450" t="str">
            <v>Other</v>
          </cell>
          <cell r="H2450" t="str">
            <v>EGM Replace - Little Blue Valley</v>
          </cell>
          <cell r="I2450" t="str">
            <v>posted to CPR</v>
          </cell>
          <cell r="J2450" t="str">
            <v>EGM Replace - Little Blue Valley: Independence: 21208 Old Atherton Rd</v>
          </cell>
          <cell r="K2450" t="str">
            <v>Approved by: Rob Kitterman on 04/08/2013,  Replace EGM equipment at Little Blue Valley with a new Mini-AT-PT, S/N: 11038357, &amp; Messenger Modem. New meter is a Roots 16M rotary meter# 00822419. The existing equipment(parallel run) was damaged beyond repair. Retire the damage 2 ECATs, S/N: 9504773 &amp; S/N: 9504774 on this WO as well.</v>
          </cell>
          <cell r="L2450">
            <v>41469</v>
          </cell>
          <cell r="M2450">
            <v>41575</v>
          </cell>
          <cell r="N2450">
            <v>41576.418541666702</v>
          </cell>
          <cell r="P2450" t="str">
            <v>0201-043001  JACKSON CTY/INDEPENDENCE</v>
          </cell>
          <cell r="Q2450">
            <v>7579</v>
          </cell>
          <cell r="R2450">
            <v>5</v>
          </cell>
        </row>
        <row r="2451">
          <cell r="A2451" t="str">
            <v>004228</v>
          </cell>
          <cell r="B2451" t="str">
            <v>LDC 2</v>
          </cell>
          <cell r="D2451" t="str">
            <v>no</v>
          </cell>
          <cell r="E2451" t="str">
            <v>20201143314</v>
          </cell>
          <cell r="F2451" t="str">
            <v>F0507</v>
          </cell>
          <cell r="G2451" t="str">
            <v>Rebuild Meter Install 2'' &amp; Lg (S)</v>
          </cell>
          <cell r="H2451" t="str">
            <v>Allis Chalmers Repl 5M Meter Set</v>
          </cell>
          <cell r="I2451" t="str">
            <v>posted to CPR</v>
          </cell>
          <cell r="J2451" t="str">
            <v>Allis Chalmers Repl 5M Meter Set: Independence: 627 S Cottage</v>
          </cell>
          <cell r="K2451" t="str">
            <v>Approved by: Ralph Janes on 01/24/2014,  Install a 5M Rotery meter on a former customer.  We had previously served this customer with a much larger meter.  Their production stopped and we finally removed the meter set due to inactivity.  The now want heat in the vacant building to keep the sprinkler system from freezing.</v>
          </cell>
          <cell r="L2451">
            <v>41920</v>
          </cell>
          <cell r="M2451">
            <v>41943</v>
          </cell>
          <cell r="N2451">
            <v>41950.631446759297</v>
          </cell>
          <cell r="O2451">
            <v>41913</v>
          </cell>
          <cell r="P2451" t="str">
            <v>0201-043001  JACKSON CTY/INDEPENDENCE</v>
          </cell>
          <cell r="Q2451">
            <v>2442.48</v>
          </cell>
          <cell r="R2451">
            <v>85.25</v>
          </cell>
        </row>
        <row r="2452">
          <cell r="A2452" t="str">
            <v>004114</v>
          </cell>
          <cell r="B2452" t="str">
            <v>LDC 2</v>
          </cell>
          <cell r="D2452" t="str">
            <v>yes</v>
          </cell>
          <cell r="E2452" t="str">
            <v>20201132625</v>
          </cell>
          <cell r="F2452" t="str">
            <v>F0604</v>
          </cell>
          <cell r="G2452" t="str">
            <v>Main Replacement - ISRS (S)</v>
          </cell>
          <cell r="H2452" t="str">
            <v>291 Hwy &amp; Truman I/O Piping DRS 122</v>
          </cell>
          <cell r="I2452" t="str">
            <v>posted to CPR</v>
          </cell>
          <cell r="J2452" t="str">
            <v>291 Hwy &amp; Truman I/O Piping DRS 122: Independence: 291 Hwy and Truman Rd</v>
          </cell>
          <cell r="K2452" t="str">
            <v>Approved by: Rob Hack on 06/24/2013,  Rebuild DRS 122 on WO# 13-2660. The new DRS 122 will be rebuilt/relocated from the existing pit/shed to a Southwestern location still within our easement. The exisitng inlet and outlet piping will be replaced with new I/O piping on wo# 13-2625. Bridle valve settings will be constructed off of the 16&amp;quot; main on the inlet side of the new DRS 122 (C-100 MOP=125 psig and MAOP=155 psig) and off of our 8&amp;quot; main on the outlet side of the DRS 122 (C-500 MOP=30 psig and MAOP=44 psig). TD Williamson services include: provide fittings, tap, and stopple our 16&amp;quot; main at points 1 and 3. MGE must notify Union Pacific's Managers of Track and Signal Maintenance 10 days in advance of starting construction around the RR tracks.  The existing DRS is in the basement in a building which has flooded in the past.  The 16&amp;quot; main is exposed in the building and has numerous scabbed pits.  Currently there are 2 regulator runs one of which is shut in.  The inlet valve leaks on the shut in run and can not be repacked.  A 6&amp;quot; regulator on the shut in run has begun to leak all around the diaphragm case and can not be repaired.  We have seen an increase in leak calls and it is becomming more difficult to air the building out prior to entry.  Replacing this section of 16&amp;quot; main with new bridle valves serving a new above ground DRS will allow us to get rid of the building and eliminate the leakage.</v>
          </cell>
          <cell r="L2452">
            <v>41533</v>
          </cell>
          <cell r="M2452">
            <v>41626</v>
          </cell>
          <cell r="N2452">
            <v>41627.582731481503</v>
          </cell>
          <cell r="O2452">
            <v>41730</v>
          </cell>
          <cell r="P2452" t="str">
            <v>0201-043001  JACKSON CTY/INDEPENDENCE</v>
          </cell>
          <cell r="Q2452">
            <v>299506.08</v>
          </cell>
          <cell r="R2452">
            <v>6728.14</v>
          </cell>
        </row>
        <row r="2453">
          <cell r="A2453" t="str">
            <v>003859</v>
          </cell>
          <cell r="B2453" t="str">
            <v>LDC 2</v>
          </cell>
          <cell r="D2453" t="str">
            <v>yes</v>
          </cell>
          <cell r="E2453" t="str">
            <v>20201132800</v>
          </cell>
          <cell r="F2453" t="str">
            <v>F0604</v>
          </cell>
          <cell r="G2453" t="str">
            <v>Main Replacement - ISRS (S)</v>
          </cell>
          <cell r="H2453" t="str">
            <v>35th &amp; Denton Repl PBS w 1220'-2in</v>
          </cell>
          <cell r="I2453" t="str">
            <v>posted to CPR</v>
          </cell>
          <cell r="J2453" t="str">
            <v>35th &amp; Denton Repl PBS w 1220'-2in PE main: Independence: 35th and Denton</v>
          </cell>
          <cell r="K2453" t="str">
            <v>Approved by: Ralph Janes on 07/29/2013,  Replace and abandon 2&amp;quot; and 4&amp;quot; PBS (1579' total) on 35th St between 40 Hwy and Denton with 1220' - 2&amp;quot; PE. This will clear one active #3 leak (sector 1303 #2009-48). The main from 40 Hwy to the east side of Peek is on the C-500 pressure system (MOP = 30 psig; MAOP = 44 psig) and the rest of the main is on a dead end feed of the C-001 pressure system (MOP = 1.38 psig; MAOP = 1.5 psig) from DRS 67 at 35th and Arlington. The new 2&amp;quot; PE will all be on the C-500 system, allowing us to abandon the dead end portion of the C-001 pressure system at the outlet of DRS 67. Main to abandon: 360' - 4&amp;quot; PBS (WO# 4532); 460' - 2&amp;quot; PBS (WO# 4532); 102' - 2&amp;quot; PBS (WO# 10110); 245' - 2&amp;quot; PBS (WO# 13640); 258' - 2&amp;quot; PBS (WO# 14635); 28' - 2&amp;quot; PBS (WO# 46870); 42' - 2&amp;quot; PCS (WO# 74-1683); 84' - 2&amp;quot; PBS (WO# 16924); 5' - 2&amp;quot; PCS (WO# 59827). (ISRS) Price per ft = $33.51</v>
          </cell>
          <cell r="L2453">
            <v>41621</v>
          </cell>
          <cell r="M2453">
            <v>41698</v>
          </cell>
          <cell r="N2453">
            <v>41704.7116087963</v>
          </cell>
          <cell r="O2453">
            <v>41730</v>
          </cell>
          <cell r="P2453" t="str">
            <v>0201-043001  JACKSON CTY/INDEPENDENCE</v>
          </cell>
          <cell r="Q2453">
            <v>67250.42</v>
          </cell>
          <cell r="R2453">
            <v>5083</v>
          </cell>
        </row>
        <row r="2454">
          <cell r="A2454" t="str">
            <v>004187</v>
          </cell>
          <cell r="B2454" t="str">
            <v>LDC 2</v>
          </cell>
          <cell r="D2454" t="str">
            <v>no</v>
          </cell>
          <cell r="E2454" t="str">
            <v>20201121634</v>
          </cell>
          <cell r="F2454" t="str">
            <v>F0639</v>
          </cell>
          <cell r="G2454" t="str">
            <v>EGM Equip-1st Time Installation</v>
          </cell>
          <cell r="H2454" t="str">
            <v>EGM - Cheddars KC Joint Venture</v>
          </cell>
          <cell r="I2454" t="str">
            <v>posted to CPR</v>
          </cell>
          <cell r="J2454" t="str">
            <v>EGM - Cheddars KC Joint Venture: Independence: 4675 S Bass Pro Dr - Independence, MO 64055</v>
          </cell>
          <cell r="K2454" t="str">
            <v>Approved by: Rob Kitterman on 08/17/2012,  Install Mercury MiniMax-AT-T on Roots 5M meter no 00864294 to monitor daily gas usage of this transportation customer. Customer will reimburse company actual cost for EGM installation not to exceed $5,445.00, which should be coded to account 1072. ATTENTION: Plant &amp; Property Accounting, EGM work order, turn off A&amp;G indicator.</v>
          </cell>
          <cell r="L2454">
            <v>41548</v>
          </cell>
          <cell r="M2454">
            <v>41575</v>
          </cell>
          <cell r="N2454">
            <v>41576.418599536999</v>
          </cell>
          <cell r="P2454" t="str">
            <v>0201-043001  JACKSON CTY/INDEPENDENCE</v>
          </cell>
          <cell r="Q2454">
            <v>0</v>
          </cell>
          <cell r="R2454">
            <v>4</v>
          </cell>
        </row>
        <row r="2455">
          <cell r="A2455" t="str">
            <v>004091</v>
          </cell>
          <cell r="B2455" t="str">
            <v>LDC 2</v>
          </cell>
          <cell r="D2455" t="str">
            <v>no</v>
          </cell>
          <cell r="E2455" t="str">
            <v>20201132845</v>
          </cell>
          <cell r="F2455" t="str">
            <v>F0672</v>
          </cell>
          <cell r="G2455" t="str">
            <v>Main Repl - Sys Reinforcement (S)</v>
          </cell>
          <cell r="H2455" t="str">
            <v>Pur Easements Reinforce Route 7</v>
          </cell>
          <cell r="I2455" t="str">
            <v>in service</v>
          </cell>
          <cell r="J2455" t="str">
            <v>Pur Easements Reinforce Route 7: Independence: Truman Road between Independence and Blue Springs</v>
          </cell>
          <cell r="K2455" t="str">
            <v>Approved by: Rob Hack on 07/25/2013,  Route 7 Pressure System C-011 in Blue Springs drops over 40% at the north end on our coldest days.  Slower growth is buying us time to address this. This work order will purchase easements on Truman Road between Independence and Blue Springs.  Main installation will be installed in a future budget year.</v>
          </cell>
          <cell r="L2455">
            <v>42675</v>
          </cell>
          <cell r="O2455">
            <v>42705</v>
          </cell>
          <cell r="P2455" t="str">
            <v>0201-043001  JACKSON CTY/INDEPENDENCE</v>
          </cell>
          <cell r="Q2455">
            <v>201476.15</v>
          </cell>
          <cell r="R2455">
            <v>0</v>
          </cell>
        </row>
        <row r="2456">
          <cell r="A2456" t="str">
            <v>003962</v>
          </cell>
          <cell r="B2456" t="str">
            <v>LDC 2</v>
          </cell>
          <cell r="D2456" t="str">
            <v>no</v>
          </cell>
          <cell r="E2456" t="str">
            <v>20201121889</v>
          </cell>
          <cell r="F2456" t="str">
            <v>F0503</v>
          </cell>
          <cell r="G2456" t="str">
            <v>Rectifier New/Repl ISRS (N)</v>
          </cell>
          <cell r="H2456" t="str">
            <v>Rectifier L0263 Rectifier and Grou</v>
          </cell>
          <cell r="I2456" t="str">
            <v>posted to CPR</v>
          </cell>
          <cell r="J2456" t="str">
            <v>Rectifier L0263 Rectifier and Ground Bed Repl: Independence: Pacific and Hunter</v>
          </cell>
          <cell r="K2456" t="str">
            <v>Approved by: Randy Spector on 11/12/2012,  This work order is necessary to retire existing ground bed installed on work order 77-0979. The existing current output is insufficient to supply current needed and history of ground bed resistivity is increasing indicating ground bed is depleted. The new ground bed will be 5 - 3&amp;quot; x 60&amp;quot; anodes, spaced at 15 feet. The rectifier will be a Universal 20V/10A. All construction will be performed by contractor crews. No electrical work will be needed.</v>
          </cell>
          <cell r="L2456">
            <v>41494</v>
          </cell>
          <cell r="M2456">
            <v>41533</v>
          </cell>
          <cell r="N2456">
            <v>41534.536608796298</v>
          </cell>
          <cell r="P2456" t="str">
            <v>0201-043001  JACKSON CTY/INDEPENDENCE</v>
          </cell>
          <cell r="Q2456">
            <v>19774.34</v>
          </cell>
          <cell r="R2456">
            <v>1</v>
          </cell>
        </row>
        <row r="2457">
          <cell r="A2457" t="str">
            <v>004331</v>
          </cell>
          <cell r="B2457" t="str">
            <v>LDC 2</v>
          </cell>
          <cell r="D2457" t="str">
            <v>no</v>
          </cell>
          <cell r="E2457" t="str">
            <v>20201132848</v>
          </cell>
          <cell r="F2457" t="str">
            <v>F0671</v>
          </cell>
          <cell r="G2457" t="str">
            <v>Tools, Instruments &amp; Equipment</v>
          </cell>
          <cell r="H2457" t="str">
            <v>Pur Nitrogen Purging Equip</v>
          </cell>
          <cell r="I2457" t="str">
            <v>posted to CPR</v>
          </cell>
          <cell r="J2457" t="str">
            <v>Pur Nitrogen Purging Equip: Independence: Independence Training Center</v>
          </cell>
          <cell r="K2457" t="str">
            <v>Approved by: Brian Dresel on 07/26/2013,  Nitrogen purging equipment and training props to be used to train employees and apprentices in the new purging procedure required by company procedures.</v>
          </cell>
          <cell r="L2457">
            <v>41505</v>
          </cell>
          <cell r="M2457">
            <v>41575</v>
          </cell>
          <cell r="N2457">
            <v>41576.418530092596</v>
          </cell>
          <cell r="P2457" t="str">
            <v>0201-043001  JACKSON CTY/INDEPENDENCE</v>
          </cell>
          <cell r="Q2457">
            <v>3441.61</v>
          </cell>
          <cell r="R2457">
            <v>0</v>
          </cell>
        </row>
        <row r="2458">
          <cell r="A2458" t="str">
            <v>005273</v>
          </cell>
          <cell r="B2458" t="str">
            <v>LDC 2</v>
          </cell>
          <cell r="D2458" t="str">
            <v>yes</v>
          </cell>
          <cell r="E2458" t="str">
            <v>20201143547</v>
          </cell>
          <cell r="F2458" t="str">
            <v>F0580</v>
          </cell>
          <cell r="G2458" t="str">
            <v>Replace steel &amp; plastic main</v>
          </cell>
          <cell r="H2458" t="str">
            <v>35th &amp; Evanston Tie exist PEtoC-500</v>
          </cell>
          <cell r="I2458" t="str">
            <v>posted to CPR</v>
          </cell>
          <cell r="J2458" t="str">
            <v>35th &amp; Evanston Tie exist PEtoC-500 Ret 5'-4in PE : Independence: Replace Coated Steel &amp; Plastic Main - 3760 (34-396)</v>
          </cell>
          <cell r="K2458" t="str">
            <v>Approved by: Ralph Janes on 05/12/2014,  In 2003 the existing CI and PBS main at Evanston, Overton Terr, and 34th St to Overton was replaced on WO# 03-6025. We were charged for 44 service tie-overs, but discovered recently that we have no service tie-over cards for these. On this WO, we will cut and cap some of the existing PE in order to isolate the PE from existing PBS in the area, then tie the PE onto the C-500 pressure system. Prior to doing so, IUI will expose all service taps, cut off and pressure test the service lines, install EFV's, and change out service regs/orifices and document doing so. This will set us up to install new PE main on WO's 14-3515 and 14-3520 on the C-500 pressure system.</v>
          </cell>
          <cell r="L2458">
            <v>41985</v>
          </cell>
          <cell r="M2458">
            <v>42247</v>
          </cell>
          <cell r="N2458">
            <v>42284.721307870401</v>
          </cell>
          <cell r="O2458">
            <v>42005</v>
          </cell>
          <cell r="P2458" t="str">
            <v>0201-043001  JACKSON CTY/INDEPENDENCE</v>
          </cell>
          <cell r="Q2458">
            <v>24577.18</v>
          </cell>
          <cell r="R2458">
            <v>4</v>
          </cell>
        </row>
        <row r="2459">
          <cell r="A2459" t="str">
            <v>004420</v>
          </cell>
          <cell r="B2459" t="str">
            <v>LDC 2</v>
          </cell>
          <cell r="D2459" t="str">
            <v>no</v>
          </cell>
          <cell r="E2459" t="str">
            <v>20201132610</v>
          </cell>
          <cell r="F2459" t="str">
            <v>F0639</v>
          </cell>
          <cell r="G2459" t="str">
            <v>EGM Equip-1st Time Installation</v>
          </cell>
          <cell r="H2459" t="str">
            <v>EGM - Hylton Laundries</v>
          </cell>
          <cell r="I2459" t="str">
            <v>posted to CPR</v>
          </cell>
          <cell r="J2459" t="str">
            <v>EGM - Hylton Laundries: Independence: 900 E US Hwy 24, Independence, MO 64050</v>
          </cell>
          <cell r="K2459" t="str">
            <v>Approved by: Rob Kitterman on 04/12/2013,  Install Mercury MiniMax-AT-T on Roots 5M meter no 00741473 to monitor daily gas usage of this transportation customer. Customer will reimburse company actual cost for EGM installation not to exceed $5,445.00, which should be coded to account 1072. ATTENTION: Plant &amp; Property Accounting, EGM work order, turn off A&amp;G indicator.</v>
          </cell>
          <cell r="L2459">
            <v>41426</v>
          </cell>
          <cell r="M2459">
            <v>41670</v>
          </cell>
          <cell r="N2459">
            <v>41677.509837963</v>
          </cell>
          <cell r="P2459" t="str">
            <v>0201-043001  JACKSON CTY/INDEPENDENCE</v>
          </cell>
          <cell r="Q2459">
            <v>0</v>
          </cell>
          <cell r="R2459">
            <v>4</v>
          </cell>
        </row>
        <row r="2460">
          <cell r="A2460" t="str">
            <v>005633</v>
          </cell>
          <cell r="B2460" t="str">
            <v>LDC 2</v>
          </cell>
          <cell r="D2460" t="str">
            <v>yes</v>
          </cell>
          <cell r="E2460" t="str">
            <v>20307143658</v>
          </cell>
          <cell r="F2460" t="str">
            <v>F0578</v>
          </cell>
          <cell r="G2460" t="str">
            <v>Street &amp; Highway Relocates ISRS (S)</v>
          </cell>
          <cell r="H2460" t="str">
            <v>7th &amp; Orange Reloc pcs w 18'-6in CS</v>
          </cell>
          <cell r="I2460" t="str">
            <v>posted to CPR</v>
          </cell>
          <cell r="J2460" t="str">
            <v>7th &amp; Orange Reloc pcs w 18'-6in CS main: Concordia: Relocate for Street &amp; Highway-Public Improvements (44-388)</v>
          </cell>
          <cell r="K2460" t="str">
            <v>Approved by: Ralph Janes on 07/02/2014,  Relocate and abandon 8' - 6" pcs main (work order 132741) by installing 16' - 6" pcs main to allow City to install new strom sewer structure. (ISRS)</v>
          </cell>
          <cell r="L2460">
            <v>41871</v>
          </cell>
          <cell r="M2460">
            <v>41913</v>
          </cell>
          <cell r="N2460">
            <v>42041.6691782407</v>
          </cell>
          <cell r="O2460">
            <v>41883</v>
          </cell>
          <cell r="P2460" t="str">
            <v>0307-049001  LAFAYETTE CTY/CONCORDIA</v>
          </cell>
          <cell r="Q2460">
            <v>1635.39</v>
          </cell>
          <cell r="R2460">
            <v>24.5</v>
          </cell>
        </row>
        <row r="2461">
          <cell r="A2461" t="str">
            <v>800600</v>
          </cell>
          <cell r="B2461" t="str">
            <v>LDC 2</v>
          </cell>
          <cell r="C2461" t="str">
            <v>03 - Bare Steel Replacement</v>
          </cell>
          <cell r="D2461" t="str">
            <v>yes</v>
          </cell>
          <cell r="F2461" t="str">
            <v>F0604</v>
          </cell>
          <cell r="G2461" t="str">
            <v>Main Replacement - ISRS (S)</v>
          </cell>
          <cell r="H2461" t="str">
            <v>Repl w 7055F 2-4P Blackburn Phase 1</v>
          </cell>
          <cell r="I2461" t="str">
            <v>open</v>
          </cell>
          <cell r="J2461" t="str">
            <v>Install 3855 Ft. 2 in. PL MP Main and 3200 Ft. 4 in. PL MP Main on Main St., Forth St., Third St., Second St., Churchill St., and Rea St.</v>
          </cell>
          <cell r="K2461" t="str">
            <v>Abandon 7769 Ft. of 2 in. ST MP Main and 60 Ft. of 2 in. PL MP Main on the above mentioned streets.  Total service tie overs = 49; Total service abandon = 8; Total service replace = 7.  This main is being replaced as part of the FY16 Bare Steel Replacement Program.</v>
          </cell>
          <cell r="P2461" t="str">
            <v>0311-086002  SALINE CTY/BLACKBURN</v>
          </cell>
          <cell r="Q2461">
            <v>32295.79</v>
          </cell>
          <cell r="R2461">
            <v>7829</v>
          </cell>
        </row>
        <row r="2462">
          <cell r="A2462" t="str">
            <v>008401</v>
          </cell>
          <cell r="B2462" t="str">
            <v>LDC 2</v>
          </cell>
          <cell r="D2462" t="str">
            <v>yes</v>
          </cell>
          <cell r="E2462" t="str">
            <v>20305155210</v>
          </cell>
          <cell r="F2462" t="str">
            <v>F0604</v>
          </cell>
          <cell r="G2462" t="str">
            <v>Main Replacement - ISRS (S)</v>
          </cell>
          <cell r="H2462" t="str">
            <v>Replace 2in pbs main</v>
          </cell>
          <cell r="I2462" t="str">
            <v>posted to CPR</v>
          </cell>
          <cell r="J2462" t="str">
            <v>Replace 2in pbs main: Sweet Springs: Replace Bare Steel Main - 3760 Safety Related (34-394)</v>
          </cell>
          <cell r="K2462" t="str">
            <v>Approved by: Joe Hampton on 05/11/2015,  Install 5,165'- 2" pe main to replace and abandon 2" and 4" pbs and pcs main. Main currently runs on  Franklin St, Bridge St, Ridge St, Mill St, Washington St, and Jefferson St. (ISRS)</v>
          </cell>
          <cell r="L2462">
            <v>42286</v>
          </cell>
          <cell r="M2462">
            <v>42429</v>
          </cell>
          <cell r="N2462">
            <v>42527.512060185203</v>
          </cell>
          <cell r="O2462">
            <v>42370</v>
          </cell>
          <cell r="P2462" t="str">
            <v>0305-086001  SALINE CTY/SWEET SPRINGS</v>
          </cell>
          <cell r="Q2462">
            <v>163055.57</v>
          </cell>
          <cell r="R2462">
            <v>-5181</v>
          </cell>
        </row>
        <row r="2463">
          <cell r="A2463" t="str">
            <v>005179</v>
          </cell>
          <cell r="B2463" t="str">
            <v>LDC 2</v>
          </cell>
          <cell r="D2463" t="str">
            <v>no</v>
          </cell>
          <cell r="E2463" t="str">
            <v>20609143531</v>
          </cell>
          <cell r="F2463" t="str">
            <v>F0639</v>
          </cell>
          <cell r="G2463" t="str">
            <v>EGM Equip-1st Time Installation</v>
          </cell>
          <cell r="H2463" t="str">
            <v>EGM - Cedar County Memorial Hospita</v>
          </cell>
          <cell r="I2463" t="str">
            <v>posted to CPR</v>
          </cell>
          <cell r="J2463" t="str">
            <v>EGM - Cedar County Memorial Hospital: El Dorado Springs: Install EGM Equipment - First Time Installation  3850 (32-403)</v>
          </cell>
          <cell r="K2463" t="str">
            <v>Approved by: Rob Kitterman on 05/01/2014,  Install Mercury MiniMax-AT-T w/ Messenger Modem S/N: 13063870 on Roots 11M meter no 08594896 to monitor daily gas usage of this transportation customer. Customer will reimburse company actual cost for EGM installation not to exceed $5,445.00, which should be coded to account 1072. ATTENTION: Plant &amp; Property Accounting, EGM work order, turn off A&amp;G indicator.</v>
          </cell>
          <cell r="L2463">
            <v>42443</v>
          </cell>
          <cell r="M2463">
            <v>42491</v>
          </cell>
          <cell r="N2463">
            <v>42528.313159722202</v>
          </cell>
          <cell r="O2463">
            <v>42430</v>
          </cell>
          <cell r="P2463" t="str">
            <v>0609-017013  CEDAR CTY/ELDORADO SPRINGS</v>
          </cell>
          <cell r="Q2463">
            <v>-247.12</v>
          </cell>
          <cell r="R2463">
            <v>17</v>
          </cell>
        </row>
        <row r="2464">
          <cell r="A2464" t="str">
            <v>008739</v>
          </cell>
          <cell r="B2464" t="str">
            <v>LDC 2</v>
          </cell>
          <cell r="D2464" t="str">
            <v>no</v>
          </cell>
          <cell r="E2464" t="str">
            <v>20801155378</v>
          </cell>
          <cell r="F2464" t="str">
            <v>F0523</v>
          </cell>
          <cell r="G2464" t="str">
            <v>New Main Extensions (SW)</v>
          </cell>
          <cell r="H2464" t="str">
            <v>Install 103ft 2in Plastic Main</v>
          </cell>
          <cell r="I2464" t="str">
            <v>posted to CPR</v>
          </cell>
          <cell r="J2464" t="str">
            <v>Install 103ft 2in Plastic Main: Monett: New Main Extension - Company Crews  3760 (33-305)</v>
          </cell>
          <cell r="K2464" t="str">
            <v>Approved by: Michael Fornelli on 06/11/2015,  Install 103' of 2" PE main to serve one new residential customer. Customer will pay $308.00 refundable deposit after one up front allowance. System: C-0002 Division: 08 Town 01 Sector A1515 MOP: 1 psig MAOP: psig TEST: 100 psig</v>
          </cell>
          <cell r="L2464">
            <v>42202</v>
          </cell>
          <cell r="M2464">
            <v>42461</v>
          </cell>
          <cell r="N2464">
            <v>42496.560752314799</v>
          </cell>
          <cell r="O2464">
            <v>42186</v>
          </cell>
          <cell r="P2464" t="str">
            <v>0801-005001  BARRY CTY/MONETT</v>
          </cell>
          <cell r="Q2464">
            <v>2389.21</v>
          </cell>
          <cell r="R2464">
            <v>-20</v>
          </cell>
        </row>
        <row r="2465">
          <cell r="A2465" t="str">
            <v>004324</v>
          </cell>
          <cell r="B2465" t="str">
            <v>LDC 2</v>
          </cell>
          <cell r="D2465" t="str">
            <v>yes</v>
          </cell>
          <cell r="E2465" t="str">
            <v>20801132712</v>
          </cell>
          <cell r="F2465" t="str">
            <v>F0621</v>
          </cell>
          <cell r="G2465" t="str">
            <v>Rectifier Initial Installation</v>
          </cell>
          <cell r="H2465" t="str">
            <v>Monett New Rectifier /Ground Bed #6</v>
          </cell>
          <cell r="I2465" t="str">
            <v>posted to CPR</v>
          </cell>
          <cell r="J2465" t="str">
            <v>Monett New Rectifier /Ground Bed #678: Monett: Front Street Between 1st and 3rd Street</v>
          </cell>
          <cell r="K2465" t="str">
            <v>Approved by: Randy Spector on 05/28/2013,  This work order is necessary to install a new 40 Volt 20 Amp Rectifier and ten 3in X 60in graphite anodes to adequately cathodic protect steel mains in along Broadway in the downtown area of Monett. The majority of existing main is under pavement and theordically installing sacrifical anodes is cost prohibitive. The existing cathodic protection levels are presently not being meet. Joplin Industrial Electric will install the electircal meter and disconnet along with drilling holes for the anodes. Company crews will install anodes and cables necessary.</v>
          </cell>
          <cell r="L2465">
            <v>41619</v>
          </cell>
          <cell r="M2465">
            <v>41670</v>
          </cell>
          <cell r="N2465">
            <v>41677.509722222203</v>
          </cell>
          <cell r="O2465">
            <v>41730</v>
          </cell>
          <cell r="P2465" t="str">
            <v>0801-005001  BARRY CTY/MONETT</v>
          </cell>
          <cell r="Q2465">
            <v>30196.79</v>
          </cell>
          <cell r="R2465">
            <v>498</v>
          </cell>
        </row>
        <row r="2466">
          <cell r="A2466" t="str">
            <v>006083</v>
          </cell>
          <cell r="B2466" t="str">
            <v>LDC 2</v>
          </cell>
          <cell r="D2466" t="str">
            <v>yes</v>
          </cell>
          <cell r="E2466" t="str">
            <v>20930143750</v>
          </cell>
          <cell r="F2466" t="str">
            <v>F0621</v>
          </cell>
          <cell r="G2466" t="str">
            <v>Rectifier Initial Installation</v>
          </cell>
          <cell r="H2466" t="str">
            <v>BB Highway Rectifier and Ground Bed</v>
          </cell>
          <cell r="I2466" t="str">
            <v>in service</v>
          </cell>
          <cell r="J2466" t="str">
            <v>BB Highway Rectifier and Ground Bed: Buckner: Install Rectifier/Groundbed - First Time Installation  3760 (46-392)Lees Summit</v>
          </cell>
          <cell r="K2466" t="str">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ell>
          <cell r="L2466">
            <v>42284</v>
          </cell>
          <cell r="O2466">
            <v>42370</v>
          </cell>
          <cell r="P2466" t="str">
            <v>0930-043043  JACKSON CTY/BUCKNER</v>
          </cell>
          <cell r="Q2466">
            <v>18309.310000000001</v>
          </cell>
          <cell r="R2466">
            <v>654</v>
          </cell>
        </row>
        <row r="2467">
          <cell r="A2467" t="str">
            <v>800862</v>
          </cell>
          <cell r="B2467" t="str">
            <v>LDC 2</v>
          </cell>
          <cell r="D2467" t="str">
            <v>no</v>
          </cell>
          <cell r="F2467" t="str">
            <v>F0673</v>
          </cell>
          <cell r="G2467" t="str">
            <v>New Main Extensions (S)</v>
          </cell>
          <cell r="H2467" t="str">
            <v>Install 520F 2P High Point Creekmor</v>
          </cell>
          <cell r="I2467" t="str">
            <v>in service</v>
          </cell>
          <cell r="J2467" t="str">
            <v>Install ~ 520ft of 2" IP PE Main to feed the 18 lots.</v>
          </cell>
          <cell r="K2467" t="str">
            <v>(18) lots - (Lots 45-62) Single Family Detached.  Gas furnace, gas water, fireplaces</v>
          </cell>
          <cell r="L2467">
            <v>42660</v>
          </cell>
          <cell r="O2467">
            <v>42644</v>
          </cell>
          <cell r="P2467" t="str">
            <v>0932-016022  CASS CTY/RAYMORE</v>
          </cell>
          <cell r="Q2467">
            <v>5465.63</v>
          </cell>
          <cell r="R2467">
            <v>-1547</v>
          </cell>
        </row>
        <row r="2468">
          <cell r="A2468" t="str">
            <v>009515</v>
          </cell>
          <cell r="B2468" t="str">
            <v>LDC 2</v>
          </cell>
          <cell r="D2468" t="str">
            <v>no</v>
          </cell>
          <cell r="F2468" t="str">
            <v>F0639</v>
          </cell>
          <cell r="G2468" t="str">
            <v>EGM Equip-1st Time Installation</v>
          </cell>
          <cell r="H2468" t="str">
            <v>EGM- Heritage Oak LLC</v>
          </cell>
          <cell r="I2468" t="str">
            <v>open</v>
          </cell>
          <cell r="J2468" t="str">
            <v>Install Mercury MiniMax-AT-PT for Heritage Oak LLC at 137 State Hwy 37 to monitor daily gas usage of this transportation customer. Customer will reimburse company actual cost for EGM installation not to exceed $5,445.00.</v>
          </cell>
          <cell r="P2468" t="str">
            <v>0803-044035  JASPER CTY/SARCOXIE</v>
          </cell>
          <cell r="Q2468">
            <v>2603.5500000000002</v>
          </cell>
          <cell r="R2468">
            <v>9</v>
          </cell>
        </row>
        <row r="2469">
          <cell r="A2469" t="str">
            <v>009239</v>
          </cell>
          <cell r="B2469" t="str">
            <v>LDC 2</v>
          </cell>
          <cell r="D2469" t="str">
            <v>yes</v>
          </cell>
          <cell r="E2469" t="str">
            <v>20806155485</v>
          </cell>
          <cell r="F2469" t="str">
            <v>F0592</v>
          </cell>
          <cell r="G2469" t="str">
            <v>Replace bare steel main - safety re</v>
          </cell>
          <cell r="H2469" t="str">
            <v>Repl PBS with 382 ft 2in Plastic Ma</v>
          </cell>
          <cell r="I2469" t="str">
            <v>posted to CPR</v>
          </cell>
          <cell r="J2469" t="str">
            <v>Repl PBS with 382 ft 2in Plastic Main: Neosho: Replace Bare Steel Main - 3760 Safety Related (34-394)</v>
          </cell>
          <cell r="K2469" t="str">
            <v>Approved by: Michael Fornelli on 08/19/2015,  Abandon 122' - 2" PBS(WO#:16480) and 256' - 2" PBS (WO#:13944) with 390' 2" PE.This PBS Main is in poor condition and has had one repaired leak. D:05 T:12 S: 0133 MOP=42# MAOP=42# TEST=100# SYSTEM=C-1 ISRS $31.84/ft</v>
          </cell>
          <cell r="L2469">
            <v>42283</v>
          </cell>
          <cell r="M2469">
            <v>42369</v>
          </cell>
          <cell r="N2469">
            <v>42467.4909722222</v>
          </cell>
          <cell r="O2469">
            <v>42309</v>
          </cell>
          <cell r="P2469" t="str">
            <v>0806-066010  NEWTON CTY/NEOSHO</v>
          </cell>
          <cell r="Q2469">
            <v>29200.41</v>
          </cell>
          <cell r="R2469">
            <v>-155.5</v>
          </cell>
        </row>
        <row r="2470">
          <cell r="A2470" t="str">
            <v>800601</v>
          </cell>
          <cell r="B2470" t="str">
            <v>LDC 2</v>
          </cell>
          <cell r="C2470" t="str">
            <v>03 - Bare Steel Replacement</v>
          </cell>
          <cell r="D2470" t="str">
            <v>yes</v>
          </cell>
          <cell r="F2470" t="str">
            <v>F0572</v>
          </cell>
          <cell r="G2470" t="str">
            <v>Main Replacement - ISRS (SW)</v>
          </cell>
          <cell r="H2470" t="str">
            <v>Repl w/ 2845F 2P Marionville PhA</v>
          </cell>
          <cell r="I2470" t="str">
            <v>open</v>
          </cell>
          <cell r="J2470" t="str">
            <v>Install 2845 Ft. of 2 in. PL IP, 1365 Ft. of 4 in. PL IP, abandon 379 Ft. of 2 in. PL IP, 4906 Ft. of 2 in. ST IP in Marionville, MO.</v>
          </cell>
          <cell r="K2470" t="str">
            <v>This main is being replaced as part of the FY16 Bare Steel Replacement Program.</v>
          </cell>
          <cell r="P2470" t="str">
            <v>0810-050015  LAWRENCE CTY/MARIONVILLE</v>
          </cell>
          <cell r="Q2470">
            <v>207565.53</v>
          </cell>
          <cell r="R2470">
            <v>-6836.0133999999998</v>
          </cell>
        </row>
        <row r="2471">
          <cell r="A2471" t="str">
            <v>010854</v>
          </cell>
          <cell r="B2471" t="str">
            <v>LDC 2</v>
          </cell>
          <cell r="D2471" t="str">
            <v>no</v>
          </cell>
          <cell r="F2471" t="str">
            <v>F1071</v>
          </cell>
          <cell r="G2471" t="str">
            <v>MGE Misc Capital</v>
          </cell>
          <cell r="H2471" t="str">
            <v>Republic- Condensing Unit</v>
          </cell>
          <cell r="I2471" t="str">
            <v>in service</v>
          </cell>
          <cell r="J2471" t="str">
            <v>Install CA13NA0600NG 5 ton condensing unit at Republic.</v>
          </cell>
          <cell r="L2471">
            <v>42490</v>
          </cell>
          <cell r="O2471">
            <v>42522</v>
          </cell>
          <cell r="P2471" t="str">
            <v>0812-034002  GREENE CTY/REPUBLIC</v>
          </cell>
          <cell r="Q2471">
            <v>3007.79</v>
          </cell>
          <cell r="R2471">
            <v>8394</v>
          </cell>
        </row>
        <row r="2472">
          <cell r="A2472" t="str">
            <v>003904</v>
          </cell>
          <cell r="B2472" t="str">
            <v>LDC 2</v>
          </cell>
          <cell r="D2472" t="str">
            <v>yes</v>
          </cell>
          <cell r="E2472" t="str">
            <v>20812132959</v>
          </cell>
          <cell r="F2472" t="str">
            <v>F0598</v>
          </cell>
          <cell r="G2472" t="str">
            <v>Replace steel &amp; plastic main</v>
          </cell>
          <cell r="H2472" t="str">
            <v>Farm Rd 170 Fuses Repl 1035'- 4in P</v>
          </cell>
          <cell r="I2472" t="str">
            <v>posted to CPR</v>
          </cell>
          <cell r="J2472" t="str">
            <v>Farm Rd 170 Fuses Repl 1035'- 4in PE main: Republic: Farm Rd 170 and Hwy 13</v>
          </cell>
          <cell r="K2472" t="str">
            <v>Approved by: Galen Shoemaker on 09/10/2013,  Replace 1033' - 4in PE main (WO#: 12-1854) due to unqualified personell making fuses. Infrasource will pay for all material, time and equipment due to this work as they go along. Project Location: Farm Rd 170 and Kerr; Pressure System: S-2311; MOP: 58 psig; MAOP: 58 psig; Design: 58 psig; Test: 100 psig;</v>
          </cell>
          <cell r="L2472">
            <v>41543</v>
          </cell>
          <cell r="M2472">
            <v>41626</v>
          </cell>
          <cell r="N2472">
            <v>41627.582847222198</v>
          </cell>
          <cell r="O2472">
            <v>41730</v>
          </cell>
          <cell r="P2472" t="str">
            <v>0812-034004  GREENE CTY/Republic</v>
          </cell>
          <cell r="Q2472">
            <v>26406.45</v>
          </cell>
          <cell r="R2472">
            <v>3298.2</v>
          </cell>
        </row>
        <row r="2473">
          <cell r="A2473" t="str">
            <v>009284</v>
          </cell>
          <cell r="B2473" t="str">
            <v>LDC 2</v>
          </cell>
          <cell r="D2473" t="str">
            <v>no</v>
          </cell>
          <cell r="E2473" t="str">
            <v>20801155533</v>
          </cell>
          <cell r="F2473" t="str">
            <v>F0523</v>
          </cell>
          <cell r="G2473" t="str">
            <v>New Main Extensions (SW)</v>
          </cell>
          <cell r="H2473" t="str">
            <v>Lay 75ft 2in Plastic Main Ext</v>
          </cell>
          <cell r="I2473" t="str">
            <v>posted to CPR</v>
          </cell>
          <cell r="J2473" t="str">
            <v>Lay 75ft 2in Plastic Main Ext: Monett: New Main Extension - Company Crews  3760 (33-305)</v>
          </cell>
          <cell r="K2473" t="str">
            <v>Approved by: Michael Fornelli on 09/01/2015,  To lay 75ft of 2in Plastic Main to serve one new residence. No deposit required after one allowance. MOP= 1 PSIG MAOP= 1 PSIG DESIGN: 66 PSIG TEST= 100 PSIG SYSTEM= C-0002 D: 08 T: 01 S: A1515  $58.69/ft ($4,401.72)</v>
          </cell>
          <cell r="L2473">
            <v>42311</v>
          </cell>
          <cell r="M2473">
            <v>42369</v>
          </cell>
          <cell r="N2473">
            <v>42467.491006944401</v>
          </cell>
          <cell r="O2473">
            <v>42309</v>
          </cell>
          <cell r="P2473" t="str">
            <v>0801-005001  BARRY CTY/MONETT</v>
          </cell>
          <cell r="Q2473">
            <v>2979.31</v>
          </cell>
          <cell r="R2473">
            <v>-473</v>
          </cell>
        </row>
        <row r="2474">
          <cell r="A2474" t="str">
            <v>003935</v>
          </cell>
          <cell r="B2474" t="str">
            <v>LDC 2</v>
          </cell>
          <cell r="D2474" t="str">
            <v>yes</v>
          </cell>
          <cell r="E2474" t="str">
            <v>20801050367</v>
          </cell>
          <cell r="F2474" t="str">
            <v>F0637</v>
          </cell>
          <cell r="G2474" t="str">
            <v>SLRP - materials - company crews</v>
          </cell>
          <cell r="H2474" t="str">
            <v>BWO MATERIAL SERV LINE REPL COMP</v>
          </cell>
          <cell r="I2474" t="str">
            <v>open</v>
          </cell>
          <cell r="J2474" t="str">
            <v>BWO MATERIAL SERV LINE REPL COMP</v>
          </cell>
          <cell r="K2474" t="str">
            <v>Service/Yard Line Replacement (SLRP): Company Crew.  Service/yard line replacement - Material Charges Only  (Kansas City - Monett - South Region)</v>
          </cell>
          <cell r="O2474">
            <v>41730</v>
          </cell>
          <cell r="P2474" t="str">
            <v>0801-005001  BARRY CTY/MONETT</v>
          </cell>
          <cell r="Q2474">
            <v>74482.53</v>
          </cell>
          <cell r="R2474">
            <v>70665</v>
          </cell>
        </row>
        <row r="2475">
          <cell r="A2475" t="str">
            <v>009285</v>
          </cell>
          <cell r="B2475" t="str">
            <v>LDC 2</v>
          </cell>
          <cell r="D2475" t="str">
            <v>yes</v>
          </cell>
          <cell r="E2475" t="str">
            <v>20902155379</v>
          </cell>
          <cell r="F2475" t="str">
            <v>F0604</v>
          </cell>
          <cell r="G2475" t="str">
            <v>Main Replacement - ISRS (S)</v>
          </cell>
          <cell r="H2475" t="str">
            <v>Replace 6in bare steel main</v>
          </cell>
          <cell r="I2475" t="str">
            <v>in service</v>
          </cell>
          <cell r="J2475" t="str">
            <v>Install 5,305 ft of 6in plastic main, 1,000ft of 4in plastic main, and 3,595 ft of 2in plastic main
Abandon 5,530 ft of 6in pbs main, 472 ft of 4in pbs main, 2,218 ft of 2in pbs main</v>
          </cell>
          <cell r="K2475" t="str">
            <v>Approved by: Joe Hampton on 08/31/2015,  The City of Raytown plans to install a new bike trail along Blue Ridge Blvd and to repave the entire street.  MGE has nothing but bare steel along the proposed route and will need to cut lots of pavement during replacement.  The City has agreed to hold off of thier project until we replace all of our bare steel main. (ISRS) NOTE: Per Adam Hauck 1-10-17 - need to do some additional work on this project - do not close out completely yet - AMM</v>
          </cell>
          <cell r="L2475">
            <v>42649</v>
          </cell>
          <cell r="O2475">
            <v>42644</v>
          </cell>
          <cell r="P2475" t="str">
            <v>0902-043025  JACKSON CTY/RAYTOWN</v>
          </cell>
          <cell r="Q2475">
            <v>656902.89</v>
          </cell>
          <cell r="R2475">
            <v>-12510</v>
          </cell>
        </row>
        <row r="2476">
          <cell r="A2476" t="str">
            <v>008549</v>
          </cell>
          <cell r="B2476" t="str">
            <v>LDC 2</v>
          </cell>
          <cell r="D2476" t="str">
            <v>yes</v>
          </cell>
          <cell r="E2476" t="str">
            <v>20902155308</v>
          </cell>
          <cell r="F2476" t="str">
            <v>F0604</v>
          </cell>
          <cell r="G2476" t="str">
            <v>Main Replacement - ISRS (S)</v>
          </cell>
          <cell r="H2476" t="str">
            <v>Replace 2in &amp; 3in PCS/PBS</v>
          </cell>
          <cell r="I2476" t="str">
            <v>posted to CPR</v>
          </cell>
          <cell r="J2476" t="str">
            <v>Replace 2in &amp; 3in PCS/PBS: Raytown: Replace Bare Steel Main - 3760 Safety Related (34-394)</v>
          </cell>
          <cell r="K2476" t="str">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ell>
          <cell r="L2476">
            <v>42320</v>
          </cell>
          <cell r="M2476">
            <v>42460</v>
          </cell>
          <cell r="N2476">
            <v>42557.5525694444</v>
          </cell>
          <cell r="O2476">
            <v>42309</v>
          </cell>
          <cell r="P2476" t="str">
            <v>0902-043025  JACKSON CTY/RAYTOWN</v>
          </cell>
          <cell r="Q2476">
            <v>312904.83</v>
          </cell>
          <cell r="R2476">
            <v>-3209.5</v>
          </cell>
        </row>
        <row r="2477">
          <cell r="A2477" t="str">
            <v>800808</v>
          </cell>
          <cell r="B2477" t="str">
            <v>LDC 2</v>
          </cell>
          <cell r="D2477" t="str">
            <v>no</v>
          </cell>
          <cell r="F2477" t="str">
            <v>F0673</v>
          </cell>
          <cell r="G2477" t="str">
            <v>New Main Extensions (S)</v>
          </cell>
          <cell r="H2477" t="str">
            <v>Install 1300F 2-4P Parkway Estates</v>
          </cell>
          <cell r="I2477" t="str">
            <v>in service</v>
          </cell>
          <cell r="J2477" t="str">
            <v>Install ~1205 Ft of 2" PL IP Main, ~95 Ft of 4" PL IP Main.</v>
          </cell>
          <cell r="K2477" t="str">
            <v>This is a new business project to serve 26 lots in a new residential subdivision.</v>
          </cell>
          <cell r="L2477">
            <v>42658</v>
          </cell>
          <cell r="O2477">
            <v>42644</v>
          </cell>
          <cell r="P2477" t="str">
            <v>0903-043026  JACKSON CTY/BLUE SPRINGS</v>
          </cell>
          <cell r="Q2477">
            <v>16131.3</v>
          </cell>
          <cell r="R2477">
            <v>-2749.5</v>
          </cell>
        </row>
        <row r="2478">
          <cell r="A2478" t="str">
            <v>007190</v>
          </cell>
          <cell r="B2478" t="str">
            <v>LDC 2</v>
          </cell>
          <cell r="D2478" t="str">
            <v>no</v>
          </cell>
          <cell r="E2478" t="str">
            <v>20903144006</v>
          </cell>
          <cell r="F2478" t="str">
            <v>F0602</v>
          </cell>
          <cell r="G2478" t="str">
            <v>New business</v>
          </cell>
          <cell r="H2478" t="str">
            <v>Benton House of Blue Springs Main E</v>
          </cell>
          <cell r="I2478" t="str">
            <v>posted to CPR</v>
          </cell>
          <cell r="J2478" t="str">
            <v>Benton House of Blue Springs Main Extension: Blue Springs: New Main Extension - Contractor Crews  3760 (33-380)</v>
          </cell>
          <cell r="K2478" t="str">
            <v>Approved by: Ralph Janes on 12/16/2014,  Install 940' - 4" pe main extension to serve one new commercial customer.  Note:  A portion of this main is for reinforcement purposes as it will connect two single feed pressure systems together and create a commen fed system.  Note:  Minimum to serve is 475' of 2" pe main extension for an estimated cost of $8532.54.  Note:  585' - 2" pe service line to be installed on work order 14-4008.  5M Rotary meter to be installed on parent work order 14-3986.</v>
          </cell>
          <cell r="L2478">
            <v>42026</v>
          </cell>
          <cell r="M2478">
            <v>42063</v>
          </cell>
          <cell r="N2478">
            <v>42160.554097222201</v>
          </cell>
          <cell r="O2478">
            <v>42005</v>
          </cell>
          <cell r="P2478" t="str">
            <v>0903-043026  JACKSON CTY/BLUE SPRINGS</v>
          </cell>
          <cell r="Q2478">
            <v>37029.599999999999</v>
          </cell>
          <cell r="R2478">
            <v>-1976</v>
          </cell>
        </row>
        <row r="2479">
          <cell r="A2479" t="str">
            <v>005171</v>
          </cell>
          <cell r="B2479" t="str">
            <v>LDC 2</v>
          </cell>
          <cell r="D2479" t="str">
            <v>no</v>
          </cell>
          <cell r="E2479" t="str">
            <v>20903143516</v>
          </cell>
          <cell r="F2479" t="str">
            <v>F0507</v>
          </cell>
          <cell r="G2479" t="str">
            <v>Rebuild Meter Install 2'' &amp; Lg (S)</v>
          </cell>
          <cell r="H2479" t="str">
            <v>1100 SW Smith St Retire 2M Meter</v>
          </cell>
          <cell r="I2479" t="str">
            <v>posted to CPR</v>
          </cell>
          <cell r="J2479" t="str">
            <v>1100 SW Smith St Retire 2M Meter: Blue Springs: Replace Meter &amp; Reg 2&amp;quot; &amp;  Larger - 3820/3830 (32-404)</v>
          </cell>
          <cell r="K2479" t="str">
            <v>Approved by: Ralph Janes on 05/02/2014,  Remove and dismantle the 2M rotary meter setting (meter# 00146934, acct# 1332760685, original WO# 88-2672) at Blue Springs Police Public Safety Building due to the building is being demolished.</v>
          </cell>
          <cell r="L2479">
            <v>41761</v>
          </cell>
          <cell r="M2479">
            <v>41883</v>
          </cell>
          <cell r="N2479">
            <v>41918.764016203699</v>
          </cell>
          <cell r="P2479" t="str">
            <v>0903-043026  JACKSON CTY/BLUE SPRINGS</v>
          </cell>
          <cell r="Q2479">
            <v>715.94</v>
          </cell>
          <cell r="R2479">
            <v>6</v>
          </cell>
        </row>
        <row r="2480">
          <cell r="A2480" t="str">
            <v>004315</v>
          </cell>
          <cell r="B2480" t="str">
            <v>LDC 2</v>
          </cell>
          <cell r="D2480" t="str">
            <v>no</v>
          </cell>
          <cell r="E2480" t="str">
            <v>20903121888</v>
          </cell>
          <cell r="F2480" t="str">
            <v>F0503</v>
          </cell>
          <cell r="G2480" t="str">
            <v>Rectifier New/Repl ISRS (N)</v>
          </cell>
          <cell r="H2480" t="str">
            <v>Brezendine Rectifier L0043 and Grou</v>
          </cell>
          <cell r="I2480" t="str">
            <v>posted to CPR</v>
          </cell>
          <cell r="J2480" t="str">
            <v>Brezendine Rectifier L0043 and Ground Bed Repl: Blue Springs: NE RD Mize Road</v>
          </cell>
          <cell r="K2480" t="str">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ell>
          <cell r="L2480">
            <v>41842</v>
          </cell>
          <cell r="M2480">
            <v>41913</v>
          </cell>
          <cell r="N2480">
            <v>41950.725162037001</v>
          </cell>
          <cell r="O2480">
            <v>41821</v>
          </cell>
          <cell r="P2480" t="str">
            <v>0903-043026  JACKSON CTY/BLUE SPRINGS</v>
          </cell>
          <cell r="Q2480">
            <v>52553.59</v>
          </cell>
          <cell r="R2480">
            <v>1600.1</v>
          </cell>
        </row>
        <row r="2481">
          <cell r="A2481" t="str">
            <v>006759</v>
          </cell>
          <cell r="B2481" t="str">
            <v>LDC 2</v>
          </cell>
          <cell r="D2481" t="str">
            <v>no</v>
          </cell>
          <cell r="E2481" t="str">
            <v>20906143924</v>
          </cell>
          <cell r="F2481" t="str">
            <v>F0639</v>
          </cell>
          <cell r="G2481" t="str">
            <v>EGM Equip-1st Time Installation</v>
          </cell>
          <cell r="H2481" t="str">
            <v>EGM - Rosehill Garden</v>
          </cell>
          <cell r="I2481" t="str">
            <v>in service</v>
          </cell>
          <cell r="J2481" t="str">
            <v>EGM - Rosehill Garden: Belton: Install EGM Equipment - First Time Installation  3850 (32-403)</v>
          </cell>
          <cell r="K2481" t="str">
            <v>Approved by: Rob Kitterman on 10/27/2014,  Install Mercury MiniMax-AT-PT (S/N: 13098667) with CNI-2 on Roots 5M meter no 08627650 to monitor daily gas usage of this transportation customer. Customer will reimburse company actual cost for EGM installation not to exceed $5,445.00, which should be coded to account 1072. ATTENTION: Plant &amp; Property Accounting, EGM work order, turn off A&amp;G indicator.</v>
          </cell>
          <cell r="L2481">
            <v>42443</v>
          </cell>
          <cell r="O2481">
            <v>42461</v>
          </cell>
          <cell r="P2481" t="str">
            <v>0906-016001  CASS CTY/BELTON W OF MULLIN RD</v>
          </cell>
          <cell r="Q2481">
            <v>-8.7899999999999991</v>
          </cell>
          <cell r="R2481">
            <v>35</v>
          </cell>
        </row>
        <row r="2482">
          <cell r="A2482" t="str">
            <v>005017</v>
          </cell>
          <cell r="B2482" t="str">
            <v>LDC 2</v>
          </cell>
          <cell r="D2482" t="str">
            <v>no</v>
          </cell>
          <cell r="E2482" t="str">
            <v>20906143504</v>
          </cell>
          <cell r="F2482" t="str">
            <v>F0644</v>
          </cell>
          <cell r="G2482" t="str">
            <v>Meter &amp; Reg Settings 2" &amp; Lg (S)</v>
          </cell>
          <cell r="H2482" t="str">
            <v>111 Bernard Dr- Rebuild 5M meter se</v>
          </cell>
          <cell r="I2482" t="str">
            <v>posted to CPR</v>
          </cell>
          <cell r="J2482" t="str">
            <v>111 Bernard Dr- Rebuild 5M meter set: Belton: New Meter &amp; Reg Settings - 2in &amp; Larger 3820/3830 (33-382)</v>
          </cell>
          <cell r="K2482" t="str">
            <v>Approved by: Ralph Janes on 04/16/2014,  Rebuild and retire existing 2M Rotary meter setting by installing a new 5M meter setting due to commercial customer added load.</v>
          </cell>
          <cell r="L2482">
            <v>41766</v>
          </cell>
          <cell r="M2482">
            <v>41883</v>
          </cell>
          <cell r="N2482">
            <v>41953.723657407398</v>
          </cell>
          <cell r="O2482">
            <v>41760</v>
          </cell>
          <cell r="P2482" t="str">
            <v>0906-016001  CASS CTY/BELTON W OF MULLIN RD</v>
          </cell>
          <cell r="Q2482">
            <v>2270.09</v>
          </cell>
          <cell r="R2482">
            <v>-35</v>
          </cell>
        </row>
        <row r="2483">
          <cell r="A2483" t="str">
            <v>800942</v>
          </cell>
          <cell r="B2483" t="str">
            <v>LDC 2</v>
          </cell>
          <cell r="D2483" t="str">
            <v>no</v>
          </cell>
          <cell r="F2483" t="str">
            <v>F0673</v>
          </cell>
          <cell r="G2483" t="str">
            <v>New Main Extensions (S)</v>
          </cell>
          <cell r="H2483" t="str">
            <v>Install 205F 2P 304 E 6th</v>
          </cell>
          <cell r="I2483" t="str">
            <v>in service</v>
          </cell>
          <cell r="J2483" t="str">
            <v>Install ~ 205 Ft of 2" PL IP Main to serve 1 residential lot.</v>
          </cell>
          <cell r="K2483" t="str">
            <v>Main Extension needed for this Service. Load: (1) furnace (1) water heater (1) gas cooktop.</v>
          </cell>
          <cell r="L2483">
            <v>42668</v>
          </cell>
          <cell r="O2483">
            <v>42644</v>
          </cell>
          <cell r="P2483" t="str">
            <v>0910-046008  JOHNSON CTY/HOLDEN</v>
          </cell>
          <cell r="Q2483">
            <v>3962.17</v>
          </cell>
          <cell r="R2483">
            <v>-738</v>
          </cell>
        </row>
        <row r="2484">
          <cell r="A2484" t="str">
            <v>009673</v>
          </cell>
          <cell r="B2484" t="str">
            <v>LDC 2</v>
          </cell>
          <cell r="D2484" t="str">
            <v>no</v>
          </cell>
          <cell r="F2484" t="str">
            <v>F0644</v>
          </cell>
          <cell r="G2484" t="str">
            <v>Meter &amp; Reg Settings 2" &amp; Lg (S)</v>
          </cell>
          <cell r="H2484" t="str">
            <v>Install 5M Meter Set - Price Choppe</v>
          </cell>
          <cell r="I2484" t="str">
            <v>in service</v>
          </cell>
          <cell r="J2484" t="str">
            <v>Install 5M Rotary meter setting for a new Price Chopper at 1600 SE Blue Parkway in Lee's Summit</v>
          </cell>
          <cell r="K2484" t="str">
            <v>Total connected load is 6,299 cfh at 2 psig delivery pressure</v>
          </cell>
          <cell r="L2484">
            <v>42318</v>
          </cell>
          <cell r="O2484">
            <v>42614</v>
          </cell>
          <cell r="P2484" t="str">
            <v>0901-043021  JACKSON CTY/LEE'S SUMMIT OFFIC</v>
          </cell>
          <cell r="Q2484">
            <v>4211.96</v>
          </cell>
          <cell r="R2484">
            <v>-14.5</v>
          </cell>
        </row>
        <row r="2485">
          <cell r="A2485" t="str">
            <v>006981</v>
          </cell>
          <cell r="B2485" t="str">
            <v>LDC 2</v>
          </cell>
          <cell r="D2485" t="str">
            <v>no</v>
          </cell>
          <cell r="E2485" t="str">
            <v>20901143949</v>
          </cell>
          <cell r="F2485" t="str">
            <v>F0597</v>
          </cell>
          <cell r="G2485" t="str">
            <v>Other</v>
          </cell>
          <cell r="H2485" t="str">
            <v>Purchase Vortex Heaters for Warrens</v>
          </cell>
          <cell r="I2485" t="str">
            <v>posted to CPR</v>
          </cell>
          <cell r="J2485" t="str">
            <v>Purchase Vortex Heaters for Warrensburg North TB: Lees Summit: Purchase P&amp;M Equipment  3780/3790/3850 (32-397)</v>
          </cell>
          <cell r="K2485" t="str">
            <v>Approved by: Rob Kitterman on 11/17/2014,  Purchase two Universal Vortex Pilot Gas Heater Dual Path for the Warrensburg North Town Border.  This town border has had issues with the Pilots freezing up and the use of heat tape has proved ineffective and caused electrical problems with the YZ odorizer.  Additionally, 4 new Mooney Pilots and all associated fittings will be purchased on this work order.</v>
          </cell>
          <cell r="L2485">
            <v>42002</v>
          </cell>
          <cell r="M2485">
            <v>42248</v>
          </cell>
          <cell r="N2485">
            <v>42496.560092592597</v>
          </cell>
          <cell r="O2485">
            <v>41974</v>
          </cell>
          <cell r="P2485" t="str">
            <v>0901-043021  JACKSON CTY/LEE'S SUMMIT OFFIC</v>
          </cell>
          <cell r="Q2485">
            <v>12987.28</v>
          </cell>
          <cell r="R2485">
            <v>12</v>
          </cell>
        </row>
        <row r="2486">
          <cell r="A2486" t="str">
            <v>006663</v>
          </cell>
          <cell r="B2486" t="str">
            <v>LDC 2</v>
          </cell>
          <cell r="D2486" t="str">
            <v>no</v>
          </cell>
          <cell r="E2486" t="str">
            <v>20901143836</v>
          </cell>
          <cell r="F2486" t="str">
            <v>F0675</v>
          </cell>
          <cell r="G2486" t="str">
            <v>Services -  2" &amp; larger</v>
          </cell>
          <cell r="H2486" t="str">
            <v>BHA Altair 4in PE Service Line</v>
          </cell>
          <cell r="I2486" t="str">
            <v>posted to CPR</v>
          </cell>
          <cell r="J2486" t="str">
            <v>BHA Altair 4in PE Service Line: Lees Summit: New Services 2in &amp; Larger  3800 (33-381)</v>
          </cell>
          <cell r="K2486" t="str">
            <v>Approved by: Ralph Janes on 10/05/2014,  Install 240' - 4" pe service line to serve additional load.  153' - 7/8" pe service line installed on a blanket work order in 1995 will be retired and abandoned. Note:  23M Rotary meter set to be installed on parent work order 14-3835.</v>
          </cell>
          <cell r="L2486">
            <v>41948</v>
          </cell>
          <cell r="M2486">
            <v>41670</v>
          </cell>
          <cell r="N2486">
            <v>42043.507569444402</v>
          </cell>
          <cell r="O2486">
            <v>41974</v>
          </cell>
          <cell r="P2486" t="str">
            <v>0901-043021  JACKSON CTY/LEE'S SUMMIT OFFIC</v>
          </cell>
          <cell r="Q2486">
            <v>8558.07</v>
          </cell>
          <cell r="R2486">
            <v>-641</v>
          </cell>
        </row>
        <row r="2487">
          <cell r="A2487" t="str">
            <v>003993</v>
          </cell>
          <cell r="B2487" t="str">
            <v>LDC 2</v>
          </cell>
          <cell r="D2487" t="str">
            <v>yes</v>
          </cell>
          <cell r="E2487" t="str">
            <v>20901121669</v>
          </cell>
          <cell r="F2487" t="str">
            <v>F0604</v>
          </cell>
          <cell r="G2487" t="str">
            <v>Main Replacement - ISRS (S)</v>
          </cell>
          <cell r="H2487" t="str">
            <v>CANCEL - Jefferson &amp; Market</v>
          </cell>
          <cell r="I2487" t="str">
            <v>cancelled</v>
          </cell>
          <cell r="J2487" t="str">
            <v>Jefferson &amp; Market Repl PBS w 245'-4in PE main: Lees Summit: Jefferson and Market CANCEL - no longer needed 3/4/2014</v>
          </cell>
          <cell r="K2487" t="str">
            <v>Approved by: Ralph Janes on 09/04/2012,  Replace and abandon 241' of 4in PBS OD (no WO) with 245' of 4in PE. The existing main has a history of leakage. Because it is an odd size pipe, we cannot use our standard fittings to stop/tap the main, so we need to replace the entire piece to our 4in coated main on either side. (ISRS)</v>
          </cell>
          <cell r="N2487">
            <v>41731</v>
          </cell>
          <cell r="P2487" t="str">
            <v>0901-043021  JACKSON CTY/LEE'S SUMMIT OFFIC</v>
          </cell>
          <cell r="Q2487">
            <v>0</v>
          </cell>
          <cell r="R2487">
            <v>-2</v>
          </cell>
        </row>
        <row r="2488">
          <cell r="A2488" t="str">
            <v>003792</v>
          </cell>
          <cell r="B2488" t="str">
            <v>LDC 2</v>
          </cell>
          <cell r="D2488" t="str">
            <v>no</v>
          </cell>
          <cell r="E2488" t="str">
            <v>20901133141</v>
          </cell>
          <cell r="F2488" t="str">
            <v>F0554</v>
          </cell>
          <cell r="G2488" t="str">
            <v>Tools, Instruments &amp; Equipment (S)</v>
          </cell>
          <cell r="H2488" t="str">
            <v>Pur - McElroy Fusion Heater Plate</v>
          </cell>
          <cell r="I2488" t="str">
            <v>posted to CPR</v>
          </cell>
          <cell r="J2488" t="str">
            <v>Pur - McElroy Fusion Heater Plate: Lees Summit: 3025 SE Clover Drive</v>
          </cell>
          <cell r="K2488" t="str">
            <v>Approved by: Ralph Janes on 11/07/2013,  Purchase one McElroy MultiMc Heater Kit Model No A42317 for the Lee's Summit C&amp;M Crews.  Retirement Unit 94659000.</v>
          </cell>
          <cell r="L2488">
            <v>41586</v>
          </cell>
          <cell r="M2488">
            <v>41698</v>
          </cell>
          <cell r="N2488">
            <v>41704.7117013889</v>
          </cell>
          <cell r="P2488" t="str">
            <v>0901-043021  JACKSON CTY/LEE'S SUMMIT OFFIC</v>
          </cell>
          <cell r="Q2488">
            <v>851.26</v>
          </cell>
          <cell r="R2488">
            <v>0</v>
          </cell>
        </row>
        <row r="2489">
          <cell r="A2489" t="str">
            <v>004609</v>
          </cell>
          <cell r="B2489" t="str">
            <v>LDC 2</v>
          </cell>
          <cell r="D2489" t="str">
            <v>yes</v>
          </cell>
          <cell r="E2489" t="str">
            <v>20901050367</v>
          </cell>
          <cell r="F2489" t="str">
            <v>F0649</v>
          </cell>
          <cell r="G2489" t="str">
            <v>SLRP - materials - company crews</v>
          </cell>
          <cell r="H2489" t="str">
            <v>BWO MATERIAL SERV LINE REPL COMP</v>
          </cell>
          <cell r="I2489" t="str">
            <v>open</v>
          </cell>
          <cell r="J2489" t="str">
            <v>BWO MATERIAL SERV LINE REPL COMP</v>
          </cell>
          <cell r="K2489" t="str">
            <v>Service/Yard Line Replacement (SLRP): Company Crew.  Service/yard line replacement - Material Charges Only  (Lee's Summit - East Region)</v>
          </cell>
          <cell r="O2489">
            <v>41730</v>
          </cell>
          <cell r="P2489" t="str">
            <v>0901-043021  JACKSON CTY/LEE'S SUMMIT OFFIC</v>
          </cell>
          <cell r="Q2489">
            <v>306411.95</v>
          </cell>
          <cell r="R2489">
            <v>99476.15</v>
          </cell>
        </row>
        <row r="2490">
          <cell r="A2490" t="str">
            <v>004554</v>
          </cell>
          <cell r="B2490" t="str">
            <v>LDC 2</v>
          </cell>
          <cell r="D2490" t="str">
            <v>no</v>
          </cell>
          <cell r="E2490" t="str">
            <v>21251143263</v>
          </cell>
          <cell r="F2490" t="str">
            <v>F0610</v>
          </cell>
          <cell r="G2490" t="str">
            <v>New business</v>
          </cell>
          <cell r="H2490" t="str">
            <v>NW Linder Ln &amp; 49th Lay 1063'-4;951</v>
          </cell>
          <cell r="I2490" t="str">
            <v>posted to CPR</v>
          </cell>
          <cell r="J2490" t="str">
            <v>NW Linder Ln &amp; 49th Lay 1063'-4;951'-2in PE main: Kansas City-Platte Co: NW LINDER LANE &amp; NW 49TH TERBELLA RIDGE-1</v>
          </cell>
          <cell r="K2490" t="str">
            <v>Approved by: Gary Williams on 01/30/2014,  LAY 1,063'-4" PE &amp; 951'-2" PE MAIN TO SERVE 32 LOTS.  LOTS 1-32.  ROCK IN ENTRANCE AREA OF NW 48TH ST. ONE WAY FEED ALONG NORTHWOOD RD &amp; INTO SUBDIVISION. COST PER FOOT=$19.06  2,014'x$8.50=$17,119.00  DEVELOPER TO CONTRIBUTE $17,119.00 BEFORE START OF PROJECT.</v>
          </cell>
          <cell r="L2490">
            <v>41747</v>
          </cell>
          <cell r="M2490">
            <v>41821</v>
          </cell>
          <cell r="N2490">
            <v>41953.447349536997</v>
          </cell>
          <cell r="O2490">
            <v>41760</v>
          </cell>
          <cell r="P2490" t="str">
            <v>1251-075010  PLATTE CTY/KANSAS CITY NORTH</v>
          </cell>
          <cell r="Q2490">
            <v>30811.33</v>
          </cell>
          <cell r="R2490">
            <v>-4670</v>
          </cell>
        </row>
        <row r="2491">
          <cell r="A2491" t="str">
            <v>003867</v>
          </cell>
          <cell r="B2491" t="str">
            <v>LDC 2</v>
          </cell>
          <cell r="D2491" t="str">
            <v>no</v>
          </cell>
          <cell r="E2491" t="str">
            <v>21258132981</v>
          </cell>
          <cell r="F2491" t="str">
            <v>F0660</v>
          </cell>
          <cell r="G2491" t="str">
            <v>Meter &amp; Reg Settings 2" &amp; Lg (N)</v>
          </cell>
          <cell r="H2491" t="str">
            <v>YanFeng USA 16M Mtr set 4110 NW Hel</v>
          </cell>
          <cell r="I2491" t="str">
            <v>posted to CPR</v>
          </cell>
          <cell r="J2491" t="str">
            <v>YanFeng USA 16M Mtr set 4110 NW Helena: Riverside: 4110 NW Helena</v>
          </cell>
          <cell r="K2491" t="str">
            <v>Approved by: Mike Fornelli on 09/25/2013,  This work is necessary to install a 16M Roots meter to serve one new commercial customer. We'll set a 2in CL-34-2 regulator at 5psig with a 1in 289H relief set at 7.5psig for a connected load of 19125cfh.</v>
          </cell>
          <cell r="L2491">
            <v>41617</v>
          </cell>
          <cell r="M2491">
            <v>41729</v>
          </cell>
          <cell r="N2491">
            <v>41733.309965277796</v>
          </cell>
          <cell r="P2491" t="str">
            <v>1258-075017  PLATTE CTY/RIVERSIDE</v>
          </cell>
          <cell r="Q2491">
            <v>6982.16</v>
          </cell>
          <cell r="R2491">
            <v>22</v>
          </cell>
        </row>
        <row r="2492">
          <cell r="A2492" t="str">
            <v>004258</v>
          </cell>
          <cell r="B2492" t="str">
            <v>LDC 2</v>
          </cell>
          <cell r="D2492" t="str">
            <v>no</v>
          </cell>
          <cell r="E2492" t="str">
            <v>21258133068</v>
          </cell>
          <cell r="F2492" t="str">
            <v>F0610</v>
          </cell>
          <cell r="G2492" t="str">
            <v>New business</v>
          </cell>
          <cell r="H2492" t="str">
            <v>39th &amp; Horizons Lay 1685'-4IN PE ma</v>
          </cell>
          <cell r="I2492" t="str">
            <v>posted to CPR</v>
          </cell>
          <cell r="J2492" t="str">
            <v>39th &amp; Horizons Lay 1685'-4IN PE main ext: Riverside: 5150 CANAL ST 39TH ST &amp; HORIZONS PRKWY</v>
          </cell>
          <cell r="K2492" t="str">
            <v>Approved by: Gary Williams on 11/07/2013,  LAY 1,685'-4in PE TO SERVE NEW COMMERCIAL BUILDING.  CONTACT PATRICIA KOEB AT 816-472-3485  TWO WEEKS IN ADVANCE FOR SCHEDULING OF SURVEY &amp; STAKE.  (Flag gas line every 50 ft.-so other utilities will have NO DOUBT as to where gas line lays.  Lay TRI-VIEW STATION every 100 ft.)  COST PER FOOT=$23.54</v>
          </cell>
          <cell r="L2492">
            <v>41619</v>
          </cell>
          <cell r="M2492">
            <v>41698</v>
          </cell>
          <cell r="N2492">
            <v>41704.711631944403</v>
          </cell>
          <cell r="O2492">
            <v>41730</v>
          </cell>
          <cell r="P2492" t="str">
            <v>1258-075017  PLATTE CTY/RIVERSIDE</v>
          </cell>
          <cell r="Q2492">
            <v>14250.79</v>
          </cell>
          <cell r="R2492">
            <v>4314.5</v>
          </cell>
        </row>
        <row r="2493">
          <cell r="A2493" t="str">
            <v>800488</v>
          </cell>
          <cell r="B2493" t="str">
            <v>LDC 2</v>
          </cell>
          <cell r="D2493" t="str">
            <v>no</v>
          </cell>
          <cell r="F2493" t="str">
            <v>F0647</v>
          </cell>
          <cell r="G2493" t="str">
            <v>New Main Extensions (N)</v>
          </cell>
          <cell r="H2493" t="str">
            <v>Inst 2498F 2-4P Tuscany Village NB</v>
          </cell>
          <cell r="I2493" t="str">
            <v>in service</v>
          </cell>
          <cell r="J2493" t="str">
            <v> Install 845 ft of 2 in IP PE and 1653 ft of 4 in IP PE main to server new commercial customers in Tuscany Village.</v>
          </cell>
          <cell r="K2493" t="str">
            <v>The 4in main is being oversized for future development.</v>
          </cell>
          <cell r="L2493">
            <v>42641</v>
          </cell>
          <cell r="O2493">
            <v>42614</v>
          </cell>
          <cell r="P2493" t="str">
            <v>1001-010001  ST. JOSEPH CITY/BUCHANAN</v>
          </cell>
          <cell r="Q2493">
            <v>118134.24</v>
          </cell>
          <cell r="R2493">
            <v>-3710.5</v>
          </cell>
        </row>
        <row r="2494">
          <cell r="A2494" t="str">
            <v>009124</v>
          </cell>
          <cell r="B2494" t="str">
            <v>LDC 2</v>
          </cell>
          <cell r="D2494" t="str">
            <v>no</v>
          </cell>
          <cell r="E2494" t="str">
            <v>20901155430</v>
          </cell>
          <cell r="F2494" t="str">
            <v>F0625</v>
          </cell>
          <cell r="G2494" t="str">
            <v>Tools, instruments &amp; equipment</v>
          </cell>
          <cell r="H2494" t="str">
            <v>Pur 3 Crystal Gauges</v>
          </cell>
          <cell r="I2494" t="str">
            <v>posted to CPR</v>
          </cell>
          <cell r="J2494" t="str">
            <v>Pur 3 Crystal Gauges: Lees Summit: Purchase Tools, Instruments &amp; Equipment  3940 (37-366)</v>
          </cell>
          <cell r="K2494" t="str">
            <v>Approved by: Kevin Driskell on 08/10/2015,  Purchase three (3) Crystal XPI2i-300 psig gauge with protective boot to be used by Lee's Summit P&amp;M department.</v>
          </cell>
          <cell r="L2494">
            <v>42424</v>
          </cell>
          <cell r="M2494">
            <v>42491</v>
          </cell>
          <cell r="N2494">
            <v>42527.512650463003</v>
          </cell>
          <cell r="O2494">
            <v>42401</v>
          </cell>
          <cell r="P2494" t="str">
            <v>0901-043021  JACKSON CTY/LEE'S SUMMIT OFFIC</v>
          </cell>
          <cell r="Q2494">
            <v>3385.59</v>
          </cell>
          <cell r="R2494">
            <v>6</v>
          </cell>
        </row>
        <row r="2495">
          <cell r="A2495" t="str">
            <v>003797</v>
          </cell>
          <cell r="B2495" t="str">
            <v>LDC 2</v>
          </cell>
          <cell r="D2495" t="str">
            <v>yes</v>
          </cell>
          <cell r="E2495" t="str">
            <v>21001132796</v>
          </cell>
          <cell r="F2495" t="str">
            <v>F0504</v>
          </cell>
          <cell r="G2495" t="str">
            <v>Replace bare steel main - safety re</v>
          </cell>
          <cell r="H2495" t="str">
            <v>Monterey Dr Repl PBS w 600'-4in PE</v>
          </cell>
          <cell r="I2495" t="str">
            <v>posted to CPR</v>
          </cell>
          <cell r="J2495" t="str">
            <v>Monterey Dr Repl PBS w 600'-4in PE main: St Joseph: MONTEREY DR &amp; 22ND ST</v>
          </cell>
          <cell r="K2495" t="str">
            <v>Approved by: Gary Williams on 07/22/2013,  This work order is necessary to replace 600ft-4in bs main (WO#6580) with 4in pe main (WO#13-2796) due to low reads. Pressure System C-01 Pressure .88.</v>
          </cell>
          <cell r="L2495">
            <v>41536</v>
          </cell>
          <cell r="M2495">
            <v>41626</v>
          </cell>
          <cell r="N2495">
            <v>41627.582789351902</v>
          </cell>
          <cell r="O2495">
            <v>41730</v>
          </cell>
          <cell r="P2495" t="str">
            <v>1001-010001  ST. JOSEPH CITY/BUCHANAN</v>
          </cell>
          <cell r="Q2495">
            <v>22305.66</v>
          </cell>
          <cell r="R2495">
            <v>2286</v>
          </cell>
        </row>
        <row r="2496">
          <cell r="A2496" t="str">
            <v>008198</v>
          </cell>
          <cell r="B2496" t="str">
            <v>LDC 2</v>
          </cell>
          <cell r="D2496" t="str">
            <v>no</v>
          </cell>
          <cell r="E2496" t="str">
            <v>21239155295</v>
          </cell>
          <cell r="F2496" t="str">
            <v>F0485</v>
          </cell>
          <cell r="G2496" t="str">
            <v>Tools, Instruments &amp; Equipment (SW)</v>
          </cell>
          <cell r="H2496" t="str">
            <v>Tools Purchase 2 MTD Electro Fusion</v>
          </cell>
          <cell r="I2496" t="str">
            <v>posted to CPR</v>
          </cell>
          <cell r="J2496" t="str">
            <v>Tools Purchase 2 MTD Electro Fusion Processor: Gower-Clinton County: Purchase Tools, Instruments &amp; Equipment  3940 (37-366)</v>
          </cell>
          <cell r="K2496" t="str">
            <v>Approved by: Michael Fornelli on 04/14/2015,  To purchase two new Autofuse Universal Processors 120V with quick disconnect, 25 ft leads with MTD Univeral Tips (4.7' 4.0 MM) Autoscan Barcode Reader and carrying case from M.T. Deason for Joplin C&amp;M.</v>
          </cell>
          <cell r="L2496">
            <v>42230</v>
          </cell>
          <cell r="M2496">
            <v>42491</v>
          </cell>
          <cell r="N2496">
            <v>42527.511840277803</v>
          </cell>
          <cell r="O2496">
            <v>42217</v>
          </cell>
          <cell r="P2496" t="str">
            <v>1239-021015  CLINTON CTY/GOWER</v>
          </cell>
          <cell r="Q2496">
            <v>6391.18</v>
          </cell>
          <cell r="R2496">
            <v>14</v>
          </cell>
        </row>
        <row r="2497">
          <cell r="A2497" t="str">
            <v>012139</v>
          </cell>
          <cell r="B2497" t="str">
            <v>LDC 2</v>
          </cell>
          <cell r="D2497" t="str">
            <v>yes</v>
          </cell>
          <cell r="F2497" t="str">
            <v>F0600</v>
          </cell>
          <cell r="G2497" t="str">
            <v>Station Rebuild &amp; Repl ISRS (N)</v>
          </cell>
          <cell r="H2497" t="str">
            <v>Aband reg stn-Corbin #43</v>
          </cell>
          <cell r="I2497" t="str">
            <v>in service</v>
          </cell>
          <cell r="J2497" t="str">
            <v>Retire regulators, valves, piping, control systems, and related appurtenance of the IP to MP regulator station at Corbin (E of Morse) &amp; N Monroe St. DRS No 43</v>
          </cell>
          <cell r="K2497" t="str">
            <v>This regulator retirement is also related to the Bare Steel Abandonment work associated with Liberty Grid Phase F WO# 14474633 and cannot be abandoned until all of that phase has been completed. This station is no longer required for the IP pressure gas distribution system.</v>
          </cell>
          <cell r="L2497">
            <v>42747</v>
          </cell>
          <cell r="P2497" t="str">
            <v>1207-020001  CLAY CTY/LIBERTY</v>
          </cell>
          <cell r="Q2497">
            <v>1055.1600000000001</v>
          </cell>
          <cell r="R2497">
            <v>0</v>
          </cell>
        </row>
        <row r="2498">
          <cell r="A2498" t="str">
            <v>007791</v>
          </cell>
          <cell r="B2498" t="str">
            <v>LDC 2</v>
          </cell>
          <cell r="D2498" t="str">
            <v>no</v>
          </cell>
          <cell r="E2498" t="str">
            <v>21207155168</v>
          </cell>
          <cell r="F2498" t="str">
            <v>F0639</v>
          </cell>
          <cell r="G2498" t="str">
            <v>EGM Equip-1st Time Installation</v>
          </cell>
          <cell r="H2498" t="str">
            <v>EGM - Geiger Ready Mix</v>
          </cell>
          <cell r="I2498" t="str">
            <v>in service</v>
          </cell>
          <cell r="J2498" t="str">
            <v>EGM - Geiger Ready Mix: Liberty: Install EGM Equipment - First Time Installation  3850 (32-403)</v>
          </cell>
          <cell r="K2498" t="str">
            <v>Approved by: Gary Williams on 03/03/2015,  Install Mercury MiniMax-AT-PT (S/N:                   ) with CNI-2 (S/N:                 ) on Roots 11M 175 TQM ID meter no 00864309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8">
            <v>42443</v>
          </cell>
          <cell r="O2498">
            <v>42461</v>
          </cell>
          <cell r="P2498" t="str">
            <v>1207-020001  CLAY CTY/LIBERTY</v>
          </cell>
          <cell r="Q2498">
            <v>3007.73</v>
          </cell>
          <cell r="R2498">
            <v>27</v>
          </cell>
        </row>
        <row r="2499">
          <cell r="A2499" t="str">
            <v>004106</v>
          </cell>
          <cell r="B2499" t="str">
            <v>LDC 2</v>
          </cell>
          <cell r="D2499" t="str">
            <v>no</v>
          </cell>
          <cell r="E2499" t="str">
            <v>20923143331</v>
          </cell>
          <cell r="F2499" t="str">
            <v>F0602</v>
          </cell>
          <cell r="G2499" t="str">
            <v>New business</v>
          </cell>
          <cell r="H2499" t="str">
            <v>224 N Main Lay 100'-2in PE main ext</v>
          </cell>
          <cell r="I2499" t="str">
            <v>posted to CPR</v>
          </cell>
          <cell r="J2499" t="str">
            <v>224 N Main Lay 100'-2in PE main ext: Peculiar: 224 N. Main City of Peculiar</v>
          </cell>
          <cell r="K2499" t="str">
            <v>Approved by: Ralph Janes on 02/24/2014,  Install 100' - 2" pe main extension to serve one new commercial customer.  15' - 1/2" pe service line to be installed on BWO.</v>
          </cell>
          <cell r="L2499">
            <v>41731</v>
          </cell>
          <cell r="M2499">
            <v>41821</v>
          </cell>
          <cell r="N2499">
            <v>41953.446597222202</v>
          </cell>
          <cell r="O2499">
            <v>41730</v>
          </cell>
          <cell r="P2499" t="str">
            <v>0923-016020  CASS CTY/PECULIAR</v>
          </cell>
          <cell r="Q2499">
            <v>1578.87</v>
          </cell>
          <cell r="R2499">
            <v>-153</v>
          </cell>
        </row>
        <row r="2500">
          <cell r="A2500" t="str">
            <v>007217</v>
          </cell>
          <cell r="B2500" t="str">
            <v>LDC 2</v>
          </cell>
          <cell r="D2500" t="str">
            <v>no</v>
          </cell>
          <cell r="E2500" t="str">
            <v>20101144015</v>
          </cell>
          <cell r="F2500" t="str">
            <v>F0529</v>
          </cell>
          <cell r="G2500" t="str">
            <v>Meter Purchases - MGE</v>
          </cell>
          <cell r="H2500" t="str">
            <v>Pur 2000 I-250 Itron Mtrs July 2015</v>
          </cell>
          <cell r="I2500" t="str">
            <v>posted to CPR</v>
          </cell>
          <cell r="J2500" t="str">
            <v>Pur 2000 I-250 Itron Mtrs July 2015: Kansas City CORP: Purchase Domestic Diaphragm  Meters - 3810 (32-398)</v>
          </cell>
          <cell r="K2500" t="str">
            <v>Approved by: Steve Holcomb on 12/05/2014,  Purchase 2000 I-250 Itron Meters for Sample Meter Program 2015</v>
          </cell>
          <cell r="L2500">
            <v>42247</v>
          </cell>
          <cell r="M2500">
            <v>42247</v>
          </cell>
          <cell r="N2500">
            <v>42256.641898148097</v>
          </cell>
          <cell r="O2500">
            <v>42217</v>
          </cell>
          <cell r="P2500" t="str">
            <v>1904-043050  JACKSON CTY/KC</v>
          </cell>
          <cell r="Q2500">
            <v>185133.06</v>
          </cell>
          <cell r="R2500">
            <v>2000</v>
          </cell>
        </row>
        <row r="2501">
          <cell r="A2501" t="str">
            <v>004656</v>
          </cell>
          <cell r="B2501" t="str">
            <v>LDC 2</v>
          </cell>
          <cell r="D2501" t="str">
            <v>no</v>
          </cell>
          <cell r="E2501" t="str">
            <v>21904143448</v>
          </cell>
          <cell r="F2501" t="str">
            <v>F0577</v>
          </cell>
          <cell r="G2501" t="str">
            <v>ERT Purchases</v>
          </cell>
          <cell r="H2501" t="str">
            <v>Pur 100 Spg Res Erts 100G May 2014</v>
          </cell>
          <cell r="I2501" t="str">
            <v>cancelled</v>
          </cell>
          <cell r="J2501" t="str">
            <v>Pur 100 Spg Res Erts 100G May 2014   : Kansas City CORP: Central Plant Meter Shop</v>
          </cell>
          <cell r="K2501" t="str">
            <v>Approved by: Randy Spector on 03/21/2014,  Purchase 100 Sprague Erts 5198320 for stock.  Cancelling this WO - nothing ever charged - AMM</v>
          </cell>
          <cell r="L2501">
            <v>42443</v>
          </cell>
          <cell r="N2501">
            <v>42494.563993055599</v>
          </cell>
          <cell r="P2501" t="str">
            <v>1904-043050  JACKSON CTY/KC</v>
          </cell>
          <cell r="Q2501">
            <v>0</v>
          </cell>
          <cell r="R2501">
            <v>0</v>
          </cell>
        </row>
        <row r="2502">
          <cell r="A2502" t="str">
            <v>004269</v>
          </cell>
          <cell r="B2502" t="str">
            <v>LDC 2</v>
          </cell>
          <cell r="D2502" t="str">
            <v>no</v>
          </cell>
          <cell r="E2502" t="str">
            <v>21904143395</v>
          </cell>
          <cell r="F2502" t="str">
            <v>F0577</v>
          </cell>
          <cell r="G2502" t="str">
            <v>ERT Purchases</v>
          </cell>
          <cell r="H2502" t="str">
            <v>Pur 10000 100G Erts Repl Program Ju</v>
          </cell>
          <cell r="I2502" t="str">
            <v>posted to CPR</v>
          </cell>
          <cell r="J2502" t="str">
            <v>Pur 10000 100G Erts Repl Program July 2014: Kansas City CORP: Central Plant Meter Shop</v>
          </cell>
          <cell r="K2502" t="str">
            <v>Approved by: Steve Lindsey on 03/18/2014,  Purchase domestic 100G Am Erts 5198300 Rk Erts 5198310 for the Reaplacement Program.</v>
          </cell>
          <cell r="L2502">
            <v>41733</v>
          </cell>
          <cell r="M2502">
            <v>42156</v>
          </cell>
          <cell r="N2502">
            <v>42185.728159722203</v>
          </cell>
          <cell r="O2502">
            <v>41883</v>
          </cell>
          <cell r="P2502" t="str">
            <v>1904-043050  JACKSON CTY/KC</v>
          </cell>
          <cell r="Q2502">
            <v>222780</v>
          </cell>
          <cell r="R2502">
            <v>5000</v>
          </cell>
        </row>
        <row r="2503">
          <cell r="A2503" t="str">
            <v>003886</v>
          </cell>
          <cell r="B2503" t="str">
            <v>LDC 2</v>
          </cell>
          <cell r="D2503" t="str">
            <v>no</v>
          </cell>
          <cell r="E2503" t="str">
            <v>21261143282</v>
          </cell>
          <cell r="F2503" t="str">
            <v>F0542</v>
          </cell>
          <cell r="G2503" t="str">
            <v>New District Regulator Stations (N)</v>
          </cell>
          <cell r="H2503" t="str">
            <v>NW 76th &amp; John Anders Rd Install DR</v>
          </cell>
          <cell r="I2503" t="str">
            <v>posted to CPR</v>
          </cell>
          <cell r="J2503" t="str">
            <v>NW 76th &amp; John Anders Rd Install DRS 758: Platte County-Rural: NW 76th and John Anders Rd</v>
          </cell>
          <cell r="K2503" t="str">
            <v>Approved by: Kevin Driskell on 01/23/2014,  New reg station #758 will be placed on northwest corner of NW 76th and John Anders Rd.  Place behind Weatherby Highlands sign if possible.  Coordinate all work with Tom McGill of P&amp;M.  WO goes with 14-3281.  Inlet 3in PCS system C-043, MOP 45 PSIG, MAOP 45 PSIG, DESIGN 66 PSIG, TEST 100 PSIG.  Outlet 3in PCS system C-043, MOP 15 PSIG, MAOP 15 PSIG, DESIGN 66 PSIG, TEST 100 PSIG.  This DRS will utilize 2 Rockwell Regulators 441-57S 125 LB FL Body 2in, 1-3/4" Valves, 1 Blue Spring, 1 Red Spring, stainless steel trim, Buna-N Seats</v>
          </cell>
          <cell r="L2503">
            <v>41684</v>
          </cell>
          <cell r="M2503">
            <v>41729</v>
          </cell>
          <cell r="N2503">
            <v>41733.495578703703</v>
          </cell>
          <cell r="O2503">
            <v>41730</v>
          </cell>
          <cell r="P2503" t="str">
            <v>1261-075025  PLATTE CTY/??? TWP</v>
          </cell>
          <cell r="Q2503">
            <v>13859.15</v>
          </cell>
          <cell r="R2503">
            <v>25.4</v>
          </cell>
        </row>
        <row r="2504">
          <cell r="A2504" t="str">
            <v>800492</v>
          </cell>
          <cell r="B2504" t="str">
            <v>LDC 2</v>
          </cell>
          <cell r="D2504" t="str">
            <v>no</v>
          </cell>
          <cell r="F2504" t="str">
            <v>F0647</v>
          </cell>
          <cell r="G2504" t="str">
            <v>New Main Extensions (N)</v>
          </cell>
          <cell r="H2504" t="str">
            <v>Inst 2124F 2-4P Benson Village NB</v>
          </cell>
          <cell r="I2504" t="str">
            <v>in service</v>
          </cell>
          <cell r="J2504" t="str">
            <v>Install 1165 ft of 4 in IP PE main and 962 ft of 2 in IP PE main to serve new residential customers, 33 lot single family detached subdivision - Benson Place Village - Plat 1.</v>
          </cell>
          <cell r="L2504">
            <v>42751</v>
          </cell>
          <cell r="O2504">
            <v>42736</v>
          </cell>
          <cell r="P2504" t="str">
            <v>1271-020036  CLAY CTY/KANSAS CITY</v>
          </cell>
          <cell r="Q2504">
            <v>27919.7</v>
          </cell>
          <cell r="R2504">
            <v>-4640</v>
          </cell>
        </row>
        <row r="2505">
          <cell r="A2505" t="str">
            <v>008209</v>
          </cell>
          <cell r="B2505" t="str">
            <v>LDC 2</v>
          </cell>
          <cell r="D2505" t="str">
            <v>no</v>
          </cell>
          <cell r="E2505" t="str">
            <v>21271155196</v>
          </cell>
          <cell r="F2505" t="str">
            <v>F0610</v>
          </cell>
          <cell r="G2505" t="str">
            <v>New business</v>
          </cell>
          <cell r="H2505" t="str">
            <v>Northview Meadows 2nd Plat Main Ext</v>
          </cell>
          <cell r="I2505" t="str">
            <v>posted to CPR</v>
          </cell>
          <cell r="J2505" t="str">
            <v>Northview Meadows 2nd Plat: Kansas City-Clay Co: New Main Extension - Contractor Crews  3760 (33-380)</v>
          </cell>
          <cell r="K2505" t="str">
            <v>Approved by: Gary Williams on 03/23/2015,  Northview Meadows 2nd Plat. Install 360' of 4'' PE and 390' of 2'' PE to serve 9 residential customers lots 77 - 85. 10' Easement throughout the project. System S-685. Customer to contribute $6,375.00 before start of project.</v>
          </cell>
          <cell r="L2505">
            <v>42219</v>
          </cell>
          <cell r="M2505">
            <v>42309</v>
          </cell>
          <cell r="N2505">
            <v>42436.4305902778</v>
          </cell>
          <cell r="O2505">
            <v>42217</v>
          </cell>
          <cell r="P2505" t="str">
            <v>1271-020036  CLAY CTY/KANSAS CITY</v>
          </cell>
          <cell r="Q2505">
            <v>20692.47</v>
          </cell>
          <cell r="R2505">
            <v>-1675.5</v>
          </cell>
        </row>
        <row r="2506">
          <cell r="A2506" t="str">
            <v>004130</v>
          </cell>
          <cell r="B2506" t="str">
            <v>LDC 2</v>
          </cell>
          <cell r="D2506" t="str">
            <v>no</v>
          </cell>
          <cell r="E2506" t="str">
            <v>21271132703</v>
          </cell>
          <cell r="F2506" t="str">
            <v>F0610</v>
          </cell>
          <cell r="G2506" t="str">
            <v>New business</v>
          </cell>
          <cell r="H2506" t="str">
            <v>NE 100th Ter Lay 1650'-2;817'-4in P</v>
          </cell>
          <cell r="I2506" t="str">
            <v>posted to CPR</v>
          </cell>
          <cell r="J2506" t="str">
            <v>NE 100th Ter Lay 1650'-2;817'-4in PE main: Kansas City-Clay Co: NE 100TH TER &amp; N TULLIS DR BENSON PL FIELDSTONE-4</v>
          </cell>
          <cell r="K2506" t="str">
            <v>Approved by: Gary Williams on 08/02/2013,  LAYING 1,650'-2IN PE &amp; 817'-4IN PE TO SERVE 45 LOTS. LOTS 167-211.  ONE WAY FEED ALONG N POTTER AVE, NE 103RD TER &amp; N TULLIS DR.  DO NOT TIE GAS MAIN ALONG N TULLIS DR INTO EXISTING GAS MAIN ALONG N TULLIS DR; AS THEY ARE TWO DIFFERENT PRESSURE SYSTEMS!! C-012, 15 PSIG MOP&amp;MAOP AT TIE-IN PT.15 OFF N POTTER AVE. COST PER FOOT=$15.91  2,467' x $8.50=$20,969.50  DEVELOPER TO CONTRIBUTE $20,969.50 BEFORE START OF PROJECT.</v>
          </cell>
          <cell r="L2506">
            <v>41652</v>
          </cell>
          <cell r="M2506">
            <v>41729</v>
          </cell>
          <cell r="N2506">
            <v>41733.495567129597</v>
          </cell>
          <cell r="O2506">
            <v>41730</v>
          </cell>
          <cell r="P2506" t="str">
            <v>1271-020036  CLAY CTY/KANSAS CITY</v>
          </cell>
          <cell r="Q2506">
            <v>22057.78</v>
          </cell>
          <cell r="R2506">
            <v>5365.3</v>
          </cell>
        </row>
        <row r="2507">
          <cell r="A2507" t="str">
            <v>004411</v>
          </cell>
          <cell r="B2507" t="str">
            <v>LDC 2</v>
          </cell>
          <cell r="D2507" t="str">
            <v>no</v>
          </cell>
          <cell r="E2507" t="str">
            <v>21001050300</v>
          </cell>
          <cell r="F2507" t="str">
            <v>F0532</v>
          </cell>
          <cell r="G2507" t="str">
            <v>BWO - new services</v>
          </cell>
          <cell r="H2507" t="str">
            <v>BWO-NEW SERVICES</v>
          </cell>
          <cell r="I2507" t="str">
            <v>open</v>
          </cell>
          <cell r="J2507" t="str">
            <v>BWO-NEW SERVICES</v>
          </cell>
          <cell r="K2507" t="str">
            <v>Project Type:B</v>
          </cell>
          <cell r="O2507">
            <v>41730</v>
          </cell>
          <cell r="P2507" t="str">
            <v>1001-010001  ST. JOSEPH CITY/BUCHANAN</v>
          </cell>
          <cell r="Q2507">
            <v>1279551.74</v>
          </cell>
          <cell r="R2507">
            <v>152185.4</v>
          </cell>
        </row>
        <row r="2508">
          <cell r="A2508" t="str">
            <v>004884</v>
          </cell>
          <cell r="B2508" t="str">
            <v>LDC 2</v>
          </cell>
          <cell r="D2508" t="str">
            <v>no</v>
          </cell>
          <cell r="E2508" t="str">
            <v>21271133093</v>
          </cell>
          <cell r="F2508" t="str">
            <v>F0610</v>
          </cell>
          <cell r="G2508" t="str">
            <v>New business</v>
          </cell>
          <cell r="H2508" t="str">
            <v>4500 NE 92nd Lay 470'-2IN PE main e</v>
          </cell>
          <cell r="I2508" t="str">
            <v>posted to CPR</v>
          </cell>
          <cell r="J2508" t="str">
            <v>4500 NE 92nd Lay 470'-2IN PE main ext: Kansas City-Clay Co: New Main Extension - Contractor Crews  3760 (33-380)</v>
          </cell>
          <cell r="K2508" t="str">
            <v>Approved by: Ray Wilson on 04/02/2014,  LAY 470'-2" PLEXCO TO SERVE 3 METERS.  PROPANE CONVERSION.  ONE WAY FEED.   CONTACT PATRICIA KOEB AT 816-472-3485 TWO WEEKS IN ADVANCE FOR SCHEDULING OF SURVEY &amp; STAKE. SOW: 2013-014 S,K&amp;W TO SURVEY &amp; STAKE.  COST PER FOOT=$23.93   470'X$8.50=$3.995.00. CUSTOMER TO PAY $1,062.50 (GAVE CREDIT FOR 3 METERS WITH NO REFUND).</v>
          </cell>
          <cell r="L2508">
            <v>41754</v>
          </cell>
          <cell r="M2508">
            <v>41821</v>
          </cell>
          <cell r="N2508">
            <v>41953.6619444444</v>
          </cell>
          <cell r="O2508">
            <v>41760</v>
          </cell>
          <cell r="P2508" t="str">
            <v>1271-020036  CLAY CTY/KANSAS CITY</v>
          </cell>
          <cell r="Q2508">
            <v>4345.0600000000004</v>
          </cell>
          <cell r="R2508">
            <v>-1525</v>
          </cell>
        </row>
        <row r="2509">
          <cell r="A2509" t="str">
            <v>010518</v>
          </cell>
          <cell r="B2509" t="str">
            <v>LDC 2</v>
          </cell>
          <cell r="D2509" t="str">
            <v>no</v>
          </cell>
          <cell r="F2509" t="str">
            <v>F1370</v>
          </cell>
          <cell r="G2509" t="str">
            <v>MGE Misc IT Hardware/Software</v>
          </cell>
          <cell r="H2509" t="str">
            <v>FY2016 Laptops for MGE-Revised</v>
          </cell>
          <cell r="I2509" t="str">
            <v>in service</v>
          </cell>
          <cell r="J2509" t="str">
            <v>Provide funds to purchase hardware &amp; required peripherals &amp; software for workstations to be deployed in the MGE region. This will replace obsolete units, equipment coming off lease &amp; provide spare inventory for emergency &amp; new hire deployment.</v>
          </cell>
          <cell r="K2509" t="str">
            <v>Quantity 50 to be ordered at the cost as noted on the attached quote. Same to be delivered directly to the KC Central location.
Revision requested for 75 additional laptops for inventory and 120 22" displays to replace monitors coming off lease.</v>
          </cell>
          <cell r="L2509">
            <v>42521</v>
          </cell>
          <cell r="O2509">
            <v>42614</v>
          </cell>
          <cell r="P2509" t="str">
            <v>0401-043050  JACKSON CTY/KC</v>
          </cell>
          <cell r="Q2509">
            <v>179663.73</v>
          </cell>
          <cell r="R2509">
            <v>245</v>
          </cell>
        </row>
        <row r="2510">
          <cell r="A2510" t="str">
            <v>010477</v>
          </cell>
          <cell r="B2510" t="str">
            <v>LDC 2</v>
          </cell>
          <cell r="D2510" t="str">
            <v>no</v>
          </cell>
          <cell r="F2510" t="str">
            <v>F1370</v>
          </cell>
          <cell r="G2510" t="str">
            <v>MGE Misc IT Hardware/Software</v>
          </cell>
          <cell r="H2510" t="str">
            <v>Media Equipment for KC Central</v>
          </cell>
          <cell r="I2510" t="str">
            <v>in service</v>
          </cell>
          <cell r="J2510" t="str">
            <v>Provide funds for media equipment, wiring and labor for updating the conference rooms at the Central location in Kansas City.</v>
          </cell>
          <cell r="K2510" t="str">
            <v>See attached quote from Conference Technologies
Serial number info for monitors purchased: NEC E585 Monitors:  5X005689NA, 61007615NA, 61007614NA, and 61007613NA</v>
          </cell>
          <cell r="L2510">
            <v>42460</v>
          </cell>
          <cell r="O2510">
            <v>42522</v>
          </cell>
          <cell r="P2510" t="str">
            <v>0401-043050  JACKSON CTY/KC</v>
          </cell>
          <cell r="Q2510">
            <v>36391.07</v>
          </cell>
          <cell r="R2510">
            <v>52716</v>
          </cell>
        </row>
        <row r="2511">
          <cell r="A2511" t="str">
            <v>800369</v>
          </cell>
          <cell r="B2511" t="str">
            <v>LDC 2</v>
          </cell>
          <cell r="C2511" t="str">
            <v>02 - Cast Iron AOR Replacement</v>
          </cell>
          <cell r="D2511" t="str">
            <v>yes</v>
          </cell>
          <cell r="F2511" t="str">
            <v>F0599</v>
          </cell>
          <cell r="G2511" t="str">
            <v>Main Replacement - ISRS (N)</v>
          </cell>
          <cell r="H2511" t="str">
            <v>AOR - 1310 E 62nd St - IUI</v>
          </cell>
          <cell r="I2511" t="str">
            <v>in service</v>
          </cell>
          <cell r="J2511" t="str">
            <v>Install 325' of 4'' PE. Abandon 325' of 6'' CI. Replacement is due to AOR</v>
          </cell>
          <cell r="L2511">
            <v>42660</v>
          </cell>
          <cell r="O2511">
            <v>42644</v>
          </cell>
          <cell r="P2511" t="str">
            <v>0401-043050  JACKSON CTY/KC</v>
          </cell>
          <cell r="Q2511">
            <v>42459.17</v>
          </cell>
          <cell r="R2511">
            <v>-96</v>
          </cell>
        </row>
        <row r="2512">
          <cell r="A2512" t="str">
            <v>800144</v>
          </cell>
          <cell r="B2512" t="str">
            <v>LDC 2</v>
          </cell>
          <cell r="C2512" t="str">
            <v>01 - Cast Iron Strategic Replacement</v>
          </cell>
          <cell r="D2512" t="str">
            <v>yes</v>
          </cell>
          <cell r="F2512" t="str">
            <v>F0547</v>
          </cell>
          <cell r="G2512" t="str">
            <v>Street &amp; Highway Relocates ISRS (N)</v>
          </cell>
          <cell r="H2512" t="str">
            <v>Hwy 71 and Gregory Grid Repl PhD</v>
          </cell>
          <cell r="I2512" t="str">
            <v>in service</v>
          </cell>
          <cell r="J2512" t="str">
            <v>Install 3356ft of 2in PE and 1596ft of 4in PE to replace existing CI main - Hwy 71 &amp; Gregory Grid Ph D. Abandon 682ft of 12in CI, 1483ft of 6in CI, 1938ft of 4in CI, and 158ft of 2in Bare STL. Strategic CI Replacement.</v>
          </cell>
          <cell r="K2512" t="str">
            <v>15 Service Replacements, 13 Service upgrades, and 52 service tie overs</v>
          </cell>
          <cell r="L2512">
            <v>42674</v>
          </cell>
          <cell r="O2512">
            <v>42644</v>
          </cell>
          <cell r="P2512" t="str">
            <v>0401-043050  JACKSON CTY/KC</v>
          </cell>
          <cell r="Q2512">
            <v>184539.06</v>
          </cell>
          <cell r="R2512">
            <v>-3298.25</v>
          </cell>
        </row>
        <row r="2513">
          <cell r="A2513" t="str">
            <v>008758</v>
          </cell>
          <cell r="B2513" t="str">
            <v>LDC 2</v>
          </cell>
          <cell r="D2513" t="str">
            <v>yes</v>
          </cell>
          <cell r="E2513" t="str">
            <v>20401155418</v>
          </cell>
          <cell r="F2513" t="str">
            <v>F0613</v>
          </cell>
          <cell r="G2513" t="str">
            <v>Replace bare steel main - safety re</v>
          </cell>
          <cell r="H2513" t="str">
            <v>3in PBS Replacement</v>
          </cell>
          <cell r="I2513" t="str">
            <v>posted to CPR</v>
          </cell>
          <cell r="J2513" t="str">
            <v>3in PBS Replacement: Kansas City-Jackson: Replace Bare Steel Main - 3760 Safety Related (34-394)</v>
          </cell>
          <cell r="K2513" t="str">
            <v>Approved by: Gary Williams on 06/22/2015,  Replace 621' of 3'' PBS with 4'' PE due to leaks. Pressure system C-001. There will be 19 tie overs. House #433 W. 61st Ter is a replacement service.</v>
          </cell>
          <cell r="L2513">
            <v>42297</v>
          </cell>
          <cell r="M2513">
            <v>42429</v>
          </cell>
          <cell r="N2513">
            <v>42527.512465277803</v>
          </cell>
          <cell r="O2513">
            <v>42370</v>
          </cell>
          <cell r="P2513" t="str">
            <v>0401-043050  JACKSON CTY/KC</v>
          </cell>
          <cell r="Q2513">
            <v>58721.59</v>
          </cell>
          <cell r="R2513">
            <v>-1366.25</v>
          </cell>
        </row>
        <row r="2514">
          <cell r="A2514" t="str">
            <v>008274</v>
          </cell>
          <cell r="B2514" t="str">
            <v>LDC 2</v>
          </cell>
          <cell r="D2514" t="str">
            <v>yes</v>
          </cell>
          <cell r="E2514" t="str">
            <v>20401155319</v>
          </cell>
          <cell r="F2514" t="str">
            <v>F0599</v>
          </cell>
          <cell r="G2514" t="str">
            <v>Main Replacement - ISRS (N)</v>
          </cell>
          <cell r="H2514" t="str">
            <v>AOR - 6in CI Replacement</v>
          </cell>
          <cell r="I2514" t="str">
            <v>posted to CPR</v>
          </cell>
          <cell r="J2514" t="str">
            <v>AOR - 6in CI Replacement: Kansas City-Jackson: Replace Cast Iron Main - 3760 Safety Related (34-412)</v>
          </cell>
          <cell r="K2514" t="str">
            <v>Approved by: Gary Williams on 04/27/2015,  ISRS Replace 50' of 6'' CI due to AOR. Due 7/9/2015. Pressure system C-001. Coordinate tie-in procedures with engineering. 5317 and 5322 Charlotte are both replacement services.</v>
          </cell>
          <cell r="L2514">
            <v>42194</v>
          </cell>
          <cell r="M2514">
            <v>42461</v>
          </cell>
          <cell r="N2514">
            <v>42496.5605208333</v>
          </cell>
          <cell r="O2514">
            <v>42186</v>
          </cell>
          <cell r="P2514" t="str">
            <v>0401-043050  JACKSON CTY/KC</v>
          </cell>
          <cell r="Q2514">
            <v>23323.29</v>
          </cell>
          <cell r="R2514">
            <v>12433</v>
          </cell>
        </row>
        <row r="2515">
          <cell r="A2515" t="str">
            <v>007903</v>
          </cell>
          <cell r="B2515" t="str">
            <v>LDC 2</v>
          </cell>
          <cell r="D2515" t="str">
            <v>no</v>
          </cell>
          <cell r="E2515" t="str">
            <v>20401155182</v>
          </cell>
          <cell r="F2515" t="str">
            <v>F0670</v>
          </cell>
          <cell r="G2515" t="str">
            <v>Tools, Instruments &amp; Equipment (N)</v>
          </cell>
          <cell r="H2515" t="str">
            <v>Purchase Lyco Fit Press Assembly To</v>
          </cell>
          <cell r="I2515" t="str">
            <v>posted to CPR</v>
          </cell>
          <cell r="J2515" t="str">
            <v>Purchase Lyco Fit Press Assembly Tool Kits: Kansas City-Jackson: Purchase Tools, Instruments &amp; Equipment  3940 (37-366)</v>
          </cell>
          <cell r="K2515" t="str">
            <v>Approved by: Joe Hampton on 03/18/2015,  To outfit all departments. These are not replacements.</v>
          </cell>
          <cell r="L2515">
            <v>42186</v>
          </cell>
          <cell r="M2515">
            <v>42491</v>
          </cell>
          <cell r="N2515">
            <v>42527.511724536998</v>
          </cell>
          <cell r="O2515">
            <v>42217</v>
          </cell>
          <cell r="P2515" t="str">
            <v>0401-043050  JACKSON CTY/KC</v>
          </cell>
          <cell r="Q2515">
            <v>43108.09</v>
          </cell>
          <cell r="R2515">
            <v>20</v>
          </cell>
        </row>
        <row r="2516">
          <cell r="A2516" t="str">
            <v>007717</v>
          </cell>
          <cell r="B2516" t="str">
            <v>LDC 2</v>
          </cell>
          <cell r="D2516" t="str">
            <v>no</v>
          </cell>
          <cell r="E2516" t="str">
            <v>0401155133</v>
          </cell>
          <cell r="F2516" t="str">
            <v>F0670</v>
          </cell>
          <cell r="G2516" t="str">
            <v>Tools, Instruments &amp; Equipment (N)</v>
          </cell>
          <cell r="H2516" t="str">
            <v>Trailer Bins and Shelves</v>
          </cell>
          <cell r="I2516" t="str">
            <v>posted to CPR</v>
          </cell>
          <cell r="J2516" t="str">
            <v>Trailer Bins and Shelves: Kansas City-Jackson: Purchase Tools, Instruments &amp; Equipment  3940 (37-366)</v>
          </cell>
          <cell r="K2516" t="str">
            <v>Approved by: Ray Wilson on 02/26/2015,  Trailer bins and shelves for field base work force trailers.</v>
          </cell>
          <cell r="L2516">
            <v>42104</v>
          </cell>
          <cell r="M2516">
            <v>42491</v>
          </cell>
          <cell r="N2516">
            <v>42527.511643518497</v>
          </cell>
          <cell r="O2516">
            <v>42125</v>
          </cell>
          <cell r="P2516" t="str">
            <v>0401-043050  JACKSON CTY/KC</v>
          </cell>
          <cell r="Q2516">
            <v>2739</v>
          </cell>
          <cell r="R2516">
            <v>0</v>
          </cell>
        </row>
        <row r="2517">
          <cell r="A2517" t="str">
            <v>007713</v>
          </cell>
          <cell r="B2517" t="str">
            <v>LDC 2</v>
          </cell>
          <cell r="D2517" t="str">
            <v>no</v>
          </cell>
          <cell r="E2517" t="str">
            <v>20401155173</v>
          </cell>
          <cell r="F2517" t="str">
            <v>F0670</v>
          </cell>
          <cell r="G2517" t="str">
            <v>Tools, Instruments &amp; Equipment (N)</v>
          </cell>
          <cell r="H2517" t="str">
            <v>Purchase 4 - 20 lb Fire Extinguishe</v>
          </cell>
          <cell r="I2517" t="str">
            <v>posted to CPR</v>
          </cell>
          <cell r="J2517" t="str">
            <v>Purchase 4 Quantity 20 lb Fire Extinguishers: Kansas City-Jackson: Purchase Tools, Instruments &amp; Equipment  3940 (37-366)</v>
          </cell>
          <cell r="K2517" t="str">
            <v>Approved by: Ray Wilson on 02/26/2015,  Purchase 4 quantity 20lb. Fire Extinguishers for new crew trucks that are being equipped. These are not replacements.</v>
          </cell>
          <cell r="L2517">
            <v>42068</v>
          </cell>
          <cell r="M2517">
            <v>42491</v>
          </cell>
          <cell r="N2517">
            <v>42527.511631944399</v>
          </cell>
          <cell r="O2517">
            <v>42064</v>
          </cell>
          <cell r="P2517" t="str">
            <v>0401-043050  JACKSON CTY/KC</v>
          </cell>
          <cell r="Q2517">
            <v>2311.4699999999998</v>
          </cell>
          <cell r="R2517">
            <v>76</v>
          </cell>
        </row>
        <row r="2518">
          <cell r="A2518" t="str">
            <v>007052</v>
          </cell>
          <cell r="B2518" t="str">
            <v>LDC 2</v>
          </cell>
          <cell r="D2518" t="str">
            <v>yes</v>
          </cell>
          <cell r="F2518" t="str">
            <v>F0599</v>
          </cell>
          <cell r="G2518" t="str">
            <v>Main Replacement - ISRS (N)</v>
          </cell>
          <cell r="H2518" t="str">
            <v>BWO Main Installed Mtce-North Reg</v>
          </cell>
          <cell r="I2518" t="str">
            <v>open</v>
          </cell>
          <cell r="J2518" t="str">
            <v>BWO Main Installed Mtce North Region</v>
          </cell>
          <cell r="K2518" t="str">
            <v>For short replacements of main done on emergency basis - North Region</v>
          </cell>
          <cell r="O2518">
            <v>42278</v>
          </cell>
          <cell r="P2518" t="str">
            <v>0401-043050  JACKSON CTY/KC</v>
          </cell>
          <cell r="Q2518">
            <v>457263.1</v>
          </cell>
          <cell r="R2518">
            <v>-5439.55</v>
          </cell>
        </row>
        <row r="2519">
          <cell r="A2519" t="str">
            <v>006850</v>
          </cell>
          <cell r="B2519" t="str">
            <v>LDC 2</v>
          </cell>
          <cell r="D2519" t="str">
            <v>no</v>
          </cell>
          <cell r="E2519" t="str">
            <v>20401143938</v>
          </cell>
          <cell r="F2519" t="str">
            <v>F0670</v>
          </cell>
          <cell r="G2519" t="str">
            <v>Tools, Instruments &amp; Equipment (N)</v>
          </cell>
          <cell r="H2519" t="str">
            <v>Tools (2 ALH Tapping Machines)</v>
          </cell>
          <cell r="I2519" t="str">
            <v>posted to CPR</v>
          </cell>
          <cell r="J2519" t="str">
            <v>Tools: Kansas City-Jackson: Purchase Tools, Instruments &amp; Equipment  3940 (37-366)</v>
          </cell>
          <cell r="K2519" t="str">
            <v>Approved by: Gary Williams on 11/07/2014,  This is not a replacement alh machine for 3/4"-2" cast iron tapping and stopping</v>
          </cell>
          <cell r="L2519">
            <v>42016</v>
          </cell>
          <cell r="M2519">
            <v>42035</v>
          </cell>
          <cell r="N2519">
            <v>42044.360358796301</v>
          </cell>
          <cell r="O2519">
            <v>42005</v>
          </cell>
          <cell r="P2519" t="str">
            <v>0401-043050  JACKSON CTY/KC</v>
          </cell>
          <cell r="Q2519">
            <v>27072.39</v>
          </cell>
          <cell r="R2519">
            <v>2</v>
          </cell>
        </row>
        <row r="2520">
          <cell r="A2520" t="str">
            <v>004293</v>
          </cell>
          <cell r="B2520" t="str">
            <v>LDC 2</v>
          </cell>
          <cell r="D2520" t="str">
            <v>no</v>
          </cell>
          <cell r="E2520" t="str">
            <v>20401050304</v>
          </cell>
          <cell r="F2520" t="str">
            <v>F0499</v>
          </cell>
          <cell r="G2520" t="str">
            <v>BWO House Regulators 2'' &amp; Sm (N)</v>
          </cell>
          <cell r="H2520" t="str">
            <v>BWO-House Regs-Stores Iss-North Reg</v>
          </cell>
          <cell r="I2520" t="str">
            <v>open</v>
          </cell>
          <cell r="J2520" t="str">
            <v>BWO - House Regulators - Stores Issues - North Region</v>
          </cell>
          <cell r="K2520" t="str">
            <v>Changed to Non-Payroll class code 6-5-15 - should not charge labor here - AMM</v>
          </cell>
          <cell r="O2520">
            <v>41730</v>
          </cell>
          <cell r="P2520" t="str">
            <v>0401-043050  JACKSON CTY/KC</v>
          </cell>
          <cell r="Q2520">
            <v>2213964.7400000002</v>
          </cell>
          <cell r="R2520">
            <v>237355</v>
          </cell>
        </row>
        <row r="2521">
          <cell r="A2521" t="str">
            <v>005917</v>
          </cell>
          <cell r="B2521" t="str">
            <v>LDC 2</v>
          </cell>
          <cell r="D2521" t="str">
            <v>yes</v>
          </cell>
          <cell r="E2521" t="str">
            <v>20401143602</v>
          </cell>
          <cell r="F2521" t="str">
            <v>F0599</v>
          </cell>
          <cell r="G2521" t="str">
            <v>Main Replacement - ISRS (N)</v>
          </cell>
          <cell r="H2521" t="str">
            <v>18th Ter Repl CI/CS w 2945'-4;340'-</v>
          </cell>
          <cell r="I2521" t="str">
            <v>posted to CPR</v>
          </cell>
          <cell r="J2521" t="str">
            <v>18th Ter Repl CI/CS w 2945'-4;340'-2in PE main: Kansas City-Jackson: Replace Cast Iron Main - 3760 Safety Related (34-412)</v>
          </cell>
          <cell r="K2521" t="str">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ell>
          <cell r="L2521">
            <v>41929</v>
          </cell>
          <cell r="M2521">
            <v>41943</v>
          </cell>
          <cell r="N2521">
            <v>42044.366574074098</v>
          </cell>
          <cell r="O2521">
            <v>41913</v>
          </cell>
          <cell r="P2521" t="str">
            <v>0401-043050  JACKSON CTY/KC</v>
          </cell>
          <cell r="Q2521">
            <v>134673.29</v>
          </cell>
          <cell r="R2521">
            <v>-3253</v>
          </cell>
        </row>
        <row r="2522">
          <cell r="A2522" t="str">
            <v>005631</v>
          </cell>
          <cell r="B2522" t="str">
            <v>LDC 2</v>
          </cell>
          <cell r="D2522" t="str">
            <v>no</v>
          </cell>
          <cell r="E2522" t="str">
            <v>20401143316</v>
          </cell>
          <cell r="F2522" t="str">
            <v>F0610</v>
          </cell>
          <cell r="G2522" t="str">
            <v>New business</v>
          </cell>
          <cell r="H2522" t="str">
            <v>CENTERPOINT INTERMODAL CENTER-AREA</v>
          </cell>
          <cell r="I2522" t="str">
            <v>posted to CPR</v>
          </cell>
          <cell r="J2522" t="str">
            <v>CENTERPOINT INTERMODAL CENTER-AREA 1: Kansas City-Jackson: New Main Extension - Contractor Crews  3760 (33-380)</v>
          </cell>
          <cell r="K2522" t="str">
            <v>Approved by: Steve Holcomb on 07/02/2014,  LAY 1,874'-4" TF ST, 25'-6" TF ST, 965'-6" PE, 2,039'-4" PE AND 1,194'-2" PE TO SERVE. INDUSTRIAL/MANUFACTURING SITE.  WILL NEED MODOT HWY PERMIT.  CALL 811 TO NOTIFY TALLGRASS PIPELINE ABOUT CROSSING THEIR GAS LINE.  W.O. # 14-3378 DRS 760 GOES WITH THIS PROJECT.  CONTACT PATRICIA KOEB AT 816-472-3485 FOR SURVEY &amp; SCHEDULE OF EASEMENTS BY LUTJEN.  PRESSURE TEST 4" TF STEEL AT 225 PSIG.  COST PER FOOT=$27.80  DEVELOPER TO CONTRIBUTE $0 BEFORE START OF INSTALLATION.  SUSAN MARX TO WORK UP NEW ECONOMIC EVALUATION ON 6/19/14; AFTER MARK BARBER COMPLETES WOs ON (4) 3M METERS.  Received signed MEA &amp; check for $130,744 7-2-14 per WOES - AMM.
Reopened 8-24-15 per Andy to correct pipe that should go to 006352 - AMM</v>
          </cell>
          <cell r="L2522">
            <v>41950</v>
          </cell>
          <cell r="M2522">
            <v>42035</v>
          </cell>
          <cell r="N2522">
            <v>42131.407604166699</v>
          </cell>
          <cell r="O2522">
            <v>42005</v>
          </cell>
          <cell r="P2522" t="str">
            <v>0401-043050  JACKSON CTY/KC</v>
          </cell>
          <cell r="Q2522">
            <v>141544.12</v>
          </cell>
          <cell r="R2522">
            <v>-24271</v>
          </cell>
        </row>
        <row r="2523">
          <cell r="A2523" t="str">
            <v>005234</v>
          </cell>
          <cell r="B2523" t="str">
            <v>LDC 2</v>
          </cell>
          <cell r="D2523" t="str">
            <v>no</v>
          </cell>
          <cell r="F2523" t="str">
            <v>F0588</v>
          </cell>
          <cell r="G2523" t="str">
            <v>Transportation &amp; power operated equ</v>
          </cell>
          <cell r="H2523" t="str">
            <v>Purchase 1 Crane Truck MGE</v>
          </cell>
          <cell r="I2523" t="str">
            <v>posted to CPR</v>
          </cell>
          <cell r="J2523" t="str">
            <v>Purchase one crane truck replacing unit #21283</v>
          </cell>
          <cell r="K2523" t="str">
            <v>Complete per Mike Menendez 9-18-14  AMM</v>
          </cell>
          <cell r="L2523">
            <v>41900</v>
          </cell>
          <cell r="M2523">
            <v>42278</v>
          </cell>
          <cell r="N2523">
            <v>42317.4831597222</v>
          </cell>
          <cell r="O2523">
            <v>41883</v>
          </cell>
          <cell r="P2523" t="str">
            <v>0401-043050  JACKSON CTY/KC</v>
          </cell>
          <cell r="Q2523">
            <v>160765.07</v>
          </cell>
          <cell r="R2523">
            <v>5</v>
          </cell>
        </row>
        <row r="2524">
          <cell r="A2524" t="str">
            <v>005009</v>
          </cell>
          <cell r="B2524" t="str">
            <v>LDC 2</v>
          </cell>
          <cell r="D2524" t="str">
            <v>no</v>
          </cell>
          <cell r="E2524" t="str">
            <v>20401133182</v>
          </cell>
          <cell r="F2524" t="str">
            <v>F0660</v>
          </cell>
          <cell r="G2524" t="str">
            <v>Meter &amp; Reg Settings 2" &amp; Lg (N)</v>
          </cell>
          <cell r="H2524" t="str">
            <v>KCATA CNG 38M Roots</v>
          </cell>
          <cell r="I2524" t="str">
            <v>posted to CPR</v>
          </cell>
          <cell r="J2524" t="str">
            <v>KCATA CNG 38M Roots: Kansas City-Jackson: New Meter &amp; Reg Settings - 2in &amp; Larger 3820/3830 (33-382)</v>
          </cell>
          <cell r="K2524" t="str">
            <v>Approved by: Michael Fornelli on 04/14/2014,  This work is necessary to install a 38M Roots meter to serve a new CNG station for KCATA.We will put main pressure thru the meter for a connected load of 144,000cfh.</v>
          </cell>
          <cell r="L2524">
            <v>41845</v>
          </cell>
          <cell r="M2524">
            <v>42216</v>
          </cell>
          <cell r="N2524">
            <v>42221.758043981499</v>
          </cell>
          <cell r="O2524">
            <v>41852</v>
          </cell>
          <cell r="P2524" t="str">
            <v>0401-043050  JACKSON CTY/KC</v>
          </cell>
          <cell r="Q2524">
            <v>4779.62</v>
          </cell>
          <cell r="R2524">
            <v>-109</v>
          </cell>
        </row>
        <row r="2525">
          <cell r="A2525" t="str">
            <v>004062</v>
          </cell>
          <cell r="B2525" t="str">
            <v>LDC 2</v>
          </cell>
          <cell r="D2525" t="str">
            <v>yes</v>
          </cell>
          <cell r="E2525" t="str">
            <v>20401133185</v>
          </cell>
          <cell r="F2525" t="str">
            <v>F0599</v>
          </cell>
          <cell r="G2525" t="str">
            <v>Main Replacement - ISRS (N)</v>
          </cell>
          <cell r="H2525" t="str">
            <v>AOR 4505 Agnes Repl CI w 35'-4in PE</v>
          </cell>
          <cell r="I2525" t="str">
            <v>posted to CPR</v>
          </cell>
          <cell r="J2525" t="str">
            <v>AOR 4505 Agnes Repl CI w 35'-4in PE main: Kansas City-Jackson: 4505 Agnes</v>
          </cell>
          <cell r="K2525" t="str">
            <v>Approved by: Kevin Driskell on 12/16/2013,  AOR.  Replace 35' of 4in CI with PE main.  CI is in angle of repose due to 12' of parallel excavation next to main.  This project must be completed by Feb 16, 2014.  AOR happened 119' SSCB of 45th Street.  Tie-over 1 service at 4505 Agnes.</v>
          </cell>
          <cell r="L2525">
            <v>41660</v>
          </cell>
          <cell r="M2525">
            <v>41729</v>
          </cell>
          <cell r="N2525">
            <v>41733.309918981497</v>
          </cell>
          <cell r="O2525">
            <v>41730</v>
          </cell>
          <cell r="P2525" t="str">
            <v>0401-043050  JACKSON CTY/KC</v>
          </cell>
          <cell r="Q2525">
            <v>28832.26</v>
          </cell>
          <cell r="R2525">
            <v>249</v>
          </cell>
        </row>
        <row r="2526">
          <cell r="A2526" t="str">
            <v>004560</v>
          </cell>
          <cell r="B2526" t="str">
            <v>LDC 2</v>
          </cell>
          <cell r="D2526" t="str">
            <v>no</v>
          </cell>
          <cell r="E2526" t="str">
            <v>20401133008</v>
          </cell>
          <cell r="F2526" t="str">
            <v>F0639</v>
          </cell>
          <cell r="G2526" t="str">
            <v>EGM Equip-1st Time Installation</v>
          </cell>
          <cell r="H2526" t="str">
            <v>EGM - Industrial Hardware Distribut</v>
          </cell>
          <cell r="I2526" t="str">
            <v>posted to CPR</v>
          </cell>
          <cell r="J2526" t="str">
            <v>EGM - Industrial Hardware Distributors 2: Kansas City-Jackson: 219 E 10th Ave - KC, MO 64116</v>
          </cell>
          <cell r="K2526" t="str">
            <v>Approved by: Rob Kitterman on 09/24/2013,  Install Mercury MiniMax-AT-T w/ Messenger Modem S/N: 13038772 on Roots 7M meter no 09948221 to monitor daily gas usage of this transportation customer. Customer will reimburse company actual cost for EGM installation not to exceed $5,445.00, which should be coded to account 1072. ATTENTION: Plant &amp; Property Accounting, EGM work order, turn off A&amp;G indicator.</v>
          </cell>
          <cell r="L2526">
            <v>41485</v>
          </cell>
          <cell r="M2526">
            <v>41670</v>
          </cell>
          <cell r="N2526">
            <v>41677.509826388901</v>
          </cell>
          <cell r="P2526" t="str">
            <v>0401-043050  JACKSON CTY/KC</v>
          </cell>
          <cell r="Q2526">
            <v>272.83999999999997</v>
          </cell>
          <cell r="R2526">
            <v>4</v>
          </cell>
        </row>
        <row r="2527">
          <cell r="A2527" t="str">
            <v>004063</v>
          </cell>
          <cell r="B2527" t="str">
            <v>LDC 2</v>
          </cell>
          <cell r="D2527" t="str">
            <v>no</v>
          </cell>
          <cell r="E2527" t="str">
            <v>20401132613</v>
          </cell>
          <cell r="F2527" t="str">
            <v>F0610</v>
          </cell>
          <cell r="G2527" t="str">
            <v>New business</v>
          </cell>
          <cell r="H2527" t="str">
            <v>KCATA CNG 3380'-6in Main Ext</v>
          </cell>
          <cell r="I2527" t="str">
            <v>posted to CPR</v>
          </cell>
          <cell r="J2527" t="str">
            <v>KCATA CNG 3380'-6in Main Ext: Kansas City-Jackson: 1350 E 17 Street 6in Main Extension</v>
          </cell>
          <cell r="K2527" t="str">
            <v>Approved by: Steve Lindsey on 12/20/2013,  Lay 3380'-6in TF Steel main ext. This work order is necessary to serve new CNG Station at KCATA Bus Terminal requesting 65PSIG. Install 3,380ft of 6in Thin Film from 19th and Holmes to 18th and Lydia. Economical evaluation covers the cost.</v>
          </cell>
          <cell r="L2527">
            <v>41754</v>
          </cell>
          <cell r="M2527">
            <v>42216</v>
          </cell>
          <cell r="N2527">
            <v>42256.639305555596</v>
          </cell>
          <cell r="O2527">
            <v>41883</v>
          </cell>
          <cell r="P2527" t="str">
            <v>0401-043050  JACKSON CTY/KC</v>
          </cell>
          <cell r="Q2527">
            <v>585141.98</v>
          </cell>
          <cell r="R2527">
            <v>174</v>
          </cell>
        </row>
        <row r="2528">
          <cell r="A2528" t="str">
            <v>004217</v>
          </cell>
          <cell r="B2528" t="str">
            <v>LDC 2</v>
          </cell>
          <cell r="D2528" t="str">
            <v>no</v>
          </cell>
          <cell r="E2528" t="str">
            <v>20401132520</v>
          </cell>
          <cell r="F2528" t="str">
            <v>F0578</v>
          </cell>
          <cell r="G2528" t="str">
            <v>Street &amp; Highway Relocates ISRS (S)</v>
          </cell>
          <cell r="H2528" t="str">
            <v>Pur Land Lot 5105 LSRD DRS #</v>
          </cell>
          <cell r="I2528" t="str">
            <v>posted to CPR</v>
          </cell>
          <cell r="J2528" t="str">
            <v>Pur Land Lot 5105 LSRD DRS #: Kansas City-Jackson: 5105 Lee's Summit Road</v>
          </cell>
          <cell r="K2528" t="str">
            <v>Approved by: Ralph Janes on 09/05/2013,  This WO is written to purchase land at 5105 Lee's Summit Road in KCMO (Jackson County Parcel ID: 34-920-05-17-00-0-00-000). This is all part of Jackson County's plans to improve Lee's Summit Road from 40 Hwy to Anderson Dr. We are replacing the 8&amp;quot; main on the east side of the road and the 16&amp;quot; main on the west side of the road with a single 20&amp;quot; main on the east side of the road. At 52nd and LSRD the 12&amp;quot; Grain Valley lateral ties in to the 8&amp;quot; and 16&amp;quot; main. We will build a double run 8&amp;quot; regulator station (on WO# 13-2618), a 20&amp;quot; x 12&amp;quot; bridle setting, and plan for a future pig receiver on this lot.</v>
          </cell>
          <cell r="L2528">
            <v>41653</v>
          </cell>
          <cell r="M2528">
            <v>41670</v>
          </cell>
          <cell r="N2528">
            <v>41710.614594907398</v>
          </cell>
          <cell r="P2528" t="str">
            <v>0401-043050  JACKSON CTY/KC</v>
          </cell>
          <cell r="Q2528">
            <v>34050.800000000003</v>
          </cell>
          <cell r="R2528">
            <v>0</v>
          </cell>
        </row>
        <row r="2529">
          <cell r="A2529" t="str">
            <v>004428</v>
          </cell>
          <cell r="B2529" t="str">
            <v>LDC 2</v>
          </cell>
          <cell r="D2529" t="str">
            <v>yes</v>
          </cell>
          <cell r="E2529" t="str">
            <v>20401132518</v>
          </cell>
          <cell r="F2529" t="str">
            <v>F0663</v>
          </cell>
          <cell r="G2529" t="str">
            <v>Replace bare steel main - safety re</v>
          </cell>
          <cell r="H2529" t="str">
            <v>52nd &amp; Oak Repl PBS with 40'-12in T</v>
          </cell>
          <cell r="I2529" t="str">
            <v>posted to CPR</v>
          </cell>
          <cell r="J2529" t="str">
            <v>52nd &amp; Oak Repl PBS with 40'-12in TF Steel main: Kansas City-Jackson: 52nd and Oak</v>
          </cell>
          <cell r="K2529" t="str">
            <v>Approved by: Gary Williams on 04/08/2013,  Replace 40'-12in bare steel and 4'-3in bare steel, work orders unknow. Replaced with 40'-12in TF Steel main.  This work order was necessary due to leak on 12in steel main.</v>
          </cell>
          <cell r="L2529">
            <v>41619</v>
          </cell>
          <cell r="M2529">
            <v>41729</v>
          </cell>
          <cell r="N2529">
            <v>41733.309918981497</v>
          </cell>
          <cell r="O2529">
            <v>41730</v>
          </cell>
          <cell r="P2529" t="str">
            <v>0401-043050  JACKSON CTY/KC</v>
          </cell>
          <cell r="Q2529">
            <v>29266.14</v>
          </cell>
          <cell r="R2529">
            <v>181.1</v>
          </cell>
        </row>
        <row r="2530">
          <cell r="A2530" t="str">
            <v>004432</v>
          </cell>
          <cell r="B2530" t="str">
            <v>LDC 2</v>
          </cell>
          <cell r="D2530" t="str">
            <v>no</v>
          </cell>
          <cell r="E2530" t="str">
            <v>20401132673</v>
          </cell>
          <cell r="F2530" t="str">
            <v>F0660</v>
          </cell>
          <cell r="G2530" t="str">
            <v>Meter &amp; Reg Settings 2" &amp; Lg (N)</v>
          </cell>
          <cell r="H2530" t="str">
            <v>Cathedral Sq Towers Install 7M mtr</v>
          </cell>
          <cell r="I2530" t="str">
            <v>posted to CPR</v>
          </cell>
          <cell r="J2530" t="str">
            <v>Cathedral Sq Towers Install 7M mtr set: Kansas City-Jackson: 444 W 12th St</v>
          </cell>
          <cell r="K2530" t="str">
            <v>Approved by: Mike Fornelli on 05/06/2013,  This work is necessary to install a 7M roots meter to serve one new commercial customer. We'll set a 2in CL-34-2regulator at 2psig with a 1in 289H relief set at 3psig for a connected load of 5800cfh.</v>
          </cell>
          <cell r="L2530">
            <v>41523</v>
          </cell>
          <cell r="M2530">
            <v>41600</v>
          </cell>
          <cell r="N2530">
            <v>41612.300150463001</v>
          </cell>
          <cell r="P2530" t="str">
            <v>0401-043050  JACKSON CTY/KC</v>
          </cell>
          <cell r="Q2530">
            <v>4968.9799999999996</v>
          </cell>
          <cell r="R2530">
            <v>18</v>
          </cell>
        </row>
        <row r="2531">
          <cell r="A2531" t="str">
            <v>004752</v>
          </cell>
          <cell r="B2531" t="str">
            <v>LDC 2</v>
          </cell>
          <cell r="D2531" t="str">
            <v>no</v>
          </cell>
          <cell r="E2531" t="str">
            <v>28920000000</v>
          </cell>
          <cell r="F2531" t="str">
            <v>F0711</v>
          </cell>
          <cell r="G2531" t="str">
            <v>Maintenance of Services MGE</v>
          </cell>
          <cell r="H2531" t="str">
            <v>Maintenance of Services MGE</v>
          </cell>
          <cell r="I2531" t="str">
            <v>open</v>
          </cell>
          <cell r="J2531" t="str">
            <v>Maintenance of Services MGE</v>
          </cell>
          <cell r="P2531" t="str">
            <v>Expense Only</v>
          </cell>
          <cell r="Q2531">
            <v>4940058.83</v>
          </cell>
          <cell r="R2531">
            <v>150230.37330000001</v>
          </cell>
        </row>
        <row r="2532">
          <cell r="A2532" t="str">
            <v>800728</v>
          </cell>
          <cell r="B2532" t="str">
            <v>LDC 2</v>
          </cell>
          <cell r="C2532" t="str">
            <v>09 - Facility Relocation due to Civic Improvement</v>
          </cell>
          <cell r="D2532" t="str">
            <v>yes</v>
          </cell>
          <cell r="F2532" t="str">
            <v>F0664</v>
          </cell>
          <cell r="G2532" t="str">
            <v>Street &amp; Hwy Relocates ISRS (SW)</v>
          </cell>
          <cell r="H2532" t="str">
            <v>Reloc 2621F 2P Brodway &amp; Zora</v>
          </cell>
          <cell r="I2532" t="str">
            <v>open</v>
          </cell>
          <cell r="J2532" t="str">
            <v>Install 2313 Ft of 2 in PL IP main and 308 Ft of 2 in PL LP main on St. Louis Avenue between Broadway and Zora as required by Public Improvements.</v>
          </cell>
          <cell r="K2532" t="str">
            <v>Abandon 1075 Ft of 2 in PL IP main, 143 Ft of 2 in PL LP main, 966 Ft of 2 in ST IP main, 164 Ft of 3 in ST IP main and 227 Ft of 2 in ST LP main at the above locations.  Total Service Tie-Over = 19.</v>
          </cell>
          <cell r="P2532" t="str">
            <v>0501-044001  JASPER CTY/JOPLIN</v>
          </cell>
          <cell r="Q2532">
            <v>86242.89</v>
          </cell>
          <cell r="R2532">
            <v>-4443</v>
          </cell>
        </row>
        <row r="2533">
          <cell r="A2533" t="str">
            <v>012438</v>
          </cell>
          <cell r="B2533" t="str">
            <v>LDC 2</v>
          </cell>
          <cell r="D2533" t="str">
            <v>no</v>
          </cell>
          <cell r="F2533" t="str">
            <v>F0630</v>
          </cell>
          <cell r="G2533" t="str">
            <v>Meter &amp; Reg Settings 2" &amp; Lg (SW)</v>
          </cell>
          <cell r="H2533" t="str">
            <v>Inst 5M Mtr Setting 1530 S Range Ln</v>
          </cell>
          <cell r="I2533" t="str">
            <v>in service</v>
          </cell>
          <cell r="J2533" t="str">
            <v>Install 5M rotary meter setting for new car wash located at 1530 S Range Line Rd in Joplin. Total demand 3729 cfh at 2 psig.</v>
          </cell>
          <cell r="L2533">
            <v>42755</v>
          </cell>
          <cell r="O2533">
            <v>42736</v>
          </cell>
          <cell r="P2533" t="str">
            <v>0501-044001  JASPER CTY/JOPLIN</v>
          </cell>
          <cell r="Q2533">
            <v>4399.93</v>
          </cell>
          <cell r="R2533">
            <v>-7</v>
          </cell>
        </row>
        <row r="2534">
          <cell r="A2534" t="str">
            <v>800298</v>
          </cell>
          <cell r="B2534" t="str">
            <v>LDC 2</v>
          </cell>
          <cell r="D2534" t="str">
            <v>no</v>
          </cell>
          <cell r="F2534" t="str">
            <v>F0523</v>
          </cell>
          <cell r="G2534" t="str">
            <v>New Main Extensions (SW)</v>
          </cell>
          <cell r="H2534" t="str">
            <v>Inst 350' 2P Kennedy Ct NB</v>
          </cell>
          <cell r="I2534" t="str">
            <v>open</v>
          </cell>
          <cell r="J2534" t="str">
            <v>Main Extension - Install 350ft of 2in IP PL to serve 2416 Kennedy Court in Joplin.
Town: 0501 Sector: 0106 System: C-100
MAOP: 30 psi
MOP: 30 psi Cost: $10,406.53 $29.73/ft</v>
          </cell>
          <cell r="P2534" t="str">
            <v>0501-044001  JASPER CTY/JOPLIN</v>
          </cell>
          <cell r="Q2534">
            <v>16142.25</v>
          </cell>
          <cell r="R2534">
            <v>886</v>
          </cell>
        </row>
        <row r="2535">
          <cell r="A2535" t="str">
            <v>004081</v>
          </cell>
          <cell r="B2535" t="str">
            <v>LDC 2</v>
          </cell>
          <cell r="D2535" t="str">
            <v>yes</v>
          </cell>
          <cell r="E2535" t="str">
            <v>20501133207</v>
          </cell>
          <cell r="F2535" t="str">
            <v>F0572</v>
          </cell>
          <cell r="G2535" t="str">
            <v>Main Replacement - ISRS (SW)</v>
          </cell>
          <cell r="H2535" t="str">
            <v>15th &amp; Indiana Repl PBS/PCS w 590'-</v>
          </cell>
          <cell r="I2535" t="str">
            <v>posted to CPR</v>
          </cell>
          <cell r="J2535" t="str">
            <v>15th &amp; Indiana Repl PBS/PCS w 590'-4;310'-2in PE : Joplin: 15th St Between Indiana Ave and Iowa Ave</v>
          </cell>
          <cell r="K2535" t="str">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ell>
          <cell r="L2535">
            <v>41929</v>
          </cell>
          <cell r="M2535">
            <v>42063</v>
          </cell>
          <cell r="N2535">
            <v>42160.551226851901</v>
          </cell>
          <cell r="O2535">
            <v>41944</v>
          </cell>
          <cell r="P2535" t="str">
            <v>0501-044001  JASPER CTY/JOPLIN</v>
          </cell>
          <cell r="Q2535">
            <v>14397.42</v>
          </cell>
          <cell r="R2535">
            <v>-2052</v>
          </cell>
        </row>
        <row r="2536">
          <cell r="A2536" t="str">
            <v>004371</v>
          </cell>
          <cell r="B2536" t="str">
            <v>LDC 2</v>
          </cell>
          <cell r="D2536" t="str">
            <v>no</v>
          </cell>
          <cell r="E2536" t="str">
            <v>20501133064</v>
          </cell>
          <cell r="F2536" t="str">
            <v>F0677</v>
          </cell>
          <cell r="G2536" t="str">
            <v>New business</v>
          </cell>
          <cell r="H2536" t="str">
            <v>Brookwood Dr Lay 420'-2in PE main</v>
          </cell>
          <cell r="I2536" t="str">
            <v>posted to CPR</v>
          </cell>
          <cell r="J2536" t="str">
            <v>Brookwood Dr Lay 420'-2in PE main: Joplin: 5132 Brookwood Drive</v>
          </cell>
          <cell r="K2536" t="str">
            <v>Approved by: Galen Shoemaker on 10/24/2013,  Lay 420' of 2 PE to provide for new customer.  Customer will provide $3,795.00 before construction.  Project Location: Brookwood Dr. S of 50th St.  Pressure System: C-1.  MOP: 58 PSIG.  MAOP: 58 PSIG.  Design: 58 PSIG.  Test: 100 PSIG.  Price Per Foot: $30.25.</v>
          </cell>
          <cell r="L2536">
            <v>41976</v>
          </cell>
          <cell r="M2536">
            <v>42063</v>
          </cell>
          <cell r="N2536">
            <v>42160.551701388897</v>
          </cell>
          <cell r="O2536">
            <v>42005</v>
          </cell>
          <cell r="P2536" t="str">
            <v>0501-044001  JASPER CTY/JOPLIN</v>
          </cell>
          <cell r="Q2536">
            <v>23509.1</v>
          </cell>
          <cell r="R2536">
            <v>-918</v>
          </cell>
        </row>
        <row r="2537">
          <cell r="A2537" t="str">
            <v>004651</v>
          </cell>
          <cell r="B2537" t="str">
            <v>LDC 2</v>
          </cell>
          <cell r="D2537" t="str">
            <v>no</v>
          </cell>
          <cell r="E2537" t="str">
            <v>20501133061</v>
          </cell>
          <cell r="F2537" t="str">
            <v>F0630</v>
          </cell>
          <cell r="G2537" t="str">
            <v>Meter &amp; Reg Settings 2" &amp; Lg (SW)</v>
          </cell>
          <cell r="H2537" t="str">
            <v>2340 Rangeline 3M mtr set</v>
          </cell>
          <cell r="I2537" t="str">
            <v>posted to CPR</v>
          </cell>
          <cell r="J2537" t="str">
            <v>2340 Rangeline 3M mtr set: Joplin: Innovative Objects 2340 Rangeline Rd</v>
          </cell>
          <cell r="K2537" t="str">
            <v>Approved by: Galen Shoemaker on 10/11/2013,  JOB IS NECESSARY TO SERVE INNOVATIVE OBJECTS. WILL INSTALL PREFAB SETTING FOR 3M ROOTS METER. TOTAL CONNECTED DEMAND IS 2380 CFH. THERE WILL BE NO CHARGE TO THE CUSTOMER. WILL USE 2in FLANGED CL34-1 REGULATOR WITH ORANGE CLOSING SPRING, RED/WHITE PILOT SPRING AND 3/8in ORIFICE TO DELIVER 2 PSIG. WILL USE 1in FISHER 289 H41 RELIEF SET AT 4 PSIG FOR OVERPRESSSURE PROTECTION. SYSTEM 0501-C-3  MAOP=8.5PSIG MOP=8PSIG</v>
          </cell>
          <cell r="L2537">
            <v>41563</v>
          </cell>
          <cell r="M2537">
            <v>41652</v>
          </cell>
          <cell r="N2537">
            <v>41654.604097222204</v>
          </cell>
          <cell r="P2537" t="str">
            <v>0501-044001  JASPER CTY/JOPLIN</v>
          </cell>
          <cell r="Q2537">
            <v>4103.8500000000004</v>
          </cell>
          <cell r="R2537">
            <v>9</v>
          </cell>
        </row>
        <row r="2538">
          <cell r="A2538" t="str">
            <v>005212</v>
          </cell>
          <cell r="B2538" t="str">
            <v>LDC 2</v>
          </cell>
          <cell r="D2538" t="str">
            <v>no</v>
          </cell>
          <cell r="E2538" t="str">
            <v>20506143421</v>
          </cell>
          <cell r="F2538" t="str">
            <v>F0657</v>
          </cell>
          <cell r="G2538" t="str">
            <v>Services - 2" &amp; larger</v>
          </cell>
          <cell r="H2538" t="str">
            <v>Abandon 2in Service 422 E Fountain</v>
          </cell>
          <cell r="I2538" t="str">
            <v>posted to CPR</v>
          </cell>
          <cell r="J2538" t="str">
            <v>Abandon 2in Service 422 E Fountain: Airport Drive: Replace Services 2&amp;quot; &amp; Larger - 3800 (42-385)</v>
          </cell>
          <cell r="K2538" t="str">
            <v>Approved by: Galen Shoemaker on 05/02/2014,  Abandon 59' - 2" PCS service that used to serve a master meter at 422 E Fountain. This service is no longer in use as all of the services in this addition have been renewed. Project Location: Main and Fountain; Pressure System: S-1; MOP: 18 psig; MAOP: 18 psig; Design; 58 psig; Test: 100 psig;</v>
          </cell>
          <cell r="L2538">
            <v>41712</v>
          </cell>
          <cell r="M2538">
            <v>41882</v>
          </cell>
          <cell r="N2538">
            <v>41890.702800925901</v>
          </cell>
          <cell r="P2538" t="str">
            <v>0506-044008  JASPER CTY/AIRPORT DRIVE</v>
          </cell>
          <cell r="Q2538">
            <v>2238.62</v>
          </cell>
          <cell r="R2538">
            <v>18</v>
          </cell>
        </row>
        <row r="2539">
          <cell r="A2539" t="str">
            <v>004148</v>
          </cell>
          <cell r="B2539" t="str">
            <v>LDC 2</v>
          </cell>
          <cell r="D2539" t="str">
            <v>yes</v>
          </cell>
          <cell r="E2539" t="str">
            <v>20501050377</v>
          </cell>
          <cell r="F2539" t="str">
            <v>F0517</v>
          </cell>
          <cell r="G2539" t="str">
            <v>SLRP - materials - contract</v>
          </cell>
          <cell r="H2539" t="str">
            <v>BWO MATERIAL SERV LINE REPL CONT</v>
          </cell>
          <cell r="I2539" t="str">
            <v>open</v>
          </cell>
          <cell r="J2539" t="str">
            <v>BWO MATERIAL SERV LINE REPL CONT</v>
          </cell>
          <cell r="K2539" t="str">
            <v>Service/Yard Line Replacement (SLRP): Contract Crew.  Service/yard line replacement - Material Charges Only  (Joplin - South Region)</v>
          </cell>
          <cell r="O2539">
            <v>41730</v>
          </cell>
          <cell r="P2539" t="str">
            <v>0501-044001  JASPER CTY/JOPLIN</v>
          </cell>
          <cell r="Q2539">
            <v>306454.31</v>
          </cell>
          <cell r="R2539">
            <v>105866</v>
          </cell>
        </row>
        <row r="2540">
          <cell r="A2540" t="str">
            <v>800116</v>
          </cell>
          <cell r="B2540" t="str">
            <v>LDC 2</v>
          </cell>
          <cell r="C2540" t="str">
            <v>03 - Bare Steel Replacement</v>
          </cell>
          <cell r="D2540" t="str">
            <v>yes</v>
          </cell>
          <cell r="F2540" t="str">
            <v>F0572</v>
          </cell>
          <cell r="G2540" t="str">
            <v>Main Replacement - ISRS (SW)</v>
          </cell>
          <cell r="H2540" t="str">
            <v>Webb City Phase 1C Grid Bare Steel</v>
          </cell>
          <cell r="I2540" t="str">
            <v>posted to CPR</v>
          </cell>
          <cell r="J2540" t="str">
            <v>Install 2405 Ft of 2 in and 2275 Ft of 4 in PL IP main for Webb City Ph 1C. Abandon 595 Ft of 3 in PBS, 2753 Ft of 3 in PCS, 80 Ft of 3 in PL, and 1243 Ft of 4 in PCS LP main.</v>
          </cell>
          <cell r="K2540" t="str">
            <v>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ell>
          <cell r="L2540">
            <v>42429</v>
          </cell>
          <cell r="M2540">
            <v>42643</v>
          </cell>
          <cell r="N2540">
            <v>42742.625185185199</v>
          </cell>
          <cell r="O2540">
            <v>42401</v>
          </cell>
          <cell r="P2540" t="str">
            <v>0502-044006  JASPER CTY/WEBB CITY</v>
          </cell>
          <cell r="Q2540">
            <v>510629.31</v>
          </cell>
          <cell r="R2540">
            <v>27454</v>
          </cell>
        </row>
        <row r="2541">
          <cell r="A2541" t="str">
            <v>005292</v>
          </cell>
          <cell r="B2541" t="str">
            <v>LDC 2</v>
          </cell>
          <cell r="D2541" t="str">
            <v>yes</v>
          </cell>
          <cell r="E2541" t="str">
            <v>20502143572</v>
          </cell>
          <cell r="F2541" t="str">
            <v>F0575</v>
          </cell>
          <cell r="G2541" t="str">
            <v>Replace steel &amp; plastic main</v>
          </cell>
          <cell r="H2541" t="str">
            <v>Tom Ave Abandon 2in PCS main</v>
          </cell>
          <cell r="I2541" t="str">
            <v>posted to CPR</v>
          </cell>
          <cell r="J2541" t="str">
            <v>Tom Ave Abandon 2in PCS main: Webb City: Replace Coated Steel &amp; Plastic Main - 3760 (34-396)</v>
          </cell>
          <cell r="K2541" t="str">
            <v>Approved by: Galen Shoemaker on 05/14/2014,  Abandon 152' of 2" PCS (W.O. 686445) due to contractor pulling out the 2' PCS out of the ground as well as pulling out the dresser during an excavation.  There are no services on the main and a building is being built over where the main was, so it will be abandoned.  Project Location: Tom Ave N of Cook St.  System: C-2.  MOP: 1.5 PSIG.  MAOP: 1.5 PSIG.  Design: 58 PSIG.  Test: 100 PSIG.</v>
          </cell>
          <cell r="L2541">
            <v>41744</v>
          </cell>
          <cell r="M2541">
            <v>41821</v>
          </cell>
          <cell r="N2541">
            <v>41953.447581018503</v>
          </cell>
          <cell r="P2541" t="str">
            <v>0502-044006  JASPER CTY/WEBB CITY</v>
          </cell>
          <cell r="Q2541">
            <v>948.27</v>
          </cell>
          <cell r="R2541">
            <v>222</v>
          </cell>
        </row>
        <row r="2542">
          <cell r="A2542" t="str">
            <v>012813</v>
          </cell>
          <cell r="B2542" t="str">
            <v>LDC 2</v>
          </cell>
          <cell r="D2542" t="str">
            <v>no</v>
          </cell>
          <cell r="F2542" t="str">
            <v>F0644</v>
          </cell>
          <cell r="G2542" t="str">
            <v>Meter &amp; Reg Settings 2" &amp; Lg (S)</v>
          </cell>
          <cell r="H2542" t="str">
            <v>MC Properties 3M Meter Set</v>
          </cell>
          <cell r="I2542" t="str">
            <v>in service</v>
          </cell>
          <cell r="J2542" t="str">
            <v>Install a 3M Rotary Meter Setting to serve a new commercial customer at 607 W Lexington Ave.  This is an existing building with an existing service line.  The building had been vacant for some time &amp; the original meter had been removed.</v>
          </cell>
          <cell r="K2542" t="str">
            <v>Maximo WO 15523895</v>
          </cell>
          <cell r="L2542">
            <v>42745</v>
          </cell>
          <cell r="O2542">
            <v>42736</v>
          </cell>
          <cell r="P2542" t="str">
            <v>0201-043001  JACKSON CTY/INDEPENDENCE</v>
          </cell>
          <cell r="Q2542">
            <v>1894.83</v>
          </cell>
          <cell r="R2542">
            <v>-54</v>
          </cell>
        </row>
        <row r="2543">
          <cell r="A2543" t="str">
            <v>007053</v>
          </cell>
          <cell r="B2543" t="str">
            <v>LDC 2</v>
          </cell>
          <cell r="D2543" t="str">
            <v>yes</v>
          </cell>
          <cell r="F2543" t="str">
            <v>F0604</v>
          </cell>
          <cell r="G2543" t="str">
            <v>Main Replacement - ISRS (S)</v>
          </cell>
          <cell r="H2543" t="str">
            <v>BWO Mains Installed Mtce -South Reg</v>
          </cell>
          <cell r="I2543" t="str">
            <v>open</v>
          </cell>
          <cell r="J2543" t="str">
            <v>BWO Mains Installed Mtce-South Region</v>
          </cell>
          <cell r="K2543" t="str">
            <v>For short replacements of main done on emergency basis - South Region</v>
          </cell>
          <cell r="O2543">
            <v>42278</v>
          </cell>
          <cell r="P2543" t="str">
            <v>0201-043001  JACKSON CTY/INDEPENDENCE</v>
          </cell>
          <cell r="Q2543">
            <v>289359.48</v>
          </cell>
          <cell r="R2543">
            <v>-2084.0135</v>
          </cell>
        </row>
        <row r="2544">
          <cell r="A2544" t="str">
            <v>004123</v>
          </cell>
          <cell r="B2544" t="str">
            <v>LDC 2</v>
          </cell>
          <cell r="D2544" t="str">
            <v>yes</v>
          </cell>
          <cell r="E2544" t="str">
            <v>20201132906</v>
          </cell>
          <cell r="F2544" t="str">
            <v>F0604</v>
          </cell>
          <cell r="G2544" t="str">
            <v>Main Replacement - ISRS (S)</v>
          </cell>
          <cell r="H2544" t="str">
            <v>20th &amp; Hawthorne Abandon 15'-2in PB</v>
          </cell>
          <cell r="I2544" t="str">
            <v>posted to CPR</v>
          </cell>
          <cell r="J2544" t="str">
            <v>20th &amp; Hawthorne Abandon 15'-2in PBS main: Independence: 20th and Hawthorne</v>
          </cell>
          <cell r="K2544" t="str">
            <v>Approved by: Ralph Janes on 08/20/2013,  Abandon 15' - 2in PBS main (WO# 14284) due to a hit line. Crew cut and capped main 8/14/13.</v>
          </cell>
          <cell r="L2544">
            <v>41500</v>
          </cell>
          <cell r="M2544">
            <v>41599</v>
          </cell>
          <cell r="N2544">
            <v>41603.3847453704</v>
          </cell>
          <cell r="P2544" t="str">
            <v>0201-043001  JACKSON CTY/INDEPENDENCE</v>
          </cell>
          <cell r="Q2544">
            <v>1406.57</v>
          </cell>
          <cell r="R2544">
            <v>38</v>
          </cell>
        </row>
        <row r="2545">
          <cell r="A2545" t="str">
            <v>008733</v>
          </cell>
          <cell r="B2545" t="str">
            <v>LDC 2</v>
          </cell>
          <cell r="D2545" t="str">
            <v>yes</v>
          </cell>
          <cell r="E2545" t="str">
            <v>20201155409</v>
          </cell>
          <cell r="F2545" t="str">
            <v>F0604</v>
          </cell>
          <cell r="G2545" t="str">
            <v>Main Replacement - ISRS (S)</v>
          </cell>
          <cell r="H2545" t="str">
            <v>Replace 6in bare steel main</v>
          </cell>
          <cell r="I2545" t="str">
            <v>posted to CPR</v>
          </cell>
          <cell r="J2545" t="str">
            <v>Replace 6in bare steel main: Independence: Replace Bare Steel Main - 3760 Safety Related (34-394)</v>
          </cell>
          <cell r="K2545" t="str">
            <v>Approved by: Kevin Driskell on 06/15/2015,  Replace and abandon 44' - 6" pbs main by installing 44' - 4" pe main.  CP 15-44 notes a test point is gone - We would rather replace this small piece of main while we have it exposed. (ISRS)</v>
          </cell>
          <cell r="L2545">
            <v>42544</v>
          </cell>
          <cell r="M2545">
            <v>42544</v>
          </cell>
          <cell r="N2545">
            <v>42649.699988425898</v>
          </cell>
          <cell r="O2545">
            <v>42522</v>
          </cell>
          <cell r="P2545" t="str">
            <v>0201-043001  JACKSON CTY/INDEPENDENCE</v>
          </cell>
          <cell r="Q2545">
            <v>67180.22</v>
          </cell>
          <cell r="R2545">
            <v>-375</v>
          </cell>
        </row>
        <row r="2546">
          <cell r="A2546" t="str">
            <v>008022</v>
          </cell>
          <cell r="B2546" t="str">
            <v>LDC 2</v>
          </cell>
          <cell r="D2546" t="str">
            <v>no</v>
          </cell>
          <cell r="F2546" t="str">
            <v>F0850</v>
          </cell>
          <cell r="G2546" t="str">
            <v>Facilities - MGE - Remodel Svc Cen</v>
          </cell>
          <cell r="H2546" t="str">
            <v>Sidewalk &amp; Curb Independence</v>
          </cell>
          <cell r="I2546" t="str">
            <v>posted to CPR</v>
          </cell>
          <cell r="J2546" t="str">
            <v>Tear out and replace a piece of sidewalk and a piece of curb at Independence</v>
          </cell>
          <cell r="K2546" t="str">
            <v>Complete 4-15 per Fac Mgmt</v>
          </cell>
          <cell r="L2546">
            <v>42117</v>
          </cell>
          <cell r="M2546">
            <v>42278</v>
          </cell>
          <cell r="N2546">
            <v>42317.383564814802</v>
          </cell>
          <cell r="O2546">
            <v>42156</v>
          </cell>
          <cell r="P2546" t="str">
            <v>0201-043001  JACKSON CTY/INDEPENDENCE</v>
          </cell>
          <cell r="Q2546">
            <v>3018.73</v>
          </cell>
          <cell r="R2546">
            <v>2665</v>
          </cell>
        </row>
        <row r="2547">
          <cell r="A2547" t="str">
            <v>004426</v>
          </cell>
          <cell r="B2547" t="str">
            <v>LDC 2</v>
          </cell>
          <cell r="D2547" t="str">
            <v>no</v>
          </cell>
          <cell r="E2547" t="str">
            <v>20302121676</v>
          </cell>
          <cell r="F2547" t="str">
            <v>F0644</v>
          </cell>
          <cell r="G2547" t="str">
            <v>Meter &amp; Reg Settings 2" &amp; Lg (S)</v>
          </cell>
          <cell r="H2547" t="str">
            <v>Meyer Tower Dryer 11M Meter Set</v>
          </cell>
          <cell r="I2547" t="str">
            <v>posted to CPR</v>
          </cell>
          <cell r="J2547" t="str">
            <v>Meyer Tower Dryer 11M Meter Set: Knobnoster: 305 E Lucas St</v>
          </cell>
          <cell r="K2547" t="str">
            <v>Approved by: Ralph Janes on 09/10/2012,  Build an 11M rotary meter set on premise number 74354 to serve the Myer Tower Dryer. An elevated pressure of 10 psig will be necessary. A main extension will be necessary and can be found on wo# 12-1678. Also a 4in PE service line will be necessary to account for the 14,177 cfh load. The service line can be found on wo# 12-1679.</v>
          </cell>
          <cell r="L2547">
            <v>41529</v>
          </cell>
          <cell r="M2547">
            <v>41600</v>
          </cell>
          <cell r="N2547">
            <v>41612.300162036998</v>
          </cell>
          <cell r="P2547" t="str">
            <v>0302-046003  JOHNSON CTY/KNOBNOSTER</v>
          </cell>
          <cell r="Q2547">
            <v>3793.96</v>
          </cell>
          <cell r="R2547">
            <v>95</v>
          </cell>
        </row>
        <row r="2548">
          <cell r="A2548" t="str">
            <v>008894</v>
          </cell>
          <cell r="B2548" t="str">
            <v>LDC 2</v>
          </cell>
          <cell r="D2548" t="str">
            <v>yes</v>
          </cell>
          <cell r="E2548" t="str">
            <v>20305155105</v>
          </cell>
          <cell r="F2548" t="str">
            <v>F0604</v>
          </cell>
          <cell r="G2548" t="str">
            <v>Main Replacement - ISRS (S)</v>
          </cell>
          <cell r="H2548" t="str">
            <v>Replace 3in pbs main</v>
          </cell>
          <cell r="I2548" t="str">
            <v>in service</v>
          </cell>
          <cell r="J2548" t="str">
            <v>Replace 3in pbs main: Sweet Springs: Replace Bare Steel Main - 3760 Safety Related (34-394)</v>
          </cell>
          <cell r="K2548" t="str">
            <v>Approved by: Joe Hampton on 07/07/2015,  Install 3,950' - 4" PE, 25' - 4" PCS and 50' - 2" PE main along US Highway 40 and Miller St. as part of the total town main replacement. 2,352' - 3" bare steel main will be abandoned on this work order. (ISRS)</v>
          </cell>
          <cell r="L2548">
            <v>42305</v>
          </cell>
          <cell r="O2548">
            <v>42370</v>
          </cell>
          <cell r="P2548" t="str">
            <v>0305-086001  SALINE CTY/SWEET SPRINGS</v>
          </cell>
          <cell r="Q2548">
            <v>216618.81</v>
          </cell>
          <cell r="R2548">
            <v>-5935.5</v>
          </cell>
        </row>
        <row r="2549">
          <cell r="A2549" t="str">
            <v>800525</v>
          </cell>
          <cell r="B2549" t="str">
            <v>LDC 2</v>
          </cell>
          <cell r="D2549" t="str">
            <v>no</v>
          </cell>
          <cell r="F2549" t="str">
            <v>F0672</v>
          </cell>
          <cell r="G2549" t="str">
            <v>Main Repl - Sys Reinforcement (S)</v>
          </cell>
          <cell r="H2549" t="str">
            <v>Continental Deli Main Reinf 6in Pls</v>
          </cell>
          <cell r="I2549" t="str">
            <v>in service</v>
          </cell>
          <cell r="J2549" t="str">
            <v>Install 4470ft - 6in plastic main extension and 170ft of 4in plastic service line to get enough volume to serve additional load at existing customer - Continental Deli.</v>
          </cell>
          <cell r="K2549" t="str">
            <v>They are replacing their existing boilers with new ones. Their total connected load will go from 56, cfh to 81, cfh.</v>
          </cell>
          <cell r="L2549">
            <v>42634</v>
          </cell>
          <cell r="O2549">
            <v>42614</v>
          </cell>
          <cell r="P2549" t="str">
            <v>0307-049001  LAFAYETTE CTY/CONCORDIA</v>
          </cell>
          <cell r="Q2549">
            <v>300713.86</v>
          </cell>
          <cell r="R2549">
            <v>-9473.5</v>
          </cell>
        </row>
        <row r="2550">
          <cell r="A2550" t="str">
            <v>006517</v>
          </cell>
          <cell r="B2550" t="str">
            <v>LDC 2</v>
          </cell>
          <cell r="D2550" t="str">
            <v>no</v>
          </cell>
          <cell r="E2550" t="str">
            <v>20312143818</v>
          </cell>
          <cell r="F2550" t="str">
            <v>F0676</v>
          </cell>
          <cell r="G2550" t="str">
            <v>Meter &amp; regulator settings - 2" &amp; l</v>
          </cell>
          <cell r="H2550" t="str">
            <v>Continental Fabrication-3M Mtr</v>
          </cell>
          <cell r="I2550" t="str">
            <v>posted to CPR</v>
          </cell>
          <cell r="J2550" t="str">
            <v>Continental Fabrication - new building: Carrollton: New Meter &amp; Reg Settings - 2&amp;quot; &amp; Larger 3820/3830 (33-382)</v>
          </cell>
          <cell r="K2550" t="str">
            <v>Approved by: Ralph Janes on 09/22/2014,  Install a 3M Roatry Meter setting to serve one new commercial customer.  Note:  200' - 1-1/4" pe service line to be installed on BWO.</v>
          </cell>
          <cell r="L2550">
            <v>41936</v>
          </cell>
          <cell r="M2550">
            <v>42248</v>
          </cell>
          <cell r="N2550">
            <v>42270.483541666697</v>
          </cell>
          <cell r="O2550">
            <v>41913</v>
          </cell>
          <cell r="P2550" t="str">
            <v>0312-014001  CARROLL CTY/CARROLLTON</v>
          </cell>
          <cell r="Q2550">
            <v>1486.29</v>
          </cell>
          <cell r="R2550">
            <v>-23</v>
          </cell>
        </row>
        <row r="2551">
          <cell r="A2551" t="str">
            <v>005214</v>
          </cell>
          <cell r="B2551" t="str">
            <v>LDC 2</v>
          </cell>
          <cell r="D2551" t="str">
            <v>no</v>
          </cell>
          <cell r="E2551" t="str">
            <v>20801143553</v>
          </cell>
          <cell r="F2551" t="str">
            <v>F0556</v>
          </cell>
          <cell r="G2551" t="str">
            <v>Tools, instruments &amp; equipment</v>
          </cell>
          <cell r="H2551" t="str">
            <v>Pur Tools Multi Clamp Kit-Neosho Cr</v>
          </cell>
          <cell r="I2551" t="str">
            <v>posted to CPR</v>
          </cell>
          <cell r="J2551" t="str">
            <v>Pur Tools Multi Clamp Kit-Neosho Crew: Monett: Purchase Tools, Instruments &amp; Equipment  3940 (37-366)</v>
          </cell>
          <cell r="K2551" t="str">
            <v>Approved by: Galen Shoemaker on 05/02/2014,  Purchase new 2"-4" Multiclamp Kit (Groebner Part# 575-0350) for electrofusion processes from Groebner for Neosho C&amp;M. No tools will be retired on this work order.</v>
          </cell>
          <cell r="L2551">
            <v>41912</v>
          </cell>
          <cell r="M2551">
            <v>42248</v>
          </cell>
          <cell r="N2551">
            <v>42270.482013888897</v>
          </cell>
          <cell r="O2551">
            <v>41883</v>
          </cell>
          <cell r="P2551" t="str">
            <v>0801-005001  BARRY CTY/MONETT</v>
          </cell>
          <cell r="Q2551">
            <v>940.53</v>
          </cell>
          <cell r="R2551">
            <v>1</v>
          </cell>
        </row>
        <row r="2552">
          <cell r="A2552" t="str">
            <v>004273</v>
          </cell>
          <cell r="B2552" t="str">
            <v>LDC 2</v>
          </cell>
          <cell r="D2552" t="str">
            <v>no</v>
          </cell>
          <cell r="E2552" t="str">
            <v>20801133053</v>
          </cell>
          <cell r="F2552" t="str">
            <v>F0495</v>
          </cell>
          <cell r="G2552" t="str">
            <v>General structures</v>
          </cell>
          <cell r="H2552" t="str">
            <v>Construct Soil Bin Monett Repub and</v>
          </cell>
          <cell r="I2552" t="str">
            <v>posted to CPR</v>
          </cell>
          <cell r="J2552" t="str">
            <v>Construct Soil Bin Monett Repub and El Do: Monett: Monett Repub and El Do shops</v>
          </cell>
          <cell r="K2552" t="str">
            <v>Approved by: Ray Wilson on 10/08/2013,  Construct concrete block soil bins for Monett, Republic, and El Dorado facilities. Monett's 18' x 18' bin for the amount of $8,339.73.  Republic's 18' x 18' bin for $7,725.30, and El Dorado's 18' x 14' bin for $6,949.11.  All bins were completed by 9/6/2013.  They will contain any excess spoil that does not fit back in the hole. The spoil will be stock piled in these bins and picked up and taken to a land fill as the bin becomes full. We are told to charge them to facilites (from the environmental dpt).</v>
          </cell>
          <cell r="L2552">
            <v>41523</v>
          </cell>
          <cell r="M2552">
            <v>41626</v>
          </cell>
          <cell r="N2552">
            <v>41630.722118055601</v>
          </cell>
          <cell r="P2552" t="str">
            <v>0801-005001  BARRY CTY/MONETT</v>
          </cell>
          <cell r="Q2552">
            <v>22569.09</v>
          </cell>
          <cell r="R2552">
            <v>0</v>
          </cell>
        </row>
        <row r="2553">
          <cell r="A2553" t="str">
            <v>004657</v>
          </cell>
          <cell r="B2553" t="str">
            <v>LDC 2</v>
          </cell>
          <cell r="D2553" t="str">
            <v>no</v>
          </cell>
          <cell r="E2553" t="str">
            <v>20801132799</v>
          </cell>
          <cell r="F2553" t="str">
            <v>F0495</v>
          </cell>
          <cell r="G2553" t="str">
            <v>General structures</v>
          </cell>
          <cell r="H2553" t="str">
            <v>Install floor tile, restroom</v>
          </cell>
          <cell r="I2553" t="str">
            <v>posted to CPR</v>
          </cell>
          <cell r="J2553" t="str">
            <v>Install floor tile, restroom: Monett: Monett</v>
          </cell>
          <cell r="K2553" t="str">
            <v>Approved by: Clarence Bussey on 07/09/2013,  Replace old carpeting in women's restroom with ceramic floor tile to eliminate potential for mold growth.</v>
          </cell>
          <cell r="L2553">
            <v>41608</v>
          </cell>
          <cell r="M2553">
            <v>41626</v>
          </cell>
          <cell r="N2553">
            <v>41630.722187500003</v>
          </cell>
          <cell r="P2553" t="str">
            <v>0801-005001  BARRY CTY/MONETT</v>
          </cell>
          <cell r="Q2553">
            <v>837.98</v>
          </cell>
          <cell r="R2553">
            <v>0</v>
          </cell>
        </row>
        <row r="2554">
          <cell r="A2554" t="str">
            <v>005274</v>
          </cell>
          <cell r="B2554" t="str">
            <v>LDC 2</v>
          </cell>
          <cell r="D2554" t="str">
            <v>yes</v>
          </cell>
          <cell r="E2554" t="str">
            <v>20809143500</v>
          </cell>
          <cell r="F2554" t="str">
            <v>F0592</v>
          </cell>
          <cell r="G2554" t="str">
            <v>Replace bare steel main - safety re</v>
          </cell>
          <cell r="H2554" t="str">
            <v>Hadley &amp; Rinker Repl PBS  w 895'-2p</v>
          </cell>
          <cell r="I2554" t="str">
            <v>posted to CPR</v>
          </cell>
          <cell r="J2554" t="str">
            <v>Hadley &amp; Rinker Repl PBS  w 895'-2pe;300'-
2in CS: Aurora: Replace Bare Steel Main - 3760 Safety Related (34-394)</v>
          </cell>
          <cell r="K2554" t="str">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ell>
          <cell r="L2554">
            <v>42341</v>
          </cell>
          <cell r="M2554">
            <v>42461</v>
          </cell>
          <cell r="N2554">
            <v>42528.471192129597</v>
          </cell>
          <cell r="O2554">
            <v>42339</v>
          </cell>
          <cell r="P2554" t="str">
            <v>0809-050003  LAWRENCE CTY/AURORA</v>
          </cell>
          <cell r="Q2554">
            <v>200339.35</v>
          </cell>
          <cell r="R2554">
            <v>601</v>
          </cell>
        </row>
        <row r="2555">
          <cell r="A2555" t="str">
            <v>800883</v>
          </cell>
          <cell r="B2555" t="str">
            <v>LDC 2</v>
          </cell>
          <cell r="D2555" t="str">
            <v>no</v>
          </cell>
          <cell r="F2555" t="str">
            <v>F0673</v>
          </cell>
          <cell r="G2555" t="str">
            <v>New Main Extensions (S)</v>
          </cell>
          <cell r="H2555" t="str">
            <v>Install 260F 2P Stansberry E 56th</v>
          </cell>
          <cell r="I2555" t="str">
            <v>in service</v>
          </cell>
          <cell r="J2555" t="str">
            <v>Install ~260 Ft of 2" PL IP Main to serve 1 residential lot.</v>
          </cell>
          <cell r="K2555" t="str">
            <v>Needs short main extension and Svc Line (WO: 15290290) Range (40 cfh), Furnace (100 cfh), Water Heater ( 50 cfh) Total = 200 CFH</v>
          </cell>
          <cell r="L2555">
            <v>42702</v>
          </cell>
          <cell r="O2555">
            <v>42705</v>
          </cell>
          <cell r="P2555" t="str">
            <v>0902-043025  JACKSON CTY/RAYTOWN</v>
          </cell>
          <cell r="Q2555">
            <v>18895.66</v>
          </cell>
          <cell r="R2555">
            <v>-690</v>
          </cell>
        </row>
        <row r="2556">
          <cell r="A2556" t="str">
            <v>006661</v>
          </cell>
          <cell r="B2556" t="str">
            <v>LDC 2</v>
          </cell>
          <cell r="D2556" t="str">
            <v>no</v>
          </cell>
          <cell r="E2556" t="str">
            <v>20903143772</v>
          </cell>
          <cell r="F2556" t="str">
            <v>F0602</v>
          </cell>
          <cell r="G2556" t="str">
            <v>New business</v>
          </cell>
          <cell r="H2556" t="str">
            <v>Parkway Med Plaza-2in PE Main Ext</v>
          </cell>
          <cell r="I2556" t="str">
            <v>posted to CPR</v>
          </cell>
          <cell r="J2556" t="str">
            <v>Parkway Medical Plaza - 2in PE Main Extension: Blue Springs: New Main Extension - Contractor Crews  3760 (33-380)</v>
          </cell>
          <cell r="K2556" t="str">
            <v>Approved by: Ralph Janes on 10/05/2014,  Install 1,195' - 2" pe main extension to serve 2 new commercial customers(2 meter header on a single service line for 1st building) (2 more commercial buildings are planned).  Note:  20' - 1-1/4" pe service line to be installed on BWO.</v>
          </cell>
          <cell r="L2556">
            <v>42023</v>
          </cell>
          <cell r="M2556">
            <v>42063</v>
          </cell>
          <cell r="N2556">
            <v>42160.5538310185</v>
          </cell>
          <cell r="O2556">
            <v>42036</v>
          </cell>
          <cell r="P2556" t="str">
            <v>0903-043026  JACKSON CTY/BLUE SPRINGS</v>
          </cell>
          <cell r="Q2556">
            <v>31995.52</v>
          </cell>
          <cell r="R2556">
            <v>-4500</v>
          </cell>
        </row>
        <row r="2557">
          <cell r="A2557" t="str">
            <v>004617</v>
          </cell>
          <cell r="B2557" t="str">
            <v>LDC 2</v>
          </cell>
          <cell r="D2557" t="str">
            <v>yes</v>
          </cell>
          <cell r="E2557" t="str">
            <v>20903132442</v>
          </cell>
          <cell r="F2557" t="str">
            <v>F0578</v>
          </cell>
          <cell r="G2557" t="str">
            <v>Street &amp; Highway Relocates ISRS (S)</v>
          </cell>
          <cell r="H2557" t="str">
            <v>Woods Chapel PH2 Reloc Castle to Wa</v>
          </cell>
          <cell r="I2557" t="str">
            <v>posted to CPR</v>
          </cell>
          <cell r="J2557" t="str">
            <v>Woods Chapel PH2 Reloc Castle to Walnut: Blue Springs: Woods Chapel from Castle to Walnut</v>
          </cell>
          <cell r="K2557" t="str">
            <v>Approved by: Rob Hack on 03/26/2013,  Public Improvement Project - Woods Chapel Road Phase 2 - from Castle to Walnut. Plans include widening WCR and a traffic circle at the intersection with Walnut, extending the existing box culvert at Lake Tapawingo, new storm sewers, water main, and force main. Relocate 40' - 6&amp;quot; PE, 1595' - 4&amp;quot; PE, 700' - 2&amp;quot; PE, and 1030' - 4&amp;quot; PCS with powercrete. Main to retire: 30' - 6&amp;quot; PCS (WO# 69-2060); 15' - 6&amp;quot; PCS (WO# 08-2742); 490' - 4&amp;quot; PCS (WO# 65-0784); 40' - 2&amp;quot; PCS (WO# 65-0783); 70' - 4&amp;quot; PE (WO# 85-1286); 120' - 2&amp;quot; PE (WO# 86-3022); 121' - 4&amp;quot; PE (WO# 02-4024); 8' - 2&amp;quot; PE (WO# 02-4024); 727' - 4&amp;quot; PCS (WO# 61-1495); 10' - 2&amp;quot; PE (WO# 77-3132); 587' - 4&amp;quot; PCS (WO# 77-3133); 126' - 4&amp;quot; PE (WO# 84-3617); 50' - 2&amp;quot; PE (WO# 84-4880); 792' - 4&amp;quot; PE (WO# 84-4881).  Price per ft = $62.49  (ISRS)</v>
          </cell>
          <cell r="L2557">
            <v>41506</v>
          </cell>
          <cell r="M2557">
            <v>41578</v>
          </cell>
          <cell r="N2557">
            <v>41584.396307870396</v>
          </cell>
          <cell r="P2557" t="str">
            <v>0903-043026  JACKSON CTY/BLUE SPRINGS</v>
          </cell>
          <cell r="Q2557">
            <v>303921.89</v>
          </cell>
          <cell r="R2557">
            <v>9380.7999999999993</v>
          </cell>
        </row>
        <row r="2558">
          <cell r="A2558" t="str">
            <v>800830</v>
          </cell>
          <cell r="B2558" t="str">
            <v>LDC 2</v>
          </cell>
          <cell r="C2558" t="str">
            <v>03 - Bare Steel Replacement</v>
          </cell>
          <cell r="D2558" t="str">
            <v>yes</v>
          </cell>
          <cell r="F2558" t="str">
            <v>F0604</v>
          </cell>
          <cell r="G2558" t="str">
            <v>Main Replacement - ISRS (S)</v>
          </cell>
          <cell r="H2558" t="str">
            <v>Repl w 1500F 2P Green &amp; Peyton</v>
          </cell>
          <cell r="I2558" t="str">
            <v>open</v>
          </cell>
          <cell r="J2558" t="str">
            <v>Install ~1500 Ft of 2" PL MP Main.</v>
          </cell>
          <cell r="K2558" t="str">
            <v>Abandon ~1482 Ft of 2" ST MP Main.  Total Service Tie-overs= 32.  Project Type: Strategic Main Replacement (MREPL).</v>
          </cell>
          <cell r="P2558" t="str">
            <v>0908-016007  CASS CTY/HARRISONVILLE N</v>
          </cell>
          <cell r="Q2558">
            <v>0</v>
          </cell>
          <cell r="R2558">
            <v>1482</v>
          </cell>
        </row>
        <row r="2559">
          <cell r="A2559" t="str">
            <v>800827</v>
          </cell>
          <cell r="B2559" t="str">
            <v>LDC 2</v>
          </cell>
          <cell r="C2559" t="str">
            <v>03 - Bare Steel Replacement</v>
          </cell>
          <cell r="D2559" t="str">
            <v>yes</v>
          </cell>
          <cell r="F2559" t="str">
            <v>F0604</v>
          </cell>
          <cell r="G2559" t="str">
            <v>Main Replacement - ISRS (S)</v>
          </cell>
          <cell r="H2559" t="str">
            <v>Repl w 2565F 2P Lee St &amp; Main</v>
          </cell>
          <cell r="I2559" t="str">
            <v>open</v>
          </cell>
          <cell r="J2559" t="str">
            <v>Install ~2565 Ft of 2" PL MP Main.</v>
          </cell>
          <cell r="K2559" t="str">
            <v>Abandon ~2280 Ft of 2" ST MP Main, ~458 Ft of 3" ST MP Main.  Total Service Tie-overs: 45.  Project Type: Main Replacement (MREPL) Strategic.</v>
          </cell>
          <cell r="P2559" t="str">
            <v>0908-016007  CASS CTY/HARRISONVILLE N</v>
          </cell>
          <cell r="Q2559">
            <v>0</v>
          </cell>
          <cell r="R2559">
            <v>2738</v>
          </cell>
        </row>
        <row r="2560">
          <cell r="A2560" t="str">
            <v>800086</v>
          </cell>
          <cell r="B2560" t="str">
            <v>LDC 2</v>
          </cell>
          <cell r="C2560" t="str">
            <v>03 - Bare Steel Replacement</v>
          </cell>
          <cell r="D2560" t="str">
            <v>yes</v>
          </cell>
          <cell r="F2560" t="str">
            <v>F0604</v>
          </cell>
          <cell r="G2560" t="str">
            <v>Main Replacement - ISRS (S)</v>
          </cell>
          <cell r="H2560" t="str">
            <v>Holden Grid Phase 2F</v>
          </cell>
          <cell r="I2560" t="str">
            <v>in service</v>
          </cell>
          <cell r="J2560" t="str">
            <v>Install 1815 Ft of 4 in and 5045 Ft of 2 in PL IP main for Holden Phase 2F. Abandon 3514 Ft of 2 in and 370 Ft of 6 in PBS, 210 Ft of 2 in and 560 Ft of 4 in PCS (Majority poorly coated), 311 Ft of 4 in PL and 10 Ft of 2 in PL LP.</v>
          </cell>
          <cell r="K2560" t="str">
            <v>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ell>
          <cell r="L2560">
            <v>42671</v>
          </cell>
          <cell r="O2560">
            <v>42644</v>
          </cell>
          <cell r="P2560" t="str">
            <v>0910-046008  JOHNSON CTY/HOLDEN</v>
          </cell>
          <cell r="Q2560">
            <v>540511.59</v>
          </cell>
          <cell r="R2560">
            <v>-10839</v>
          </cell>
        </row>
        <row r="2561">
          <cell r="A2561" t="str">
            <v>004231</v>
          </cell>
          <cell r="B2561" t="str">
            <v>LDC 2</v>
          </cell>
          <cell r="D2561" t="str">
            <v>no</v>
          </cell>
          <cell r="E2561" t="str">
            <v>20830143425</v>
          </cell>
          <cell r="F2561" t="str">
            <v>F0600</v>
          </cell>
          <cell r="G2561" t="str">
            <v>Station Rebuild &amp; Repl ISRS (N)</v>
          </cell>
          <cell r="H2561" t="str">
            <v>Pur Spare Pump For YZ Odorizer</v>
          </cell>
          <cell r="I2561" t="str">
            <v>posted to CPR</v>
          </cell>
          <cell r="J2561" t="str">
            <v>Pur Spare Pump For YZ Odorizer: Noel: SW City Supply Line TB</v>
          </cell>
          <cell r="K2561" t="str">
            <v>Approved by: Galen Shoemaker on 03/13/2014,  PURCHASE SPARE PUMP FOR YZ ODORIZER LOCATED SW CITY SUPPLY LINE TOWN BORDER ON MILL CREEK ROAD IN NOEL. WILL PURCHASE YZ 600B PUMP ASSEMBLY PART #BO-1034R FROM TOTAL SYSTEMS AND CONTROLS AT A COST OF $1500.00 PLUS TAXES AND SHIPPING, QUOTE 08120113.GL. PURCHASE WILL BE MADE ON HAL HOOFNAGLE'S P-CARD. INFO FOR TOTAL SYSTEMS AND CONTROLS: 5122 EAST 84TH PLAC, TULSA, OK. PHONE 918-481-9215.</v>
          </cell>
          <cell r="L2561">
            <v>41711</v>
          </cell>
          <cell r="M2561">
            <v>41852</v>
          </cell>
          <cell r="N2561">
            <v>41887.681793981501</v>
          </cell>
          <cell r="O2561">
            <v>41730</v>
          </cell>
          <cell r="P2561" t="str">
            <v>0830-059009  MCDONALD CTY/NOEL</v>
          </cell>
          <cell r="Q2561">
            <v>1580.38</v>
          </cell>
          <cell r="R2561">
            <v>0</v>
          </cell>
        </row>
        <row r="2562">
          <cell r="A2562" t="str">
            <v>800305</v>
          </cell>
          <cell r="B2562" t="str">
            <v>LDC 2</v>
          </cell>
          <cell r="D2562" t="str">
            <v>no</v>
          </cell>
          <cell r="F2562" t="str">
            <v>F0578</v>
          </cell>
          <cell r="G2562" t="str">
            <v>Street &amp; Highway Relocates ISRS (S)</v>
          </cell>
          <cell r="H2562" t="str">
            <v>Rel w 775 2P 4P Summit Fair</v>
          </cell>
          <cell r="I2562" t="str">
            <v>in service</v>
          </cell>
          <cell r="J2562" t="str">
            <v>Install ~240 Ft of 2" PL MP Main, ~535 Ft of 4" PL MP Main. Abandon ~315 Ft of 2" PL MP Main, ~340 Ft of 4" PL MP Main. Relocation for commercial development - Dick's Sporting Goods - Non Reimbursable</v>
          </cell>
          <cell r="K2562" t="str">
            <v>This is a relocation project at customers request due to new construction. Marketing has determined that there will be no cost to the builder for this relocation nor for the cost to serve the new business aspect - analysis attached.</v>
          </cell>
          <cell r="L2562">
            <v>42653</v>
          </cell>
          <cell r="O2562">
            <v>42644</v>
          </cell>
          <cell r="P2562" t="str">
            <v>0901-043021  JACKSON CTY/LEE'S SUMMIT OFFIC</v>
          </cell>
          <cell r="Q2562">
            <v>38379.85</v>
          </cell>
          <cell r="R2562">
            <v>-1071</v>
          </cell>
        </row>
        <row r="2563">
          <cell r="A2563" t="str">
            <v>800819</v>
          </cell>
          <cell r="B2563" t="str">
            <v>LDC 2</v>
          </cell>
          <cell r="D2563" t="str">
            <v>no</v>
          </cell>
          <cell r="F2563" t="str">
            <v>F0673</v>
          </cell>
          <cell r="G2563" t="str">
            <v>New Main Extensions (S)</v>
          </cell>
          <cell r="H2563" t="str">
            <v>Install 225F 2P Break Time</v>
          </cell>
          <cell r="I2563" t="str">
            <v>in service</v>
          </cell>
          <cell r="J2563" t="str">
            <v>Install ~225 Ft of 2" PL MP Main.</v>
          </cell>
          <cell r="K2563" t="str">
            <v>Install ~110 Ft of 1/2" PL Service.  This is a new business project to serve a new commercial business.</v>
          </cell>
          <cell r="L2563">
            <v>42643</v>
          </cell>
          <cell r="O2563">
            <v>42614</v>
          </cell>
          <cell r="P2563" t="str">
            <v>0901-043021  JACKSON CTY/LEE'S SUMMIT OFFIC</v>
          </cell>
          <cell r="Q2563">
            <v>7127.55</v>
          </cell>
          <cell r="R2563">
            <v>-660.75</v>
          </cell>
        </row>
        <row r="2564">
          <cell r="A2564" t="str">
            <v>800697</v>
          </cell>
          <cell r="B2564" t="str">
            <v>LDC 2</v>
          </cell>
          <cell r="C2564" t="str">
            <v>09 - Facility Relocation due to Civic Improvement</v>
          </cell>
          <cell r="D2564" t="str">
            <v>yes</v>
          </cell>
          <cell r="F2564" t="str">
            <v>F0578</v>
          </cell>
          <cell r="G2564" t="str">
            <v>Street &amp; Highway Relocates ISRS (S)</v>
          </cell>
          <cell r="H2564" t="str">
            <v>Reloc 1820F 2-4P Robin Hills</v>
          </cell>
          <cell r="I2564" t="str">
            <v>in service</v>
          </cell>
          <cell r="J2564" t="str">
            <v>Install ~650 Ft of 2" PL MP Main, ~1170 Ft of 4" PL MP Main.Abandon ~545 Ft of 2" ST MP Main, ~1150 Ft. of 4" ST MP Main.</v>
          </cell>
          <cell r="K2564" t="str">
            <v>Total Service Tie-overs= 29, Total Service Replace= 1 (74 Ft).  This relocation is part of a civic improvement project. City of Lee's Summit Project.</v>
          </cell>
          <cell r="L2564">
            <v>42745</v>
          </cell>
          <cell r="O2564">
            <v>42736</v>
          </cell>
          <cell r="P2564" t="str">
            <v>0901-043021  JACKSON CTY/LEE'S SUMMIT OFFIC</v>
          </cell>
          <cell r="Q2564">
            <v>233047.22</v>
          </cell>
          <cell r="R2564">
            <v>-3326</v>
          </cell>
        </row>
        <row r="2565">
          <cell r="A2565" t="str">
            <v>003901</v>
          </cell>
          <cell r="B2565" t="str">
            <v>LDC 2</v>
          </cell>
          <cell r="D2565" t="str">
            <v>yes</v>
          </cell>
          <cell r="E2565" t="str">
            <v>20901132867</v>
          </cell>
          <cell r="F2565" t="str">
            <v>F0580</v>
          </cell>
          <cell r="G2565" t="str">
            <v>Replace steel &amp; plastic main</v>
          </cell>
          <cell r="H2565" t="str">
            <v>940 NW Blue Pkwy Abandon 40'-2in PE</v>
          </cell>
          <cell r="I2565" t="str">
            <v>posted to CPR</v>
          </cell>
          <cell r="J2565" t="str">
            <v>940 NW Blue Pkwy Abandon 40'-2in PE main: Lees Summit: 940 NW Blue Parkway Pacific Dental</v>
          </cell>
          <cell r="K2565" t="str">
            <v>Approved by: Ralph Janes on 08/06/2013,  Main to abandon: 40' of 2IN PE main (wo# 08-2635) on WO# 13-2867. Abandonment needs to take place due to a conflict with a new commercial building being constructed. We will run a service on a BWO to serve 3 meters at the new commerical building.</v>
          </cell>
          <cell r="L2565">
            <v>41495</v>
          </cell>
          <cell r="M2565">
            <v>41599</v>
          </cell>
          <cell r="N2565">
            <v>41603.3847453704</v>
          </cell>
          <cell r="P2565" t="str">
            <v>0901-043021  JACKSON CTY/LEE'S SUMMIT OFFIC</v>
          </cell>
          <cell r="Q2565">
            <v>889.43</v>
          </cell>
          <cell r="R2565">
            <v>49</v>
          </cell>
        </row>
        <row r="2566">
          <cell r="A2566" t="str">
            <v>007785</v>
          </cell>
          <cell r="B2566" t="str">
            <v>LDC 2</v>
          </cell>
          <cell r="D2566" t="str">
            <v>no</v>
          </cell>
          <cell r="E2566" t="str">
            <v>21251155184</v>
          </cell>
          <cell r="F2566" t="str">
            <v>F0587</v>
          </cell>
          <cell r="G2566" t="str">
            <v>Services - 2" &amp; larger</v>
          </cell>
          <cell r="H2566" t="str">
            <v>11021 N Pomona Avenue Replace Servi</v>
          </cell>
          <cell r="I2566" t="str">
            <v>posted to CPR</v>
          </cell>
          <cell r="J2566" t="str">
            <v>11021 N Pomona Avenue Replace Service w 2in  250ft: Kansas City-Platte Co: Replace Services 2&amp;quot; &amp; Larger - 3800 (42-385)</v>
          </cell>
          <cell r="K2566" t="str">
            <v>Approved by: Ray Wilson on 03/02/2015,  Replace 8' of 1-1/4in PCS service with 250' of 2in PE due to increased load. New load 10,650CFH. This service will come off of existing 2" PCS main on Pomona WO# 81-0616.  Pressure System= S-524, MOP= 40PSIG, MAOP= 58PSIG. Economic evaluation covers cost of project.</v>
          </cell>
          <cell r="L2566">
            <v>42222</v>
          </cell>
          <cell r="M2566">
            <v>42460</v>
          </cell>
          <cell r="N2566">
            <v>42651.654814814799</v>
          </cell>
          <cell r="O2566">
            <v>42217</v>
          </cell>
          <cell r="P2566" t="str">
            <v>1251-075010  PLATTE CTY/KANSAS CITY NORTH</v>
          </cell>
          <cell r="Q2566">
            <v>3723.98</v>
          </cell>
          <cell r="R2566">
            <v>-814</v>
          </cell>
        </row>
        <row r="2567">
          <cell r="A2567" t="str">
            <v>007696</v>
          </cell>
          <cell r="B2567" t="str">
            <v>LDC 2</v>
          </cell>
          <cell r="D2567" t="str">
            <v>no</v>
          </cell>
          <cell r="E2567" t="str">
            <v>21260155138</v>
          </cell>
          <cell r="F2567" t="str">
            <v>F0610</v>
          </cell>
          <cell r="G2567" t="str">
            <v>New business</v>
          </cell>
          <cell r="H2567" t="str">
            <v>4in PE Main Reinforcement</v>
          </cell>
          <cell r="I2567" t="str">
            <v>posted to CPR</v>
          </cell>
          <cell r="J2567" t="str">
            <v>4in PE Main Reinforcement: Parkville: New Main Extension - Contractor Crews  3760 (33-380)</v>
          </cell>
          <cell r="K2567" t="str">
            <v>Approved by: Ray Wilson on 02/18/2015,  Extend 4'' PE main 220' for system reinforcement. Pressure system S-448 will be joined to Pressure System C-068.</v>
          </cell>
          <cell r="L2567">
            <v>42100</v>
          </cell>
          <cell r="M2567">
            <v>42248</v>
          </cell>
          <cell r="N2567">
            <v>42284.723356481503</v>
          </cell>
          <cell r="O2567">
            <v>42125</v>
          </cell>
          <cell r="P2567" t="str">
            <v>1260-075020  PLATTE CTY/PARKVILLE</v>
          </cell>
          <cell r="Q2567">
            <v>17734.78</v>
          </cell>
          <cell r="R2567">
            <v>-722.5</v>
          </cell>
        </row>
        <row r="2568">
          <cell r="A2568" t="str">
            <v>003862</v>
          </cell>
          <cell r="B2568" t="str">
            <v>LDC 2</v>
          </cell>
          <cell r="D2568" t="str">
            <v>yes</v>
          </cell>
          <cell r="E2568" t="str">
            <v>21260132748</v>
          </cell>
          <cell r="F2568" t="str">
            <v>F0665</v>
          </cell>
          <cell r="G2568" t="str">
            <v>Replace steel &amp; plastic main</v>
          </cell>
          <cell r="H2568" t="str">
            <v>Main St &amp; Mill Repl 8in w 720'-6in</v>
          </cell>
          <cell r="I2568" t="str">
            <v>posted to CPR</v>
          </cell>
          <cell r="J2568" t="str">
            <v>Main St &amp; Mill Repl 8in w 720'-6in PE main insert: Parkville: Main St and Mill</v>
          </cell>
          <cell r="K2568" t="str">
            <v>Approved by: Gary Williams on 07/08/2013,  Abandon 720' of 8in PCS (WO# 79-0718) due to leak. Insert 720' of 6in PE into existing 8in PCS.  Call Mark Barber (816) 472-3722 prior to start of work to schedule big meter truck.  Tie over two services.  COST PER FOOT $60.36</v>
          </cell>
          <cell r="L2568">
            <v>41486</v>
          </cell>
          <cell r="M2568">
            <v>41575</v>
          </cell>
          <cell r="N2568">
            <v>41576.418472222198</v>
          </cell>
          <cell r="P2568" t="str">
            <v>1260-075020  PLATTE CTY/PARKVILLE</v>
          </cell>
          <cell r="Q2568">
            <v>60442.84</v>
          </cell>
          <cell r="R2568">
            <v>2455.5</v>
          </cell>
        </row>
        <row r="2569">
          <cell r="A2569" t="str">
            <v>800136</v>
          </cell>
          <cell r="B2569" t="str">
            <v>LDC 2</v>
          </cell>
          <cell r="C2569" t="str">
            <v>03 - Bare Steel Replacement</v>
          </cell>
          <cell r="D2569" t="str">
            <v>yes</v>
          </cell>
          <cell r="F2569" t="str">
            <v>F0599</v>
          </cell>
          <cell r="G2569" t="str">
            <v>Main Replacement - ISRS (N)</v>
          </cell>
          <cell r="H2569" t="str">
            <v>FY16 Strat Grid-St. Joe's South 1B</v>
          </cell>
          <cell r="I2569" t="str">
            <v>in service</v>
          </cell>
          <cell r="J2569" t="str">
            <v>Install 1403 Ft of 2 in PL IP main for St Joe Phase 1B. Abandon 35 Ft of 4 in PL and 1603 of Ft 4 in ST LP main. Uprate 338 Ft of 2 in and 497 Ft of 4 in PL LP main to IP.FY16 Bare Steel Replacement Program.</v>
          </cell>
          <cell r="L2569">
            <v>42620</v>
          </cell>
          <cell r="O2569">
            <v>42614</v>
          </cell>
          <cell r="P2569" t="str">
            <v>1001-010001  ST. JOSEPH CITY/BUCHANAN</v>
          </cell>
          <cell r="Q2569">
            <v>86302.24</v>
          </cell>
          <cell r="R2569">
            <v>-306.64999999999998</v>
          </cell>
        </row>
        <row r="2570">
          <cell r="A2570" t="str">
            <v>009257</v>
          </cell>
          <cell r="B2570" t="str">
            <v>LDC 2</v>
          </cell>
          <cell r="D2570" t="str">
            <v>no</v>
          </cell>
          <cell r="E2570" t="str">
            <v>21001155530</v>
          </cell>
          <cell r="F2570" t="str">
            <v>F0639</v>
          </cell>
          <cell r="G2570" t="str">
            <v>EGM Equip-1st Time Installation</v>
          </cell>
          <cell r="H2570" t="str">
            <v>Install replacement Rotork Kixcel</v>
          </cell>
          <cell r="I2570" t="str">
            <v>in service</v>
          </cell>
          <cell r="J2570" t="str">
            <v>Install replacement Rotork Kixcel: St Joseph: Purchase P&amp;M Equipment  3780/3790/3850 (32-397)</v>
          </cell>
          <cell r="K2570" t="str">
            <v>Approved by: Gary Williams on 08/26/2015,  Replace existing Kixcel #SM-1000 controller due to damage beyond repair.</v>
          </cell>
          <cell r="L2570">
            <v>42460</v>
          </cell>
          <cell r="O2570">
            <v>42461</v>
          </cell>
          <cell r="P2570" t="str">
            <v>1001-010001  ST. JOSEPH CITY/BUCHANAN</v>
          </cell>
          <cell r="Q2570">
            <v>2371.64</v>
          </cell>
          <cell r="R2570">
            <v>1</v>
          </cell>
        </row>
        <row r="2571">
          <cell r="A2571" t="str">
            <v>006741</v>
          </cell>
          <cell r="B2571" t="str">
            <v>LDC 2</v>
          </cell>
          <cell r="D2571" t="str">
            <v>no</v>
          </cell>
          <cell r="E2571" t="str">
            <v>21001143895</v>
          </cell>
          <cell r="F2571" t="str">
            <v>F0639</v>
          </cell>
          <cell r="G2571" t="str">
            <v>EGM Equip-1st Time Installation</v>
          </cell>
          <cell r="H2571" t="str">
            <v>EGM - Herzog Railroad Svcs</v>
          </cell>
          <cell r="I2571" t="str">
            <v>in service</v>
          </cell>
          <cell r="J2571" t="str">
            <v>EGM - Herzog Railroad Svcs: St Joseph: Install EGM Equipment - First Time Installation  3850 (32-403)</v>
          </cell>
          <cell r="K2571" t="str">
            <v>Approved by: Rob Kitterman on 10/23/2014,  Install Mercury MiniMax-AT-PT (S/N: 13098681) with CNI-2 on Roots 7M meter no 01022732 to monitor daily gas usage of this transportation customer. Customer will reimburse company actual cost for EGM installation not to exceed $5,445.00, which should be coded to account 1072. ATTENTION: Plant &amp; Property Accounting, EGM work order, turn off A&amp;G indicator.</v>
          </cell>
          <cell r="L2571">
            <v>42443</v>
          </cell>
          <cell r="O2571">
            <v>42430</v>
          </cell>
          <cell r="P2571" t="str">
            <v>1001-010001  ST. JOSEPH CITY/BUCHANAN</v>
          </cell>
          <cell r="Q2571">
            <v>-7.25</v>
          </cell>
          <cell r="R2571">
            <v>35</v>
          </cell>
        </row>
        <row r="2572">
          <cell r="A2572" t="str">
            <v>008970</v>
          </cell>
          <cell r="B2572" t="str">
            <v>LDC 2</v>
          </cell>
          <cell r="D2572" t="str">
            <v>yes</v>
          </cell>
          <cell r="E2572" t="str">
            <v>21205155455</v>
          </cell>
          <cell r="F2572" t="str">
            <v>F0547</v>
          </cell>
          <cell r="G2572" t="str">
            <v>Street &amp; Highway Relocates ISRS (N)</v>
          </cell>
          <cell r="H2572" t="str">
            <v>12in PCS Relocation</v>
          </cell>
          <cell r="I2572" t="str">
            <v>posted to CPR</v>
          </cell>
          <cell r="J2572" t="str">
            <v>12in PCS Relocation: Pleasant Valley: Relocate for Street &amp; Highway-Public Improvements (44-388)</v>
          </cell>
          <cell r="K2572" t="str">
            <v>Approved by: Joe Hampton on 07/22/2015,  Relocate 1,150' of 12'' PCS due to public improvement. Existing 12'' PCS is in conflict with proposed grade. Main will need to be lowered approximately 4' and moved to the west about 6'. Coordinate with engineering before construction. ISRS</v>
          </cell>
          <cell r="L2572">
            <v>42354</v>
          </cell>
          <cell r="M2572">
            <v>42429</v>
          </cell>
          <cell r="N2572">
            <v>42496.560821759304</v>
          </cell>
          <cell r="O2572">
            <v>42370</v>
          </cell>
          <cell r="P2572" t="str">
            <v>1205-020012  CLAY CTY/CTY OF PLEASANT VALLE</v>
          </cell>
          <cell r="Q2572">
            <v>224779.41</v>
          </cell>
          <cell r="R2572">
            <v>1180</v>
          </cell>
        </row>
        <row r="2573">
          <cell r="A2573" t="str">
            <v>800046</v>
          </cell>
          <cell r="B2573" t="str">
            <v>LDC 2</v>
          </cell>
          <cell r="C2573" t="str">
            <v>03 - Bare Steel Replacement</v>
          </cell>
          <cell r="D2573" t="str">
            <v>yes</v>
          </cell>
          <cell r="F2573" t="str">
            <v>F0599</v>
          </cell>
          <cell r="G2573" t="str">
            <v>Main Replacement - ISRS (N)</v>
          </cell>
          <cell r="H2573" t="str">
            <v>Liberty - Grid Phase B</v>
          </cell>
          <cell r="I2573" t="str">
            <v>in service</v>
          </cell>
          <cell r="J2573" t="str">
            <v>Install 2660 ft of 2 in PL IP main - Liberty Grid Ph B. Abandon 118 ft of 4 in PL, 1870 ft of 3 in PBS,1377 ft of 4 in PBS, and 961 ft of 4 in PCS (Majority installed Prior to 1966) LP main.</v>
          </cell>
          <cell r="K2573" t="str">
            <v>Uprate ~290' of 2'' PL LP, ~620' of 3'' PL LP, and ~990' of 4'' PL LP main to IP on N Missouri St, McCarty St, and N Water St.  Main is being replaced as part of the FY 2016 Bare Steel Main Replacement Program.</v>
          </cell>
          <cell r="L2573">
            <v>42674</v>
          </cell>
          <cell r="O2573">
            <v>42644</v>
          </cell>
          <cell r="P2573" t="str">
            <v>1207-020001  CLAY CTY/LIBERTY</v>
          </cell>
          <cell r="Q2573">
            <v>260550.95</v>
          </cell>
          <cell r="R2573">
            <v>-1366.75</v>
          </cell>
        </row>
        <row r="2574">
          <cell r="A2574" t="str">
            <v>006437</v>
          </cell>
          <cell r="B2574" t="str">
            <v>LDC 2</v>
          </cell>
          <cell r="D2574" t="str">
            <v>no</v>
          </cell>
          <cell r="E2574" t="str">
            <v>21207143732</v>
          </cell>
          <cell r="F2574" t="str">
            <v>F0547</v>
          </cell>
          <cell r="G2574" t="str">
            <v>Street &amp; Highway Relocates ISRS (N)</v>
          </cell>
          <cell r="H2574" t="str">
            <v>6in and 2in Relocation with thin fi</v>
          </cell>
          <cell r="I2574" t="str">
            <v>cancelled</v>
          </cell>
          <cell r="J2574" t="str">
            <v>6in and 2in Relocation with thin film: Liberty: Relocate for Street &amp; Highway-Public Improvements (44-388)</v>
          </cell>
          <cell r="K2574" t="str">
            <v>Approved by: Kevin Driskell on 09/15/2014,  ISRS  Relocate 6in and 2in PCS due to public improvement project.  Replace main around two storm boxes.  No services to tie-over.</v>
          </cell>
          <cell r="N2574">
            <v>42044</v>
          </cell>
          <cell r="P2574" t="str">
            <v>1207-020001  CLAY CTY/LIBERTY</v>
          </cell>
          <cell r="Q2574">
            <v>0</v>
          </cell>
          <cell r="R2574">
            <v>-314</v>
          </cell>
        </row>
        <row r="2575">
          <cell r="A2575" t="str">
            <v>004383</v>
          </cell>
          <cell r="B2575" t="str">
            <v>LDC 2</v>
          </cell>
          <cell r="D2575" t="str">
            <v>yes</v>
          </cell>
          <cell r="E2575" t="str">
            <v>21207132954</v>
          </cell>
          <cell r="F2575" t="str">
            <v>F0636</v>
          </cell>
          <cell r="G2575" t="str">
            <v>Replace steel &amp; plastic main</v>
          </cell>
          <cell r="H2575" t="str">
            <v>215 Shrader Abandon 75'-2in PCS; 16</v>
          </cell>
          <cell r="I2575" t="str">
            <v>posted to CPR</v>
          </cell>
          <cell r="J2575" t="str">
            <v>215 Shrader Abandon 75'-2in PCS; 16'-2in PE: Liberty: 215 Shrader</v>
          </cell>
          <cell r="K2575" t="str">
            <v>Approved by: Kevin Driskell on 09/18/2013,  Abandon 75' of 2in PCS (WO 61-4375) and 16' of 2in PE (WO 97-4376) to eliminate isolated steel. Gas main was no longer needed. Work done by MGE crew.  PRESSURE SYSTEM C-002, MOP=1#, MAOP 1#</v>
          </cell>
          <cell r="L2575">
            <v>41442</v>
          </cell>
          <cell r="M2575">
            <v>41626</v>
          </cell>
          <cell r="N2575">
            <v>41627.582905092597</v>
          </cell>
          <cell r="P2575" t="str">
            <v>1207-020001  CLAY CTY/LIBERTY</v>
          </cell>
          <cell r="Q2575">
            <v>1317.09</v>
          </cell>
          <cell r="R2575">
            <v>97</v>
          </cell>
        </row>
        <row r="2576">
          <cell r="A2576" t="str">
            <v>013253</v>
          </cell>
          <cell r="B2576" t="str">
            <v>LDC 2</v>
          </cell>
          <cell r="D2576" t="str">
            <v>no</v>
          </cell>
          <cell r="F2576" t="str">
            <v>F0644</v>
          </cell>
          <cell r="G2576" t="str">
            <v>Meter &amp; Reg Settings 2" &amp; Lg (S)</v>
          </cell>
          <cell r="H2576" t="str">
            <v>Ray Pec HS Home Ec 16M Meter Set</v>
          </cell>
          <cell r="I2576" t="str">
            <v>open</v>
          </cell>
          <cell r="J2576" t="str">
            <v>Pay Pec HS is building a new Home Ec addition and wants a separate service line and meter set.  Install a new 16M Rotary Meter Set</v>
          </cell>
          <cell r="P2576" t="str">
            <v>0923-016020  CASS CTY/PECULIAR</v>
          </cell>
          <cell r="Q2576">
            <v>1330.51</v>
          </cell>
          <cell r="R2576">
            <v>-79</v>
          </cell>
        </row>
        <row r="2577">
          <cell r="A2577" t="str">
            <v>800755</v>
          </cell>
          <cell r="B2577" t="str">
            <v>LDC 2</v>
          </cell>
          <cell r="D2577" t="str">
            <v>no</v>
          </cell>
          <cell r="F2577" t="str">
            <v>F0672</v>
          </cell>
          <cell r="G2577" t="str">
            <v>Main Repl - Sys Reinforcement (S)</v>
          </cell>
          <cell r="H2577" t="str">
            <v>Rein 1355F 4P Sni-A-Bar to Buckner</v>
          </cell>
          <cell r="I2577" t="str">
            <v>in service</v>
          </cell>
          <cell r="J2577" t="str">
            <v>Install ~1355 Ft of 4" PL Main to Reinforce Intermediate Pressure System C-005.</v>
          </cell>
          <cell r="K2577" t="str">
            <v>This Reinforcement is necessary due to pressure dropping from 25 psig to 7 psig on 01-08-15 on Ryan Rd. System Planning directed us to install this reinforcement.</v>
          </cell>
          <cell r="L2577">
            <v>42660</v>
          </cell>
          <cell r="O2577">
            <v>42644</v>
          </cell>
          <cell r="P2577" t="str">
            <v>0925-043035  JACKSON CTY/GRAIN VALLEY</v>
          </cell>
          <cell r="Q2577">
            <v>35793.910000000003</v>
          </cell>
          <cell r="R2577">
            <v>-2704.5</v>
          </cell>
        </row>
        <row r="2578">
          <cell r="A2578" t="str">
            <v>005019</v>
          </cell>
          <cell r="B2578" t="str">
            <v>LDC 2</v>
          </cell>
          <cell r="D2578" t="str">
            <v>no</v>
          </cell>
          <cell r="E2578" t="str">
            <v>20925143498</v>
          </cell>
          <cell r="F2578" t="str">
            <v>F0676</v>
          </cell>
          <cell r="G2578" t="str">
            <v>Meter &amp; regulator settings - 2" &amp; l</v>
          </cell>
          <cell r="H2578" t="str">
            <v>Heartland Energy Group 3M mtr set</v>
          </cell>
          <cell r="I2578" t="str">
            <v>posted to CPR</v>
          </cell>
          <cell r="J2578" t="str">
            <v>Heartland Energy Group 3M mtr set: Grain Valley: New Meter &amp; Reg Settings - 2in &amp; Larger 3820/3830 (33-382)</v>
          </cell>
          <cell r="K2578" t="str">
            <v>Approved by: Ralph Janes on 04/16/2014,  Replace existing 800 class diaphragm meter setting by installing a new 3M Rotary meter setting due to additional commercial customer load.  Existing 1/2" pe service line to be replaced by a 1-1/4" pe service line on BWO.</v>
          </cell>
          <cell r="L2578">
            <v>41949</v>
          </cell>
          <cell r="M2578">
            <v>42003</v>
          </cell>
          <cell r="N2578">
            <v>42012.551215277803</v>
          </cell>
          <cell r="O2578">
            <v>41944</v>
          </cell>
          <cell r="P2578" t="str">
            <v>0925-043035  JACKSON CTY/GRAIN VALLEY</v>
          </cell>
          <cell r="Q2578">
            <v>2056.1999999999998</v>
          </cell>
          <cell r="R2578">
            <v>-39.5</v>
          </cell>
        </row>
        <row r="2579">
          <cell r="A2579" t="str">
            <v>004652</v>
          </cell>
          <cell r="B2579" t="str">
            <v>LDC 2</v>
          </cell>
          <cell r="D2579" t="str">
            <v>no</v>
          </cell>
          <cell r="E2579" t="str">
            <v>21904133052</v>
          </cell>
          <cell r="F2579" t="str">
            <v>F0577</v>
          </cell>
          <cell r="G2579" t="str">
            <v>ERT Purchases</v>
          </cell>
          <cell r="H2579" t="str">
            <v>Pur 300 RKW 18 Tooth Itron Erts</v>
          </cell>
          <cell r="I2579" t="str">
            <v>posted to CPR</v>
          </cell>
          <cell r="J2579" t="str">
            <v>Pur 300 RKW 18 Tooth Itron Erts: Kansas City CORP: Meter Shop Central Plant</v>
          </cell>
          <cell r="K2579" t="str">
            <v>Approved by: Rob Kitterman on 10/11/2013,  Purchase Rockwell/Sensus 300 18Tooth Erts. (5198380)</v>
          </cell>
          <cell r="L2579">
            <v>41654</v>
          </cell>
          <cell r="M2579">
            <v>41670</v>
          </cell>
          <cell r="N2579">
            <v>41677.509756944397</v>
          </cell>
          <cell r="P2579" t="str">
            <v>1904-043050  JACKSON CTY/KC</v>
          </cell>
          <cell r="Q2579">
            <v>13684.8</v>
          </cell>
          <cell r="R2579">
            <v>0</v>
          </cell>
        </row>
        <row r="2580">
          <cell r="A2580" t="str">
            <v>801074</v>
          </cell>
          <cell r="B2580" t="str">
            <v>LDC 2</v>
          </cell>
          <cell r="D2580" t="str">
            <v>no</v>
          </cell>
          <cell r="F2580" t="str">
            <v>F0647</v>
          </cell>
          <cell r="G2580" t="str">
            <v>New Main Extensions (N)</v>
          </cell>
          <cell r="H2580" t="str">
            <v>Inst 510F 4P Costco Wholesale</v>
          </cell>
          <cell r="I2580" t="str">
            <v>open</v>
          </cell>
          <cell r="J2580" t="str">
            <v>Install ~510ft of 4in PL IP main and ~200ft of 2in PL IP service to serve new commercial customer.</v>
          </cell>
          <cell r="K2580" t="str">
            <v>New Premise CFH 11,855 CFH with elevated pressure of 5 PSIG extend main &amp; service line. Opens mid Jan 2017.</v>
          </cell>
          <cell r="P2580" t="str">
            <v>1271-020036  CLAY CTY/KANSAS CITY</v>
          </cell>
          <cell r="Q2580">
            <v>3528.51</v>
          </cell>
          <cell r="R2580">
            <v>-2057</v>
          </cell>
        </row>
        <row r="2581">
          <cell r="A2581" t="str">
            <v>004010</v>
          </cell>
          <cell r="B2581" t="str">
            <v>LDC 2</v>
          </cell>
          <cell r="D2581" t="str">
            <v>no</v>
          </cell>
          <cell r="E2581" t="str">
            <v>21271132974</v>
          </cell>
          <cell r="F2581" t="str">
            <v>F0498</v>
          </cell>
          <cell r="G2581" t="str">
            <v>Other relocates</v>
          </cell>
          <cell r="H2581" t="str">
            <v>N 112TH &amp; N Jefferson Repl 2in PE d</v>
          </cell>
          <cell r="I2581" t="str">
            <v>posted to CPR</v>
          </cell>
          <cell r="J2581" t="str">
            <v>N 112TH &amp; N Jefferson Repl 2in PE damaged: Kansas City-Clay Co: N JEFFERSON ST &amp; NW 112TH ST</v>
          </cell>
          <cell r="K2581" t="str">
            <v>Approved by: Kevin Driskell on 09/26/2013,  LAYING 120 FT-4in PE &amp; 5 FT-2in PE DUE TO HIT MAIN AT INTERSECTION OF N JEFFERSON ST (N SUMMIT ST-old) and NW 112TH ST; WHILE EXCAVATING EXTENSION OF NEW STREET.  COST PER FOOT=$43.75  CUSTOMER TO CONTRIBUTE $5,468.72 BEFORE START OF PROJECT.</v>
          </cell>
          <cell r="L2581">
            <v>41557</v>
          </cell>
          <cell r="M2581">
            <v>41600</v>
          </cell>
          <cell r="N2581">
            <v>41603.384687500002</v>
          </cell>
          <cell r="P2581" t="str">
            <v>1271-020036  CLAY CTY/KANSAS CITY</v>
          </cell>
          <cell r="Q2581">
            <v>0</v>
          </cell>
          <cell r="R2581">
            <v>592</v>
          </cell>
        </row>
        <row r="2582">
          <cell r="A2582" t="str">
            <v>005730</v>
          </cell>
          <cell r="B2582" t="str">
            <v>LDC 2</v>
          </cell>
          <cell r="D2582" t="str">
            <v>no</v>
          </cell>
          <cell r="E2582" t="str">
            <v>21207143665</v>
          </cell>
          <cell r="F2582" t="str">
            <v>F0547</v>
          </cell>
          <cell r="G2582" t="str">
            <v>Street &amp; Highway Relocates ISRS (N)</v>
          </cell>
          <cell r="H2582" t="str">
            <v>Wilshire Reloc PCS w 60'-2in;30'-4i</v>
          </cell>
          <cell r="I2582" t="str">
            <v>in service</v>
          </cell>
          <cell r="J2582" t="str">
            <v>Wilshire Reloc PCS w 60'-2in;30'-4in CS main: Liberty: Relocate for Street &amp; Highway-Public Improvements (44-388)</v>
          </cell>
          <cell r="K2582" t="str">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 This WO on hold per WOES 9-14 - will be cancelled in PP - AMM</v>
          </cell>
          <cell r="L2582">
            <v>41891</v>
          </cell>
          <cell r="O2582">
            <v>41883</v>
          </cell>
          <cell r="P2582" t="str">
            <v>1207-020001  CLAY CTY/LIBERTY</v>
          </cell>
          <cell r="Q2582">
            <v>163.99</v>
          </cell>
          <cell r="R2582">
            <v>20</v>
          </cell>
        </row>
        <row r="2583">
          <cell r="A2583" t="str">
            <v>006363</v>
          </cell>
          <cell r="B2583" t="str">
            <v>LDC 2</v>
          </cell>
          <cell r="D2583" t="str">
            <v>no</v>
          </cell>
          <cell r="F2583" t="str">
            <v>F0588</v>
          </cell>
          <cell r="G2583" t="str">
            <v>Transportation &amp; power operated equ</v>
          </cell>
          <cell r="H2583" t="str">
            <v>Retire 1 Trlr, 2 Bkhoe 12 Trucks</v>
          </cell>
          <cell r="I2583" t="str">
            <v>posted to CPR</v>
          </cell>
          <cell r="J2583" t="str">
            <v>Retire MGE Units, 12361,12362,12434,12513,12516,12525,12526,12532,12596,21270,21291, 54201, 54234, 65599, unable to locate 54201 and 21270 on books</v>
          </cell>
          <cell r="K2583" t="str">
            <v>Per Sharon 4-8-15, unit 12525 will be included in retirements for WO 008088.</v>
          </cell>
          <cell r="L2583">
            <v>42004</v>
          </cell>
          <cell r="M2583">
            <v>42004</v>
          </cell>
          <cell r="N2583">
            <v>42193.495023148098</v>
          </cell>
          <cell r="P2583" t="str">
            <v>0401-043001  JACKSON CTY/INDEPENDENCE</v>
          </cell>
          <cell r="Q2583">
            <v>14087.08</v>
          </cell>
          <cell r="R2583">
            <v>12</v>
          </cell>
        </row>
        <row r="2584">
          <cell r="A2584" t="str">
            <v>801184</v>
          </cell>
          <cell r="B2584" t="str">
            <v>LDC 2</v>
          </cell>
          <cell r="C2584" t="str">
            <v>03 - Bare Steel Replacement</v>
          </cell>
          <cell r="D2584" t="str">
            <v>yes</v>
          </cell>
          <cell r="F2584" t="str">
            <v>F0599</v>
          </cell>
          <cell r="G2584" t="str">
            <v>Main Replacement - ISRS (N)</v>
          </cell>
          <cell r="H2584" t="str">
            <v>Repl 540F 12S Bannister &amp; BlueRiver</v>
          </cell>
          <cell r="I2584" t="str">
            <v>open</v>
          </cell>
          <cell r="J2584" t="str">
            <v>Install ~540 ft of 12 in ST FP main at Blue River Rd, south of Bannister.</v>
          </cell>
          <cell r="K2584" t="str">
            <v>Abandon ~500 ft of 10 in ST FP main at above location.  No services to tie-over.  This main is being replaced due to a leak.</v>
          </cell>
          <cell r="P2584" t="str">
            <v>0401-043050  JACKSON CTY/KC</v>
          </cell>
          <cell r="Q2584">
            <v>0</v>
          </cell>
          <cell r="R2584">
            <v>504</v>
          </cell>
        </row>
        <row r="2585">
          <cell r="A2585" t="str">
            <v>800797</v>
          </cell>
          <cell r="B2585" t="str">
            <v>LDC 2</v>
          </cell>
          <cell r="C2585" t="str">
            <v>01 - Cast Iron Strategic Replacement</v>
          </cell>
          <cell r="D2585" t="str">
            <v>yes</v>
          </cell>
          <cell r="F2585" t="str">
            <v>F0599</v>
          </cell>
          <cell r="G2585" t="str">
            <v>Main Replacement - ISRS (N)</v>
          </cell>
          <cell r="H2585" t="str">
            <v>Repl 8070F 2-4P Dunn Park Phase 1G</v>
          </cell>
          <cell r="I2585" t="str">
            <v>open</v>
          </cell>
          <cell r="J2585" t="str">
            <v>Install 7,690 Ft of 2 in PL IP main and 380 Ft of 4 in PL IP main on Meyer Blvd, Prospect Ave, Wabash Ave, Olive St, Park Ave, Brooklyn Ave, The Paseo Ave, 67th ST, 67th Ter and 69th St.</v>
          </cell>
          <cell r="K2585" t="str">
            <v>Abandon 1672 Ft of 10 in CI LP Main, 982 Ft of 4 in CI LP Main, 6178 Ft of 6 in CI LP Main, 1435 Ft of 8 in CI LP Main, 6 Ft of 6 in PL LP Main, 61 Ft of 12 in ST LP Main, 427 Ft of 4 in ST LP Main, 16 Ft of 6 in ST IP Main, 10 Ft of 6 in ST LP Main, 34 Ft of 8 in ST LP Main at the above location.  Total Service Tie-over =123; Total Service Replacement =35; Total Service Abandoned =24;  This main is being abandoned as part of FY17 Cast Iron Replacement Program.</v>
          </cell>
          <cell r="P2585" t="str">
            <v>0401-043050  JACKSON CTY/KC</v>
          </cell>
          <cell r="Q2585">
            <v>0</v>
          </cell>
          <cell r="R2585">
            <v>10821</v>
          </cell>
        </row>
        <row r="2586">
          <cell r="A2586" t="str">
            <v>012933</v>
          </cell>
          <cell r="B2586" t="str">
            <v>LDC 2</v>
          </cell>
          <cell r="D2586" t="str">
            <v>no</v>
          </cell>
          <cell r="F2586" t="str">
            <v>F1636</v>
          </cell>
          <cell r="G2586" t="str">
            <v>MGE Misc Furniture</v>
          </cell>
          <cell r="H2586" t="str">
            <v>Ergonomic Furniture Purchases MGE</v>
          </cell>
          <cell r="I2586" t="str">
            <v>open</v>
          </cell>
          <cell r="J2586" t="str">
            <v>Purchase ergonomic furniture for employees as addressed at MGE</v>
          </cell>
          <cell r="P2586" t="str">
            <v>0401-043050  JACKSON CTY/KC</v>
          </cell>
          <cell r="Q2586">
            <v>3724.74</v>
          </cell>
          <cell r="R2586">
            <v>3</v>
          </cell>
        </row>
        <row r="2587">
          <cell r="A2587" t="str">
            <v>800867</v>
          </cell>
          <cell r="B2587" t="str">
            <v>LDC 2</v>
          </cell>
          <cell r="C2587" t="str">
            <v>03 - Bare Steel Replacement</v>
          </cell>
          <cell r="D2587" t="str">
            <v>yes</v>
          </cell>
          <cell r="F2587" t="str">
            <v>F0599</v>
          </cell>
          <cell r="G2587" t="str">
            <v>Main Replacement - ISRS (N)</v>
          </cell>
          <cell r="H2587" t="str">
            <v>Repl w 3574F 2-4P Marlborough Ph 4</v>
          </cell>
          <cell r="I2587" t="str">
            <v>open</v>
          </cell>
          <cell r="J2587" t="str">
            <v>Install ~ 914 ft of 2 in PL MP main and ~2660 ft of 4 in PL MP main on Troost, 79th Ter, and 78th Ter.</v>
          </cell>
          <cell r="K2587" t="str">
            <v>Retire ~ 8 ft of 2 in PL MP main, ~20 ft of 4 in PL MP main, ~748 ft of 2 in ST MP main, ~1448 ft of 3 in ST MP main, ~1598 ft of 4 in ST MP main at above locations. Total Service Tie-over = 33; Total Service Replace = 6.  THIS WORK ORDER REPLACES WO 15151233 - 800585.</v>
          </cell>
          <cell r="P2587" t="str">
            <v>0401-043050  JACKSON CTY/KC</v>
          </cell>
          <cell r="Q2587">
            <v>193858.11</v>
          </cell>
          <cell r="R2587">
            <v>-3353.5</v>
          </cell>
        </row>
        <row r="2588">
          <cell r="A2588" t="str">
            <v>800497</v>
          </cell>
          <cell r="B2588" t="str">
            <v>LDC 2</v>
          </cell>
          <cell r="C2588" t="str">
            <v>03 - Bare Steel Replacement</v>
          </cell>
          <cell r="D2588" t="str">
            <v>yes</v>
          </cell>
          <cell r="F2588" t="str">
            <v>F0599</v>
          </cell>
          <cell r="G2588" t="str">
            <v>Main Replacement - ISRS (N)</v>
          </cell>
          <cell r="H2588" t="str">
            <v>Repl w/ 6280F 2P 63rd &amp; 55th St 1B</v>
          </cell>
          <cell r="I2588" t="str">
            <v>open</v>
          </cell>
          <cell r="J2588" t="str">
            <v>Install 6280 Ft of 2 in PL IP main for 63rd and 55th St Cast Iron Replacement Phase 1B. Abandon 2887 Ft of 4 in CI, 2130 Ft of 6 in CI, 1308 Ft of 8 in CI, 1264 Ft of 3 in ST and 218 Ft of 6 in ST LP main.</v>
          </cell>
          <cell r="K2588" t="str">
            <v>FY16 Bare Steel and Cast iron replacement program.</v>
          </cell>
          <cell r="P2588" t="str">
            <v>0401-043050  JACKSON CTY/KC</v>
          </cell>
          <cell r="Q2588">
            <v>0</v>
          </cell>
          <cell r="R2588">
            <v>7807</v>
          </cell>
        </row>
        <row r="2589">
          <cell r="A2589" t="str">
            <v>800551</v>
          </cell>
          <cell r="B2589" t="str">
            <v>LDC 2</v>
          </cell>
          <cell r="C2589" t="str">
            <v>01 - Cast Iron Strategic Replacement</v>
          </cell>
          <cell r="D2589" t="str">
            <v>yes</v>
          </cell>
          <cell r="F2589" t="str">
            <v>F0599</v>
          </cell>
          <cell r="G2589" t="str">
            <v>Main Replacement - ISRS (N)</v>
          </cell>
          <cell r="H2589" t="str">
            <v>Repl w/ 2962F 2P 58th and Olive</v>
          </cell>
          <cell r="I2589" t="str">
            <v>in service</v>
          </cell>
          <cell r="J2589" t="str">
            <v>Install 2,926ft of 2in PL IP main at Olive Street from 55th to 59th. Abandon 773ft of 3in steel LP main, 262ft if 4in CI LP, 2,059ft of 6in CI LP main, 7ft of 6in PE LP main, and 302ft of 8in CI LP main.</v>
          </cell>
          <cell r="K2589" t="str">
            <v>Main being replaced as part of the FY16 cast iron replacement program.</v>
          </cell>
          <cell r="L2589">
            <v>42674</v>
          </cell>
          <cell r="O2589">
            <v>42644</v>
          </cell>
          <cell r="P2589" t="str">
            <v>0401-043050  JACKSON CTY/KC</v>
          </cell>
          <cell r="Q2589">
            <v>274470.07</v>
          </cell>
          <cell r="R2589">
            <v>-2980</v>
          </cell>
        </row>
        <row r="2590">
          <cell r="A2590" t="str">
            <v>011299</v>
          </cell>
          <cell r="B2590" t="str">
            <v>LDC 2</v>
          </cell>
          <cell r="D2590" t="str">
            <v>no</v>
          </cell>
          <cell r="F2590" t="str">
            <v>F0639</v>
          </cell>
          <cell r="G2590" t="str">
            <v>EGM Equip-1st Time Installation</v>
          </cell>
          <cell r="H2590" t="str">
            <v>Purch Crystal Test Gauge I&amp;C</v>
          </cell>
          <cell r="I2590" t="str">
            <v>posted to CPR</v>
          </cell>
          <cell r="J2590" t="str">
            <v>Purchase Crystal 300PSI Test Gauge used to calibrate pressure transducers in I&amp;C elec gas measuring equipment.  To be used in I&amp;C Tech Room at Central Plant.</v>
          </cell>
          <cell r="K2590" t="str">
            <v>Per Matt Taylor 5-19-16</v>
          </cell>
          <cell r="L2590">
            <v>42614</v>
          </cell>
          <cell r="M2590">
            <v>42735</v>
          </cell>
          <cell r="N2590">
            <v>42772.668599536999</v>
          </cell>
          <cell r="O2590">
            <v>42614</v>
          </cell>
          <cell r="P2590" t="str">
            <v>0401-043050  JACKSON CTY/KC</v>
          </cell>
          <cell r="Q2590">
            <v>1175.31</v>
          </cell>
          <cell r="R2590">
            <v>2</v>
          </cell>
        </row>
        <row r="2591">
          <cell r="A2591" t="str">
            <v>010892</v>
          </cell>
          <cell r="B2591" t="str">
            <v>LDC 2</v>
          </cell>
          <cell r="D2591" t="str">
            <v>no</v>
          </cell>
          <cell r="F2591" t="str">
            <v>F0639</v>
          </cell>
          <cell r="G2591" t="str">
            <v>EGM Equip-1st Time Installation</v>
          </cell>
          <cell r="H2591" t="str">
            <v>EGM - Burns and McDonnell Eng</v>
          </cell>
          <cell r="I2591" t="str">
            <v>open</v>
          </cell>
          <cell r="J2591" t="str">
            <v>Purchase Mini AT-PT for Burns and McDonnell Engineering, 9450 Ward Parkway, Kansas City, MO 64114. Equipment is new. Customer will reimburse company actual cost for EGM installation not to exceed $5,445.00.</v>
          </cell>
          <cell r="P2591" t="str">
            <v>0401-043050  JACKSON CTY/KC</v>
          </cell>
          <cell r="Q2591">
            <v>2479.13</v>
          </cell>
          <cell r="R2591">
            <v>9</v>
          </cell>
        </row>
        <row r="2592">
          <cell r="A2592" t="str">
            <v>010889</v>
          </cell>
          <cell r="B2592" t="str">
            <v>LDC 2</v>
          </cell>
          <cell r="D2592" t="str">
            <v>no</v>
          </cell>
          <cell r="F2592" t="str">
            <v>F0639</v>
          </cell>
          <cell r="G2592" t="str">
            <v>EGM Equip-1st Time Installation</v>
          </cell>
          <cell r="H2592" t="str">
            <v>EGM - Purch Equip for Char Partners</v>
          </cell>
          <cell r="I2592" t="str">
            <v>open</v>
          </cell>
          <cell r="J2592" t="str">
            <v>Purchase 1 Mini-Max-AT-PT for Char Partners, LLC in Kansas City. This is new equipment. Customer will reimburse company actual cost for EGM installation not to exceed $5,445.00.</v>
          </cell>
          <cell r="P2592" t="str">
            <v>0401-043050  JACKSON CTY/KC</v>
          </cell>
          <cell r="Q2592">
            <v>1945.32</v>
          </cell>
          <cell r="R2592">
            <v>9</v>
          </cell>
        </row>
        <row r="2593">
          <cell r="A2593" t="str">
            <v>008811</v>
          </cell>
          <cell r="B2593" t="str">
            <v>LDC 2</v>
          </cell>
          <cell r="D2593" t="str">
            <v>no</v>
          </cell>
          <cell r="F2593" t="str">
            <v>F0950</v>
          </cell>
          <cell r="G2593" t="str">
            <v>Power Operated Eq - MGE</v>
          </cell>
          <cell r="H2593" t="str">
            <v>Purchase (2) pipe trailers. MGE*</v>
          </cell>
          <cell r="I2593" t="str">
            <v>posted to CPR</v>
          </cell>
          <cell r="J2593" t="str">
            <v>Purchase (2) 2" plastic pipe trailers for new crews MGE*</v>
          </cell>
          <cell r="L2593">
            <v>42277</v>
          </cell>
          <cell r="M2593">
            <v>42401</v>
          </cell>
          <cell r="N2593">
            <v>42467.490763888898</v>
          </cell>
          <cell r="O2593">
            <v>42248</v>
          </cell>
          <cell r="P2593" t="str">
            <v>0401-043050  JACKSON CTY/KC</v>
          </cell>
          <cell r="Q2593">
            <v>24993.16</v>
          </cell>
          <cell r="R2593">
            <v>2</v>
          </cell>
        </row>
        <row r="2594">
          <cell r="A2594" t="str">
            <v>007391</v>
          </cell>
          <cell r="B2594" t="str">
            <v>LDC 2</v>
          </cell>
          <cell r="D2594" t="str">
            <v>no</v>
          </cell>
          <cell r="E2594" t="str">
            <v>20401143979</v>
          </cell>
          <cell r="F2594" t="str">
            <v>F0498</v>
          </cell>
          <cell r="G2594" t="str">
            <v>Other relocates</v>
          </cell>
          <cell r="H2594" t="str">
            <v>Burns &amp; McDonnell 6in Relocate CJ</v>
          </cell>
          <cell r="I2594" t="str">
            <v>posted to CPR</v>
          </cell>
          <cell r="J2594" t="str">
            <v>Burns and McDonnell 6inch Relocation: Kansas City-Jackson: Other Relocates - Per Customer Request - Contribution (44-390)</v>
          </cell>
          <cell r="K2594" t="str">
            <v>Approved by: Kevin Driskell on 12/17/2014,  Relocate 50' of 6" steel main for installation of new storm box (private development). REIMBURSABLE - contract sent to customer per WOES 12-18-14.</v>
          </cell>
          <cell r="L2594">
            <v>42033</v>
          </cell>
          <cell r="M2594">
            <v>42248</v>
          </cell>
          <cell r="N2594">
            <v>42317.4835648148</v>
          </cell>
          <cell r="O2594">
            <v>42036</v>
          </cell>
          <cell r="P2594" t="str">
            <v>0401-043050  JACKSON CTY/KC</v>
          </cell>
          <cell r="Q2594">
            <v>2901</v>
          </cell>
          <cell r="R2594">
            <v>59.75</v>
          </cell>
        </row>
        <row r="2595">
          <cell r="A2595" t="str">
            <v>007315</v>
          </cell>
          <cell r="B2595" t="str">
            <v>LDC 2</v>
          </cell>
          <cell r="D2595" t="str">
            <v>no</v>
          </cell>
          <cell r="E2595" t="str">
            <v>20401143832</v>
          </cell>
          <cell r="F2595" t="str">
            <v>F0610</v>
          </cell>
          <cell r="G2595" t="str">
            <v>New business</v>
          </cell>
          <cell r="H2595" t="str">
            <v>NOAA Bldg main extension</v>
          </cell>
          <cell r="I2595" t="str">
            <v>posted to CPR</v>
          </cell>
          <cell r="J2595" t="str">
            <v>NOAA Bldg extension
: Kansas City-Jackson: New Main Extension - Contractor Crews  3760 (33-380)</v>
          </cell>
          <cell r="K2595" t="str">
            <v>Approved by: Steve Holcomb on 01/05/2015,  Extend 6'' and 4'' PE main to serve NOAA building. Install 510' of 6'' PE and 2505' of 4'' PE. Economical evaluation covers cost.</v>
          </cell>
          <cell r="L2595">
            <v>42137</v>
          </cell>
          <cell r="M2595">
            <v>42613</v>
          </cell>
          <cell r="N2595">
            <v>42620.4195833333</v>
          </cell>
          <cell r="O2595">
            <v>42217</v>
          </cell>
          <cell r="P2595" t="str">
            <v>0401-043050  JACKSON CTY/KC</v>
          </cell>
          <cell r="Q2595">
            <v>42102.76</v>
          </cell>
          <cell r="R2595">
            <v>-6385.5</v>
          </cell>
        </row>
        <row r="2596">
          <cell r="A2596" t="str">
            <v>007310</v>
          </cell>
          <cell r="B2596" t="str">
            <v>LDC 2</v>
          </cell>
          <cell r="D2596" t="str">
            <v>yes</v>
          </cell>
          <cell r="E2596" t="str">
            <v>20401144041</v>
          </cell>
          <cell r="F2596" t="str">
            <v>F0636</v>
          </cell>
          <cell r="G2596" t="str">
            <v>Replace steel &amp; plastic main</v>
          </cell>
          <cell r="H2596" t="str">
            <v>Glen Arbor and Red Bridge Main Repl</v>
          </cell>
          <cell r="I2596" t="str">
            <v>posted to CPR</v>
          </cell>
          <cell r="J2596" t="str">
            <v>Glen Arbor and Red Bridge Main Replacement: Kansas City-Jackson: Replace Coated Steel &amp; Plastic Main - 3760 (34-396)</v>
          </cell>
          <cell r="K2596" t="str">
            <v>Approved by: Kevin Driskell on 12/22/2014,  Replace 136' of 2'' PBS with 2" PCS due to 3rd party damage. Pressure System C-25, MOP=25PSIG, MAOP=25PSIG.</v>
          </cell>
          <cell r="L2596">
            <v>41955</v>
          </cell>
          <cell r="M2596">
            <v>42035</v>
          </cell>
          <cell r="N2596">
            <v>42131.408240740697</v>
          </cell>
          <cell r="O2596">
            <v>42005</v>
          </cell>
          <cell r="P2596" t="str">
            <v>0401-043050  JACKSON CTY/KC</v>
          </cell>
          <cell r="Q2596">
            <v>4814.91</v>
          </cell>
          <cell r="R2596">
            <v>118</v>
          </cell>
        </row>
        <row r="2597">
          <cell r="A2597" t="str">
            <v>005294</v>
          </cell>
          <cell r="B2597" t="str">
            <v>LDC 2</v>
          </cell>
          <cell r="D2597" t="str">
            <v>yes</v>
          </cell>
          <cell r="E2597" t="str">
            <v>20401143555</v>
          </cell>
          <cell r="F2597" t="str">
            <v>F0599</v>
          </cell>
          <cell r="G2597" t="str">
            <v>Main Replacement - ISRS (N)</v>
          </cell>
          <cell r="H2597" t="str">
            <v>18th &amp; Lydia Repl CI w 8'-6in PE ma</v>
          </cell>
          <cell r="I2597" t="str">
            <v>posted to CPR</v>
          </cell>
          <cell r="J2597" t="str">
            <v>18th &amp; Lydia Repl CI w 8'-6in PE main: Kansas City-Jackson: Replace Cast Iron Main - 3760 Safety Related (34-412)</v>
          </cell>
          <cell r="K2597" t="str">
            <v>Approved by: Kevin Driskell on 05/13/2014,  6'' CI was replaced with 6'' PE. Pressure system - C-001</v>
          </cell>
          <cell r="L2597">
            <v>41744</v>
          </cell>
          <cell r="M2597">
            <v>41821</v>
          </cell>
          <cell r="N2597">
            <v>41936.625844907401</v>
          </cell>
          <cell r="O2597">
            <v>41852</v>
          </cell>
          <cell r="P2597" t="str">
            <v>0401-043050  JACKSON CTY/KC</v>
          </cell>
          <cell r="Q2597">
            <v>2275.34</v>
          </cell>
          <cell r="R2597">
            <v>60.6</v>
          </cell>
        </row>
        <row r="2598">
          <cell r="A2598" t="str">
            <v>003960</v>
          </cell>
          <cell r="B2598" t="str">
            <v>LDC 2</v>
          </cell>
          <cell r="D2598" t="str">
            <v>no</v>
          </cell>
          <cell r="E2598" t="str">
            <v>20401122017</v>
          </cell>
          <cell r="F2598" t="str">
            <v>F0660</v>
          </cell>
          <cell r="G2598" t="str">
            <v>Meter &amp; Reg Settings 2" &amp; Lg (N)</v>
          </cell>
          <cell r="H2598" t="str">
            <v>CANCEL Cargill 56M Roots</v>
          </cell>
          <cell r="I2598" t="str">
            <v>cancelled</v>
          </cell>
          <cell r="J2598" t="str">
            <v>Cargill 56M Roots: Kansas City-Jackson: 2334 ROCHESTER.  CANCELED REPLACED WITH WO 133241</v>
          </cell>
          <cell r="K2598" t="str">
            <v>Approved by: Mike Fornelli on 01/14/2013,  This work is necessary to install a 56M Roots meter to serve one new commercial customer.We will install two 3in 441-57s regulators in a worker monitor set. The worker will be set at 15psig with the monitor set at 17psig with a 1in 289H warning relief set at 16.5psig for a connected load of 225,000cfh.</v>
          </cell>
          <cell r="N2598">
            <v>41711</v>
          </cell>
          <cell r="P2598" t="str">
            <v>0401-043050  JACKSON CTY/KC</v>
          </cell>
          <cell r="Q2598">
            <v>0</v>
          </cell>
          <cell r="R2598">
            <v>47</v>
          </cell>
        </row>
        <row r="2599">
          <cell r="A2599" t="str">
            <v>004279</v>
          </cell>
          <cell r="B2599" t="str">
            <v>LDC 2</v>
          </cell>
          <cell r="D2599" t="str">
            <v>yes</v>
          </cell>
          <cell r="E2599" t="str">
            <v>20401050377</v>
          </cell>
          <cell r="F2599" t="str">
            <v>F0586</v>
          </cell>
          <cell r="G2599" t="str">
            <v>SLRP - materials - contract</v>
          </cell>
          <cell r="H2599" t="str">
            <v>BWO SERVICE LINE MATERIAL CONTRACTO</v>
          </cell>
          <cell r="I2599" t="str">
            <v>open</v>
          </cell>
          <cell r="J2599" t="str">
            <v>BWO SERVICE LINE MATERIAL CONTRACTOR SLRP</v>
          </cell>
          <cell r="K2599" t="str">
            <v>Service/Yard Line Replacement (SLRP): Contract Crew.  Service/yard line replacement - Material Charges Only  (Kansas City - Central Region)</v>
          </cell>
          <cell r="O2599">
            <v>41730</v>
          </cell>
          <cell r="P2599" t="str">
            <v>0401-043050  JACKSON CTY/KC</v>
          </cell>
          <cell r="Q2599">
            <v>2340481.38</v>
          </cell>
          <cell r="R2599">
            <v>1639181.1</v>
          </cell>
        </row>
        <row r="2600">
          <cell r="A2600" t="str">
            <v>004634</v>
          </cell>
          <cell r="B2600" t="str">
            <v>LDC 2</v>
          </cell>
          <cell r="D2600" t="str">
            <v>no</v>
          </cell>
          <cell r="E2600" t="str">
            <v>20401121812</v>
          </cell>
          <cell r="F2600" t="str">
            <v>F0639</v>
          </cell>
          <cell r="G2600" t="str">
            <v>EGM Equip-1st Time Installation</v>
          </cell>
          <cell r="H2600" t="str">
            <v>EGM - Newmark Care Center</v>
          </cell>
          <cell r="I2600" t="str">
            <v>posted to CPR</v>
          </cell>
          <cell r="J2600" t="str">
            <v>EGM - Newmark Care Center: Kansas City-Jackson: 11221 N Nashua Drive, Kansas City, Mo. 64155</v>
          </cell>
          <cell r="K2600" t="str">
            <v>Approved by: Rob Kitterman on 10/12/2012,  Install Mercury MiniMax-AT-T on Roots 5M meter no 08599118 to monitor daily gas usage of this transportation customer. Customer will reimburse company actual cost for EGM installation not to exceed $5,445.00, which should be coded to account 1072. ATTENTION: Plant &amp; Property Accounting, EGM work order, turn off A&amp;G indicator.</v>
          </cell>
          <cell r="L2600">
            <v>41548</v>
          </cell>
          <cell r="M2600">
            <v>41575</v>
          </cell>
          <cell r="N2600">
            <v>41576.418587963002</v>
          </cell>
          <cell r="P2600" t="str">
            <v>0401-043050  JACKSON CTY/KC</v>
          </cell>
          <cell r="Q2600">
            <v>0</v>
          </cell>
          <cell r="R2600">
            <v>4</v>
          </cell>
        </row>
        <row r="2601">
          <cell r="A2601" t="str">
            <v>003899</v>
          </cell>
          <cell r="B2601" t="str">
            <v>LDC 2</v>
          </cell>
          <cell r="D2601" t="str">
            <v>no</v>
          </cell>
          <cell r="E2601" t="str">
            <v>20401132998</v>
          </cell>
          <cell r="F2601" t="str">
            <v>F0597</v>
          </cell>
          <cell r="G2601" t="str">
            <v>Other</v>
          </cell>
          <cell r="H2601" t="str">
            <v>Replace EGM - Superior Metal Treatm</v>
          </cell>
          <cell r="I2601" t="str">
            <v>posted to CPR</v>
          </cell>
          <cell r="J2601" t="str">
            <v>Replace EGM - Superior Metal Treatment: Kansas City-Jackson: 2540 Indiana - KC, MO 64127</v>
          </cell>
          <cell r="K2601" t="str">
            <v>Approved by: Rob Kitterman on 09/24/2013,  Replace EGM equipment at Superior Metal Treatment with a new Mini-AT-PT, S/N: 12016935, &amp; Messenger Modem. Existing meter is a Roots 23M rotary meter# 00732428. The existing equipment was damaged beyond repair. Retire the damaged Mini-PT, S/N: 9707250 on this WO as well.</v>
          </cell>
          <cell r="L2601">
            <v>41578</v>
          </cell>
          <cell r="M2601">
            <v>41662</v>
          </cell>
          <cell r="N2601">
            <v>41676.633402777799</v>
          </cell>
          <cell r="P2601" t="str">
            <v>0401-043050  JACKSON CTY/KC</v>
          </cell>
          <cell r="Q2601">
            <v>3341.45</v>
          </cell>
          <cell r="R2601">
            <v>8</v>
          </cell>
        </row>
        <row r="2602">
          <cell r="A2602" t="str">
            <v>004380</v>
          </cell>
          <cell r="B2602" t="str">
            <v>LDC 2</v>
          </cell>
          <cell r="D2602" t="str">
            <v>yes</v>
          </cell>
          <cell r="E2602" t="str">
            <v>20401132618</v>
          </cell>
          <cell r="F2602" t="str">
            <v>F0578</v>
          </cell>
          <cell r="G2602" t="str">
            <v>Street &amp; Highway Relocates ISRS (S)</v>
          </cell>
          <cell r="H2602" t="str">
            <v>Build DRS 100 LS Rd and GV Lateral</v>
          </cell>
          <cell r="I2602" t="str">
            <v>in service</v>
          </cell>
          <cell r="J2602" t="str">
            <v>Build DRS 100 LS Rd and GV Lateral: Kansas City-Jackson: Lees Summit Rd and 52nd St</v>
          </cell>
          <cell r="K2602" t="str">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ell>
          <cell r="L2602">
            <v>41798</v>
          </cell>
          <cell r="O2602">
            <v>41913</v>
          </cell>
          <cell r="P2602" t="str">
            <v>0401-043050  JACKSON CTY/KC</v>
          </cell>
          <cell r="Q2602">
            <v>54539.22</v>
          </cell>
          <cell r="R2602">
            <v>321</v>
          </cell>
        </row>
        <row r="2603">
          <cell r="A2603" t="str">
            <v>010911</v>
          </cell>
          <cell r="B2603" t="str">
            <v>LDC 2</v>
          </cell>
          <cell r="D2603" t="str">
            <v>no</v>
          </cell>
          <cell r="F2603" t="str">
            <v>F0734</v>
          </cell>
          <cell r="G2603" t="str">
            <v>Allowed Time Ops MGE</v>
          </cell>
          <cell r="H2603" t="str">
            <v>C&amp;M LDC2 Tools</v>
          </cell>
          <cell r="I2603" t="str">
            <v>open</v>
          </cell>
          <cell r="J2603" t="str">
            <v>C&amp;M LDC2 Tools</v>
          </cell>
          <cell r="P2603" t="str">
            <v>Expense Only</v>
          </cell>
          <cell r="Q2603">
            <v>439419.94</v>
          </cell>
          <cell r="R2603">
            <v>359437</v>
          </cell>
        </row>
        <row r="2604">
          <cell r="A2604" t="str">
            <v>004780</v>
          </cell>
          <cell r="B2604" t="str">
            <v>LDC 2</v>
          </cell>
          <cell r="D2604" t="str">
            <v>no</v>
          </cell>
          <cell r="E2604" t="str">
            <v>21844043100</v>
          </cell>
          <cell r="F2604" t="str">
            <v>F0683</v>
          </cell>
          <cell r="G2604" t="str">
            <v>Operation of Svc Ctrs MGE</v>
          </cell>
          <cell r="H2604" t="str">
            <v>Operation of Svc Ctrs MGE</v>
          </cell>
          <cell r="I2604" t="str">
            <v>open</v>
          </cell>
          <cell r="J2604" t="str">
            <v>Operation of Svc Ctrs MGE</v>
          </cell>
          <cell r="P2604" t="str">
            <v>Expense Only</v>
          </cell>
          <cell r="Q2604">
            <v>1660902.17</v>
          </cell>
          <cell r="R2604">
            <v>752820</v>
          </cell>
        </row>
        <row r="2605">
          <cell r="A2605" t="str">
            <v>004771</v>
          </cell>
          <cell r="B2605" t="str">
            <v>LDC 2</v>
          </cell>
          <cell r="D2605" t="str">
            <v>no</v>
          </cell>
          <cell r="E2605" t="str">
            <v>21846200000</v>
          </cell>
          <cell r="F2605" t="str">
            <v>F0734</v>
          </cell>
          <cell r="G2605" t="str">
            <v>Allowed Time Ops MGE</v>
          </cell>
          <cell r="H2605" t="str">
            <v>Allowed Time-Sick Leave MGE</v>
          </cell>
          <cell r="I2605" t="str">
            <v>open</v>
          </cell>
          <cell r="J2605" t="str">
            <v>Allowed Time-Sick Leave MGE</v>
          </cell>
          <cell r="P2605" t="str">
            <v>Expense Only</v>
          </cell>
          <cell r="Q2605">
            <v>2888047.3</v>
          </cell>
          <cell r="R2605">
            <v>78123.44</v>
          </cell>
        </row>
        <row r="2606">
          <cell r="A2606" t="str">
            <v>004801</v>
          </cell>
          <cell r="B2606" t="str">
            <v>LDC 2</v>
          </cell>
          <cell r="D2606" t="str">
            <v>no</v>
          </cell>
          <cell r="E2606" t="str">
            <v>29090000000</v>
          </cell>
          <cell r="F2606" t="str">
            <v>F0719</v>
          </cell>
          <cell r="G2606" t="str">
            <v>Inform &amp; Instruct Ads MGE</v>
          </cell>
          <cell r="H2606" t="str">
            <v>Inform &amp; Instruct Ads MGE</v>
          </cell>
          <cell r="I2606" t="str">
            <v>open</v>
          </cell>
          <cell r="J2606" t="str">
            <v>Inform &amp; Instruct Ads MGE</v>
          </cell>
          <cell r="P2606" t="str">
            <v>Expense Only</v>
          </cell>
          <cell r="Q2606">
            <v>285710.2</v>
          </cell>
          <cell r="R2606">
            <v>181170.5</v>
          </cell>
        </row>
        <row r="2607">
          <cell r="A2607" t="str">
            <v>004761</v>
          </cell>
          <cell r="B2607" t="str">
            <v>LDC 2</v>
          </cell>
          <cell r="D2607" t="str">
            <v>no</v>
          </cell>
          <cell r="E2607" t="str">
            <v>21841410000</v>
          </cell>
          <cell r="F2607" t="str">
            <v>F0732</v>
          </cell>
          <cell r="G2607" t="str">
            <v>Transportation &amp; Eq Clrg MGE</v>
          </cell>
          <cell r="H2607" t="str">
            <v>Fleet Clrg - 21841410000 MGE</v>
          </cell>
          <cell r="I2607" t="str">
            <v>open</v>
          </cell>
          <cell r="J2607" t="str">
            <v>Fleet Clrg - 21841410000 MGE</v>
          </cell>
          <cell r="P2607" t="str">
            <v>Expense Only</v>
          </cell>
          <cell r="Q2607">
            <v>52205.54</v>
          </cell>
          <cell r="R2607">
            <v>14314</v>
          </cell>
        </row>
        <row r="2608">
          <cell r="A2608" t="str">
            <v>012559</v>
          </cell>
          <cell r="B2608" t="str">
            <v>LDC 2</v>
          </cell>
          <cell r="D2608" t="str">
            <v>no</v>
          </cell>
          <cell r="F2608" t="str">
            <v>F0639</v>
          </cell>
          <cell r="G2608" t="str">
            <v>EGM Equip-1st Time Installation</v>
          </cell>
          <cell r="H2608" t="str">
            <v>EGM - Walmart (Joplin 7th Street)</v>
          </cell>
          <cell r="I2608" t="str">
            <v>open</v>
          </cell>
          <cell r="J2608" t="str">
            <v>Mini-Max AT-PT Corrector for Walmart at 2623 W 7th St to monitor daily gas usage. Customer will reimburse company actual cost for EGM installation not to exceed $5,445.</v>
          </cell>
          <cell r="K2608" t="str">
            <v>meter no 008265381</v>
          </cell>
          <cell r="P2608" t="str">
            <v>0501-044001  JASPER CTY/JOPLIN</v>
          </cell>
          <cell r="Q2608">
            <v>1971.95</v>
          </cell>
          <cell r="R2608">
            <v>1</v>
          </cell>
        </row>
        <row r="2609">
          <cell r="A2609" t="str">
            <v>800912</v>
          </cell>
          <cell r="B2609" t="str">
            <v>LDC 2</v>
          </cell>
          <cell r="C2609" t="str">
            <v>03 - Bare Steel Replacement</v>
          </cell>
          <cell r="D2609" t="str">
            <v>yes</v>
          </cell>
          <cell r="F2609" t="str">
            <v>F0572</v>
          </cell>
          <cell r="G2609" t="str">
            <v>Main Replacement - ISRS (SW)</v>
          </cell>
          <cell r="H2609" t="str">
            <v>Repl w 1645F 2-4P 135 E &amp; Moffet</v>
          </cell>
          <cell r="I2609" t="str">
            <v>open</v>
          </cell>
          <cell r="J2609" t="str">
            <v>Install 20 Ft of 1 1/4 in PL IP main, 1625 ft of 4 in PL IP main on A St, Moffet Ave, and E St.</v>
          </cell>
          <cell r="K2609" t="str">
            <v>Abandon 5 Ft 1 1/4 in PL LP main, 5 Ft of 2 in PL LP main, 40 Ft 4 in PL LP main, and 1631 Ft of 4 in ST LP main at the above locations.  Total Service Tie-over = 38; Total Service Abanonments = 5; Total Service Replacements = 1; Total Service Upgrades = 25.  Uprate 150 Ft of 1 1/4 in PL LP main and 839 Ft of 4 in PL LP main at the above locations.  This main is being abandoned as part of FY16 Bare Steel Replacement Program. CP is due 11/12/16.  Recommend replacing steel between C and F Streets along Moffet. Corrosion has reviewed and agreed with replacement.</v>
          </cell>
          <cell r="P2609" t="str">
            <v>0501-044001  JASPER CTY/JOPLIN</v>
          </cell>
          <cell r="Q2609">
            <v>180978.84</v>
          </cell>
          <cell r="R2609">
            <v>-3425</v>
          </cell>
        </row>
        <row r="2610">
          <cell r="A2610" t="str">
            <v>800621</v>
          </cell>
          <cell r="B2610" t="str">
            <v>LDC 2</v>
          </cell>
          <cell r="C2610" t="str">
            <v>09 - Facility Relocation due to Civic Improvement</v>
          </cell>
          <cell r="D2610" t="str">
            <v>yes</v>
          </cell>
          <cell r="F2610" t="str">
            <v>F0664</v>
          </cell>
          <cell r="G2610" t="str">
            <v>Street &amp; Hwy Relocates ISRS (SW)</v>
          </cell>
          <cell r="H2610" t="str">
            <v>Rel w/ 1997F 4P Bankers Addition</v>
          </cell>
          <cell r="I2610" t="str">
            <v>in service</v>
          </cell>
          <cell r="J2610" t="str">
            <v>Install 1997 Ft of 4 in PL MP main on 20th Street between Vermont and Deleware for the Bankers Addition Civic Improvements. Abandon 176 Ft of 1.25 in PL MP main, 18 Ft 2 in PL MP main &amp; 22 Ft 4 in PL MP main.</v>
          </cell>
          <cell r="K2610" t="str">
            <v>This main is being replaced as part of a 2016 Public Improvement and is ISRS recoverable.</v>
          </cell>
          <cell r="L2610">
            <v>42613</v>
          </cell>
          <cell r="O2610">
            <v>42583</v>
          </cell>
          <cell r="P2610" t="str">
            <v>0501-044001  JASPER CTY/JOPLIN</v>
          </cell>
          <cell r="Q2610">
            <v>173202.85</v>
          </cell>
          <cell r="R2610">
            <v>-5098.9534000000003</v>
          </cell>
        </row>
        <row r="2611">
          <cell r="A2611" t="str">
            <v>010417</v>
          </cell>
          <cell r="B2611" t="str">
            <v>LDC 2</v>
          </cell>
          <cell r="D2611" t="str">
            <v>no</v>
          </cell>
          <cell r="F2611" t="str">
            <v>F1071</v>
          </cell>
          <cell r="G2611" t="str">
            <v>MGE Misc Capital</v>
          </cell>
          <cell r="H2611" t="str">
            <v>Joplin- IT Room Ventilation</v>
          </cell>
          <cell r="I2611" t="str">
            <v>in service</v>
          </cell>
          <cell r="J2611" t="str">
            <v>IT ventilation system, including electrical at Joplin facility, 530 E. 5th St, Joplin, MO 64801</v>
          </cell>
          <cell r="L2611">
            <v>42430</v>
          </cell>
          <cell r="O2611">
            <v>42430</v>
          </cell>
          <cell r="P2611" t="str">
            <v>0501-044001  JASPER CTY/JOPLIN</v>
          </cell>
          <cell r="Q2611">
            <v>3286.19</v>
          </cell>
          <cell r="R2611">
            <v>19250</v>
          </cell>
        </row>
        <row r="2612">
          <cell r="A2612" t="str">
            <v>007602</v>
          </cell>
          <cell r="B2612" t="str">
            <v>LDC 2</v>
          </cell>
          <cell r="D2612" t="str">
            <v>yes</v>
          </cell>
          <cell r="E2612" t="str">
            <v>20501155128</v>
          </cell>
          <cell r="F2612" t="str">
            <v>F0575</v>
          </cell>
          <cell r="G2612" t="str">
            <v>Replace steel &amp; plastic main</v>
          </cell>
          <cell r="H2612" t="str">
            <v>Gas Main Replacement Due To Leak</v>
          </cell>
          <cell r="I2612" t="str">
            <v>posted to CPR</v>
          </cell>
          <cell r="J2612" t="str">
            <v>Gas Main Replacement Due To Leak: Joplin: Replace Coated Steel &amp; Plastic Main - 3760 (34-396)</v>
          </cell>
          <cell r="K2612" t="str">
            <v>Approved by: Michael Fornelli on 02/05/2015,  Replace 8' of 2" PE (WO 746863) with 8' of 2" Pre-Tested 2" PE due to #1 leak (15-007).   Project Location: Intersection of Monroe Ave &amp; 16th St.  System: C-2.  MOP: 1.5 PSIG.  MAOP: 1.5 PSIG.  Design: 58 PSIG.  Test: 100 PSIG.</v>
          </cell>
          <cell r="L2612">
            <v>42026</v>
          </cell>
          <cell r="M2612">
            <v>42248</v>
          </cell>
          <cell r="N2612">
            <v>42282</v>
          </cell>
          <cell r="P2612" t="str">
            <v>0501-044001  JASPER CTY/JOPLIN</v>
          </cell>
          <cell r="Q2612">
            <v>8.17</v>
          </cell>
          <cell r="R2612">
            <v>8</v>
          </cell>
        </row>
        <row r="2613">
          <cell r="A2613" t="str">
            <v>004240</v>
          </cell>
          <cell r="B2613" t="str">
            <v>LDC 2</v>
          </cell>
          <cell r="D2613" t="str">
            <v>yes</v>
          </cell>
          <cell r="E2613" t="str">
            <v>20501132764</v>
          </cell>
          <cell r="F2613" t="str">
            <v>F0575</v>
          </cell>
          <cell r="G2613" t="str">
            <v>Replace steel &amp; plastic main</v>
          </cell>
          <cell r="H2613" t="str">
            <v>7th &amp; Illinois Repl PCS w 590'-4in</v>
          </cell>
          <cell r="I2613" t="str">
            <v>posted to CPR</v>
          </cell>
          <cell r="J2613" t="str">
            <v>7th &amp; Illinois Repl PCS w 590'-4in PE main: Joplin: 7th and Illinois</v>
          </cell>
          <cell r="K2613" t="str">
            <v>Approved by: Galen Shoemaker on 06/24/2013,  Replace 366' - 4in PCS (WO#'s: 65-7240, 68-0648) with 590' - 4in PE due to difficulty tieing into existing PCS in the middle of Illinois on WO#13-2745 and not wanting to leave two isolated chunks of steel. This work will also create a loop in the C-2 1.50psig system making future replacements easier. This work order will be done in conjunction with WO#13-2745. Project Location: 7th and Illinois; Pressure System: C-2; MOP: 1.50 psig; MAOP: 1.50 psig; Design: 58 psig; Test: 100 psig; $49.79/ft</v>
          </cell>
          <cell r="L2613">
            <v>41690</v>
          </cell>
          <cell r="M2613">
            <v>41729</v>
          </cell>
          <cell r="N2613">
            <v>41733.309918981497</v>
          </cell>
          <cell r="O2613">
            <v>41730</v>
          </cell>
          <cell r="P2613" t="str">
            <v>0501-044001  JASPER CTY/JOPLIN</v>
          </cell>
          <cell r="Q2613">
            <v>30664.09</v>
          </cell>
          <cell r="R2613">
            <v>3032</v>
          </cell>
        </row>
        <row r="2614">
          <cell r="A2614" t="str">
            <v>005774</v>
          </cell>
          <cell r="B2614" t="str">
            <v>LDC 2</v>
          </cell>
          <cell r="D2614" t="str">
            <v>no</v>
          </cell>
          <cell r="E2614" t="str">
            <v>20502143639</v>
          </cell>
          <cell r="F2614" t="str">
            <v>F0536</v>
          </cell>
          <cell r="G2614" t="str">
            <v>Services -  2" &amp; larger</v>
          </cell>
          <cell r="H2614" t="str">
            <v>603 W Aylor Install 770'-2in PE Ser</v>
          </cell>
          <cell r="I2614" t="str">
            <v>posted to CPR</v>
          </cell>
          <cell r="J2614" t="str">
            <v>603 W Aylor Install 770'-2in PE Service: Webb City: New Services 2&amp;quot; &amp; Larger  3800 (33-381)</v>
          </cell>
          <cell r="K2614" t="str">
            <v>Approved by: Galen Shoemaker on 07/08/2014,  Install 770' 2" PE Service to provide service to new storm shelter for Webb City Middle School.  Customer will contribute $3696.00 towards project.  Project Location:  N of intersection of Aylor St and Roane Ave.  System: C-2.  MOP: 1.5 PSIG.  MAOP: 1.5 PSIG.  Design: 58 PSIG.  Test: 100 PSIG.  Price Per Foot: $24.72.</v>
          </cell>
          <cell r="L2614">
            <v>41809</v>
          </cell>
          <cell r="M2614">
            <v>42063</v>
          </cell>
          <cell r="N2614">
            <v>42067.763437499998</v>
          </cell>
          <cell r="O2614">
            <v>41883</v>
          </cell>
          <cell r="P2614" t="str">
            <v>0502-044006  JASPER CTY/WEBB CITY</v>
          </cell>
          <cell r="Q2614">
            <v>31779.96</v>
          </cell>
          <cell r="R2614">
            <v>-2768</v>
          </cell>
        </row>
        <row r="2615">
          <cell r="A2615" t="str">
            <v>005271</v>
          </cell>
          <cell r="B2615" t="str">
            <v>LDC 2</v>
          </cell>
          <cell r="D2615" t="str">
            <v>yes</v>
          </cell>
          <cell r="E2615" t="str">
            <v>20507143505</v>
          </cell>
          <cell r="F2615" t="str">
            <v>F0572</v>
          </cell>
          <cell r="G2615" t="str">
            <v>Main Replacement - ISRS (SW)</v>
          </cell>
          <cell r="H2615" t="str">
            <v>3rd St &amp; Maple Repl PBS w 139'-2in</v>
          </cell>
          <cell r="I2615" t="str">
            <v>posted to CPR</v>
          </cell>
          <cell r="J2615" t="str">
            <v>3rd St &amp; Maple Repl PBS w 139'-2in PE main: Purcell: Replace Bare Steel Main - 3760 Safety Related (34-394)</v>
          </cell>
          <cell r="K2615" t="str">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ell>
          <cell r="L2615">
            <v>41758</v>
          </cell>
          <cell r="M2615">
            <v>41821</v>
          </cell>
          <cell r="N2615">
            <v>41936.6258101852</v>
          </cell>
          <cell r="O2615">
            <v>41821</v>
          </cell>
          <cell r="P2615" t="str">
            <v>0507-044014  JASPER CTY/PURCELL</v>
          </cell>
          <cell r="Q2615">
            <v>3145.92</v>
          </cell>
          <cell r="R2615">
            <v>-216.5</v>
          </cell>
        </row>
        <row r="2616">
          <cell r="A2616" t="str">
            <v>008717</v>
          </cell>
          <cell r="B2616" t="str">
            <v>LDC 2</v>
          </cell>
          <cell r="D2616" t="str">
            <v>no</v>
          </cell>
          <cell r="F2616" t="str">
            <v>F1050</v>
          </cell>
          <cell r="G2616" t="str">
            <v>Laptop Replacement for MGE Field</v>
          </cell>
          <cell r="H2616" t="str">
            <v>Refresh MGE Field Laptops</v>
          </cell>
          <cell r="I2616" t="str">
            <v>in service</v>
          </cell>
          <cell r="J2616" t="str">
            <v>Provide funds for laptops and related peripherals to be used by MGE field personnel for Maximo/G4 access.</v>
          </cell>
          <cell r="L2616">
            <v>42277</v>
          </cell>
          <cell r="O2616">
            <v>42339</v>
          </cell>
          <cell r="P2616" t="str">
            <v>0101-043050  JACKSON CTY/KC</v>
          </cell>
          <cell r="Q2616">
            <v>649484.68999999994</v>
          </cell>
          <cell r="R2616">
            <v>12926</v>
          </cell>
        </row>
        <row r="2617">
          <cell r="A2617" t="str">
            <v>004049</v>
          </cell>
          <cell r="B2617" t="str">
            <v>LDC 2</v>
          </cell>
          <cell r="D2617" t="str">
            <v>no</v>
          </cell>
          <cell r="E2617" t="str">
            <v>20101133210</v>
          </cell>
          <cell r="F2617" t="str">
            <v>F0492</v>
          </cell>
          <cell r="G2617" t="str">
            <v>Special projects</v>
          </cell>
          <cell r="H2617" t="str">
            <v>Pur IT Office Equip Lease Buyout</v>
          </cell>
          <cell r="I2617" t="str">
            <v>posted to CPR</v>
          </cell>
          <cell r="J2617" t="str">
            <v>Pur IT Office Equip Lease Buyout: Kansas City CORP: Broadway</v>
          </cell>
          <cell r="L2617">
            <v>41639</v>
          </cell>
          <cell r="M2617">
            <v>41661</v>
          </cell>
          <cell r="N2617">
            <v>41661.637048611097</v>
          </cell>
          <cell r="P2617" t="str">
            <v>0101-043050  JACKSON CTY/KC</v>
          </cell>
          <cell r="Q2617">
            <v>63455.519999999997</v>
          </cell>
          <cell r="R2617">
            <v>0</v>
          </cell>
        </row>
        <row r="2618">
          <cell r="A2618" t="str">
            <v>008629</v>
          </cell>
          <cell r="B2618" t="str">
            <v>LDC 2</v>
          </cell>
          <cell r="D2618" t="str">
            <v>yes</v>
          </cell>
          <cell r="E2618" t="str">
            <v>20201155307</v>
          </cell>
          <cell r="F2618" t="str">
            <v>F0604</v>
          </cell>
          <cell r="G2618" t="str">
            <v>Main Replacement - ISRS (S)</v>
          </cell>
          <cell r="H2618" t="str">
            <v>Replace 4 in PBS/PCS &amp; 2 in P</v>
          </cell>
          <cell r="I2618" t="str">
            <v>posted to CPR</v>
          </cell>
          <cell r="J2618" t="str">
            <v>Replace 4in PBS/PCS &amp; 2in PE/PBS/PCS Main: Independence: Replace Bare Steel Main - 3760 Safety Related (34-394)</v>
          </cell>
          <cell r="K2618" t="str">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ell>
          <cell r="L2618">
            <v>42444</v>
          </cell>
          <cell r="M2618">
            <v>42444</v>
          </cell>
          <cell r="N2618">
            <v>42557.552604166704</v>
          </cell>
          <cell r="O2618">
            <v>42461</v>
          </cell>
          <cell r="P2618" t="str">
            <v>0201-043001  JACKSON CTY/INDEPENDENCE</v>
          </cell>
          <cell r="Q2618">
            <v>406175.95</v>
          </cell>
          <cell r="R2618">
            <v>-6298</v>
          </cell>
        </row>
        <row r="2619">
          <cell r="A2619" t="str">
            <v>004463</v>
          </cell>
          <cell r="B2619" t="str">
            <v>LDC 2</v>
          </cell>
          <cell r="D2619" t="str">
            <v>yes</v>
          </cell>
          <cell r="E2619" t="str">
            <v>20201143317</v>
          </cell>
          <cell r="F2619" t="str">
            <v>F0549</v>
          </cell>
          <cell r="G2619" t="str">
            <v>Street &amp; highway relocates - safety</v>
          </cell>
          <cell r="H2619" t="str">
            <v>24 Hwy &amp; Overton Reloc PBS w 100'-4</v>
          </cell>
          <cell r="I2619" t="str">
            <v>posted to CPR</v>
          </cell>
          <cell r="J2619" t="str">
            <v>24 Hwy &amp; Overton Reloc PBS w 100'-4in PE : Independence: 24 Hwy &amp; Overton</v>
          </cell>
          <cell r="K2619" t="str">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ell>
          <cell r="L2619">
            <v>41747</v>
          </cell>
          <cell r="M2619">
            <v>41882</v>
          </cell>
          <cell r="N2619">
            <v>41936.6256712963</v>
          </cell>
          <cell r="O2619">
            <v>41760</v>
          </cell>
          <cell r="P2619" t="str">
            <v>0201-043001  JACKSON CTY/INDEPENDENCE</v>
          </cell>
          <cell r="Q2619">
            <v>22721.39</v>
          </cell>
          <cell r="R2619">
            <v>1314.5</v>
          </cell>
        </row>
        <row r="2620">
          <cell r="A2620" t="str">
            <v>004042</v>
          </cell>
          <cell r="B2620" t="str">
            <v>LDC 2</v>
          </cell>
          <cell r="D2620" t="str">
            <v>yes</v>
          </cell>
          <cell r="E2620" t="str">
            <v>20201132794</v>
          </cell>
          <cell r="F2620" t="str">
            <v>F0604</v>
          </cell>
          <cell r="G2620" t="str">
            <v>Main Replacement - ISRS (S)</v>
          </cell>
          <cell r="H2620" t="str">
            <v>24 Hwy &amp; Lynn Repl PBS w 1165'-2in</v>
          </cell>
          <cell r="I2620" t="str">
            <v>posted to CPR</v>
          </cell>
          <cell r="J2620" t="str">
            <v>24 Hwy &amp; Lynn Repl PBS w 1165'-2in PE: Independence: 24 Hwy and Lynn</v>
          </cell>
          <cell r="K2620" t="str">
            <v>Approved by: Ralph Janes on 07/09/2013,  Replace and abandon 1530' of 4in PBS (WO# 60) with 1165' - 2in PE. The existing main has two active leaks and a history of leakage. It is on the dead end of the C-001 pressure system. We will tie onto the C-500 pressure system for the replacement main. (ISRS) Price per ft = $42.88</v>
          </cell>
          <cell r="L2620">
            <v>41500</v>
          </cell>
          <cell r="M2620">
            <v>41578</v>
          </cell>
          <cell r="N2620">
            <v>41627.582905092597</v>
          </cell>
          <cell r="O2620">
            <v>41730</v>
          </cell>
          <cell r="P2620" t="str">
            <v>0201-043001  JACKSON CTY/INDEPENDENCE</v>
          </cell>
          <cell r="Q2620">
            <v>53168.95</v>
          </cell>
          <cell r="R2620">
            <v>4404.5</v>
          </cell>
        </row>
        <row r="2621">
          <cell r="A2621" t="str">
            <v>004015</v>
          </cell>
          <cell r="B2621" t="str">
            <v>LDC 2</v>
          </cell>
          <cell r="D2621" t="str">
            <v>no</v>
          </cell>
          <cell r="E2621" t="str">
            <v>20201133042</v>
          </cell>
          <cell r="F2621" t="str">
            <v>F0507</v>
          </cell>
          <cell r="G2621" t="str">
            <v>Rebuild Meter Install 2'' &amp; Lg (S)</v>
          </cell>
          <cell r="H2621" t="str">
            <v>Anchor Sales Rebuild 3M Meter Set</v>
          </cell>
          <cell r="I2621" t="str">
            <v>posted to CPR</v>
          </cell>
          <cell r="J2621" t="str">
            <v>Anchor Sales Rebuild 3M Meter Set: Independence: 106 W 31st</v>
          </cell>
          <cell r="K2621" t="str">
            <v>Approved by: Ralph Janes on 10/09/2013,  Rebuild a 3M rotary meter set at the building to replace the existing Rockwell 5000 meter set at the property line of 106 W 31st St on WO# 13-3042. The existing Rockwell 5000 meter set which serves 7in w.c. (meter# 06008224, premise 45597) is a property line set with 21' of 2" CS service line, due for remediation as a 20 year SLRP. Retire/abandon the 21' of 2" CS service line (original wo# 84-0132). Also, retire the exisitng Rockwell 5000 meter set not installed on a work order. The current load for Anchor Sales &amp; Service is approximately 3,000 cfh. 60' of 1-1/4in PE service line, a 2" x 1-1/4" PE reducer, 2" flanged riser w/ 2" bypass, 2" flanged balon ball valve, and a 2" stop cock 175 GTO w/ a 2" plug square head-cored will be installed on a BWO.</v>
          </cell>
          <cell r="L2621">
            <v>41563</v>
          </cell>
          <cell r="M2621">
            <v>41626</v>
          </cell>
          <cell r="N2621">
            <v>41630.722152777802</v>
          </cell>
          <cell r="P2621" t="str">
            <v>0201-043001  JACKSON CTY/INDEPENDENCE</v>
          </cell>
          <cell r="Q2621">
            <v>4533.37</v>
          </cell>
          <cell r="R2621">
            <v>104</v>
          </cell>
        </row>
        <row r="2622">
          <cell r="A2622" t="str">
            <v>004895</v>
          </cell>
          <cell r="B2622" t="str">
            <v>LDC 2</v>
          </cell>
          <cell r="D2622" t="str">
            <v>no</v>
          </cell>
          <cell r="E2622" t="str">
            <v>20201143461</v>
          </cell>
          <cell r="F2622" t="str">
            <v>F0600</v>
          </cell>
          <cell r="G2622" t="str">
            <v>Station Rebuild &amp; Repl ISRS (N)</v>
          </cell>
          <cell r="H2622" t="str">
            <v>32nd &amp; Sterling Retire DRS 46</v>
          </cell>
          <cell r="I2622" t="str">
            <v>posted to CPR</v>
          </cell>
          <cell r="J2622" t="str">
            <v>32nd &amp; Sterling Retire DRS 46: Independence: Rebuild District/TB Stations  3780/3790 (45-387)</v>
          </cell>
          <cell r="K2622" t="str">
            <v>Approved by: Ralph Janes on 04/03/2014,  Remove and retire DRS 46 (WO# 90-0695) as it will not be needed after the completion of WO# 14-3450. The 2 - 2in Fisher 133L regulators will be returned to stock.</v>
          </cell>
          <cell r="L2622">
            <v>41932</v>
          </cell>
          <cell r="M2622">
            <v>41973</v>
          </cell>
          <cell r="N2622">
            <v>41978.4379976852</v>
          </cell>
          <cell r="O2622">
            <v>42036</v>
          </cell>
          <cell r="P2622" t="str">
            <v>0201-043001  JACKSON CTY/INDEPENDENCE</v>
          </cell>
          <cell r="Q2622">
            <v>2605.81</v>
          </cell>
          <cell r="R2622">
            <v>11</v>
          </cell>
        </row>
        <row r="2623">
          <cell r="A2623" t="str">
            <v>004296</v>
          </cell>
          <cell r="B2623" t="str">
            <v>LDC 2</v>
          </cell>
          <cell r="D2623" t="str">
            <v>no</v>
          </cell>
          <cell r="E2623" t="str">
            <v>20301050308</v>
          </cell>
          <cell r="F2623" t="str">
            <v>F0534</v>
          </cell>
          <cell r="G2623" t="str">
            <v>BWO Mtr/Reg Repl - Non ISRS (S)</v>
          </cell>
          <cell r="H2623" t="str">
            <v>BWO-REPL METER SETS LESS 2"</v>
          </cell>
          <cell r="I2623" t="str">
            <v>posted to CPR</v>
          </cell>
          <cell r="J2623" t="str">
            <v>BWO-REPL METER SETS LESS 2"</v>
          </cell>
          <cell r="K2623" t="str">
            <v>Project Type:B</v>
          </cell>
          <cell r="L2623">
            <v>41717</v>
          </cell>
          <cell r="M2623">
            <v>41717</v>
          </cell>
          <cell r="N2623">
            <v>41717</v>
          </cell>
          <cell r="P2623" t="str">
            <v>0301-046001  JOHNSON CTY/WARRENSBURG</v>
          </cell>
          <cell r="Q2623">
            <v>252686.55</v>
          </cell>
          <cell r="R2623">
            <v>3065</v>
          </cell>
        </row>
        <row r="2624">
          <cell r="A2624" t="str">
            <v>004073</v>
          </cell>
          <cell r="B2624" t="str">
            <v>LDC 2</v>
          </cell>
          <cell r="D2624" t="str">
            <v>no</v>
          </cell>
          <cell r="E2624" t="str">
            <v>20301132994</v>
          </cell>
          <cell r="F2624" t="str">
            <v>F0644</v>
          </cell>
          <cell r="G2624" t="str">
            <v>Meter &amp; Reg Settings 2" &amp; Lg (S)</v>
          </cell>
          <cell r="H2624" t="str">
            <v>General Services Facility UCM 5M Me</v>
          </cell>
          <cell r="I2624" t="str">
            <v>posted to CPR</v>
          </cell>
          <cell r="J2624" t="str">
            <v>General Services Facility UCM 5M Meter Set: Warrensburg: 415 E. Clark St.</v>
          </cell>
          <cell r="K2624" t="str">
            <v>Approved by: Ralph Janes on 10/01/2013,  Build new 5M Rotary meter set to serve UCM#2 General Facilities Building on WO# 13-2994. 120' of 2" service line to be installed on wo# 13-2952. New building has a load of 4,120 CFH.</v>
          </cell>
          <cell r="L2624">
            <v>41662</v>
          </cell>
          <cell r="M2624">
            <v>41698</v>
          </cell>
          <cell r="N2624">
            <v>41704.711678240703</v>
          </cell>
          <cell r="P2624" t="str">
            <v>0301-046001  JOHNSON CTY/WARRENSBURG</v>
          </cell>
          <cell r="Q2624">
            <v>3891.34</v>
          </cell>
          <cell r="R2624">
            <v>89.5</v>
          </cell>
        </row>
        <row r="2625">
          <cell r="A2625" t="str">
            <v>011090</v>
          </cell>
          <cell r="B2625" t="str">
            <v>LDC 2</v>
          </cell>
          <cell r="D2625" t="str">
            <v>no</v>
          </cell>
          <cell r="F2625" t="str">
            <v>F1191</v>
          </cell>
          <cell r="G2625" t="str">
            <v>Station Rebuild &amp; Repl ISRS (S)</v>
          </cell>
          <cell r="H2625" t="str">
            <v>Repl Regulator Whiteman AFB DRS</v>
          </cell>
          <cell r="I2625" t="str">
            <v>posted to CPR</v>
          </cell>
          <cell r="J2625" t="str">
            <v>Purchase Mooney 3in Flowgrid regulator to replace 3in regulator at the Whiteman Air Force Base DRS.</v>
          </cell>
          <cell r="K2625" t="str">
            <v>See purchase requisition 92727 - will transfer charge from project 004745 to this one.  Per Mike Butts.</v>
          </cell>
          <cell r="L2625">
            <v>42643</v>
          </cell>
          <cell r="M2625">
            <v>42675</v>
          </cell>
          <cell r="N2625">
            <v>42773.475138888898</v>
          </cell>
          <cell r="O2625">
            <v>42614</v>
          </cell>
          <cell r="P2625" t="str">
            <v>0303-046004  JOHNSON CTY/WASHINGTON TWP</v>
          </cell>
          <cell r="Q2625">
            <v>7275.3</v>
          </cell>
          <cell r="R2625">
            <v>1</v>
          </cell>
        </row>
        <row r="2626">
          <cell r="A2626" t="str">
            <v>800275</v>
          </cell>
          <cell r="B2626" t="str">
            <v>LDC 2</v>
          </cell>
          <cell r="C2626" t="str">
            <v>03 - Bare Steel Replacement</v>
          </cell>
          <cell r="D2626" t="str">
            <v>yes</v>
          </cell>
          <cell r="F2626" t="str">
            <v>F0604</v>
          </cell>
          <cell r="G2626" t="str">
            <v>Main Replacement - ISRS (S)</v>
          </cell>
          <cell r="H2626" t="str">
            <v>Repl w 6004F 2-4P Carrollton Ph B</v>
          </cell>
          <cell r="I2626" t="str">
            <v>open</v>
          </cell>
          <cell r="J2626" t="str">
            <v>Install 1106 Ft of 2in PL IP, 4898 Ft of 4in PL IP - Carrollton Grid Phase B. Abandon 9 Ft 2in PL LP, 322 Ft 4in PL LP, 6326 Ft 2in ST LP, 50 Ft of 2in ST IP, 1741 Ft 4in ST LP main, &amp; 180 Ft 6in ST LP main.</v>
          </cell>
          <cell r="K2626" t="str">
            <v>This main is being replaced as part of FY16 Bare Steel Replacement Program</v>
          </cell>
          <cell r="P2626" t="str">
            <v>0312-014001  CARROLL CTY/CARROLLTON</v>
          </cell>
          <cell r="Q2626">
            <v>287813.13</v>
          </cell>
          <cell r="R2626">
            <v>-5626</v>
          </cell>
        </row>
        <row r="2627">
          <cell r="A2627" t="str">
            <v>800260</v>
          </cell>
          <cell r="B2627" t="str">
            <v>LDC 2</v>
          </cell>
          <cell r="C2627" t="str">
            <v>03 - Bare Steel Replacement</v>
          </cell>
          <cell r="D2627" t="str">
            <v>yes</v>
          </cell>
          <cell r="F2627" t="str">
            <v>F0604</v>
          </cell>
          <cell r="G2627" t="str">
            <v>Main Replacement - ISRS (S)</v>
          </cell>
          <cell r="H2627" t="str">
            <v>Repl w/ 10493F 2-4P Clarksburg PhA</v>
          </cell>
          <cell r="I2627" t="str">
            <v>open</v>
          </cell>
          <cell r="J2627" t="str">
            <v>Install 8008 Ft of 2in PL IP, 2485 Ft of 4in PL IP, abandon 41 Ft of 2in PL LP, 6942 Ft of ST LP and uprate 1076 Ft of 2 in PL LP Main to IP - Clarksburg Ph A.</v>
          </cell>
          <cell r="K2627" t="str">
            <v>This main is being replaced as part of the FY16 Bare Steel Replacement Program.</v>
          </cell>
          <cell r="P2627" t="str">
            <v>0319-062002  MONITEAU CTY/CLARKSBURG</v>
          </cell>
          <cell r="Q2627">
            <v>291627.15000000002</v>
          </cell>
          <cell r="R2627">
            <v>-14045</v>
          </cell>
        </row>
        <row r="2628">
          <cell r="A2628" t="str">
            <v>008551</v>
          </cell>
          <cell r="B2628" t="str">
            <v>LDC 2</v>
          </cell>
          <cell r="D2628" t="str">
            <v>no</v>
          </cell>
          <cell r="E2628" t="str">
            <v>20801155303</v>
          </cell>
          <cell r="F2628" t="str">
            <v>F0523</v>
          </cell>
          <cell r="G2628" t="str">
            <v>New Main Extensions (SW)</v>
          </cell>
          <cell r="H2628" t="str">
            <v>Sycamore 225ft 2in Plastic Main Ext</v>
          </cell>
          <cell r="I2628" t="str">
            <v>posted to CPR</v>
          </cell>
          <cell r="J2628" t="str">
            <v>Sycamore 225ft 2in Plastic Main Extension: Monett: New Main Extension - Company Crews  3760 (33-305)</v>
          </cell>
          <cell r="K2628" t="str">
            <v>Approved by: Michael Fornelli on 05/20/2015,  Install 225 ft Plastic Main to serve three residential customers. No deposit required after three allowances. MAOP=44# MOP=40# SYSTEM=C-1 TEST=100#</v>
          </cell>
          <cell r="L2628">
            <v>42179</v>
          </cell>
          <cell r="M2628">
            <v>42248</v>
          </cell>
          <cell r="N2628">
            <v>42285.423784722203</v>
          </cell>
          <cell r="O2628">
            <v>42156</v>
          </cell>
          <cell r="P2628" t="str">
            <v>0801-005001  BARRY CTY/MONETT</v>
          </cell>
          <cell r="Q2628">
            <v>3713.09</v>
          </cell>
          <cell r="R2628">
            <v>-100</v>
          </cell>
        </row>
        <row r="2629">
          <cell r="A2629" t="str">
            <v>006950</v>
          </cell>
          <cell r="B2629" t="str">
            <v>LDC 2</v>
          </cell>
          <cell r="D2629" t="str">
            <v>no</v>
          </cell>
          <cell r="F2629" t="str">
            <v>F0850</v>
          </cell>
          <cell r="G2629" t="str">
            <v>Facilities - MGE - Remodel Svc Cen</v>
          </cell>
          <cell r="H2629" t="str">
            <v>Replace 2 Hanging Heaters- Monett</v>
          </cell>
          <cell r="I2629" t="str">
            <v>posted to CPR</v>
          </cell>
          <cell r="J2629" t="str">
            <v>Install 2 Sterling 90,000 BTU Hanging Heaters</v>
          </cell>
          <cell r="L2629">
            <v>41973</v>
          </cell>
          <cell r="M2629">
            <v>42156</v>
          </cell>
          <cell r="N2629">
            <v>42223.566770833299</v>
          </cell>
          <cell r="O2629">
            <v>41974</v>
          </cell>
          <cell r="P2629" t="str">
            <v>0801-005001  BARRY CTY/MONETT</v>
          </cell>
          <cell r="Q2629">
            <v>3305.43</v>
          </cell>
          <cell r="R2629">
            <v>8954</v>
          </cell>
        </row>
        <row r="2630">
          <cell r="A2630" t="str">
            <v>800175</v>
          </cell>
          <cell r="B2630" t="str">
            <v>LDC 2</v>
          </cell>
          <cell r="D2630" t="str">
            <v>no</v>
          </cell>
          <cell r="F2630" t="str">
            <v>F0673</v>
          </cell>
          <cell r="G2630" t="str">
            <v>New Main Extensions (S)</v>
          </cell>
          <cell r="H2630" t="str">
            <v>Westbrook at Creekmoor - 11th Plat</v>
          </cell>
          <cell r="I2630" t="str">
            <v>in service</v>
          </cell>
          <cell r="J2630" t="str">
            <v>Install 1,520 feet of 2 inch plastic main extension to serve 23 new residential lots - Westbrook at Creekmore - 11th Plat.</v>
          </cell>
          <cell r="L2630">
            <v>42551</v>
          </cell>
          <cell r="O2630">
            <v>42522</v>
          </cell>
          <cell r="P2630" t="str">
            <v>0932-016022  CASS CTY/RAYMORE</v>
          </cell>
          <cell r="Q2630">
            <v>44298.26</v>
          </cell>
          <cell r="R2630">
            <v>-4002</v>
          </cell>
        </row>
        <row r="2631">
          <cell r="A2631" t="str">
            <v>004082</v>
          </cell>
          <cell r="B2631" t="str">
            <v>LDC 2</v>
          </cell>
          <cell r="D2631" t="str">
            <v>yes</v>
          </cell>
          <cell r="E2631" t="str">
            <v>20810133054</v>
          </cell>
          <cell r="F2631" t="str">
            <v>F0598</v>
          </cell>
          <cell r="G2631" t="str">
            <v>Replace steel &amp; plastic main</v>
          </cell>
          <cell r="H2631" t="str">
            <v>Necessity repl 5ft 2in Plastic Main</v>
          </cell>
          <cell r="I2631" t="str">
            <v>posted to CPR</v>
          </cell>
          <cell r="J2631" t="str">
            <v>Necessity repl 5ft 2in Plastic Main: Marionville: Necessity North of Freer</v>
          </cell>
          <cell r="K2631" t="str">
            <v>Approved by: Galen Shoemaker on 10/08/2013,  To replace 5ft of 2in Plastic Main from WO 72-6600 with 2in Plastic to repair a third party damage on leak #13-133. Service was interrupted to five homes and there was loss of blowing gas. MOP=30# MAOP=30# SYSTEM=S-6 TEST=100#</v>
          </cell>
          <cell r="L2631">
            <v>41543</v>
          </cell>
          <cell r="M2631">
            <v>41670</v>
          </cell>
          <cell r="N2631">
            <v>41677.509814814803</v>
          </cell>
          <cell r="O2631">
            <v>41730</v>
          </cell>
          <cell r="P2631" t="str">
            <v>0810-050015  LAWRENCE CTY/MARIONVILLE</v>
          </cell>
          <cell r="Q2631">
            <v>1578.29</v>
          </cell>
          <cell r="R2631">
            <v>29</v>
          </cell>
        </row>
        <row r="2632">
          <cell r="A2632" t="str">
            <v>008967</v>
          </cell>
          <cell r="B2632" t="str">
            <v>LDC 2</v>
          </cell>
          <cell r="D2632" t="str">
            <v>no</v>
          </cell>
          <cell r="E2632" t="str">
            <v>20815155257</v>
          </cell>
          <cell r="F2632" t="str">
            <v>F0579</v>
          </cell>
          <cell r="G2632" t="str">
            <v>New business</v>
          </cell>
          <cell r="H2632" t="str">
            <v>Laurel Hills Phase 2</v>
          </cell>
          <cell r="I2632" t="str">
            <v>posted to CPR</v>
          </cell>
          <cell r="J2632" t="str">
            <v>Laurel Hills Phase 2: Ozark: New Main Extension - Contractor Crews  3760 (33-380)</v>
          </cell>
          <cell r="K2632" t="str">
            <v>Approved by: Joe Hampton on 05/11/2015,  Install 1435' of 2" PE and 4340' 4" PE for Laurel Hills subdivision, Phase 2.  Project Location: S of Thomas Dr &amp; Prestige Dr in Laurel Hills subdivision. No customer contribution after upfront allowances.  System: S-2.  MOP: 56 PSIG.  MAOP: 56 PSIG.  Design: 58 PSIG.  Test: 100 PSIG.  Price Per Foot: $31.91.
FCOMP 7-20-16 PER MAXIMO</v>
          </cell>
          <cell r="L2632">
            <v>42571</v>
          </cell>
          <cell r="M2632">
            <v>42583</v>
          </cell>
          <cell r="N2632">
            <v>42681.888101851902</v>
          </cell>
          <cell r="O2632">
            <v>42552</v>
          </cell>
          <cell r="P2632" t="str">
            <v>0815-019006  CHRISTIAN CTY/OZARK</v>
          </cell>
          <cell r="Q2632">
            <v>112391.59</v>
          </cell>
          <cell r="R2632">
            <v>-2449.5</v>
          </cell>
        </row>
        <row r="2633">
          <cell r="A2633" t="str">
            <v>008539</v>
          </cell>
          <cell r="B2633" t="str">
            <v>LDC 2</v>
          </cell>
          <cell r="D2633" t="str">
            <v>no</v>
          </cell>
          <cell r="E2633" t="str">
            <v>20801155352</v>
          </cell>
          <cell r="F2633" t="str">
            <v>F0556</v>
          </cell>
          <cell r="G2633" t="str">
            <v>Tools, instruments &amp; equipment</v>
          </cell>
          <cell r="H2633" t="str">
            <v>Pur 1 Sensit Gold CGI for Monett I</v>
          </cell>
          <cell r="I2633" t="str">
            <v>posted to CPR</v>
          </cell>
          <cell r="J2633" t="str">
            <v>Pur 1 Sensit Gold CGI for Monett I and S: Monett: Purchase Tools, Instruments &amp; Equipment  3940 (37-366)</v>
          </cell>
          <cell r="K2633" t="str">
            <v>Approved by: Michael Fornelli on 05/20/2015,  Purchase one new Sensit Gold CGI LEL% VOL, CO Model B for $1,519.20 for Monett I&amp;S</v>
          </cell>
          <cell r="L2633">
            <v>42177</v>
          </cell>
          <cell r="M2633">
            <v>42491</v>
          </cell>
          <cell r="N2633">
            <v>42527.512152777803</v>
          </cell>
          <cell r="O2633">
            <v>42156</v>
          </cell>
          <cell r="P2633" t="str">
            <v>0801-005001  BARRY CTY/MONETT</v>
          </cell>
          <cell r="Q2633">
            <v>1591.69</v>
          </cell>
          <cell r="R2633">
            <v>3</v>
          </cell>
        </row>
        <row r="2634">
          <cell r="A2634" t="str">
            <v>003929</v>
          </cell>
          <cell r="B2634" t="str">
            <v>LDC 2</v>
          </cell>
          <cell r="D2634" t="str">
            <v>yes</v>
          </cell>
          <cell r="E2634" t="str">
            <v>20801050360</v>
          </cell>
          <cell r="F2634" t="str">
            <v>F0520</v>
          </cell>
          <cell r="G2634" t="str">
            <v>SLRP - immediate response - company</v>
          </cell>
          <cell r="H2634" t="str">
            <v>BWO SERVICE LINE LEAK RESPONSIVE CO</v>
          </cell>
          <cell r="I2634" t="str">
            <v>in service</v>
          </cell>
          <cell r="J2634" t="str">
            <v>BWO SERVICE LINE LEAK RESPONSIVE COMP</v>
          </cell>
          <cell r="K2634" t="str">
            <v>Service/Yard Line Replacement (SLRP): Company Crew.  Immediate response - replacement single unprotected steel or copper  (Monett - South Region)</v>
          </cell>
          <cell r="L2634">
            <v>41730</v>
          </cell>
          <cell r="O2634">
            <v>41730</v>
          </cell>
          <cell r="P2634" t="str">
            <v>0801-005001  BARRY CTY/MONETT</v>
          </cell>
          <cell r="Q2634">
            <v>466177.09</v>
          </cell>
          <cell r="R2634">
            <v>4802.2</v>
          </cell>
        </row>
        <row r="2635">
          <cell r="A2635" t="str">
            <v>005795</v>
          </cell>
          <cell r="B2635" t="str">
            <v>LDC 2</v>
          </cell>
          <cell r="D2635" t="str">
            <v>no</v>
          </cell>
          <cell r="E2635" t="str">
            <v>20812143668</v>
          </cell>
          <cell r="F2635" t="str">
            <v>F0579</v>
          </cell>
          <cell r="G2635" t="str">
            <v>New business</v>
          </cell>
          <cell r="H2635" t="str">
            <v>1206 E Hwy 60 Lay 775'-2in PE main</v>
          </cell>
          <cell r="I2635" t="str">
            <v>posted to CPR</v>
          </cell>
          <cell r="J2635" t="str">
            <v>1206 E Hwy 60 Lay 775'-2in PE main ext: Republic: New Main Extension - Contractor Crews  3760 (33-380)</v>
          </cell>
          <cell r="K2635" t="str">
            <v>Approved by: Galen Shoemaker on 07/24/2014,  Install 775' of 2" PE to provide service for 11 new customers converting from propane to natural gas.  Customer will not be charged after allowances.  Project Location: Rebuplic Commons Dr W of Hwy 60.  System: C-1.  MOP: 39.5 PSIG.  MAOP: 39.5 PSIG.  Design: 58 PSIG.  Test: 100 PSIG.  Price Per Foot: $25.72.</v>
          </cell>
          <cell r="L2635">
            <v>41941</v>
          </cell>
          <cell r="M2635">
            <v>42248</v>
          </cell>
          <cell r="N2635">
            <v>42285.420636574097</v>
          </cell>
          <cell r="O2635">
            <v>41944</v>
          </cell>
          <cell r="P2635" t="str">
            <v>0812-034002  GREENE CTY/REPUBLIC</v>
          </cell>
          <cell r="Q2635">
            <v>17029.13</v>
          </cell>
          <cell r="R2635">
            <v>-1499</v>
          </cell>
        </row>
        <row r="2636">
          <cell r="A2636" t="str">
            <v>004655</v>
          </cell>
          <cell r="B2636" t="str">
            <v>LDC 2</v>
          </cell>
          <cell r="D2636" t="str">
            <v>no</v>
          </cell>
          <cell r="E2636" t="str">
            <v>20815143440</v>
          </cell>
          <cell r="F2636" t="str">
            <v>F0579</v>
          </cell>
          <cell r="G2636" t="str">
            <v>New business</v>
          </cell>
          <cell r="H2636" t="str">
            <v>Latana Dr Lay 1295'-4;1015'-2in PE</v>
          </cell>
          <cell r="I2636" t="str">
            <v>posted to CPR</v>
          </cell>
          <cell r="J2636" t="str">
            <v>Latana Dr Lay 1295'-4;1015'-2in PE main ext: Ozark: Latana Dr Grand Haven Estates Phase 4 &amp; 5</v>
          </cell>
          <cell r="K2636" t="str">
            <v>Approved by: Steve Holcomb on 03/20/2014,  Extend main with 1015' - 2" PE and 1295' - 4" PE to provide service to Grand Haven Estates Phase 4 &amp; 5. Customer will contribute $25,410.00 prior to installation. Project Location: 19th and Latana Dr; Pressure System: S-2322; MOP: 58 psig; MAOP: 58 psig; Design: 58 psig; Test: 100 psig; $28.96/ft</v>
          </cell>
          <cell r="L2636">
            <v>42145</v>
          </cell>
          <cell r="M2636">
            <v>42216</v>
          </cell>
          <cell r="N2636">
            <v>42285.379733796297</v>
          </cell>
          <cell r="O2636">
            <v>42156</v>
          </cell>
          <cell r="P2636" t="str">
            <v>0815-019006  CHRISTIAN CTY/OZARK</v>
          </cell>
          <cell r="Q2636">
            <v>43715.4</v>
          </cell>
          <cell r="R2636">
            <v>-2237.5</v>
          </cell>
        </row>
        <row r="2637">
          <cell r="A2637" t="str">
            <v>800377</v>
          </cell>
          <cell r="B2637" t="str">
            <v>LDC 2</v>
          </cell>
          <cell r="C2637" t="str">
            <v>09 - Facility Relocation due to Civic Improvement</v>
          </cell>
          <cell r="D2637" t="str">
            <v>yes</v>
          </cell>
          <cell r="F2637" t="str">
            <v>F0664</v>
          </cell>
          <cell r="G2637" t="str">
            <v>Street &amp; Hwy Relocates ISRS (SW)</v>
          </cell>
          <cell r="H2637" t="str">
            <v>Rel w/ 568F 2S Rt 14 &amp; Hwy 160</v>
          </cell>
          <cell r="I2637" t="str">
            <v>in service</v>
          </cell>
          <cell r="J2637" t="str">
            <v>Relocate of 568ft of 2in ST, 2189ft of 3in ST, 126ft of 4in ST and 1371ft of 4in PL with 159ft 2in PL, 2053ft 4in PL and 1186ft of 6in PL along Rt 14 and Hwy 160 due to MODOT improvements. Division: 08 Town: 16 Sector: A1412.</v>
          </cell>
          <cell r="K2637" t="str">
            <v>Pressure System: C-0001 MAOP: 44 psig MOP: 44 psig Design: 66 psig Test: 100 psig Cost: $194,906.56 ($57.36/ft ) ISRS</v>
          </cell>
          <cell r="L2637">
            <v>42674</v>
          </cell>
          <cell r="O2637">
            <v>42644</v>
          </cell>
          <cell r="P2637" t="str">
            <v>0816-019004  CHRISTIAN CTY/NIXA</v>
          </cell>
          <cell r="Q2637">
            <v>244532.68</v>
          </cell>
          <cell r="R2637">
            <v>-4314</v>
          </cell>
        </row>
        <row r="2638">
          <cell r="A2638" t="str">
            <v>004642</v>
          </cell>
          <cell r="B2638" t="str">
            <v>LDC 2</v>
          </cell>
          <cell r="D2638" t="str">
            <v>no</v>
          </cell>
          <cell r="E2638" t="str">
            <v>20908143265</v>
          </cell>
          <cell r="F2638" t="str">
            <v>F0514</v>
          </cell>
          <cell r="G2638" t="str">
            <v>Other relocates</v>
          </cell>
          <cell r="H2638" t="str">
            <v>291 &amp; Commercial Reloc 1821'- 8in</v>
          </cell>
          <cell r="I2638" t="str">
            <v>posted to CPR</v>
          </cell>
          <cell r="J2638" t="str">
            <v>MoDOT J4P1475 Relocate 8in PCS: Harrisonville: 291 and Commercial</v>
          </cell>
          <cell r="K2638" t="str">
            <v>Approved by: Steve Lindsey on 02/24/2014,  MoDOT Project J4P1475. This work order is written for only the 8" PCS relocation as it is in a private easement and reimbursable. WO# 14-3266 is written to relocate 6" PE on Rock Haven and Commercial for the same MoDOT project at MGE's expense. Relocate 1661' of 8" thin film and 160' of 8" powercrete (Commercial St crossing within MoDOT ROW). Main to abandon all 8" PCS: 816' - WO# B1450; 202' - WO# 87-3251; 366' - WO# 65-3962; 385' - WO# 84-0773.</v>
          </cell>
          <cell r="L2638">
            <v>41872</v>
          </cell>
          <cell r="M2638">
            <v>41912</v>
          </cell>
          <cell r="N2638">
            <v>42012.721724536997</v>
          </cell>
          <cell r="O2638">
            <v>41883</v>
          </cell>
          <cell r="P2638" t="str">
            <v>0908-016007  CASS CTY/HARRISONVILLE N</v>
          </cell>
          <cell r="Q2638">
            <v>-116077.49</v>
          </cell>
          <cell r="R2638">
            <v>3632</v>
          </cell>
        </row>
        <row r="2639">
          <cell r="A2639" t="str">
            <v>013393</v>
          </cell>
          <cell r="B2639" t="str">
            <v>LDC 2</v>
          </cell>
          <cell r="D2639" t="str">
            <v>no</v>
          </cell>
          <cell r="F2639" t="str">
            <v>F0644</v>
          </cell>
          <cell r="G2639" t="str">
            <v>Meter &amp; Reg Settings 2" &amp; Lg (S)</v>
          </cell>
          <cell r="H2639" t="str">
            <v>H&amp;M 3M Rotary Meter Set</v>
          </cell>
          <cell r="I2639" t="str">
            <v>cancelled</v>
          </cell>
          <cell r="J2639" t="str">
            <v>Install a 3M Rotary Meter Setting to serve one new Commercial Customer - H&amp;M Building, RED Lees Summit East.</v>
          </cell>
          <cell r="K2639" t="str">
            <v>Maximo WO 15764059  CANCEL per Jon Harrel 1-26-17 - load is less than anticipated and will install a diaphram meter instead. - AMM</v>
          </cell>
          <cell r="N2639">
            <v>42761.591446759303</v>
          </cell>
          <cell r="P2639" t="str">
            <v>0901-043021  JACKSON CTY/LEE'S SUMMIT OFFIC</v>
          </cell>
          <cell r="Q2639">
            <v>1245.79</v>
          </cell>
          <cell r="R2639">
            <v>-48</v>
          </cell>
        </row>
        <row r="2640">
          <cell r="A2640" t="str">
            <v>800803</v>
          </cell>
          <cell r="B2640" t="str">
            <v>LDC 2</v>
          </cell>
          <cell r="D2640" t="str">
            <v>no</v>
          </cell>
          <cell r="F2640" t="str">
            <v>F0673</v>
          </cell>
          <cell r="G2640" t="str">
            <v>New Main Extensions (S)</v>
          </cell>
          <cell r="H2640" t="str">
            <v>Install 1795F 2-4P Villa Parkwood 2</v>
          </cell>
          <cell r="I2640" t="str">
            <v>completed</v>
          </cell>
          <cell r="J2640" t="str">
            <v>Install ~1645 Ft of 2" PL IP Main, ~150 Ft of 4" PL IP Main.  This project is new business and will serve a 34 lot subdivision.</v>
          </cell>
          <cell r="L2640">
            <v>42632</v>
          </cell>
          <cell r="M2640">
            <v>42766</v>
          </cell>
          <cell r="O2640">
            <v>42614</v>
          </cell>
          <cell r="P2640" t="str">
            <v>0901-043021  JACKSON CTY/LEE'S SUMMIT OFFIC</v>
          </cell>
          <cell r="Q2640">
            <v>21434.35</v>
          </cell>
          <cell r="R2640">
            <v>-3709.5</v>
          </cell>
        </row>
        <row r="2641">
          <cell r="A2641" t="str">
            <v>006716</v>
          </cell>
          <cell r="B2641" t="str">
            <v>LDC 2</v>
          </cell>
          <cell r="D2641" t="str">
            <v>yes</v>
          </cell>
          <cell r="E2641" t="str">
            <v>20901143349</v>
          </cell>
          <cell r="F2641" t="str">
            <v>F0549</v>
          </cell>
          <cell r="G2641" t="str">
            <v>Street &amp; highway relocates - safety</v>
          </cell>
          <cell r="H2641" t="str">
            <v>Relocate 4in pbs main</v>
          </cell>
          <cell r="I2641" t="str">
            <v>posted to CPR</v>
          </cell>
          <cell r="J2641" t="str">
            <v>Relocate 4in pbs main: Lees Summit: Relocate for Street &amp; Highway-Safety Related (44-389)</v>
          </cell>
          <cell r="K2641" t="str">
            <v>Approved by: Steve Holcomb on 10/17/2014,  Relocate and abandon 2,086' - 2" pbs main, 962' - 2" pcs main, 575' - 2" pe main, 36' - 3" pcs main, 36' - 4" pbs main and 1,273' - 4" pcs main by installing 4,110' - 2" pe main and 1,605' - 4" pe main to allow the City of Lee's Summit to rebuild the street and install new storm sewers (ISRS)</v>
          </cell>
          <cell r="L2641">
            <v>42058</v>
          </cell>
          <cell r="M2641">
            <v>42124</v>
          </cell>
          <cell r="N2641">
            <v>42223.566458333298</v>
          </cell>
          <cell r="O2641">
            <v>42064</v>
          </cell>
          <cell r="P2641" t="str">
            <v>0901-043021  JACKSON CTY/LEE'S SUMMIT OFFIC</v>
          </cell>
          <cell r="Q2641">
            <v>225067.2</v>
          </cell>
          <cell r="R2641">
            <v>-7281</v>
          </cell>
        </row>
        <row r="2642">
          <cell r="A2642" t="str">
            <v>006655</v>
          </cell>
          <cell r="B2642" t="str">
            <v>LDC 2</v>
          </cell>
          <cell r="D2642" t="str">
            <v>no</v>
          </cell>
          <cell r="E2642" t="str">
            <v>20901143835</v>
          </cell>
          <cell r="F2642" t="str">
            <v>F0676</v>
          </cell>
          <cell r="G2642" t="str">
            <v>Meter &amp; regulator settings - 2" &amp; l</v>
          </cell>
          <cell r="H2642" t="str">
            <v>BHA Altair Acquisition Co Inst 23M</v>
          </cell>
          <cell r="I2642" t="str">
            <v>posted to CPR</v>
          </cell>
          <cell r="J2642" t="str">
            <v>BHA Altair Acquisition Co: Lees Summit: New Meter &amp; Reg Settings - 2&amp;quot; &amp; Larger 3820/3830 (33-382)</v>
          </cell>
          <cell r="K2642" t="str">
            <v>Approved by: Ralph Janes on 10/05/2014,  Install a 23M Rotary meter setting to serve 1 commercial customer with additional load.  Retire existing 1.5M Rotary meter setting set on work order 95-0560.  Note:  240' - 4" pe service line to be installed on work order 14-3836.  Existing 153' - 7/8" pe service line installed on BWO in 1995 to be retired and abandoned.</v>
          </cell>
          <cell r="L2642">
            <v>41988</v>
          </cell>
          <cell r="M2642">
            <v>42035</v>
          </cell>
          <cell r="N2642">
            <v>42043.5074537037</v>
          </cell>
          <cell r="O2642">
            <v>41974</v>
          </cell>
          <cell r="P2642" t="str">
            <v>0901-043021  JACKSON CTY/LEE'S SUMMIT OFFIC</v>
          </cell>
          <cell r="Q2642">
            <v>14680.32</v>
          </cell>
          <cell r="R2642">
            <v>-41</v>
          </cell>
        </row>
        <row r="2643">
          <cell r="A2643" t="str">
            <v>006233</v>
          </cell>
          <cell r="B2643" t="str">
            <v>LDC 2</v>
          </cell>
          <cell r="D2643" t="str">
            <v>no</v>
          </cell>
          <cell r="E2643" t="str">
            <v>20901143779</v>
          </cell>
          <cell r="F2643" t="str">
            <v>F0554</v>
          </cell>
          <cell r="G2643" t="str">
            <v>Tools, Instruments &amp; Equipment (S)</v>
          </cell>
          <cell r="H2643" t="str">
            <v>Purchase Tools - Squeeze Off Tools</v>
          </cell>
          <cell r="I2643" t="str">
            <v>posted to CPR</v>
          </cell>
          <cell r="J2643" t="str">
            <v>Purchase Tools - Squeeze Off Tools: Lees Summit: Purchase Tools, Instruments &amp; Equipment  3940 (37-366)</v>
          </cell>
          <cell r="K2643" t="str">
            <v>Approved by: Ralph Janes on 09/02/2014,  Purchase 10 new Mustang GLS-26 Ground Level Squeeze Off Tools for the Lee's Summit I&amp;S Crews and 1 for the Lee's Summit C&amp;M Crews.  Retirement Unit 94760030 - Squeeze-Off Tools Plastic Pipe.</v>
          </cell>
          <cell r="L2643">
            <v>41932</v>
          </cell>
          <cell r="M2643">
            <v>42248</v>
          </cell>
          <cell r="N2643">
            <v>42276.3606365741</v>
          </cell>
          <cell r="O2643">
            <v>41913</v>
          </cell>
          <cell r="P2643" t="str">
            <v>0901-043021  JACKSON CTY/LEE'S SUMMIT OFFIC</v>
          </cell>
          <cell r="Q2643">
            <v>9587.11</v>
          </cell>
          <cell r="R2643">
            <v>21</v>
          </cell>
        </row>
        <row r="2644">
          <cell r="A2644" t="str">
            <v>005775</v>
          </cell>
          <cell r="B2644" t="str">
            <v>LDC 2</v>
          </cell>
          <cell r="D2644" t="str">
            <v>no</v>
          </cell>
          <cell r="E2644" t="str">
            <v>20901143678</v>
          </cell>
          <cell r="F2644" t="str">
            <v>F0554</v>
          </cell>
          <cell r="G2644" t="str">
            <v>Tools, Instruments &amp; Equipment (S)</v>
          </cell>
          <cell r="H2644" t="str">
            <v>Pur Tools - Soil Resistivity Appara</v>
          </cell>
          <cell r="I2644" t="str">
            <v>posted to CPR</v>
          </cell>
          <cell r="J2644" t="str">
            <v>Pur Tools - Soil Resistivity Apparatus: Lees Summit: Purchase Tools, Instruments &amp; Equipment  3940 (37-366)</v>
          </cell>
          <cell r="K2644" t="str">
            <v>Approved by: Ray Wilson on 07/22/2014,  Purchase 2 - Collins Model 54-A Soil Resistivity Apparatus instruments for use by Lee's Summit Contract Inspectors to test exposed main for pipe inspection reports.  Retirement Unit 94130000 - Corrosion Test Instruments.</v>
          </cell>
          <cell r="L2644">
            <v>41892</v>
          </cell>
          <cell r="M2644">
            <v>41912</v>
          </cell>
          <cell r="N2644">
            <v>42013.452094907399</v>
          </cell>
          <cell r="O2644">
            <v>41883</v>
          </cell>
          <cell r="P2644" t="str">
            <v>0901-043021  JACKSON CTY/LEE'S SUMMIT OFFIC</v>
          </cell>
          <cell r="Q2644">
            <v>2240.42</v>
          </cell>
          <cell r="R2644">
            <v>2</v>
          </cell>
        </row>
        <row r="2645">
          <cell r="A2645" t="str">
            <v>004424</v>
          </cell>
          <cell r="B2645" t="str">
            <v>LDC 2</v>
          </cell>
          <cell r="D2645" t="str">
            <v>no</v>
          </cell>
          <cell r="E2645" t="str">
            <v>20901132743</v>
          </cell>
          <cell r="F2645" t="str">
            <v>F0554</v>
          </cell>
          <cell r="G2645" t="str">
            <v>Tools, Instruments &amp; Equipment (S)</v>
          </cell>
          <cell r="H2645" t="str">
            <v>Pur Tools - ARO Motor</v>
          </cell>
          <cell r="I2645" t="str">
            <v>posted to CPR</v>
          </cell>
          <cell r="J2645" t="str">
            <v>Purchase Tools - ARO Motor: Lees Summit: 3025 SE Clover Drive</v>
          </cell>
          <cell r="K2645" t="str">
            <v>Approved by: Ralph Janes on 06/14/2013,  Purchase 1 new ARO Motor #7849E5 IR BQ057.  Retirement Unit 94760004-Shortstop Air Motor.</v>
          </cell>
          <cell r="L2645">
            <v>41536</v>
          </cell>
          <cell r="M2645">
            <v>41578</v>
          </cell>
          <cell r="N2645">
            <v>41584.396423611099</v>
          </cell>
          <cell r="P2645" t="str">
            <v>0901-043021  JACKSON CTY/LEE'S SUMMIT OFFIC</v>
          </cell>
          <cell r="Q2645">
            <v>1541.97</v>
          </cell>
          <cell r="R2645">
            <v>0</v>
          </cell>
        </row>
        <row r="2646">
          <cell r="A2646" t="str">
            <v>003913</v>
          </cell>
          <cell r="B2646" t="str">
            <v>LDC 2</v>
          </cell>
          <cell r="D2646" t="str">
            <v>yes</v>
          </cell>
          <cell r="E2646" t="str">
            <v>20901132775</v>
          </cell>
          <cell r="F2646" t="str">
            <v>F0578</v>
          </cell>
          <cell r="G2646" t="str">
            <v>Street &amp; Highway Relocates ISRS (S)</v>
          </cell>
          <cell r="H2646" t="str">
            <v>Walnut St Reloc PCS w 144'-4in Pe m</v>
          </cell>
          <cell r="I2646" t="str">
            <v>posted to CPR</v>
          </cell>
          <cell r="J2646" t="str">
            <v>Walnut St Reloc PCS w 144'-4in Pe main: Lees Summit: 103 and 105 Walnut St</v>
          </cell>
          <cell r="K2646" t="str">
            <v>Approved by: Ralph Janes on 06/26/2013,  Main to abandon: 72' of 2in PCS from wo# B1660. Relocate with 144' of 2in PE on WO# 13-2775. Relocation is necessary due to early construction of the beginning stages of Robin Hills Stormwater Improvements. The City of Lee's Summit chose to start construction on the beginning phases of this project to help with flooding in this area. This project is a public improvement.</v>
          </cell>
          <cell r="L2646">
            <v>41458</v>
          </cell>
          <cell r="M2646">
            <v>41564</v>
          </cell>
          <cell r="N2646">
            <v>41564.624745370398</v>
          </cell>
          <cell r="P2646" t="str">
            <v>0901-043021  JACKSON CTY/LEE'S SUMMIT OFFIC</v>
          </cell>
          <cell r="Q2646">
            <v>3154.19</v>
          </cell>
          <cell r="R2646">
            <v>793</v>
          </cell>
        </row>
        <row r="2647">
          <cell r="A2647" t="str">
            <v>003825</v>
          </cell>
          <cell r="B2647" t="str">
            <v>LDC 2</v>
          </cell>
          <cell r="D2647" t="str">
            <v>yes</v>
          </cell>
          <cell r="E2647" t="str">
            <v>20901050363</v>
          </cell>
          <cell r="F2647" t="str">
            <v>F0516</v>
          </cell>
          <cell r="G2647" t="str">
            <v>SLRP - meter &amp; regulator replacemen</v>
          </cell>
          <cell r="H2647" t="str">
            <v>BWO SLRP MTR/REG REPL COMPANY</v>
          </cell>
          <cell r="I2647" t="str">
            <v>open</v>
          </cell>
          <cell r="J2647" t="str">
            <v>BWO SLRP MTR/REG REPL COMPANY</v>
          </cell>
          <cell r="K2647" t="str">
            <v>Service/Yard Line Replacement (SLRP): Company Crew.  Rebuild meter/regulator setting (exclude regulator) (Lee's Summit - East Region).</v>
          </cell>
          <cell r="O2647">
            <v>41730</v>
          </cell>
          <cell r="P2647" t="str">
            <v>0901-043021  JACKSON CTY/LEE'S SUMMIT OFFIC</v>
          </cell>
          <cell r="Q2647">
            <v>166766.87</v>
          </cell>
          <cell r="R2647">
            <v>15397.67</v>
          </cell>
        </row>
        <row r="2648">
          <cell r="A2648" t="str">
            <v>008685</v>
          </cell>
          <cell r="B2648" t="str">
            <v>LDC 2</v>
          </cell>
          <cell r="D2648" t="str">
            <v>no</v>
          </cell>
          <cell r="E2648" t="str">
            <v>20605155336</v>
          </cell>
          <cell r="F2648" t="str">
            <v>F0677</v>
          </cell>
          <cell r="G2648" t="str">
            <v>New business</v>
          </cell>
          <cell r="H2648" t="str">
            <v>2800ft 4in Main Ext - Golden City I</v>
          </cell>
          <cell r="I2648" t="str">
            <v>posted to CPR</v>
          </cell>
          <cell r="J2648" t="str">
            <v>2800ft 4in Main Ext - Golden City Irrigation Well: Golden City: New Main Extension - Contractor Crews  3760 (33-380)</v>
          </cell>
          <cell r="K2648" t="str">
            <v>Approved by: Joe Hampton on 06/05/2015,  Install 2,800ft of 4" main extension and 50' of 2" steel to serve customer irrigation wells. One new service will be accomated by this extension with the possibility for future expansion.
Regulation will be required for this extension.  
Customer Contribution of $28,040.00. 
Division:  06 Town: 04 Sector: 2700 Pressure System: S-1 MAOP: 157psig MOP: 150psig</v>
          </cell>
          <cell r="L2648">
            <v>42216</v>
          </cell>
          <cell r="M2648">
            <v>42461</v>
          </cell>
          <cell r="N2648">
            <v>42496.560706018499</v>
          </cell>
          <cell r="O2648">
            <v>42278</v>
          </cell>
          <cell r="P2648" t="str">
            <v>0605-006007  BARTON CTY/GOLDEN CITY</v>
          </cell>
          <cell r="Q2648">
            <v>65068.79</v>
          </cell>
          <cell r="R2648">
            <v>-6874</v>
          </cell>
        </row>
        <row r="2649">
          <cell r="A2649" t="str">
            <v>008195</v>
          </cell>
          <cell r="B2649" t="str">
            <v>LDC 2</v>
          </cell>
          <cell r="D2649" t="str">
            <v>no</v>
          </cell>
          <cell r="E2649" t="str">
            <v>21001155145</v>
          </cell>
          <cell r="F2649" t="str">
            <v>F0533</v>
          </cell>
          <cell r="G2649" t="str">
            <v>Services -  2" &amp; larger</v>
          </cell>
          <cell r="H2649" t="str">
            <v>BHJ USA INC-2IN SERVICE LINE</v>
          </cell>
          <cell r="I2649" t="str">
            <v>posted to CPR</v>
          </cell>
          <cell r="J2649" t="str">
            <v>BHJ USA INC-2IN SERVICE LINE: St Joseph: New Services 2&amp;quot; &amp; Larger  3800 (33-381)</v>
          </cell>
          <cell r="K2649" t="str">
            <v>Approved by: Gary Williams on 04/16/2015,  Install 250' of  2" PE service to serve one new commercial customer. This customer will be served off of the 94PSIG main with a first cut regulator to be installed and set to 30PSIG. First cut regulator to installed on meter set work order.</v>
          </cell>
          <cell r="L2649">
            <v>42143</v>
          </cell>
          <cell r="M2649">
            <v>42369</v>
          </cell>
          <cell r="N2649">
            <v>42377.476990740703</v>
          </cell>
          <cell r="O2649">
            <v>42125</v>
          </cell>
          <cell r="P2649" t="str">
            <v>1001-010001  ST. JOSEPH CITY/BUCHANAN</v>
          </cell>
          <cell r="Q2649">
            <v>8132.06</v>
          </cell>
          <cell r="R2649">
            <v>-719</v>
          </cell>
        </row>
        <row r="2650">
          <cell r="A2650" t="str">
            <v>800124</v>
          </cell>
          <cell r="B2650" t="str">
            <v>LDC 2</v>
          </cell>
          <cell r="C2650" t="str">
            <v>03 - Bare Steel Replacement</v>
          </cell>
          <cell r="D2650" t="str">
            <v>yes</v>
          </cell>
          <cell r="F2650" t="str">
            <v>F0599</v>
          </cell>
          <cell r="G2650" t="str">
            <v>Main Replacement - ISRS (N)</v>
          </cell>
          <cell r="H2650" t="str">
            <v>Repl w/ 3375F 2P Liberty PhG</v>
          </cell>
          <cell r="I2650" t="str">
            <v>open</v>
          </cell>
          <cell r="J2650" t="str">
            <v>Install 3375 Ft of 2in PL IP, abandon 21 Ft of 1.25in ST main, 3105 Ft of 2in ST main, 230 Ft of 3in ST in Liberty, MO - Phase G.</v>
          </cell>
          <cell r="K2650" t="str">
            <v>This main is being replaced as part of FY16 Bare Steel Replacement Program.</v>
          </cell>
          <cell r="P2650" t="str">
            <v>1207-020001  CLAY CTY/LIBERTY</v>
          </cell>
          <cell r="Q2650">
            <v>159267.37</v>
          </cell>
          <cell r="R2650">
            <v>-4939</v>
          </cell>
        </row>
        <row r="2651">
          <cell r="A2651" t="str">
            <v>007911</v>
          </cell>
          <cell r="B2651" t="str">
            <v>LDC 2</v>
          </cell>
          <cell r="D2651" t="str">
            <v>no</v>
          </cell>
          <cell r="E2651" t="str">
            <v>20401155080</v>
          </cell>
          <cell r="F2651" t="str">
            <v>F0673</v>
          </cell>
          <cell r="G2651" t="str">
            <v>New Main Extensions (S)</v>
          </cell>
          <cell r="H2651" t="str">
            <v>Pink Hill Acres 2nd Plat Main Ext</v>
          </cell>
          <cell r="I2651" t="str">
            <v>posted to CPR</v>
          </cell>
          <cell r="J2651" t="str">
            <v>Pink Hill Acres 2nd Plat: Grain Valley: New Main Extension - Company Crews  3760 (33-305)</v>
          </cell>
          <cell r="K2651" t="str">
            <v>Approved by: Kevin Driskell on 01/14/2015,  Install 445' - 4" pe and 1,620' - 2" pe main extension to serve 9 new residential lots.  Check received 3-19-15 per WOES $17,552.50</v>
          </cell>
          <cell r="L2651">
            <v>42104</v>
          </cell>
          <cell r="M2651">
            <v>42124</v>
          </cell>
          <cell r="N2651">
            <v>42223.566990740699</v>
          </cell>
          <cell r="O2651">
            <v>42095</v>
          </cell>
          <cell r="P2651" t="str">
            <v>0925-043035  JACKSON CTY/GRAIN VALLEY</v>
          </cell>
          <cell r="Q2651">
            <v>18186.32</v>
          </cell>
          <cell r="R2651">
            <v>-4032</v>
          </cell>
        </row>
        <row r="2652">
          <cell r="A2652" t="str">
            <v>008957</v>
          </cell>
          <cell r="B2652" t="str">
            <v>LDC 2</v>
          </cell>
          <cell r="D2652" t="str">
            <v>no</v>
          </cell>
          <cell r="E2652" t="str">
            <v>20101155446</v>
          </cell>
          <cell r="F2652" t="str">
            <v>F0577</v>
          </cell>
          <cell r="G2652" t="str">
            <v>ERT Purchases</v>
          </cell>
          <cell r="H2652" t="str">
            <v>Purchase New 100G National / Spragu</v>
          </cell>
          <cell r="I2652" t="str">
            <v>posted to CPR</v>
          </cell>
          <cell r="J2652" t="str">
            <v>Purchase New 100G National / Sprague Erts  : Kansas City CORP: Purchase ERT (Electronic Reading Transmitter)  3971 (32-312)</v>
          </cell>
          <cell r="K2652" t="str">
            <v>Approved by: John Jankovich on 07/14/2015,  Following purchase is for stock/Ert Changeout Program</v>
          </cell>
          <cell r="L2652">
            <v>42460</v>
          </cell>
          <cell r="M2652">
            <v>42461</v>
          </cell>
          <cell r="N2652">
            <v>42496.560810185198</v>
          </cell>
          <cell r="O2652">
            <v>42461</v>
          </cell>
          <cell r="P2652" t="str">
            <v>1904-043050  JACKSON CTY/KC</v>
          </cell>
          <cell r="Q2652">
            <v>123379.2</v>
          </cell>
          <cell r="R2652">
            <v>3200</v>
          </cell>
        </row>
        <row r="2653">
          <cell r="A2653" t="str">
            <v>008741</v>
          </cell>
          <cell r="B2653" t="str">
            <v>LDC 2</v>
          </cell>
          <cell r="D2653" t="str">
            <v>no</v>
          </cell>
          <cell r="F2653" t="str">
            <v>F0525</v>
          </cell>
          <cell r="G2653" t="str">
            <v>BWO - meters retired</v>
          </cell>
          <cell r="H2653" t="str">
            <v>BWO - Retire Only - ERTs</v>
          </cell>
          <cell r="I2653" t="str">
            <v>open</v>
          </cell>
          <cell r="J2653" t="str">
            <v>BWO - Retire Only - ERTs</v>
          </cell>
          <cell r="K2653" t="str">
            <v>This work order to be used to book original cost retirements and asset transfers for MGE ERTs - No labor or material should be charged.</v>
          </cell>
          <cell r="P2653" t="str">
            <v>1904-043050  JACKSON CTY/KC</v>
          </cell>
          <cell r="Q2653">
            <v>2803382.14</v>
          </cell>
          <cell r="R2653">
            <v>46142</v>
          </cell>
        </row>
        <row r="2654">
          <cell r="A2654" t="str">
            <v>007194</v>
          </cell>
          <cell r="B2654" t="str">
            <v>LDC 2</v>
          </cell>
          <cell r="D2654" t="str">
            <v>no</v>
          </cell>
          <cell r="E2654" t="str">
            <v>20101144031</v>
          </cell>
          <cell r="F2654" t="str">
            <v>F0577</v>
          </cell>
          <cell r="G2654" t="str">
            <v>ERT Purchases</v>
          </cell>
          <cell r="H2654" t="str">
            <v>Purchase 5000 Erts August 2015</v>
          </cell>
          <cell r="I2654" t="str">
            <v>posted to CPR</v>
          </cell>
          <cell r="J2654" t="str">
            <v>Purchase 5000 Erts August 2015: Kansas City CORP: Purchase ERT (Electronic Reading Transmitter)  3971 (32-312)</v>
          </cell>
          <cell r="K2654" t="str">
            <v>Approved by: Steve Holcomb on 12/08/2014,  Ert Change Out Program.</v>
          </cell>
          <cell r="L2654">
            <v>42173</v>
          </cell>
          <cell r="M2654">
            <v>42461</v>
          </cell>
          <cell r="N2654">
            <v>42496.560150463003</v>
          </cell>
          <cell r="O2654">
            <v>42186</v>
          </cell>
          <cell r="P2654" t="str">
            <v>1904-043050  JACKSON CTY/KC</v>
          </cell>
          <cell r="Q2654">
            <v>192780</v>
          </cell>
          <cell r="R2654">
            <v>5000</v>
          </cell>
        </row>
        <row r="2655">
          <cell r="A2655" t="str">
            <v>800822</v>
          </cell>
          <cell r="B2655" t="str">
            <v>LDC 2</v>
          </cell>
          <cell r="D2655" t="str">
            <v>no</v>
          </cell>
          <cell r="F2655" t="str">
            <v>F0614</v>
          </cell>
          <cell r="G2655" t="str">
            <v>Main Repl - Sys Reinforcement (N)</v>
          </cell>
          <cell r="H2655" t="str">
            <v>Rein 3187F 8P Shoal Creek</v>
          </cell>
          <cell r="I2655" t="str">
            <v>open</v>
          </cell>
          <cell r="J2655" t="str">
            <v>Install~ 3187 ft of 8 in IP PE main.</v>
          </cell>
          <cell r="K2655" t="str">
            <v>Abandon~ 10 ft of 6 in IP PE main.  Uprate ~ 66665 ft of 2 in IP PE main, 21066 ft of 4 in IP PE main, 13929 ft of 6 in IP PE main, 2 ft of 6 in IP ST main and 911 ft of 8 in IP ST main.  Services.  Uprated services=1081</v>
          </cell>
          <cell r="P2655" t="str">
            <v>1271-020036  CLAY CTY/KANSAS CITY</v>
          </cell>
          <cell r="Q2655">
            <v>0</v>
          </cell>
          <cell r="R2655">
            <v>10</v>
          </cell>
        </row>
        <row r="2656">
          <cell r="A2656" t="str">
            <v>800470</v>
          </cell>
          <cell r="B2656" t="str">
            <v>LDC 2</v>
          </cell>
          <cell r="C2656" t="str">
            <v>09 - Facility Relocation due to Civic Improvement</v>
          </cell>
          <cell r="D2656" t="str">
            <v>yes</v>
          </cell>
          <cell r="F2656" t="str">
            <v>F0547</v>
          </cell>
          <cell r="G2656" t="str">
            <v>Street &amp; Highway Relocates ISRS (N)</v>
          </cell>
          <cell r="H2656" t="str">
            <v>Reloc 1124F 6P Englewood Phase 1A</v>
          </cell>
          <cell r="I2656" t="str">
            <v>open</v>
          </cell>
          <cell r="J2656" t="str">
            <v>Install ~1124 ft of 6 in PL MP main along Englewood at Highway 169.</v>
          </cell>
          <cell r="K2656" t="str">
            <v>Retire ~393 ft of 4 in PL MP main and 729 ft of 4 in ST MP main at above location. Tie-over = 1 service. This project is being done due to public improvement project.  New storm sewers and road reconstruction are being installed as part of the project.  Kansas City project number 89008121.</v>
          </cell>
          <cell r="P2656" t="str">
            <v>1271-020036  CLAY CTY/KANSAS CITY</v>
          </cell>
          <cell r="Q2656">
            <v>0</v>
          </cell>
          <cell r="R2656">
            <v>1122</v>
          </cell>
        </row>
        <row r="2657">
          <cell r="A2657" t="str">
            <v>800357</v>
          </cell>
          <cell r="B2657" t="str">
            <v>LDC 2</v>
          </cell>
          <cell r="D2657" t="str">
            <v>no</v>
          </cell>
          <cell r="F2657" t="str">
            <v>F0647</v>
          </cell>
          <cell r="G2657" t="str">
            <v>New Main Extensions (N)</v>
          </cell>
          <cell r="H2657" t="str">
            <v>Inst 3325F 6P NKC School CNG NB</v>
          </cell>
          <cell r="I2657" t="str">
            <v>in service</v>
          </cell>
          <cell r="J2657" t="str">
            <v>Install 3325 ft of 6P to serve new customer at 2000 NE 46TH ST - KC, Mo - NKC School CNG - 125 buses.</v>
          </cell>
          <cell r="L2657">
            <v>42669</v>
          </cell>
          <cell r="O2657">
            <v>42644</v>
          </cell>
          <cell r="P2657" t="str">
            <v>1271-020036  CLAY CTY/KANSAS CITY</v>
          </cell>
          <cell r="Q2657">
            <v>130565.7</v>
          </cell>
          <cell r="R2657">
            <v>-6339</v>
          </cell>
        </row>
        <row r="2658">
          <cell r="A2658" t="str">
            <v>008392</v>
          </cell>
          <cell r="B2658" t="str">
            <v>LDC 2</v>
          </cell>
          <cell r="D2658" t="str">
            <v>yes</v>
          </cell>
          <cell r="E2658" t="str">
            <v>21271155342</v>
          </cell>
          <cell r="F2658" t="str">
            <v>F0665</v>
          </cell>
          <cell r="G2658" t="str">
            <v>Replace steel &amp; plastic main</v>
          </cell>
          <cell r="H2658" t="str">
            <v>2in CS Replacement</v>
          </cell>
          <cell r="I2658" t="str">
            <v>posted to CPR</v>
          </cell>
          <cell r="J2658" t="str">
            <v>2in CS Replacement: Kansas City-Clay Co: Replace Coated Steel &amp; Plastic Main - 3760 (34-396)</v>
          </cell>
          <cell r="K2658" t="str">
            <v>Approved by: Gary Williams on 05/11/2015,  Replace 9' of 2'' PCS with 14' of 2'' PCS due to leak. Pressure system C-022.</v>
          </cell>
          <cell r="L2658">
            <v>42006</v>
          </cell>
          <cell r="M2658">
            <v>42247</v>
          </cell>
          <cell r="N2658">
            <v>42284.723599536999</v>
          </cell>
          <cell r="O2658">
            <v>42125</v>
          </cell>
          <cell r="P2658" t="str">
            <v>1271-020036  CLAY CTY/KANSAS CITY</v>
          </cell>
          <cell r="Q2658">
            <v>5354.81</v>
          </cell>
          <cell r="R2658">
            <v>40</v>
          </cell>
        </row>
        <row r="2659">
          <cell r="A2659" t="str">
            <v>005993</v>
          </cell>
          <cell r="B2659" t="str">
            <v>LDC 2</v>
          </cell>
          <cell r="D2659" t="str">
            <v>no</v>
          </cell>
          <cell r="E2659" t="str">
            <v>21271143439</v>
          </cell>
          <cell r="F2659" t="str">
            <v>F0610</v>
          </cell>
          <cell r="G2659" t="str">
            <v>New business</v>
          </cell>
          <cell r="H2659" t="str">
            <v>STALEY HILLS-6 Main Ext</v>
          </cell>
          <cell r="I2659" t="str">
            <v>posted to CPR</v>
          </cell>
          <cell r="J2659" t="str">
            <v>STALEY HILLS-6: Kansas City-Clay Co: New Main Extension - Contractor Crews  3760 (33-380)</v>
          </cell>
          <cell r="K2659" t="str">
            <v>Approved by: Gary Williams on 06/06/2014,  LAY 643'-4" PE &amp; 2,506'-2" PE TO SERVE SUBDIVISION.  LOTS 178-238.  61 LOTS. COST PER FOOT=$10.17   3,149' x $8.50=$26,766.50  DEVELOPER TO CONTRIBUTE $26,766.50 BEFORE START OF PROJECT. Check for $26766.50 and MEA 1271-4489 received 8-18-14 per WOES.</v>
          </cell>
          <cell r="L2659">
            <v>42034</v>
          </cell>
          <cell r="M2659">
            <v>42063</v>
          </cell>
          <cell r="N2659">
            <v>42160.553449074097</v>
          </cell>
          <cell r="O2659">
            <v>42036</v>
          </cell>
          <cell r="P2659" t="str">
            <v>1271-020036  CLAY CTY/KANSAS CITY</v>
          </cell>
          <cell r="Q2659">
            <v>33618.26</v>
          </cell>
          <cell r="R2659">
            <v>-6753</v>
          </cell>
        </row>
        <row r="2660">
          <cell r="A2660" t="str">
            <v>004629</v>
          </cell>
          <cell r="B2660" t="str">
            <v>LDC 2</v>
          </cell>
          <cell r="D2660" t="str">
            <v>yes</v>
          </cell>
          <cell r="E2660" t="str">
            <v>21271121673</v>
          </cell>
          <cell r="F2660" t="str">
            <v>F0600</v>
          </cell>
          <cell r="G2660" t="str">
            <v>Station Rebuild &amp; Repl ISRS (N)</v>
          </cell>
          <cell r="H2660" t="str">
            <v>113th &amp; Main Rebuild DRS #332</v>
          </cell>
          <cell r="I2660" t="str">
            <v>posted to CPR</v>
          </cell>
          <cell r="J2660" t="str">
            <v>113th &amp; Main Rebuild DRS #332: Kansas City-Clay Co: 113th &amp; Main</v>
          </cell>
          <cell r="K2660" t="str">
            <v>Approved by: Rob Kitterman on 08/29/2012,  Rebuild DRS#332 located at 113th &amp; Main St. Current DRS regulators need to be increased in size due to adding this reg station into the C-36 system.  We will rebuild only above the riser valves. A pair of 461-57S regs with 1in double valves will be used. The outlet pressure is 20 psig. New control lines will need to installed to run the new regulators.  The current regulators are Fisher 627 (1st cut/2nd cut)</v>
          </cell>
          <cell r="L2660">
            <v>41685</v>
          </cell>
          <cell r="M2660">
            <v>41729</v>
          </cell>
          <cell r="N2660">
            <v>41733.309953703698</v>
          </cell>
          <cell r="O2660">
            <v>41730</v>
          </cell>
          <cell r="P2660" t="str">
            <v>1271-020036  CLAY CTY/KANSAS CITY</v>
          </cell>
          <cell r="Q2660">
            <v>9734.68</v>
          </cell>
          <cell r="R2660">
            <v>105</v>
          </cell>
        </row>
        <row r="2661">
          <cell r="A2661" t="str">
            <v>004534</v>
          </cell>
          <cell r="B2661" t="str">
            <v>LDC 2</v>
          </cell>
          <cell r="D2661" t="str">
            <v>no</v>
          </cell>
          <cell r="E2661" t="str">
            <v>21271143370</v>
          </cell>
          <cell r="F2661" t="str">
            <v>F0498</v>
          </cell>
          <cell r="G2661" t="str">
            <v>Other relocates</v>
          </cell>
          <cell r="H2661" t="str">
            <v>5400 NE Chouteau Reloc 54'-2IN PCS</v>
          </cell>
          <cell r="I2661" t="str">
            <v>posted to CPR</v>
          </cell>
          <cell r="J2661" t="str">
            <v>5400 NE Chouteau Reloc 54'-2IN PCS: Kansas City-Clay Co: 5400 NE CHOUTEAU TRFWY</v>
          </cell>
          <cell r="K2661" t="str">
            <v>Approved by: Kevin Driskell on 02/24/2014,  RELOCATE 54'-2" TF STEEL DUE TO CONFLICT WITH NEW STORM SEWER STRUCTURE. ONE WAY FEED.  ABANDON 50 FT - 2" PCS (73-3056).  COST PER FOOT=$204.07 CUSTOMER TO CONTRIBUTE $11,019.60 BEFORE START OF PROJECT.</v>
          </cell>
          <cell r="L2661">
            <v>41710</v>
          </cell>
          <cell r="M2661">
            <v>42217</v>
          </cell>
          <cell r="N2661">
            <v>42345.611377314803</v>
          </cell>
          <cell r="O2661">
            <v>41730</v>
          </cell>
          <cell r="P2661" t="str">
            <v>1271-020036  CLAY CTY/KANSAS CITY</v>
          </cell>
          <cell r="Q2661">
            <v>-6525.95</v>
          </cell>
          <cell r="R2661">
            <v>1218</v>
          </cell>
        </row>
        <row r="2662">
          <cell r="A2662" t="str">
            <v>008366</v>
          </cell>
          <cell r="B2662" t="str">
            <v>LDC 2</v>
          </cell>
          <cell r="D2662" t="str">
            <v>yes</v>
          </cell>
          <cell r="E2662" t="str">
            <v>21272155334</v>
          </cell>
          <cell r="F2662" t="str">
            <v>F0613</v>
          </cell>
          <cell r="G2662" t="str">
            <v>Replace bare steel main - safety re</v>
          </cell>
          <cell r="H2662" t="str">
            <v>8in PBS Relocation</v>
          </cell>
          <cell r="I2662" t="str">
            <v>posted to CPR</v>
          </cell>
          <cell r="J2662" t="str">
            <v>8in PBS Relocation: North Kansas City: Replace Bare Steel Main - 3760 Safety Related (34-394)</v>
          </cell>
          <cell r="K2662" t="str">
            <v>Approved by: Joe Hampton on 05/07/2015,  ISRS Replace 8'' PBS with 942' of 8'' PE. Pressure system C-049. Proposed 8'' PE needs to be laid in 20' gas easement. Coordinate with engineering to have the easement staked prior to construction.</v>
          </cell>
          <cell r="L2662">
            <v>42180</v>
          </cell>
          <cell r="M2662">
            <v>42248</v>
          </cell>
          <cell r="N2662">
            <v>42284.723576388897</v>
          </cell>
          <cell r="O2662">
            <v>42186</v>
          </cell>
          <cell r="P2662" t="str">
            <v>1272-020043  CLAY CTY/NORTH KANSAS CITY</v>
          </cell>
          <cell r="Q2662">
            <v>51803.35</v>
          </cell>
          <cell r="R2662">
            <v>-782</v>
          </cell>
        </row>
        <row r="2663">
          <cell r="A2663" t="str">
            <v>800507</v>
          </cell>
          <cell r="B2663" t="str">
            <v>LDC 2</v>
          </cell>
          <cell r="C2663" t="str">
            <v>01 - Cast Iron Strategic Replacement</v>
          </cell>
          <cell r="D2663" t="str">
            <v>yes</v>
          </cell>
          <cell r="F2663" t="str">
            <v>F0599</v>
          </cell>
          <cell r="G2663" t="str">
            <v>Main Replacement - ISRS (N)</v>
          </cell>
          <cell r="H2663" t="str">
            <v>Repl 6390F 2-6P 63rd &amp; 55th Ph 1J</v>
          </cell>
          <cell r="I2663" t="str">
            <v>open</v>
          </cell>
          <cell r="J2663" t="str">
            <v>Install 4,705 Ft of 2-inch PL IP main and 1,685 Ft of 6-inch PL IP main on Virginia Ave and Lydia Ave in between 55th St and 59th St.</v>
          </cell>
          <cell r="K2663" t="str">
            <v>Abandon 1,178 Ft of 4-inch CI LP main, 329 Ft of 6-inch CI LP main, 353 Ft of 8-inch CI LP main, 135 Ft of 2-inch ST LP main, 1,921 Ft of 3-inch ST LP main, 2,131 Ft of 4-inch ST LP main at the above location.  Total Service Tie-over = 165; Total Service Replacement = 24; Total Service Abandoned = 11;  This main is being abandoned as part of FY16 Bare Steel Replacement Program.</v>
          </cell>
          <cell r="P2663" t="str">
            <v>0401-043050  JACKSON CTY/KC</v>
          </cell>
          <cell r="Q2663">
            <v>0</v>
          </cell>
          <cell r="R2663">
            <v>6047</v>
          </cell>
        </row>
        <row r="2664">
          <cell r="A2664" t="str">
            <v>800944</v>
          </cell>
          <cell r="B2664" t="str">
            <v>LDC 2</v>
          </cell>
          <cell r="D2664" t="str">
            <v>no</v>
          </cell>
          <cell r="F2664" t="str">
            <v>F0647</v>
          </cell>
          <cell r="G2664" t="str">
            <v>New Main Extensions (N)</v>
          </cell>
          <cell r="H2664" t="str">
            <v>Install 355F 2-4P Sprinter Service</v>
          </cell>
          <cell r="I2664" t="str">
            <v>open</v>
          </cell>
          <cell r="J2664" t="str">
            <v>Install approximately 310ft of 4in IP PE and approximately 45ft of 2in IP PE and
60ft of 1/2in IP PE service to accommodate new commercial customer.</v>
          </cell>
          <cell r="K2664" t="str">
            <v>COMMERCIAL CONTACT AUSTIN REYNOLDS 816 769 79361/2 PSIG.  LOAD 855 CFH, Future Load for Phase III will be 2000 CFH.  ELEVATED PRESSURE  NEEDS EASEMENT.</v>
          </cell>
          <cell r="P2664" t="str">
            <v>0401-043050  JACKSON CTY/KC</v>
          </cell>
          <cell r="Q2664">
            <v>1184.6099999999999</v>
          </cell>
          <cell r="R2664">
            <v>-1072</v>
          </cell>
        </row>
        <row r="2665">
          <cell r="A2665" t="str">
            <v>800699</v>
          </cell>
          <cell r="B2665" t="str">
            <v>LDC 2</v>
          </cell>
          <cell r="D2665" t="str">
            <v>no</v>
          </cell>
          <cell r="F2665" t="str">
            <v>F0547</v>
          </cell>
          <cell r="G2665" t="str">
            <v>Street &amp; Highway Relocates ISRS (N)</v>
          </cell>
          <cell r="H2665" t="str">
            <v>Reloc 260F 6P Jim Hawk Trucking CJ</v>
          </cell>
          <cell r="I2665" t="str">
            <v>in service</v>
          </cell>
          <cell r="J2665" t="str">
            <v>Relocate 260' of 6" CST due to building expansion. Customer reimbursable.</v>
          </cell>
          <cell r="L2665">
            <v>42691</v>
          </cell>
          <cell r="O2665">
            <v>42705</v>
          </cell>
          <cell r="P2665" t="str">
            <v>0401-043050  JACKSON CTY/KC</v>
          </cell>
          <cell r="Q2665">
            <v>13389.62</v>
          </cell>
          <cell r="R2665">
            <v>-126</v>
          </cell>
        </row>
        <row r="2666">
          <cell r="A2666" t="str">
            <v>800947</v>
          </cell>
          <cell r="B2666" t="str">
            <v>LDC 2</v>
          </cell>
          <cell r="D2666" t="str">
            <v>no</v>
          </cell>
          <cell r="F2666" t="str">
            <v>F0647</v>
          </cell>
          <cell r="G2666" t="str">
            <v>New Main Extensions (N)</v>
          </cell>
          <cell r="H2666" t="str">
            <v>Install 140F 2P 3309 E 41st St</v>
          </cell>
          <cell r="I2666" t="str">
            <v>open</v>
          </cell>
          <cell r="J2666" t="str">
            <v>Install 140 ft of 2 in IP PE main to serve residential customer.</v>
          </cell>
          <cell r="K2666" t="str">
            <v>This is a house where the main was abandoned during the replacement program, but now a family has moved in.</v>
          </cell>
          <cell r="P2666" t="str">
            <v>0401-043050  JACKSON CTY/KC</v>
          </cell>
          <cell r="Q2666">
            <v>11022.63</v>
          </cell>
          <cell r="R2666">
            <v>-437</v>
          </cell>
        </row>
        <row r="2667">
          <cell r="A2667" t="str">
            <v>800150</v>
          </cell>
          <cell r="B2667" t="str">
            <v>LDC 2</v>
          </cell>
          <cell r="C2667" t="str">
            <v>01 - Cast Iron Strategic Replacement</v>
          </cell>
          <cell r="D2667" t="str">
            <v>yes</v>
          </cell>
          <cell r="F2667" t="str">
            <v>F0599</v>
          </cell>
          <cell r="G2667" t="str">
            <v>Main Replacement - ISRS (N)</v>
          </cell>
          <cell r="H2667" t="str">
            <v>Repl w 4743F 2-6P 71 &amp; Gregory Ph J</v>
          </cell>
          <cell r="I2667" t="str">
            <v>open</v>
          </cell>
          <cell r="J2667" t="str">
            <v>Install ~3871 ft of 2 in PL IP main and ~872 ft of 6 in PL IP main on Bellefontaine, Walrond, College, 74th, and 73rd Street.</v>
          </cell>
          <cell r="K2667" t="str">
            <v>Retire ~1618 ft of 4 in CI LP main, ~42 ft of 6 in CI LP main, ~164 ft of 4 in PL LP main, ~336 ft of 2 in ST LP main, ~182 ft of 3 in ST LP main, and ~2297 ft of 4 in ST LP main. Uprate ~334 of 4 in PL LP to IP main on 75th Street. Total Service Tie-Over = 56; Total Service Replace = 63; Total Service Uprate = 3. This main is being abandoned as part of FY16 Bare Steel and Cast Iron Replacement Program.</v>
          </cell>
          <cell r="P2667" t="str">
            <v>0401-043050  JACKSON CTY/KC</v>
          </cell>
          <cell r="Q2667">
            <v>167017.34</v>
          </cell>
          <cell r="R2667">
            <v>-5226</v>
          </cell>
        </row>
        <row r="2668">
          <cell r="A2668" t="str">
            <v>800626</v>
          </cell>
          <cell r="B2668" t="str">
            <v>LDC 2</v>
          </cell>
          <cell r="C2668" t="str">
            <v>01 - Cast Iron Strategic Replacement</v>
          </cell>
          <cell r="D2668" t="str">
            <v>yes</v>
          </cell>
          <cell r="F2668" t="str">
            <v>F0599</v>
          </cell>
          <cell r="G2668" t="str">
            <v>Main Replacement - ISRS (N)</v>
          </cell>
          <cell r="H2668" t="str">
            <v>Repl 8693F 2-4-6P 57th &amp; Bales IUI</v>
          </cell>
          <cell r="I2668" t="str">
            <v>open</v>
          </cell>
          <cell r="J2668" t="str">
            <v>Install ~6436 ft of 2 in PL IP main, ~989 ft of 4 in PL IP main, and ~1268 ft of 6 in PL IP main on Swope Parkway, Bales Ave, Askew, 59th, 58th Terr, 57th, and 56th Street.</v>
          </cell>
          <cell r="K2668" t="str">
            <v>Retire ~629 ft of 4 in CI LP main, ~4659 ft of 6 in CI LP main, ~1207 ft of 8 in CI LP main, ~1345 ft of 12 in CI LP main at above location. Uprate ~332 ft of 2 in LP to IP main on Askew. Total Service Tie-over = 113; Total Service Replace = 31; Total Service Uprate = 8. This main is being replaced due to two cast iron breaks.  This has a compliance date of 10/18/2016.</v>
          </cell>
          <cell r="P2668" t="str">
            <v>0401-043050  JACKSON CTY/KC</v>
          </cell>
          <cell r="Q2668">
            <v>411897.4</v>
          </cell>
          <cell r="R2668">
            <v>-8361.5</v>
          </cell>
        </row>
        <row r="2669">
          <cell r="A2669" t="str">
            <v>800686</v>
          </cell>
          <cell r="B2669" t="str">
            <v>LDC 2</v>
          </cell>
          <cell r="C2669" t="str">
            <v>02 - Cast Iron AOR Replacement</v>
          </cell>
          <cell r="D2669" t="str">
            <v>yes</v>
          </cell>
          <cell r="F2669" t="str">
            <v>F0599</v>
          </cell>
          <cell r="G2669" t="str">
            <v>Main Replacement - ISRS (N)</v>
          </cell>
          <cell r="H2669" t="str">
            <v>Repl w 50F 4P - 805 Bales Ct</v>
          </cell>
          <cell r="I2669" t="str">
            <v>open</v>
          </cell>
          <cell r="J2669" t="str">
            <v>Install ~50 ft of 4 in PL LP main at 805 Bales Ct due to angle of repose.  Retire ~50 ft of 4 in CI LP main at above location.</v>
          </cell>
          <cell r="K2669" t="str">
            <v>Total Service Tie-over = 4.  This main is being abandoned as part of FY16 Cast Iron Replacement Program.  This job has a compliance date of 10-5-16.</v>
          </cell>
          <cell r="P2669" t="str">
            <v>0401-043050  JACKSON CTY/KC</v>
          </cell>
          <cell r="Q2669">
            <v>29523.88</v>
          </cell>
          <cell r="R2669">
            <v>-530</v>
          </cell>
        </row>
        <row r="2670">
          <cell r="A2670" t="str">
            <v>011281</v>
          </cell>
          <cell r="B2670" t="str">
            <v>LDC 2</v>
          </cell>
          <cell r="D2670" t="str">
            <v>no</v>
          </cell>
          <cell r="F2670" t="str">
            <v>F0639</v>
          </cell>
          <cell r="G2670" t="str">
            <v>EGM Equip-1st Time Installation</v>
          </cell>
          <cell r="H2670" t="str">
            <v>EGM - Mars Petcare - Greenies #2</v>
          </cell>
          <cell r="I2670" t="str">
            <v>open</v>
          </cell>
          <cell r="J2670" t="str">
            <v>Mini Max AT-PT Corrector for Mars Petcare, Greenies #2 at 1315 N Chouteau Trfwy to monitor daily gas usage. Customer will reimburse company actual cost for EGM installation not to exceed $5,445.</v>
          </cell>
          <cell r="K2670" t="str">
            <v>meter no 009011588</v>
          </cell>
          <cell r="P2670" t="str">
            <v>0401-043050  JACKSON CTY/KC</v>
          </cell>
          <cell r="Q2670">
            <v>2081.4</v>
          </cell>
          <cell r="R2670">
            <v>9</v>
          </cell>
        </row>
        <row r="2671">
          <cell r="A2671" t="str">
            <v>011075</v>
          </cell>
          <cell r="B2671" t="str">
            <v>LDC 2</v>
          </cell>
          <cell r="D2671" t="str">
            <v>no</v>
          </cell>
          <cell r="F2671" t="str">
            <v>F1071</v>
          </cell>
          <cell r="G2671" t="str">
            <v>MGE Misc Capital</v>
          </cell>
          <cell r="H2671" t="str">
            <v>Central- Door/Frame Replacement</v>
          </cell>
          <cell r="I2671" t="str">
            <v>in service</v>
          </cell>
          <cell r="J2671" t="str">
            <v>3'x7' Narrow Lite hollow metal door, 3'x7' welded frame, hinges, door closer, weather stipping, sweep, and threshold replacement at Central Plant</v>
          </cell>
          <cell r="L2671">
            <v>42643</v>
          </cell>
          <cell r="O2671">
            <v>42614</v>
          </cell>
          <cell r="P2671" t="str">
            <v>0401-043050  JACKSON CTY/KC</v>
          </cell>
          <cell r="Q2671">
            <v>1961.21</v>
          </cell>
          <cell r="R2671">
            <v>1635</v>
          </cell>
        </row>
        <row r="2672">
          <cell r="A2672" t="str">
            <v>800143</v>
          </cell>
          <cell r="B2672" t="str">
            <v>LDC 2</v>
          </cell>
          <cell r="C2672" t="str">
            <v>01 - Cast Iron Strategic Replacement</v>
          </cell>
          <cell r="D2672" t="str">
            <v>yes</v>
          </cell>
          <cell r="F2672" t="str">
            <v>F0599</v>
          </cell>
          <cell r="G2672" t="str">
            <v>Main Replacement - ISRS (N)</v>
          </cell>
          <cell r="H2672" t="str">
            <v>Hwy 71 &amp; Gregory Grid Replace PhC</v>
          </cell>
          <cell r="I2672" t="str">
            <v>in service</v>
          </cell>
          <cell r="J2672" t="str">
            <v>Install 2695' of 2'' PE and 1292' of 4'' PE - Hwy 71 &amp; Gregory Ph C. Abandon 2905' of 4'' CI, 16' of 4'' PE, 86' of 4'' CS (Less than 20% of abandonment), 1054' of 6'' CI and 5' of 6'' PE.</v>
          </cell>
          <cell r="K2672" t="str">
            <v>This main is being replaced as part of the FY16 Strategic Cast Iron Replacement Program</v>
          </cell>
          <cell r="L2672">
            <v>42674</v>
          </cell>
          <cell r="O2672">
            <v>42644</v>
          </cell>
          <cell r="P2672" t="str">
            <v>0401-043050  JACKSON CTY/KC</v>
          </cell>
          <cell r="Q2672">
            <v>254415.69</v>
          </cell>
          <cell r="R2672">
            <v>-4413</v>
          </cell>
        </row>
        <row r="2673">
          <cell r="A2673" t="str">
            <v>009833</v>
          </cell>
          <cell r="B2673" t="str">
            <v>LDC 2</v>
          </cell>
          <cell r="D2673" t="str">
            <v>no</v>
          </cell>
          <cell r="F2673" t="str">
            <v>F1172</v>
          </cell>
          <cell r="G2673" t="str">
            <v>Right-Of-Way - MGE</v>
          </cell>
          <cell r="H2673" t="str">
            <v>BWO-Right of Way- MGE North Region</v>
          </cell>
          <cell r="I2673" t="str">
            <v>open</v>
          </cell>
          <cell r="J2673" t="str">
            <v>BWO-Right of Way - MGE North Region</v>
          </cell>
          <cell r="K2673" t="str">
            <v>Requested per Tod Fagan 11-25-15</v>
          </cell>
          <cell r="O2673">
            <v>42430</v>
          </cell>
          <cell r="P2673" t="str">
            <v>0401-043050  JACKSON CTY/KC</v>
          </cell>
          <cell r="Q2673">
            <v>68735.5</v>
          </cell>
          <cell r="R2673">
            <v>0</v>
          </cell>
        </row>
        <row r="2674">
          <cell r="A2674" t="str">
            <v>800183</v>
          </cell>
          <cell r="B2674" t="str">
            <v>LDC 2</v>
          </cell>
          <cell r="D2674" t="str">
            <v>no</v>
          </cell>
          <cell r="F2674" t="str">
            <v>F0647</v>
          </cell>
          <cell r="G2674" t="str">
            <v>New Main Extensions (N)</v>
          </cell>
          <cell r="H2674" t="str">
            <v>Main Extension Wabash - 250'</v>
          </cell>
          <cell r="I2674" t="str">
            <v>in service</v>
          </cell>
          <cell r="J2674" t="str">
            <v>Install 250' of 2'' PE on Wabash Ave in order to serve 2 new residential customers</v>
          </cell>
          <cell r="L2674">
            <v>42384</v>
          </cell>
          <cell r="O2674">
            <v>42461</v>
          </cell>
          <cell r="P2674" t="str">
            <v>0401-043050  JACKSON CTY/KC</v>
          </cell>
          <cell r="Q2674">
            <v>7862.23</v>
          </cell>
          <cell r="R2674">
            <v>-267</v>
          </cell>
        </row>
        <row r="2675">
          <cell r="A2675" t="str">
            <v>007929</v>
          </cell>
          <cell r="B2675" t="str">
            <v>LDC 2</v>
          </cell>
          <cell r="D2675" t="str">
            <v>no</v>
          </cell>
          <cell r="E2675" t="str">
            <v>20401155236</v>
          </cell>
          <cell r="F2675" t="str">
            <v>F0538</v>
          </cell>
          <cell r="G2675" t="str">
            <v>Other Communication Costs</v>
          </cell>
          <cell r="H2675" t="str">
            <v>70th Terr &amp; Stateline TB</v>
          </cell>
          <cell r="I2675" t="str">
            <v>in service</v>
          </cell>
          <cell r="J2675" t="str">
            <v>70th Terr &amp; Stateline TB: Kansas City-Jackson: Install RTU Equipment - First Time Installation  3970 (41-414)</v>
          </cell>
          <cell r="K2675" t="str">
            <v>Approved by: Gary Williams on 03/19/2015,  Experitec Quote #JDM-150219-140773 - Install new measurement transmitters on the 4) orifice runs and the DRS regulator run.
Labor:  No labor is necessary on this W.O. as it will be incorporated into a later project onsite.</v>
          </cell>
          <cell r="L2675">
            <v>42443</v>
          </cell>
          <cell r="O2675">
            <v>42461</v>
          </cell>
          <cell r="P2675" t="str">
            <v>0401-043050  JACKSON CTY/KC</v>
          </cell>
          <cell r="Q2675">
            <v>18600.37</v>
          </cell>
          <cell r="R2675">
            <v>14</v>
          </cell>
        </row>
        <row r="2676">
          <cell r="A2676" t="str">
            <v>007922</v>
          </cell>
          <cell r="B2676" t="str">
            <v>LDC 2</v>
          </cell>
          <cell r="D2676" t="str">
            <v>no</v>
          </cell>
          <cell r="E2676" t="str">
            <v>20401155237</v>
          </cell>
          <cell r="F2676" t="str">
            <v>F0538</v>
          </cell>
          <cell r="G2676" t="str">
            <v>Other Communication Costs</v>
          </cell>
          <cell r="H2676" t="str">
            <v>TWA DRS - KCMO - Press Transmitters</v>
          </cell>
          <cell r="I2676" t="str">
            <v>in service</v>
          </cell>
          <cell r="J2676" t="str">
            <v>TWA DRS - KCMO: Kansas City-Jackson: Install RTU Equipment - First Time Installation  3970 (41-414)</v>
          </cell>
          <cell r="K2676" t="str">
            <v>Approved by: Gary Williams on 03/19/2015,  Experitec Quote #JDM-150219-140773 - Existing measurement is obsolete and not serviceable or repairable.
Labor:  No labor is necessary on this W.O. as it will be incorporated into a later project onsite.</v>
          </cell>
          <cell r="L2676">
            <v>42443</v>
          </cell>
          <cell r="O2676">
            <v>42461</v>
          </cell>
          <cell r="P2676" t="str">
            <v>0401-043050  JACKSON CTY/KC</v>
          </cell>
          <cell r="Q2676">
            <v>3013.63</v>
          </cell>
          <cell r="R2676">
            <v>2</v>
          </cell>
        </row>
        <row r="2677">
          <cell r="A2677" t="str">
            <v>006836</v>
          </cell>
          <cell r="B2677" t="str">
            <v>LDC 2</v>
          </cell>
          <cell r="D2677" t="str">
            <v>yes</v>
          </cell>
          <cell r="E2677" t="str">
            <v>20401143829</v>
          </cell>
          <cell r="F2677" t="str">
            <v>F0599</v>
          </cell>
          <cell r="G2677" t="str">
            <v>Main Replacement - ISRS (N)</v>
          </cell>
          <cell r="H2677" t="str">
            <v>CI Break Repl w/1630ft of 4in PE an</v>
          </cell>
          <cell r="I2677" t="str">
            <v>posted to CPR</v>
          </cell>
          <cell r="J2677" t="str">
            <v>CI Break Repl w/1630ft of 4in PE and 60ft-12in stl: Kansas City-Jackson: Replace Cast Iron Main - 3760 Safety Related (34-412)</v>
          </cell>
          <cell r="K2677" t="str">
            <v>Approved by: Steve Holcomb on 11/07/2014,  Replace 4in CI with 1,630ft-4in PE and 60ft-12in thin film due to cast iron breaks.  This job must be completed by Mar. 12, 2015.  Tie-over 31 services.  Replace 14 services.</v>
          </cell>
          <cell r="L2677">
            <v>42044</v>
          </cell>
          <cell r="M2677">
            <v>42154</v>
          </cell>
          <cell r="N2677">
            <v>42256.641655092601</v>
          </cell>
          <cell r="O2677">
            <v>42036</v>
          </cell>
          <cell r="P2677" t="str">
            <v>0401-043050  JACKSON CTY/KC</v>
          </cell>
          <cell r="Q2677">
            <v>52817.56</v>
          </cell>
          <cell r="R2677">
            <v>-1528</v>
          </cell>
        </row>
        <row r="2678">
          <cell r="A2678" t="str">
            <v>006751</v>
          </cell>
          <cell r="B2678" t="str">
            <v>LDC 2</v>
          </cell>
          <cell r="D2678" t="str">
            <v>no</v>
          </cell>
          <cell r="E2678" t="str">
            <v>20401143894</v>
          </cell>
          <cell r="F2678" t="str">
            <v>F0639</v>
          </cell>
          <cell r="G2678" t="str">
            <v>EGM Equip-1st Time Installation</v>
          </cell>
          <cell r="H2678" t="str">
            <v>EGM - Plaza Point, LLC</v>
          </cell>
          <cell r="I2678" t="str">
            <v>in service</v>
          </cell>
          <cell r="J2678" t="str">
            <v>EGM - Plaza Point, LLC: Kansas City-Jackson: Install EGM Equipment - First Time Installation  3850 (32-403)</v>
          </cell>
          <cell r="K2678" t="str">
            <v>Approved by: Rob Kitterman on 10/27/2014,  Install Mercury MiniMax-AT-PT (S/N: 13098671) with CNI-2 on Roots 5M meter no 00128761 to monitor daily gas usage of this transportation customer. Customer will reimburse company actual cost for EGM installation not to exceed $5,445.00, which should be coded to account 1072. ATTENTION: Plant &amp; Property Accounting, EGM work order, turn off A&amp;G indicator.</v>
          </cell>
          <cell r="L2678">
            <v>42443</v>
          </cell>
          <cell r="O2678">
            <v>42430</v>
          </cell>
          <cell r="P2678" t="str">
            <v>0401-043050  JACKSON CTY/KC</v>
          </cell>
          <cell r="Q2678">
            <v>-7.09</v>
          </cell>
          <cell r="R2678">
            <v>35</v>
          </cell>
        </row>
        <row r="2679">
          <cell r="A2679" t="str">
            <v>005187</v>
          </cell>
          <cell r="B2679" t="str">
            <v>LDC 2</v>
          </cell>
          <cell r="D2679" t="str">
            <v>no</v>
          </cell>
          <cell r="E2679" t="str">
            <v>20401143544</v>
          </cell>
          <cell r="F2679" t="str">
            <v>F0639</v>
          </cell>
          <cell r="G2679" t="str">
            <v>EGM Equip-1st Time Installation</v>
          </cell>
          <cell r="H2679" t="str">
            <v>EGM Replace - Restart</v>
          </cell>
          <cell r="I2679" t="str">
            <v>posted to CPR</v>
          </cell>
          <cell r="J2679" t="str">
            <v>EGM Replace - Restart: Kansas City-Jackson: Install EGM Equipment - First Time Installation  3850 (32-403)</v>
          </cell>
          <cell r="K2679" t="str">
            <v>Approved by: Rob Kitterman on 05/01/2014,  Replace EGM equipment with a new Mini-AT-PT, S/N: 13038784, &amp; Messenger Modem. Existing meter is a Roots 11M rotary meter# 08459027. The existing equipment was damaged beyond repair. Retire the damaged MiniPT, S/N: 9606241 on this WO as well.</v>
          </cell>
          <cell r="L2679">
            <v>42443</v>
          </cell>
          <cell r="M2679">
            <v>42491</v>
          </cell>
          <cell r="N2679">
            <v>42772.501875000002</v>
          </cell>
          <cell r="O2679">
            <v>42430</v>
          </cell>
          <cell r="P2679" t="str">
            <v>0401-043050  JACKSON CTY/KC</v>
          </cell>
          <cell r="Q2679">
            <v>2383.59</v>
          </cell>
          <cell r="R2679">
            <v>9</v>
          </cell>
        </row>
        <row r="2680">
          <cell r="A2680" t="str">
            <v>004395</v>
          </cell>
          <cell r="B2680" t="str">
            <v>LDC 2</v>
          </cell>
          <cell r="D2680" t="str">
            <v>yes</v>
          </cell>
          <cell r="E2680" t="str">
            <v>20401143342</v>
          </cell>
          <cell r="F2680" t="str">
            <v>F0599</v>
          </cell>
          <cell r="G2680" t="str">
            <v>Main Replacement - ISRS (N)</v>
          </cell>
          <cell r="H2680" t="str">
            <v>9th &amp; Main Abandon 36'- cast iron m</v>
          </cell>
          <cell r="I2680" t="str">
            <v>posted to CPR</v>
          </cell>
          <cell r="J2680" t="str">
            <v>9th &amp; Main Abandon 36'- cast iron main: Kansas City-Jackson: 9th and Main</v>
          </cell>
          <cell r="K2680" t="str">
            <v>Approved by: Kevin Driskell on 02/24/2014,  Abandon 10'-4in CI, 2'-8in CI, and 26'-6in CI due to hit gas main.</v>
          </cell>
          <cell r="L2680">
            <v>41619</v>
          </cell>
          <cell r="M2680">
            <v>41729</v>
          </cell>
          <cell r="N2680">
            <v>41733.495648148099</v>
          </cell>
          <cell r="P2680" t="str">
            <v>0401-043050  JACKSON CTY/KC</v>
          </cell>
          <cell r="Q2680">
            <v>8086.74</v>
          </cell>
          <cell r="R2680">
            <v>133.9</v>
          </cell>
        </row>
        <row r="2681">
          <cell r="A2681" t="str">
            <v>004241</v>
          </cell>
          <cell r="B2681" t="str">
            <v>LDC 2</v>
          </cell>
          <cell r="D2681" t="str">
            <v>yes</v>
          </cell>
          <cell r="E2681" t="str">
            <v>20401133173</v>
          </cell>
          <cell r="F2681" t="str">
            <v>F0663</v>
          </cell>
          <cell r="G2681" t="str">
            <v>Replace bare steel main - safety re</v>
          </cell>
          <cell r="H2681" t="str">
            <v>92nd &amp; Tenn REPL PBS w 12'-2in TF S</v>
          </cell>
          <cell r="I2681" t="str">
            <v>posted to CPR</v>
          </cell>
          <cell r="J2681" t="str">
            <v>92nd &amp; Tenn REPL PBS w 12'-2in TF Steel main: Kansas City-Jackson: E 92ND ST &amp; TENNESSEE AVE</v>
          </cell>
          <cell r="K2681" t="str">
            <v>Approved by: Gary Williams on 12/16/2013,  LAY 12'-2" PCS ALONG E 92ND ST-EAST OF TENNESSEE AVE.; IN ORDER TO REPAIR LEAK. INSTALL 2" PCS STEEL YOKE.</v>
          </cell>
          <cell r="L2681">
            <v>41529</v>
          </cell>
          <cell r="M2681">
            <v>41729</v>
          </cell>
          <cell r="N2681">
            <v>41733.309942129599</v>
          </cell>
          <cell r="O2681">
            <v>41730</v>
          </cell>
          <cell r="P2681" t="str">
            <v>0401-043050  JACKSON CTY/KC</v>
          </cell>
          <cell r="Q2681">
            <v>13589.85</v>
          </cell>
          <cell r="R2681">
            <v>142</v>
          </cell>
        </row>
        <row r="2682">
          <cell r="A2682" t="str">
            <v>004637</v>
          </cell>
          <cell r="B2682" t="str">
            <v>LDC 2</v>
          </cell>
          <cell r="D2682" t="str">
            <v>yes</v>
          </cell>
          <cell r="E2682" t="str">
            <v>20401121800</v>
          </cell>
          <cell r="F2682" t="str">
            <v>F0599</v>
          </cell>
          <cell r="G2682" t="str">
            <v>Main Replacement - ISRS (N)</v>
          </cell>
          <cell r="H2682" t="str">
            <v>63rd &amp; Indiana Repl CI w PE Main  P</v>
          </cell>
          <cell r="I2682" t="str">
            <v>posted to CPR</v>
          </cell>
          <cell r="J2682" t="str">
            <v>63rd &amp; Indiana Repl CI w PE Main  Phase 1: Kansas City-Jackson: E 63rd and Indiana Ave</v>
          </cell>
          <cell r="K2682" t="str">
            <v>Approved by: Rob Hack on 05/06/2013,  ISRS. This work will be part of the Cast Iron Replacement Program as mandated by the Missouri Public Service Commission for calendar year 2013. It will also satisfy AOR ticket numbers HP121003516,HP121940558,and HP121662856. New main will tie into the C-175 KCLS pressure system. New main to operate at 50 psig MOP, 58 psig MAOP. The 8&amp;quot; PE to be inserted along 63rd St will remain operating at 1.10 psig MOP &amp; 2.20 psig MAOP. Test all mains at 100 psi for a design MAOP = 58 psig. Existing main to be replaced has an MOP = 1.10 psig &amp; MAOP = 2.20 psig. All service regulators will need to be changed. See attached sheet for the work order number, size and footage of main to be retired. 98 bare steel services are to be replaced. Replacement services are to be charged to a service replacement blanket work order. 278 tieovers of PE services are to be performed. A tailgate meeting will need to be scheduled for tie in and abandonment procedures.</v>
          </cell>
          <cell r="L2682">
            <v>41529</v>
          </cell>
          <cell r="M2682">
            <v>41578</v>
          </cell>
          <cell r="N2682">
            <v>41643.435219907398</v>
          </cell>
          <cell r="O2682">
            <v>41730</v>
          </cell>
          <cell r="P2682" t="str">
            <v>0401-043050  JACKSON CTY/KC</v>
          </cell>
          <cell r="Q2682">
            <v>923671.17</v>
          </cell>
          <cell r="R2682">
            <v>62131.7</v>
          </cell>
        </row>
        <row r="2683">
          <cell r="A2683" t="str">
            <v>004436</v>
          </cell>
          <cell r="B2683" t="str">
            <v>LDC 2</v>
          </cell>
          <cell r="D2683" t="str">
            <v>yes</v>
          </cell>
          <cell r="E2683" t="str">
            <v>20401121821</v>
          </cell>
          <cell r="F2683" t="str">
            <v>F0500</v>
          </cell>
          <cell r="G2683" t="str">
            <v>Replace cast iron main - CPI / prio</v>
          </cell>
          <cell r="H2683" t="str">
            <v>27th &amp; Elmwood Repl CI w 210'-6in P</v>
          </cell>
          <cell r="I2683" t="str">
            <v>posted to CPR</v>
          </cell>
          <cell r="J2683" t="str">
            <v>27th &amp; Elmwood Repl CI w 210'-6in PE main: Kansas City-Jackson: 27th &amp; Elmwood Ave</v>
          </cell>
          <cell r="K2683" t="str">
            <v>Approved by: Gary Williams on 07/01/2013,  ISRS.  200' of 6in CI wo unknown main to be replaced with 6in PE due to leaks and graphitization.  2 - 2in bypasses are required to be built due to one way feed.  There are 2 service tie overs to be performed.  Main is on the C-001 pressure system with a MOP=1.1psig and a MAOP=2.2psig.</v>
          </cell>
          <cell r="L2683">
            <v>41500</v>
          </cell>
          <cell r="M2683">
            <v>41578</v>
          </cell>
          <cell r="N2683">
            <v>41584.396354166704</v>
          </cell>
          <cell r="P2683" t="str">
            <v>0401-043050  JACKSON CTY/KC</v>
          </cell>
          <cell r="Q2683">
            <v>36634.879999999997</v>
          </cell>
          <cell r="R2683">
            <v>1089.0999999999999</v>
          </cell>
        </row>
        <row r="2684">
          <cell r="A2684" t="str">
            <v>004122</v>
          </cell>
          <cell r="B2684" t="str">
            <v>LDC 2</v>
          </cell>
          <cell r="D2684" t="str">
            <v>no</v>
          </cell>
          <cell r="E2684" t="str">
            <v>20401132921</v>
          </cell>
          <cell r="F2684" t="str">
            <v>F0660</v>
          </cell>
          <cell r="G2684" t="str">
            <v>Meter &amp; Reg Settings 2" &amp; Lg (N)</v>
          </cell>
          <cell r="H2684" t="str">
            <v>Penguin Exhibit 3M mtr set</v>
          </cell>
          <cell r="I2684" t="str">
            <v>posted to CPR</v>
          </cell>
          <cell r="J2684" t="str">
            <v>Penguin Exhibit 3M mtr set: Kansas City-Jackson: 6800 Zoo Dr Bldg E12</v>
          </cell>
          <cell r="K2684" t="str">
            <v>Approved by: Mike Fornelli on 08/20/2013,  This work is necessary to install a 3M Roots meter to serve one new commercial customer. we'll set a 2in B-34 regulator at 14in WC for a connected load of 2585cfh.</v>
          </cell>
          <cell r="L2684">
            <v>41514</v>
          </cell>
          <cell r="M2684">
            <v>41626</v>
          </cell>
          <cell r="N2684">
            <v>41630.722187500003</v>
          </cell>
          <cell r="P2684" t="str">
            <v>0401-043050  JACKSON CTY/KC</v>
          </cell>
          <cell r="Q2684">
            <v>1547.54</v>
          </cell>
          <cell r="R2684">
            <v>46</v>
          </cell>
        </row>
        <row r="2685">
          <cell r="A2685" t="str">
            <v>010901</v>
          </cell>
          <cell r="B2685" t="str">
            <v>LDC 2</v>
          </cell>
          <cell r="D2685" t="str">
            <v>no</v>
          </cell>
          <cell r="F2685" t="str">
            <v>F0734</v>
          </cell>
          <cell r="G2685" t="str">
            <v>Allowed Time Ops MGE</v>
          </cell>
          <cell r="H2685" t="str">
            <v>P&amp;M LDC2 Non Prod Time</v>
          </cell>
          <cell r="I2685" t="str">
            <v>open</v>
          </cell>
          <cell r="J2685" t="str">
            <v>P&amp;M LDC2 Non Prod Time</v>
          </cell>
          <cell r="P2685" t="str">
            <v>Expense Only</v>
          </cell>
          <cell r="Q2685">
            <v>2634.75</v>
          </cell>
          <cell r="R2685">
            <v>84.92</v>
          </cell>
        </row>
        <row r="2686">
          <cell r="A2686" t="str">
            <v>004779</v>
          </cell>
          <cell r="B2686" t="str">
            <v>LDC 2</v>
          </cell>
          <cell r="D2686" t="str">
            <v>no</v>
          </cell>
          <cell r="E2686" t="str">
            <v>21848100000</v>
          </cell>
          <cell r="F2686" t="str">
            <v>F0733</v>
          </cell>
          <cell r="G2686" t="str">
            <v>Tools/Uniforms Clrg MGE</v>
          </cell>
          <cell r="H2686" t="str">
            <v>Sm Tools Clrg 21848100000MGE</v>
          </cell>
          <cell r="I2686" t="str">
            <v>open</v>
          </cell>
          <cell r="J2686" t="str">
            <v>Sm Tools Clrg 21848100000MGE</v>
          </cell>
          <cell r="P2686" t="str">
            <v>Expense Only</v>
          </cell>
          <cell r="Q2686">
            <v>175227.05</v>
          </cell>
          <cell r="R2686">
            <v>2264.48</v>
          </cell>
        </row>
        <row r="2687">
          <cell r="A2687" t="str">
            <v>004841</v>
          </cell>
          <cell r="B2687" t="str">
            <v>LDC 2</v>
          </cell>
          <cell r="D2687" t="str">
            <v>no</v>
          </cell>
          <cell r="E2687" t="str">
            <v>29250200000</v>
          </cell>
          <cell r="F2687" t="str">
            <v>F0725</v>
          </cell>
          <cell r="G2687" t="str">
            <v>Injuries and Damages MGE</v>
          </cell>
          <cell r="H2687" t="str">
            <v>Inj&amp;Dam-Claims Reserve MGE</v>
          </cell>
          <cell r="I2687" t="str">
            <v>open</v>
          </cell>
          <cell r="J2687" t="str">
            <v>Inj&amp;Dam-Claims Reserve MGE</v>
          </cell>
          <cell r="P2687" t="str">
            <v>Expense Only</v>
          </cell>
          <cell r="Q2687">
            <v>5414.9</v>
          </cell>
          <cell r="R2687">
            <v>-2</v>
          </cell>
        </row>
        <row r="2688">
          <cell r="A2688" t="str">
            <v>004746</v>
          </cell>
          <cell r="B2688" t="str">
            <v>LDC 2</v>
          </cell>
          <cell r="D2688" t="str">
            <v>no</v>
          </cell>
          <cell r="E2688" t="str">
            <v>28890100000</v>
          </cell>
          <cell r="F2688" t="str">
            <v>F0708</v>
          </cell>
          <cell r="G2688" t="str">
            <v>Maint Meas &amp; Reg Stat Eq MGE</v>
          </cell>
          <cell r="H2688" t="str">
            <v>Maint M&amp;R Equip-SCADA MGE</v>
          </cell>
          <cell r="I2688" t="str">
            <v>open</v>
          </cell>
          <cell r="J2688" t="str">
            <v>Maint M&amp;R Equip-SCADA MGE</v>
          </cell>
          <cell r="P2688" t="str">
            <v>Expense Only</v>
          </cell>
          <cell r="Q2688">
            <v>43139.96</v>
          </cell>
          <cell r="R2688">
            <v>1032.8333</v>
          </cell>
        </row>
        <row r="2689">
          <cell r="A2689" t="str">
            <v>004730</v>
          </cell>
          <cell r="B2689" t="str">
            <v>LDC 2</v>
          </cell>
          <cell r="D2689" t="str">
            <v>no</v>
          </cell>
          <cell r="E2689" t="str">
            <v>28810000000</v>
          </cell>
          <cell r="F2689" t="str">
            <v>F0705</v>
          </cell>
          <cell r="G2689" t="str">
            <v>Distribution Exp Rents MGE</v>
          </cell>
          <cell r="H2689" t="str">
            <v>Distribution Exp Rents MGE</v>
          </cell>
          <cell r="I2689" t="str">
            <v>open</v>
          </cell>
          <cell r="J2689" t="str">
            <v>Distribution Exp Rents MGE</v>
          </cell>
          <cell r="P2689" t="str">
            <v>Expense Only</v>
          </cell>
          <cell r="Q2689">
            <v>269936.34000000003</v>
          </cell>
          <cell r="R2689">
            <v>3901.82</v>
          </cell>
        </row>
        <row r="2690">
          <cell r="A2690" t="str">
            <v>004713</v>
          </cell>
          <cell r="B2690" t="str">
            <v>LDC 2</v>
          </cell>
          <cell r="D2690" t="str">
            <v>no</v>
          </cell>
          <cell r="E2690" t="str">
            <v>28700000000</v>
          </cell>
          <cell r="F2690" t="str">
            <v>F0695</v>
          </cell>
          <cell r="G2690" t="str">
            <v>Distribution Supervision MGE</v>
          </cell>
          <cell r="H2690" t="str">
            <v>Distribution Supervision MGE</v>
          </cell>
          <cell r="I2690" t="str">
            <v>open</v>
          </cell>
          <cell r="J2690" t="str">
            <v>Distribution Supervision MGE</v>
          </cell>
          <cell r="P2690" t="str">
            <v>Expense Only</v>
          </cell>
          <cell r="Q2690">
            <v>1086861.21</v>
          </cell>
          <cell r="R2690">
            <v>24064.06</v>
          </cell>
        </row>
        <row r="2691">
          <cell r="A2691" t="str">
            <v>800834</v>
          </cell>
          <cell r="B2691" t="str">
            <v>LDC 2</v>
          </cell>
          <cell r="C2691" t="str">
            <v>03 - Bare Steel Replacement</v>
          </cell>
          <cell r="D2691" t="str">
            <v>yes</v>
          </cell>
          <cell r="F2691" t="str">
            <v>F0572</v>
          </cell>
          <cell r="G2691" t="str">
            <v>Main Replacement - ISRS (SW)</v>
          </cell>
          <cell r="H2691" t="str">
            <v>Repl w 1590F 2P 8th &amp; Geneva</v>
          </cell>
          <cell r="I2691" t="str">
            <v>open</v>
          </cell>
          <cell r="J2691" t="str">
            <v>Install 1,590 Ft of 2-inch PL MP main on Geneva Ave and two vacated alleys in between 7th street and 9th street.</v>
          </cell>
          <cell r="K2691" t="str">
            <v>Abandon 1,041 Ft of 2-inch ST MP main, 419 Ft of 3-inch ST MP main, 39 Ft of 2-inch PL MP main, and 6 Ft of 3-inch PL MP main at the above location.  Total Service Tie-over = 19; Total Service Abandoned = 2;  This main is being replaced due to active class 3 leak and as part of FY16 Bare Steel Replacement Program.  Leak No 477871</v>
          </cell>
          <cell r="P2691" t="str">
            <v>0501-044001  JASPER CTY/JOPLIN</v>
          </cell>
          <cell r="Q2691">
            <v>113223.64</v>
          </cell>
          <cell r="R2691">
            <v>-4124.25</v>
          </cell>
        </row>
        <row r="2692">
          <cell r="A2692" t="str">
            <v>800708</v>
          </cell>
          <cell r="B2692" t="str">
            <v>LDC 2</v>
          </cell>
          <cell r="D2692" t="str">
            <v>no</v>
          </cell>
          <cell r="F2692" t="str">
            <v>F0523</v>
          </cell>
          <cell r="G2692" t="str">
            <v>New Main Extensions (SW)</v>
          </cell>
          <cell r="H2692" t="str">
            <v>Install 175F 4P 202 E 50th</v>
          </cell>
          <cell r="I2692" t="str">
            <v>in service</v>
          </cell>
          <cell r="J2692" t="str">
            <v>Install ~ 175 Ft of 4 In PL IP Main at 202 E 50th St in Joplin. Company elects to install 4 in PL IP main.</v>
          </cell>
          <cell r="K2692" t="str">
            <v>Installation of 250 Ft  1 1/4 In PL IP Service is included with this project.  The minimum cost to serve has been attached to the work order.</v>
          </cell>
          <cell r="L2692">
            <v>42703</v>
          </cell>
          <cell r="O2692">
            <v>42705</v>
          </cell>
          <cell r="P2692" t="str">
            <v>0501-044001  JASPER CTY/JOPLIN</v>
          </cell>
          <cell r="Q2692">
            <v>23917.99</v>
          </cell>
          <cell r="R2692">
            <v>-2830</v>
          </cell>
        </row>
        <row r="2693">
          <cell r="A2693" t="str">
            <v>004043</v>
          </cell>
          <cell r="B2693" t="str">
            <v>LDC 2</v>
          </cell>
          <cell r="D2693" t="str">
            <v>no</v>
          </cell>
          <cell r="E2693" t="str">
            <v>20501133099</v>
          </cell>
          <cell r="F2693" t="str">
            <v>F0536</v>
          </cell>
          <cell r="G2693" t="str">
            <v>Services -  2" &amp; larger</v>
          </cell>
          <cell r="H2693" t="str">
            <v>Install 2in PE Service St Marys Sch</v>
          </cell>
          <cell r="I2693" t="str">
            <v>posted to CPR</v>
          </cell>
          <cell r="J2693" t="str">
            <v>Install 2in PE Service St Marys School: Joplin: 32nd and Central City</v>
          </cell>
          <cell r="K2693" t="str">
            <v>Approved by: Galen Shoemaker on 10/24/2013,  Lay 440ft of 2in PE service to St. Mary's School at 3025 S Central City Rd. No customer contribution after economic evaluation. Project Location: 32nd and Central City Rd; Pressure System: C-1; MOP: 58 psig; MAOP: 58 psig; Design: 58 psig; Test: 100 psig; $30.98/ft</v>
          </cell>
          <cell r="L2693">
            <v>41626</v>
          </cell>
          <cell r="M2693">
            <v>41697</v>
          </cell>
          <cell r="N2693">
            <v>41710.614606481497</v>
          </cell>
          <cell r="O2693">
            <v>41730</v>
          </cell>
          <cell r="P2693" t="str">
            <v>0501-044001  JASPER CTY/JOPLIN</v>
          </cell>
          <cell r="Q2693">
            <v>6671.14</v>
          </cell>
          <cell r="R2693">
            <v>1532</v>
          </cell>
        </row>
        <row r="2694">
          <cell r="A2694" t="str">
            <v>004623</v>
          </cell>
          <cell r="B2694" t="str">
            <v>LDC 2</v>
          </cell>
          <cell r="D2694" t="str">
            <v>yes</v>
          </cell>
          <cell r="E2694" t="str">
            <v>20501132643</v>
          </cell>
          <cell r="F2694" t="str">
            <v>F0572</v>
          </cell>
          <cell r="G2694" t="str">
            <v>Main Replacement - ISRS (SW)</v>
          </cell>
          <cell r="H2694" t="str">
            <v>11th&amp;Picher CP Repl PBS w 1095'-4in</v>
          </cell>
          <cell r="I2694" t="str">
            <v>posted to CPR</v>
          </cell>
          <cell r="J2694" t="str">
            <v>11th&amp;Picher CP Repl PBS w 1095'-4in main: Joplin: 11th and Picher</v>
          </cell>
          <cell r="K2694" t="str">
            <v>Approved by: Ken Thomas on 05/08/2013,  Abandon 1117' - 6in PBS (WO#: 7132A), 22' - 4in PE (WO#'s: 07-0820, 08-5333) and replace with 1095' - 4in PE, 30' - 4in Thinfilm (to replace the outlet piping for DRS 32), and 20' - 1&amp;quot; Thinfilm (to replace control lines on DRS 32) to clear two (2) CP down projects (CP13-021, CP13-055) and remove isolated bare steel. This work will also install a remote outlet valve for DRS 32 and establish a new 20' wide Easement on property East of Picher between 13th and 15th that is currently owned by the Joplin School District. This easement will cover existing DRS 32 and allow us to lay new pipe in the grass instead of under the road. Project Location: 11th and Picher; Pressure System: C-2; MOP: 1.5 psig; MAOP: 1.5 psig; Design: 58 psig; Test: 100 psig; ISRS $54.96/ft</v>
          </cell>
          <cell r="L2694">
            <v>41526</v>
          </cell>
          <cell r="M2694">
            <v>41729</v>
          </cell>
          <cell r="N2694">
            <v>41733.309907407398</v>
          </cell>
          <cell r="O2694">
            <v>41730</v>
          </cell>
          <cell r="P2694" t="str">
            <v>0501-044001  JASPER CTY/JOPLIN</v>
          </cell>
          <cell r="Q2694">
            <v>81800.460000000006</v>
          </cell>
          <cell r="R2694">
            <v>4446</v>
          </cell>
        </row>
        <row r="2695">
          <cell r="A2695" t="str">
            <v>800282</v>
          </cell>
          <cell r="B2695" t="str">
            <v>LDC 2</v>
          </cell>
          <cell r="C2695" t="str">
            <v>03 - Bare Steel Replacement</v>
          </cell>
          <cell r="D2695" t="str">
            <v>yes</v>
          </cell>
          <cell r="F2695" t="str">
            <v>F0572</v>
          </cell>
          <cell r="G2695" t="str">
            <v>Main Replacement - ISRS (SW)</v>
          </cell>
          <cell r="H2695" t="str">
            <v>Repl w 3883F 2-4P Webb City Ph 2G</v>
          </cell>
          <cell r="I2695" t="str">
            <v>open</v>
          </cell>
          <cell r="J2695" t="str">
            <v>Install 3153 Ft of 2 in PL IP main, and 730 Ft of 4 in PL IP main on Austin St, Galena St, Pennsyvlania Ave, Alley Between Ball and Roanne, Roanne Ave, Vine St, and Aylor St.</v>
          </cell>
          <cell r="K2695" t="str">
            <v>Webb City Phase 2G Grid Bare ST Replacement.  Abandon- 297 Ft of 1 ¼ in. PL LP main, and 1310 Ft of 2 in. ST LP main, and 1198 Ft of 3 in ST LP main, and 629 Ft of 6 in ST LP Main at the above locations Uprate- 2441 Ft of 2 in PL LP main, and 1693 Ft of 4 in PL LP main on Aylor Ave, Roanne Ave, Ball Ave, Arch St, and Pennsyvania Ave. Total Service Tie-over = 54; Total Service Replace = 3; Total Service Upgrade = 58; Total Service Abandoned = 7 This main is being abandoned as part of FY16 Bare Steel Replacement Program</v>
          </cell>
          <cell r="P2695" t="str">
            <v>0502-044006  JASPER CTY/WEBB CITY</v>
          </cell>
          <cell r="Q2695">
            <v>0</v>
          </cell>
          <cell r="R2695">
            <v>3434</v>
          </cell>
        </row>
        <row r="2696">
          <cell r="A2696" t="str">
            <v>005682</v>
          </cell>
          <cell r="B2696" t="str">
            <v>LDC 2</v>
          </cell>
          <cell r="D2696" t="str">
            <v>no</v>
          </cell>
          <cell r="E2696" t="str">
            <v>20511143655</v>
          </cell>
          <cell r="F2696" t="str">
            <v>F0677</v>
          </cell>
          <cell r="G2696" t="str">
            <v>New business</v>
          </cell>
          <cell r="H2696" t="str">
            <v>LittleJohn Lay 20'-2in PE main ext</v>
          </cell>
          <cell r="I2696" t="str">
            <v>posted to CPR</v>
          </cell>
          <cell r="J2696" t="str">
            <v>LittleJohn Lay 20'-2in PE main ext: Joplin-Rural: New Main Extension - Contractor Crews  3760 (33-380)</v>
          </cell>
          <cell r="K2696" t="str">
            <v>Approved by: Galen Shoemaker on 07/08/2014,  Install 20' of 2" PE to get existing service line out from under carport.  Project Location: Littlejohn Rd N of Kingsway Rd.  System: S-1.  MOP: 12 PSIG.  MAOP: 12 PSIG.  Design: 58 PSIG.  Test: 100 PSIG.  Price Per Foot: $44.02.</v>
          </cell>
          <cell r="L2696">
            <v>41815</v>
          </cell>
          <cell r="M2696">
            <v>42248</v>
          </cell>
          <cell r="N2696">
            <v>42285.418969907398</v>
          </cell>
          <cell r="O2696">
            <v>41852</v>
          </cell>
          <cell r="P2696" t="str">
            <v>0511-044009  JASPER CTY/JOPLIN TWP</v>
          </cell>
          <cell r="Q2696">
            <v>148.94999999999999</v>
          </cell>
          <cell r="R2696">
            <v>-21</v>
          </cell>
        </row>
        <row r="2697">
          <cell r="A2697" t="str">
            <v>004121</v>
          </cell>
          <cell r="B2697" t="str">
            <v>LDC 2</v>
          </cell>
          <cell r="D2697" t="str">
            <v>yes</v>
          </cell>
          <cell r="E2697" t="str">
            <v>20501132979</v>
          </cell>
          <cell r="F2697" t="str">
            <v>F0664</v>
          </cell>
          <cell r="G2697" t="str">
            <v>Street &amp; Hwy Relocates ISRS (SW)</v>
          </cell>
          <cell r="H2697" t="str">
            <v>11th &amp; Highview Reloc PBS w 510'-6i</v>
          </cell>
          <cell r="I2697" t="str">
            <v>posted to CPR</v>
          </cell>
          <cell r="J2697" t="str">
            <v>11th &amp; Highview Reloc PBS w 510'-6in PE main: Joplin: 11th and Highview</v>
          </cell>
          <cell r="K2697" t="str">
            <v>Approved by: Ken Thomas on 09/17/2013,  Replace 510' - 6in PBS (WO#: A8634A) with 510' - 6in PE due to roadway improvements and shallow existing main. Project Location: 11th and Highview; Pressure System: C-1; MOP: 58 psig; MAOP: 58 psig; Design: 58 psig; Test: 100 psig; ISRS $67.22/ft</v>
          </cell>
          <cell r="L2697">
            <v>41590</v>
          </cell>
          <cell r="M2697">
            <v>41698</v>
          </cell>
          <cell r="N2697">
            <v>41704.7116087963</v>
          </cell>
          <cell r="O2697">
            <v>41730</v>
          </cell>
          <cell r="P2697" t="str">
            <v>0501-044001  JASPER CTY/JOPLIN</v>
          </cell>
          <cell r="Q2697">
            <v>79486.740000000005</v>
          </cell>
          <cell r="R2697">
            <v>2142</v>
          </cell>
        </row>
        <row r="2698">
          <cell r="A2698" t="str">
            <v>006201</v>
          </cell>
          <cell r="B2698" t="str">
            <v>LDC 2</v>
          </cell>
          <cell r="D2698" t="str">
            <v>yes</v>
          </cell>
          <cell r="E2698" t="str">
            <v>20506143761</v>
          </cell>
          <cell r="F2698" t="str">
            <v>F0572</v>
          </cell>
          <cell r="G2698" t="str">
            <v>Main Replacement - ISRS (SW)</v>
          </cell>
          <cell r="H2698" t="str">
            <v>Stones Corner Main Relocation</v>
          </cell>
          <cell r="I2698" t="str">
            <v>posted to CPR</v>
          </cell>
          <cell r="J2698" t="str">
            <v>Stones Corner Main Relocation: Airport Drive: Replace Bare Steel Main - 3760 Safety Related (34-394)</v>
          </cell>
          <cell r="K2698" t="str">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ell>
          <cell r="L2698">
            <v>41940</v>
          </cell>
          <cell r="M2698">
            <v>42063</v>
          </cell>
          <cell r="N2698">
            <v>42160.5535185185</v>
          </cell>
          <cell r="O2698">
            <v>41944</v>
          </cell>
          <cell r="P2698" t="str">
            <v>0506-044008  JASPER CTY/AIRPORT DRIVE</v>
          </cell>
          <cell r="Q2698">
            <v>5281.58</v>
          </cell>
          <cell r="R2698">
            <v>-895</v>
          </cell>
        </row>
        <row r="2699">
          <cell r="A2699" t="str">
            <v>008964</v>
          </cell>
          <cell r="B2699" t="str">
            <v>LDC 2</v>
          </cell>
          <cell r="D2699" t="str">
            <v>no</v>
          </cell>
          <cell r="F2699" t="str">
            <v>F0548</v>
          </cell>
          <cell r="G2699" t="str">
            <v>Tools and Equipment</v>
          </cell>
          <cell r="H2699" t="str">
            <v>Radio Equip for MGE Central</v>
          </cell>
          <cell r="I2699" t="str">
            <v>in service</v>
          </cell>
          <cell r="J2699" t="str">
            <v>Upgrade MGE central plant radio equipment to a digital radio system.  This will improve coverage and allow dispatch call reporting at central plant.  See attached Commenco quote.</v>
          </cell>
          <cell r="L2699">
            <v>42400</v>
          </cell>
          <cell r="O2699">
            <v>42430</v>
          </cell>
          <cell r="P2699" t="str">
            <v>0101-043050  JACKSON CTY/KC</v>
          </cell>
          <cell r="Q2699">
            <v>186489.86</v>
          </cell>
          <cell r="R2699">
            <v>0</v>
          </cell>
        </row>
        <row r="2700">
          <cell r="A2700" t="str">
            <v>011959</v>
          </cell>
          <cell r="B2700" t="str">
            <v>LDC 2</v>
          </cell>
          <cell r="D2700" t="str">
            <v>no</v>
          </cell>
          <cell r="F2700" t="str">
            <v>F1071</v>
          </cell>
          <cell r="G2700" t="str">
            <v>MGE Misc Capital</v>
          </cell>
          <cell r="H2700" t="str">
            <v>AC System- Independence</v>
          </cell>
          <cell r="I2700" t="str">
            <v>in service</v>
          </cell>
          <cell r="J2700" t="str">
            <v>Remove old condensing unit and install new condensing untit and indoor evaporating unit, using existing piping and ducts at Independence</v>
          </cell>
          <cell r="L2700">
            <v>42643</v>
          </cell>
          <cell r="O2700">
            <v>42644</v>
          </cell>
          <cell r="P2700" t="str">
            <v>0201-043001  JACKSON CTY/INDEPENDENCE</v>
          </cell>
          <cell r="Q2700">
            <v>5827.51</v>
          </cell>
          <cell r="R2700">
            <v>5080</v>
          </cell>
        </row>
        <row r="2701">
          <cell r="A2701" t="str">
            <v>004622</v>
          </cell>
          <cell r="B2701" t="str">
            <v>LDC 2</v>
          </cell>
          <cell r="D2701" t="str">
            <v>yes</v>
          </cell>
          <cell r="E2701" t="str">
            <v>20201132660</v>
          </cell>
          <cell r="F2701" t="str">
            <v>F0600</v>
          </cell>
          <cell r="G2701" t="str">
            <v>Station Rebuild &amp; Repl ISRS (N)</v>
          </cell>
          <cell r="H2701" t="str">
            <v>291 Hwy &amp; Truman Rd Rebuild DRS 122</v>
          </cell>
          <cell r="I2701" t="str">
            <v>posted to CPR</v>
          </cell>
          <cell r="J2701" t="str">
            <v>291 Hwy &amp; Truman Rd Rebuild DRS 122: Independence: 291 Hwy and Truman Rd</v>
          </cell>
          <cell r="K2701" t="str">
            <v>Approved by: Steve Holcomb on 06/20/2013,  Rebuild DRS #122 at the SW corner of MO State 291 Hwy and Truman Road. Inlet system C-100 (MOP = 125 psig and MAOP = 155 psig) and outlet system C-500 (MOP = 30 psig and MAOP = 44 psig). The existing 4in Reynolds NR 2600 KC (operator, installed on wo# 70-0125) and the 6in Grove Flex Flow(monitor, installed on mwo 57777) will be junked and replaced with a 6in 150# Mooney Flow Grid Regulator set @ 30 psig (operator) and a 6in 150# Rockwell 441-57S Regulator (monitor) w/ a Brown (25 - 55 psig) spring on wo# 13-2660. Must Replace DRS 55 I/O piping on wo# 13-2625.</v>
          </cell>
          <cell r="L2701">
            <v>41556</v>
          </cell>
          <cell r="M2701">
            <v>41626</v>
          </cell>
          <cell r="N2701">
            <v>41630.722083333298</v>
          </cell>
          <cell r="O2701">
            <v>41730</v>
          </cell>
          <cell r="P2701" t="str">
            <v>0201-043001  JACKSON CTY/INDEPENDENCE</v>
          </cell>
          <cell r="Q2701">
            <v>94840.95</v>
          </cell>
          <cell r="R2701">
            <v>315</v>
          </cell>
        </row>
        <row r="2702">
          <cell r="A2702" t="str">
            <v>004310</v>
          </cell>
          <cell r="B2702" t="str">
            <v>LDC 2</v>
          </cell>
          <cell r="D2702" t="str">
            <v>no</v>
          </cell>
          <cell r="E2702" t="str">
            <v>20201121830</v>
          </cell>
          <cell r="F2702" t="str">
            <v>F0602</v>
          </cell>
          <cell r="G2702" t="str">
            <v>New business</v>
          </cell>
          <cell r="H2702" t="str">
            <v>E 40th Crt S Lay 860'-2in PE main e</v>
          </cell>
          <cell r="I2702" t="str">
            <v>posted to CPR</v>
          </cell>
          <cell r="J2702" t="str">
            <v>E 40th Crt S Lay 860'-2in PE main ext: Independence: 19401 E 40th Crt So The Gardens at Jackson Creek</v>
          </cell>
          <cell r="K2702" t="str">
            <v>Approved by: Ralph Janes on 11/13/2012,  Main Extension: 860' of 2in PE main (wo# 12-1830) to serve The Gardens at Jackson Creek at 19401 E 40th Court So. in Independence. Tie into existing 4in PE main on wo# 07-2075. Pressure system is C-022 with a MOP and MAOP of 25 psig.</v>
          </cell>
          <cell r="L2702">
            <v>41453</v>
          </cell>
          <cell r="M2702">
            <v>41516</v>
          </cell>
          <cell r="N2702">
            <v>41562.537268518499</v>
          </cell>
          <cell r="P2702" t="str">
            <v>0201-043001  JACKSON CTY/INDEPENDENCE</v>
          </cell>
          <cell r="Q2702">
            <v>7554.74</v>
          </cell>
          <cell r="R2702">
            <v>1984</v>
          </cell>
        </row>
        <row r="2703">
          <cell r="A2703" t="str">
            <v>004018</v>
          </cell>
          <cell r="B2703" t="str">
            <v>LDC 2</v>
          </cell>
          <cell r="D2703" t="str">
            <v>no</v>
          </cell>
          <cell r="E2703" t="str">
            <v>20201132658</v>
          </cell>
          <cell r="F2703" t="str">
            <v>F0602</v>
          </cell>
          <cell r="G2703" t="str">
            <v>New business</v>
          </cell>
          <cell r="H2703" t="str">
            <v>Cardinal Woods West-Ph 2 Lay 650'-2</v>
          </cell>
          <cell r="I2703" t="str">
            <v>posted to CPR</v>
          </cell>
          <cell r="J2703" t="str">
            <v>Cardinal Woods West-Ph 2 Lay 650'-2in PE main: Independence: Pink Hill Rd. (39th Street) &amp; R. D. Mize Rd</v>
          </cell>
          <cell r="K2703" t="str">
            <v>Approved by: Ralph Janes on 05/01/2013,  Install 650' of 2in PE main to serve lots 22 - 39 in Cardinal Woods West for Phase 2. Pressure system is C-022 with a MOP and MAOP = 25 psig.</v>
          </cell>
          <cell r="L2703">
            <v>41556</v>
          </cell>
          <cell r="M2703">
            <v>41626</v>
          </cell>
          <cell r="N2703">
            <v>41627.582858796297</v>
          </cell>
          <cell r="O2703">
            <v>41730</v>
          </cell>
          <cell r="P2703" t="str">
            <v>0201-043001  JACKSON CTY/INDEPENDENCE</v>
          </cell>
          <cell r="Q2703">
            <v>5174.58</v>
          </cell>
          <cell r="R2703">
            <v>1681</v>
          </cell>
        </row>
        <row r="2704">
          <cell r="A2704" t="str">
            <v>004025</v>
          </cell>
          <cell r="B2704" t="str">
            <v>LDC 2</v>
          </cell>
          <cell r="D2704" t="str">
            <v>no</v>
          </cell>
          <cell r="E2704" t="str">
            <v>20201132786</v>
          </cell>
          <cell r="F2704" t="str">
            <v>F0672</v>
          </cell>
          <cell r="G2704" t="str">
            <v>Main Repl - Sys Reinforcement (S)</v>
          </cell>
          <cell r="H2704" t="str">
            <v>44th &amp; Phelps Repl I/O DRS 105 w 6i</v>
          </cell>
          <cell r="I2704" t="str">
            <v>posted to CPR</v>
          </cell>
          <cell r="J2704" t="str">
            <v>44th &amp; Phelps Repl I/O DRS 105 w 6in CS Main Tie-i: Independence: Phelps Rd and 44th St</v>
          </cell>
          <cell r="K2704" t="str">
            <v>Approved by: Ralph Janes on 07/09/2013,  Tie together C-500 and C-013 by replacing 10' of 6in pcs main (wo# B1745B) with 20' 6in thin film after uprate of pressure system C-013 (MOP=MAOP = 5 psig) to pressure system C-500 (MOP=30 psig and MOAP=44 psig). DRS 105 will be removed and retired on wo# 13-2782. DRS 105 is currently out of service due to a car colliding with the station.</v>
          </cell>
          <cell r="L2704">
            <v>41591</v>
          </cell>
          <cell r="M2704">
            <v>41670</v>
          </cell>
          <cell r="N2704">
            <v>41677.509756944397</v>
          </cell>
          <cell r="O2704">
            <v>41730</v>
          </cell>
          <cell r="P2704" t="str">
            <v>0201-043001  JACKSON CTY/INDEPENDENCE</v>
          </cell>
          <cell r="Q2704">
            <v>14805.48</v>
          </cell>
          <cell r="R2704">
            <v>69.599999999999994</v>
          </cell>
        </row>
        <row r="2705">
          <cell r="A2705" t="str">
            <v>004660</v>
          </cell>
          <cell r="B2705" t="str">
            <v>LDC 2</v>
          </cell>
          <cell r="D2705" t="str">
            <v>no</v>
          </cell>
          <cell r="E2705" t="str">
            <v>20201132949</v>
          </cell>
          <cell r="F2705" t="str">
            <v>F0671</v>
          </cell>
          <cell r="G2705" t="str">
            <v>Tools, Instruments &amp; Equipment</v>
          </cell>
          <cell r="H2705" t="str">
            <v>Pur Welding Table Training Ctr</v>
          </cell>
          <cell r="I2705" t="str">
            <v>posted to CPR</v>
          </cell>
          <cell r="J2705" t="str">
            <v>Pur Welding Table Training Ctr: Independence: Independence Training Center</v>
          </cell>
          <cell r="K2705" t="str">
            <v>Approved by: Regina George-Berry on 09/06/2013,  Welding table to be used for welder testing.</v>
          </cell>
          <cell r="L2705">
            <v>41535</v>
          </cell>
          <cell r="M2705">
            <v>41575</v>
          </cell>
          <cell r="N2705">
            <v>41576.418564814798</v>
          </cell>
          <cell r="P2705" t="str">
            <v>0201-043001  JACKSON CTY/INDEPENDENCE</v>
          </cell>
          <cell r="Q2705">
            <v>1500</v>
          </cell>
          <cell r="R2705">
            <v>0</v>
          </cell>
        </row>
        <row r="2706">
          <cell r="A2706" t="str">
            <v>008806</v>
          </cell>
          <cell r="B2706" t="str">
            <v>LDC 2</v>
          </cell>
          <cell r="D2706" t="str">
            <v>yes</v>
          </cell>
          <cell r="E2706" t="str">
            <v>20305155159</v>
          </cell>
          <cell r="F2706" t="str">
            <v>F0604</v>
          </cell>
          <cell r="G2706" t="str">
            <v>Main Replacement - ISRS (S)</v>
          </cell>
          <cell r="H2706" t="str">
            <v>Install 2in PE main</v>
          </cell>
          <cell r="I2706" t="str">
            <v>posted to CPR</v>
          </cell>
          <cell r="J2706" t="str">
            <v>Install 2in PE main: Sweet Springs: Replace Bare Steel Main - 3760 Safety Related (34-394)</v>
          </cell>
          <cell r="K2706" t="str">
            <v>Approved by: Joe Hampton on 06/26/2015,  Replace and Abandon pbs and pcs main by installing 5,560' - 2" pe main - Accelerated Main Replacement program. (ISRS)</v>
          </cell>
          <cell r="L2706">
            <v>42302</v>
          </cell>
          <cell r="M2706">
            <v>42429</v>
          </cell>
          <cell r="N2706">
            <v>42527.512476851902</v>
          </cell>
          <cell r="O2706">
            <v>42370</v>
          </cell>
          <cell r="P2706" t="str">
            <v>0305-086001  SALINE CTY/SWEET SPRINGS</v>
          </cell>
          <cell r="Q2706">
            <v>126229.75</v>
          </cell>
          <cell r="R2706">
            <v>-4600.5</v>
          </cell>
        </row>
        <row r="2707">
          <cell r="A2707" t="str">
            <v>004195</v>
          </cell>
          <cell r="B2707" t="str">
            <v>LDC 2</v>
          </cell>
          <cell r="D2707" t="str">
            <v>yes</v>
          </cell>
          <cell r="E2707" t="str">
            <v>20307132741</v>
          </cell>
          <cell r="F2707" t="str">
            <v>F0578</v>
          </cell>
          <cell r="G2707" t="str">
            <v>Street &amp; Highway Relocates ISRS (S)</v>
          </cell>
          <cell r="H2707" t="str">
            <v>Orange St Reloc CS w 114'-6in TF St</v>
          </cell>
          <cell r="I2707" t="str">
            <v>posted to CPR</v>
          </cell>
          <cell r="J2707" t="str">
            <v>Orange St Reloc CS w 114'-6in TF Steel : Concordia: 7th St and Orange St</v>
          </cell>
          <cell r="K2707" t="str">
            <v>Approved by: Ralph Janes on 09/23/2013,  Main to abandon: 90' of 6" PCS from wo# 62-1425 and 108' of 2" PE from wo# 89-1285. Also, remove EV 704. Install 114' of 6" PCS on WO# 13-2741. Main relocation is due to "Main Street Drainage Improvements Phase 1" in Concordia, MO.</v>
          </cell>
          <cell r="L2707">
            <v>41557</v>
          </cell>
          <cell r="M2707">
            <v>41638</v>
          </cell>
          <cell r="N2707">
            <v>41676.633414351803</v>
          </cell>
          <cell r="O2707">
            <v>41730</v>
          </cell>
          <cell r="P2707" t="str">
            <v>0307-049001  LAFAYETTE CTY/CONCORDIA</v>
          </cell>
          <cell r="Q2707">
            <v>22614.51</v>
          </cell>
          <cell r="R2707">
            <v>455</v>
          </cell>
        </row>
        <row r="2708">
          <cell r="A2708" t="str">
            <v>006554</v>
          </cell>
          <cell r="B2708" t="str">
            <v>LDC 2</v>
          </cell>
          <cell r="D2708" t="str">
            <v>no</v>
          </cell>
          <cell r="E2708" t="str">
            <v>20301143727</v>
          </cell>
          <cell r="F2708" t="str">
            <v>F0676</v>
          </cell>
          <cell r="G2708" t="str">
            <v>Meter &amp; regulator settings - 2" &amp; l</v>
          </cell>
          <cell r="H2708" t="str">
            <v>The Holden Village-Retail 3M Mtr</v>
          </cell>
          <cell r="I2708" t="str">
            <v>posted to CPR</v>
          </cell>
          <cell r="J2708" t="str">
            <v>The Holden Village - Retail: Warrensburg: New Meter &amp; Reg Settings - 2&amp;quot; &amp; Larger 3820/3830 (33-382)</v>
          </cell>
          <cell r="K2708" t="str">
            <v>Approved by: Ralph Janes on 08/18/2014,  Install a 3M Rotary meter setting to serve one new commercial customer.  670' - 1-1/4" pe service line to be installed on BWO.</v>
          </cell>
          <cell r="L2708">
            <v>42173</v>
          </cell>
          <cell r="M2708">
            <v>42185</v>
          </cell>
          <cell r="N2708">
            <v>42193.495115740698</v>
          </cell>
          <cell r="O2708">
            <v>42156</v>
          </cell>
          <cell r="P2708" t="str">
            <v>0301-046001  JOHNSON CTY/WARRENSBURG</v>
          </cell>
          <cell r="Q2708">
            <v>2916.44</v>
          </cell>
          <cell r="R2708">
            <v>-38</v>
          </cell>
        </row>
        <row r="2709">
          <cell r="A2709" t="str">
            <v>800105</v>
          </cell>
          <cell r="B2709" t="str">
            <v>LDC 2</v>
          </cell>
          <cell r="C2709" t="str">
            <v>03 - Bare Steel Replacement</v>
          </cell>
          <cell r="D2709" t="str">
            <v>yes</v>
          </cell>
          <cell r="F2709" t="str">
            <v>F0604</v>
          </cell>
          <cell r="G2709" t="str">
            <v>Main Replacement - ISRS (S)</v>
          </cell>
          <cell r="H2709" t="str">
            <v>Centerview Grid Replacement Phase 2</v>
          </cell>
          <cell r="I2709" t="str">
            <v>in service</v>
          </cell>
          <cell r="J2709" t="str">
            <v>Install 1004 Ft of 4 in and 2554 Ft of 2 in PL IP main on Main St, Franklin St, Spring St, N Depot St, and Graham St. for Centerview Ph2.  Abandon 3000 Ft of 2 in PBS, 358 Ft of 2 in PCS, &amp; 34 Ft of 2 in PL MP main. Total Services are 31.</v>
          </cell>
          <cell r="K2709" t="str">
            <v>This main is being abandoned as part of FY16 Bare Steel Replacement Program</v>
          </cell>
          <cell r="L2709">
            <v>42608</v>
          </cell>
          <cell r="O2709">
            <v>42583</v>
          </cell>
          <cell r="P2709" t="str">
            <v>0321-046009  JOHNSON CTY/CENTERVIEW</v>
          </cell>
          <cell r="Q2709">
            <v>109781.64</v>
          </cell>
          <cell r="R2709">
            <v>-4622</v>
          </cell>
        </row>
        <row r="2710">
          <cell r="A2710" t="str">
            <v>007693</v>
          </cell>
          <cell r="B2710" t="str">
            <v>LDC 2</v>
          </cell>
          <cell r="D2710" t="str">
            <v>yes</v>
          </cell>
          <cell r="E2710" t="str">
            <v>20801155143</v>
          </cell>
          <cell r="F2710" t="str">
            <v>F0573</v>
          </cell>
          <cell r="G2710" t="str">
            <v>Replace bare steel main - safety re</v>
          </cell>
          <cell r="H2710" t="str">
            <v>Repl 178ft of 2in Bare Steel Main w</v>
          </cell>
          <cell r="I2710" t="str">
            <v>posted to CPR</v>
          </cell>
          <cell r="J2710" t="str">
            <v>Repl 178ft of 2in Bare Steel Main with 2in Plastic: Monett: Replace Bare Steel Main - 3760 Safety Related (34-394)</v>
          </cell>
          <cell r="K2710" t="str">
            <v>Approved by: Michael Fornelli on 02/19/2015,  To lay appx 175 ft of 2 in Plastic Main to replace 2in isolated Bare Steel Main from WO 29522. MAOP=44# MOP=40# SYSTEM=C-1 TEST=100# ISRS</v>
          </cell>
          <cell r="L2710">
            <v>42116</v>
          </cell>
          <cell r="M2710">
            <v>42217</v>
          </cell>
          <cell r="N2710">
            <v>42284.723333333299</v>
          </cell>
          <cell r="O2710">
            <v>42095</v>
          </cell>
          <cell r="P2710" t="str">
            <v>0801-005001  BARRY CTY/MONETT</v>
          </cell>
          <cell r="Q2710">
            <v>1376.17</v>
          </cell>
          <cell r="R2710">
            <v>-247</v>
          </cell>
        </row>
        <row r="2711">
          <cell r="A2711" t="str">
            <v>007322</v>
          </cell>
          <cell r="B2711" t="str">
            <v>LDC 2</v>
          </cell>
          <cell r="D2711" t="str">
            <v>no</v>
          </cell>
          <cell r="E2711" t="str">
            <v>20932143864</v>
          </cell>
          <cell r="F2711" t="str">
            <v>F0602</v>
          </cell>
          <cell r="G2711" t="str">
            <v>New business</v>
          </cell>
          <cell r="H2711" t="str">
            <v>Westbrook @ Creekmoor 10th Plat</v>
          </cell>
          <cell r="I2711" t="str">
            <v>posted to CPR</v>
          </cell>
          <cell r="J2711" t="str">
            <v>Westbrook @ Creekmoor 10th Plat: Raymore: New Main Extension - Contractor Crews  3760 (33-380)</v>
          </cell>
          <cell r="K2711" t="str">
            <v>Approved by: Ralph Janes on 10/08/2014,  Install 1,040' - 2" pe main extension to serve 21 new residential lots.  MEA Contribution for $8840 rec'd 1-5-15.</v>
          </cell>
          <cell r="L2711">
            <v>42131</v>
          </cell>
          <cell r="M2711">
            <v>42185</v>
          </cell>
          <cell r="N2711">
            <v>42284.723043981503</v>
          </cell>
          <cell r="O2711">
            <v>42125</v>
          </cell>
          <cell r="P2711" t="str">
            <v>0932-016022  CASS CTY/RAYMORE</v>
          </cell>
          <cell r="Q2711">
            <v>51673.55</v>
          </cell>
          <cell r="R2711">
            <v>-1582</v>
          </cell>
        </row>
        <row r="2712">
          <cell r="A2712" t="str">
            <v>012567</v>
          </cell>
          <cell r="B2712" t="str">
            <v>LDC 2</v>
          </cell>
          <cell r="D2712" t="str">
            <v>no</v>
          </cell>
          <cell r="F2712" t="str">
            <v>F0639</v>
          </cell>
          <cell r="G2712" t="str">
            <v>EGM Equip-1st Time Installation</v>
          </cell>
          <cell r="H2712" t="str">
            <v>EGM - Walmart (Neosho Lusk Drive)</v>
          </cell>
          <cell r="I2712" t="str">
            <v>open</v>
          </cell>
          <cell r="J2712" t="str">
            <v>Mini-Max AT-PT Corrector for Walmart at 3200 Lusk Dr to monitor daily gas usage. Customer will reimburse company actual cost for EGM installation not to exceed $5,445.</v>
          </cell>
          <cell r="K2712" t="str">
            <v>meter no 008453328</v>
          </cell>
          <cell r="P2712" t="str">
            <v>0806-066010  NEWTON CTY/NEOSHO</v>
          </cell>
          <cell r="Q2712">
            <v>1971.95</v>
          </cell>
          <cell r="R2712">
            <v>1</v>
          </cell>
        </row>
        <row r="2713">
          <cell r="A2713" t="str">
            <v>004321</v>
          </cell>
          <cell r="B2713" t="str">
            <v>LDC 2</v>
          </cell>
          <cell r="D2713" t="str">
            <v>no</v>
          </cell>
          <cell r="E2713" t="str">
            <v>20806121810</v>
          </cell>
          <cell r="F2713" t="str">
            <v>F0639</v>
          </cell>
          <cell r="G2713" t="str">
            <v>EGM Equip-1st Time Installation</v>
          </cell>
          <cell r="H2713" t="str">
            <v>EGM - Freeman Neosho Hospital, Inc.</v>
          </cell>
          <cell r="I2713" t="str">
            <v>posted to CPR</v>
          </cell>
          <cell r="J2713" t="str">
            <v>EGM - Freeman Neosho Hospital, Inc.: Neosho: 113 North Hickory Street, Neosho, Mo.</v>
          </cell>
          <cell r="K2713" t="str">
            <v>Approved by: Rob Kitterman on 10/12/2012,  Install Mercury MiniMax-AT-T on Roots 5M meter no 08056077 to monitor daily gas usage of this transportation customer. Customer will reimburse company actual cost for EGM installation not to exceed $5,445.00, which should be coded to account 1072. ATTENTION: Plant &amp; Property Accounting, EGM work order, turn off A&amp;G indicator.</v>
          </cell>
          <cell r="L2713">
            <v>41548</v>
          </cell>
          <cell r="M2713">
            <v>41575</v>
          </cell>
          <cell r="N2713">
            <v>41576.418599536999</v>
          </cell>
          <cell r="P2713" t="str">
            <v>0806-066010  NEWTON CTY/NEOSHO</v>
          </cell>
          <cell r="Q2713">
            <v>0</v>
          </cell>
          <cell r="R2713">
            <v>4</v>
          </cell>
        </row>
        <row r="2714">
          <cell r="A2714" t="str">
            <v>800611</v>
          </cell>
          <cell r="B2714" t="str">
            <v>LDC 2</v>
          </cell>
          <cell r="C2714" t="str">
            <v>03 - Bare Steel Replacement</v>
          </cell>
          <cell r="D2714" t="str">
            <v>yes</v>
          </cell>
          <cell r="F2714" t="str">
            <v>F0572</v>
          </cell>
          <cell r="G2714" t="str">
            <v>Main Replacement - ISRS (SW)</v>
          </cell>
          <cell r="H2714" t="str">
            <v>Repl w 9440F 2-4P Marionville Phs D</v>
          </cell>
          <cell r="I2714" t="str">
            <v>open</v>
          </cell>
          <cell r="J2714" t="str">
            <v>Install 5850 Ft. 2 in. PL IP Main and 3590 Ft. 4 in. PL IP Main on Lincoln St. (HWY ZZ), Euclid Ave., College Ave., Missouri Ave., Youngblood St., Westview Dr., Maple St., Lawrence St. and Western Ave.</v>
          </cell>
          <cell r="K2714" t="str">
            <v>Abandon 48 Ft of 2 in PL IP Main,  80 Ft of 1 1/4 in ST IP Main,  7395 Ft of 2 in ST IP Main, and 1647 Ft of 4 in ST IP Main  at the above locations.  Total service tie overs = 57; Total service abandon = 4; Total service replace =1.  This main is being replaced as part of the FY16 Bare Steel Replacement Program.</v>
          </cell>
          <cell r="P2714" t="str">
            <v>0810-050015  LAWRENCE CTY/MARIONVILLE</v>
          </cell>
          <cell r="Q2714">
            <v>0</v>
          </cell>
          <cell r="R2714">
            <v>9170</v>
          </cell>
        </row>
        <row r="2715">
          <cell r="A2715" t="str">
            <v>003811</v>
          </cell>
          <cell r="B2715" t="str">
            <v>LDC 2</v>
          </cell>
          <cell r="D2715" t="str">
            <v>no</v>
          </cell>
          <cell r="E2715" t="str">
            <v>20812121872</v>
          </cell>
          <cell r="F2715" t="str">
            <v>F0523</v>
          </cell>
          <cell r="G2715" t="str">
            <v>New Main Extensions (SW)</v>
          </cell>
          <cell r="H2715" t="str">
            <v>Pine &amp; Cardinal Lay 445'-2in PE mai</v>
          </cell>
          <cell r="I2715" t="str">
            <v>posted to CPR</v>
          </cell>
          <cell r="J2715" t="str">
            <v>Pine &amp; Cardinal Lay 445'-2in PE main ext: Republic: Pine and Cardinal Westwood Phase 3</v>
          </cell>
          <cell r="K2715" t="str">
            <v>Approved by: Galen Shoemaker on 10/30/2012,  Extend main with 445' - 2in PE to provide service to 14 lots in Westwood Phase 3 - 1st Addition. Customer will contribute $4895 prior to work. Project Location: Pine and Cardinal; Pressure System: C-1; MOP: 39.5 psig; MAOP: 39.5 psig; Design: 58 psig; Test: 100 psig;</v>
          </cell>
          <cell r="L2715">
            <v>41736</v>
          </cell>
          <cell r="M2715">
            <v>41821</v>
          </cell>
          <cell r="N2715">
            <v>41953.660069444399</v>
          </cell>
          <cell r="O2715">
            <v>41730</v>
          </cell>
          <cell r="P2715" t="str">
            <v>0812-034004  GREENE CTY/Republic</v>
          </cell>
          <cell r="Q2715">
            <v>5862.91</v>
          </cell>
          <cell r="R2715">
            <v>110</v>
          </cell>
        </row>
        <row r="2716">
          <cell r="A2716" t="str">
            <v>008529</v>
          </cell>
          <cell r="B2716" t="str">
            <v>LDC 2</v>
          </cell>
          <cell r="D2716" t="str">
            <v>yes</v>
          </cell>
          <cell r="E2716" t="str">
            <v>20314155312</v>
          </cell>
          <cell r="F2716" t="str">
            <v>F0604</v>
          </cell>
          <cell r="G2716" t="str">
            <v>Main Replacement - ISRS (S)</v>
          </cell>
          <cell r="H2716" t="str">
            <v>Replace 2in pbs main</v>
          </cell>
          <cell r="I2716" t="str">
            <v>posted to CPR</v>
          </cell>
          <cell r="J2716" t="str">
            <v>Replace 2in pbs main: Waverly: Replace Bare Steel Main - 3760 Safety Related (34-394)</v>
          </cell>
          <cell r="K2716" t="str">
            <v>Approved by: Kevin Driskell on 05/19/2015,  Replace and abandon 909' - 2" pbs main and 224' - 2" pcs main by installing 1,160' - 2" pe main.  Existing main lies in an alley and is exposed in several areas. (ISRS)</v>
          </cell>
          <cell r="L2716">
            <v>42243</v>
          </cell>
          <cell r="M2716">
            <v>42612</v>
          </cell>
          <cell r="N2716">
            <v>42620.419814814799</v>
          </cell>
          <cell r="O2716">
            <v>42401</v>
          </cell>
          <cell r="P2716" t="str">
            <v>0314-049009  LAFAYETTE CTY/WAVERLY</v>
          </cell>
          <cell r="Q2716">
            <v>51720.03</v>
          </cell>
          <cell r="R2716">
            <v>-104.5</v>
          </cell>
        </row>
        <row r="2717">
          <cell r="A2717" t="str">
            <v>005431</v>
          </cell>
          <cell r="B2717" t="str">
            <v>LDC 2</v>
          </cell>
          <cell r="D2717" t="str">
            <v>no</v>
          </cell>
          <cell r="E2717" t="str">
            <v>20315143606</v>
          </cell>
          <cell r="F2717" t="str">
            <v>F0507</v>
          </cell>
          <cell r="G2717" t="str">
            <v>Rebuild Meter Install 2'' &amp; Lg (S)</v>
          </cell>
          <cell r="H2717" t="str">
            <v>201 Front St Ret 11M Mtr Set</v>
          </cell>
          <cell r="I2717" t="str">
            <v>posted to CPR</v>
          </cell>
          <cell r="J2717" t="str">
            <v>201 Front St Ret 11M Mtr Set: Slater: Replace Meter &amp; Reg 2&amp;quot; &amp;  Larger - 3820/3830 (32-404)</v>
          </cell>
          <cell r="K2717" t="str">
            <v>Approved by: Ralph Janes on 06/05/2014,  Remove and dismantle the 11M rotary meter setting (meter #08598980, installed on WO# 75-3439) at the Central Missouri Agri Services grain dryer due to the grain dryer being blown over during a storm damaging the existing meter set.</v>
          </cell>
          <cell r="L2717">
            <v>41794</v>
          </cell>
          <cell r="M2717">
            <v>41883</v>
          </cell>
          <cell r="N2717">
            <v>41918.764039351903</v>
          </cell>
          <cell r="P2717" t="str">
            <v>0315-086003  SALINE CTY/SLATER</v>
          </cell>
          <cell r="Q2717">
            <v>1274.97</v>
          </cell>
          <cell r="R2717">
            <v>3</v>
          </cell>
        </row>
        <row r="2718">
          <cell r="A2718" t="str">
            <v>007171</v>
          </cell>
          <cell r="B2718" t="str">
            <v>LDC 2</v>
          </cell>
          <cell r="D2718" t="str">
            <v>yes</v>
          </cell>
          <cell r="E2718" t="str">
            <v>20806144003</v>
          </cell>
          <cell r="F2718" t="str">
            <v>F0545</v>
          </cell>
          <cell r="G2718" t="str">
            <v>Street &amp; highway relocates</v>
          </cell>
          <cell r="H2718" t="str">
            <v>Relocate 2in Steel Main due to Road</v>
          </cell>
          <cell r="I2718" t="str">
            <v>posted to CPR</v>
          </cell>
          <cell r="J2718" t="str">
            <v>Relocate 2in Steel Main due to Road Improvements: Neosho: Relocate for Street &amp; Highway-Public Improvements (44-388)</v>
          </cell>
          <cell r="K2718" t="str">
            <v>Approved by: Galen Shoemaker on 12/03/2014,  Abandon 159' - 2" PBS (WO# 4800) and 11' - 2" PCS (WO# 77-2548) and replace with 170' - 2" PE due to road improvements and existing main being too shallow. Project Location: St John and McKinney; Pressure System: C-1; MOP: 42 psig; MAOP: 42 psig; Design: 58 psig; Test: 100 psig; ISRS $36.16/ft</v>
          </cell>
          <cell r="L2718">
            <v>42019</v>
          </cell>
          <cell r="M2718">
            <v>42248</v>
          </cell>
          <cell r="N2718">
            <v>42284.722939814797</v>
          </cell>
          <cell r="O2718">
            <v>42005</v>
          </cell>
          <cell r="P2718" t="str">
            <v>0806-066010  NEWTON CTY/NEOSHO</v>
          </cell>
          <cell r="Q2718">
            <v>4757.83</v>
          </cell>
          <cell r="R2718">
            <v>-412</v>
          </cell>
        </row>
        <row r="2719">
          <cell r="A2719" t="str">
            <v>005530</v>
          </cell>
          <cell r="B2719" t="str">
            <v>LDC 2</v>
          </cell>
          <cell r="D2719" t="str">
            <v>yes</v>
          </cell>
          <cell r="E2719" t="str">
            <v>20902143624</v>
          </cell>
          <cell r="F2719" t="str">
            <v>F0578</v>
          </cell>
          <cell r="G2719" t="str">
            <v>Street &amp; Highway Relocates ISRS (S)</v>
          </cell>
          <cell r="H2719" t="str">
            <v>83rd &amp; Lane Reloc 14'-4in pcs main</v>
          </cell>
          <cell r="I2719" t="str">
            <v>in service</v>
          </cell>
          <cell r="J2719" t="str">
            <v>83rd &amp; Lane Reloc 14'-4in pcs main: Raytown: Relocate for Street &amp; Highway-Public Improvements (44-388)</v>
          </cell>
          <cell r="K2719" t="str">
            <v>Approved by: Ralph Janes on 06/17/2014,  Relocate and retire 8' - 4" pcs main (wo B2109A) by installing 14' - 4" pcs main for the City of Raytown public works department.  Our existing main runs through their storm curb inlet.  They are replacing the curb inlet and have asked us to relocate our main.</v>
          </cell>
          <cell r="L2719">
            <v>41815</v>
          </cell>
          <cell r="O2719">
            <v>42036</v>
          </cell>
          <cell r="P2719" t="str">
            <v>0902-043025  JACKSON CTY/RAYTOWN</v>
          </cell>
          <cell r="Q2719">
            <v>5876.25</v>
          </cell>
          <cell r="R2719">
            <v>22</v>
          </cell>
        </row>
        <row r="2720">
          <cell r="A2720" t="str">
            <v>006855</v>
          </cell>
          <cell r="B2720" t="str">
            <v>LDC 2</v>
          </cell>
          <cell r="D2720" t="str">
            <v>yes</v>
          </cell>
          <cell r="E2720" t="str">
            <v>20902143858</v>
          </cell>
          <cell r="F2720" t="str">
            <v>F0604</v>
          </cell>
          <cell r="G2720" t="str">
            <v>Main Replacement - ISRS (S)</v>
          </cell>
          <cell r="H2720" t="str">
            <v>Replace 2in PCS/PBS main</v>
          </cell>
          <cell r="I2720" t="str">
            <v>posted to CPR</v>
          </cell>
          <cell r="J2720" t="str">
            <v>Replace 2in PCS/PBS main: Raytown: Replace Bare Steel Main - 3760 Safety Related (34-394)</v>
          </cell>
          <cell r="K2720" t="str">
            <v>Approved by: Ralph Janes on 11/05/2014,  Replace and Abandon 125'- 2" PBS (43618), 800'- 2" PBS (7589), 210' - 2" PCS (710041), 191' 2" PCS (713646), 328' 2" PCS (51424). Main currently runs on Harris Ave between 81st St and 79th St. (ISRS)$26.21 per foot.</v>
          </cell>
          <cell r="L2720">
            <v>42146</v>
          </cell>
          <cell r="M2720">
            <v>42185</v>
          </cell>
          <cell r="N2720">
            <v>42285.465324074103</v>
          </cell>
          <cell r="O2720">
            <v>42125</v>
          </cell>
          <cell r="P2720" t="str">
            <v>0902-043025  JACKSON CTY/RAYTOWN</v>
          </cell>
          <cell r="Q2720">
            <v>14631.49</v>
          </cell>
          <cell r="R2720">
            <v>-1461.5</v>
          </cell>
        </row>
        <row r="2721">
          <cell r="A2721" t="str">
            <v>009914</v>
          </cell>
          <cell r="B2721" t="str">
            <v>LDC 2</v>
          </cell>
          <cell r="D2721" t="str">
            <v>no</v>
          </cell>
          <cell r="F2721" t="str">
            <v>F1195</v>
          </cell>
          <cell r="G2721" t="str">
            <v>Pipeline Safety/Integrity ISRS (N)</v>
          </cell>
          <cell r="H2721" t="str">
            <v>Grain Valley Phase II Hydrotest</v>
          </cell>
          <cell r="I2721" t="str">
            <v>in service</v>
          </cell>
          <cell r="J2721" t="str">
            <v>Hydrotest the Grain Valley lateral 12  transmission main from Little Blue Parkway to just east of Adams Dairy Parkway in Blue Springs, MO - Phase 2 for FY2016.  Total estimated dollars = $490,440</v>
          </cell>
          <cell r="K2721" t="str">
            <v>Requested per Kent Alms.  Related Phase 1 work order number is 009253.</v>
          </cell>
          <cell r="L2721">
            <v>42625</v>
          </cell>
          <cell r="O2721">
            <v>42614</v>
          </cell>
          <cell r="P2721" t="str">
            <v>0903-043026  JACKSON CTY/BLUE SPRINGS</v>
          </cell>
          <cell r="Q2721">
            <v>1323997.3999999999</v>
          </cell>
          <cell r="R2721">
            <v>-5796.9467000000004</v>
          </cell>
        </row>
        <row r="2722">
          <cell r="A2722" t="str">
            <v>008798</v>
          </cell>
          <cell r="B2722" t="str">
            <v>LDC 2</v>
          </cell>
          <cell r="D2722" t="str">
            <v>no</v>
          </cell>
          <cell r="E2722" t="str">
            <v>20903155417</v>
          </cell>
          <cell r="F2722" t="str">
            <v>F0507</v>
          </cell>
          <cell r="G2722" t="str">
            <v>Rebuild Meter Install 2'' &amp; Lg (S)</v>
          </cell>
          <cell r="H2722" t="str">
            <v>Winsteads 3M Rebuild SLRP</v>
          </cell>
          <cell r="I2722" t="str">
            <v>posted to CPR</v>
          </cell>
          <cell r="J2722" t="str">
            <v>Winsteads 3M Rebuild SLRP: Blue Springs: Replace Meter &amp; Reg 2in &amp;  Larger - 3820/3830 (32-404)</v>
          </cell>
          <cell r="K2722" t="str">
            <v>Approved by: Kevin Driskell on 06/28/2015,  20 Year SLRP at Winstead's - 905 NW 7 Highway (mtr #00237556, installed on WO# 88-5082, premise #389615).  Rebuild a 3M rotary meter set at the building and remove the 2M rotary meter set at the property line.  Total connected load = 2,000 cfh.</v>
          </cell>
          <cell r="L2722">
            <v>42242</v>
          </cell>
          <cell r="M2722">
            <v>42429</v>
          </cell>
          <cell r="N2722">
            <v>42434.533738425896</v>
          </cell>
          <cell r="O2722">
            <v>42248</v>
          </cell>
          <cell r="P2722" t="str">
            <v>0903-043026  JACKSON CTY/BLUE SPRINGS</v>
          </cell>
          <cell r="Q2722">
            <v>3080.53</v>
          </cell>
          <cell r="R2722">
            <v>-37.5</v>
          </cell>
        </row>
        <row r="2723">
          <cell r="A2723" t="str">
            <v>800092</v>
          </cell>
          <cell r="B2723" t="str">
            <v>LDC 2</v>
          </cell>
          <cell r="C2723" t="str">
            <v>03 - Bare Steel Replacement</v>
          </cell>
          <cell r="D2723" t="str">
            <v>yes</v>
          </cell>
          <cell r="F2723" t="str">
            <v>F0604</v>
          </cell>
          <cell r="G2723" t="str">
            <v>Main Replacement - ISRS (S)</v>
          </cell>
          <cell r="H2723" t="str">
            <v>Inst 4644F 2P Belton Ph</v>
          </cell>
          <cell r="I2723" t="str">
            <v>open</v>
          </cell>
          <cell r="J2723" t="str">
            <v>Install 4644 Ft of 2 in, 957 Ft of 4 in PL IP main and 458 Ft of 6 in PL IP main for Belton Phase 1B. Abandon 5 Ft of 2 in PL, 201 Ft of 2 in ST, 992 Ft of 3 in ST, 81 Ft of 4 in PL, 4602 Ft of 4 in ST and 428 Ft of 6 in ST.</v>
          </cell>
          <cell r="K2723" t="str">
            <v>Main being replaced as part of the FY16 bare steel replacement program.</v>
          </cell>
          <cell r="P2723" t="str">
            <v>0906-016001  CASS CTY/BELTON W OF MULLIN RD</v>
          </cell>
          <cell r="Q2723">
            <v>0</v>
          </cell>
          <cell r="R2723">
            <v>6309</v>
          </cell>
        </row>
        <row r="2724">
          <cell r="A2724" t="str">
            <v>800087</v>
          </cell>
          <cell r="B2724" t="str">
            <v>LDC 2</v>
          </cell>
          <cell r="C2724" t="str">
            <v>03 - Bare Steel Replacement</v>
          </cell>
          <cell r="D2724" t="str">
            <v>yes</v>
          </cell>
          <cell r="F2724" t="str">
            <v>F0604</v>
          </cell>
          <cell r="G2724" t="str">
            <v>Main Replacement - ISRS (S)</v>
          </cell>
          <cell r="H2724" t="str">
            <v>Holden Grid Phase 2E</v>
          </cell>
          <cell r="I2724" t="str">
            <v>in service</v>
          </cell>
          <cell r="J2724" t="str">
            <v>Inst 6571 Ft of 2 in PL IP Main for Holden Phase 2E. Abandon 89 Ft of 1-1/4 in PL, 3815 Ft of 2 in PBS, 1644 Ft of 2 in, 805 Ft of 3 in and 1517 Ft of 4 in PCS (Majority poorly coated) Main.</v>
          </cell>
          <cell r="K2724" t="str">
            <v>Uprate 1318 Ft of 4 in, 220 Ft of 2 in and 344 Ft of 1-1/4 in PL Main to IP.  FY 2016 Bare Steel Replacement Program.</v>
          </cell>
          <cell r="L2724">
            <v>42670</v>
          </cell>
          <cell r="O2724">
            <v>42644</v>
          </cell>
          <cell r="P2724" t="str">
            <v>0910-046008  JOHNSON CTY/HOLDEN</v>
          </cell>
          <cell r="Q2724">
            <v>185158.87</v>
          </cell>
          <cell r="R2724">
            <v>-5919</v>
          </cell>
        </row>
        <row r="2725">
          <cell r="A2725" t="str">
            <v>800639</v>
          </cell>
          <cell r="B2725" t="str">
            <v>LDC 2</v>
          </cell>
          <cell r="C2725" t="str">
            <v>03 - Bare Steel Replacement</v>
          </cell>
          <cell r="D2725" t="str">
            <v>yes</v>
          </cell>
          <cell r="F2725" t="str">
            <v>F0604</v>
          </cell>
          <cell r="G2725" t="str">
            <v>Main Replacement - ISRS (S)</v>
          </cell>
          <cell r="H2725" t="str">
            <v>Repl w 5742F 2-4P East Downtwn Ph 2</v>
          </cell>
          <cell r="I2725" t="str">
            <v>open</v>
          </cell>
          <cell r="J2725" t="str">
            <v>Install 4377 Ft of 4 in PL IP Main and 1365 Ft of 2 in PL IP Main on Corder Ave, 3rd Street, Summit Ave, Grand Ave, Cooper, and the Alley between 3rd and 4th Street.</v>
          </cell>
          <cell r="K2725" t="str">
            <v>Abandon 36 Ft of 6in ST Main, 2504 Ft of 4in ST Main, 149 Ft of 3in ST Main, 1929 Ft of 2in ST Main, 118 Ft of 4in PL Main, and 65 Ft of 2in PL Main at the above location.  Uprate 1297 Ft of 4in PL MP Main and 2624 Ft of 2in PL MP Main on Cooper St, Johnson St, west of Green St inbetween 2nd and 3rd St, east of the intersection of Wilson St and Grand Ave, and north of 3rd St inbetween Florence Ave and Grand Ave.  Total Service Tie-over = 73; Total Service Replacement = 2; Total Service Abandoned = 1; Total Service Upgrade = 45.  This main is being abandoned as part of FY16 Bare Steel Replacement Program.</v>
          </cell>
          <cell r="P2725" t="str">
            <v>0901-043021  JACKSON CTY/LEE'S SUMMIT OFFIC</v>
          </cell>
          <cell r="Q2725">
            <v>0</v>
          </cell>
          <cell r="R2725">
            <v>4801</v>
          </cell>
        </row>
        <row r="2726">
          <cell r="A2726" t="str">
            <v>008202</v>
          </cell>
          <cell r="B2726" t="str">
            <v>LDC 2</v>
          </cell>
          <cell r="D2726" t="str">
            <v>no</v>
          </cell>
          <cell r="E2726" t="str">
            <v>20901155281</v>
          </cell>
          <cell r="F2726" t="str">
            <v>F0507</v>
          </cell>
          <cell r="G2726" t="str">
            <v>Rebuild Meter Install 2'' &amp; Lg (S)</v>
          </cell>
          <cell r="H2726" t="str">
            <v>County Beverage 5M Rotary rebuild S</v>
          </cell>
          <cell r="I2726" t="str">
            <v>posted to CPR</v>
          </cell>
          <cell r="J2726" t="str">
            <v>County Beverage 5M Rotary rebuild SLRP: Lees Summit: Replace Meter &amp; Reg 2&amp;quot; &amp;  Larger - 3820/3830 (32-404)</v>
          </cell>
          <cell r="K2726" t="str">
            <v>Approved by: Kevin Driskell on 04/10/2015,  20 Year SLRP at County Beverage 1290 SE Hamblen (meter #08166360, installed on WO# 88-2681, premise #368149).  Rebuild a 5M rotary meter set at the building.</v>
          </cell>
          <cell r="L2726">
            <v>42157</v>
          </cell>
          <cell r="M2726">
            <v>42185</v>
          </cell>
          <cell r="N2726">
            <v>42193.495497685202</v>
          </cell>
          <cell r="O2726">
            <v>42156</v>
          </cell>
          <cell r="P2726" t="str">
            <v>0901-043021  JACKSON CTY/LEE'S SUMMIT OFFIC</v>
          </cell>
          <cell r="Q2726">
            <v>1841.88</v>
          </cell>
          <cell r="R2726">
            <v>-46</v>
          </cell>
        </row>
        <row r="2727">
          <cell r="A2727" t="str">
            <v>007703</v>
          </cell>
          <cell r="B2727" t="str">
            <v>LDC 2</v>
          </cell>
          <cell r="D2727" t="str">
            <v>no</v>
          </cell>
          <cell r="E2727" t="str">
            <v>20901143347</v>
          </cell>
          <cell r="F2727" t="str">
            <v>F0514</v>
          </cell>
          <cell r="G2727" t="str">
            <v>Other relocates</v>
          </cell>
          <cell r="H2727" t="str">
            <v>Rebuild DRS 45 09-01 2400 LSRD CJ</v>
          </cell>
          <cell r="I2727" t="str">
            <v>completed</v>
          </cell>
          <cell r="J2727" t="str">
            <v>Rebuild DRS 45 09-01 2400 LSRD: Lees Summit: Rebuild District/TB Stations  3780/3790 (45-387)</v>
          </cell>
          <cell r="K2727" t="str">
            <v>Approved by: Kevin Driskell on 02/23/2015,  Public Improvement: Douglas Street/Lee's Summit Rd Improvements - Colbern to Gregory. Rebuild/relocate DRS 45 (WO# 79-0756) due to grading for the road improvement project. Relocate underground piping including inlet/outlet on WO# 14-3348. Inlet: C-100: MOP = 125 psig, MAOP = 155 psig. Outlet: S-045: MOP = 15 psig, MAOP = 58 psig. At this time we will install 4" risers with 4" inlet/outlet piping in anticipation of future growth to the south. The existing DRS is in private easement, making this WO reimbursable. Check received for $18,586 2-20-15 per WOES.</v>
          </cell>
          <cell r="L2727">
            <v>42125</v>
          </cell>
          <cell r="M2727">
            <v>42155</v>
          </cell>
          <cell r="O2727">
            <v>42125</v>
          </cell>
          <cell r="P2727" t="str">
            <v>0901-043021  JACKSON CTY/LEE'S SUMMIT OFFIC</v>
          </cell>
          <cell r="Q2727">
            <v>-11583.16</v>
          </cell>
          <cell r="R2727">
            <v>-66</v>
          </cell>
        </row>
        <row r="2728">
          <cell r="A2728" t="str">
            <v>005176</v>
          </cell>
          <cell r="B2728" t="str">
            <v>LDC 2</v>
          </cell>
          <cell r="D2728" t="str">
            <v>no</v>
          </cell>
          <cell r="E2728" t="str">
            <v>20901143549</v>
          </cell>
          <cell r="F2728" t="str">
            <v>F0639</v>
          </cell>
          <cell r="G2728" t="str">
            <v>EGM Equip-1st Time Installation</v>
          </cell>
          <cell r="H2728" t="str">
            <v>EGM - City of Lees Summit - Blueste</v>
          </cell>
          <cell r="I2728" t="str">
            <v>posted to CPR</v>
          </cell>
          <cell r="J2728" t="str">
            <v>EGM - City of Lees Summit - Bluestem: Lees Summit: Install EGM Equipment - First Time Installation  3850 (32-403)</v>
          </cell>
          <cell r="K2728" t="str">
            <v>Approved by: Rob Kitterman on 05/01/2014,  Install Mercury MiniMax-AT-PT w/ Messenger Modem S/N: 1303877 on Roots 7M meter no 00328078 to monitor daily gas usage of this transportation customer. Customer will reimburse company actual cost for EGM installation not to exceed $5,445.00, which should be coded to account 1072. ATTENTION: Plant &amp; Property Accounting, EGM work order, turn off A&amp;G indicator.</v>
          </cell>
          <cell r="L2728">
            <v>42443</v>
          </cell>
          <cell r="M2728">
            <v>42491</v>
          </cell>
          <cell r="N2728">
            <v>42528.313136574099</v>
          </cell>
          <cell r="O2728">
            <v>42430</v>
          </cell>
          <cell r="P2728" t="str">
            <v>0901-043021  JACKSON CTY/LEE'S SUMMIT OFFIC</v>
          </cell>
          <cell r="Q2728">
            <v>1892.44</v>
          </cell>
          <cell r="R2728">
            <v>9</v>
          </cell>
        </row>
        <row r="2729">
          <cell r="A2729" t="str">
            <v>004094</v>
          </cell>
          <cell r="B2729" t="str">
            <v>LDC 2</v>
          </cell>
          <cell r="D2729" t="str">
            <v>yes</v>
          </cell>
          <cell r="E2729" t="str">
            <v>20602133202</v>
          </cell>
          <cell r="F2729" t="str">
            <v>F0664</v>
          </cell>
          <cell r="G2729" t="str">
            <v>Street &amp; Hwy Relocates ISRS (SW)</v>
          </cell>
          <cell r="H2729" t="str">
            <v>Sumac Abandon 525'-1.25in PCS</v>
          </cell>
          <cell r="I2729" t="str">
            <v>posted to CPR</v>
          </cell>
          <cell r="J2729" t="str">
            <v>Sumac Abandon 525'-1.25in PCS : Jasper: Sumac and CR 150</v>
          </cell>
          <cell r="K2729" t="str">
            <v>Approved by: Galen Shoemaker on 12/05/2013,  Abandon 525' - 1.25" PCS (WO#: 62-4954) due to Jasper County re-cutting the road ditches in this intersection due to standing water. The one service off of this main will be run off of the 12" PCS in CR 150 with a first cut reg. Project Location: Sumac Rd and CR 150; Pressure System: S-1; MOP: 150 psig; MAOP: 157 psig; Design: 157 psig; Test: 235.5 psig; ISRS</v>
          </cell>
          <cell r="L2729">
            <v>41410</v>
          </cell>
          <cell r="M2729">
            <v>41729</v>
          </cell>
          <cell r="N2729">
            <v>41733.495636574102</v>
          </cell>
          <cell r="P2729" t="str">
            <v>0602-044033  JASPER CTY/JASPER</v>
          </cell>
          <cell r="Q2729">
            <v>1621.58</v>
          </cell>
          <cell r="R2729">
            <v>537</v>
          </cell>
        </row>
        <row r="2730">
          <cell r="A2730" t="str">
            <v>012581</v>
          </cell>
          <cell r="B2730" t="str">
            <v>LDC 2</v>
          </cell>
          <cell r="D2730" t="str">
            <v>no</v>
          </cell>
          <cell r="F2730" t="str">
            <v>F0644</v>
          </cell>
          <cell r="G2730" t="str">
            <v>Meter &amp; Reg Settings 2" &amp; Lg (S)</v>
          </cell>
          <cell r="H2730" t="str">
            <v>11M Rotary Meter Set - Walmart</v>
          </cell>
          <cell r="I2730" t="str">
            <v>in service</v>
          </cell>
          <cell r="J2730" t="str">
            <v>New Walmart at 3410 SW Market Street in Lee's Summit.  Load = 11,589 - 5 psig delivery pressure</v>
          </cell>
          <cell r="L2730">
            <v>75606</v>
          </cell>
          <cell r="P2730" t="str">
            <v>0901-043021  CSS System JACKSON CTY/LEE'S SUMMIT OFFIC</v>
          </cell>
          <cell r="Q2730">
            <v>0</v>
          </cell>
          <cell r="R2730">
            <v>11.5</v>
          </cell>
        </row>
        <row r="2731">
          <cell r="A2731" t="str">
            <v>800870</v>
          </cell>
          <cell r="B2731" t="str">
            <v>LDC 2</v>
          </cell>
          <cell r="C2731" t="str">
            <v>10 - Pressure Regulating Eqpt Rehabilitation - Assoc. with Cast Iron or Bare Steel Main Rplcment</v>
          </cell>
          <cell r="D2731" t="str">
            <v>yes</v>
          </cell>
          <cell r="F2731" t="str">
            <v>F0599</v>
          </cell>
          <cell r="G2731" t="str">
            <v>Main Replacement - ISRS (N)</v>
          </cell>
          <cell r="H2731" t="str">
            <v>Inst 120F 12S Reg Station 336</v>
          </cell>
          <cell r="I2731" t="str">
            <v>open</v>
          </cell>
          <cell r="J2731" t="str">
            <v>Install 120 ft 12in steel for reg station #336 at 112th and 129th St.</v>
          </cell>
          <cell r="K2731" t="str">
            <v>this is for a reg station on the Leavenworth line and is related to the hydrotesting WOs.</v>
          </cell>
          <cell r="P2731" t="str">
            <v>1251-075010  PLATTE CTY/KANSAS CITY NORTH</v>
          </cell>
          <cell r="Q2731">
            <v>94852.63</v>
          </cell>
          <cell r="R2731">
            <v>4</v>
          </cell>
        </row>
        <row r="2732">
          <cell r="A2732" t="str">
            <v>800309</v>
          </cell>
          <cell r="B2732" t="str">
            <v>LDC 2</v>
          </cell>
          <cell r="D2732" t="str">
            <v>no</v>
          </cell>
          <cell r="F2732" t="str">
            <v>F0647</v>
          </cell>
          <cell r="G2732" t="str">
            <v>New Main Extensions (N)</v>
          </cell>
          <cell r="H2732" t="str">
            <v>Inst 2010F 2P Green Hills-MenardsNB</v>
          </cell>
          <cell r="I2732" t="str">
            <v>in service</v>
          </cell>
          <cell r="J2732" t="str">
            <v>Install 2010' of 2" PE and 3565' of 4" PE main extension to serve Menards in Kansas City. Pressure System C-081, MOP 25#, MAOP 58#.</v>
          </cell>
          <cell r="L2732">
            <v>42627</v>
          </cell>
          <cell r="O2732">
            <v>42614</v>
          </cell>
          <cell r="P2732" t="str">
            <v>1251-075010  PLATTE CTY/KANSAS CITY NORTH</v>
          </cell>
          <cell r="Q2732">
            <v>104599.92</v>
          </cell>
          <cell r="R2732">
            <v>-4166.5</v>
          </cell>
        </row>
        <row r="2733">
          <cell r="A2733" t="str">
            <v>800910</v>
          </cell>
          <cell r="B2733" t="str">
            <v>LDC 2</v>
          </cell>
          <cell r="D2733" t="str">
            <v>no</v>
          </cell>
          <cell r="F2733" t="str">
            <v>F0647</v>
          </cell>
          <cell r="G2733" t="str">
            <v>New Main Extensions (N)</v>
          </cell>
          <cell r="H2733" t="str">
            <v>Install 290F 4P 808 Robidoux St</v>
          </cell>
          <cell r="I2733" t="str">
            <v>in service</v>
          </cell>
          <cell r="J2733" t="str">
            <v>Installing 290 ft of 4 in LP PE main to serve new residential customer.</v>
          </cell>
          <cell r="K2733" t="str">
            <v>Home is currently electric and homeowner has a gas fireplace and is installing a gas water heater and possible furnace. We will need to run approx 200 ft of Main.</v>
          </cell>
          <cell r="L2733">
            <v>42712</v>
          </cell>
          <cell r="O2733">
            <v>42705</v>
          </cell>
          <cell r="P2733" t="str">
            <v>1001-010001  ST. JOSEPH CITY/BUCHANAN</v>
          </cell>
          <cell r="Q2733">
            <v>6674.64</v>
          </cell>
          <cell r="R2733">
            <v>-826</v>
          </cell>
        </row>
        <row r="2734">
          <cell r="A2734" t="str">
            <v>800376</v>
          </cell>
          <cell r="B2734" t="str">
            <v>LDC 2</v>
          </cell>
          <cell r="D2734" t="str">
            <v>no</v>
          </cell>
          <cell r="F2734" t="str">
            <v>F0647</v>
          </cell>
          <cell r="G2734" t="str">
            <v>New Main Extensions (N)</v>
          </cell>
          <cell r="H2734" t="str">
            <v>ALTEC -MAIN EXTENSION BAP</v>
          </cell>
          <cell r="I2734" t="str">
            <v>open</v>
          </cell>
          <cell r="J2734" t="str">
            <v>Install 3440 ft of 4 in IP PE main to serve one new customer - Altec Industries - 4 buildings over next four years.</v>
          </cell>
          <cell r="K2734" t="str">
            <v>ALTEC INDUSTRIES INC-4 buildings total load 6,125 cfh customer gave me by square ftg 2x 40,000 sq ft ,65,000 sq ft &amp; 30,000 sq ft.</v>
          </cell>
          <cell r="P2734" t="str">
            <v>1001-010001  ST. JOSEPH CITY/BUCHANAN</v>
          </cell>
          <cell r="Q2734">
            <v>2033.44</v>
          </cell>
          <cell r="R2734">
            <v>-3538</v>
          </cell>
        </row>
        <row r="2735">
          <cell r="A2735" t="str">
            <v>800180</v>
          </cell>
          <cell r="B2735" t="str">
            <v>LDC 2</v>
          </cell>
          <cell r="D2735" t="str">
            <v>no</v>
          </cell>
          <cell r="F2735" t="str">
            <v>F0647</v>
          </cell>
          <cell r="G2735" t="str">
            <v>New Main Extensions (N)</v>
          </cell>
          <cell r="H2735" t="str">
            <v>Rosecrans Main Extension 300ft</v>
          </cell>
          <cell r="I2735" t="str">
            <v>in service</v>
          </cell>
          <cell r="J2735" t="str">
            <v>Install 300' of 4'' PE for a new service. NW Rosencrans Rd across Panigot.</v>
          </cell>
          <cell r="L2735">
            <v>42712</v>
          </cell>
          <cell r="O2735">
            <v>42705</v>
          </cell>
          <cell r="P2735" t="str">
            <v>1001-010001  ST. JOSEPH CITY/BUCHANAN</v>
          </cell>
          <cell r="Q2735">
            <v>1340.31</v>
          </cell>
          <cell r="R2735">
            <v>0</v>
          </cell>
        </row>
        <row r="2736">
          <cell r="A2736" t="str">
            <v>004511</v>
          </cell>
          <cell r="B2736" t="str">
            <v>LDC 2</v>
          </cell>
          <cell r="D2736" t="str">
            <v>no</v>
          </cell>
          <cell r="E2736" t="str">
            <v>21001132444</v>
          </cell>
          <cell r="F2736" t="str">
            <v>F0639</v>
          </cell>
          <cell r="G2736" t="str">
            <v>EGM Equip-1st Time Installation</v>
          </cell>
          <cell r="H2736" t="str">
            <v>EGM Equip St. Joseph CNG Plant</v>
          </cell>
          <cell r="I2736" t="str">
            <v>posted to CPR</v>
          </cell>
          <cell r="J2736" t="str">
            <v>St. Joseph CNG Plant: St Joseph: 402 Cedar, St. Joseph, Mo. 64501-3709</v>
          </cell>
          <cell r="L2736">
            <v>41328</v>
          </cell>
          <cell r="M2736">
            <v>42491</v>
          </cell>
          <cell r="N2736">
            <v>42528.313090277799</v>
          </cell>
          <cell r="O2736">
            <v>42095</v>
          </cell>
          <cell r="P2736" t="str">
            <v>1001-010001  ST. JOSEPH CITY/BUCHANAN</v>
          </cell>
          <cell r="Q2736">
            <v>1658.73</v>
          </cell>
          <cell r="R2736">
            <v>6</v>
          </cell>
        </row>
        <row r="2737">
          <cell r="A2737" t="str">
            <v>004184</v>
          </cell>
          <cell r="B2737" t="str">
            <v>LDC 2</v>
          </cell>
          <cell r="D2737" t="str">
            <v>no</v>
          </cell>
          <cell r="E2737" t="str">
            <v>21001132547</v>
          </cell>
          <cell r="F2737" t="str">
            <v>F0597</v>
          </cell>
          <cell r="G2737" t="str">
            <v>Other</v>
          </cell>
          <cell r="H2737" t="str">
            <v>EGM Replace - Blue Sun Refining</v>
          </cell>
          <cell r="I2737" t="str">
            <v>posted to CPR</v>
          </cell>
          <cell r="J2737" t="str">
            <v>EGM Replace - Blue Sun Refining: St Joseph: 5701 Stockyards Expy - St. Joseph</v>
          </cell>
          <cell r="K2737" t="str">
            <v>Approved by: Rob Kitterman on 04/10/2013,  Install Mercury MiniMax-AT-PT w/ Messenger Modem S/N:13001488 on Roots 11M meter no 00732421 to monitor daily gas usage of this transportation customer. Customer will reimburse company actual cost for EGM installation not to exceed $5,445.00, which should be coded to account 1072. ATTENTION: Plant &amp; Property Accounting, EGM work order, turn off A&amp;G indicator.</v>
          </cell>
          <cell r="L2737">
            <v>41373</v>
          </cell>
          <cell r="M2737">
            <v>41670</v>
          </cell>
          <cell r="N2737">
            <v>41677.509837963</v>
          </cell>
          <cell r="P2737" t="str">
            <v>1001-010001  ST. JOSEPH CITY/BUCHANAN</v>
          </cell>
          <cell r="Q2737">
            <v>0</v>
          </cell>
          <cell r="R2737">
            <v>5</v>
          </cell>
        </row>
        <row r="2738">
          <cell r="A2738" t="str">
            <v>003853</v>
          </cell>
          <cell r="B2738" t="str">
            <v>LDC 2</v>
          </cell>
          <cell r="D2738" t="str">
            <v>no</v>
          </cell>
          <cell r="E2738" t="str">
            <v>21001122008</v>
          </cell>
          <cell r="F2738" t="str">
            <v>F0483</v>
          </cell>
          <cell r="G2738" t="str">
            <v>Meter &amp; regulator settings - 2" &amp; l</v>
          </cell>
          <cell r="H2738" t="str">
            <v>Golden Corral 3M mtr set</v>
          </cell>
          <cell r="I2738" t="str">
            <v>posted to CPR</v>
          </cell>
          <cell r="J2738" t="str">
            <v>Golden Corral 3M mtr set: St Joseph: 715 N Belt Highway</v>
          </cell>
          <cell r="K2738" t="str">
            <v>Approved by: Gary Williams on 01/07/2013,  This work order is necessary to install a 3M Roots meter to feed one new commercial customer (Golden Corral). We will install a 2in. CL-34-1 regulator, set at 2lbs with a 1in 289H relief set at 3lbs for a connected load of 3754CFH.</v>
          </cell>
          <cell r="L2738">
            <v>41646</v>
          </cell>
          <cell r="M2738">
            <v>41729</v>
          </cell>
          <cell r="N2738">
            <v>41733.309976851902</v>
          </cell>
          <cell r="P2738" t="str">
            <v>1001-010001  ST. JOSEPH CITY/BUCHANAN</v>
          </cell>
          <cell r="Q2738">
            <v>1812.32</v>
          </cell>
          <cell r="R2738">
            <v>44</v>
          </cell>
        </row>
        <row r="2739">
          <cell r="A2739" t="str">
            <v>004481</v>
          </cell>
          <cell r="B2739" t="str">
            <v>LDC 2</v>
          </cell>
          <cell r="D2739" t="str">
            <v>yes</v>
          </cell>
          <cell r="E2739" t="str">
            <v>21001132797</v>
          </cell>
          <cell r="F2739" t="str">
            <v>F0504</v>
          </cell>
          <cell r="G2739" t="str">
            <v>Replace bare steel main - safety re</v>
          </cell>
          <cell r="H2739" t="str">
            <v>Olive Repl PBS w 518'-4in PE main</v>
          </cell>
          <cell r="I2739" t="str">
            <v>posted to CPR</v>
          </cell>
          <cell r="J2739" t="str">
            <v>Olive Repl PBS w 518'-4in PE main: St Joseph: OLIVE ST AT 29TH &amp; 30TH</v>
          </cell>
          <cell r="K2739" t="str">
            <v>Approved by: Gary Williams on 07/22/2013,  This work order is necessary to replace 518ft-4in bs main (WO#11516) with 4in pe (WO#13-2797) due to low reads. Pressure System C-01 Pressure .88.</v>
          </cell>
          <cell r="L2739">
            <v>41558</v>
          </cell>
          <cell r="M2739">
            <v>41626</v>
          </cell>
          <cell r="N2739">
            <v>41627.582824074103</v>
          </cell>
          <cell r="O2739">
            <v>41730</v>
          </cell>
          <cell r="P2739" t="str">
            <v>1001-010001  ST. JOSEPH CITY/BUCHANAN</v>
          </cell>
          <cell r="Q2739">
            <v>9800.31</v>
          </cell>
          <cell r="R2739">
            <v>2103</v>
          </cell>
        </row>
        <row r="2740">
          <cell r="A2740" t="str">
            <v>004035</v>
          </cell>
          <cell r="B2740" t="str">
            <v>LDC 2</v>
          </cell>
          <cell r="D2740" t="str">
            <v>yes</v>
          </cell>
          <cell r="E2740" t="str">
            <v>21001143364</v>
          </cell>
          <cell r="F2740" t="str">
            <v>F0617</v>
          </cell>
          <cell r="G2740" t="str">
            <v>Street &amp; highway relocates</v>
          </cell>
          <cell r="H2740" t="str">
            <v>26th &amp; Frederick Reloc PCS w 56'-4i</v>
          </cell>
          <cell r="I2740" t="str">
            <v>posted to CPR</v>
          </cell>
          <cell r="J2740" t="str">
            <v>26th &amp; Frederick Reloc PCS w 56'-4in PE main: St Joseph: 26TH ST AND FREDERICK AVE</v>
          </cell>
          <cell r="K2740" t="str">
            <v>Approved by: Gary Williams on 03/03/2014,  Relocate 56' of 4' PCS main and install 56' of 4' PE main due to storm sewer structure in conflict.</v>
          </cell>
          <cell r="L2740">
            <v>42296</v>
          </cell>
          <cell r="M2740">
            <v>42369</v>
          </cell>
          <cell r="N2740">
            <v>42467.489236111098</v>
          </cell>
          <cell r="O2740">
            <v>42278</v>
          </cell>
          <cell r="P2740" t="str">
            <v>1001-010001  ST. JOSEPH CITY/BUCHANAN</v>
          </cell>
          <cell r="Q2740">
            <v>7195.8</v>
          </cell>
          <cell r="R2740">
            <v>65</v>
          </cell>
        </row>
        <row r="2741">
          <cell r="A2741" t="str">
            <v>004119</v>
          </cell>
          <cell r="B2741" t="str">
            <v>LDC 2</v>
          </cell>
          <cell r="D2741" t="str">
            <v>yes</v>
          </cell>
          <cell r="E2741" t="str">
            <v>21235132901</v>
          </cell>
          <cell r="F2741" t="str">
            <v>F0600</v>
          </cell>
          <cell r="G2741" t="str">
            <v>Station Rebuild &amp; Repl ISRS (N)</v>
          </cell>
          <cell r="H2741" t="str">
            <v>Pur Odorant Storage Tank-REX TB Sta</v>
          </cell>
          <cell r="I2741" t="str">
            <v>posted to CPR</v>
          </cell>
          <cell r="J2741" t="str">
            <v>Pur Odorant Storage Tank-REX TB Sta: Lathrop: REX Take Point, Turney MO</v>
          </cell>
          <cell r="K2741" t="str">
            <v>Approved by: Rob Kitterman on 08/14/2013,  Purchase Bulk Odorant storage tank for REX site.  This tank is to store additional odorant for use in various divisions as needs arise.  The unit is self contained for spill emergencies.  Tank provided by Milton Roy,YZ Systems, Total Systems.</v>
          </cell>
          <cell r="L2741">
            <v>41535</v>
          </cell>
          <cell r="M2741">
            <v>41600</v>
          </cell>
          <cell r="N2741">
            <v>41603.384618055599</v>
          </cell>
          <cell r="P2741" t="str">
            <v>1235-021004  CLINTON CTY/LATHROP</v>
          </cell>
          <cell r="Q2741">
            <v>37516.050000000003</v>
          </cell>
          <cell r="R2741">
            <v>1</v>
          </cell>
        </row>
        <row r="2742">
          <cell r="A2742" t="str">
            <v>012141</v>
          </cell>
          <cell r="B2742" t="str">
            <v>LDC 2</v>
          </cell>
          <cell r="D2742" t="str">
            <v>yes</v>
          </cell>
          <cell r="F2742" t="str">
            <v>F0600</v>
          </cell>
          <cell r="G2742" t="str">
            <v>Station Rebuild &amp; Repl ISRS (N)</v>
          </cell>
          <cell r="H2742" t="str">
            <v>Aband Reg Sta 7 -Jewel &amp; Alley #7</v>
          </cell>
          <cell r="I2742" t="str">
            <v>in service</v>
          </cell>
          <cell r="J2742" t="str">
            <v>Abandon Regulator Station 7 - Jewel &amp; Alley between Kansas &amp; Mill.</v>
          </cell>
          <cell r="K2742" t="str">
            <v>Retire regulators, valves, piping, control systems, and related appurtenance of the IP to LP regulator station at Jewell St  This regulator retirement is also related to the Bare Steel Abandonment work associated with Liberty Grid Phase E WO# 14474617 and cannot be abandoned until all of that phase has been completed. This station is no longer required for the IP pressure gas distribution system.</v>
          </cell>
          <cell r="L2742">
            <v>42716</v>
          </cell>
          <cell r="P2742" t="str">
            <v>1207-020001  CLAY CTY/LIBERTY</v>
          </cell>
          <cell r="Q2742">
            <v>1055.1600000000001</v>
          </cell>
          <cell r="R2742">
            <v>0</v>
          </cell>
        </row>
        <row r="2743">
          <cell r="A2743" t="str">
            <v>005040</v>
          </cell>
          <cell r="B2743" t="str">
            <v>LDC 2</v>
          </cell>
          <cell r="D2743" t="str">
            <v>yes</v>
          </cell>
          <cell r="E2743" t="str">
            <v>21207143488</v>
          </cell>
          <cell r="F2743" t="str">
            <v>F0663</v>
          </cell>
          <cell r="G2743" t="str">
            <v>Replace bare steel main - safety re</v>
          </cell>
          <cell r="H2743" t="str">
            <v>W Franklin Repl PBS w 130'-4in PE m</v>
          </cell>
          <cell r="I2743" t="str">
            <v>posted to CPR</v>
          </cell>
          <cell r="J2743" t="str">
            <v>W Franklin Repl PBS w 130'-4in PE main: Liberty: Replace Bare Steel Main - 3760 Safety Related (34-394)</v>
          </cell>
          <cell r="K2743" t="str">
            <v>Approved by: Gary Williams on 04/22/2014,  Replace 4'' PBS that is leaking with 4'' PE. Tie in 58' NNC Franklin and 30' SSC Franklin. Ensure north side is 4'WEC. Pressure System - C-001.</v>
          </cell>
          <cell r="L2743">
            <v>41760</v>
          </cell>
          <cell r="M2743">
            <v>41820</v>
          </cell>
          <cell r="N2743">
            <v>41918.763969907399</v>
          </cell>
          <cell r="O2743">
            <v>41760</v>
          </cell>
          <cell r="P2743" t="str">
            <v>1207-020001  CLAY CTY/LIBERTY</v>
          </cell>
          <cell r="Q2743">
            <v>5640.58</v>
          </cell>
          <cell r="R2743">
            <v>-30</v>
          </cell>
        </row>
        <row r="2744">
          <cell r="A2744" t="str">
            <v>004266</v>
          </cell>
          <cell r="B2744" t="str">
            <v>LDC 2</v>
          </cell>
          <cell r="D2744" t="str">
            <v>yes</v>
          </cell>
          <cell r="E2744" t="str">
            <v>21215143294</v>
          </cell>
          <cell r="F2744" t="str">
            <v>F0547</v>
          </cell>
          <cell r="G2744" t="str">
            <v>Street &amp; Highway Relocates ISRS (N)</v>
          </cell>
          <cell r="H2744" t="str">
            <v>19th &amp; Meadow Ln RELOC 165'- 4IN PC</v>
          </cell>
          <cell r="I2744" t="str">
            <v>posted to CPR</v>
          </cell>
          <cell r="J2744" t="str">
            <v>19th &amp; Meadow Ln RELOC 165'- 4IN PCS: Kearney: S 19TH ST &amp; MEADOW LN</v>
          </cell>
          <cell r="K2744" t="str">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ell>
          <cell r="L2744">
            <v>41713</v>
          </cell>
          <cell r="M2744">
            <v>41821</v>
          </cell>
          <cell r="N2744">
            <v>41953.446828703702</v>
          </cell>
          <cell r="O2744">
            <v>41730</v>
          </cell>
          <cell r="P2744" t="str">
            <v>1215-020023  CLAY CTY/KEARNEY</v>
          </cell>
          <cell r="Q2744">
            <v>43534.51</v>
          </cell>
          <cell r="R2744">
            <v>358.4</v>
          </cell>
        </row>
        <row r="2745">
          <cell r="A2745" t="str">
            <v>800100</v>
          </cell>
          <cell r="B2745" t="str">
            <v>LDC 2</v>
          </cell>
          <cell r="C2745" t="str">
            <v>03 - Bare Steel Replacement</v>
          </cell>
          <cell r="D2745" t="str">
            <v>yes</v>
          </cell>
          <cell r="F2745" t="str">
            <v>F0604</v>
          </cell>
          <cell r="G2745" t="str">
            <v>Main Replacement - ISRS (S)</v>
          </cell>
          <cell r="H2745" t="str">
            <v>Repl w/ 9461F 2P Kingsville Ph2</v>
          </cell>
          <cell r="I2745" t="str">
            <v>open</v>
          </cell>
          <cell r="J2745" t="str">
            <v>Install 9461 Ft 2 in PL IP, abandon 8572 Ft 2 in ST MP, 880 Ft 3 in ST MP, 818 Ft 4 in ST MP, 389 Ft 2 in PL MP main, and uprate 163 Ft 2 in PL MP to IP, and 693 Ft 2 in ST MP Main to IP - Kingsville BST Grid Repl - Phase 2</v>
          </cell>
          <cell r="K2745" t="str">
            <v>This main is being replaced as part of the cast iron replacement program.</v>
          </cell>
          <cell r="P2745" t="str">
            <v>0913-046011  JOHNSON CTY/KINGSVILLE</v>
          </cell>
          <cell r="Q2745">
            <v>313484.46000000002</v>
          </cell>
          <cell r="R2745">
            <v>-12560.16</v>
          </cell>
        </row>
        <row r="2746">
          <cell r="A2746" t="str">
            <v>007203</v>
          </cell>
          <cell r="B2746" t="str">
            <v>LDC 2</v>
          </cell>
          <cell r="D2746" t="str">
            <v>no</v>
          </cell>
          <cell r="E2746" t="str">
            <v>20101144022</v>
          </cell>
          <cell r="F2746" t="str">
            <v>F0620</v>
          </cell>
          <cell r="G2746" t="str">
            <v>32-399-420-METERS</v>
          </cell>
          <cell r="H2746" t="str">
            <v>Purchase New Rotary Meters Sept  20</v>
          </cell>
          <cell r="I2746" t="str">
            <v>posted to CPR</v>
          </cell>
          <cell r="J2746" t="str">
            <v>Purchase New Rotary Meters Sept  2015  : Kansas City CORP: Purchase of Rotary Meters  3810 (32-399). Purchase 3 size 23M, 4 size 16M, 5 size 11M, 5 size 7M, 20 size 5M, 20 size 3M.</v>
          </cell>
          <cell r="K2746" t="str">
            <v>Approved by: Steve Holcomb on 12/08/2014,  Replacements and new sets.</v>
          </cell>
          <cell r="L2746">
            <v>42125</v>
          </cell>
          <cell r="M2746">
            <v>42461</v>
          </cell>
          <cell r="N2746">
            <v>42496.560185185197</v>
          </cell>
          <cell r="O2746">
            <v>42125</v>
          </cell>
          <cell r="P2746" t="str">
            <v>1904-043050  JACKSON CTY/KC</v>
          </cell>
          <cell r="Q2746">
            <v>92379.74</v>
          </cell>
          <cell r="R2746">
            <v>257</v>
          </cell>
        </row>
        <row r="2747">
          <cell r="A2747" t="str">
            <v>004423</v>
          </cell>
          <cell r="B2747" t="str">
            <v>LDC 2</v>
          </cell>
          <cell r="D2747" t="str">
            <v>no</v>
          </cell>
          <cell r="E2747" t="str">
            <v>21904132754</v>
          </cell>
          <cell r="F2747" t="str">
            <v>F0529</v>
          </cell>
          <cell r="G2747" t="str">
            <v>Meter Purchases - MGE</v>
          </cell>
          <cell r="H2747" t="str">
            <v>Pur 2000 AC250-TC Am Meters Novembe</v>
          </cell>
          <cell r="I2747" t="str">
            <v>posted to CPR</v>
          </cell>
          <cell r="J2747" t="str">
            <v>Pur 2000 AC250-TC Am Meters November  2013: Kansas City CORP: Central Plant Meter Shop</v>
          </cell>
          <cell r="K2747" t="str">
            <v>Approved by: Rob Hack on 06/20/2013,  Retirement unit # 73003086 This work order for new domestic meters to be delivered November 2013.</v>
          </cell>
          <cell r="L2747">
            <v>41578</v>
          </cell>
          <cell r="M2747">
            <v>41600</v>
          </cell>
          <cell r="N2747">
            <v>41612.300081018497</v>
          </cell>
          <cell r="P2747" t="str">
            <v>1904-043050  JACKSON CTY/KC</v>
          </cell>
          <cell r="Q2747">
            <v>119609.28</v>
          </cell>
          <cell r="R2747">
            <v>0</v>
          </cell>
        </row>
        <row r="2748">
          <cell r="A2748" t="str">
            <v>004098</v>
          </cell>
          <cell r="B2748" t="str">
            <v>LDC 2</v>
          </cell>
          <cell r="D2748" t="str">
            <v>no</v>
          </cell>
          <cell r="E2748" t="str">
            <v>21904143292</v>
          </cell>
          <cell r="F2748" t="str">
            <v>F0640</v>
          </cell>
          <cell r="G2748" t="str">
            <v>32-700-420-METERS</v>
          </cell>
          <cell r="H2748" t="str">
            <v>Pur 964 Rebuilt Domestic Meters  EE</v>
          </cell>
          <cell r="I2748" t="str">
            <v>posted to CPR</v>
          </cell>
          <cell r="J2748" t="str">
            <v>Pur 964 Rebuilt Domestic Meters  EEI Jan 2014  : Kansas City CORP: Central Plant Meter Shop</v>
          </cell>
          <cell r="K2748" t="str">
            <v>Approved by: Randy Spector on 01/10/2014,  Remanufacturing meters - 73005096, for January 2014</v>
          </cell>
          <cell r="L2748">
            <v>41654</v>
          </cell>
          <cell r="M2748">
            <v>41698</v>
          </cell>
          <cell r="N2748">
            <v>41704.711620370399</v>
          </cell>
          <cell r="P2748" t="str">
            <v>1904-043050  JACKSON CTY/KC</v>
          </cell>
          <cell r="Q2748">
            <v>32715.7</v>
          </cell>
          <cell r="R2748">
            <v>0</v>
          </cell>
        </row>
        <row r="2749">
          <cell r="A2749" t="str">
            <v>008069</v>
          </cell>
          <cell r="B2749" t="str">
            <v>LDC 2</v>
          </cell>
          <cell r="D2749" t="str">
            <v>no</v>
          </cell>
          <cell r="E2749" t="str">
            <v>21271143815</v>
          </cell>
          <cell r="F2749" t="str">
            <v>F0610</v>
          </cell>
          <cell r="G2749" t="str">
            <v>New business</v>
          </cell>
          <cell r="H2749" t="str">
            <v>STEEPLECHASE APARTMENTS</v>
          </cell>
          <cell r="I2749" t="str">
            <v>posted to CPR</v>
          </cell>
          <cell r="J2749" t="str">
            <v>STEEPLECHASE APARTMENTS: Kansas City-Clay Co: New Main Extension - Contractor Crews  3760 (33-380)</v>
          </cell>
          <cell r="K2749" t="str">
            <v>Approved by: Gary Williams on 04/01/2015,  Lay 235' of 2" PE main and 1,089' of 4" PE main to serve the Poolhouse and Clubroom at Steeplechase Apartment Complex.</v>
          </cell>
          <cell r="L2749">
            <v>42692</v>
          </cell>
          <cell r="M2749">
            <v>42735</v>
          </cell>
          <cell r="N2749">
            <v>42772.668437499997</v>
          </cell>
          <cell r="O2749">
            <v>42705</v>
          </cell>
          <cell r="P2749" t="str">
            <v>1271-020036  CLAY CTY/KANSAS CITY</v>
          </cell>
          <cell r="Q2749">
            <v>19290.439999999999</v>
          </cell>
          <cell r="R2749">
            <v>-2812</v>
          </cell>
        </row>
        <row r="2750">
          <cell r="A2750" t="str">
            <v>005678</v>
          </cell>
          <cell r="B2750" t="str">
            <v>LDC 2</v>
          </cell>
          <cell r="D2750" t="str">
            <v>no</v>
          </cell>
          <cell r="E2750" t="str">
            <v>21271143366</v>
          </cell>
          <cell r="F2750" t="str">
            <v>F0610</v>
          </cell>
          <cell r="G2750" t="str">
            <v>New business</v>
          </cell>
          <cell r="H2750" t="str">
            <v>R/L CARRIERS Lay 3126'-4in PE main</v>
          </cell>
          <cell r="I2750" t="str">
            <v>posted to CPR</v>
          </cell>
          <cell r="J2750" t="str">
            <v>R/L CARRIERS Lay 3126'-4in PE main ext: Kansas City-Clay Co: New Main Extension - Contractor Crews  3760 (33-380)</v>
          </cell>
          <cell r="K2750" t="str">
            <v>Approved by: Gary Williams on 07/09/2014,  LAY 3,126' - 4" PLEXCO TO SERVE METER ON COMMERCIAL BUILDING.  ONE WAY FEED. OFFSET 16' SOUTH OF BACK OF CURB ON SOUTH SIDE OF NE 41ST ST.  OFFSET 22' FROM BACK OF CURB ON WEST SIDE OF N PLEASANT AVE.  COST PER FOOT=$15.49 DEVELOPER TO CONTRIBUTE $24,950.00  ECONOMIC EVALUATION COVERS $23,483.00.  Received check for $32,966 6-25-14 per WOES to cover both this WO 14-3366 and 14-3581.</v>
          </cell>
          <cell r="L2750">
            <v>41865</v>
          </cell>
          <cell r="M2750">
            <v>42217</v>
          </cell>
          <cell r="N2750">
            <v>42256.668101851901</v>
          </cell>
          <cell r="O2750">
            <v>41883</v>
          </cell>
          <cell r="P2750" t="str">
            <v>1271-020036  CLAY CTY/KANSAS CITY</v>
          </cell>
          <cell r="Q2750">
            <v>3824.96</v>
          </cell>
          <cell r="R2750">
            <v>-6569</v>
          </cell>
        </row>
        <row r="2751">
          <cell r="A2751" t="str">
            <v>012121</v>
          </cell>
          <cell r="B2751" t="str">
            <v>LDC 2</v>
          </cell>
          <cell r="D2751" t="str">
            <v>no</v>
          </cell>
          <cell r="F2751" t="str">
            <v>F1370</v>
          </cell>
          <cell r="G2751" t="str">
            <v>MGE Misc IT Hardware/Software</v>
          </cell>
          <cell r="H2751" t="str">
            <v>TFS Additional FY16 Laptops-KC</v>
          </cell>
          <cell r="I2751" t="str">
            <v>in service</v>
          </cell>
          <cell r="J2751" t="str">
            <v>Provide funds for additional laptops and peripherals for the Kansas City locations. This will allow completion of the refresh of leased units and provide spares for new hires and emergency replacements.</v>
          </cell>
          <cell r="K2751" t="str">
            <v>Purchase info with serial number detail attached to the Docs tab</v>
          </cell>
          <cell r="L2751">
            <v>42643</v>
          </cell>
          <cell r="O2751">
            <v>42614</v>
          </cell>
          <cell r="P2751" t="str">
            <v>0401-043050  JACKSON CTY/KC</v>
          </cell>
          <cell r="Q2751">
            <v>59339.9</v>
          </cell>
          <cell r="R2751">
            <v>161</v>
          </cell>
        </row>
        <row r="2752">
          <cell r="A2752" t="str">
            <v>011349</v>
          </cell>
          <cell r="B2752" t="str">
            <v>LDC 2</v>
          </cell>
          <cell r="D2752" t="str">
            <v>no</v>
          </cell>
          <cell r="F2752" t="str">
            <v>F1370</v>
          </cell>
          <cell r="G2752" t="str">
            <v>MGE Misc IT Hardware/Software</v>
          </cell>
          <cell r="H2752" t="str">
            <v>MGE Gas Supply System</v>
          </cell>
          <cell r="I2752" t="str">
            <v>open</v>
          </cell>
          <cell r="J2752" t="str">
            <v>Provide funds for consulting labor to build MGE into the existing Gas Supply system. This is a conversion of Access to .net/SQL.</v>
          </cell>
          <cell r="K2752" t="str">
            <v>MGE is being built into the Laclede Gas Supply system that just went live (per WO 007551).</v>
          </cell>
          <cell r="P2752" t="str">
            <v>0401-043050  JACKSON CTY/KC</v>
          </cell>
          <cell r="Q2752">
            <v>41756.07</v>
          </cell>
          <cell r="R2752">
            <v>2</v>
          </cell>
        </row>
        <row r="2753">
          <cell r="A2753" t="str">
            <v>008714</v>
          </cell>
          <cell r="B2753" t="str">
            <v>LDC 2</v>
          </cell>
          <cell r="D2753" t="str">
            <v>no</v>
          </cell>
          <cell r="F2753" t="str">
            <v>F0950</v>
          </cell>
          <cell r="G2753" t="str">
            <v>Power Operated Eq - MGE</v>
          </cell>
          <cell r="H2753" t="str">
            <v>Purchase 3 dump trucks MGE*</v>
          </cell>
          <cell r="I2753" t="str">
            <v>posted to CPR</v>
          </cell>
          <cell r="J2753" t="str">
            <v>Purchase 3 dump trucks for MGE.  This is additional equipment for additional crews.</v>
          </cell>
          <cell r="L2753">
            <v>42521</v>
          </cell>
          <cell r="M2753">
            <v>42552</v>
          </cell>
          <cell r="N2753">
            <v>42586.569629629601</v>
          </cell>
          <cell r="O2753">
            <v>42552</v>
          </cell>
          <cell r="P2753" t="str">
            <v>0401-043050  JACKSON CTY/KC</v>
          </cell>
          <cell r="Q2753">
            <v>294402.59000000003</v>
          </cell>
          <cell r="R2753">
            <v>8</v>
          </cell>
        </row>
        <row r="2754">
          <cell r="A2754" t="str">
            <v>003818</v>
          </cell>
          <cell r="B2754" t="str">
            <v>LDC 2</v>
          </cell>
          <cell r="D2754" t="str">
            <v>yes</v>
          </cell>
          <cell r="E2754" t="str">
            <v>20401050372</v>
          </cell>
          <cell r="F2754" t="str">
            <v>F0568</v>
          </cell>
          <cell r="G2754" t="str">
            <v>SLRP - block by block - contract</v>
          </cell>
          <cell r="H2754" t="str">
            <v>BWO SERVICE REPL BLOCK CONTRACTOR S</v>
          </cell>
          <cell r="I2754" t="str">
            <v>open</v>
          </cell>
          <cell r="J2754" t="str">
            <v>BWO SERVICE REPL BLOCK CONTRACTOR SLRP</v>
          </cell>
          <cell r="K2754" t="str">
            <v>Service/Yard Line Replacement (SLRP): Contract Crew.  Block by Block - Planned replacement of all unprotected steel or copper in a single block.  (Kansas City - Central Region)</v>
          </cell>
          <cell r="O2754">
            <v>41730</v>
          </cell>
          <cell r="P2754" t="str">
            <v>0401-043050  JACKSON CTY/KC</v>
          </cell>
          <cell r="Q2754">
            <v>9019757.4600000009</v>
          </cell>
          <cell r="R2754">
            <v>18307.580000000002</v>
          </cell>
        </row>
        <row r="2755">
          <cell r="A2755" t="str">
            <v>007792</v>
          </cell>
          <cell r="B2755" t="str">
            <v>LDC 2</v>
          </cell>
          <cell r="D2755" t="str">
            <v>no</v>
          </cell>
          <cell r="E2755" t="str">
            <v>20401155169</v>
          </cell>
          <cell r="F2755" t="str">
            <v>F0639</v>
          </cell>
          <cell r="G2755" t="str">
            <v>EGM Equip-1st Time Installation</v>
          </cell>
          <cell r="H2755" t="str">
            <v>EGM - F C Industries, Inc.</v>
          </cell>
          <cell r="I2755" t="str">
            <v>in service</v>
          </cell>
          <cell r="J2755" t="str">
            <v>EGM - F C Industries, Inc.: Kansas City-Jackson: Install EGM Equipment - First Time Installation  3850 (32-403)</v>
          </cell>
          <cell r="K2755" t="str">
            <v>Approved by: Gary Williams on 03/03/2015,  Install Mercury MiniMax-AT-PT (S/N:                   ) with CNI-2 (S/N:                 ) on Roots 16M 175 TQM ID meter no 00053214 to monitor daily gas usage of this transportation customer. Customer will reimburse company actual cost for EGM installation not to exceed $5,445.00, which should be coded to account 1072. ATTENTION: Plant &amp; Property Accounting, EGM work order, turn off A&amp;G indicator.</v>
          </cell>
          <cell r="L2755">
            <v>42443</v>
          </cell>
          <cell r="O2755">
            <v>42461</v>
          </cell>
          <cell r="P2755" t="str">
            <v>0401-043050  JACKSON CTY/KC</v>
          </cell>
          <cell r="Q2755">
            <v>2858.33</v>
          </cell>
          <cell r="R2755">
            <v>29</v>
          </cell>
        </row>
        <row r="2756">
          <cell r="A2756" t="str">
            <v>007159</v>
          </cell>
          <cell r="B2756" t="str">
            <v>LDC 2</v>
          </cell>
          <cell r="D2756" t="str">
            <v>no</v>
          </cell>
          <cell r="E2756" t="str">
            <v>20401144021</v>
          </cell>
          <cell r="F2756" t="str">
            <v>F0670</v>
          </cell>
          <cell r="G2756" t="str">
            <v>Tools, Instruments &amp; Equipment (N)</v>
          </cell>
          <cell r="H2756" t="str">
            <v>Tools-4in Pipe Scraper</v>
          </cell>
          <cell r="I2756" t="str">
            <v>posted to CPR</v>
          </cell>
          <cell r="J2756" t="str">
            <v>Tools-4&amp;quot; Pipe Scraper: Kansas City-Jackson: Purchase Tools, Instruments &amp; Equipment  3940 (37-366)</v>
          </cell>
          <cell r="K2756" t="str">
            <v>Approved by: Gary Williams on 12/15/2014,  This is not a replacement tool.  New purchase for new crew truck</v>
          </cell>
          <cell r="L2756">
            <v>42017</v>
          </cell>
          <cell r="M2756">
            <v>42035</v>
          </cell>
          <cell r="N2756">
            <v>42044.360393518502</v>
          </cell>
          <cell r="O2756">
            <v>42005</v>
          </cell>
          <cell r="P2756" t="str">
            <v>0401-043050  JACKSON CTY/KC</v>
          </cell>
          <cell r="Q2756">
            <v>576.05999999999995</v>
          </cell>
          <cell r="R2756">
            <v>1</v>
          </cell>
        </row>
        <row r="2757">
          <cell r="A2757" t="str">
            <v>006970</v>
          </cell>
          <cell r="B2757" t="str">
            <v>LDC 2</v>
          </cell>
          <cell r="D2757" t="str">
            <v>yes</v>
          </cell>
          <cell r="E2757" t="str">
            <v>20401143985</v>
          </cell>
          <cell r="F2757" t="str">
            <v>F0663</v>
          </cell>
          <cell r="G2757" t="str">
            <v>Replace bare steel main - safety re</v>
          </cell>
          <cell r="H2757" t="str">
            <v>4in PBS Replacement James A Ree</v>
          </cell>
          <cell r="I2757" t="str">
            <v>posted to CPR</v>
          </cell>
          <cell r="J2757" t="str">
            <v>4in PBS Replacement James A Reed: Kansas City-Jackson: Replace Bare Steel Main - 3760 Safety Related (34-394)</v>
          </cell>
          <cell r="K2757" t="str">
            <v>Approved by: Kevin Driskell on 11/21/2014,  Replace 385' of 4" Bare Steel pipe with 530' of 4" PE due to leak on above ground creek crossing (leaks are at pipe supports). Existing 4" bare steel lays in blanket easement and will replace in road ROW due to creek crossing.</v>
          </cell>
          <cell r="L2757">
            <v>42012</v>
          </cell>
          <cell r="M2757">
            <v>42035</v>
          </cell>
          <cell r="N2757">
            <v>42131.4081828704</v>
          </cell>
          <cell r="O2757">
            <v>42005</v>
          </cell>
          <cell r="P2757" t="str">
            <v>0401-043050  JACKSON CTY/KC</v>
          </cell>
          <cell r="Q2757">
            <v>8700.8799999999992</v>
          </cell>
          <cell r="R2757">
            <v>-69</v>
          </cell>
        </row>
        <row r="2758">
          <cell r="A2758" t="str">
            <v>006418</v>
          </cell>
          <cell r="B2758" t="str">
            <v>LDC 2</v>
          </cell>
          <cell r="D2758" t="str">
            <v>no</v>
          </cell>
          <cell r="E2758" t="str">
            <v>20401143718</v>
          </cell>
          <cell r="F2758" t="str">
            <v>F0658</v>
          </cell>
          <cell r="G2758" t="str">
            <v>Services -  2" &amp; larger</v>
          </cell>
          <cell r="H2758" t="str">
            <v>PUMP STATION-2IN SERVICE LINE</v>
          </cell>
          <cell r="I2758" t="str">
            <v>open</v>
          </cell>
          <cell r="J2758" t="str">
            <v>PUMP STATION-2IN SERVICE LINE: Kansas City-Jackson: New Services 2&amp;quot; &amp; Larger  3800 (33-381)</v>
          </cell>
          <cell r="K2758" t="str">
            <v>Approved by: Gary Williams on 09/12/2014,  LAYING 675FT-2IN PE SERVICE LINE TO SERVICE KCMO PUMP STATION. TIE-IN 4IN CS WO#A68236. LOAD (6,701 CFH). ECONOMIC EVALUATION WILL COVER COST OF THIS PROJECT.</v>
          </cell>
          <cell r="P2758" t="str">
            <v>0401-043050  JACKSON CTY/KC</v>
          </cell>
          <cell r="Q2758">
            <v>127.78</v>
          </cell>
          <cell r="R2758">
            <v>-5</v>
          </cell>
        </row>
        <row r="2759">
          <cell r="A2759" t="str">
            <v>006412</v>
          </cell>
          <cell r="B2759" t="str">
            <v>LDC 2</v>
          </cell>
          <cell r="D2759" t="str">
            <v>no</v>
          </cell>
          <cell r="E2759" t="str">
            <v>20401143787</v>
          </cell>
          <cell r="F2759" t="str">
            <v>F0670</v>
          </cell>
          <cell r="G2759" t="str">
            <v>Tools, Instruments &amp; Equipment (N)</v>
          </cell>
          <cell r="H2759" t="str">
            <v>PURCH 5 BAR HOLE TORNADO PURGERS-5</v>
          </cell>
          <cell r="I2759" t="str">
            <v>posted to CPR</v>
          </cell>
          <cell r="J2759" t="str">
            <v>PURCHASE 5 BAR HOLE TORNADO PURGERS: Kansas City-Jackson: Purchase Tools, Instruments &amp; Equipment  3940 (37-366)</v>
          </cell>
          <cell r="K2759" t="str">
            <v>Approved by: Gary Williams on 09/12/2014,  PURCHASE TOOL FOR 2 STREET CREW 2 FIELD BASE AND 1 STATION B THESE ARE NOT REPLACEMENT TOOLS QUOTE FROM MILLER PIPELINE</v>
          </cell>
          <cell r="L2759">
            <v>41942</v>
          </cell>
          <cell r="M2759">
            <v>42004</v>
          </cell>
          <cell r="N2759">
            <v>42345.490185185197</v>
          </cell>
          <cell r="O2759">
            <v>41974</v>
          </cell>
          <cell r="P2759" t="str">
            <v>0401-043050  JACKSON CTY/KC</v>
          </cell>
          <cell r="Q2759">
            <v>3125.42</v>
          </cell>
          <cell r="R2759">
            <v>5</v>
          </cell>
        </row>
        <row r="2760">
          <cell r="A2760" t="str">
            <v>006081</v>
          </cell>
          <cell r="B2760" t="str">
            <v>LDC 2</v>
          </cell>
          <cell r="D2760" t="str">
            <v>no</v>
          </cell>
          <cell r="E2760" t="str">
            <v>20401143636</v>
          </cell>
          <cell r="F2760" t="str">
            <v>F0658</v>
          </cell>
          <cell r="G2760" t="str">
            <v>Services -  2" &amp; larger</v>
          </cell>
          <cell r="H2760" t="str">
            <v>ROCKHURST UNIV ARRUPE HALL-2in Svc</v>
          </cell>
          <cell r="I2760" t="str">
            <v>posted to CPR</v>
          </cell>
          <cell r="J2760" t="str">
            <v>ROCKHURST UNIVERSITY ARRUPE HALL-SERVICE LN: Kansas City-Jackson: New Services 2in &amp; Larger  3800 (33-381)</v>
          </cell>
          <cell r="K2760" t="str">
            <v>Approved by: Kevin Driskell on 08/19/2014,  LAYING 150FT-2IN PE SERVICE LINE TIE-IN 2IN PE MAIN (WO#14-3545). TO SERVICE 1 COMMERCIAL BUILDING. ECONOMIC EVALUATION WILL COVER COST OF THIS PROJECT.</v>
          </cell>
          <cell r="L2760">
            <v>41983</v>
          </cell>
          <cell r="M2760">
            <v>42248</v>
          </cell>
          <cell r="N2760">
            <v>42270.498240740701</v>
          </cell>
          <cell r="O2760">
            <v>41974</v>
          </cell>
          <cell r="P2760" t="str">
            <v>0401-043050  JACKSON CTY/KC</v>
          </cell>
          <cell r="Q2760">
            <v>2792.09</v>
          </cell>
          <cell r="R2760">
            <v>-579</v>
          </cell>
        </row>
        <row r="2761">
          <cell r="A2761" t="str">
            <v>005974</v>
          </cell>
          <cell r="B2761" t="str">
            <v>LDC 2</v>
          </cell>
          <cell r="D2761" t="str">
            <v>yes</v>
          </cell>
          <cell r="E2761" t="str">
            <v>20401143545</v>
          </cell>
          <cell r="F2761" t="str">
            <v>F0610</v>
          </cell>
          <cell r="G2761" t="str">
            <v>New business</v>
          </cell>
          <cell r="H2761" t="str">
            <v>Rockhurst Univ Arrupe Hall Main Ext</v>
          </cell>
          <cell r="I2761" t="str">
            <v>posted to CPR</v>
          </cell>
          <cell r="J2761" t="str">
            <v>ROCKHURST UNIVERSITY ARRUPE HALL-MAIN EXT: Kansas City-Jackson: New Main Extension - Contractor Crews  3760 (33-380)</v>
          </cell>
          <cell r="K2761" t="str">
            <v>Approved by: Kevin Driskell on 08/12/2014,  LAYING 500 FT -2IN PE MAIN EXT. TIE-IN 3PBS (WO#B37P81)TO SERVICE 1 COMMERCIAL BUILDING. ECONOMIC EVALUATION WILL COVER COST OF PROJECT.</v>
          </cell>
          <cell r="L2761">
            <v>41983</v>
          </cell>
          <cell r="M2761">
            <v>42155</v>
          </cell>
          <cell r="N2761">
            <v>42256.641134259298</v>
          </cell>
          <cell r="O2761">
            <v>41974</v>
          </cell>
          <cell r="P2761" t="str">
            <v>0401-043050  JACKSON CTY/KC</v>
          </cell>
          <cell r="Q2761">
            <v>4876.8</v>
          </cell>
          <cell r="R2761">
            <v>-1436.5</v>
          </cell>
        </row>
        <row r="2762">
          <cell r="A2762" t="str">
            <v>005514</v>
          </cell>
          <cell r="B2762" t="str">
            <v>LDC 2</v>
          </cell>
          <cell r="D2762" t="str">
            <v>yes</v>
          </cell>
          <cell r="E2762" t="str">
            <v>20401143609</v>
          </cell>
          <cell r="F2762" t="str">
            <v>F0587</v>
          </cell>
          <cell r="G2762" t="str">
            <v>Services - 2" &amp; larger</v>
          </cell>
          <cell r="H2762" t="str">
            <v>1350 E 17th ABANDON-6IN CS SERVICE</v>
          </cell>
          <cell r="I2762" t="str">
            <v>posted to CPR</v>
          </cell>
          <cell r="J2762" t="str">
            <v>1350 E 17th ABANDON-6IN CS SERVICE LINE: Kansas City-Jackson: Replace Services 2&amp;quot; &amp; Larger - 3800 (42-385)</v>
          </cell>
          <cell r="K2762" t="str">
            <v>Approved by: Kevin Driskell on 06/13/2014,  ABANDON 26FT-6IN CS SERVICE LINE AT 1350 E 17TH ST KCATA. DUE TO INSTALLATION OF A NEW SERVICE LINE FOR THEIR CNG STATION WO#13-2612 4IN SERVICE LINE.</v>
          </cell>
          <cell r="L2762">
            <v>41788</v>
          </cell>
          <cell r="M2762">
            <v>41882</v>
          </cell>
          <cell r="N2762">
            <v>41918.7640509259</v>
          </cell>
          <cell r="P2762" t="str">
            <v>0401-043050  JACKSON CTY/KC</v>
          </cell>
          <cell r="Q2762">
            <v>9140.92</v>
          </cell>
          <cell r="R2762">
            <v>31.2</v>
          </cell>
        </row>
        <row r="2763">
          <cell r="A2763" t="str">
            <v>005332</v>
          </cell>
          <cell r="B2763" t="str">
            <v>LDC 2</v>
          </cell>
          <cell r="D2763" t="str">
            <v>no</v>
          </cell>
          <cell r="E2763" t="str">
            <v>20401143575</v>
          </cell>
          <cell r="F2763" t="str">
            <v>F0587</v>
          </cell>
          <cell r="G2763" t="str">
            <v>Services - 2" &amp; larger</v>
          </cell>
          <cell r="H2763" t="str">
            <v>13508 Oak St Repl 2in Service Line</v>
          </cell>
          <cell r="I2763" t="str">
            <v>posted to CPR</v>
          </cell>
          <cell r="J2763" t="str">
            <v>13508 Oak St Repl 2in Service Line: Kansas City-Jackson: Replace Services 2&amp;quot; &amp; Larger - 3800 (42-385)</v>
          </cell>
          <cell r="K2763" t="str">
            <v>Approved by: Kevin Driskell on 05/18/2014,  Repl 120ft-1 1/4in pe service line WITH 120ft-2in pe service line due to increase in load (17,900 cfh). Tie-in 4in cs (wo#89-6994). ECONOMIC EVALUATION WILL COVER THIS PROJECT.</v>
          </cell>
          <cell r="L2763">
            <v>41841</v>
          </cell>
          <cell r="M2763">
            <v>41912</v>
          </cell>
          <cell r="N2763">
            <v>41950.725266203699</v>
          </cell>
          <cell r="O2763">
            <v>41883</v>
          </cell>
          <cell r="P2763" t="str">
            <v>0401-043050  JACKSON CTY/KC</v>
          </cell>
          <cell r="Q2763">
            <v>896.11</v>
          </cell>
          <cell r="R2763">
            <v>-652</v>
          </cell>
        </row>
        <row r="2764">
          <cell r="A2764" t="str">
            <v>004275</v>
          </cell>
          <cell r="B2764" t="str">
            <v>LDC 2</v>
          </cell>
          <cell r="D2764" t="str">
            <v>no</v>
          </cell>
          <cell r="E2764" t="str">
            <v>20401133188</v>
          </cell>
          <cell r="F2764" t="str">
            <v>F0599</v>
          </cell>
          <cell r="G2764" t="str">
            <v>Main Replacement - ISRS (N)</v>
          </cell>
          <cell r="H2764" t="str">
            <v>AOR Norton &amp; 52nd St Repl CI w 40'-</v>
          </cell>
          <cell r="I2764" t="str">
            <v>posted to CPR</v>
          </cell>
          <cell r="J2764" t="str">
            <v>AOR Norton &amp; 52nd St Repl CI w 40'-6in PE main: Kansas City-Jackson: Norton and 52nd Street</v>
          </cell>
          <cell r="K2764" t="str">
            <v>Approved by: Gary Williams on 01/10/2014,  AOR.  This work order must be completed by March 16, 2014.  Replace 40'-6in CI due to parallel excavation.  AOR location: 12' SNC of E 52nd Street.  No services to tie-over.  Retire 44'-6in CI, WO A2610, year 1930.</v>
          </cell>
          <cell r="L2764">
            <v>41696</v>
          </cell>
          <cell r="M2764">
            <v>41729</v>
          </cell>
          <cell r="N2764">
            <v>41733.309930555602</v>
          </cell>
          <cell r="O2764">
            <v>41730</v>
          </cell>
          <cell r="P2764" t="str">
            <v>0401-043050  JACKSON CTY/KC</v>
          </cell>
          <cell r="Q2764">
            <v>22497.119999999999</v>
          </cell>
          <cell r="R2764">
            <v>302.10000000000002</v>
          </cell>
        </row>
        <row r="2765">
          <cell r="A2765" t="str">
            <v>003989</v>
          </cell>
          <cell r="B2765" t="str">
            <v>LDC 2</v>
          </cell>
          <cell r="D2765" t="str">
            <v>no</v>
          </cell>
          <cell r="E2765" t="str">
            <v>20401132396</v>
          </cell>
          <cell r="F2765" t="str">
            <v>F0548</v>
          </cell>
          <cell r="G2765" t="str">
            <v>Tools and Equipment</v>
          </cell>
          <cell r="H2765" t="str">
            <v>Pur 20 Gas Extraction Fire Suits</v>
          </cell>
          <cell r="I2765" t="str">
            <v>posted to CPR</v>
          </cell>
          <cell r="J2765" t="str">
            <v>Pur 20 Gas Extraction Fire Suits: Kansas City-Jackson: 3420 Broadway Safety Dept</v>
          </cell>
          <cell r="K2765" t="str">
            <v>Approved by: Ken Thomas on 02/06/2013,  Purchase 20- Gas Extraction Fire Suits from Mid-Continent for the incoming apprentices.</v>
          </cell>
          <cell r="L2765">
            <v>41386</v>
          </cell>
          <cell r="M2765">
            <v>41600</v>
          </cell>
          <cell r="N2765">
            <v>41603.384675925903</v>
          </cell>
          <cell r="P2765" t="str">
            <v>0401-043050  JACKSON CTY/KC</v>
          </cell>
          <cell r="Q2765">
            <v>5521.64</v>
          </cell>
          <cell r="R2765">
            <v>0</v>
          </cell>
        </row>
        <row r="2766">
          <cell r="A2766" t="str">
            <v>004007</v>
          </cell>
          <cell r="B2766" t="str">
            <v>LDC 2</v>
          </cell>
          <cell r="D2766" t="str">
            <v>yes</v>
          </cell>
          <cell r="E2766" t="str">
            <v>20401132805</v>
          </cell>
          <cell r="F2766" t="str">
            <v>F0599</v>
          </cell>
          <cell r="G2766" t="str">
            <v>Main Replacement - ISRS (N)</v>
          </cell>
          <cell r="H2766" t="str">
            <v>38th &amp; State Line Repl CI w 70'-4in</v>
          </cell>
          <cell r="I2766" t="str">
            <v>posted to CPR</v>
          </cell>
          <cell r="J2766" t="str">
            <v>38th &amp; State Line Repl CI w 70'-4in PE: Kansas City-Jackson: 38th &amp; State Line</v>
          </cell>
          <cell r="K2766" t="str">
            <v>Approved by: Melvin Burns on 07/28/2013,  Replace 70ft of 4in CI with 4in PE due to broken CI main.  Bag off and Tie-in points should be in greenway to the east of the driveway of 1820 W 38th St.  Tie-over 3 services.  Cost per foot $330.16</v>
          </cell>
          <cell r="L2766">
            <v>41613</v>
          </cell>
          <cell r="M2766">
            <v>41697</v>
          </cell>
          <cell r="N2766">
            <v>41698.505266203698</v>
          </cell>
          <cell r="O2766">
            <v>41730</v>
          </cell>
          <cell r="P2766" t="str">
            <v>0401-043050  JACKSON CTY/KC</v>
          </cell>
          <cell r="Q2766">
            <v>10678.35</v>
          </cell>
          <cell r="R2766">
            <v>228</v>
          </cell>
        </row>
        <row r="2767">
          <cell r="A2767" t="str">
            <v>007741</v>
          </cell>
          <cell r="B2767" t="str">
            <v>LDC 2</v>
          </cell>
          <cell r="D2767" t="str">
            <v>no</v>
          </cell>
          <cell r="F2767" t="str">
            <v>F0656</v>
          </cell>
          <cell r="G2767" t="str">
            <v>Meter &amp; regulator settings - 2" &amp; l</v>
          </cell>
          <cell r="H2767" t="str">
            <v>Install MGE CNI2 devices Monett</v>
          </cell>
          <cell r="I2767" t="str">
            <v>in service</v>
          </cell>
          <cell r="J2767" t="str">
            <v>These units will provide load profile on MGE's Transportation Gas customers hour by hour including daily corrected and uncorrected consumption.</v>
          </cell>
          <cell r="K2767" t="str">
            <v>Furthermore, these are additional units that are necessary to provide reports for accurate billing of MGE Gas Transportation accounts</v>
          </cell>
          <cell r="L2767">
            <v>42248</v>
          </cell>
          <cell r="O2767">
            <v>42339</v>
          </cell>
          <cell r="P2767" t="str">
            <v>0801-050001  LAWRENCE CTY/MONETT</v>
          </cell>
          <cell r="Q2767">
            <v>68667.839999999997</v>
          </cell>
          <cell r="R2767">
            <v>213</v>
          </cell>
        </row>
        <row r="2768">
          <cell r="A2768" t="str">
            <v>004970</v>
          </cell>
          <cell r="B2768" t="str">
            <v>LDC 2</v>
          </cell>
          <cell r="D2768" t="str">
            <v>no</v>
          </cell>
          <cell r="F2768" t="str">
            <v>F0680</v>
          </cell>
          <cell r="G2768" t="str">
            <v>Regulatory Assets MGE</v>
          </cell>
          <cell r="H2768" t="str">
            <v>Reg Ast Eng Eff WH Reb MG</v>
          </cell>
          <cell r="I2768" t="str">
            <v>open</v>
          </cell>
          <cell r="J2768" t="str">
            <v>Energy Efficiency - Water Heating Rebates MGE</v>
          </cell>
          <cell r="P2768" t="str">
            <v>Expense Only</v>
          </cell>
          <cell r="Q2768">
            <v>1577.41</v>
          </cell>
          <cell r="R2768">
            <v>0</v>
          </cell>
        </row>
        <row r="2769">
          <cell r="A2769" t="str">
            <v>004733</v>
          </cell>
          <cell r="B2769" t="str">
            <v>LDC 2</v>
          </cell>
          <cell r="D2769" t="str">
            <v>no</v>
          </cell>
          <cell r="E2769" t="str">
            <v>28870000000</v>
          </cell>
          <cell r="F2769" t="str">
            <v>F0700</v>
          </cell>
          <cell r="G2769" t="str">
            <v>Maintenance of Mains - MGE</v>
          </cell>
          <cell r="H2769" t="str">
            <v>Maintenance of Mains - MGE</v>
          </cell>
          <cell r="I2769" t="str">
            <v>open</v>
          </cell>
          <cell r="J2769" t="str">
            <v>Maintenance of Mains - MGE</v>
          </cell>
          <cell r="P2769" t="str">
            <v>Expense Only</v>
          </cell>
          <cell r="Q2769">
            <v>7233308.4199999999</v>
          </cell>
          <cell r="R2769">
            <v>31266.8891</v>
          </cell>
        </row>
        <row r="2770">
          <cell r="A2770" t="str">
            <v>011136</v>
          </cell>
          <cell r="B2770" t="str">
            <v>LDC 2</v>
          </cell>
          <cell r="D2770" t="str">
            <v>no</v>
          </cell>
          <cell r="F2770" t="str">
            <v>F1171</v>
          </cell>
          <cell r="G2770" t="str">
            <v>Tools For MGE Operation Services</v>
          </cell>
          <cell r="H2770" t="str">
            <v>Purch 6 Flame Ionization units</v>
          </cell>
          <cell r="I2770" t="str">
            <v>posted to CPR</v>
          </cell>
          <cell r="J2770" t="str">
            <v>Purchase 6 flame ionization units from Southern Cross for P&amp;M Employees (2 for Monett and 3 for Joplin).</v>
          </cell>
          <cell r="K2770" t="str">
            <v>Requested by Hal Hoofnagle 4-26-16.  Units to be used when responding to leak calls from large meter customers.</v>
          </cell>
          <cell r="L2770">
            <v>42522</v>
          </cell>
          <cell r="M2770">
            <v>42522</v>
          </cell>
          <cell r="N2770">
            <v>42557.553043981497</v>
          </cell>
          <cell r="O2770">
            <v>42522</v>
          </cell>
          <cell r="P2770" t="str">
            <v>0501-043050  JACKSON CTY/KC</v>
          </cell>
          <cell r="Q2770">
            <v>35731.800000000003</v>
          </cell>
          <cell r="R2770">
            <v>6</v>
          </cell>
        </row>
        <row r="2771">
          <cell r="A2771" t="str">
            <v>801136</v>
          </cell>
          <cell r="B2771" t="str">
            <v>LDC 2</v>
          </cell>
          <cell r="C2771" t="str">
            <v>09 - Facility Relocation due to Civic Improvement</v>
          </cell>
          <cell r="D2771" t="str">
            <v>yes</v>
          </cell>
          <cell r="F2771" t="str">
            <v>F0664</v>
          </cell>
          <cell r="G2771" t="str">
            <v>Street &amp; Hwy Relocates ISRS (SW)</v>
          </cell>
          <cell r="H2771" t="str">
            <v>Reloc 1187F 4P 27th - 22nd Phase 2</v>
          </cell>
          <cell r="I2771" t="str">
            <v>open</v>
          </cell>
          <cell r="J2771" t="str">
            <v>Install - 1187 Ft of 4 in PL IP main on Main St between 25th and 22nd streets.</v>
          </cell>
          <cell r="K2771" t="str">
            <v>Main Street Relocation and Uprate 27th - Abandon - 53 Ft of 2 in PL LP main, 7 Ft of 3 in PL LP main, and 1179 Ft of 4 in PL LP main at the above locations.  Uprate- 588 Ft pf 4 in PL LP main, and 180 Ft of 2 in PL LP main at the above locations.  Total Service Tie over = 18; Total Service Upgrade = 9;  This main is being abandoned due to Civic Improvements. ISRS.</v>
          </cell>
          <cell r="P2771" t="str">
            <v>0501-044001  JASPER CTY/JOPLIN</v>
          </cell>
          <cell r="Q2771">
            <v>83272.070000000007</v>
          </cell>
          <cell r="R2771">
            <v>1270.5</v>
          </cell>
        </row>
        <row r="2772">
          <cell r="A2772" t="str">
            <v>800842</v>
          </cell>
          <cell r="B2772" t="str">
            <v>LDC 2</v>
          </cell>
          <cell r="D2772" t="str">
            <v>no</v>
          </cell>
          <cell r="F2772" t="str">
            <v>F0523</v>
          </cell>
          <cell r="G2772" t="str">
            <v>New Main Extensions (SW)</v>
          </cell>
          <cell r="H2772" t="str">
            <v>Install 375F 4P 7925 E 26th</v>
          </cell>
          <cell r="I2772" t="str">
            <v>in service</v>
          </cell>
          <cell r="J2772" t="str">
            <v>Install ~ 375 Ft of 4 in PL IP Main for service to 7925 E 26th St in Joplin, MO.</v>
          </cell>
          <cell r="K2772" t="str">
            <v>1 commercial service to be installed as part of this main extension.  Total Load for Commercial Service:  3 Air-Rotation Units at 1,075 cfh (3,225  cfh total).</v>
          </cell>
          <cell r="L2772">
            <v>42739</v>
          </cell>
          <cell r="O2772">
            <v>42736</v>
          </cell>
          <cell r="P2772" t="str">
            <v>0501-044001  JASPER CTY/JOPLIN</v>
          </cell>
          <cell r="Q2772">
            <v>21936.560000000001</v>
          </cell>
          <cell r="R2772">
            <v>-1517</v>
          </cell>
        </row>
        <row r="2773">
          <cell r="A2773" t="str">
            <v>800606</v>
          </cell>
          <cell r="B2773" t="str">
            <v>LDC 2</v>
          </cell>
          <cell r="C2773" t="str">
            <v>06 - Other Legacy Main Material Replacement</v>
          </cell>
          <cell r="D2773" t="str">
            <v>yes</v>
          </cell>
          <cell r="F2773" t="str">
            <v>F0572</v>
          </cell>
          <cell r="G2773" t="str">
            <v>Main Replacement - ISRS (SW)</v>
          </cell>
          <cell r="H2773" t="str">
            <v>Repl w/ 1450F 4P 33rd to 35th</v>
          </cell>
          <cell r="I2773" t="str">
            <v>open</v>
          </cell>
          <cell r="J2773" t="str">
            <v>Install 1450 Ft 4 in PL MP Main on Connecticut Ave, 33rd St and 35th St. Abandon 77 Ft of 3 in PL, 1383 Ft of 3 in ST and 8 Ft of 4 in PL Main.</v>
          </cell>
          <cell r="K2773" t="str">
            <v>This main is being replaced due to failed CP reads.</v>
          </cell>
          <cell r="P2773" t="str">
            <v>0501-044001  JASPER CTY/JOPLIN</v>
          </cell>
          <cell r="Q2773">
            <v>124076.28</v>
          </cell>
          <cell r="R2773">
            <v>-3653</v>
          </cell>
        </row>
        <row r="2774">
          <cell r="A2774" t="str">
            <v>009516</v>
          </cell>
          <cell r="B2774" t="str">
            <v>LDC 2</v>
          </cell>
          <cell r="D2774" t="str">
            <v>no</v>
          </cell>
          <cell r="F2774" t="str">
            <v>F0639</v>
          </cell>
          <cell r="G2774" t="str">
            <v>EGM Equip-1st Time Installation</v>
          </cell>
          <cell r="H2774" t="str">
            <v>EGM - Heartland Pet Food</v>
          </cell>
          <cell r="I2774" t="str">
            <v>open</v>
          </cell>
          <cell r="J2774" t="str">
            <v>Install Mercury MiniMax-AT-PT for Heartland Pet Food at 8101 E 32nd St. Joplin to monitor daily gas usage of this transportation customer. Customer will reimburse company actual cost for EGM installation not to exceed $5,445.00.</v>
          </cell>
          <cell r="P2774" t="str">
            <v>0501-044001  JASPER CTY/JOPLIN</v>
          </cell>
          <cell r="Q2774">
            <v>2603.5500000000002</v>
          </cell>
          <cell r="R2774">
            <v>9</v>
          </cell>
        </row>
        <row r="2775">
          <cell r="A2775" t="str">
            <v>004313</v>
          </cell>
          <cell r="B2775" t="str">
            <v>LDC 2</v>
          </cell>
          <cell r="D2775" t="str">
            <v>no</v>
          </cell>
          <cell r="E2775" t="str">
            <v>20501132622</v>
          </cell>
          <cell r="F2775" t="str">
            <v>F0677</v>
          </cell>
          <cell r="G2775" t="str">
            <v>New business</v>
          </cell>
          <cell r="H2775" t="str">
            <v>32nd &amp; Central Lay 6105'-6in PE mai</v>
          </cell>
          <cell r="I2775" t="str">
            <v>posted to CPR</v>
          </cell>
          <cell r="J2775" t="str">
            <v>32nd &amp; Central Lay 6105'-6in PE main ext: Joplin: 32nd and Central City St Mary's Church</v>
          </cell>
          <cell r="K2775" t="str">
            <v>Approved by: Rob Hack on 05/28/2013,  Extend main with 6105' - 6in PE to provide service to St Mary's Church and fire station at 32nd and Central City Rd. Customer will contribute $38,524 prior to work. Main will cross BNSF railroad and require new permit/easement and casing at this point. Company will aqcuire an easement to cover main running parallel with Central City Rd. Easement will bear Southwest just North of 32nd St due to large decorative rock entrance sign to Wildwood Estates. Project Location: 20th to 32nd and Central City Rd; Pressure System: C-1; MOP: 58 psig; MAOP: 58 psig; Design: 58 psig; Test: 100 psig; $38.06/ft</v>
          </cell>
          <cell r="L2775">
            <v>41572</v>
          </cell>
          <cell r="M2775">
            <v>41626</v>
          </cell>
          <cell r="N2775">
            <v>41634.480682870402</v>
          </cell>
          <cell r="O2775">
            <v>41730</v>
          </cell>
          <cell r="P2775" t="str">
            <v>0501-044001  JASPER CTY/JOPLIN</v>
          </cell>
          <cell r="Q2775">
            <v>163369.47</v>
          </cell>
          <cell r="R2775">
            <v>14719.8</v>
          </cell>
        </row>
        <row r="2776">
          <cell r="A2776" t="str">
            <v>004161</v>
          </cell>
          <cell r="B2776" t="str">
            <v>LDC 2</v>
          </cell>
          <cell r="D2776" t="str">
            <v>yes</v>
          </cell>
          <cell r="E2776" t="str">
            <v>20501121966</v>
          </cell>
          <cell r="F2776" t="str">
            <v>F0546</v>
          </cell>
          <cell r="G2776" t="str">
            <v>Street &amp; highway relocates - safety</v>
          </cell>
          <cell r="H2776" t="str">
            <v>26th &amp; Schifferdecker Reloc Main Wi</v>
          </cell>
          <cell r="I2776" t="str">
            <v>posted to CPR</v>
          </cell>
          <cell r="J2776" t="str">
            <v>26th &amp; Schifferdecker Reloc Main Widening Rd: Joplin: 26th and Schifferdecker to Maiden Ln</v>
          </cell>
          <cell r="K2776" t="str">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ell>
          <cell r="L2776">
            <v>41464</v>
          </cell>
          <cell r="M2776">
            <v>41626</v>
          </cell>
          <cell r="N2776">
            <v>41710.614583333299</v>
          </cell>
          <cell r="O2776">
            <v>41730</v>
          </cell>
          <cell r="P2776" t="str">
            <v>0501-044001  JASPER CTY/JOPLIN</v>
          </cell>
          <cell r="Q2776">
            <v>427376.15</v>
          </cell>
          <cell r="R2776">
            <v>23221.5</v>
          </cell>
        </row>
        <row r="2777">
          <cell r="A2777" t="str">
            <v>003888</v>
          </cell>
          <cell r="B2777" t="str">
            <v>LDC 2</v>
          </cell>
          <cell r="D2777" t="str">
            <v>no</v>
          </cell>
          <cell r="E2777" t="str">
            <v>20501132950</v>
          </cell>
          <cell r="F2777" t="str">
            <v>F0611</v>
          </cell>
          <cell r="G2777" t="str">
            <v>Meter &amp; regulator replacements - 2"</v>
          </cell>
          <cell r="H2777" t="str">
            <v>627 Pearl Rebuild 3M mtr setting</v>
          </cell>
          <cell r="I2777" t="str">
            <v>posted to CPR</v>
          </cell>
          <cell r="J2777" t="str">
            <v>627 Pearl Rebuild 3M mtr setting: Joplin: 627 Pearl First Baptist Church</v>
          </cell>
          <cell r="K2777" t="str">
            <v>Approved by: Galen Shoemaker on 09/09/2013,  WORK IS NECESSARY TO MOVE EXISTING AL 2300 METER SETTING OUT OF ALCOVE OF CHURCH. WILL REPLACE WITH A 2in PREFAB SETTING FOR A 3M ROTARY METER. WILL USE 2in FLANGED B34IMRV REGULATOR WITH 3/8in ORIFICE AND GREEN SPRING TO DELIVER 7in WC TO THE CUSTOMER. TOTAL CONNECTED DEMAND IS 2914 CFH. NO WORK ORDER HAS BEEN FOUND FOR THE INSTALLATION OF THE 2300 METER. SYSTEM 0501-C-1  MAOP=58PSIG MOP=58 PSIG</v>
          </cell>
          <cell r="L2777">
            <v>41542</v>
          </cell>
          <cell r="M2777">
            <v>41670</v>
          </cell>
          <cell r="N2777">
            <v>41677.509780092601</v>
          </cell>
          <cell r="P2777" t="str">
            <v>0501-044001  JASPER CTY/JOPLIN</v>
          </cell>
          <cell r="Q2777">
            <v>7398.8</v>
          </cell>
          <cell r="R2777">
            <v>40</v>
          </cell>
        </row>
        <row r="2778">
          <cell r="A2778" t="str">
            <v>800287</v>
          </cell>
          <cell r="B2778" t="str">
            <v>LDC 2</v>
          </cell>
          <cell r="C2778" t="str">
            <v>03 - Bare Steel Replacement</v>
          </cell>
          <cell r="D2778" t="str">
            <v>yes</v>
          </cell>
          <cell r="F2778" t="str">
            <v>F0572</v>
          </cell>
          <cell r="G2778" t="str">
            <v>Main Replacement - ISRS (SW)</v>
          </cell>
          <cell r="H2778" t="str">
            <v>Repl w 1183F 2-4-6P Webb City Ph 2I</v>
          </cell>
          <cell r="I2778" t="str">
            <v>open</v>
          </cell>
          <cell r="J2778" t="str">
            <v>Install 140 Ft of 2 in PL IP main, and 809 Ft of 4 in PL IP main, and 234 Ft of 6 in PL IP main on Austin St, Washington Ave, Oronogo Ave, Jefferson Ave, and Madison Ave.</v>
          </cell>
          <cell r="K2778" t="str">
            <v>Webb City Phase 2I Grid Bare ST Replacement.  Abandon- 157 Ft of 2 in ST LP main , and 1124 Ft of 6 in ST LP main at the above locations.  Uprate- 130 Ft of 1 ¼” PL LP main, and 3221 Ft of 2” PL LP main, and 1113 Ft of 6 in PL LP main on Austin St, the alley between Austiin and Daughtery, Washington Ave, Broadway St, and Jefferson Ave.  Total Service Tie-over = 19; Total Service Replace = 2; Total Service Upgrade = 50; Total Service Abandoned = 6 This main is being abandoned as part of FY16 Bare Steel Replacement Program.</v>
          </cell>
          <cell r="P2778" t="str">
            <v>0502-044006  JASPER CTY/WEBB CITY</v>
          </cell>
          <cell r="Q2778">
            <v>0</v>
          </cell>
          <cell r="R2778">
            <v>1281</v>
          </cell>
        </row>
        <row r="2779">
          <cell r="A2779" t="str">
            <v>800411</v>
          </cell>
          <cell r="B2779" t="str">
            <v>LDC 2</v>
          </cell>
          <cell r="C2779" t="str">
            <v>03 - Bare Steel Replacement</v>
          </cell>
          <cell r="D2779" t="str">
            <v>yes</v>
          </cell>
          <cell r="F2779" t="str">
            <v>F0572</v>
          </cell>
          <cell r="G2779" t="str">
            <v>Main Replacement - ISRS (SW)</v>
          </cell>
          <cell r="H2779" t="str">
            <v>Repl w/ 9635F 2&amp;4P Purcell Ph1A</v>
          </cell>
          <cell r="I2779" t="str">
            <v>in service</v>
          </cell>
          <cell r="J2779" t="str">
            <v>Install 5524 Ft of 2 in PL and 4111 Ft of 4 in PL MP Main for Purcell Phase 1A. Abandon 85 Ft of 2 in PL, 2344 Ft of 2 in ST, 5108 Ft of 3 in ST, 109 Ft of 4 in PL and 2523 Ft of 4 in ST MP Main.</v>
          </cell>
          <cell r="K2779" t="str">
            <v>Main being replaced as part of the FY16 Bare Steel Replacement Program.
Total service tie overs = 39; Total service abandon = 15</v>
          </cell>
          <cell r="L2779">
            <v>42740</v>
          </cell>
          <cell r="O2779">
            <v>42736</v>
          </cell>
          <cell r="P2779" t="str">
            <v>0507-044014  JASPER CTY/PURCELL</v>
          </cell>
          <cell r="Q2779">
            <v>772101.95</v>
          </cell>
          <cell r="R2779">
            <v>-23596.1734</v>
          </cell>
        </row>
        <row r="2780">
          <cell r="A2780" t="str">
            <v>012262</v>
          </cell>
          <cell r="B2780" t="str">
            <v>LDC 2</v>
          </cell>
          <cell r="D2780" t="str">
            <v>no</v>
          </cell>
          <cell r="F2780" t="str">
            <v>F0644</v>
          </cell>
          <cell r="G2780" t="str">
            <v>Meter &amp; Reg Settings 2" &amp; Lg (S)</v>
          </cell>
          <cell r="H2780" t="str">
            <v>Old Chicago Pizza - 3M Rotary Set</v>
          </cell>
          <cell r="I2780" t="str">
            <v>in service</v>
          </cell>
          <cell r="J2780" t="str">
            <v>Install one new 3M Rotary Meter setting to serve one new commerical cuatomer at 4661 S Cochise Ct in Independence, MO</v>
          </cell>
          <cell r="L2780">
            <v>42644</v>
          </cell>
          <cell r="O2780">
            <v>42736</v>
          </cell>
          <cell r="P2780" t="str">
            <v>0201-043001  JACKSON CTY/INDEPENDENCE</v>
          </cell>
          <cell r="Q2780">
            <v>1916</v>
          </cell>
          <cell r="R2780">
            <v>-50</v>
          </cell>
        </row>
        <row r="2781">
          <cell r="A2781" t="str">
            <v>011282</v>
          </cell>
          <cell r="B2781" t="str">
            <v>LDC 2</v>
          </cell>
          <cell r="D2781" t="str">
            <v>no</v>
          </cell>
          <cell r="F2781" t="str">
            <v>F0639</v>
          </cell>
          <cell r="G2781" t="str">
            <v>EGM Equip-1st Time Installation</v>
          </cell>
          <cell r="H2781" t="str">
            <v>EGM - James Bridger School</v>
          </cell>
          <cell r="I2781" t="str">
            <v>open</v>
          </cell>
          <cell r="J2781" t="str">
            <v>Mini AT-PT Corrector for James Bridger School at 18200 East State Hwy 78 to monitor daily gas usage. Customer will reimburse company actual cost for EGM installation not to exceed $5,445.</v>
          </cell>
          <cell r="K2781" t="str">
            <v>meter no 00901801</v>
          </cell>
          <cell r="P2781" t="str">
            <v>0201-043001  JACKSON CTY/INDEPENDENCE</v>
          </cell>
          <cell r="Q2781">
            <v>2627.66</v>
          </cell>
          <cell r="R2781">
            <v>9</v>
          </cell>
        </row>
        <row r="2782">
          <cell r="A2782" t="str">
            <v>004461</v>
          </cell>
          <cell r="B2782" t="str">
            <v>LDC 2</v>
          </cell>
          <cell r="D2782" t="str">
            <v>no</v>
          </cell>
          <cell r="E2782" t="str">
            <v>20201133215</v>
          </cell>
          <cell r="F2782" t="str">
            <v>F0671</v>
          </cell>
          <cell r="G2782" t="str">
            <v>Tools, Instruments &amp; Equipment</v>
          </cell>
          <cell r="H2782" t="str">
            <v>Pur Fusion Equipment</v>
          </cell>
          <cell r="I2782" t="str">
            <v>posted to CPR</v>
          </cell>
          <cell r="J2782" t="str">
            <v>Pur Fusion Equipment: Independence: Independence Training Center</v>
          </cell>
          <cell r="K2782" t="str">
            <v>Approved by: Brian Dresel on 12/12/2013,  Purchase new fusion equipment to be used for fusion testing of employees and contractors in accordance with Code. This equipment will replace two 2" McElroy PE fusion machines and two McElroy Sidewinders that are in poor condition and many years old.</v>
          </cell>
          <cell r="L2782">
            <v>41680</v>
          </cell>
          <cell r="M2782">
            <v>41722</v>
          </cell>
          <cell r="N2782">
            <v>41723.306446759299</v>
          </cell>
          <cell r="P2782" t="str">
            <v>0201-043001  JACKSON CTY/INDEPENDENCE</v>
          </cell>
          <cell r="Q2782">
            <v>15027.11</v>
          </cell>
          <cell r="R2782">
            <v>1</v>
          </cell>
        </row>
        <row r="2783">
          <cell r="A2783" t="str">
            <v>004213</v>
          </cell>
          <cell r="B2783" t="str">
            <v>LDC 2</v>
          </cell>
          <cell r="D2783" t="str">
            <v>no</v>
          </cell>
          <cell r="E2783" t="str">
            <v>20201132787</v>
          </cell>
          <cell r="F2783" t="str">
            <v>F0672</v>
          </cell>
          <cell r="G2783" t="str">
            <v>Main Repl - Sys Reinforcement (S)</v>
          </cell>
          <cell r="H2783" t="str">
            <v>45th &amp; Phelps Repl DRS 188 I/O w 4i</v>
          </cell>
          <cell r="I2783" t="str">
            <v>posted to CPR</v>
          </cell>
          <cell r="J2783" t="str">
            <v>45th &amp; Phelps Repl DRS 188 I/O w 4in CS tie-in: Independence: Phelps Rd and 45th St</v>
          </cell>
          <cell r="K2783" t="str">
            <v>Approved by: Ralph Janes on 07/09/2013,  Tie together C-500 and C-013 by replacing 5' of 3in pcs main (wo# 662183) and 5' of 4in pcs main (wo# 662184) with 20' of 3in thin film after uprate of pressure system C-013 (MOP=MAOP = 5 psig) to pressure system C-500 (MOP=30 psig and MOAP=44 psig). DRS 188 will be removed and retired on wo# 13-2783.</v>
          </cell>
          <cell r="L2783">
            <v>41589</v>
          </cell>
          <cell r="M2783">
            <v>41670</v>
          </cell>
          <cell r="N2783">
            <v>41677.509768518503</v>
          </cell>
          <cell r="O2783">
            <v>41730</v>
          </cell>
          <cell r="P2783" t="str">
            <v>0201-043001  JACKSON CTY/INDEPENDENCE</v>
          </cell>
          <cell r="Q2783">
            <v>7662.79</v>
          </cell>
          <cell r="R2783">
            <v>60.9</v>
          </cell>
        </row>
        <row r="2784">
          <cell r="A2784" t="str">
            <v>007517</v>
          </cell>
          <cell r="B2784" t="str">
            <v>LDC 2</v>
          </cell>
          <cell r="D2784" t="str">
            <v>no</v>
          </cell>
          <cell r="E2784" t="str">
            <v>20201155089</v>
          </cell>
          <cell r="F2784" t="str">
            <v>F0606</v>
          </cell>
          <cell r="G2784" t="str">
            <v>Station rebuild &amp; replacement</v>
          </cell>
          <cell r="H2784" t="str">
            <v>Retire DRS 226 23rd and Woodbury</v>
          </cell>
          <cell r="I2784" t="str">
            <v>posted to CPR</v>
          </cell>
          <cell r="J2784" t="str">
            <v>Retire DRS 226 23rd and Woodbury: Independence: Rebuild District/TB Stations  3780/3790 (45-387)</v>
          </cell>
          <cell r="K2784" t="str">
            <v>Approved by: Kevin Driskell on 01/23/2015,  Remove and retire DRS 226 (WO# 91-2120) as it will not be needed after the completion of WO# 15-5087. The 2 - 2" Fisher S201 P3 regulators will be reclaimed.</v>
          </cell>
          <cell r="L2784">
            <v>42163</v>
          </cell>
          <cell r="M2784">
            <v>42185</v>
          </cell>
          <cell r="N2784">
            <v>42284.723206018498</v>
          </cell>
          <cell r="P2784" t="str">
            <v>0201-043001  JACKSON CTY/INDEPENDENCE</v>
          </cell>
          <cell r="Q2784">
            <v>1583.68</v>
          </cell>
          <cell r="R2784">
            <v>5</v>
          </cell>
        </row>
        <row r="2785">
          <cell r="A2785" t="str">
            <v>006594</v>
          </cell>
          <cell r="B2785" t="str">
            <v>LDC 2</v>
          </cell>
          <cell r="D2785" t="str">
            <v>yes</v>
          </cell>
          <cell r="E2785" t="str">
            <v>20201143853</v>
          </cell>
          <cell r="F2785" t="str">
            <v>F0604</v>
          </cell>
          <cell r="G2785" t="str">
            <v>Main Replacement - ISRS (S)</v>
          </cell>
          <cell r="H2785" t="str">
            <v>Replace 6in PBS 20th and Arlington</v>
          </cell>
          <cell r="I2785" t="str">
            <v>posted to CPR</v>
          </cell>
          <cell r="J2785" t="str">
            <v>Replace 6in PBS 20th and Arlington: Independence: Replace Bare Steel Main - 3760 Safety Related (34-394)</v>
          </cell>
          <cell r="K2785" t="str">
            <v>Approved by: Ray Wilson on 10/01/2014,  Replace 95' - 6" PBS (WO# JO4528) with 111' of 6" PE main due to leakage. 120' of 6" checked out with 9' junked. Job worked by Holman crew 9/22-24. (ISRS)</v>
          </cell>
          <cell r="L2785">
            <v>41908</v>
          </cell>
          <cell r="M2785">
            <v>42035</v>
          </cell>
          <cell r="N2785">
            <v>42131.408009259299</v>
          </cell>
          <cell r="O2785">
            <v>41974</v>
          </cell>
          <cell r="P2785" t="str">
            <v>0201-043001  JACKSON CTY/INDEPENDENCE</v>
          </cell>
          <cell r="Q2785">
            <v>1319.96</v>
          </cell>
          <cell r="R2785">
            <v>-529</v>
          </cell>
        </row>
        <row r="2786">
          <cell r="A2786" t="str">
            <v>800599</v>
          </cell>
          <cell r="B2786" t="str">
            <v>LDC 2</v>
          </cell>
          <cell r="C2786" t="str">
            <v>03 - Bare Steel Replacement</v>
          </cell>
          <cell r="D2786" t="str">
            <v>yes</v>
          </cell>
          <cell r="F2786" t="str">
            <v>F0604</v>
          </cell>
          <cell r="G2786" t="str">
            <v>Main Replacement - ISRS (S)</v>
          </cell>
          <cell r="H2786" t="str">
            <v>Repl w 9540F 2-4P Blackburn Phase 2</v>
          </cell>
          <cell r="I2786" t="str">
            <v>open</v>
          </cell>
          <cell r="J2786" t="str">
            <v>Install 8115 Ft. of 2 in. PL MP Main and 1425 Ft. of 4 in. PL MP Main on Main St., HWY 20 (Hancock St.), Birch St., Park St., Stinson St., Cardwell St., High St., Ash St., Pine St., Olive St., and Chestnut St.</v>
          </cell>
          <cell r="K2786" t="str">
            <v>Abandon 9268 Ft. of 2 in. ST MP Main and 194 Ft. of 2 in. PL MP Main on the mentioned above streets.  Total service tie overs = 50; Total service abandon = 9; Total service replace= 3.  This main is being replaced as part of the FY16 Bare Steel Replacement Program.</v>
          </cell>
          <cell r="P2786" t="str">
            <v>0311-086002  SALINE CTY/BLACKBURN</v>
          </cell>
          <cell r="Q2786">
            <v>11383.4</v>
          </cell>
          <cell r="R2786">
            <v>9462</v>
          </cell>
        </row>
        <row r="2787">
          <cell r="A2787" t="str">
            <v>007413</v>
          </cell>
          <cell r="B2787" t="str">
            <v>LDC 2</v>
          </cell>
          <cell r="D2787" t="str">
            <v>no</v>
          </cell>
          <cell r="F2787" t="str">
            <v>F0656</v>
          </cell>
          <cell r="G2787" t="str">
            <v>Meter &amp; regulator settings - 2" &amp; l</v>
          </cell>
          <cell r="H2787" t="str">
            <v>Install MGE CNI2 devices Monett</v>
          </cell>
          <cell r="I2787" t="str">
            <v>in service</v>
          </cell>
          <cell r="J2787" t="str">
            <v>These units will provide load profile on MGE's Transportation Gas customers hour by hour including daily corrected and uncorrected consumption.</v>
          </cell>
          <cell r="K2787" t="str">
            <v>Furthermore, the units are necessary to provide reports for accurate billing of MGE Gas Transportation accounts.</v>
          </cell>
          <cell r="L2787">
            <v>42248</v>
          </cell>
          <cell r="O2787">
            <v>42339</v>
          </cell>
          <cell r="P2787" t="str">
            <v>0801-005001  BARRY CTY/MONETT</v>
          </cell>
          <cell r="Q2787">
            <v>15966.65</v>
          </cell>
          <cell r="R2787">
            <v>96</v>
          </cell>
        </row>
        <row r="2788">
          <cell r="A2788" t="str">
            <v>800703</v>
          </cell>
          <cell r="B2788" t="str">
            <v>LDC 2</v>
          </cell>
          <cell r="D2788" t="str">
            <v>no</v>
          </cell>
          <cell r="F2788" t="str">
            <v>F0672</v>
          </cell>
          <cell r="G2788" t="str">
            <v>Main Repl - Sys Reinforcement (S)</v>
          </cell>
          <cell r="H2788" t="str">
            <v>Rein 395F 2-4P Hubach Hill</v>
          </cell>
          <cell r="I2788" t="str">
            <v>in service</v>
          </cell>
          <cell r="J2788" t="str">
            <v>Install ~15 Ft of 2" PL IP Main, ~380 Ft of 4" PL IP Main.  Reinforcement.</v>
          </cell>
          <cell r="K2788" t="str">
            <v>Abandon ~70 Ft of 2" PL IP Main, ~40 Ft of 2" ST IP Main This is a reinforcement project. On 01-06-14 the 50 psig MOP dropped to 10 psig at the Hubach Hill pressure chart which is in the SE corner of the pressure system. System Planning has recommended these four individual reinforcement enhancements.</v>
          </cell>
          <cell r="L2788">
            <v>42759</v>
          </cell>
          <cell r="O2788">
            <v>42736</v>
          </cell>
          <cell r="P2788" t="str">
            <v>0932-016022  CASS CTY/RAYMORE</v>
          </cell>
          <cell r="Q2788">
            <v>95972.93</v>
          </cell>
          <cell r="R2788">
            <v>-721.5</v>
          </cell>
        </row>
        <row r="2789">
          <cell r="A2789" t="str">
            <v>003800</v>
          </cell>
          <cell r="B2789" t="str">
            <v>LDC 2</v>
          </cell>
          <cell r="D2789" t="str">
            <v>no</v>
          </cell>
          <cell r="E2789" t="str">
            <v>20802143274</v>
          </cell>
          <cell r="F2789" t="str">
            <v>F0579</v>
          </cell>
          <cell r="G2789" t="str">
            <v>New business</v>
          </cell>
          <cell r="H2789" t="str">
            <v>Hwy 97 Lay 4300'-6in PE main ext</v>
          </cell>
          <cell r="I2789" t="str">
            <v>posted to CPR</v>
          </cell>
          <cell r="J2789" t="str">
            <v>Hwy 97 Lay 4300'-6in PE main ext : Pierce City: HWY 97 and Co Rd 2210 Chicken Houses</v>
          </cell>
          <cell r="K2789" t="str">
            <v>Approved by: Steve Lindsey on 02/11/2014,  *MODOT PERMIT REQUIRED* Extend main with 4300' - 6" PE pipe to provide service to new chicken houses. Stoner model shows 4" PE would support proposed load, but no additional load. Company elects to lay 6", and charge customer for 4", to avoid future issues. Customer will contribute $120,698 after economic evaluation in four quarterly payments with the first due upon receipt of contracts. Project Location: Hwy 97 and CR 2210; Pressure System: S-6; MOP: 30 psig; MAOP: 31 psig; Design: 58 psig; Test: 100 psig; $39.78/ft</v>
          </cell>
          <cell r="L2789">
            <v>41729</v>
          </cell>
          <cell r="M2789">
            <v>42156</v>
          </cell>
          <cell r="N2789">
            <v>42193.4924537037</v>
          </cell>
          <cell r="O2789">
            <v>41883</v>
          </cell>
          <cell r="P2789" t="str">
            <v>0802-050010  LAWRENCE CTY/PIERCE</v>
          </cell>
          <cell r="Q2789">
            <v>-2240.84</v>
          </cell>
          <cell r="R2789">
            <v>8194.2999999999993</v>
          </cell>
        </row>
        <row r="2790">
          <cell r="A2790" t="str">
            <v>012566</v>
          </cell>
          <cell r="B2790" t="str">
            <v>LDC 2</v>
          </cell>
          <cell r="D2790" t="str">
            <v>no</v>
          </cell>
          <cell r="F2790" t="str">
            <v>F0639</v>
          </cell>
          <cell r="G2790" t="str">
            <v>EGM Equip-1st Time Installation</v>
          </cell>
          <cell r="H2790" t="str">
            <v>EGM - Walmart (Aurora Elliott Ave)</v>
          </cell>
          <cell r="I2790" t="str">
            <v>open</v>
          </cell>
          <cell r="J2790" t="str">
            <v>Mini-Max AT-PT Corrector for Walmart at 3020 S Elliott Ave to monitor daily gas usage. Customer will reimburse company actual cost for EGM installation not to exceed $5,445.</v>
          </cell>
          <cell r="K2790" t="str">
            <v>meter no 000626918</v>
          </cell>
          <cell r="P2790" t="str">
            <v>0809-050003  LAWRENCE CTY/AURORA</v>
          </cell>
          <cell r="Q2790">
            <v>1971.95</v>
          </cell>
          <cell r="R2790">
            <v>1</v>
          </cell>
        </row>
        <row r="2791">
          <cell r="A2791" t="str">
            <v>003856</v>
          </cell>
          <cell r="B2791" t="str">
            <v>LDC 2</v>
          </cell>
          <cell r="D2791" t="str">
            <v>no</v>
          </cell>
          <cell r="E2791" t="str">
            <v>20809132327</v>
          </cell>
          <cell r="F2791" t="str">
            <v>F0592</v>
          </cell>
          <cell r="G2791" t="str">
            <v>Replace bare steel main - safety re</v>
          </cell>
          <cell r="H2791" t="str">
            <v>Elliott St Repl BS/CS w 480'-2in CS</v>
          </cell>
          <cell r="I2791" t="str">
            <v>cancelled</v>
          </cell>
          <cell r="J2791" t="str">
            <v>Elliott St Repl BS/CS w 480'-2in CS Main: Aurora: Elliott St and Tyndall</v>
          </cell>
          <cell r="K2791" t="str">
            <v>Approved by: Galen Shoemaker on 01/22/2013,  TO RETIRE 16ft OF 2in COATED STEEL MAIN FROM WO 94-1459 AND 243ft OF 2in BARE STEEL FROM WO JO18B AND 164ft OF 2in BARE STEEL FROM WO 21219 AND LAY 480ft OF 2in COATED STEEL MAIN DUE TO LEAKAGE AND POOR CONDITION OF MAIN. THERE WILL BE A DIRECTIONAL BORE UNDER ELLIOTT. MAIN IS ON RECTIFIED SYSTEM. MOP=2# MAOP=2# TEST=100# SYSTEM=S-2 $50.90/FT</v>
          </cell>
          <cell r="N2791">
            <v>41732</v>
          </cell>
          <cell r="P2791" t="str">
            <v>0809-050003  LAWRENCE CTY/AURORA</v>
          </cell>
          <cell r="Q2791">
            <v>0</v>
          </cell>
          <cell r="R2791">
            <v>118</v>
          </cell>
        </row>
        <row r="2792">
          <cell r="A2792" t="str">
            <v>800609</v>
          </cell>
          <cell r="B2792" t="str">
            <v>LDC 2</v>
          </cell>
          <cell r="C2792" t="str">
            <v>03 - Bare Steel Replacement</v>
          </cell>
          <cell r="D2792" t="str">
            <v>yes</v>
          </cell>
          <cell r="F2792" t="str">
            <v>F0572</v>
          </cell>
          <cell r="G2792" t="str">
            <v>Main Replacement - ISRS (SW)</v>
          </cell>
          <cell r="H2792" t="str">
            <v>Repl w 6720F 2-4P Marionville Ph B</v>
          </cell>
          <cell r="I2792" t="str">
            <v>open</v>
          </cell>
          <cell r="J2792" t="str">
            <v>Install 3235 Ft. of 2 inch PL IP Main and 3485 Ft. of 4 inch, abandon 6394Ft. of 2 inch ST IP Main and 8 ft of 2in plastic main in Marionville, MO. Total Service Tie-over = 25; Abandoned = 9; Replace = 2.</v>
          </cell>
          <cell r="K2792" t="str">
            <v>This main is being abandoned as part of FY16 Bare Steel Replacement Program.</v>
          </cell>
          <cell r="P2792" t="str">
            <v>0810-050015  LAWRENCE CTY/MARIONVILLE</v>
          </cell>
          <cell r="Q2792">
            <v>7878.03</v>
          </cell>
          <cell r="R2792">
            <v>6082</v>
          </cell>
        </row>
        <row r="2793">
          <cell r="A2793" t="str">
            <v>005794</v>
          </cell>
          <cell r="B2793" t="str">
            <v>LDC 2</v>
          </cell>
          <cell r="D2793" t="str">
            <v>yes</v>
          </cell>
          <cell r="E2793" t="str">
            <v>20324143653</v>
          </cell>
          <cell r="F2793" t="str">
            <v>F0628</v>
          </cell>
          <cell r="G2793" t="str">
            <v>Services - 2" &amp; larger</v>
          </cell>
          <cell r="H2793" t="str">
            <v>12302 Hwy 135 Repl 2in Svc w 4in PE</v>
          </cell>
          <cell r="I2793" t="str">
            <v>posted to CPR</v>
          </cell>
          <cell r="J2793" t="str">
            <v>12302 Hwy 135 Repl 2in with 4in PE Service Line: Pilot Grove: Replace Services 2&amp;quot; &amp; Larger - 3800 (42-385)</v>
          </cell>
          <cell r="K2793" t="str">
            <v>Approved by: Ralph Janes on 07/28/2014,  Replace and retire 165' - 2" pe service line installed on work order 96-1165 by installing 165' - 4" pe service line due to added load.  Meter set to be rebuilt on work order 14-3647.  2" main to be replaced with 4" pe main on work order 14-3615.</v>
          </cell>
          <cell r="L2793">
            <v>42124</v>
          </cell>
          <cell r="M2793">
            <v>42216</v>
          </cell>
          <cell r="N2793">
            <v>42221.7580787037</v>
          </cell>
          <cell r="O2793">
            <v>42125</v>
          </cell>
          <cell r="P2793" t="str">
            <v>0324-023001  COOPER CTY/PILOT GROVE</v>
          </cell>
          <cell r="Q2793">
            <v>7855.02</v>
          </cell>
          <cell r="R2793">
            <v>-648</v>
          </cell>
        </row>
        <row r="2794">
          <cell r="A2794" t="str">
            <v>008469</v>
          </cell>
          <cell r="B2794" t="str">
            <v>LDC 2</v>
          </cell>
          <cell r="D2794" t="str">
            <v>no</v>
          </cell>
          <cell r="F2794" t="str">
            <v>F0850</v>
          </cell>
          <cell r="G2794" t="str">
            <v>Facilities - MGE - Remodel Svc Cen</v>
          </cell>
          <cell r="H2794" t="str">
            <v>Furnace for Monett Facility</v>
          </cell>
          <cell r="I2794" t="str">
            <v>posted to CPR</v>
          </cell>
          <cell r="J2794" t="str">
            <v>Replace York 80 Plus furnace with a Rheem 9.5 plus furnace with 5ton 14 seer A/C unit.</v>
          </cell>
          <cell r="K2794" t="str">
            <v>Complete 6-15 per Fac Mgmt - AMM</v>
          </cell>
          <cell r="L2794">
            <v>42172</v>
          </cell>
          <cell r="M2794">
            <v>42278</v>
          </cell>
          <cell r="N2794">
            <v>42317.3835763889</v>
          </cell>
          <cell r="O2794">
            <v>42156</v>
          </cell>
          <cell r="P2794" t="str">
            <v>0801-005001  BARRY CTY/MONETT</v>
          </cell>
          <cell r="Q2794">
            <v>5732.38</v>
          </cell>
          <cell r="R2794">
            <v>5060</v>
          </cell>
        </row>
        <row r="2795">
          <cell r="A2795" t="str">
            <v>007187</v>
          </cell>
          <cell r="B2795" t="str">
            <v>LDC 2</v>
          </cell>
          <cell r="D2795" t="str">
            <v>no</v>
          </cell>
          <cell r="E2795" t="str">
            <v>20812143965</v>
          </cell>
          <cell r="F2795" t="str">
            <v>F0537</v>
          </cell>
          <cell r="G2795" t="str">
            <v>Services -  2" &amp; larger</v>
          </cell>
          <cell r="H2795" t="str">
            <v>Red Monkey Foods Service Extension</v>
          </cell>
          <cell r="I2795" t="str">
            <v>posted to CPR</v>
          </cell>
          <cell r="J2795" t="str">
            <v>Red Monkey Foods Service Extension: Republic: New Services 2&amp;quot; &amp; Larger  3800 (33-381)</v>
          </cell>
          <cell r="K2795" t="str">
            <v>Approved by: Galen Shoemaker on 12/01/2014,  Install 225' of 2" PE for new Red Monkey Foods Plant.  Project Location: West King St W of Hwy MM.  System: S-2302.  MOP: 58 PSIG.  MAOP: 58 PSIG.  Design: 58 PSIG.  Test: 100 PSIG.  Price Per Foot: $23.52/ft</v>
          </cell>
          <cell r="L2795">
            <v>41957</v>
          </cell>
          <cell r="M2795">
            <v>42248</v>
          </cell>
          <cell r="N2795">
            <v>42274.592731481498</v>
          </cell>
          <cell r="O2795">
            <v>42005</v>
          </cell>
          <cell r="P2795" t="str">
            <v>0812-034002  GREENE CTY/REPUBLIC</v>
          </cell>
          <cell r="Q2795">
            <v>2417.89</v>
          </cell>
          <cell r="R2795">
            <v>-445</v>
          </cell>
        </row>
        <row r="2796">
          <cell r="A2796" t="str">
            <v>800581</v>
          </cell>
          <cell r="B2796" t="str">
            <v>LDC 2</v>
          </cell>
          <cell r="C2796" t="str">
            <v>03 - Bare Steel Replacement</v>
          </cell>
          <cell r="D2796" t="str">
            <v>yes</v>
          </cell>
          <cell r="F2796" t="str">
            <v>F0572</v>
          </cell>
          <cell r="G2796" t="str">
            <v>Main Replacement - ISRS (SW)</v>
          </cell>
          <cell r="H2796" t="str">
            <v>Repl w/ 282F 2P S Hwy 14</v>
          </cell>
          <cell r="I2796" t="str">
            <v>in service</v>
          </cell>
          <cell r="J2796" t="str">
            <v>Install 282 Ft of 2 in PL MP main on S HWY 14. Abandon 281 Ft of 2 in ST MP main at same 
location. Total Service Tie-over is 2.</v>
          </cell>
          <cell r="K2796" t="str">
            <v>This main is being replaced due to CP related issues with CP15-96 and as part of FY16 Bare Steel Replacement Program.</v>
          </cell>
          <cell r="L2796">
            <v>42598</v>
          </cell>
          <cell r="O2796">
            <v>42583</v>
          </cell>
          <cell r="P2796" t="str">
            <v>0813-019001  CHRISTIAN CTY/BILLING</v>
          </cell>
          <cell r="Q2796">
            <v>16907.93</v>
          </cell>
          <cell r="R2796">
            <v>895.99</v>
          </cell>
        </row>
        <row r="2797">
          <cell r="A2797" t="str">
            <v>800580</v>
          </cell>
          <cell r="B2797" t="str">
            <v>LDC 2</v>
          </cell>
          <cell r="D2797" t="str">
            <v>no</v>
          </cell>
          <cell r="F2797" t="str">
            <v>F0523</v>
          </cell>
          <cell r="G2797" t="str">
            <v>New Main Extensions (SW)</v>
          </cell>
          <cell r="H2797" t="str">
            <v>Install 1590F 2-4P Wicklow Phase 4A</v>
          </cell>
          <cell r="I2797" t="str">
            <v>in service</v>
          </cell>
          <cell r="J2797" t="str">
            <v> Install ~  1280 ft of 2 in IP PL main~ 310 ft of 4 in IP PL main for new main extension located at Wicklow Subdivision in Nixa.</v>
          </cell>
          <cell r="K2797" t="str">
            <v>Minimal cost to serve vs actual cost to serve has been included in attachments.  Demand per residence: 250 cfh</v>
          </cell>
          <cell r="L2797">
            <v>42632</v>
          </cell>
          <cell r="O2797">
            <v>42614</v>
          </cell>
          <cell r="P2797" t="str">
            <v>0816-019004  CHRISTIAN CTY/NIXA</v>
          </cell>
          <cell r="Q2797">
            <v>15933.14</v>
          </cell>
          <cell r="R2797">
            <v>-2541</v>
          </cell>
        </row>
        <row r="2798">
          <cell r="A2798" t="str">
            <v>004374</v>
          </cell>
          <cell r="B2798" t="str">
            <v>LDC 2</v>
          </cell>
          <cell r="D2798" t="str">
            <v>yes</v>
          </cell>
          <cell r="E2798" t="str">
            <v>20902132967</v>
          </cell>
          <cell r="F2798" t="str">
            <v>F0604</v>
          </cell>
          <cell r="G2798" t="str">
            <v>Main Replacement - ISRS (S)</v>
          </cell>
          <cell r="H2798" t="str">
            <v>Railroad St Repl BS/CS w 1515'-2in;</v>
          </cell>
          <cell r="I2798" t="str">
            <v>posted to CPR</v>
          </cell>
          <cell r="J2798" t="str">
            <v>Railroad St Repl BS/CS w 1515'-2in;365'-4in PE mai: Raytown: Railroad St and 65th St</v>
          </cell>
          <cell r="K2798" t="str">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   Note: Misapplied charges are being corrected 4-15 business - some payroll charges belong on WO 004734</v>
          </cell>
          <cell r="L2798">
            <v>41597</v>
          </cell>
          <cell r="M2798">
            <v>41697</v>
          </cell>
          <cell r="N2798">
            <v>41698.505185185197</v>
          </cell>
          <cell r="O2798">
            <v>41730</v>
          </cell>
          <cell r="P2798" t="str">
            <v>0902-043025  JACKSON CTY/RAYTOWN</v>
          </cell>
          <cell r="Q2798">
            <v>91122.4</v>
          </cell>
          <cell r="R2798">
            <v>6102.48</v>
          </cell>
        </row>
        <row r="2799">
          <cell r="A2799" t="str">
            <v>007311</v>
          </cell>
          <cell r="B2799" t="str">
            <v>LDC 2</v>
          </cell>
          <cell r="D2799" t="str">
            <v>no</v>
          </cell>
          <cell r="E2799" t="str">
            <v>20904144054</v>
          </cell>
          <cell r="F2799" t="str">
            <v>F0610</v>
          </cell>
          <cell r="G2799" t="str">
            <v>New business</v>
          </cell>
          <cell r="H2799" t="str">
            <v>Prier Products 2 inch Main Extensio</v>
          </cell>
          <cell r="I2799" t="str">
            <v>posted to CPR</v>
          </cell>
          <cell r="J2799" t="str">
            <v>Prier Products 2 inch Main Extension: Grandview: New Main Extension - Contractor Crews  3760 (33-380)</v>
          </cell>
          <cell r="K2799" t="str">
            <v>Approved by: Kevin Driskell on 12/29/2014,  Extend 2'' PE main 800' for 2 new services. ECONOMIC EVALUATION COVERS COST OF PROJECT.</v>
          </cell>
          <cell r="L2799">
            <v>42033</v>
          </cell>
          <cell r="M2799">
            <v>42154</v>
          </cell>
          <cell r="N2799">
            <v>42256.641909722202</v>
          </cell>
          <cell r="O2799">
            <v>42036</v>
          </cell>
          <cell r="P2799" t="str">
            <v>0904-043030  JACKSON CTY/GRANDVIEW</v>
          </cell>
          <cell r="Q2799">
            <v>13881.63</v>
          </cell>
          <cell r="R2799">
            <v>-1637</v>
          </cell>
        </row>
        <row r="2800">
          <cell r="A2800" t="str">
            <v>012122</v>
          </cell>
          <cell r="B2800" t="str">
            <v>LDC 2</v>
          </cell>
          <cell r="D2800" t="str">
            <v>no</v>
          </cell>
          <cell r="F2800" t="str">
            <v>F1091</v>
          </cell>
          <cell r="G2800" t="str">
            <v>Repl of Security Cameras/Gates</v>
          </cell>
          <cell r="H2800" t="str">
            <v>Readers &amp; Camera Lee's Summit</v>
          </cell>
          <cell r="I2800" t="str">
            <v>in service</v>
          </cell>
          <cell r="J2800" t="str">
            <v>Lee's Summit Pipe Yard Gate , Readers &amp; Multip Image Camera</v>
          </cell>
          <cell r="L2800">
            <v>42613</v>
          </cell>
          <cell r="O2800">
            <v>42614</v>
          </cell>
          <cell r="P2800" t="str">
            <v>0901-043021  JACKSON CTY/LEE'S SUMMIT OFFIC</v>
          </cell>
          <cell r="Q2800">
            <v>15359.45</v>
          </cell>
          <cell r="R2800">
            <v>41283</v>
          </cell>
        </row>
        <row r="2801">
          <cell r="A2801" t="str">
            <v>800489</v>
          </cell>
          <cell r="B2801" t="str">
            <v>LDC 2</v>
          </cell>
          <cell r="C2801" t="str">
            <v>03 - Bare Steel Replacement</v>
          </cell>
          <cell r="D2801" t="str">
            <v>yes</v>
          </cell>
          <cell r="F2801" t="str">
            <v>F0604</v>
          </cell>
          <cell r="G2801" t="str">
            <v>Main Replacement - ISRS (S)</v>
          </cell>
          <cell r="H2801" t="str">
            <v>Repl w/ 4716F 6P East Downtown Ph1</v>
          </cell>
          <cell r="I2801" t="str">
            <v>open</v>
          </cell>
          <cell r="J2801" t="str">
            <v>Install 4716 Ft of 6in PL IP and 375 Ft of 2 in PL IP. Abandon 5 Ft of 8in ST, 50 Ft of 6in ST, 4150 Ft of 4in ST, 30 Ft of 2in ST, and 465 Ft of 4in PL in Lee’s Summit - East Downtown Ph1.</v>
          </cell>
          <cell r="K2801" t="str">
            <v>This main is being replaced as part of FY16 Bare Steel Replacement Program.</v>
          </cell>
          <cell r="P2801" t="str">
            <v>0901-043021  JACKSON CTY/LEE'S SUMMIT OFFIC</v>
          </cell>
          <cell r="Q2801">
            <v>0</v>
          </cell>
          <cell r="R2801">
            <v>5049</v>
          </cell>
        </row>
        <row r="2802">
          <cell r="A2802" t="str">
            <v>011345</v>
          </cell>
          <cell r="B2802" t="str">
            <v>LDC 2</v>
          </cell>
          <cell r="D2802" t="str">
            <v>no</v>
          </cell>
          <cell r="F2802" t="str">
            <v>F0554</v>
          </cell>
          <cell r="G2802" t="str">
            <v>Tools, Instruments &amp; Equipment (S)</v>
          </cell>
          <cell r="H2802" t="str">
            <v>Eqpt/Tools for New South Crews</v>
          </cell>
          <cell r="I2802" t="str">
            <v>in service</v>
          </cell>
          <cell r="J2802" t="str">
            <v>Purchase various equipment/tools to outfit new capital crews in Lee's Summit -  including pipe scrapers, locators, fusion machines, pitbull units, steel cutters, EF Processor, etc..</v>
          </cell>
          <cell r="K2802" t="str">
            <v>Per Brandon Kavanaugh 5-25-16</v>
          </cell>
          <cell r="L2802">
            <v>42614</v>
          </cell>
          <cell r="O2802">
            <v>42614</v>
          </cell>
          <cell r="P2802" t="str">
            <v>0901-043021  JACKSON CTY/LEE'S SUMMIT OFFIC</v>
          </cell>
          <cell r="Q2802">
            <v>57412.82</v>
          </cell>
          <cell r="R2802">
            <v>69</v>
          </cell>
        </row>
        <row r="2803">
          <cell r="A2803" t="str">
            <v>009517</v>
          </cell>
          <cell r="B2803" t="str">
            <v>LDC 2</v>
          </cell>
          <cell r="D2803" t="str">
            <v>no</v>
          </cell>
          <cell r="F2803" t="str">
            <v>F0639</v>
          </cell>
          <cell r="G2803" t="str">
            <v>EGM Equip-1st Time Installation</v>
          </cell>
          <cell r="H2803" t="str">
            <v>EGM - Fab Tech - Replace (2)</v>
          </cell>
          <cell r="I2803" t="str">
            <v>open</v>
          </cell>
          <cell r="J2803" t="str">
            <v>Replace EGM equipment with 2 new Mini-AT-PTs for Fab Tech at 777 N Blue Pkwy. Existing meter # 08378393 &amp; 0812380. The existing equipment was damaged beyond repair.</v>
          </cell>
          <cell r="P2803" t="str">
            <v>0901-043021  JACKSON CTY/LEE'S SUMMIT OFFIC</v>
          </cell>
          <cell r="Q2803">
            <v>4665.5</v>
          </cell>
          <cell r="R2803">
            <v>10</v>
          </cell>
        </row>
        <row r="2804">
          <cell r="A2804" t="str">
            <v>008679</v>
          </cell>
          <cell r="B2804" t="str">
            <v>LDC 2</v>
          </cell>
          <cell r="D2804" t="str">
            <v>no</v>
          </cell>
          <cell r="E2804" t="str">
            <v>20901155374</v>
          </cell>
          <cell r="F2804" t="str">
            <v>F0554</v>
          </cell>
          <cell r="G2804" t="str">
            <v>Tools, Instruments &amp; Equipment (S)</v>
          </cell>
          <cell r="H2804" t="str">
            <v>Purchase Tools - Hole Hog-Lees Summ</v>
          </cell>
          <cell r="I2804" t="str">
            <v>posted to CPR</v>
          </cell>
          <cell r="J2804" t="str">
            <v>Purchase Tools - Hole Hog: Lees Summit: Purchase Tools, Instruments &amp; Equipment  3940 (37-366)</v>
          </cell>
          <cell r="K2804" t="str">
            <v>Approved by: Kevin Driskell on 06/01/2015,  Purchase 2 - Grundomat Hole Hog 2-1/2" 70769-17 for the Lee's Summit C&amp;M crews.  Retirement Unit 94065001.  Retire 2 Hole Hogs purchased on work order 04-7042 and 2 Hole Hogs purchased on work order 047591.</v>
          </cell>
          <cell r="L2804">
            <v>42223</v>
          </cell>
          <cell r="M2804">
            <v>42491</v>
          </cell>
          <cell r="N2804">
            <v>42527.512372685203</v>
          </cell>
          <cell r="O2804">
            <v>42217</v>
          </cell>
          <cell r="P2804" t="str">
            <v>0901-043021  JACKSON CTY/LEE'S SUMMIT OFFIC</v>
          </cell>
          <cell r="Q2804">
            <v>30531.72</v>
          </cell>
          <cell r="R2804">
            <v>6</v>
          </cell>
        </row>
        <row r="2805">
          <cell r="A2805" t="str">
            <v>007650</v>
          </cell>
          <cell r="B2805" t="str">
            <v>LDC 2</v>
          </cell>
          <cell r="D2805" t="str">
            <v>no</v>
          </cell>
          <cell r="E2805" t="str">
            <v>20901155149</v>
          </cell>
          <cell r="F2805" t="str">
            <v>F0544</v>
          </cell>
          <cell r="G2805" t="str">
            <v>Replace bare steel main - safety re</v>
          </cell>
          <cell r="H2805" t="str">
            <v>Pur 2 Manometer LS PM Dept</v>
          </cell>
          <cell r="I2805" t="str">
            <v>posted to CPR</v>
          </cell>
          <cell r="J2805" t="str">
            <v>Pur 2 Manometer LS PM Dept: Lees Summit: Purchase Tools, Instruments &amp; Equipment  3940 (37-366)</v>
          </cell>
          <cell r="K2805" t="str">
            <v>Approved by: Kevin Driskell on 02/11/2015,  Purchase 2 - Smart Manometers for the two additional employees that are being added to the Lee's Summit P&amp;M department due to the changes in the union contract.</v>
          </cell>
          <cell r="L2805">
            <v>42156</v>
          </cell>
          <cell r="M2805">
            <v>42461</v>
          </cell>
          <cell r="N2805">
            <v>42496.560300925899</v>
          </cell>
          <cell r="O2805">
            <v>42156</v>
          </cell>
          <cell r="P2805" t="str">
            <v>0901-043021  JACKSON CTY/LEE'S SUMMIT OFFIC</v>
          </cell>
          <cell r="Q2805">
            <v>3501.94</v>
          </cell>
          <cell r="R2805">
            <v>2</v>
          </cell>
        </row>
        <row r="2806">
          <cell r="A2806" t="str">
            <v>007599</v>
          </cell>
          <cell r="B2806" t="str">
            <v>LDC 2</v>
          </cell>
          <cell r="D2806" t="str">
            <v>yes</v>
          </cell>
          <cell r="E2806" t="str">
            <v>20901155137</v>
          </cell>
          <cell r="F2806" t="str">
            <v>F0578</v>
          </cell>
          <cell r="G2806" t="str">
            <v>Street &amp; Highway Relocates ISRS (S)</v>
          </cell>
          <cell r="H2806" t="str">
            <v>Relocate 4in PE MoDOT J4P2233 Black</v>
          </cell>
          <cell r="I2806" t="str">
            <v>posted to CPR</v>
          </cell>
          <cell r="J2806" t="str">
            <v>Relocate 4in PE MoDOT J4P2233 Blackwell: Lees Summit: Relocate for Street &amp; Highway-Public Improvements (44-388)</v>
          </cell>
          <cell r="K2806" t="str">
            <v>Approved by: Kevin Driskell on 02/05/2015,  MoDOT Project J4P2233 - Blackwell and 50 interchange. MoDOT is building a new interchange at 50 Highway and Blackwell Road, to include four roundabouts, overpasses over the highway and new storm drainage. We must cut and cap a 4" PE main at the dead end of Shenandoah at the Summit Woods Baptist Church (abandon 10' - 4" PE WO# 02-4168) and relocate 4" PE dead end feed along Shenandoah at Blackwell. To facilitate this relocation we will install 575' of 2" PE main at Asheville and Blackwell. Relocate 360' - 4" PE and 5' - 2" PE to abandon 444' - 4" PE and 10' - 2" PE (WO# 97-4648). (ISRS)</v>
          </cell>
          <cell r="L2806">
            <v>42121</v>
          </cell>
          <cell r="M2806">
            <v>42155</v>
          </cell>
          <cell r="N2806">
            <v>42256.668113425898</v>
          </cell>
          <cell r="O2806">
            <v>42125</v>
          </cell>
          <cell r="P2806" t="str">
            <v>0901-043021  JACKSON CTY/LEE'S SUMMIT OFFIC</v>
          </cell>
          <cell r="Q2806">
            <v>8354.6</v>
          </cell>
          <cell r="R2806">
            <v>-1524</v>
          </cell>
        </row>
        <row r="2807">
          <cell r="A2807" t="str">
            <v>007395</v>
          </cell>
          <cell r="B2807" t="str">
            <v>LDC 2</v>
          </cell>
          <cell r="D2807" t="str">
            <v>no</v>
          </cell>
          <cell r="E2807" t="str">
            <v>20901144060</v>
          </cell>
          <cell r="F2807" t="str">
            <v>F0606</v>
          </cell>
          <cell r="G2807" t="str">
            <v>Station rebuild &amp; replacement</v>
          </cell>
          <cell r="H2807" t="str">
            <v>Retire DRS 69 Strother and Manhatta</v>
          </cell>
          <cell r="I2807" t="str">
            <v>posted to CPR</v>
          </cell>
          <cell r="J2807" t="str">
            <v>Retire DRS 69 Strother and Manhattan: Lees Summit: Rebuild District/TB Stations  3780/3790 (45-387)</v>
          </cell>
          <cell r="K2807" t="str">
            <v>Approved by: Kevin Driskell on 01/08/2015,  Remove and retire DRS 69 (WO# 99-7824) as it will not be needed after the completion of WO# 14-4052. The 2 - 1in Fisher 627M regulators will be reclaimed.</v>
          </cell>
          <cell r="L2807">
            <v>42289</v>
          </cell>
          <cell r="M2807">
            <v>42430</v>
          </cell>
          <cell r="N2807">
            <v>42559.418993055602</v>
          </cell>
          <cell r="O2807">
            <v>42522</v>
          </cell>
          <cell r="P2807" t="str">
            <v>0901-043021  JACKSON CTY/LEE'S SUMMIT OFFIC</v>
          </cell>
          <cell r="Q2807">
            <v>4702.96</v>
          </cell>
          <cell r="R2807">
            <v>14.5</v>
          </cell>
        </row>
        <row r="2808">
          <cell r="A2808" t="str">
            <v>006602</v>
          </cell>
          <cell r="B2808" t="str">
            <v>LDC 2</v>
          </cell>
          <cell r="D2808" t="str">
            <v>no</v>
          </cell>
          <cell r="E2808" t="str">
            <v>20901143820</v>
          </cell>
          <cell r="F2808" t="str">
            <v>F0667</v>
          </cell>
          <cell r="G2808" t="str">
            <v>Other relocates</v>
          </cell>
          <cell r="H2808" t="str">
            <v>Relocate 8inch pcs main</v>
          </cell>
          <cell r="I2808" t="str">
            <v>posted to CPR</v>
          </cell>
          <cell r="J2808" t="str">
            <v>Relocate 8inch pcs main: Lees Summit: Other Relocates - Per Customer Request - Contribution (44-390)</v>
          </cell>
          <cell r="K2808" t="str">
            <v>Approved by: Ralph Janes on 09/25/2014,  Relocate and abancon 200' - 8" pcs main (work order 86-1910) by installing 225' - 8" pcs main to allow a private developer to install a turn lane on southbound Todd George at Blue Parkway for the Todd George Marketplace development.  Contract presented to developer 9-18-14 per notes in WOES. Reimbursement check for $29,922.10 received.</v>
          </cell>
          <cell r="L2808">
            <v>41948</v>
          </cell>
          <cell r="M2808">
            <v>41973</v>
          </cell>
          <cell r="N2808">
            <v>42193.495162036997</v>
          </cell>
          <cell r="O2808">
            <v>41944</v>
          </cell>
          <cell r="P2808" t="str">
            <v>0901-043021  JACKSON CTY/LEE'S SUMMIT OFFIC</v>
          </cell>
          <cell r="Q2808">
            <v>12144.25</v>
          </cell>
          <cell r="R2808">
            <v>-86.5</v>
          </cell>
        </row>
        <row r="2809">
          <cell r="A2809" t="str">
            <v>006598</v>
          </cell>
          <cell r="B2809" t="str">
            <v>LDC 2</v>
          </cell>
          <cell r="D2809" t="str">
            <v>no</v>
          </cell>
          <cell r="E2809" t="str">
            <v>20901143821</v>
          </cell>
          <cell r="F2809" t="str">
            <v>F0514</v>
          </cell>
          <cell r="G2809" t="str">
            <v>Other relocates</v>
          </cell>
          <cell r="H2809" t="str">
            <v>Relocate 8inch pcs main</v>
          </cell>
          <cell r="I2809" t="str">
            <v>posted to CPR</v>
          </cell>
          <cell r="J2809" t="str">
            <v>Relocate 8inch pcs main: Lees Summit: Other Relocates - Per Customer Request - Contribution (44-390)</v>
          </cell>
          <cell r="K2809" t="str">
            <v>Approved by: Gary Williams on 09/29/2014,  Relocate and abandon 75' - 8" pcs main (work order 095439) by installing 83' - 8" pcs main to allow private developer to install a new street and approach onto MO Route 150.  Reimbursable - rec'd check for $26,776.49</v>
          </cell>
          <cell r="L2809">
            <v>41942</v>
          </cell>
          <cell r="M2809">
            <v>41969</v>
          </cell>
          <cell r="N2809">
            <v>42193.495150463001</v>
          </cell>
          <cell r="O2809">
            <v>41944</v>
          </cell>
          <cell r="P2809" t="str">
            <v>0901-043021  JACKSON CTY/LEE'S SUMMIT OFFIC</v>
          </cell>
          <cell r="Q2809">
            <v>10154.15</v>
          </cell>
          <cell r="R2809">
            <v>12.5</v>
          </cell>
        </row>
        <row r="2810">
          <cell r="A2810" t="str">
            <v>006354</v>
          </cell>
          <cell r="B2810" t="str">
            <v>LDC 2</v>
          </cell>
          <cell r="D2810" t="str">
            <v>no</v>
          </cell>
          <cell r="E2810" t="str">
            <v>20901143356</v>
          </cell>
          <cell r="F2810" t="str">
            <v>F0602</v>
          </cell>
          <cell r="G2810" t="str">
            <v>New business</v>
          </cell>
          <cell r="H2810" t="str">
            <v>Stoney Creek Estates - 7th Plat</v>
          </cell>
          <cell r="I2810" t="str">
            <v>posted to CPR</v>
          </cell>
          <cell r="J2810" t="str">
            <v>Stoney Creek Estates - 7th Plat: Lees Summit: New Main Extension - Contractor Crews  3760 (33-380)</v>
          </cell>
          <cell r="K2810" t="str">
            <v>Approved by: Ralph Janes on 02/13/2014,  Install 1,585' - 4" pe main and 300' - 2" pe main to serve 41 new residential lots.  Check for 16022.50 and contract received 9-4-14 per WOES.</v>
          </cell>
          <cell r="L2810">
            <v>42027</v>
          </cell>
          <cell r="M2810">
            <v>42185</v>
          </cell>
          <cell r="N2810">
            <v>42256.641226851803</v>
          </cell>
          <cell r="O2810">
            <v>42156</v>
          </cell>
          <cell r="P2810" t="str">
            <v>0901-043021  JACKSON CTY/LEE'S SUMMIT OFFIC</v>
          </cell>
          <cell r="Q2810">
            <v>11571.3</v>
          </cell>
          <cell r="R2810">
            <v>-1962</v>
          </cell>
        </row>
        <row r="2811">
          <cell r="A2811" t="str">
            <v>004204</v>
          </cell>
          <cell r="B2811" t="str">
            <v>LDC 2</v>
          </cell>
          <cell r="D2811" t="str">
            <v>yes</v>
          </cell>
          <cell r="E2811" t="str">
            <v>20901133057</v>
          </cell>
          <cell r="F2811" t="str">
            <v>F0578</v>
          </cell>
          <cell r="G2811" t="str">
            <v>Street &amp; Highway Relocates ISRS (S)</v>
          </cell>
          <cell r="H2811" t="str">
            <v>Oak Tree &amp; Adams Reloc 2in PE</v>
          </cell>
          <cell r="I2811" t="str">
            <v>posted to CPR</v>
          </cell>
          <cell r="J2811" t="str">
            <v>Oak Tree &amp; Adams Reloc 2in PE : Lees Summit: Oak Tree and Adams Dr</v>
          </cell>
          <cell r="K2811" t="str">
            <v>Approved by: Ralph Janes on 10/09/2013,  Public Improvement Project: Country Lane Storm. Relocate 10' of 2in PE for a storm sewer installation. Main to retire: 8' - 2in PE (WO# 78-3732).</v>
          </cell>
          <cell r="L2811">
            <v>41529</v>
          </cell>
          <cell r="M2811">
            <v>41670</v>
          </cell>
          <cell r="N2811">
            <v>41677.509814814803</v>
          </cell>
          <cell r="O2811">
            <v>41730</v>
          </cell>
          <cell r="P2811" t="str">
            <v>0901-043021  JACKSON CTY/LEE'S SUMMIT OFFIC</v>
          </cell>
          <cell r="Q2811">
            <v>1769.93</v>
          </cell>
          <cell r="R2811">
            <v>44.5</v>
          </cell>
        </row>
        <row r="2812">
          <cell r="A2812" t="str">
            <v>004542</v>
          </cell>
          <cell r="B2812" t="str">
            <v>LDC 2</v>
          </cell>
          <cell r="D2812" t="str">
            <v>no</v>
          </cell>
          <cell r="E2812" t="str">
            <v>20901132884</v>
          </cell>
          <cell r="F2812" t="str">
            <v>F0602</v>
          </cell>
          <cell r="G2812" t="str">
            <v>New business</v>
          </cell>
          <cell r="H2812" t="str">
            <v>Eagle Dr Lay 1060'-4; 2360'-2in PE</v>
          </cell>
          <cell r="I2812" t="str">
            <v>posted to CPR</v>
          </cell>
          <cell r="J2812" t="str">
            <v>Eagle Dr Lay 1060'-4; 2360'-2in PE main: Lees Summit: SW Hawk Dr and Eagle Dr Eagle Creek - 13th</v>
          </cell>
          <cell r="K2812" t="str">
            <v>Approved by: Ralph Janes on 08/20/2013,  Install 2360' of 2in PE and 1060' of 4in PE main to serve the 13th Phase of Eagle Creek. Pressure System is C-017 with a MOP and MAOP of 55 psig.</v>
          </cell>
          <cell r="L2812">
            <v>41649</v>
          </cell>
          <cell r="M2812">
            <v>41729</v>
          </cell>
          <cell r="N2812">
            <v>41733.309930555602</v>
          </cell>
          <cell r="O2812">
            <v>41730</v>
          </cell>
          <cell r="P2812" t="str">
            <v>0901-043021  JACKSON CTY/LEE'S SUMMIT OFFIC</v>
          </cell>
          <cell r="Q2812">
            <v>24584.35</v>
          </cell>
          <cell r="R2812">
            <v>7116</v>
          </cell>
        </row>
        <row r="2813">
          <cell r="A2813" t="str">
            <v>004070</v>
          </cell>
          <cell r="B2813" t="str">
            <v>LDC 2</v>
          </cell>
          <cell r="D2813" t="str">
            <v>yes</v>
          </cell>
          <cell r="E2813" t="str">
            <v>20901143388</v>
          </cell>
          <cell r="F2813" t="str">
            <v>F0578</v>
          </cell>
          <cell r="G2813" t="str">
            <v>Street &amp; Highway Relocates ISRS (S)</v>
          </cell>
          <cell r="H2813" t="str">
            <v>Pacific Reloc 60'-4in PE</v>
          </cell>
          <cell r="I2813" t="str">
            <v>posted to CPR</v>
          </cell>
          <cell r="J2813" t="str">
            <v>Pacific Reloc 60'-4in PE: Lees Summit: Pacific and Creekside RCB</v>
          </cell>
          <cell r="K2813" t="str">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ell>
          <cell r="L2813">
            <v>41787</v>
          </cell>
          <cell r="M2813">
            <v>41882</v>
          </cell>
          <cell r="N2813">
            <v>41978.592974537001</v>
          </cell>
          <cell r="O2813">
            <v>41791</v>
          </cell>
          <cell r="P2813" t="str">
            <v>0901-043021  JACKSON CTY/LEE'S SUMMIT OFFIC</v>
          </cell>
          <cell r="Q2813">
            <v>8049.97</v>
          </cell>
          <cell r="R2813">
            <v>-436</v>
          </cell>
        </row>
        <row r="2814">
          <cell r="A2814" t="str">
            <v>008534</v>
          </cell>
          <cell r="B2814" t="str">
            <v>LDC 2</v>
          </cell>
          <cell r="D2814" t="str">
            <v>no</v>
          </cell>
          <cell r="E2814" t="str">
            <v>21251155195</v>
          </cell>
          <cell r="F2814" t="str">
            <v>F0610</v>
          </cell>
          <cell r="G2814" t="str">
            <v>New business</v>
          </cell>
          <cell r="H2814" t="str">
            <v>Seven Bridges 4th PLat - 2inch Main</v>
          </cell>
          <cell r="I2814" t="str">
            <v>posted to CPR</v>
          </cell>
          <cell r="J2814" t="str">
            <v>Seven Bridges 4th PLat - 2inch Main Extension: Kansas City-Platte Co: New Main Extension - Contractor Crews  3760 (33-380)</v>
          </cell>
          <cell r="K2814" t="str">
            <v>Approved by: Gary Williams on 03/10/2015,  Install 2,965' of 2" PE to serve 55 new residential customers. Lots 262 thru 316. Customer to pay $25,202.50 before start of project.</v>
          </cell>
          <cell r="L2814">
            <v>42207</v>
          </cell>
          <cell r="M2814">
            <v>42309</v>
          </cell>
          <cell r="N2814">
            <v>42436.430659722202</v>
          </cell>
          <cell r="O2814">
            <v>42186</v>
          </cell>
          <cell r="P2814" t="str">
            <v>1251-075010  PLATTE CTY/KANSAS CITY NORTH</v>
          </cell>
          <cell r="Q2814">
            <v>53893.02</v>
          </cell>
          <cell r="R2814">
            <v>-12637.5</v>
          </cell>
        </row>
        <row r="2815">
          <cell r="A2815" t="str">
            <v>006199</v>
          </cell>
          <cell r="B2815" t="str">
            <v>LDC 2</v>
          </cell>
          <cell r="D2815" t="str">
            <v>no</v>
          </cell>
          <cell r="E2815" t="str">
            <v>21251143689</v>
          </cell>
          <cell r="F2815" t="str">
            <v>F0602</v>
          </cell>
          <cell r="G2815" t="str">
            <v>New business</v>
          </cell>
          <cell r="H2815" t="str">
            <v>TIM KURTH- MAIN EXT</v>
          </cell>
          <cell r="I2815" t="str">
            <v>posted to CPR</v>
          </cell>
          <cell r="J2815" t="str">
            <v>TIM KURTH- MAIN EXT: Kansas City-Platte Co: New Main Extension - Contractor Crews  3760 (33-380)</v>
          </cell>
          <cell r="K2815" t="str">
            <v>Approved by: Kevin Driskell on 09/01/2014,  Extend the main 135' for two residential customers. Each customer allowance up front 75' 2@ 150'of main. No cost to customers.</v>
          </cell>
          <cell r="L2815">
            <v>41929</v>
          </cell>
          <cell r="M2815">
            <v>41973</v>
          </cell>
          <cell r="N2815">
            <v>42072.429039351897</v>
          </cell>
          <cell r="O2815">
            <v>41944</v>
          </cell>
          <cell r="P2815" t="str">
            <v>1251-075010  PLATTE CTY/KANSAS CITY NORTH</v>
          </cell>
          <cell r="Q2815">
            <v>1953.83</v>
          </cell>
          <cell r="R2815">
            <v>-643</v>
          </cell>
        </row>
        <row r="2816">
          <cell r="A2816" t="str">
            <v>005010</v>
          </cell>
          <cell r="B2816" t="str">
            <v>LDC 2</v>
          </cell>
          <cell r="D2816" t="str">
            <v>no</v>
          </cell>
          <cell r="E2816" t="str">
            <v>21251143487</v>
          </cell>
          <cell r="F2816" t="str">
            <v>F0660</v>
          </cell>
          <cell r="G2816" t="str">
            <v>Meter &amp; Reg Settings 2" &amp; Lg (N)</v>
          </cell>
          <cell r="H2816" t="str">
            <v>KCI Logistics II phase 1 5M Mtr set</v>
          </cell>
          <cell r="I2816" t="str">
            <v>posted to CPR</v>
          </cell>
          <cell r="J2816" t="str">
            <v>KCI Logistics II phase 1 5M Mtr set: Kansas City-Platte Co: New Meter &amp; Reg Settings - 2in &amp; Larger 3820/3830 (33-382)</v>
          </cell>
          <cell r="K2816" t="str">
            <v>Approved by: Michael Fornelli on 04/14/2014,  This work is necessary to install a 5M Roots meter for one new commercial customer. We'll set a 2in CL-34-2 regulator at 5psig with a 1in 289H relief set at 7psig for a connected load of 4000cfh.</v>
          </cell>
          <cell r="L2816">
            <v>41822</v>
          </cell>
          <cell r="M2816">
            <v>41883</v>
          </cell>
          <cell r="N2816">
            <v>41918.570138888899</v>
          </cell>
          <cell r="O2816">
            <v>41852</v>
          </cell>
          <cell r="P2816" t="str">
            <v>1251-075010  PLATTE CTY/KANSAS CITY NORTH</v>
          </cell>
          <cell r="Q2816">
            <v>2005.76</v>
          </cell>
          <cell r="R2816">
            <v>-57</v>
          </cell>
        </row>
        <row r="2817">
          <cell r="A2817" t="str">
            <v>007597</v>
          </cell>
          <cell r="B2817" t="str">
            <v>LDC 2</v>
          </cell>
          <cell r="D2817" t="str">
            <v>yes</v>
          </cell>
          <cell r="E2817" t="str">
            <v>21001155066</v>
          </cell>
          <cell r="F2817" t="str">
            <v>F0678</v>
          </cell>
          <cell r="G2817" t="str">
            <v>Replace bare steel main - safety re</v>
          </cell>
          <cell r="H2817" t="str">
            <v>Repl 182ft of 2in BS with 2in PE</v>
          </cell>
          <cell r="I2817" t="str">
            <v>posted to CPR</v>
          </cell>
          <cell r="J2817" t="str">
            <v>Repl 182ft of 2in BS with 2in PE: St Joseph: Replace Bare Steel Main - 3760 Safety Related (34-394)</v>
          </cell>
          <cell r="K2817" t="str">
            <v>Approved by: Gary Williams on 02/04/2015,  Replace 182' of Bare Steel main with 182'of 2" Plastic main due to down CP project. ISRS</v>
          </cell>
          <cell r="L2817">
            <v>42068</v>
          </cell>
          <cell r="M2817">
            <v>42217</v>
          </cell>
          <cell r="N2817">
            <v>42284.723287036999</v>
          </cell>
          <cell r="O2817">
            <v>42064</v>
          </cell>
          <cell r="P2817" t="str">
            <v>1001-010001  ST. JOSEPH CITY/BUCHANAN</v>
          </cell>
          <cell r="Q2817">
            <v>3548.26</v>
          </cell>
          <cell r="R2817">
            <v>-453</v>
          </cell>
        </row>
        <row r="2818">
          <cell r="A2818" t="str">
            <v>006750</v>
          </cell>
          <cell r="B2818" t="str">
            <v>LDC 2</v>
          </cell>
          <cell r="D2818" t="str">
            <v>no</v>
          </cell>
          <cell r="E2818" t="str">
            <v>21001143896</v>
          </cell>
          <cell r="F2818" t="str">
            <v>F0639</v>
          </cell>
          <cell r="G2818" t="str">
            <v>EGM Equip-1st Time Installation</v>
          </cell>
          <cell r="H2818" t="str">
            <v>EGM - Blount, Inc.</v>
          </cell>
          <cell r="I2818" t="str">
            <v>in service</v>
          </cell>
          <cell r="J2818" t="str">
            <v>EGM - Blount, Inc.: Kansas City-Platte Co: Install EGM Equipment - First Time Installation  3850 (32-403)</v>
          </cell>
          <cell r="K2818" t="str">
            <v>Approved by: Rob Kitterman on 10/23/2014,  nstall Mercury MiniMax-AT-PT (S/N: 13098675) with CNI-2 on Roots 5M meter no 07908958 to monitor daily gas usage of this transportation customer. Customer will reimburse company actual cost for EGM installation not to exceed $5,445.00, which should be coded to account 1072. ATTENTION: Plant &amp; Property Accounting, EGM work order, turn off A&amp;G indicator.</v>
          </cell>
          <cell r="L2818">
            <v>42443</v>
          </cell>
          <cell r="O2818">
            <v>42430</v>
          </cell>
          <cell r="P2818" t="str">
            <v>1001-010001  ST. JOSEPH CITY/BUCHANAN</v>
          </cell>
          <cell r="Q2818">
            <v>-3.06</v>
          </cell>
          <cell r="R2818">
            <v>35</v>
          </cell>
        </row>
        <row r="2819">
          <cell r="A2819" t="str">
            <v>006715</v>
          </cell>
          <cell r="B2819" t="str">
            <v>LDC 2</v>
          </cell>
          <cell r="D2819" t="str">
            <v>no</v>
          </cell>
          <cell r="E2819" t="str">
            <v>21001143890</v>
          </cell>
          <cell r="F2819" t="str">
            <v>F0660</v>
          </cell>
          <cell r="G2819" t="str">
            <v>Meter &amp; Reg Settings 2" &amp; Lg (N)</v>
          </cell>
          <cell r="H2819" t="str">
            <v>Biozyme East 7M Meter</v>
          </cell>
          <cell r="I2819" t="str">
            <v>posted to CPR</v>
          </cell>
          <cell r="J2819" t="str">
            <v>Biozyme East 7M Meter: 016-016: New Meter &amp; Reg Settings - 2&amp;quot; &amp; Larger 3820/3830 (33-382)</v>
          </cell>
          <cell r="K2819" t="str">
            <v>Approved by: Gary Williams on 10/20/2014,  This work is necessary to install a 7M Roots meter to serve one new commercial customer. We'll set a CL-34-2 at 10psig with a 1in 289H -43 relief set at 12psig for a connected load of 6050cfh.</v>
          </cell>
          <cell r="L2819">
            <v>41947</v>
          </cell>
          <cell r="M2819">
            <v>42735</v>
          </cell>
          <cell r="N2819">
            <v>42773.4371412037</v>
          </cell>
          <cell r="O2819">
            <v>42461</v>
          </cell>
          <cell r="P2819" t="str">
            <v>1001-010001  ST. JOSEPH CITY/BUCHANAN</v>
          </cell>
          <cell r="Q2819">
            <v>3788.02</v>
          </cell>
          <cell r="R2819">
            <v>-3</v>
          </cell>
        </row>
        <row r="2820">
          <cell r="A2820" t="str">
            <v>006112</v>
          </cell>
          <cell r="B2820" t="str">
            <v>LDC 2</v>
          </cell>
          <cell r="D2820" t="str">
            <v>no</v>
          </cell>
          <cell r="E2820" t="str">
            <v>21251143735</v>
          </cell>
          <cell r="F2820" t="str">
            <v>F0660</v>
          </cell>
          <cell r="G2820" t="str">
            <v>Meter &amp; Reg Settings 2" &amp; Lg (N)</v>
          </cell>
          <cell r="H2820" t="str">
            <v>Skyport 2 Inst 3M Roots Mtr</v>
          </cell>
          <cell r="I2820" t="str">
            <v>posted to CPR</v>
          </cell>
          <cell r="J2820" t="str">
            <v>Skyport 2: Kansas City-Platte Co: New Meter &amp; Reg Settings - 2in &amp; Larger 3820/3830 (33-382)</v>
          </cell>
          <cell r="K2820" t="str">
            <v>Approved by: Rob Kitterman on 08/25/2014,  This work is necessary to install a 3M Roots meter to serve one new commercial customer. We'll set a 2in CL-34-1 regulator at 2psig with a 1in 289H relief set at 3psig for a connected load of 3080cfh.</v>
          </cell>
          <cell r="L2820">
            <v>41865</v>
          </cell>
          <cell r="M2820">
            <v>41912</v>
          </cell>
          <cell r="N2820">
            <v>41916</v>
          </cell>
          <cell r="O2820">
            <v>41944</v>
          </cell>
          <cell r="P2820" t="str">
            <v>1251-075010  PLATTE CTY/KANSAS CITY NORTH</v>
          </cell>
          <cell r="Q2820">
            <v>1555.81</v>
          </cell>
          <cell r="R2820">
            <v>-19</v>
          </cell>
        </row>
        <row r="2821">
          <cell r="A2821" t="str">
            <v>005396</v>
          </cell>
          <cell r="B2821" t="str">
            <v>LDC 2</v>
          </cell>
          <cell r="D2821" t="str">
            <v>yes</v>
          </cell>
          <cell r="E2821" t="str">
            <v>21001143577</v>
          </cell>
          <cell r="F2821" t="str">
            <v>F0663</v>
          </cell>
          <cell r="G2821" t="str">
            <v>Replace bare steel main - safety re</v>
          </cell>
          <cell r="H2821" t="str">
            <v>Riverview Repl PBS w 6011'-4;707'-2</v>
          </cell>
          <cell r="I2821" t="str">
            <v>posted to CPR</v>
          </cell>
          <cell r="J2821" t="str">
            <v>Riverview Repl PBS w 6011'-4;707'-2in PE main: St Joseph: Replace Bare Steel Main - 3760 Safety Related (34-394)</v>
          </cell>
          <cell r="K2821" t="str">
            <v>Approved by: Steve Holcomb on 05/28/2014,  Replace 4'' PBS, 4'' PCS, and 3'' PCS with 2" and 4" PE due to down project. Pressure System - C-02</v>
          </cell>
          <cell r="L2821">
            <v>41862</v>
          </cell>
          <cell r="M2821">
            <v>41913</v>
          </cell>
          <cell r="N2821">
            <v>42041.6690856481</v>
          </cell>
          <cell r="O2821">
            <v>41852</v>
          </cell>
          <cell r="P2821" t="str">
            <v>1001-010001  ST. JOSEPH CITY/BUCHANAN</v>
          </cell>
          <cell r="Q2821">
            <v>126937.86</v>
          </cell>
          <cell r="R2821">
            <v>-8917</v>
          </cell>
        </row>
        <row r="2822">
          <cell r="A2822" t="str">
            <v>004555</v>
          </cell>
          <cell r="B2822" t="str">
            <v>LDC 2</v>
          </cell>
          <cell r="D2822" t="str">
            <v>no</v>
          </cell>
          <cell r="E2822" t="str">
            <v>21202132420</v>
          </cell>
          <cell r="F2822" t="str">
            <v>F0610</v>
          </cell>
          <cell r="G2822" t="str">
            <v>New business</v>
          </cell>
          <cell r="H2822" t="str">
            <v>GREYHAWKE LAKE-2 Lay 1200'-4;449'-2</v>
          </cell>
          <cell r="I2822" t="str">
            <v>posted to CPR</v>
          </cell>
          <cell r="J2822" t="str">
            <v>GREYHAWKE LAKE-2 Lay 1200'-4;449'-2in PE main ext: Smithville: GREYHAWKE RIDGE &amp; WINDSOR CRT</v>
          </cell>
          <cell r="K2822" t="str">
            <v>Approved by: Gary Williams on 02/03/2014,  LAY 1,200'-4" PE &amp; 449'-2" PE TO SERVE 27 LOTS.  LOTS 92-118.  TIE INTO EXIST. 4" PE-(05-9357).  SINGLE FEED.  COST PER FOOT=$24.74  1,649ft x $8.50=$14,016.50  CUSTOMER TO CONTRIBUTE $14,016.50 BEFORE START OF PROJECT.</v>
          </cell>
          <cell r="L2822">
            <v>41717</v>
          </cell>
          <cell r="M2822">
            <v>41821</v>
          </cell>
          <cell r="N2822">
            <v>41953.447361111103</v>
          </cell>
          <cell r="O2822">
            <v>41730</v>
          </cell>
          <cell r="P2822" t="str">
            <v>1202-020006  CLAY CTY/SMITHVILLE</v>
          </cell>
          <cell r="Q2822">
            <v>17872.830000000002</v>
          </cell>
          <cell r="R2822">
            <v>3925.7</v>
          </cell>
        </row>
        <row r="2823">
          <cell r="A2823" t="str">
            <v>800123</v>
          </cell>
          <cell r="B2823" t="str">
            <v>LDC 2</v>
          </cell>
          <cell r="C2823" t="str">
            <v>03 - Bare Steel Replacement</v>
          </cell>
          <cell r="D2823" t="str">
            <v>yes</v>
          </cell>
          <cell r="F2823" t="str">
            <v>F0599</v>
          </cell>
          <cell r="G2823" t="str">
            <v>Main Replacement - ISRS (N)</v>
          </cell>
          <cell r="H2823" t="str">
            <v>Repl w 4550F 2P Liberty Phase F</v>
          </cell>
          <cell r="I2823" t="str">
            <v>open</v>
          </cell>
          <cell r="J2823" t="str">
            <v>Install 4550 Ft of 2in PL IP.</v>
          </cell>
          <cell r="K2823" t="str">
            <v>Abandon 122 Ft of 2in PL, 2904 Ft of 2in ST, 218 Ft of 3in PL, 210 Ft of 3in ST, 766 Ft of 4in ST, uprate 512 Ft of 2in PL MP to IP in Liberty, MO.  This main is being abandoned as part of FY16 Bare Steel Replacement Program.</v>
          </cell>
          <cell r="P2823" t="str">
            <v>1207-020001  CLAY CTY/LIBERTY</v>
          </cell>
          <cell r="Q2823">
            <v>280186.5</v>
          </cell>
          <cell r="R2823">
            <v>-3418</v>
          </cell>
        </row>
        <row r="2824">
          <cell r="A2824" t="str">
            <v>800122</v>
          </cell>
          <cell r="B2824" t="str">
            <v>LDC 2</v>
          </cell>
          <cell r="C2824" t="str">
            <v>03 - Bare Steel Replacement</v>
          </cell>
          <cell r="D2824" t="str">
            <v>yes</v>
          </cell>
          <cell r="F2824" t="str">
            <v>F0599</v>
          </cell>
          <cell r="G2824" t="str">
            <v>Main Replacement - ISRS (N)</v>
          </cell>
          <cell r="H2824" t="str">
            <v>Repl w/ 4565F 2P Liberty PhE</v>
          </cell>
          <cell r="I2824" t="str">
            <v>open</v>
          </cell>
          <cell r="J2824" t="str">
            <v>Install 4565 Ft of 2in PL IP, abandon 585 Ft of PL, &amp; 9759 Ft of ST main and uprate 785 Ft of 2in PL LP main for Liberty Grid Replace - Phase E.</v>
          </cell>
          <cell r="K2824" t="str">
            <v>This main is being replaced as part of FY16 Bare Steel Replacement Program
Total Service Tie-over = 56; Total Service Replacement =5; Total Service Abandoned = 5; Total Service Upgrade =11.</v>
          </cell>
          <cell r="P2824" t="str">
            <v>1207-020001  CLAY CTY/LIBERTY</v>
          </cell>
          <cell r="Q2824">
            <v>321461.39</v>
          </cell>
          <cell r="R2824">
            <v>917.5</v>
          </cell>
        </row>
        <row r="2825">
          <cell r="A2825" t="str">
            <v>003849</v>
          </cell>
          <cell r="B2825" t="str">
            <v>LDC 2</v>
          </cell>
          <cell r="D2825" t="str">
            <v>no</v>
          </cell>
          <cell r="E2825" t="str">
            <v>21261132468</v>
          </cell>
          <cell r="F2825" t="str">
            <v>F0610</v>
          </cell>
          <cell r="G2825" t="str">
            <v>New business</v>
          </cell>
          <cell r="H2825" t="str">
            <v>N 123RD &amp; N Saratoga Lay 1374'-4&amp;11</v>
          </cell>
          <cell r="I2825" t="str">
            <v>posted to CPR</v>
          </cell>
          <cell r="J2825" t="str">
            <v>N 123RD &amp; N Saratoga Lay 1374'-4&amp;1184'-2in PE main: Kansas City-Rural: RUNNING HORSE-3</v>
          </cell>
          <cell r="K2825" t="str">
            <v>Approved by: Gary Williams on 05/21/2013,  LAY 1,374'-4in PE &amp; 1,184'-2inPE TO SERVE 31 LOTS IN SUBDIVISION.  LOTS 105-135.  ONE WAY FEED.  PLATTE CITY SPECIAL ROAD DISTRICT PERMIT MUST BE ON JOBSITE DURING CONSTRUCTION.  ALL ROAD CROSSINGS SHALL BE INSTALLED BY METHOD OF DIRECTIONAL BORING.  NO CROSSINGS SHALL BE INSTALLED BY METHOD OF HOLD HOG; PER PLATTE CITY SPECIAL ROAD DISTRICT.  2,558' x $8.50=$21,743.00  COST PER FOOT=$19.20  DEVELOPER TO CONTRIBUTE $21,743.00 BEFORE START OF PROJECT.</v>
          </cell>
          <cell r="L2825">
            <v>41556</v>
          </cell>
          <cell r="M2825">
            <v>41626</v>
          </cell>
          <cell r="N2825">
            <v>41627.582789351902</v>
          </cell>
          <cell r="O2825">
            <v>41730</v>
          </cell>
          <cell r="P2825" t="str">
            <v>1261-075025  PLATTE CTY/??? TWP</v>
          </cell>
          <cell r="Q2825">
            <v>38015.019999999997</v>
          </cell>
          <cell r="R2825">
            <v>5664</v>
          </cell>
        </row>
        <row r="2826">
          <cell r="A2826" t="str">
            <v>800356</v>
          </cell>
          <cell r="B2826" t="str">
            <v>LDC 2</v>
          </cell>
          <cell r="D2826" t="str">
            <v>no</v>
          </cell>
          <cell r="F2826" t="str">
            <v>F0647</v>
          </cell>
          <cell r="G2826" t="str">
            <v>New Main Extensions (N)</v>
          </cell>
          <cell r="H2826" t="str">
            <v>Presidential Park-Lots 84 &amp; 85 Mai</v>
          </cell>
          <cell r="I2826" t="str">
            <v>open</v>
          </cell>
          <cell r="J2826" t="str">
            <v>Install 592' of 4" PE and 2090' or 2" PE for new services.</v>
          </cell>
          <cell r="P2826" t="str">
            <v>1271-020036  CLAY CTY/KANSAS CITY</v>
          </cell>
          <cell r="Q2826">
            <v>43105.93</v>
          </cell>
          <cell r="R2826">
            <v>-5377.75</v>
          </cell>
        </row>
        <row r="2827">
          <cell r="A2827" t="str">
            <v>007143</v>
          </cell>
          <cell r="B2827" t="str">
            <v>LDC 2</v>
          </cell>
          <cell r="D2827" t="str">
            <v>no</v>
          </cell>
          <cell r="E2827" t="str">
            <v>21271143969</v>
          </cell>
          <cell r="F2827" t="str">
            <v>F0660</v>
          </cell>
          <cell r="G2827" t="str">
            <v>Meter &amp; Reg Settings 2" &amp; Lg (N)</v>
          </cell>
          <cell r="H2827" t="str">
            <v>R and L Carriers 5M roots</v>
          </cell>
          <cell r="I2827" t="str">
            <v>posted to CPR</v>
          </cell>
          <cell r="J2827" t="str">
            <v>R and L Carriers 5M roots: Kansas City-Clay Co: New Meter &amp; Reg Settings - 2in 3820/3830 (33-382)</v>
          </cell>
          <cell r="K2827" t="str">
            <v>Approved by: Rob Kitterman on 12/04/2014,  This work is necessary to install a 5M Roots meter to serve one new commercial customer. We'll set a 2in CL-34-1 regulator with a 1in 289H relief set at 3psig for a connected load of 4999cfh.</v>
          </cell>
          <cell r="L2827">
            <v>41981</v>
          </cell>
          <cell r="M2827">
            <v>42004</v>
          </cell>
          <cell r="N2827">
            <v>42013.442673611098</v>
          </cell>
          <cell r="O2827">
            <v>41974</v>
          </cell>
          <cell r="P2827" t="str">
            <v>1271-020036  CLAY CTY/KANSAS CITY</v>
          </cell>
          <cell r="Q2827">
            <v>1371.03</v>
          </cell>
          <cell r="R2827">
            <v>-29</v>
          </cell>
        </row>
        <row r="2828">
          <cell r="A2828" t="str">
            <v>005791</v>
          </cell>
          <cell r="B2828" t="str">
            <v>LDC 2</v>
          </cell>
          <cell r="D2828" t="str">
            <v>no</v>
          </cell>
          <cell r="E2828" t="str">
            <v>21271143699</v>
          </cell>
          <cell r="F2828" t="str">
            <v>F0633</v>
          </cell>
          <cell r="G2828" t="str">
            <v>Main Repl - Sys Reinforcement (SW)</v>
          </cell>
          <cell r="H2828" t="str">
            <v>NE 45th Ter Repl BS/PE w 6'-2in PE</v>
          </cell>
          <cell r="I2828" t="str">
            <v>posted to CPR</v>
          </cell>
          <cell r="J2828" t="str">
            <v>NE 45th Ter Repl BS/PE w 6'-2in PE main: Kansas City-Clay Co: Replace Bare Steel Main - 3760 Safety Related (34-394)</v>
          </cell>
          <cell r="K2828" t="str">
            <v>Approved by: Kevin Driskell on 07/25/2014,  Replace 3' of 2in BS and 4' of 2in PE due to third party damage.</v>
          </cell>
          <cell r="L2828">
            <v>41822</v>
          </cell>
          <cell r="M2828">
            <v>41913</v>
          </cell>
          <cell r="N2828">
            <v>42041.669282407398</v>
          </cell>
          <cell r="O2828">
            <v>41852</v>
          </cell>
          <cell r="P2828" t="str">
            <v>1271-020036  CLAY CTY/KANSAS CITY</v>
          </cell>
          <cell r="Q2828">
            <v>2016.89</v>
          </cell>
          <cell r="R2828">
            <v>55</v>
          </cell>
        </row>
        <row r="2829">
          <cell r="A2829" t="str">
            <v>800438</v>
          </cell>
          <cell r="B2829" t="str">
            <v>LDC 2</v>
          </cell>
          <cell r="D2829" t="str">
            <v>no</v>
          </cell>
          <cell r="F2829" t="str">
            <v>F0547</v>
          </cell>
          <cell r="G2829" t="str">
            <v>Street &amp; Highway Relocates ISRS (N)</v>
          </cell>
          <cell r="H2829" t="str">
            <v>Chicken N Pickle 8in STL Reloc CJ</v>
          </cell>
          <cell r="I2829" t="str">
            <v>in service</v>
          </cell>
          <cell r="J2829" t="str">
            <v>Main relocation is due to a storm structure for Chicken N Pickle on 18th Ave.  Relocating and lowering 20 ft of 8 in ST main below storm structure.  Project is reimbursable.</v>
          </cell>
          <cell r="K2829" t="str">
            <v>Per Donnie R 3-31-16 - Castor A is reviewing contract and once returned, Donnie will forward to customer for signature and payment - AMM
Per Donnie R 4-12-16 - check for $32,378.69 and signed contract have been received and forwarded to me. - AMM</v>
          </cell>
          <cell r="L2829">
            <v>42562</v>
          </cell>
          <cell r="O2829">
            <v>42614</v>
          </cell>
          <cell r="P2829" t="str">
            <v>1272-020043  CLAY CTY/NORTH KANSAS CITY</v>
          </cell>
          <cell r="Q2829">
            <v>-99.9</v>
          </cell>
          <cell r="R2829">
            <v>102</v>
          </cell>
        </row>
        <row r="2830">
          <cell r="A2830" t="str">
            <v>005042</v>
          </cell>
          <cell r="B2830" t="str">
            <v>LDC 2</v>
          </cell>
          <cell r="D2830" t="str">
            <v>yes</v>
          </cell>
          <cell r="E2830" t="str">
            <v>20925143474</v>
          </cell>
          <cell r="F2830" t="str">
            <v>F0600</v>
          </cell>
          <cell r="G2830" t="str">
            <v>Station Rebuild &amp; Repl ISRS (N)</v>
          </cell>
          <cell r="H2830" t="str">
            <v>Rebuild DRS 1 09-25 RD Mize</v>
          </cell>
          <cell r="I2830" t="str">
            <v>posted to CPR</v>
          </cell>
          <cell r="J2830" t="str">
            <v>Rebuild DRS 1 09-25 RD Mize: Grain Valley: Rebuild District/TB Stations  3780/3790 (45-387)</v>
          </cell>
          <cell r="K2830" t="str">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ell>
          <cell r="L2830">
            <v>41992</v>
          </cell>
          <cell r="M2830">
            <v>42035</v>
          </cell>
          <cell r="N2830">
            <v>42772.501840277801</v>
          </cell>
          <cell r="O2830">
            <v>41974</v>
          </cell>
          <cell r="P2830" t="str">
            <v>0925-043035  JACKSON CTY/GRAIN VALLEY</v>
          </cell>
          <cell r="Q2830">
            <v>22689.57</v>
          </cell>
          <cell r="R2830">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GE As Filed"/>
      <sheetName val="Staff Revenue Calc"/>
      <sheetName val="Comparison"/>
      <sheetName val="Staff Summary"/>
      <sheetName val="All Additions by WO"/>
      <sheetName val="Sorted ISRS WO Retirements"/>
      <sheetName val="ISRS BWO Retirements"/>
      <sheetName val="GO-2008-0113 WOs"/>
      <sheetName val="GO-2009-0009 WOs"/>
      <sheetName val="GO-2009-0009 Retired WOs"/>
      <sheetName val="GO-2009-0009 Retired BWOs"/>
      <sheetName val="Depreciation-Deferred Tax"/>
      <sheetName val="Depreciation Rates"/>
      <sheetName val="Capital Structure ROE"/>
      <sheetName val="Staff Property Taxes"/>
      <sheetName val="Staff Reconciliation"/>
      <sheetName val="Work Orders Reviewed"/>
      <sheetName val="Work Orders to Be Reviewed"/>
      <sheetName val="Sorted WO &amp; BWO Additions"/>
      <sheetName val="Sorted ISRS Cost of Removal"/>
      <sheetName val="Summary-A"/>
      <sheetName val="ISRS_BWO_Add_Jan09"/>
      <sheetName val="ISRS_SpecificWO_Additions_Jan09"/>
      <sheetName val="ISRS_COR_Jan09"/>
      <sheetName val="ISRS_Ret_WO_Jan09"/>
      <sheetName val="ISRS_SpecficWO_COR_Jan09"/>
      <sheetName val="ISRS_BWO_Ret_Jan09"/>
      <sheetName val="Summary "/>
      <sheetName val="8.60% Wtd Total"/>
      <sheetName val="GO-2009-0009 rate design"/>
      <sheetName val="Link In"/>
      <sheetName val="Customers"/>
      <sheetName val="Deferred Taxes"/>
      <sheetName val="DIT- GO-2008-0113"/>
      <sheetName val="DIT- GO-2009-0009"/>
      <sheetName val="Rate of Return"/>
      <sheetName val="Rev Req 8.60%"/>
      <sheetName val="Property Taxe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37600 - Mains-MGE</v>
          </cell>
          <cell r="B1">
            <v>2.2700000000000001E-2</v>
          </cell>
          <cell r="C1">
            <v>1.8916666666666667E-3</v>
          </cell>
        </row>
        <row r="2">
          <cell r="A2" t="str">
            <v>37800 - M&amp;R Station General-MGE</v>
          </cell>
          <cell r="B2">
            <v>2.86E-2</v>
          </cell>
          <cell r="C2">
            <v>2.3833333333333332E-3</v>
          </cell>
        </row>
        <row r="3">
          <cell r="A3" t="str">
            <v>38000 - Services-MGE</v>
          </cell>
          <cell r="B3">
            <v>2.5000000000000001E-2</v>
          </cell>
          <cell r="C3">
            <v>2.0833333333333333E-3</v>
          </cell>
        </row>
        <row r="4">
          <cell r="A4" t="str">
            <v>38200 - Meter Installations-MGE</v>
          </cell>
          <cell r="B4">
            <v>2.86E-2</v>
          </cell>
          <cell r="C4">
            <v>2.3833333333333332E-3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RS Addns Nov and Dec 2016"/>
      <sheetName val="New Wo Detailed Descr Rev"/>
    </sheetNames>
    <sheetDataSet>
      <sheetData sheetId="0">
        <row r="5">
          <cell r="B5" t="str">
            <v>20401050360</v>
          </cell>
          <cell r="C5" t="str">
            <v>003816</v>
          </cell>
          <cell r="D5" t="str">
            <v>BWO SERVICE LINE LEAK RESPONSIVE</v>
          </cell>
          <cell r="E5" t="str">
            <v>F0558</v>
          </cell>
          <cell r="F5" t="str">
            <v>SLRP - immediate response - company</v>
          </cell>
          <cell r="I5">
            <v>5755.05</v>
          </cell>
        </row>
        <row r="6">
          <cell r="B6" t="str">
            <v>20401050360</v>
          </cell>
          <cell r="C6" t="str">
            <v>003816</v>
          </cell>
          <cell r="D6" t="str">
            <v>BWO SERVICE LINE LEAK RESPONSIVE</v>
          </cell>
          <cell r="E6" t="str">
            <v>F0558</v>
          </cell>
          <cell r="F6" t="str">
            <v>SLRP - immediate response - company</v>
          </cell>
          <cell r="I6">
            <v>8530.15</v>
          </cell>
        </row>
        <row r="7">
          <cell r="B7" t="str">
            <v>20401050325</v>
          </cell>
          <cell r="C7" t="str">
            <v>003969</v>
          </cell>
          <cell r="D7" t="str">
            <v>ENCAPSULATION CAST IRON JOINTS</v>
          </cell>
          <cell r="E7" t="str">
            <v>F0524</v>
          </cell>
          <cell r="F7" t="str">
            <v>BWO CI Joint Encapsulation ISRS (N)</v>
          </cell>
          <cell r="I7">
            <v>244437.36</v>
          </cell>
        </row>
        <row r="8">
          <cell r="B8" t="str">
            <v>20401050325</v>
          </cell>
          <cell r="C8" t="str">
            <v>003969</v>
          </cell>
          <cell r="D8" t="str">
            <v>BWO-Encapsulation Cast Iron Joints</v>
          </cell>
          <cell r="E8" t="str">
            <v>F0524</v>
          </cell>
          <cell r="F8" t="str">
            <v>BWO CI Joint Encapsulation ISRS (N)</v>
          </cell>
          <cell r="I8">
            <v>93849.82</v>
          </cell>
        </row>
        <row r="9">
          <cell r="B9" t="str">
            <v>20401050301</v>
          </cell>
          <cell r="C9" t="str">
            <v>004152</v>
          </cell>
          <cell r="D9" t="str">
            <v>BWO-Repl Svc w/ Pls (North Reg)</v>
          </cell>
          <cell r="E9" t="str">
            <v>F0608</v>
          </cell>
          <cell r="F9" t="str">
            <v>BWO Service Line Repl - ISRS (N)</v>
          </cell>
          <cell r="I9">
            <v>487210.4</v>
          </cell>
        </row>
        <row r="10">
          <cell r="B10" t="str">
            <v>20401050301</v>
          </cell>
          <cell r="C10" t="str">
            <v>004152</v>
          </cell>
          <cell r="D10" t="str">
            <v>BWO-Repl Svc w/ Pls (North Reg)</v>
          </cell>
          <cell r="E10" t="str">
            <v>F0608</v>
          </cell>
          <cell r="F10" t="str">
            <v>BWO Service Line Repl - ISRS (N)</v>
          </cell>
          <cell r="I10">
            <v>359592.56</v>
          </cell>
        </row>
        <row r="11">
          <cell r="B11" t="str">
            <v>20901050301</v>
          </cell>
          <cell r="C11" t="str">
            <v>004153</v>
          </cell>
          <cell r="D11" t="str">
            <v>BWO-Repl Svc w/ Pls (South Reg)</v>
          </cell>
          <cell r="E11" t="str">
            <v>F0513</v>
          </cell>
          <cell r="F11" t="str">
            <v>BWO Service Line Repl - ISRS (S)</v>
          </cell>
          <cell r="I11">
            <v>68282.350000000006</v>
          </cell>
        </row>
        <row r="12">
          <cell r="B12" t="str">
            <v>20901050301</v>
          </cell>
          <cell r="C12" t="str">
            <v>004153</v>
          </cell>
          <cell r="D12" t="str">
            <v>BWO-Repl Svc w/ Pls (South Reg)</v>
          </cell>
          <cell r="E12" t="str">
            <v>F0513</v>
          </cell>
          <cell r="F12" t="str">
            <v>BWO Service Line Repl - ISRS (S)</v>
          </cell>
          <cell r="I12">
            <v>138136.6</v>
          </cell>
        </row>
        <row r="13">
          <cell r="B13" t="str">
            <v>20401050377</v>
          </cell>
          <cell r="C13" t="str">
            <v>004279</v>
          </cell>
          <cell r="D13" t="str">
            <v>BWO SERVICE LINE MATERIAL CONTRACTO</v>
          </cell>
          <cell r="E13" t="str">
            <v>F0586</v>
          </cell>
          <cell r="F13" t="str">
            <v>SLRP - materials - contract</v>
          </cell>
          <cell r="I13">
            <v>-11.35</v>
          </cell>
        </row>
        <row r="14">
          <cell r="B14" t="str">
            <v>20401050377</v>
          </cell>
          <cell r="C14" t="str">
            <v>004279</v>
          </cell>
          <cell r="D14" t="str">
            <v>BWO SERVICE LINE MATERIAL CONTRACTO</v>
          </cell>
          <cell r="E14" t="str">
            <v>F0586</v>
          </cell>
          <cell r="F14" t="str">
            <v>SLRP - materials - contract</v>
          </cell>
          <cell r="I14">
            <v>8.76</v>
          </cell>
        </row>
        <row r="15">
          <cell r="B15" t="str">
            <v>20901050377</v>
          </cell>
          <cell r="C15" t="str">
            <v>004287</v>
          </cell>
          <cell r="D15" t="str">
            <v>BWO MATERIAL SERV LINE REPL CONT</v>
          </cell>
          <cell r="E15" t="str">
            <v>F0607</v>
          </cell>
          <cell r="F15" t="str">
            <v>SLRP - materials - contract</v>
          </cell>
          <cell r="I15">
            <v>126706.33</v>
          </cell>
        </row>
        <row r="16">
          <cell r="B16" t="str">
            <v>20901050377</v>
          </cell>
          <cell r="C16" t="str">
            <v>004287</v>
          </cell>
          <cell r="D16" t="str">
            <v>BWO MATERIAL SERV LINE REPL CONT</v>
          </cell>
          <cell r="E16" t="str">
            <v>F0607</v>
          </cell>
          <cell r="F16" t="str">
            <v>SLRP - materials - contract</v>
          </cell>
          <cell r="I16">
            <v>64180.19</v>
          </cell>
        </row>
        <row r="17">
          <cell r="B17" t="str">
            <v>21201050301</v>
          </cell>
          <cell r="C17" t="str">
            <v>004417</v>
          </cell>
          <cell r="D17" t="str">
            <v>BWO-REPLACE SERVICE</v>
          </cell>
          <cell r="E17" t="str">
            <v>F0608</v>
          </cell>
          <cell r="F17" t="str">
            <v>BWO Service Line Repl - ISRS (N)</v>
          </cell>
          <cell r="I17">
            <v>800</v>
          </cell>
        </row>
        <row r="18">
          <cell r="B18" t="str">
            <v>20801050301</v>
          </cell>
          <cell r="C18" t="str">
            <v>004501</v>
          </cell>
          <cell r="D18" t="str">
            <v>BWO-Repl Svc w/ Pls (SW Reg)</v>
          </cell>
          <cell r="E18" t="str">
            <v>F0659</v>
          </cell>
          <cell r="F18" t="str">
            <v>BWO Service Line Repl - ISRS (SW)</v>
          </cell>
          <cell r="I18">
            <v>50506.33</v>
          </cell>
        </row>
        <row r="19">
          <cell r="B19" t="str">
            <v>20801050301</v>
          </cell>
          <cell r="C19" t="str">
            <v>004501</v>
          </cell>
          <cell r="D19" t="str">
            <v>BWO-Repl Svc w/ Pls (SW Reg)</v>
          </cell>
          <cell r="E19" t="str">
            <v>F0659</v>
          </cell>
          <cell r="F19" t="str">
            <v>BWO Service Line Repl - ISRS (SW)</v>
          </cell>
          <cell r="I19">
            <v>24886.94</v>
          </cell>
        </row>
        <row r="20">
          <cell r="B20" t="str">
            <v>20501050371</v>
          </cell>
          <cell r="C20" t="str">
            <v>004600</v>
          </cell>
          <cell r="D20" t="str">
            <v>BWO SERVICE LINE REPL MODIFIED BLOC</v>
          </cell>
          <cell r="E20" t="str">
            <v>F0669</v>
          </cell>
          <cell r="F20" t="str">
            <v>SLRP - modified block by block - co</v>
          </cell>
          <cell r="I20">
            <v>-35.36</v>
          </cell>
        </row>
        <row r="21">
          <cell r="B21" t="str">
            <v>20501050371</v>
          </cell>
          <cell r="C21" t="str">
            <v>004600</v>
          </cell>
          <cell r="D21" t="str">
            <v>BWO SERVICE LINE REPL MODIFIED BLOC</v>
          </cell>
          <cell r="E21" t="str">
            <v>F0669</v>
          </cell>
          <cell r="F21" t="str">
            <v>SLRP - modified block by block - co</v>
          </cell>
          <cell r="I21">
            <v>27.26</v>
          </cell>
        </row>
        <row r="22">
          <cell r="B22" t="str">
            <v>20901050367</v>
          </cell>
          <cell r="C22" t="str">
            <v>004609</v>
          </cell>
          <cell r="D22" t="str">
            <v>BWO MATERIAL SERV LINE REPL COMP</v>
          </cell>
          <cell r="E22" t="str">
            <v>F0649</v>
          </cell>
          <cell r="F22" t="str">
            <v>SLRP - materials - company crews</v>
          </cell>
          <cell r="I22">
            <v>365.01</v>
          </cell>
        </row>
        <row r="23">
          <cell r="B23" t="str">
            <v>20901050367</v>
          </cell>
          <cell r="C23" t="str">
            <v>004609</v>
          </cell>
          <cell r="D23" t="str">
            <v>BWO MATERIAL SERV LINE REPL COMP</v>
          </cell>
          <cell r="E23" t="str">
            <v>F0649</v>
          </cell>
          <cell r="F23" t="str">
            <v>SLRP - materials - company crews</v>
          </cell>
          <cell r="I23">
            <v>9.7200000000000006</v>
          </cell>
        </row>
        <row r="24">
          <cell r="B24" t="str">
            <v>N/A</v>
          </cell>
          <cell r="C24" t="str">
            <v>007052</v>
          </cell>
          <cell r="D24" t="str">
            <v>BWO Main Installed Mtce-North Reg</v>
          </cell>
          <cell r="E24" t="str">
            <v>F0599</v>
          </cell>
          <cell r="F24" t="str">
            <v>Main Replacement - ISRS (N)</v>
          </cell>
          <cell r="I24">
            <v>471.84</v>
          </cell>
        </row>
        <row r="25">
          <cell r="B25" t="str">
            <v>N/A</v>
          </cell>
          <cell r="C25" t="str">
            <v>007052</v>
          </cell>
          <cell r="D25" t="str">
            <v>BWO Main Installed Mtce-North Reg</v>
          </cell>
          <cell r="E25" t="str">
            <v>F0599</v>
          </cell>
          <cell r="F25" t="str">
            <v>Main Replacement - ISRS (N)</v>
          </cell>
          <cell r="I25">
            <v>8031.33</v>
          </cell>
        </row>
        <row r="26">
          <cell r="B26" t="str">
            <v>N/A</v>
          </cell>
          <cell r="C26" t="str">
            <v>007053</v>
          </cell>
          <cell r="D26" t="str">
            <v>BWO Mains Installed Mtce -South Reg</v>
          </cell>
          <cell r="E26" t="str">
            <v>F0604</v>
          </cell>
          <cell r="F26" t="str">
            <v>Main Replacement - ISRS (S)</v>
          </cell>
          <cell r="I26">
            <v>-5185.78</v>
          </cell>
        </row>
        <row r="27">
          <cell r="B27" t="str">
            <v>N/A</v>
          </cell>
          <cell r="C27" t="str">
            <v>007053</v>
          </cell>
          <cell r="D27" t="str">
            <v>BWO Mains Installed Mtce -South Reg</v>
          </cell>
          <cell r="E27" t="str">
            <v>F0604</v>
          </cell>
          <cell r="F27" t="str">
            <v>Main Replacement - ISRS (S)</v>
          </cell>
          <cell r="I27">
            <v>11047.11</v>
          </cell>
        </row>
        <row r="28">
          <cell r="B28" t="str">
            <v>N/A</v>
          </cell>
          <cell r="C28" t="str">
            <v>007054</v>
          </cell>
          <cell r="D28" t="str">
            <v>BWO Mains Installed Mtce-Southwest</v>
          </cell>
          <cell r="E28" t="str">
            <v>F0604</v>
          </cell>
          <cell r="F28" t="str">
            <v>Main Replacement - ISRS (S)</v>
          </cell>
          <cell r="I28">
            <v>-6874.34</v>
          </cell>
        </row>
        <row r="29">
          <cell r="B29" t="str">
            <v>N/A</v>
          </cell>
          <cell r="C29" t="str">
            <v>007054</v>
          </cell>
          <cell r="D29" t="str">
            <v>BWO Mains Installed Mtce-Southwest</v>
          </cell>
          <cell r="E29" t="str">
            <v>F0604</v>
          </cell>
          <cell r="F29" t="str">
            <v>Main Replacement - ISRS (S)</v>
          </cell>
          <cell r="I29">
            <v>3487.62</v>
          </cell>
        </row>
        <row r="30">
          <cell r="B30" t="str">
            <v>20501155072</v>
          </cell>
          <cell r="C30" t="str">
            <v>007396</v>
          </cell>
          <cell r="D30" t="str">
            <v>12th St and Geneva Ave PBS Replacem</v>
          </cell>
          <cell r="E30" t="str">
            <v>F0544</v>
          </cell>
          <cell r="F30" t="str">
            <v>Replace bare steel main - safety re</v>
          </cell>
          <cell r="I30">
            <v>-2869.94</v>
          </cell>
        </row>
        <row r="31">
          <cell r="B31" t="str">
            <v>20501155098</v>
          </cell>
          <cell r="C31" t="str">
            <v>007500</v>
          </cell>
          <cell r="D31" t="str">
            <v>PCS Main Replacement</v>
          </cell>
          <cell r="E31" t="str">
            <v>F0575</v>
          </cell>
          <cell r="F31" t="str">
            <v>Replace steel &amp; plastic main</v>
          </cell>
          <cell r="I31">
            <v>-1155.7</v>
          </cell>
        </row>
        <row r="32">
          <cell r="B32" t="str">
            <v>20501155098</v>
          </cell>
          <cell r="C32" t="str">
            <v>007500</v>
          </cell>
          <cell r="D32" t="str">
            <v>PCS Main Replacement</v>
          </cell>
          <cell r="E32" t="str">
            <v>F0575</v>
          </cell>
          <cell r="F32" t="str">
            <v>Replace steel &amp; plastic main</v>
          </cell>
          <cell r="I32">
            <v>532</v>
          </cell>
        </row>
        <row r="33">
          <cell r="B33" t="str">
            <v>20501155262</v>
          </cell>
          <cell r="C33" t="str">
            <v>008133</v>
          </cell>
          <cell r="D33" t="str">
            <v>8th St and Virginia Ave 3in PBS Mai</v>
          </cell>
          <cell r="E33" t="str">
            <v>F0544</v>
          </cell>
          <cell r="F33" t="str">
            <v>Replace bare steel main - safety re</v>
          </cell>
          <cell r="I33">
            <v>-1904.41</v>
          </cell>
        </row>
        <row r="34">
          <cell r="B34" t="str">
            <v>20501155262</v>
          </cell>
          <cell r="C34" t="str">
            <v>008133</v>
          </cell>
          <cell r="D34" t="str">
            <v>8th St and Virginia Ave 3in PBS Mai</v>
          </cell>
          <cell r="E34" t="str">
            <v>F0544</v>
          </cell>
          <cell r="F34" t="str">
            <v>Replace bare steel main - safety re</v>
          </cell>
          <cell r="I34">
            <v>1530.72</v>
          </cell>
        </row>
        <row r="36">
          <cell r="B36" t="str">
            <v>20901155079</v>
          </cell>
          <cell r="C36" t="str">
            <v>008406</v>
          </cell>
          <cell r="D36" t="str">
            <v>Lees Summit Rd 85th - Gregory</v>
          </cell>
          <cell r="E36" t="str">
            <v>F0604</v>
          </cell>
          <cell r="F36" t="str">
            <v>Main Replacement - ISRS (S)</v>
          </cell>
          <cell r="I36">
            <v>43089</v>
          </cell>
        </row>
        <row r="37">
          <cell r="B37" t="str">
            <v>20305155158</v>
          </cell>
          <cell r="C37" t="str">
            <v>008683</v>
          </cell>
          <cell r="D37" t="str">
            <v>Replace 4in &amp; 6in pbs and p</v>
          </cell>
          <cell r="E37" t="str">
            <v>F0604</v>
          </cell>
          <cell r="F37" t="str">
            <v>Main Replacement - ISRS (S)</v>
          </cell>
          <cell r="I37">
            <v>637.71</v>
          </cell>
        </row>
        <row r="38">
          <cell r="B38" t="str">
            <v>20201155405</v>
          </cell>
          <cell r="C38" t="str">
            <v>008761</v>
          </cell>
          <cell r="D38" t="str">
            <v>Replace  2in &amp; 4in PBS Main</v>
          </cell>
          <cell r="E38" t="str">
            <v>F0604</v>
          </cell>
          <cell r="F38" t="str">
            <v>Main Replacement - ISRS (S)</v>
          </cell>
          <cell r="I38">
            <v>-50.58</v>
          </cell>
        </row>
        <row r="39">
          <cell r="B39" t="str">
            <v>21261155422</v>
          </cell>
          <cell r="C39" t="str">
            <v>008790</v>
          </cell>
          <cell r="D39" t="str">
            <v>4in PCS Relocation</v>
          </cell>
          <cell r="E39" t="str">
            <v>F0547</v>
          </cell>
          <cell r="F39" t="str">
            <v>Street &amp; Highway Relocates ISRS (N)</v>
          </cell>
          <cell r="I39">
            <v>32355.61</v>
          </cell>
        </row>
        <row r="40">
          <cell r="B40" t="str">
            <v>20401155426</v>
          </cell>
          <cell r="C40" t="str">
            <v>008891</v>
          </cell>
          <cell r="D40" t="str">
            <v>Inlet and Outlet Piping to DRS 763</v>
          </cell>
          <cell r="E40" t="str">
            <v>F0547</v>
          </cell>
          <cell r="F40" t="str">
            <v>Street &amp; Highway Relocates ISRS (N)</v>
          </cell>
          <cell r="I40">
            <v>3252.36</v>
          </cell>
        </row>
        <row r="41">
          <cell r="B41" t="str">
            <v>20401155426</v>
          </cell>
          <cell r="C41" t="str">
            <v>008891</v>
          </cell>
          <cell r="D41" t="str">
            <v>Inlet and Outlet Piping to DRS 763</v>
          </cell>
          <cell r="E41" t="str">
            <v>F0547</v>
          </cell>
          <cell r="F41" t="str">
            <v>Street &amp; Highway Relocates ISRS (N)</v>
          </cell>
          <cell r="I41">
            <v>1830.85</v>
          </cell>
        </row>
        <row r="42">
          <cell r="B42" t="str">
            <v>20401155426</v>
          </cell>
          <cell r="C42" t="str">
            <v>008891</v>
          </cell>
          <cell r="D42" t="str">
            <v>Inlet and Outlet Piping to DRS 763</v>
          </cell>
          <cell r="E42" t="str">
            <v>F0547</v>
          </cell>
          <cell r="F42" t="str">
            <v>Street &amp; Highway Relocates ISRS (N)</v>
          </cell>
          <cell r="I42">
            <v>-5083.21</v>
          </cell>
        </row>
        <row r="43">
          <cell r="B43" t="str">
            <v>20902155399</v>
          </cell>
          <cell r="C43" t="str">
            <v>008906</v>
          </cell>
          <cell r="D43" t="str">
            <v>Replace 10in and 6in pbs ma</v>
          </cell>
          <cell r="E43" t="str">
            <v>F0604</v>
          </cell>
          <cell r="F43" t="str">
            <v>Main Replacement - ISRS (S)</v>
          </cell>
          <cell r="I43">
            <v>-25.18</v>
          </cell>
        </row>
        <row r="44">
          <cell r="B44" t="str">
            <v>20902155399</v>
          </cell>
          <cell r="C44" t="str">
            <v>008906</v>
          </cell>
          <cell r="D44" t="str">
            <v>Replace 10in and 6in pbs ma</v>
          </cell>
          <cell r="E44" t="str">
            <v>F0604</v>
          </cell>
          <cell r="F44" t="str">
            <v>Main Replacement - ISRS (S)</v>
          </cell>
          <cell r="I44">
            <v>0.76</v>
          </cell>
        </row>
        <row r="45">
          <cell r="B45" t="str">
            <v>20401155420</v>
          </cell>
          <cell r="C45" t="str">
            <v>008969</v>
          </cell>
          <cell r="D45" t="str">
            <v>Target Marlborough East phase 1</v>
          </cell>
          <cell r="E45" t="str">
            <v>F0664</v>
          </cell>
          <cell r="F45" t="str">
            <v>Street &amp; Hwy Relocates ISRS (SW)</v>
          </cell>
          <cell r="I45">
            <v>10.89</v>
          </cell>
        </row>
        <row r="46">
          <cell r="B46" t="str">
            <v>20401155420</v>
          </cell>
          <cell r="C46" t="str">
            <v>008969</v>
          </cell>
          <cell r="D46" t="str">
            <v>Target Marlborough East phase 1</v>
          </cell>
          <cell r="E46" t="str">
            <v>F0664</v>
          </cell>
          <cell r="F46" t="str">
            <v>Street &amp; Hwy Relocates ISRS (SW)</v>
          </cell>
          <cell r="I46">
            <v>283.39999999999998</v>
          </cell>
        </row>
        <row r="47">
          <cell r="B47" t="str">
            <v>N/A</v>
          </cell>
          <cell r="C47" t="str">
            <v>009217</v>
          </cell>
          <cell r="D47" t="str">
            <v>BWO-Replace Svc w/ Steel (North)</v>
          </cell>
          <cell r="E47" t="str">
            <v>F0608</v>
          </cell>
          <cell r="F47" t="str">
            <v>BWO Service Line Repl - ISRS (N)</v>
          </cell>
          <cell r="I47">
            <v>469.24</v>
          </cell>
        </row>
        <row r="48">
          <cell r="B48" t="str">
            <v>N/A</v>
          </cell>
          <cell r="C48" t="str">
            <v>009218</v>
          </cell>
          <cell r="D48" t="str">
            <v>BWO-Replace Svc w/ Steel (South)</v>
          </cell>
          <cell r="E48" t="str">
            <v>F0513</v>
          </cell>
          <cell r="F48" t="str">
            <v>BWO Service Line Repl - ISRS (S)</v>
          </cell>
          <cell r="I48">
            <v>-41.15</v>
          </cell>
        </row>
        <row r="49">
          <cell r="B49" t="str">
            <v>N/A</v>
          </cell>
          <cell r="C49" t="str">
            <v>009218</v>
          </cell>
          <cell r="D49" t="str">
            <v>BWO-Replace Svc w/ Steel (South)</v>
          </cell>
          <cell r="E49" t="str">
            <v>F0513</v>
          </cell>
          <cell r="F49" t="str">
            <v>BWO Service Line Repl - ISRS (S)</v>
          </cell>
          <cell r="I49">
            <v>273.69</v>
          </cell>
        </row>
        <row r="50">
          <cell r="B50" t="str">
            <v>N/A</v>
          </cell>
          <cell r="C50" t="str">
            <v>009219</v>
          </cell>
          <cell r="D50" t="str">
            <v>BWO-Replace Svc w/ Steel (Southwest</v>
          </cell>
          <cell r="E50" t="str">
            <v>F0659</v>
          </cell>
          <cell r="F50" t="str">
            <v>BWO Service Line Repl - ISRS (SW)</v>
          </cell>
          <cell r="I50">
            <v>6674.56</v>
          </cell>
        </row>
        <row r="51">
          <cell r="B51" t="str">
            <v>20910155472</v>
          </cell>
          <cell r="C51" t="str">
            <v>009224</v>
          </cell>
          <cell r="D51" t="str">
            <v>Replace 2 PCS/PE &amp; 4in PCS/PE</v>
          </cell>
          <cell r="E51" t="str">
            <v>F0604</v>
          </cell>
          <cell r="F51" t="str">
            <v>Main Replacement - ISRS (S)</v>
          </cell>
          <cell r="I51">
            <v>24336.87</v>
          </cell>
        </row>
        <row r="52">
          <cell r="B52" t="str">
            <v>20910155472</v>
          </cell>
          <cell r="C52" t="str">
            <v>009224</v>
          </cell>
          <cell r="D52" t="str">
            <v>Replace 2 PCS/PE &amp; 4in PCS/PE</v>
          </cell>
          <cell r="E52" t="str">
            <v>F0604</v>
          </cell>
          <cell r="F52" t="str">
            <v>Main Replacement - ISRS (S)</v>
          </cell>
          <cell r="I52">
            <v>-24336.87</v>
          </cell>
        </row>
        <row r="53">
          <cell r="B53" t="str">
            <v>20904155457</v>
          </cell>
          <cell r="C53" t="str">
            <v>009248</v>
          </cell>
          <cell r="D53" t="str">
            <v>Grandview Repl Phase 4</v>
          </cell>
          <cell r="E53" t="str">
            <v>F0613</v>
          </cell>
          <cell r="F53" t="str">
            <v>Replace bare steel main - safety re</v>
          </cell>
          <cell r="I53">
            <v>114794.17</v>
          </cell>
        </row>
        <row r="54">
          <cell r="B54" t="str">
            <v>20904155457</v>
          </cell>
          <cell r="C54" t="str">
            <v>009248</v>
          </cell>
          <cell r="D54" t="str">
            <v>Grandview Repl Phase 4</v>
          </cell>
          <cell r="E54" t="str">
            <v>F0613</v>
          </cell>
          <cell r="F54" t="str">
            <v>Replace bare steel main - safety re</v>
          </cell>
          <cell r="I54">
            <v>-114794.17</v>
          </cell>
        </row>
        <row r="55">
          <cell r="B55" t="str">
            <v>20501155526</v>
          </cell>
          <cell r="C55" t="str">
            <v>009276</v>
          </cell>
          <cell r="D55" t="str">
            <v>Lincoln to Highview along Zora</v>
          </cell>
          <cell r="E55" t="str">
            <v>F0664</v>
          </cell>
          <cell r="F55" t="str">
            <v>Street &amp; Hwy Relocates ISRS (SW)</v>
          </cell>
          <cell r="I55">
            <v>1969.48</v>
          </cell>
        </row>
        <row r="56">
          <cell r="B56" t="str">
            <v>20501155526</v>
          </cell>
          <cell r="C56" t="str">
            <v>009276</v>
          </cell>
          <cell r="D56" t="str">
            <v>Lincoln to Highview along Zora</v>
          </cell>
          <cell r="E56" t="str">
            <v>F0664</v>
          </cell>
          <cell r="F56" t="str">
            <v>Street &amp; Hwy Relocates ISRS (SW)</v>
          </cell>
          <cell r="I56">
            <v>12.85</v>
          </cell>
        </row>
        <row r="59">
          <cell r="B59" t="str">
            <v>N/A</v>
          </cell>
          <cell r="C59" t="str">
            <v>800023</v>
          </cell>
          <cell r="D59" t="str">
            <v>13th and Maiden Lane Relocation</v>
          </cell>
          <cell r="E59" t="str">
            <v>F0664</v>
          </cell>
          <cell r="F59" t="str">
            <v>Street &amp; Hwy Relocates ISRS (SW)</v>
          </cell>
          <cell r="I59">
            <v>158.80000000000001</v>
          </cell>
        </row>
        <row r="60">
          <cell r="B60" t="str">
            <v>N/A</v>
          </cell>
          <cell r="C60" t="str">
            <v>800023</v>
          </cell>
          <cell r="D60" t="str">
            <v>13th and Maiden Lane Relocation</v>
          </cell>
          <cell r="E60" t="str">
            <v>F0664</v>
          </cell>
          <cell r="F60" t="str">
            <v>Street &amp; Hwy Relocates ISRS (SW)</v>
          </cell>
          <cell r="I60">
            <v>3720.99</v>
          </cell>
        </row>
        <row r="61">
          <cell r="B61" t="str">
            <v>N/A</v>
          </cell>
          <cell r="C61" t="str">
            <v>800023</v>
          </cell>
          <cell r="D61" t="str">
            <v>13th and Maiden Lane Relocation</v>
          </cell>
          <cell r="E61" t="str">
            <v>F0664</v>
          </cell>
          <cell r="F61" t="str">
            <v>Street &amp; Hwy Relocates ISRS (SW)</v>
          </cell>
          <cell r="I61">
            <v>-14.04</v>
          </cell>
        </row>
        <row r="62">
          <cell r="B62" t="str">
            <v>N/A</v>
          </cell>
          <cell r="C62" t="str">
            <v>800023</v>
          </cell>
          <cell r="D62" t="str">
            <v>13th and Maiden Lane Relocation</v>
          </cell>
          <cell r="E62" t="str">
            <v>F0664</v>
          </cell>
          <cell r="F62" t="str">
            <v>Street &amp; Hwy Relocates ISRS (SW)</v>
          </cell>
          <cell r="I62">
            <v>-329.01</v>
          </cell>
        </row>
        <row r="63">
          <cell r="B63" t="str">
            <v>N/A</v>
          </cell>
          <cell r="C63" t="str">
            <v>800027</v>
          </cell>
          <cell r="D63" t="str">
            <v>CP15-02 Replace 2" pbs main</v>
          </cell>
          <cell r="E63" t="str">
            <v>F0604</v>
          </cell>
          <cell r="F63" t="str">
            <v>Main Replacement - ISRS (S)</v>
          </cell>
          <cell r="I63">
            <v>-14555.55</v>
          </cell>
        </row>
        <row r="64">
          <cell r="B64" t="str">
            <v>N/A</v>
          </cell>
          <cell r="C64" t="str">
            <v>800027</v>
          </cell>
          <cell r="D64" t="str">
            <v>CP15-02 Replace 2" pbs main</v>
          </cell>
          <cell r="E64" t="str">
            <v>F0604</v>
          </cell>
          <cell r="F64" t="str">
            <v>Main Replacement - ISRS (S)</v>
          </cell>
          <cell r="I64">
            <v>-60.89</v>
          </cell>
        </row>
        <row r="65">
          <cell r="B65" t="str">
            <v>N/A</v>
          </cell>
          <cell r="C65" t="str">
            <v>800027</v>
          </cell>
          <cell r="D65" t="str">
            <v>CP15-02 Replace 2" pbs main</v>
          </cell>
          <cell r="E65" t="str">
            <v>F0604</v>
          </cell>
          <cell r="F65" t="str">
            <v>Main Replacement - ISRS (S)</v>
          </cell>
          <cell r="I65">
            <v>-1861.63</v>
          </cell>
        </row>
        <row r="66">
          <cell r="B66" t="str">
            <v>N/A</v>
          </cell>
          <cell r="C66" t="str">
            <v>800030</v>
          </cell>
          <cell r="D66" t="str">
            <v>Relocate 2" &amp; 3" Steel - Route 7 fr</v>
          </cell>
          <cell r="E66" t="str">
            <v>F0578</v>
          </cell>
          <cell r="F66" t="str">
            <v>Street &amp; Highway Relocates ISRS (S)</v>
          </cell>
          <cell r="I66">
            <v>194.49</v>
          </cell>
        </row>
        <row r="67">
          <cell r="B67" t="str">
            <v>N/A</v>
          </cell>
          <cell r="C67" t="str">
            <v>800030</v>
          </cell>
          <cell r="D67" t="str">
            <v>Relocate 2" &amp; 3" Steel - Route 7 fr</v>
          </cell>
          <cell r="E67" t="str">
            <v>F0578</v>
          </cell>
          <cell r="F67" t="str">
            <v>Street &amp; Highway Relocates ISRS (S)</v>
          </cell>
          <cell r="I67">
            <v>5.09</v>
          </cell>
        </row>
        <row r="68">
          <cell r="B68" t="str">
            <v>N/A</v>
          </cell>
          <cell r="C68" t="str">
            <v>800031</v>
          </cell>
          <cell r="D68" t="str">
            <v>AOR - 2021 Elmwood</v>
          </cell>
          <cell r="E68" t="str">
            <v>F0599</v>
          </cell>
          <cell r="F68" t="str">
            <v>Main Replacement - ISRS (N)</v>
          </cell>
          <cell r="I68">
            <v>1138.8699999999999</v>
          </cell>
        </row>
        <row r="69">
          <cell r="B69" t="str">
            <v>N/A</v>
          </cell>
          <cell r="C69" t="str">
            <v>800031</v>
          </cell>
          <cell r="D69" t="str">
            <v>AOR - 2021 Elmwood</v>
          </cell>
          <cell r="E69" t="str">
            <v>F0599</v>
          </cell>
          <cell r="F69" t="str">
            <v>Main Replacement - ISRS (N)</v>
          </cell>
          <cell r="I69">
            <v>23447.360000000001</v>
          </cell>
        </row>
        <row r="70">
          <cell r="B70" t="str">
            <v>N/A</v>
          </cell>
          <cell r="C70" t="str">
            <v>800031</v>
          </cell>
          <cell r="D70" t="str">
            <v>AOR - 2021 Elmwood</v>
          </cell>
          <cell r="E70" t="str">
            <v>F0599</v>
          </cell>
          <cell r="F70" t="str">
            <v>Main Replacement - ISRS (N)</v>
          </cell>
          <cell r="I70">
            <v>1128.8499999999999</v>
          </cell>
        </row>
        <row r="71">
          <cell r="B71" t="str">
            <v>N/A</v>
          </cell>
          <cell r="C71" t="str">
            <v>800032</v>
          </cell>
          <cell r="D71" t="str">
            <v>Relocate 3in &amp; 4i Steel Rt 7 fro</v>
          </cell>
          <cell r="E71" t="str">
            <v>F0578</v>
          </cell>
          <cell r="F71" t="str">
            <v>Street &amp; Highway Relocates ISRS (S)</v>
          </cell>
          <cell r="I71">
            <v>275.16000000000003</v>
          </cell>
        </row>
        <row r="72">
          <cell r="B72" t="str">
            <v>N/A</v>
          </cell>
          <cell r="C72" t="str">
            <v>800032</v>
          </cell>
          <cell r="D72" t="str">
            <v>Relocate 3in &amp; 4i Steel Rt 7 fro</v>
          </cell>
          <cell r="E72" t="str">
            <v>F0578</v>
          </cell>
          <cell r="F72" t="str">
            <v>Street &amp; Highway Relocates ISRS (S)</v>
          </cell>
          <cell r="I72">
            <v>5.43</v>
          </cell>
        </row>
        <row r="73">
          <cell r="B73" t="str">
            <v>N/A</v>
          </cell>
          <cell r="C73" t="str">
            <v>800032</v>
          </cell>
          <cell r="D73" t="str">
            <v>Relocate 3in &amp; 4i Steel Rt 7 fro</v>
          </cell>
          <cell r="E73" t="str">
            <v>F0578</v>
          </cell>
          <cell r="F73" t="str">
            <v>Street &amp; Highway Relocates ISRS (S)</v>
          </cell>
          <cell r="I73">
            <v>10.09</v>
          </cell>
        </row>
        <row r="74">
          <cell r="B74" t="str">
            <v>N/A</v>
          </cell>
          <cell r="C74" t="str">
            <v>800032</v>
          </cell>
          <cell r="D74" t="str">
            <v>Relocate 3in &amp; 4i Steel Rt 7 fro</v>
          </cell>
          <cell r="E74" t="str">
            <v>F0578</v>
          </cell>
          <cell r="F74" t="str">
            <v>Street &amp; Highway Relocates ISRS (S)</v>
          </cell>
          <cell r="I74">
            <v>0.2</v>
          </cell>
        </row>
        <row r="75">
          <cell r="B75" t="str">
            <v>N/A</v>
          </cell>
          <cell r="C75" t="str">
            <v>800038</v>
          </cell>
          <cell r="D75" t="str">
            <v>Main Replacemen due to CPs/Iso Stee</v>
          </cell>
          <cell r="E75" t="str">
            <v>F0572</v>
          </cell>
          <cell r="F75" t="str">
            <v>Main Replacement - ISRS (SW)</v>
          </cell>
          <cell r="I75">
            <v>-3331.29</v>
          </cell>
        </row>
        <row r="76">
          <cell r="B76" t="str">
            <v>N/A</v>
          </cell>
          <cell r="C76" t="str">
            <v>800038</v>
          </cell>
          <cell r="D76" t="str">
            <v>Main Replacemen due to CPs/Iso Stee</v>
          </cell>
          <cell r="E76" t="str">
            <v>F0572</v>
          </cell>
          <cell r="F76" t="str">
            <v>Main Replacement - ISRS (SW)</v>
          </cell>
          <cell r="I76">
            <v>133.21</v>
          </cell>
        </row>
        <row r="77">
          <cell r="B77" t="str">
            <v>N/A</v>
          </cell>
          <cell r="C77" t="str">
            <v>800039</v>
          </cell>
          <cell r="D77" t="str">
            <v>Pickett Rd and 29th St - Main Repla</v>
          </cell>
          <cell r="E77" t="str">
            <v>F0599</v>
          </cell>
          <cell r="F77" t="str">
            <v>Main Replacement - ISRS (N)</v>
          </cell>
          <cell r="I77">
            <v>0.06</v>
          </cell>
        </row>
        <row r="78">
          <cell r="B78" t="str">
            <v>N/A</v>
          </cell>
          <cell r="C78" t="str">
            <v>800039</v>
          </cell>
          <cell r="D78" t="str">
            <v>Pickett Rd and 29th St - Main Repla</v>
          </cell>
          <cell r="E78" t="str">
            <v>F0599</v>
          </cell>
          <cell r="F78" t="str">
            <v>Main Replacement - ISRS (N)</v>
          </cell>
          <cell r="I78">
            <v>118.87</v>
          </cell>
        </row>
        <row r="79">
          <cell r="B79" t="str">
            <v>N/A</v>
          </cell>
          <cell r="C79" t="str">
            <v>800039</v>
          </cell>
          <cell r="D79" t="str">
            <v>Pickett Rd and 29th St - Main Repla</v>
          </cell>
          <cell r="E79" t="str">
            <v>F0599</v>
          </cell>
          <cell r="F79" t="str">
            <v>Main Replacement - ISRS (N)</v>
          </cell>
          <cell r="I79">
            <v>50.94</v>
          </cell>
        </row>
        <row r="80">
          <cell r="B80" t="str">
            <v>N/A</v>
          </cell>
          <cell r="C80" t="str">
            <v>800039</v>
          </cell>
          <cell r="D80" t="str">
            <v>Pickett Rd and 29th St - Main Repla</v>
          </cell>
          <cell r="E80" t="str">
            <v>F0599</v>
          </cell>
          <cell r="F80" t="str">
            <v>Main Replacement - ISRS (N)</v>
          </cell>
          <cell r="I80">
            <v>-0.01</v>
          </cell>
        </row>
        <row r="81">
          <cell r="B81" t="str">
            <v>N/A</v>
          </cell>
          <cell r="C81" t="str">
            <v>800039</v>
          </cell>
          <cell r="D81" t="str">
            <v>Pickett Rd and 29th St - Main Repla</v>
          </cell>
          <cell r="E81" t="str">
            <v>F0599</v>
          </cell>
          <cell r="F81" t="str">
            <v>Main Replacement - ISRS (N)</v>
          </cell>
          <cell r="I81">
            <v>-13.77</v>
          </cell>
        </row>
        <row r="82">
          <cell r="B82" t="str">
            <v>N/A</v>
          </cell>
          <cell r="C82" t="str">
            <v>800039</v>
          </cell>
          <cell r="D82" t="str">
            <v>Pickett Rd and 29th St - Main Repla</v>
          </cell>
          <cell r="E82" t="str">
            <v>F0599</v>
          </cell>
          <cell r="F82" t="str">
            <v>Main Replacement - ISRS (N)</v>
          </cell>
          <cell r="I82">
            <v>-5.89</v>
          </cell>
        </row>
        <row r="83">
          <cell r="B83" t="str">
            <v>N/A</v>
          </cell>
          <cell r="C83" t="str">
            <v>800041</v>
          </cell>
          <cell r="D83" t="str">
            <v>Liberty Header - Phase 4 IUI</v>
          </cell>
          <cell r="E83" t="str">
            <v>F0599</v>
          </cell>
          <cell r="F83" t="str">
            <v>Main Replacement - ISRS (N)</v>
          </cell>
          <cell r="I83">
            <v>4048.93</v>
          </cell>
        </row>
        <row r="84">
          <cell r="B84" t="str">
            <v>N/A</v>
          </cell>
          <cell r="C84" t="str">
            <v>800041</v>
          </cell>
          <cell r="D84" t="str">
            <v>Liberty Header - Phase 4 IUI</v>
          </cell>
          <cell r="E84" t="str">
            <v>F0599</v>
          </cell>
          <cell r="F84" t="str">
            <v>Main Replacement - ISRS (N)</v>
          </cell>
          <cell r="I84">
            <v>1529.02</v>
          </cell>
        </row>
        <row r="85">
          <cell r="B85" t="str">
            <v>N/A</v>
          </cell>
          <cell r="C85" t="str">
            <v>800045</v>
          </cell>
          <cell r="D85" t="str">
            <v>Liberty - Grid Phase A</v>
          </cell>
          <cell r="E85" t="str">
            <v>F0599</v>
          </cell>
          <cell r="F85" t="str">
            <v>Main Replacement - ISRS (N)</v>
          </cell>
          <cell r="I85">
            <v>-11961.6</v>
          </cell>
        </row>
        <row r="86">
          <cell r="B86" t="str">
            <v>N/A</v>
          </cell>
          <cell r="C86" t="str">
            <v>800045</v>
          </cell>
          <cell r="D86" t="str">
            <v>Liberty - Grid Phase A</v>
          </cell>
          <cell r="E86" t="str">
            <v>F0599</v>
          </cell>
          <cell r="F86" t="str">
            <v>Main Replacement - ISRS (N)</v>
          </cell>
          <cell r="I86">
            <v>-49.55</v>
          </cell>
        </row>
        <row r="87">
          <cell r="B87" t="str">
            <v>N/A</v>
          </cell>
          <cell r="C87" t="str">
            <v>800045</v>
          </cell>
          <cell r="D87" t="str">
            <v>Liberty - Grid Phase A</v>
          </cell>
          <cell r="E87" t="str">
            <v>F0599</v>
          </cell>
          <cell r="F87" t="str">
            <v>Main Replacement - ISRS (N)</v>
          </cell>
          <cell r="I87">
            <v>9142.4699999999993</v>
          </cell>
        </row>
        <row r="88">
          <cell r="B88" t="str">
            <v>N/A</v>
          </cell>
          <cell r="C88" t="str">
            <v>800045</v>
          </cell>
          <cell r="D88" t="str">
            <v>Liberty - Grid Phase A</v>
          </cell>
          <cell r="E88" t="str">
            <v>F0599</v>
          </cell>
          <cell r="F88" t="str">
            <v>Main Replacement - ISRS (N)</v>
          </cell>
          <cell r="I88">
            <v>37.880000000000003</v>
          </cell>
        </row>
        <row r="89">
          <cell r="B89" t="str">
            <v>N/A</v>
          </cell>
          <cell r="C89" t="str">
            <v>800046</v>
          </cell>
          <cell r="D89" t="str">
            <v>Liberty - Grid Phase B</v>
          </cell>
          <cell r="E89" t="str">
            <v>F0599</v>
          </cell>
          <cell r="F89" t="str">
            <v>Main Replacement - ISRS (N)</v>
          </cell>
          <cell r="I89">
            <v>27197.14</v>
          </cell>
        </row>
        <row r="90">
          <cell r="B90" t="str">
            <v>N/A</v>
          </cell>
          <cell r="C90" t="str">
            <v>800046</v>
          </cell>
          <cell r="D90" t="str">
            <v>Liberty - Grid Phase B</v>
          </cell>
          <cell r="E90" t="str">
            <v>F0599</v>
          </cell>
          <cell r="F90" t="str">
            <v>Main Replacement - ISRS (N)</v>
          </cell>
          <cell r="I90">
            <v>203.06</v>
          </cell>
        </row>
        <row r="91">
          <cell r="B91" t="str">
            <v>N/A</v>
          </cell>
          <cell r="C91" t="str">
            <v>800046</v>
          </cell>
          <cell r="D91" t="str">
            <v>Liberty - Grid Phase B</v>
          </cell>
          <cell r="E91" t="str">
            <v>F0599</v>
          </cell>
          <cell r="F91" t="str">
            <v>Main Replacement - ISRS (N)</v>
          </cell>
          <cell r="I91">
            <v>687.79</v>
          </cell>
        </row>
        <row r="92">
          <cell r="B92" t="str">
            <v>N/A</v>
          </cell>
          <cell r="C92" t="str">
            <v>800046</v>
          </cell>
          <cell r="D92" t="str">
            <v>Liberty - Grid Phase B</v>
          </cell>
          <cell r="E92" t="str">
            <v>F0599</v>
          </cell>
          <cell r="F92" t="str">
            <v>Main Replacement - ISRS (N)</v>
          </cell>
          <cell r="I92">
            <v>5.14</v>
          </cell>
        </row>
        <row r="93">
          <cell r="B93" t="str">
            <v>N/A</v>
          </cell>
          <cell r="C93" t="str">
            <v>800064</v>
          </cell>
          <cell r="D93" t="str">
            <v>Repl w/ 3152F 2-4P 48th &amp; Rangeline</v>
          </cell>
          <cell r="E93" t="str">
            <v>F0572</v>
          </cell>
          <cell r="F93" t="str">
            <v>Main Replacement - ISRS (SW)</v>
          </cell>
          <cell r="I93">
            <v>-104.26</v>
          </cell>
        </row>
        <row r="94">
          <cell r="B94" t="str">
            <v>N/A</v>
          </cell>
          <cell r="C94" t="str">
            <v>800064</v>
          </cell>
          <cell r="D94" t="str">
            <v>Repl w/ 3152F 2-4P 48th &amp; Rangeline</v>
          </cell>
          <cell r="E94" t="str">
            <v>F0572</v>
          </cell>
          <cell r="F94" t="str">
            <v>Main Replacement - ISRS (SW)</v>
          </cell>
          <cell r="I94">
            <v>-1.56</v>
          </cell>
        </row>
        <row r="95">
          <cell r="B95" t="str">
            <v>N/A</v>
          </cell>
          <cell r="C95" t="str">
            <v>800064</v>
          </cell>
          <cell r="D95" t="str">
            <v>Repl w/ 3152F 2-4P 48th &amp; Rangeline</v>
          </cell>
          <cell r="E95" t="str">
            <v>F0572</v>
          </cell>
          <cell r="F95" t="str">
            <v>Main Replacement - ISRS (SW)</v>
          </cell>
          <cell r="I95">
            <v>10.210000000000001</v>
          </cell>
        </row>
        <row r="96">
          <cell r="B96" t="str">
            <v>N/A</v>
          </cell>
          <cell r="C96" t="str">
            <v>800064</v>
          </cell>
          <cell r="D96" t="str">
            <v>Repl w/ 3152F 2-4P 48th &amp; Rangeline</v>
          </cell>
          <cell r="E96" t="str">
            <v>F0572</v>
          </cell>
          <cell r="F96" t="str">
            <v>Main Replacement - ISRS (SW)</v>
          </cell>
          <cell r="I96">
            <v>0.14000000000000001</v>
          </cell>
        </row>
        <row r="97">
          <cell r="B97" t="str">
            <v>N/A</v>
          </cell>
          <cell r="C97" t="str">
            <v>800068</v>
          </cell>
          <cell r="D97" t="str">
            <v>Tipton Bare Steel Replace-Grid PhA</v>
          </cell>
          <cell r="E97" t="str">
            <v>F0604</v>
          </cell>
          <cell r="F97" t="str">
            <v>Main Replacement - ISRS (S)</v>
          </cell>
          <cell r="I97">
            <v>283.68</v>
          </cell>
        </row>
        <row r="98">
          <cell r="B98" t="str">
            <v>N/A</v>
          </cell>
          <cell r="C98" t="str">
            <v>800068</v>
          </cell>
          <cell r="D98" t="str">
            <v>Tipton Bare Steel Replace-Grid PhA</v>
          </cell>
          <cell r="E98" t="str">
            <v>F0604</v>
          </cell>
          <cell r="F98" t="str">
            <v>Main Replacement - ISRS (S)</v>
          </cell>
          <cell r="I98">
            <v>0.01</v>
          </cell>
        </row>
        <row r="99">
          <cell r="B99" t="str">
            <v>N/A</v>
          </cell>
          <cell r="C99" t="str">
            <v>800068</v>
          </cell>
          <cell r="D99" t="str">
            <v>Tipton Bare Steel Replace-Grid PhA</v>
          </cell>
          <cell r="E99" t="str">
            <v>F0604</v>
          </cell>
          <cell r="F99" t="str">
            <v>Main Replacement - ISRS (S)</v>
          </cell>
          <cell r="I99">
            <v>1943.6</v>
          </cell>
        </row>
        <row r="100">
          <cell r="B100" t="str">
            <v>N/A</v>
          </cell>
          <cell r="C100" t="str">
            <v>800068</v>
          </cell>
          <cell r="D100" t="str">
            <v>Tipton Bare Steel Replace-Grid PhA</v>
          </cell>
          <cell r="E100" t="str">
            <v>F0604</v>
          </cell>
          <cell r="F100" t="str">
            <v>Main Replacement - ISRS (S)</v>
          </cell>
          <cell r="I100">
            <v>7.0000000000000007E-2</v>
          </cell>
        </row>
        <row r="101">
          <cell r="B101" t="str">
            <v>N/A</v>
          </cell>
          <cell r="C101" t="str">
            <v>800069</v>
          </cell>
          <cell r="D101" t="str">
            <v>Tipton Grid Phase C - Bare steel re</v>
          </cell>
          <cell r="E101" t="str">
            <v>F0604</v>
          </cell>
          <cell r="F101" t="str">
            <v>Main Replacement - ISRS (S)</v>
          </cell>
          <cell r="I101">
            <v>-56.2</v>
          </cell>
        </row>
        <row r="102">
          <cell r="B102" t="str">
            <v>N/A</v>
          </cell>
          <cell r="C102" t="str">
            <v>800069</v>
          </cell>
          <cell r="D102" t="str">
            <v>Tipton Grid Phase C - Bare steel re</v>
          </cell>
          <cell r="E102" t="str">
            <v>F0604</v>
          </cell>
          <cell r="F102" t="str">
            <v>Main Replacement - ISRS (S)</v>
          </cell>
          <cell r="I102">
            <v>-0.01</v>
          </cell>
        </row>
        <row r="103">
          <cell r="B103" t="str">
            <v>N/A</v>
          </cell>
          <cell r="C103" t="str">
            <v>800069</v>
          </cell>
          <cell r="D103" t="str">
            <v>Tipton Grid Phase C - Bare steel re</v>
          </cell>
          <cell r="E103" t="str">
            <v>F0604</v>
          </cell>
          <cell r="F103" t="str">
            <v>Main Replacement - ISRS (S)</v>
          </cell>
          <cell r="I103">
            <v>4788.9799999999996</v>
          </cell>
        </row>
        <row r="104">
          <cell r="B104" t="str">
            <v>N/A</v>
          </cell>
          <cell r="C104" t="str">
            <v>800069</v>
          </cell>
          <cell r="D104" t="str">
            <v>Tipton Grid Phase C - Bare steel re</v>
          </cell>
          <cell r="E104" t="str">
            <v>F0604</v>
          </cell>
          <cell r="F104" t="str">
            <v>Main Replacement - ISRS (S)</v>
          </cell>
          <cell r="I104">
            <v>1.1200000000000001</v>
          </cell>
        </row>
        <row r="105">
          <cell r="B105" t="str">
            <v>N/A</v>
          </cell>
          <cell r="C105" t="str">
            <v>800070</v>
          </cell>
          <cell r="D105" t="str">
            <v>Tipton Grid Phase D - Bare steel re</v>
          </cell>
          <cell r="E105" t="str">
            <v>F0604</v>
          </cell>
          <cell r="F105" t="str">
            <v>Main Replacement - ISRS (S)</v>
          </cell>
          <cell r="I105">
            <v>721.06</v>
          </cell>
        </row>
        <row r="106">
          <cell r="B106" t="str">
            <v>N/A</v>
          </cell>
          <cell r="C106" t="str">
            <v>800070</v>
          </cell>
          <cell r="D106" t="str">
            <v>Tipton Grid Phase D - Bare steel re</v>
          </cell>
          <cell r="E106" t="str">
            <v>F0604</v>
          </cell>
          <cell r="F106" t="str">
            <v>Main Replacement - ISRS (S)</v>
          </cell>
          <cell r="I106">
            <v>-520.87</v>
          </cell>
        </row>
        <row r="107">
          <cell r="B107" t="str">
            <v>N/A</v>
          </cell>
          <cell r="C107" t="str">
            <v>800072</v>
          </cell>
          <cell r="D107" t="str">
            <v>Tipton Grid Phase B - Bare steel re</v>
          </cell>
          <cell r="E107" t="str">
            <v>F0604</v>
          </cell>
          <cell r="F107" t="str">
            <v>Main Replacement - ISRS (S)</v>
          </cell>
          <cell r="I107">
            <v>-153.71</v>
          </cell>
        </row>
        <row r="108">
          <cell r="B108" t="str">
            <v>N/A</v>
          </cell>
          <cell r="C108" t="str">
            <v>800072</v>
          </cell>
          <cell r="D108" t="str">
            <v>Tipton Grid Phase B - Bare steel re</v>
          </cell>
          <cell r="E108" t="str">
            <v>F0604</v>
          </cell>
          <cell r="F108" t="str">
            <v>Main Replacement - ISRS (S)</v>
          </cell>
          <cell r="I108">
            <v>-7.0000000000000007E-2</v>
          </cell>
        </row>
        <row r="109">
          <cell r="B109" t="str">
            <v>N/A</v>
          </cell>
          <cell r="C109" t="str">
            <v>800072</v>
          </cell>
          <cell r="D109" t="str">
            <v>Tipton Grid Phase B - Bare steel re</v>
          </cell>
          <cell r="E109" t="str">
            <v>F0604</v>
          </cell>
          <cell r="F109" t="str">
            <v>Main Replacement - ISRS (S)</v>
          </cell>
          <cell r="I109">
            <v>5751.91</v>
          </cell>
        </row>
        <row r="110">
          <cell r="B110" t="str">
            <v>N/A</v>
          </cell>
          <cell r="C110" t="str">
            <v>800072</v>
          </cell>
          <cell r="D110" t="str">
            <v>Tipton Grid Phase B - Bare steel re</v>
          </cell>
          <cell r="E110" t="str">
            <v>F0604</v>
          </cell>
          <cell r="F110" t="str">
            <v>Main Replacement - ISRS (S)</v>
          </cell>
          <cell r="I110">
            <v>2.2599999999999998</v>
          </cell>
        </row>
        <row r="111">
          <cell r="B111" t="str">
            <v>N/A</v>
          </cell>
          <cell r="C111" t="str">
            <v>800073</v>
          </cell>
          <cell r="D111" t="str">
            <v>Tipton Grid Phase F - Bare steel re</v>
          </cell>
          <cell r="E111" t="str">
            <v>F0604</v>
          </cell>
          <cell r="F111" t="str">
            <v>Main Replacement - ISRS (S)</v>
          </cell>
          <cell r="I111">
            <v>5599.15</v>
          </cell>
        </row>
        <row r="112">
          <cell r="B112" t="str">
            <v>N/A</v>
          </cell>
          <cell r="C112" t="str">
            <v>800073</v>
          </cell>
          <cell r="D112" t="str">
            <v>Tipton Grid Phase F - Bare steel re</v>
          </cell>
          <cell r="E112" t="str">
            <v>F0604</v>
          </cell>
          <cell r="F112" t="str">
            <v>Main Replacement - ISRS (S)</v>
          </cell>
          <cell r="I112">
            <v>22859.34</v>
          </cell>
        </row>
        <row r="113">
          <cell r="B113" t="str">
            <v>N/A</v>
          </cell>
          <cell r="C113" t="str">
            <v>800075</v>
          </cell>
          <cell r="D113" t="str">
            <v>Tipton Grid Phase E - Bare steel re</v>
          </cell>
          <cell r="E113" t="str">
            <v>F0604</v>
          </cell>
          <cell r="F113" t="str">
            <v>Main Replacement - ISRS (S)</v>
          </cell>
          <cell r="I113">
            <v>-12.31</v>
          </cell>
        </row>
        <row r="114">
          <cell r="B114" t="str">
            <v>N/A</v>
          </cell>
          <cell r="C114" t="str">
            <v>800075</v>
          </cell>
          <cell r="D114" t="str">
            <v>Tipton Grid Phase E - Bare steel re</v>
          </cell>
          <cell r="E114" t="str">
            <v>F0604</v>
          </cell>
          <cell r="F114" t="str">
            <v>Main Replacement - ISRS (S)</v>
          </cell>
          <cell r="I114">
            <v>-0.02</v>
          </cell>
        </row>
        <row r="115">
          <cell r="B115" t="str">
            <v>N/A</v>
          </cell>
          <cell r="C115" t="str">
            <v>800075</v>
          </cell>
          <cell r="D115" t="str">
            <v>Tipton Grid Phase E - Bare steel re</v>
          </cell>
          <cell r="E115" t="str">
            <v>F0604</v>
          </cell>
          <cell r="F115" t="str">
            <v>Main Replacement - ISRS (S)</v>
          </cell>
          <cell r="I115">
            <v>12721.13</v>
          </cell>
        </row>
        <row r="116">
          <cell r="B116" t="str">
            <v>N/A</v>
          </cell>
          <cell r="C116" t="str">
            <v>800075</v>
          </cell>
          <cell r="D116" t="str">
            <v>Tipton Grid Phase E - Bare steel re</v>
          </cell>
          <cell r="E116" t="str">
            <v>F0604</v>
          </cell>
          <cell r="F116" t="str">
            <v>Main Replacement - ISRS (S)</v>
          </cell>
          <cell r="I116">
            <v>20.71</v>
          </cell>
        </row>
        <row r="117">
          <cell r="B117" t="str">
            <v>N/A</v>
          </cell>
          <cell r="C117" t="str">
            <v>800078</v>
          </cell>
          <cell r="D117" t="str">
            <v>Liberty Header - Phase 1</v>
          </cell>
          <cell r="E117" t="str">
            <v>F0599</v>
          </cell>
          <cell r="F117" t="str">
            <v>Main Replacement - ISRS (N)</v>
          </cell>
          <cell r="I117">
            <v>-432.84</v>
          </cell>
        </row>
        <row r="118">
          <cell r="B118" t="str">
            <v>N/A</v>
          </cell>
          <cell r="C118" t="str">
            <v>800078</v>
          </cell>
          <cell r="D118" t="str">
            <v>Liberty Header - Phase 1</v>
          </cell>
          <cell r="E118" t="str">
            <v>F0599</v>
          </cell>
          <cell r="F118" t="str">
            <v>Main Replacement - ISRS (N)</v>
          </cell>
          <cell r="I118">
            <v>333.5</v>
          </cell>
        </row>
        <row r="119">
          <cell r="B119" t="str">
            <v>N/A</v>
          </cell>
          <cell r="C119" t="str">
            <v>800083</v>
          </cell>
          <cell r="D119" t="str">
            <v>Holden Grid Phase 2I</v>
          </cell>
          <cell r="E119" t="str">
            <v>F0604</v>
          </cell>
          <cell r="F119" t="str">
            <v>Main Replacement - ISRS (S)</v>
          </cell>
          <cell r="I119">
            <v>1058.54</v>
          </cell>
        </row>
        <row r="120">
          <cell r="B120" t="str">
            <v>N/A</v>
          </cell>
          <cell r="C120" t="str">
            <v>800083</v>
          </cell>
          <cell r="D120" t="str">
            <v>Holden Grid Phase 2I</v>
          </cell>
          <cell r="E120" t="str">
            <v>F0604</v>
          </cell>
          <cell r="F120" t="str">
            <v>Main Replacement - ISRS (S)</v>
          </cell>
          <cell r="I120">
            <v>11.92</v>
          </cell>
        </row>
        <row r="121">
          <cell r="B121" t="str">
            <v>N/A</v>
          </cell>
          <cell r="C121" t="str">
            <v>800083</v>
          </cell>
          <cell r="D121" t="str">
            <v>Holden Grid Phase 2I</v>
          </cell>
          <cell r="E121" t="str">
            <v>F0604</v>
          </cell>
          <cell r="F121" t="str">
            <v>Main Replacement - ISRS (S)</v>
          </cell>
          <cell r="I121">
            <v>1925.7</v>
          </cell>
        </row>
        <row r="122">
          <cell r="B122" t="str">
            <v>N/A</v>
          </cell>
          <cell r="C122" t="str">
            <v>800083</v>
          </cell>
          <cell r="D122" t="str">
            <v>Holden Grid Phase 2I</v>
          </cell>
          <cell r="E122" t="str">
            <v>F0604</v>
          </cell>
          <cell r="F122" t="str">
            <v>Main Replacement - ISRS (S)</v>
          </cell>
          <cell r="I122">
            <v>21.7</v>
          </cell>
        </row>
        <row r="123">
          <cell r="B123" t="str">
            <v>N/A</v>
          </cell>
          <cell r="C123" t="str">
            <v>800084</v>
          </cell>
          <cell r="D123" t="str">
            <v>Holden Grid Phase 2H</v>
          </cell>
          <cell r="E123" t="str">
            <v>F0604</v>
          </cell>
          <cell r="F123" t="str">
            <v>Main Replacement - ISRS (S)</v>
          </cell>
          <cell r="I123">
            <v>11804.01</v>
          </cell>
        </row>
        <row r="124">
          <cell r="B124" t="str">
            <v>N/A</v>
          </cell>
          <cell r="C124" t="str">
            <v>800084</v>
          </cell>
          <cell r="D124" t="str">
            <v>Holden Grid Phase 2H</v>
          </cell>
          <cell r="E124" t="str">
            <v>F0604</v>
          </cell>
          <cell r="F124" t="str">
            <v>Main Replacement - ISRS (S)</v>
          </cell>
          <cell r="I124">
            <v>153.94999999999999</v>
          </cell>
        </row>
        <row r="125">
          <cell r="B125" t="str">
            <v>N/A</v>
          </cell>
          <cell r="C125" t="str">
            <v>800084</v>
          </cell>
          <cell r="D125" t="str">
            <v>Holden Grid Phase 2H</v>
          </cell>
          <cell r="E125" t="str">
            <v>F0604</v>
          </cell>
          <cell r="F125" t="str">
            <v>Main Replacement - ISRS (S)</v>
          </cell>
          <cell r="I125">
            <v>1129.0899999999999</v>
          </cell>
        </row>
        <row r="126">
          <cell r="B126" t="str">
            <v>N/A</v>
          </cell>
          <cell r="C126" t="str">
            <v>800084</v>
          </cell>
          <cell r="D126" t="str">
            <v>Holden Grid Phase 2H</v>
          </cell>
          <cell r="E126" t="str">
            <v>F0604</v>
          </cell>
          <cell r="F126" t="str">
            <v>Main Replacement - ISRS (S)</v>
          </cell>
          <cell r="I126">
            <v>14.72</v>
          </cell>
        </row>
        <row r="127">
          <cell r="B127" t="str">
            <v>N/A</v>
          </cell>
          <cell r="C127" t="str">
            <v>800085</v>
          </cell>
          <cell r="D127" t="str">
            <v>Holden Grid Phase 2G</v>
          </cell>
          <cell r="E127" t="str">
            <v>F0604</v>
          </cell>
          <cell r="F127" t="str">
            <v>Main Replacement - ISRS (S)</v>
          </cell>
          <cell r="I127">
            <v>15917.24</v>
          </cell>
        </row>
        <row r="128">
          <cell r="B128" t="str">
            <v>N/A</v>
          </cell>
          <cell r="C128" t="str">
            <v>800085</v>
          </cell>
          <cell r="D128" t="str">
            <v>Holden Grid Phase 2G</v>
          </cell>
          <cell r="E128" t="str">
            <v>F0604</v>
          </cell>
          <cell r="F128" t="str">
            <v>Main Replacement - ISRS (S)</v>
          </cell>
          <cell r="I128">
            <v>272.72000000000003</v>
          </cell>
        </row>
        <row r="129">
          <cell r="B129" t="str">
            <v>N/A</v>
          </cell>
          <cell r="C129" t="str">
            <v>800085</v>
          </cell>
          <cell r="D129" t="str">
            <v>Holden Grid Phase 2G</v>
          </cell>
          <cell r="E129" t="str">
            <v>F0604</v>
          </cell>
          <cell r="F129" t="str">
            <v>Main Replacement - ISRS (S)</v>
          </cell>
          <cell r="I129">
            <v>526.04999999999995</v>
          </cell>
        </row>
        <row r="130">
          <cell r="B130" t="str">
            <v>N/A</v>
          </cell>
          <cell r="C130" t="str">
            <v>800085</v>
          </cell>
          <cell r="D130" t="str">
            <v>Holden Grid Phase 2G</v>
          </cell>
          <cell r="E130" t="str">
            <v>F0604</v>
          </cell>
          <cell r="F130" t="str">
            <v>Main Replacement - ISRS (S)</v>
          </cell>
          <cell r="I130">
            <v>9.01</v>
          </cell>
        </row>
        <row r="131">
          <cell r="B131" t="str">
            <v>N/A</v>
          </cell>
          <cell r="C131" t="str">
            <v>800086</v>
          </cell>
          <cell r="D131" t="str">
            <v>Holden Grid Phase 2F</v>
          </cell>
          <cell r="E131" t="str">
            <v>F0604</v>
          </cell>
          <cell r="F131" t="str">
            <v>Main Replacement - ISRS (S)</v>
          </cell>
          <cell r="I131">
            <v>10838.4</v>
          </cell>
        </row>
        <row r="132">
          <cell r="B132" t="str">
            <v>N/A</v>
          </cell>
          <cell r="C132" t="str">
            <v>800086</v>
          </cell>
          <cell r="D132" t="str">
            <v>Holden Grid Phase 2F</v>
          </cell>
          <cell r="E132" t="str">
            <v>F0604</v>
          </cell>
          <cell r="F132" t="str">
            <v>Main Replacement - ISRS (S)</v>
          </cell>
          <cell r="I132">
            <v>111.35</v>
          </cell>
        </row>
        <row r="133">
          <cell r="B133" t="str">
            <v>N/A</v>
          </cell>
          <cell r="C133" t="str">
            <v>800086</v>
          </cell>
          <cell r="D133" t="str">
            <v>Holden Grid Phase 2F</v>
          </cell>
          <cell r="E133" t="str">
            <v>F0604</v>
          </cell>
          <cell r="F133" t="str">
            <v>Main Replacement - ISRS (S)</v>
          </cell>
          <cell r="I133">
            <v>1112.7</v>
          </cell>
        </row>
        <row r="134">
          <cell r="B134" t="str">
            <v>N/A</v>
          </cell>
          <cell r="C134" t="str">
            <v>800086</v>
          </cell>
          <cell r="D134" t="str">
            <v>Holden Grid Phase 2F</v>
          </cell>
          <cell r="E134" t="str">
            <v>F0604</v>
          </cell>
          <cell r="F134" t="str">
            <v>Main Replacement - ISRS (S)</v>
          </cell>
          <cell r="I134">
            <v>11.43</v>
          </cell>
        </row>
        <row r="135">
          <cell r="B135" t="str">
            <v>N/A</v>
          </cell>
          <cell r="C135" t="str">
            <v>800087</v>
          </cell>
          <cell r="D135" t="str">
            <v>Holden Grid Phase 2E</v>
          </cell>
          <cell r="E135" t="str">
            <v>F0604</v>
          </cell>
          <cell r="F135" t="str">
            <v>Main Replacement - ISRS (S)</v>
          </cell>
          <cell r="I135">
            <v>-0.19</v>
          </cell>
        </row>
        <row r="136">
          <cell r="B136" t="str">
            <v>N/A</v>
          </cell>
          <cell r="C136" t="str">
            <v>800087</v>
          </cell>
          <cell r="D136" t="str">
            <v>Holden Grid Phase 2E</v>
          </cell>
          <cell r="E136" t="str">
            <v>F0604</v>
          </cell>
          <cell r="F136" t="str">
            <v>Main Replacement - ISRS (S)</v>
          </cell>
          <cell r="I136">
            <v>-1080.55</v>
          </cell>
        </row>
        <row r="137">
          <cell r="B137" t="str">
            <v>N/A</v>
          </cell>
          <cell r="C137" t="str">
            <v>800087</v>
          </cell>
          <cell r="D137" t="str">
            <v>Holden Grid Phase 2E</v>
          </cell>
          <cell r="E137" t="str">
            <v>F0604</v>
          </cell>
          <cell r="F137" t="str">
            <v>Main Replacement - ISRS (S)</v>
          </cell>
          <cell r="I137">
            <v>-1.39</v>
          </cell>
        </row>
        <row r="138">
          <cell r="B138" t="str">
            <v>N/A</v>
          </cell>
          <cell r="C138" t="str">
            <v>800087</v>
          </cell>
          <cell r="D138" t="str">
            <v>Holden Grid Phase 2E</v>
          </cell>
          <cell r="E138" t="str">
            <v>F0604</v>
          </cell>
          <cell r="F138" t="str">
            <v>Main Replacement - ISRS (S)</v>
          </cell>
          <cell r="I138">
            <v>0.09</v>
          </cell>
        </row>
        <row r="139">
          <cell r="B139" t="str">
            <v>N/A</v>
          </cell>
          <cell r="C139" t="str">
            <v>800087</v>
          </cell>
          <cell r="D139" t="str">
            <v>Holden Grid Phase 2E</v>
          </cell>
          <cell r="E139" t="str">
            <v>F0604</v>
          </cell>
          <cell r="F139" t="str">
            <v>Main Replacement - ISRS (S)</v>
          </cell>
          <cell r="I139">
            <v>640.67999999999995</v>
          </cell>
        </row>
        <row r="140">
          <cell r="B140" t="str">
            <v>N/A</v>
          </cell>
          <cell r="C140" t="str">
            <v>800087</v>
          </cell>
          <cell r="D140" t="str">
            <v>Holden Grid Phase 2E</v>
          </cell>
          <cell r="E140" t="str">
            <v>F0604</v>
          </cell>
          <cell r="F140" t="str">
            <v>Main Replacement - ISRS (S)</v>
          </cell>
          <cell r="I140">
            <v>0.84</v>
          </cell>
        </row>
        <row r="141">
          <cell r="B141" t="str">
            <v>N/A</v>
          </cell>
          <cell r="C141" t="str">
            <v>800088</v>
          </cell>
          <cell r="D141" t="str">
            <v>Holden Grid Phase 2D</v>
          </cell>
          <cell r="E141" t="str">
            <v>F0604</v>
          </cell>
          <cell r="F141" t="str">
            <v>Main Replacement - ISRS (S)</v>
          </cell>
          <cell r="I141">
            <v>0.84</v>
          </cell>
        </row>
        <row r="142">
          <cell r="B142" t="str">
            <v>N/A</v>
          </cell>
          <cell r="C142" t="str">
            <v>800088</v>
          </cell>
          <cell r="D142" t="str">
            <v>Holden Grid Phase 2D</v>
          </cell>
          <cell r="E142" t="str">
            <v>F0604</v>
          </cell>
          <cell r="F142" t="str">
            <v>Main Replacement - ISRS (S)</v>
          </cell>
          <cell r="I142">
            <v>8962.92</v>
          </cell>
        </row>
        <row r="143">
          <cell r="B143" t="str">
            <v>N/A</v>
          </cell>
          <cell r="C143" t="str">
            <v>800088</v>
          </cell>
          <cell r="D143" t="str">
            <v>Holden Grid Phase 2D</v>
          </cell>
          <cell r="E143" t="str">
            <v>F0604</v>
          </cell>
          <cell r="F143" t="str">
            <v>Main Replacement - ISRS (S)</v>
          </cell>
          <cell r="I143">
            <v>14.77</v>
          </cell>
        </row>
        <row r="144">
          <cell r="B144" t="str">
            <v>N/A</v>
          </cell>
          <cell r="C144" t="str">
            <v>800088</v>
          </cell>
          <cell r="D144" t="str">
            <v>Holden Grid Phase 2D</v>
          </cell>
          <cell r="E144" t="str">
            <v>F0604</v>
          </cell>
          <cell r="F144" t="str">
            <v>Main Replacement - ISRS (S)</v>
          </cell>
          <cell r="I144">
            <v>0.09</v>
          </cell>
        </row>
        <row r="145">
          <cell r="B145" t="str">
            <v>N/A</v>
          </cell>
          <cell r="C145" t="str">
            <v>800088</v>
          </cell>
          <cell r="D145" t="str">
            <v>Holden Grid Phase 2D</v>
          </cell>
          <cell r="E145" t="str">
            <v>F0604</v>
          </cell>
          <cell r="F145" t="str">
            <v>Main Replacement - ISRS (S)</v>
          </cell>
          <cell r="I145">
            <v>1080.8699999999999</v>
          </cell>
        </row>
        <row r="146">
          <cell r="B146" t="str">
            <v>N/A</v>
          </cell>
          <cell r="C146" t="str">
            <v>800088</v>
          </cell>
          <cell r="D146" t="str">
            <v>Holden Grid Phase 2D</v>
          </cell>
          <cell r="E146" t="str">
            <v>F0604</v>
          </cell>
          <cell r="F146" t="str">
            <v>Main Replacement - ISRS (S)</v>
          </cell>
          <cell r="I146">
            <v>1.78</v>
          </cell>
        </row>
        <row r="147">
          <cell r="B147" t="str">
            <v>N/A</v>
          </cell>
          <cell r="C147" t="str">
            <v>800089</v>
          </cell>
          <cell r="D147" t="str">
            <v>Holden Grid Phase 2C</v>
          </cell>
          <cell r="E147" t="str">
            <v>F0604</v>
          </cell>
          <cell r="F147" t="str">
            <v>Main Replacement - ISRS (S)</v>
          </cell>
          <cell r="I147">
            <v>5834.44</v>
          </cell>
        </row>
        <row r="148">
          <cell r="B148" t="str">
            <v>N/A</v>
          </cell>
          <cell r="C148" t="str">
            <v>800089</v>
          </cell>
          <cell r="D148" t="str">
            <v>Holden Grid Phase 2C</v>
          </cell>
          <cell r="E148" t="str">
            <v>F0604</v>
          </cell>
          <cell r="F148" t="str">
            <v>Main Replacement - ISRS (S)</v>
          </cell>
          <cell r="I148">
            <v>0.51</v>
          </cell>
        </row>
        <row r="149">
          <cell r="B149" t="str">
            <v>N/A</v>
          </cell>
          <cell r="C149" t="str">
            <v>800089</v>
          </cell>
          <cell r="D149" t="str">
            <v>Holden Grid Phase 2C</v>
          </cell>
          <cell r="E149" t="str">
            <v>F0604</v>
          </cell>
          <cell r="F149" t="str">
            <v>Main Replacement - ISRS (S)</v>
          </cell>
          <cell r="I149">
            <v>274.27999999999997</v>
          </cell>
        </row>
        <row r="150">
          <cell r="B150" t="str">
            <v>N/A</v>
          </cell>
          <cell r="C150" t="str">
            <v>800089</v>
          </cell>
          <cell r="D150" t="str">
            <v>Holden Grid Phase 2C</v>
          </cell>
          <cell r="E150" t="str">
            <v>F0604</v>
          </cell>
          <cell r="F150" t="str">
            <v>Main Replacement - ISRS (S)</v>
          </cell>
          <cell r="I150">
            <v>0.03</v>
          </cell>
        </row>
        <row r="151">
          <cell r="B151" t="str">
            <v>N/A</v>
          </cell>
          <cell r="C151" t="str">
            <v>800104</v>
          </cell>
          <cell r="D151" t="str">
            <v>Centerview Grid Replacement Phase 1</v>
          </cell>
          <cell r="E151" t="str">
            <v>F0604</v>
          </cell>
          <cell r="F151" t="str">
            <v>Main Replacement - ISRS (S)</v>
          </cell>
          <cell r="I151">
            <v>20.51</v>
          </cell>
        </row>
        <row r="152">
          <cell r="B152" t="str">
            <v>N/A</v>
          </cell>
          <cell r="C152" t="str">
            <v>800104</v>
          </cell>
          <cell r="D152" t="str">
            <v>Centerview Grid Replacement Phase 1</v>
          </cell>
          <cell r="E152" t="str">
            <v>F0604</v>
          </cell>
          <cell r="F152" t="str">
            <v>Main Replacement - ISRS (S)</v>
          </cell>
          <cell r="I152">
            <v>-15.14</v>
          </cell>
        </row>
        <row r="153">
          <cell r="B153" t="str">
            <v>N/A</v>
          </cell>
          <cell r="C153" t="str">
            <v>800114</v>
          </cell>
          <cell r="D153" t="str">
            <v>Webb City Ph1A Grid Bare Steel Rep</v>
          </cell>
          <cell r="E153" t="str">
            <v>F0572</v>
          </cell>
          <cell r="F153" t="str">
            <v>Main Replacement - ISRS (SW)</v>
          </cell>
          <cell r="I153">
            <v>-744.49</v>
          </cell>
        </row>
        <row r="154">
          <cell r="B154" t="str">
            <v>N/A</v>
          </cell>
          <cell r="C154" t="str">
            <v>800114</v>
          </cell>
          <cell r="D154" t="str">
            <v>Webb City Ph1A Grid Bare Steel Rep</v>
          </cell>
          <cell r="E154" t="str">
            <v>F0572</v>
          </cell>
          <cell r="F154" t="str">
            <v>Main Replacement - ISRS (SW)</v>
          </cell>
          <cell r="I154">
            <v>744.49</v>
          </cell>
        </row>
        <row r="155">
          <cell r="B155" t="str">
            <v>N/A</v>
          </cell>
          <cell r="C155" t="str">
            <v>800115</v>
          </cell>
          <cell r="D155" t="str">
            <v>Webb City Phase 1B Grid Bare Steel</v>
          </cell>
          <cell r="E155" t="str">
            <v>F0572</v>
          </cell>
          <cell r="F155" t="str">
            <v>Main Replacement - ISRS (SW)</v>
          </cell>
          <cell r="I155">
            <v>-14.24</v>
          </cell>
        </row>
        <row r="156">
          <cell r="B156" t="str">
            <v>N/A</v>
          </cell>
          <cell r="C156" t="str">
            <v>800115</v>
          </cell>
          <cell r="D156" t="str">
            <v>Webb City Phase 1B Grid Bare Steel</v>
          </cell>
          <cell r="E156" t="str">
            <v>F0572</v>
          </cell>
          <cell r="F156" t="str">
            <v>Main Replacement - ISRS (SW)</v>
          </cell>
          <cell r="I156">
            <v>-0.26</v>
          </cell>
        </row>
        <row r="157">
          <cell r="B157" t="str">
            <v>N/A</v>
          </cell>
          <cell r="C157" t="str">
            <v>800115</v>
          </cell>
          <cell r="D157" t="str">
            <v>Webb City Phase 1B Grid Bare Steel</v>
          </cell>
          <cell r="E157" t="str">
            <v>F0572</v>
          </cell>
          <cell r="F157" t="str">
            <v>Main Replacement - ISRS (SW)</v>
          </cell>
          <cell r="I157">
            <v>7196.27</v>
          </cell>
        </row>
        <row r="158">
          <cell r="B158" t="str">
            <v>N/A</v>
          </cell>
          <cell r="C158" t="str">
            <v>800115</v>
          </cell>
          <cell r="D158" t="str">
            <v>Webb City Phase 1B Grid Bare Steel</v>
          </cell>
          <cell r="E158" t="str">
            <v>F0572</v>
          </cell>
          <cell r="F158" t="str">
            <v>Main Replacement - ISRS (SW)</v>
          </cell>
          <cell r="I158">
            <v>-7185.14</v>
          </cell>
        </row>
        <row r="159">
          <cell r="B159" t="str">
            <v>N/A</v>
          </cell>
          <cell r="C159" t="str">
            <v>800116</v>
          </cell>
          <cell r="D159" t="str">
            <v>Webb City Phase 1C Grid Bare Steel</v>
          </cell>
          <cell r="E159" t="str">
            <v>F0572</v>
          </cell>
          <cell r="F159" t="str">
            <v>Main Replacement - ISRS (SW)</v>
          </cell>
          <cell r="I159">
            <v>677.12</v>
          </cell>
        </row>
        <row r="160">
          <cell r="B160" t="str">
            <v>N/A</v>
          </cell>
          <cell r="C160" t="str">
            <v>800116</v>
          </cell>
          <cell r="D160" t="str">
            <v>Webb City Phase 1C Grid Bare Steel</v>
          </cell>
          <cell r="E160" t="str">
            <v>F0572</v>
          </cell>
          <cell r="F160" t="str">
            <v>Main Replacement - ISRS (SW)</v>
          </cell>
          <cell r="I160">
            <v>-677.12</v>
          </cell>
        </row>
        <row r="161">
          <cell r="B161" t="str">
            <v>N/A</v>
          </cell>
          <cell r="C161" t="str">
            <v>800135</v>
          </cell>
          <cell r="D161" t="str">
            <v>St. Joe's South Phase 1A - MGE</v>
          </cell>
          <cell r="E161" t="str">
            <v>F0599</v>
          </cell>
          <cell r="F161" t="str">
            <v>Main Replacement - ISRS (N)</v>
          </cell>
          <cell r="I161">
            <v>1714.93</v>
          </cell>
        </row>
        <row r="162">
          <cell r="B162" t="str">
            <v>N/A</v>
          </cell>
          <cell r="C162" t="str">
            <v>800135</v>
          </cell>
          <cell r="D162" t="str">
            <v>St. Joe's South Phase 1A - MGE</v>
          </cell>
          <cell r="E162" t="str">
            <v>F0599</v>
          </cell>
          <cell r="F162" t="str">
            <v>Main Replacement - ISRS (N)</v>
          </cell>
          <cell r="I162">
            <v>26.13</v>
          </cell>
        </row>
        <row r="163">
          <cell r="B163" t="str">
            <v>N/A</v>
          </cell>
          <cell r="C163" t="str">
            <v>800136</v>
          </cell>
          <cell r="D163" t="str">
            <v>FY16 Strat Grid-St. Joe's South 1B</v>
          </cell>
          <cell r="E163" t="str">
            <v>F0599</v>
          </cell>
          <cell r="F163" t="str">
            <v>Main Replacement - ISRS (N)</v>
          </cell>
          <cell r="I163">
            <v>881.62</v>
          </cell>
        </row>
        <row r="164">
          <cell r="B164" t="str">
            <v>N/A</v>
          </cell>
          <cell r="C164" t="str">
            <v>800136</v>
          </cell>
          <cell r="D164" t="str">
            <v>FY16 Strat Grid-St. Joe's South 1B</v>
          </cell>
          <cell r="E164" t="str">
            <v>F0599</v>
          </cell>
          <cell r="F164" t="str">
            <v>Main Replacement - ISRS (N)</v>
          </cell>
          <cell r="I164">
            <v>24.67</v>
          </cell>
        </row>
        <row r="165">
          <cell r="B165" t="str">
            <v>N/A</v>
          </cell>
          <cell r="C165" t="str">
            <v>800136</v>
          </cell>
          <cell r="D165" t="str">
            <v>FY16 Strat Grid-St. Joe's South 1B</v>
          </cell>
          <cell r="E165" t="str">
            <v>F0599</v>
          </cell>
          <cell r="F165" t="str">
            <v>Main Replacement - ISRS (N)</v>
          </cell>
          <cell r="I165">
            <v>-174.17</v>
          </cell>
        </row>
        <row r="166">
          <cell r="B166" t="str">
            <v>N/A</v>
          </cell>
          <cell r="C166" t="str">
            <v>800136</v>
          </cell>
          <cell r="D166" t="str">
            <v>FY16 Strat Grid-St. Joe's South 1B</v>
          </cell>
          <cell r="E166" t="str">
            <v>F0599</v>
          </cell>
          <cell r="F166" t="str">
            <v>Main Replacement - ISRS (N)</v>
          </cell>
          <cell r="I166">
            <v>-4.87</v>
          </cell>
        </row>
        <row r="167">
          <cell r="B167" t="str">
            <v>N/A</v>
          </cell>
          <cell r="C167" t="str">
            <v>800137</v>
          </cell>
          <cell r="D167" t="str">
            <v>St. Joe's South Phase 1C - MGE</v>
          </cell>
          <cell r="E167" t="str">
            <v>F0599</v>
          </cell>
          <cell r="F167" t="str">
            <v>Main Replacement - ISRS (N)</v>
          </cell>
          <cell r="I167">
            <v>41699.64</v>
          </cell>
        </row>
        <row r="168">
          <cell r="B168" t="str">
            <v>N/A</v>
          </cell>
          <cell r="C168" t="str">
            <v>800137</v>
          </cell>
          <cell r="D168" t="str">
            <v>St. Joe's South Phase 1C - MGE</v>
          </cell>
          <cell r="E168" t="str">
            <v>F0599</v>
          </cell>
          <cell r="F168" t="str">
            <v>Main Replacement - ISRS (N)</v>
          </cell>
          <cell r="I168">
            <v>367.67</v>
          </cell>
        </row>
        <row r="169">
          <cell r="B169" t="str">
            <v>N/A</v>
          </cell>
          <cell r="C169" t="str">
            <v>800137</v>
          </cell>
          <cell r="D169" t="str">
            <v>St. Joe's South Phase 1C - MGE</v>
          </cell>
          <cell r="E169" t="str">
            <v>F0599</v>
          </cell>
          <cell r="F169" t="str">
            <v>Main Replacement - ISRS (N)</v>
          </cell>
          <cell r="I169">
            <v>885.68</v>
          </cell>
        </row>
        <row r="170">
          <cell r="B170" t="str">
            <v>N/A</v>
          </cell>
          <cell r="C170" t="str">
            <v>800137</v>
          </cell>
          <cell r="D170" t="str">
            <v>St. Joe's South Phase 1C - MGE</v>
          </cell>
          <cell r="E170" t="str">
            <v>F0599</v>
          </cell>
          <cell r="F170" t="str">
            <v>Main Replacement - ISRS (N)</v>
          </cell>
          <cell r="I170">
            <v>7.81</v>
          </cell>
        </row>
        <row r="171">
          <cell r="B171" t="str">
            <v>N/A</v>
          </cell>
          <cell r="C171" t="str">
            <v>800138</v>
          </cell>
          <cell r="D171" t="str">
            <v>St. Joe's South Phase 1D - MGE</v>
          </cell>
          <cell r="E171" t="str">
            <v>F0599</v>
          </cell>
          <cell r="F171" t="str">
            <v>Main Replacement - ISRS (N)</v>
          </cell>
          <cell r="I171">
            <v>-5895.54</v>
          </cell>
        </row>
        <row r="172">
          <cell r="B172" t="str">
            <v>N/A</v>
          </cell>
          <cell r="C172" t="str">
            <v>800138</v>
          </cell>
          <cell r="D172" t="str">
            <v>St. Joe's South Phase 1D - MGE</v>
          </cell>
          <cell r="E172" t="str">
            <v>F0599</v>
          </cell>
          <cell r="F172" t="str">
            <v>Main Replacement - ISRS (N)</v>
          </cell>
          <cell r="I172">
            <v>-73.12</v>
          </cell>
        </row>
        <row r="173">
          <cell r="B173" t="str">
            <v>N/A</v>
          </cell>
          <cell r="C173" t="str">
            <v>800138</v>
          </cell>
          <cell r="D173" t="str">
            <v>St. Joe's South Phase 1D - MGE</v>
          </cell>
          <cell r="E173" t="str">
            <v>F0599</v>
          </cell>
          <cell r="F173" t="str">
            <v>Main Replacement - ISRS (N)</v>
          </cell>
          <cell r="I173">
            <v>5276.87</v>
          </cell>
        </row>
        <row r="174">
          <cell r="B174" t="str">
            <v>N/A</v>
          </cell>
          <cell r="C174" t="str">
            <v>800138</v>
          </cell>
          <cell r="D174" t="str">
            <v>St. Joe's South Phase 1D - MGE</v>
          </cell>
          <cell r="E174" t="str">
            <v>F0599</v>
          </cell>
          <cell r="F174" t="str">
            <v>Main Replacement - ISRS (N)</v>
          </cell>
          <cell r="I174">
            <v>65.47</v>
          </cell>
        </row>
        <row r="175">
          <cell r="B175" t="str">
            <v>N/A</v>
          </cell>
          <cell r="C175" t="str">
            <v>800142</v>
          </cell>
          <cell r="D175" t="str">
            <v>Hwy 71 and Gregory Grid Replace PhB</v>
          </cell>
          <cell r="E175" t="str">
            <v>F0599</v>
          </cell>
          <cell r="F175" t="str">
            <v>Main Replacement - ISRS (N)</v>
          </cell>
          <cell r="I175">
            <v>-328.15</v>
          </cell>
        </row>
        <row r="176">
          <cell r="B176" t="str">
            <v>N/A</v>
          </cell>
          <cell r="C176" t="str">
            <v>800142</v>
          </cell>
          <cell r="D176" t="str">
            <v>Hwy 71 and Gregory Grid Replace PhB</v>
          </cell>
          <cell r="E176" t="str">
            <v>F0599</v>
          </cell>
          <cell r="F176" t="str">
            <v>Main Replacement - ISRS (N)</v>
          </cell>
          <cell r="I176">
            <v>-88.27</v>
          </cell>
        </row>
        <row r="177">
          <cell r="B177" t="str">
            <v>N/A</v>
          </cell>
          <cell r="C177" t="str">
            <v>800142</v>
          </cell>
          <cell r="D177" t="str">
            <v>Hwy 71 and Gregory Grid Replace PhB</v>
          </cell>
          <cell r="E177" t="str">
            <v>F0599</v>
          </cell>
          <cell r="F177" t="str">
            <v>Main Replacement - ISRS (N)</v>
          </cell>
          <cell r="I177">
            <v>503.46</v>
          </cell>
        </row>
        <row r="178">
          <cell r="B178" t="str">
            <v>N/A</v>
          </cell>
          <cell r="C178" t="str">
            <v>800142</v>
          </cell>
          <cell r="D178" t="str">
            <v>Hwy 71 and Gregory Grid Replace PhB</v>
          </cell>
          <cell r="E178" t="str">
            <v>F0599</v>
          </cell>
          <cell r="F178" t="str">
            <v>Main Replacement - ISRS (N)</v>
          </cell>
          <cell r="I178">
            <v>135.44999999999999</v>
          </cell>
        </row>
        <row r="179">
          <cell r="B179" t="str">
            <v>N/A</v>
          </cell>
          <cell r="C179" t="str">
            <v>800143</v>
          </cell>
          <cell r="D179" t="str">
            <v>Hwy 71 &amp; Gregory Grid Replace PhC</v>
          </cell>
          <cell r="E179" t="str">
            <v>F0599</v>
          </cell>
          <cell r="F179" t="str">
            <v>Main Replacement - ISRS (N)</v>
          </cell>
          <cell r="I179">
            <v>-78.709999999999994</v>
          </cell>
        </row>
        <row r="180">
          <cell r="B180" t="str">
            <v>N/A</v>
          </cell>
          <cell r="C180" t="str">
            <v>800143</v>
          </cell>
          <cell r="D180" t="str">
            <v>Hwy 71 &amp; Gregory Grid Replace PhC</v>
          </cell>
          <cell r="E180" t="str">
            <v>F0599</v>
          </cell>
          <cell r="F180" t="str">
            <v>Main Replacement - ISRS (N)</v>
          </cell>
          <cell r="I180">
            <v>-11.4</v>
          </cell>
        </row>
        <row r="181">
          <cell r="B181" t="str">
            <v>N/A</v>
          </cell>
          <cell r="C181" t="str">
            <v>800143</v>
          </cell>
          <cell r="D181" t="str">
            <v>Hwy 71 &amp; Gregory Grid Replace PhC</v>
          </cell>
          <cell r="E181" t="str">
            <v>F0599</v>
          </cell>
          <cell r="F181" t="str">
            <v>Main Replacement - ISRS (N)</v>
          </cell>
          <cell r="I181">
            <v>48.08</v>
          </cell>
        </row>
        <row r="182">
          <cell r="B182" t="str">
            <v>N/A</v>
          </cell>
          <cell r="C182" t="str">
            <v>800143</v>
          </cell>
          <cell r="D182" t="str">
            <v>Hwy 71 &amp; Gregory Grid Replace PhC</v>
          </cell>
          <cell r="E182" t="str">
            <v>F0599</v>
          </cell>
          <cell r="F182" t="str">
            <v>Main Replacement - ISRS (N)</v>
          </cell>
          <cell r="I182">
            <v>6.98</v>
          </cell>
        </row>
        <row r="183">
          <cell r="B183" t="str">
            <v>N/A</v>
          </cell>
          <cell r="C183" t="str">
            <v>800144</v>
          </cell>
          <cell r="D183" t="str">
            <v>Hwy 71 and Gregory Grid Repl PhD</v>
          </cell>
          <cell r="E183" t="str">
            <v>F0547</v>
          </cell>
          <cell r="F183" t="str">
            <v>Street &amp; Highway Relocates ISRS (N)</v>
          </cell>
          <cell r="I183">
            <v>3147.03</v>
          </cell>
        </row>
        <row r="184">
          <cell r="B184" t="str">
            <v>N/A</v>
          </cell>
          <cell r="C184" t="str">
            <v>800144</v>
          </cell>
          <cell r="D184" t="str">
            <v>Hwy 71 and Gregory Grid Repl PhD</v>
          </cell>
          <cell r="E184" t="str">
            <v>F0547</v>
          </cell>
          <cell r="F184" t="str">
            <v>Street &amp; Highway Relocates ISRS (N)</v>
          </cell>
          <cell r="I184">
            <v>656.45</v>
          </cell>
        </row>
        <row r="185">
          <cell r="B185" t="str">
            <v>N/A</v>
          </cell>
          <cell r="C185" t="str">
            <v>800145</v>
          </cell>
          <cell r="D185" t="str">
            <v>Repl w 4271F 4P- 71 &amp; Gregory Ph E</v>
          </cell>
          <cell r="E185" t="str">
            <v>F0599</v>
          </cell>
          <cell r="F185" t="str">
            <v>Main Replacement - ISRS (N)</v>
          </cell>
          <cell r="I185">
            <v>152.84</v>
          </cell>
        </row>
        <row r="186">
          <cell r="B186" t="str">
            <v>N/A</v>
          </cell>
          <cell r="C186" t="str">
            <v>800145</v>
          </cell>
          <cell r="D186" t="str">
            <v>Repl w 4271F 4P- 71 &amp; Gregory Ph E</v>
          </cell>
          <cell r="E186" t="str">
            <v>F0599</v>
          </cell>
          <cell r="F186" t="str">
            <v>Main Replacement - ISRS (N)</v>
          </cell>
          <cell r="I186">
            <v>0.43</v>
          </cell>
        </row>
        <row r="187">
          <cell r="B187" t="str">
            <v>N/A</v>
          </cell>
          <cell r="C187" t="str">
            <v>800145</v>
          </cell>
          <cell r="D187" t="str">
            <v>Repl w 4271F 4P- 71 &amp; Gregory Ph E</v>
          </cell>
          <cell r="E187" t="str">
            <v>F0599</v>
          </cell>
          <cell r="F187" t="str">
            <v>Main Replacement - ISRS (N)</v>
          </cell>
          <cell r="I187">
            <v>34.85</v>
          </cell>
        </row>
        <row r="188">
          <cell r="B188" t="str">
            <v>N/A</v>
          </cell>
          <cell r="C188" t="str">
            <v>800145</v>
          </cell>
          <cell r="D188" t="str">
            <v>Repl w 4271F 4P- 71 &amp; Gregory Ph E</v>
          </cell>
          <cell r="E188" t="str">
            <v>F0599</v>
          </cell>
          <cell r="F188" t="str">
            <v>Main Replacement - ISRS (N)</v>
          </cell>
          <cell r="I188">
            <v>43.04</v>
          </cell>
        </row>
        <row r="189">
          <cell r="B189" t="str">
            <v>N/A</v>
          </cell>
          <cell r="C189" t="str">
            <v>800145</v>
          </cell>
          <cell r="D189" t="str">
            <v>Repl w 4271F 4P- 71 &amp; Gregory Ph E</v>
          </cell>
          <cell r="E189" t="str">
            <v>F0599</v>
          </cell>
          <cell r="F189" t="str">
            <v>Main Replacement - ISRS (N)</v>
          </cell>
          <cell r="I189">
            <v>0.12</v>
          </cell>
        </row>
        <row r="190">
          <cell r="B190" t="str">
            <v>N/A</v>
          </cell>
          <cell r="C190" t="str">
            <v>800145</v>
          </cell>
          <cell r="D190" t="str">
            <v>Repl w 4271F 4P- 71 &amp; Gregory Ph E</v>
          </cell>
          <cell r="E190" t="str">
            <v>F0599</v>
          </cell>
          <cell r="F190" t="str">
            <v>Main Replacement - ISRS (N)</v>
          </cell>
          <cell r="I190">
            <v>9.82</v>
          </cell>
        </row>
        <row r="191">
          <cell r="B191" t="str">
            <v>N/A</v>
          </cell>
          <cell r="C191" t="str">
            <v>800146</v>
          </cell>
          <cell r="D191" t="str">
            <v>Repl w/ 4506F 2P Hwy71 &amp; Gregory-F</v>
          </cell>
          <cell r="E191" t="str">
            <v>F0599</v>
          </cell>
          <cell r="F191" t="str">
            <v>Main Replacement - ISRS (N)</v>
          </cell>
          <cell r="I191">
            <v>-380.09</v>
          </cell>
        </row>
        <row r="192">
          <cell r="B192" t="str">
            <v>N/A</v>
          </cell>
          <cell r="C192" t="str">
            <v>800146</v>
          </cell>
          <cell r="D192" t="str">
            <v>Repl w/ 4506F 2P Hwy71 &amp; Gregory-F</v>
          </cell>
          <cell r="E192" t="str">
            <v>F0599</v>
          </cell>
          <cell r="F192" t="str">
            <v>Main Replacement - ISRS (N)</v>
          </cell>
          <cell r="I192">
            <v>-1.19</v>
          </cell>
        </row>
        <row r="193">
          <cell r="B193" t="str">
            <v>N/A</v>
          </cell>
          <cell r="C193" t="str">
            <v>800146</v>
          </cell>
          <cell r="D193" t="str">
            <v>Repl w/ 4506F 2P Hwy71 &amp; Gregory-F</v>
          </cell>
          <cell r="E193" t="str">
            <v>F0599</v>
          </cell>
          <cell r="F193" t="str">
            <v>Main Replacement - ISRS (N)</v>
          </cell>
          <cell r="I193">
            <v>-44.86</v>
          </cell>
        </row>
        <row r="194">
          <cell r="B194" t="str">
            <v>N/A</v>
          </cell>
          <cell r="C194" t="str">
            <v>800146</v>
          </cell>
          <cell r="D194" t="str">
            <v>Repl w/ 4506F 2P Hwy71 &amp; Gregory-F</v>
          </cell>
          <cell r="E194" t="str">
            <v>F0599</v>
          </cell>
          <cell r="F194" t="str">
            <v>Main Replacement - ISRS (N)</v>
          </cell>
          <cell r="I194">
            <v>22221.61</v>
          </cell>
        </row>
        <row r="195">
          <cell r="B195" t="str">
            <v>N/A</v>
          </cell>
          <cell r="C195" t="str">
            <v>800146</v>
          </cell>
          <cell r="D195" t="str">
            <v>Repl w/ 4506F 2P Hwy71 &amp; Gregory-F</v>
          </cell>
          <cell r="E195" t="str">
            <v>F0599</v>
          </cell>
          <cell r="F195" t="str">
            <v>Main Replacement - ISRS (N)</v>
          </cell>
          <cell r="I195">
            <v>69.010000000000005</v>
          </cell>
        </row>
        <row r="196">
          <cell r="B196" t="str">
            <v>N/A</v>
          </cell>
          <cell r="C196" t="str">
            <v>800146</v>
          </cell>
          <cell r="D196" t="str">
            <v>Repl w/ 4506F 2P Hwy71 &amp; Gregory-F</v>
          </cell>
          <cell r="E196" t="str">
            <v>F0599</v>
          </cell>
          <cell r="F196" t="str">
            <v>Main Replacement - ISRS (N)</v>
          </cell>
          <cell r="I196">
            <v>2622.83</v>
          </cell>
        </row>
        <row r="197">
          <cell r="B197" t="str">
            <v>N/A</v>
          </cell>
          <cell r="C197" t="str">
            <v>800163</v>
          </cell>
          <cell r="D197" t="str">
            <v>Webb City Phase 1D Bare Steel Repla</v>
          </cell>
          <cell r="E197" t="str">
            <v>F0572</v>
          </cell>
          <cell r="F197" t="str">
            <v>Main Replacement - ISRS (SW)</v>
          </cell>
          <cell r="I197">
            <v>967.16</v>
          </cell>
        </row>
        <row r="198">
          <cell r="B198" t="str">
            <v>N/A</v>
          </cell>
          <cell r="C198" t="str">
            <v>800163</v>
          </cell>
          <cell r="D198" t="str">
            <v>Webb City Phase 1D Bare Steel Repla</v>
          </cell>
          <cell r="E198" t="str">
            <v>F0572</v>
          </cell>
          <cell r="F198" t="str">
            <v>Main Replacement - ISRS (SW)</v>
          </cell>
          <cell r="I198">
            <v>200.25</v>
          </cell>
        </row>
        <row r="199">
          <cell r="B199" t="str">
            <v>N/A</v>
          </cell>
          <cell r="C199" t="str">
            <v>800163</v>
          </cell>
          <cell r="D199" t="str">
            <v>Webb City Phase 1D Bare Steel Repla</v>
          </cell>
          <cell r="E199" t="str">
            <v>F0572</v>
          </cell>
          <cell r="F199" t="str">
            <v>Main Replacement - ISRS (SW)</v>
          </cell>
          <cell r="I199">
            <v>1028.3499999999999</v>
          </cell>
        </row>
        <row r="200">
          <cell r="B200" t="str">
            <v>N/A</v>
          </cell>
          <cell r="C200" t="str">
            <v>800163</v>
          </cell>
          <cell r="D200" t="str">
            <v>Webb City Phase 1D Bare Steel Repla</v>
          </cell>
          <cell r="E200" t="str">
            <v>F0572</v>
          </cell>
          <cell r="F200" t="str">
            <v>Main Replacement - ISRS (SW)</v>
          </cell>
          <cell r="I200">
            <v>212.94</v>
          </cell>
        </row>
        <row r="201">
          <cell r="B201" t="str">
            <v>N/A</v>
          </cell>
          <cell r="C201" t="str">
            <v>800178</v>
          </cell>
          <cell r="D201" t="str">
            <v>Webb City Phase 1E Grid Repl</v>
          </cell>
          <cell r="E201" t="str">
            <v>F0572</v>
          </cell>
          <cell r="F201" t="str">
            <v>Main Replacement - ISRS (SW)</v>
          </cell>
          <cell r="I201">
            <v>1034.31</v>
          </cell>
        </row>
        <row r="202">
          <cell r="B202" t="str">
            <v>N/A</v>
          </cell>
          <cell r="C202" t="str">
            <v>800178</v>
          </cell>
          <cell r="D202" t="str">
            <v>Webb City Phase 1E Grid Repl</v>
          </cell>
          <cell r="E202" t="str">
            <v>F0572</v>
          </cell>
          <cell r="F202" t="str">
            <v>Main Replacement - ISRS (SW)</v>
          </cell>
          <cell r="I202">
            <v>27.82</v>
          </cell>
        </row>
        <row r="203">
          <cell r="B203" t="str">
            <v>N/A</v>
          </cell>
          <cell r="C203" t="str">
            <v>800178</v>
          </cell>
          <cell r="D203" t="str">
            <v>Webb City Phase 1E Grid Repl</v>
          </cell>
          <cell r="E203" t="str">
            <v>F0572</v>
          </cell>
          <cell r="F203" t="str">
            <v>Main Replacement - ISRS (SW)</v>
          </cell>
          <cell r="I203">
            <v>-1727.22</v>
          </cell>
        </row>
        <row r="204">
          <cell r="B204" t="str">
            <v>N/A</v>
          </cell>
          <cell r="C204" t="str">
            <v>800178</v>
          </cell>
          <cell r="D204" t="str">
            <v>Webb City Phase 1E Grid Repl</v>
          </cell>
          <cell r="E204" t="str">
            <v>F0572</v>
          </cell>
          <cell r="F204" t="str">
            <v>Main Replacement - ISRS (SW)</v>
          </cell>
          <cell r="I204">
            <v>-46.47</v>
          </cell>
        </row>
        <row r="205">
          <cell r="B205" t="str">
            <v>N/A</v>
          </cell>
          <cell r="C205" t="str">
            <v>800179</v>
          </cell>
          <cell r="D205" t="str">
            <v>Webb City Phase 1F Grid Repl</v>
          </cell>
          <cell r="E205" t="str">
            <v>F0572</v>
          </cell>
          <cell r="F205" t="str">
            <v>Main Replacement - ISRS (SW)</v>
          </cell>
          <cell r="I205">
            <v>14167.82</v>
          </cell>
        </row>
        <row r="206">
          <cell r="B206" t="str">
            <v>N/A</v>
          </cell>
          <cell r="C206" t="str">
            <v>800179</v>
          </cell>
          <cell r="D206" t="str">
            <v>Webb City Phase 1F Grid Repl</v>
          </cell>
          <cell r="E206" t="str">
            <v>F0572</v>
          </cell>
          <cell r="F206" t="str">
            <v>Main Replacement - ISRS (SW)</v>
          </cell>
          <cell r="I206">
            <v>10.1</v>
          </cell>
        </row>
        <row r="207">
          <cell r="B207" t="str">
            <v>N/A</v>
          </cell>
          <cell r="C207" t="str">
            <v>800179</v>
          </cell>
          <cell r="D207" t="str">
            <v>Webb City Phase 1F Grid Repl</v>
          </cell>
          <cell r="E207" t="str">
            <v>F0572</v>
          </cell>
          <cell r="F207" t="str">
            <v>Main Replacement - ISRS (SW)</v>
          </cell>
          <cell r="I207">
            <v>-4392.83</v>
          </cell>
        </row>
        <row r="208">
          <cell r="B208" t="str">
            <v>N/A</v>
          </cell>
          <cell r="C208" t="str">
            <v>800179</v>
          </cell>
          <cell r="D208" t="str">
            <v>Webb City Phase 1F Grid Repl</v>
          </cell>
          <cell r="E208" t="str">
            <v>F0572</v>
          </cell>
          <cell r="F208" t="str">
            <v>Main Replacement - ISRS (SW)</v>
          </cell>
          <cell r="I208">
            <v>-3.14</v>
          </cell>
        </row>
        <row r="209">
          <cell r="B209" t="str">
            <v>N/A</v>
          </cell>
          <cell r="C209" t="str">
            <v>800189</v>
          </cell>
          <cell r="D209" t="str">
            <v>Rel w/ 2515F 4P Tudor Rd Ph2</v>
          </cell>
          <cell r="E209" t="str">
            <v>F0578</v>
          </cell>
          <cell r="F209" t="str">
            <v>Street &amp; Highway Relocates ISRS (S)</v>
          </cell>
          <cell r="I209">
            <v>108946.6</v>
          </cell>
        </row>
        <row r="210">
          <cell r="B210" t="str">
            <v>N/A</v>
          </cell>
          <cell r="C210" t="str">
            <v>800189</v>
          </cell>
          <cell r="D210" t="str">
            <v>Rel w/ 2515F 4P Tudor Rd Ph2</v>
          </cell>
          <cell r="E210" t="str">
            <v>F0578</v>
          </cell>
          <cell r="F210" t="str">
            <v>Street &amp; Highway Relocates ISRS (S)</v>
          </cell>
          <cell r="I210">
            <v>1797.12</v>
          </cell>
        </row>
        <row r="211">
          <cell r="B211" t="str">
            <v>N/A</v>
          </cell>
          <cell r="C211" t="str">
            <v>800194</v>
          </cell>
          <cell r="D211" t="str">
            <v>Repl w/ 865F 4P 26th &amp; Jackson</v>
          </cell>
          <cell r="E211" t="str">
            <v>F0572</v>
          </cell>
          <cell r="F211" t="str">
            <v>Main Replacement - ISRS (SW)</v>
          </cell>
          <cell r="I211">
            <v>-5098.3500000000004</v>
          </cell>
        </row>
        <row r="212">
          <cell r="B212" t="str">
            <v>N/A</v>
          </cell>
          <cell r="C212" t="str">
            <v>800196</v>
          </cell>
          <cell r="D212" t="str">
            <v>AOR - 2939 Brooklyn Ave</v>
          </cell>
          <cell r="E212" t="str">
            <v>F0599</v>
          </cell>
          <cell r="F212" t="str">
            <v>Main Replacement - ISRS (N)</v>
          </cell>
          <cell r="I212">
            <v>-2081.13</v>
          </cell>
        </row>
        <row r="213">
          <cell r="B213" t="str">
            <v>N/A</v>
          </cell>
          <cell r="C213" t="str">
            <v>800228</v>
          </cell>
          <cell r="D213" t="str">
            <v>31st and College Replacement - IUI</v>
          </cell>
          <cell r="E213" t="str">
            <v>F0599</v>
          </cell>
          <cell r="F213" t="str">
            <v>Main Replacement - ISRS (N)</v>
          </cell>
          <cell r="I213">
            <v>16441.93</v>
          </cell>
        </row>
        <row r="214">
          <cell r="B214" t="str">
            <v>N/A</v>
          </cell>
          <cell r="C214" t="str">
            <v>800228</v>
          </cell>
          <cell r="D214" t="str">
            <v>31st and College Replacement - IUI</v>
          </cell>
          <cell r="E214" t="str">
            <v>F0599</v>
          </cell>
          <cell r="F214" t="str">
            <v>Main Replacement - ISRS (N)</v>
          </cell>
          <cell r="I214">
            <v>1476.09</v>
          </cell>
        </row>
        <row r="215">
          <cell r="B215" t="str">
            <v>N/A</v>
          </cell>
          <cell r="C215" t="str">
            <v>800235</v>
          </cell>
          <cell r="D215" t="str">
            <v>CP15-042 and Bare Steel 4" Main Rep</v>
          </cell>
          <cell r="E215" t="str">
            <v>F0572</v>
          </cell>
          <cell r="F215" t="str">
            <v>Main Replacement - ISRS (SW)</v>
          </cell>
          <cell r="I215">
            <v>-1204.58</v>
          </cell>
        </row>
        <row r="216">
          <cell r="B216" t="str">
            <v>N/A</v>
          </cell>
          <cell r="C216" t="str">
            <v>800235</v>
          </cell>
          <cell r="D216" t="str">
            <v>CP15-042 and Bare Steel 4" Main Rep</v>
          </cell>
          <cell r="E216" t="str">
            <v>F0572</v>
          </cell>
          <cell r="F216" t="str">
            <v>Main Replacement - ISRS (SW)</v>
          </cell>
          <cell r="I216">
            <v>647.78</v>
          </cell>
        </row>
        <row r="217">
          <cell r="B217" t="str">
            <v>N/A</v>
          </cell>
          <cell r="C217" t="str">
            <v>800242</v>
          </cell>
          <cell r="D217" t="str">
            <v>Cast Iron Abandonment 55th &amp; Jackso</v>
          </cell>
          <cell r="E217" t="str">
            <v>F0599</v>
          </cell>
          <cell r="F217" t="str">
            <v>Main Replacement - ISRS (N)</v>
          </cell>
          <cell r="I217">
            <v>-46.74</v>
          </cell>
        </row>
        <row r="218">
          <cell r="B218" t="str">
            <v>N/A</v>
          </cell>
          <cell r="C218" t="str">
            <v>800242</v>
          </cell>
          <cell r="D218" t="str">
            <v>Cast Iron Abandonment 55th &amp; Jackso</v>
          </cell>
          <cell r="E218" t="str">
            <v>F0599</v>
          </cell>
          <cell r="F218" t="str">
            <v>Main Replacement - ISRS (N)</v>
          </cell>
          <cell r="I218">
            <v>-5.33</v>
          </cell>
        </row>
        <row r="219">
          <cell r="B219" t="str">
            <v>N/A</v>
          </cell>
          <cell r="C219" t="str">
            <v>800249</v>
          </cell>
          <cell r="D219" t="str">
            <v>Replace 2" Main-Savage &amp; Pacific</v>
          </cell>
          <cell r="E219" t="str">
            <v>F0604</v>
          </cell>
          <cell r="F219" t="str">
            <v>Main Replacement - ISRS (S)</v>
          </cell>
          <cell r="I219">
            <v>109.44</v>
          </cell>
        </row>
        <row r="220">
          <cell r="B220" t="str">
            <v>N/A</v>
          </cell>
          <cell r="C220" t="str">
            <v>800254</v>
          </cell>
          <cell r="D220" t="str">
            <v>Pleasant Hill Main Replacement- Pha</v>
          </cell>
          <cell r="E220" t="str">
            <v>F0604</v>
          </cell>
          <cell r="F220" t="str">
            <v>Main Replacement - ISRS (S)</v>
          </cell>
          <cell r="I220">
            <v>-0.48</v>
          </cell>
        </row>
        <row r="221">
          <cell r="B221" t="str">
            <v>N/A</v>
          </cell>
          <cell r="C221" t="str">
            <v>800254</v>
          </cell>
          <cell r="D221" t="str">
            <v>Pleasant Hill Main Replacement- Pha</v>
          </cell>
          <cell r="E221" t="str">
            <v>F0604</v>
          </cell>
          <cell r="F221" t="str">
            <v>Main Replacement - ISRS (S)</v>
          </cell>
          <cell r="I221">
            <v>-6498.03</v>
          </cell>
        </row>
        <row r="222">
          <cell r="B222" t="str">
            <v>N/A</v>
          </cell>
          <cell r="C222" t="str">
            <v>800254</v>
          </cell>
          <cell r="D222" t="str">
            <v>Pleasant Hill Main Replacement- Pha</v>
          </cell>
          <cell r="E222" t="str">
            <v>F0604</v>
          </cell>
          <cell r="F222" t="str">
            <v>Main Replacement - ISRS (S)</v>
          </cell>
          <cell r="I222">
            <v>-3.62</v>
          </cell>
        </row>
        <row r="223">
          <cell r="B223" t="str">
            <v>N/A</v>
          </cell>
          <cell r="C223" t="str">
            <v>800254</v>
          </cell>
          <cell r="D223" t="str">
            <v>Pleasant Hill Main Replacement- Pha</v>
          </cell>
          <cell r="E223" t="str">
            <v>F0604</v>
          </cell>
          <cell r="F223" t="str">
            <v>Main Replacement - ISRS (S)</v>
          </cell>
          <cell r="I223">
            <v>1.38</v>
          </cell>
        </row>
        <row r="224">
          <cell r="B224" t="str">
            <v>N/A</v>
          </cell>
          <cell r="C224" t="str">
            <v>800254</v>
          </cell>
          <cell r="D224" t="str">
            <v>Pleasant Hill Main Replacement- Pha</v>
          </cell>
          <cell r="E224" t="str">
            <v>F0604</v>
          </cell>
          <cell r="F224" t="str">
            <v>Main Replacement - ISRS (S)</v>
          </cell>
          <cell r="I224">
            <v>19109.57</v>
          </cell>
        </row>
        <row r="225">
          <cell r="B225" t="str">
            <v>N/A</v>
          </cell>
          <cell r="C225" t="str">
            <v>800254</v>
          </cell>
          <cell r="D225" t="str">
            <v>Pleasant Hill Main Replacement- Pha</v>
          </cell>
          <cell r="E225" t="str">
            <v>F0604</v>
          </cell>
          <cell r="F225" t="str">
            <v>Main Replacement - ISRS (S)</v>
          </cell>
          <cell r="I225">
            <v>10.69</v>
          </cell>
        </row>
        <row r="226">
          <cell r="B226" t="str">
            <v>N/A</v>
          </cell>
          <cell r="C226" t="str">
            <v>800255</v>
          </cell>
          <cell r="D226" t="str">
            <v>Pleasant Hill Main Replace-Phase 2</v>
          </cell>
          <cell r="E226" t="str">
            <v>F0604</v>
          </cell>
          <cell r="F226" t="str">
            <v>Main Replacement - ISRS (S)</v>
          </cell>
          <cell r="I226">
            <v>20147.21</v>
          </cell>
        </row>
        <row r="227">
          <cell r="B227" t="str">
            <v>N/A</v>
          </cell>
          <cell r="C227" t="str">
            <v>800255</v>
          </cell>
          <cell r="D227" t="str">
            <v>Pleasant Hill Main Replace-Phase 2</v>
          </cell>
          <cell r="E227" t="str">
            <v>F0604</v>
          </cell>
          <cell r="F227" t="str">
            <v>Main Replacement - ISRS (S)</v>
          </cell>
          <cell r="I227">
            <v>845.84</v>
          </cell>
        </row>
        <row r="228">
          <cell r="B228" t="str">
            <v>N/A</v>
          </cell>
          <cell r="C228" t="str">
            <v>800255</v>
          </cell>
          <cell r="D228" t="str">
            <v>Pleasant Hill Main Replace-Phase 2</v>
          </cell>
          <cell r="E228" t="str">
            <v>F0604</v>
          </cell>
          <cell r="F228" t="str">
            <v>Main Replacement - ISRS (S)</v>
          </cell>
          <cell r="I228">
            <v>527.91</v>
          </cell>
        </row>
        <row r="229">
          <cell r="B229" t="str">
            <v>N/A</v>
          </cell>
          <cell r="C229" t="str">
            <v>800255</v>
          </cell>
          <cell r="D229" t="str">
            <v>Pleasant Hill Main Replace-Phase 2</v>
          </cell>
          <cell r="E229" t="str">
            <v>F0604</v>
          </cell>
          <cell r="F229" t="str">
            <v>Main Replacement - ISRS (S)</v>
          </cell>
          <cell r="I229">
            <v>22.17</v>
          </cell>
        </row>
        <row r="230">
          <cell r="B230" t="str">
            <v>N/A</v>
          </cell>
          <cell r="C230" t="str">
            <v>800272</v>
          </cell>
          <cell r="D230" t="str">
            <v>AOR - 20th and McGee St Replacement</v>
          </cell>
          <cell r="E230" t="str">
            <v>F0599</v>
          </cell>
          <cell r="F230" t="str">
            <v>Main Replacement - ISRS (N)</v>
          </cell>
          <cell r="I230">
            <v>13307.55</v>
          </cell>
        </row>
        <row r="231">
          <cell r="B231" t="str">
            <v>N/A</v>
          </cell>
          <cell r="C231" t="str">
            <v>800272</v>
          </cell>
          <cell r="D231" t="str">
            <v>AOR - 20th and McGee St Replacement</v>
          </cell>
          <cell r="E231" t="str">
            <v>F0599</v>
          </cell>
          <cell r="F231" t="str">
            <v>Main Replacement - ISRS (N)</v>
          </cell>
          <cell r="I231">
            <v>1005.42</v>
          </cell>
        </row>
        <row r="232">
          <cell r="B232" t="str">
            <v>N/A</v>
          </cell>
          <cell r="C232" t="str">
            <v>800347</v>
          </cell>
          <cell r="D232" t="str">
            <v>AOR 3211 Cypress Ave Replacement -</v>
          </cell>
          <cell r="E232" t="str">
            <v>F0599</v>
          </cell>
          <cell r="F232" t="str">
            <v>Main Replacement - ISRS (N)</v>
          </cell>
          <cell r="I232">
            <v>742.14</v>
          </cell>
        </row>
        <row r="233">
          <cell r="B233" t="str">
            <v>N/A</v>
          </cell>
          <cell r="C233" t="str">
            <v>800377</v>
          </cell>
          <cell r="D233" t="str">
            <v>Rel w/ 568F 2S Rt 14 &amp; Hwy 160</v>
          </cell>
          <cell r="E233" t="str">
            <v>F0664</v>
          </cell>
          <cell r="F233" t="str">
            <v>Street &amp; Hwy Relocates ISRS (SW)</v>
          </cell>
          <cell r="I233">
            <v>20105.490000000002</v>
          </cell>
        </row>
        <row r="234">
          <cell r="B234" t="str">
            <v>N/A</v>
          </cell>
          <cell r="C234" t="str">
            <v>800377</v>
          </cell>
          <cell r="D234" t="str">
            <v>Rel w/ 568F 2S Rt 14 &amp; Hwy 160</v>
          </cell>
          <cell r="E234" t="str">
            <v>F0664</v>
          </cell>
          <cell r="F234" t="str">
            <v>Street &amp; Hwy Relocates ISRS (SW)</v>
          </cell>
          <cell r="I234">
            <v>390.75</v>
          </cell>
        </row>
        <row r="235">
          <cell r="B235" t="str">
            <v>N/A</v>
          </cell>
          <cell r="C235" t="str">
            <v>800385</v>
          </cell>
          <cell r="D235" t="str">
            <v>Rel w/ 2320F 2P 22nd&amp;23rd St-Wabash</v>
          </cell>
          <cell r="E235" t="str">
            <v>F0547</v>
          </cell>
          <cell r="F235" t="str">
            <v>Street &amp; Highway Relocates ISRS (N)</v>
          </cell>
          <cell r="I235">
            <v>-2766.62</v>
          </cell>
        </row>
        <row r="236">
          <cell r="B236" t="str">
            <v>N/A</v>
          </cell>
          <cell r="C236" t="str">
            <v>800385</v>
          </cell>
          <cell r="D236" t="str">
            <v>Rel w/ 2320F 2P 22nd&amp;23rd St-Wabash</v>
          </cell>
          <cell r="E236" t="str">
            <v>F0547</v>
          </cell>
          <cell r="F236" t="str">
            <v>Street &amp; Highway Relocates ISRS (N)</v>
          </cell>
          <cell r="I236">
            <v>-447.88</v>
          </cell>
        </row>
        <row r="237">
          <cell r="B237" t="str">
            <v>N/A</v>
          </cell>
          <cell r="C237" t="str">
            <v>800385</v>
          </cell>
          <cell r="D237" t="str">
            <v>Rel w/ 2320F 2P 22nd&amp;23rd St-Wabash</v>
          </cell>
          <cell r="E237" t="str">
            <v>F0547</v>
          </cell>
          <cell r="F237" t="str">
            <v>Street &amp; Highway Relocates ISRS (N)</v>
          </cell>
          <cell r="I237">
            <v>1831.6</v>
          </cell>
        </row>
        <row r="238">
          <cell r="B238" t="str">
            <v>N/A</v>
          </cell>
          <cell r="C238" t="str">
            <v>800385</v>
          </cell>
          <cell r="D238" t="str">
            <v>Rel w/ 2320F 2P 22nd&amp;23rd St-Wabash</v>
          </cell>
          <cell r="E238" t="str">
            <v>F0547</v>
          </cell>
          <cell r="F238" t="str">
            <v>Street &amp; Highway Relocates ISRS (N)</v>
          </cell>
          <cell r="I238">
            <v>296.51</v>
          </cell>
        </row>
        <row r="239">
          <cell r="B239" t="str">
            <v>N/A</v>
          </cell>
          <cell r="C239" t="str">
            <v>800386</v>
          </cell>
          <cell r="D239" t="str">
            <v>Repl w/ 1533F 2P Hwy 37 &amp; Walnut</v>
          </cell>
          <cell r="E239" t="str">
            <v>F0572</v>
          </cell>
          <cell r="F239" t="str">
            <v>Main Replacement - ISRS (SW)</v>
          </cell>
          <cell r="I239">
            <v>5113.9799999999996</v>
          </cell>
        </row>
        <row r="240">
          <cell r="B240" t="str">
            <v>N/A</v>
          </cell>
          <cell r="C240" t="str">
            <v>800386</v>
          </cell>
          <cell r="D240" t="str">
            <v>Repl w/ 1533F 2P Hwy 37 &amp; Walnut</v>
          </cell>
          <cell r="E240" t="str">
            <v>F0572</v>
          </cell>
          <cell r="F240" t="str">
            <v>Main Replacement - ISRS (SW)</v>
          </cell>
          <cell r="I240">
            <v>-5113.9799999999996</v>
          </cell>
        </row>
        <row r="241">
          <cell r="B241" t="str">
            <v>N/A</v>
          </cell>
          <cell r="C241" t="str">
            <v>800388</v>
          </cell>
          <cell r="D241" t="str">
            <v>Repl w/ 800F 2P Carnation Dr</v>
          </cell>
          <cell r="E241" t="str">
            <v>F0572</v>
          </cell>
          <cell r="F241" t="str">
            <v>Main Replacement - ISRS (SW)</v>
          </cell>
          <cell r="I241">
            <v>-1189.27</v>
          </cell>
        </row>
        <row r="242">
          <cell r="B242" t="str">
            <v>N/A</v>
          </cell>
          <cell r="C242" t="str">
            <v>800388</v>
          </cell>
          <cell r="D242" t="str">
            <v>Repl w/ 800F 2P Carnation Dr</v>
          </cell>
          <cell r="E242" t="str">
            <v>F0572</v>
          </cell>
          <cell r="F242" t="str">
            <v>Main Replacement - ISRS (SW)</v>
          </cell>
          <cell r="I242">
            <v>1189.27</v>
          </cell>
        </row>
        <row r="243">
          <cell r="B243" t="str">
            <v>N/A</v>
          </cell>
          <cell r="C243" t="str">
            <v>800391</v>
          </cell>
          <cell r="D243" t="str">
            <v>Repl w/ 88F 2P 2nd &amp; Broadway</v>
          </cell>
          <cell r="E243" t="str">
            <v>F0572</v>
          </cell>
          <cell r="F243" t="str">
            <v>Main Replacement - ISRS (SW)</v>
          </cell>
          <cell r="I243">
            <v>209.52</v>
          </cell>
        </row>
        <row r="244">
          <cell r="B244" t="str">
            <v>N/A</v>
          </cell>
          <cell r="C244" t="str">
            <v>800391</v>
          </cell>
          <cell r="D244" t="str">
            <v>Repl w/ 88F 2P 2nd &amp; Broadway</v>
          </cell>
          <cell r="E244" t="str">
            <v>F0572</v>
          </cell>
          <cell r="F244" t="str">
            <v>Main Replacement - ISRS (SW)</v>
          </cell>
          <cell r="I244">
            <v>4.74</v>
          </cell>
        </row>
        <row r="245">
          <cell r="B245" t="str">
            <v>N/A</v>
          </cell>
          <cell r="C245" t="str">
            <v>800397</v>
          </cell>
          <cell r="D245" t="str">
            <v>Rel w/ 2064F 2-6P 18th &amp; Evanston</v>
          </cell>
          <cell r="E245" t="str">
            <v>F0578</v>
          </cell>
          <cell r="F245" t="str">
            <v>Street &amp; Highway Relocates ISRS (S)</v>
          </cell>
          <cell r="I245">
            <v>346.27</v>
          </cell>
        </row>
        <row r="246">
          <cell r="B246" t="str">
            <v>N/A</v>
          </cell>
          <cell r="C246" t="str">
            <v>800397</v>
          </cell>
          <cell r="D246" t="str">
            <v>Rel w/ 2064F 2-6P 18th &amp; Evanston</v>
          </cell>
          <cell r="E246" t="str">
            <v>F0578</v>
          </cell>
          <cell r="F246" t="str">
            <v>Street &amp; Highway Relocates ISRS (S)</v>
          </cell>
          <cell r="I246">
            <v>12000.25</v>
          </cell>
        </row>
        <row r="247">
          <cell r="B247" t="str">
            <v>N/A</v>
          </cell>
          <cell r="C247" t="str">
            <v>800403</v>
          </cell>
          <cell r="D247" t="str">
            <v>Repl w/ 740F 2P 3rd and McKinley</v>
          </cell>
          <cell r="E247" t="str">
            <v>F0572</v>
          </cell>
          <cell r="F247" t="str">
            <v>Main Replacement - ISRS (SW)</v>
          </cell>
          <cell r="I247">
            <v>3919.19</v>
          </cell>
        </row>
        <row r="248">
          <cell r="B248" t="str">
            <v>N/A</v>
          </cell>
          <cell r="C248" t="str">
            <v>800403</v>
          </cell>
          <cell r="D248" t="str">
            <v>Repl w/ 740F 2P 3rd and McKinley</v>
          </cell>
          <cell r="E248" t="str">
            <v>F0572</v>
          </cell>
          <cell r="F248" t="str">
            <v>Main Replacement - ISRS (SW)</v>
          </cell>
          <cell r="I248">
            <v>-3883.56</v>
          </cell>
        </row>
        <row r="249">
          <cell r="B249" t="str">
            <v>N/A</v>
          </cell>
          <cell r="C249" t="str">
            <v>800408</v>
          </cell>
          <cell r="D249" t="str">
            <v>Repl w 455F 2P Kansas Ave &amp; 18th</v>
          </cell>
          <cell r="E249" t="str">
            <v>F0572</v>
          </cell>
          <cell r="F249" t="str">
            <v>Main Replacement - ISRS (SW)</v>
          </cell>
          <cell r="I249">
            <v>810.66</v>
          </cell>
        </row>
        <row r="250">
          <cell r="B250" t="str">
            <v>N/A</v>
          </cell>
          <cell r="C250" t="str">
            <v>800408</v>
          </cell>
          <cell r="D250" t="str">
            <v>Repl w 455F 2P Kansas Ave &amp; 18th</v>
          </cell>
          <cell r="E250" t="str">
            <v>F0572</v>
          </cell>
          <cell r="F250" t="str">
            <v>Main Replacement - ISRS (SW)</v>
          </cell>
          <cell r="I250">
            <v>18841.66</v>
          </cell>
        </row>
        <row r="251">
          <cell r="B251" t="str">
            <v>N/A</v>
          </cell>
          <cell r="C251" t="str">
            <v>800408</v>
          </cell>
          <cell r="D251" t="str">
            <v>Repl w 455F 2P Kansas Ave &amp; 18th</v>
          </cell>
          <cell r="E251" t="str">
            <v>F0572</v>
          </cell>
          <cell r="F251" t="str">
            <v>Main Replacement - ISRS (SW)</v>
          </cell>
          <cell r="I251">
            <v>130.94</v>
          </cell>
        </row>
        <row r="252">
          <cell r="B252" t="str">
            <v>N/A</v>
          </cell>
          <cell r="C252" t="str">
            <v>800416</v>
          </cell>
          <cell r="D252" t="str">
            <v>N Amity Ave main relocation</v>
          </cell>
          <cell r="E252" t="str">
            <v>F0547</v>
          </cell>
          <cell r="F252" t="str">
            <v>Street &amp; Highway Relocates ISRS (N)</v>
          </cell>
          <cell r="I252">
            <v>965</v>
          </cell>
        </row>
        <row r="253">
          <cell r="B253" t="str">
            <v>N/A</v>
          </cell>
          <cell r="C253" t="str">
            <v>800428</v>
          </cell>
          <cell r="D253" t="str">
            <v>Aber and MorrelRepl Bare Steel Main</v>
          </cell>
          <cell r="E253" t="str">
            <v>F0604</v>
          </cell>
          <cell r="F253" t="str">
            <v>Main Replacement - ISRS (S)</v>
          </cell>
          <cell r="I253">
            <v>-4007.6</v>
          </cell>
        </row>
        <row r="254">
          <cell r="B254" t="str">
            <v>N/A</v>
          </cell>
          <cell r="C254" t="str">
            <v>800430</v>
          </cell>
          <cell r="D254" t="str">
            <v>Repl w 4625F 2-4P TCLea&amp;Rogers Ph1</v>
          </cell>
          <cell r="E254" t="str">
            <v>F0604</v>
          </cell>
          <cell r="F254" t="str">
            <v>Main Replacement - ISRS (S)</v>
          </cell>
          <cell r="I254">
            <v>-248.73</v>
          </cell>
        </row>
        <row r="255">
          <cell r="B255" t="str">
            <v>N/A</v>
          </cell>
          <cell r="C255" t="str">
            <v>800430</v>
          </cell>
          <cell r="D255" t="str">
            <v>Repl w 4625F 2-4P TCLea&amp;Rogers Ph1</v>
          </cell>
          <cell r="E255" t="str">
            <v>F0604</v>
          </cell>
          <cell r="F255" t="str">
            <v>Main Replacement - ISRS (S)</v>
          </cell>
          <cell r="I255">
            <v>-5.86</v>
          </cell>
        </row>
        <row r="256">
          <cell r="B256" t="str">
            <v>N/A</v>
          </cell>
          <cell r="C256" t="str">
            <v>800430</v>
          </cell>
          <cell r="D256" t="str">
            <v>Repl w 4625F 2-4P TCLea&amp;Rogers Ph1</v>
          </cell>
          <cell r="E256" t="str">
            <v>F0604</v>
          </cell>
          <cell r="F256" t="str">
            <v>Main Replacement - ISRS (S)</v>
          </cell>
          <cell r="I256">
            <v>150.94</v>
          </cell>
        </row>
        <row r="257">
          <cell r="B257" t="str">
            <v>N/A</v>
          </cell>
          <cell r="C257" t="str">
            <v>800430</v>
          </cell>
          <cell r="D257" t="str">
            <v>Repl w 4625F 2-4P TCLea&amp;Rogers Ph1</v>
          </cell>
          <cell r="E257" t="str">
            <v>F0604</v>
          </cell>
          <cell r="F257" t="str">
            <v>Main Replacement - ISRS (S)</v>
          </cell>
          <cell r="I257">
            <v>3.56</v>
          </cell>
        </row>
        <row r="258">
          <cell r="B258" t="str">
            <v>N/A</v>
          </cell>
          <cell r="C258" t="str">
            <v>800543</v>
          </cell>
          <cell r="D258" t="str">
            <v>Repl w/ 4265F 2P TC Lea &amp;RogersPh2</v>
          </cell>
          <cell r="E258" t="str">
            <v>F0604</v>
          </cell>
          <cell r="F258" t="str">
            <v>Main Replacement - ISRS (S)</v>
          </cell>
          <cell r="I258">
            <v>1070.44</v>
          </cell>
        </row>
        <row r="259">
          <cell r="B259" t="str">
            <v>N/A</v>
          </cell>
          <cell r="C259" t="str">
            <v>800543</v>
          </cell>
          <cell r="D259" t="str">
            <v>Repl w/ 4265F 2P TC Lea &amp;RogersPh2</v>
          </cell>
          <cell r="E259" t="str">
            <v>F0604</v>
          </cell>
          <cell r="F259" t="str">
            <v>Main Replacement - ISRS (S)</v>
          </cell>
          <cell r="I259">
            <v>11.24</v>
          </cell>
        </row>
        <row r="260">
          <cell r="B260" t="str">
            <v>N/A</v>
          </cell>
          <cell r="C260" t="str">
            <v>800543</v>
          </cell>
          <cell r="D260" t="str">
            <v>Repl w/ 4265F 2P TC Lea &amp;RogersPh2</v>
          </cell>
          <cell r="E260" t="str">
            <v>F0604</v>
          </cell>
          <cell r="F260" t="str">
            <v>Main Replacement - ISRS (S)</v>
          </cell>
          <cell r="I260">
            <v>340.08</v>
          </cell>
        </row>
        <row r="261">
          <cell r="B261" t="str">
            <v>N/A</v>
          </cell>
          <cell r="C261" t="str">
            <v>800543</v>
          </cell>
          <cell r="D261" t="str">
            <v>Repl w/ 4265F 2P TC Lea &amp;RogersPh2</v>
          </cell>
          <cell r="E261" t="str">
            <v>F0604</v>
          </cell>
          <cell r="F261" t="str">
            <v>Main Replacement - ISRS (S)</v>
          </cell>
          <cell r="I261">
            <v>3.56</v>
          </cell>
        </row>
        <row r="262">
          <cell r="B262" t="str">
            <v>N/A</v>
          </cell>
          <cell r="C262" t="str">
            <v>800551</v>
          </cell>
          <cell r="D262" t="str">
            <v>Repl w/ 2962F 2P 58th and Olive</v>
          </cell>
          <cell r="E262" t="str">
            <v>F0599</v>
          </cell>
          <cell r="F262" t="str">
            <v>Main Replacement - ISRS (N)</v>
          </cell>
          <cell r="I262">
            <v>32673.68</v>
          </cell>
        </row>
        <row r="263">
          <cell r="B263" t="str">
            <v>N/A</v>
          </cell>
          <cell r="C263" t="str">
            <v>800551</v>
          </cell>
          <cell r="D263" t="str">
            <v>Repl w/ 2962F 2P 58th and Olive</v>
          </cell>
          <cell r="E263" t="str">
            <v>F0599</v>
          </cell>
          <cell r="F263" t="str">
            <v>Main Replacement - ISRS (N)</v>
          </cell>
          <cell r="I263">
            <v>70.87</v>
          </cell>
        </row>
        <row r="264">
          <cell r="B264" t="str">
            <v>N/A</v>
          </cell>
          <cell r="C264" t="str">
            <v>800551</v>
          </cell>
          <cell r="D264" t="str">
            <v>Repl w/ 2962F 2P 58th and Olive</v>
          </cell>
          <cell r="E264" t="str">
            <v>F0599</v>
          </cell>
          <cell r="F264" t="str">
            <v>Main Replacement - ISRS (N)</v>
          </cell>
          <cell r="I264">
            <v>2081.54</v>
          </cell>
        </row>
        <row r="265">
          <cell r="B265" t="str">
            <v>N/A</v>
          </cell>
          <cell r="C265" t="str">
            <v>800551</v>
          </cell>
          <cell r="D265" t="str">
            <v>Repl w/ 2962F 2P 58th and Olive</v>
          </cell>
          <cell r="E265" t="str">
            <v>F0599</v>
          </cell>
          <cell r="F265" t="str">
            <v>Main Replacement - ISRS (N)</v>
          </cell>
          <cell r="I265">
            <v>4.5199999999999996</v>
          </cell>
        </row>
        <row r="266">
          <cell r="B266" t="str">
            <v>N/A</v>
          </cell>
          <cell r="C266" t="str">
            <v>800557</v>
          </cell>
          <cell r="D266" t="str">
            <v>Repl 4185F 8S Colbern Feeder Main</v>
          </cell>
          <cell r="E266" t="str">
            <v>F0604</v>
          </cell>
          <cell r="F266" t="str">
            <v>Main Replacement - ISRS (S)</v>
          </cell>
          <cell r="I266">
            <v>-85.8</v>
          </cell>
        </row>
        <row r="267">
          <cell r="B267" t="str">
            <v>N/A</v>
          </cell>
          <cell r="C267" t="str">
            <v>800557</v>
          </cell>
          <cell r="D267" t="str">
            <v>Repl 4185F 8S Colbern Feeder Main</v>
          </cell>
          <cell r="E267" t="str">
            <v>F0604</v>
          </cell>
          <cell r="F267" t="str">
            <v>Main Replacement - ISRS (S)</v>
          </cell>
          <cell r="I267">
            <v>-0.33</v>
          </cell>
        </row>
        <row r="268">
          <cell r="B268" t="str">
            <v>N/A</v>
          </cell>
          <cell r="C268" t="str">
            <v>800557</v>
          </cell>
          <cell r="D268" t="str">
            <v>Repl 4185F 8S Colbern Feeder Main</v>
          </cell>
          <cell r="E268" t="str">
            <v>F0604</v>
          </cell>
          <cell r="F268" t="str">
            <v>Main Replacement - ISRS (S)</v>
          </cell>
          <cell r="I268">
            <v>79.400000000000006</v>
          </cell>
        </row>
        <row r="269">
          <cell r="B269" t="str">
            <v>N/A</v>
          </cell>
          <cell r="C269" t="str">
            <v>800557</v>
          </cell>
          <cell r="D269" t="str">
            <v>Repl 4185F 8S Colbern Feeder Main</v>
          </cell>
          <cell r="E269" t="str">
            <v>F0604</v>
          </cell>
          <cell r="F269" t="str">
            <v>Main Replacement - ISRS (S)</v>
          </cell>
          <cell r="I269">
            <v>0.3</v>
          </cell>
        </row>
        <row r="270">
          <cell r="B270" t="str">
            <v>N/A</v>
          </cell>
          <cell r="C270" t="str">
            <v>800567</v>
          </cell>
          <cell r="D270" t="str">
            <v>Rel w/ 450F 12S Illinois Ave</v>
          </cell>
          <cell r="E270" t="str">
            <v>F0547</v>
          </cell>
          <cell r="F270" t="str">
            <v>Street &amp; Highway Relocates ISRS (N)</v>
          </cell>
          <cell r="I270">
            <v>1951.19</v>
          </cell>
        </row>
        <row r="271">
          <cell r="B271" t="str">
            <v>N/A</v>
          </cell>
          <cell r="C271" t="str">
            <v>800567</v>
          </cell>
          <cell r="D271" t="str">
            <v>Rel w/ 450F 12S Illinois Ave</v>
          </cell>
          <cell r="E271" t="str">
            <v>F0547</v>
          </cell>
          <cell r="F271" t="str">
            <v>Street &amp; Highway Relocates ISRS (N)</v>
          </cell>
          <cell r="I271">
            <v>37.68</v>
          </cell>
        </row>
        <row r="272">
          <cell r="B272" t="str">
            <v>N/A</v>
          </cell>
          <cell r="C272" t="str">
            <v>800569</v>
          </cell>
          <cell r="D272" t="str">
            <v>Repl w/ 30F 4P Troost AOR</v>
          </cell>
          <cell r="E272" t="str">
            <v>F0599</v>
          </cell>
          <cell r="F272" t="str">
            <v>Main Replacement - ISRS (N)</v>
          </cell>
          <cell r="I272">
            <v>-230.15</v>
          </cell>
        </row>
        <row r="273">
          <cell r="B273" t="str">
            <v>N/A</v>
          </cell>
          <cell r="C273" t="str">
            <v>800569</v>
          </cell>
          <cell r="D273" t="str">
            <v>Repl w/ 30F 4P Troost AOR</v>
          </cell>
          <cell r="E273" t="str">
            <v>F0599</v>
          </cell>
          <cell r="F273" t="str">
            <v>Main Replacement - ISRS (N)</v>
          </cell>
          <cell r="I273">
            <v>133.13999999999999</v>
          </cell>
        </row>
        <row r="274">
          <cell r="B274" t="str">
            <v>N/A</v>
          </cell>
          <cell r="C274" t="str">
            <v>800574</v>
          </cell>
          <cell r="D274" t="str">
            <v>Rel w/ 160F 8S Feeder Main</v>
          </cell>
          <cell r="E274" t="str">
            <v>F0578</v>
          </cell>
          <cell r="F274" t="str">
            <v>Street &amp; Highway Relocates ISRS (S)</v>
          </cell>
          <cell r="I274">
            <v>16663.86</v>
          </cell>
        </row>
        <row r="275">
          <cell r="B275" t="str">
            <v>N/A</v>
          </cell>
          <cell r="C275" t="str">
            <v>800621</v>
          </cell>
          <cell r="D275" t="str">
            <v>Rel w/ 1997F 4P Bankers Addition</v>
          </cell>
          <cell r="E275" t="str">
            <v>F0664</v>
          </cell>
          <cell r="F275" t="str">
            <v>Street &amp; Hwy Relocates ISRS (SW)</v>
          </cell>
          <cell r="I275">
            <v>1292.3499999999999</v>
          </cell>
        </row>
        <row r="276">
          <cell r="B276" t="str">
            <v>N/A</v>
          </cell>
          <cell r="C276" t="str">
            <v>800621</v>
          </cell>
          <cell r="D276" t="str">
            <v>Rel w/ 1997F 4P Bankers Addition</v>
          </cell>
          <cell r="E276" t="str">
            <v>F0664</v>
          </cell>
          <cell r="F276" t="str">
            <v>Street &amp; Hwy Relocates ISRS (SW)</v>
          </cell>
          <cell r="I276">
            <v>24.09</v>
          </cell>
        </row>
        <row r="277">
          <cell r="B277" t="str">
            <v>N/A</v>
          </cell>
          <cell r="C277" t="str">
            <v>800622</v>
          </cell>
          <cell r="D277" t="str">
            <v>Repl w/ 5785F 2P 29th &amp; Northern</v>
          </cell>
          <cell r="E277" t="str">
            <v>F0604</v>
          </cell>
          <cell r="F277" t="str">
            <v>Main Replacement - ISRS (S)</v>
          </cell>
          <cell r="I277">
            <v>254401.45</v>
          </cell>
        </row>
        <row r="278">
          <cell r="B278" t="str">
            <v>N/A</v>
          </cell>
          <cell r="C278" t="str">
            <v>800622</v>
          </cell>
          <cell r="D278" t="str">
            <v>Repl w/ 5785F 2P 29th &amp; Northern</v>
          </cell>
          <cell r="E278" t="str">
            <v>F0604</v>
          </cell>
          <cell r="F278" t="str">
            <v>Main Replacement - ISRS (S)</v>
          </cell>
          <cell r="I278">
            <v>168434.91</v>
          </cell>
        </row>
        <row r="279">
          <cell r="B279" t="str">
            <v>N/A</v>
          </cell>
          <cell r="C279" t="str">
            <v>800648</v>
          </cell>
          <cell r="D279" t="str">
            <v>Repl w/ 947F 4P 53rd Ter &amp; Ditman</v>
          </cell>
          <cell r="E279" t="str">
            <v>F0599</v>
          </cell>
          <cell r="F279" t="str">
            <v>Main Replacement - ISRS (N)</v>
          </cell>
          <cell r="I279">
            <v>-36.35</v>
          </cell>
        </row>
        <row r="280">
          <cell r="B280" t="str">
            <v>N/A</v>
          </cell>
          <cell r="C280" t="str">
            <v>800648</v>
          </cell>
          <cell r="D280" t="str">
            <v>Repl w/ 947F 4P 53rd Ter &amp; Ditman</v>
          </cell>
          <cell r="E280" t="str">
            <v>F0599</v>
          </cell>
          <cell r="F280" t="str">
            <v>Main Replacement - ISRS (N)</v>
          </cell>
          <cell r="I280">
            <v>21.13</v>
          </cell>
        </row>
        <row r="281">
          <cell r="B281" t="str">
            <v>N/A</v>
          </cell>
          <cell r="C281" t="str">
            <v>800707</v>
          </cell>
          <cell r="D281" t="str">
            <v>Reloc 800F 4P Garden Grove</v>
          </cell>
          <cell r="E281" t="str">
            <v>F0664</v>
          </cell>
          <cell r="F281" t="str">
            <v>Street &amp; Hwy Relocates ISRS (SW)</v>
          </cell>
          <cell r="I281">
            <v>3023.8</v>
          </cell>
        </row>
        <row r="282">
          <cell r="B282" t="str">
            <v>N/A</v>
          </cell>
          <cell r="C282" t="str">
            <v>800707</v>
          </cell>
          <cell r="D282" t="str">
            <v>Reloc 800F 4P Garden Grove</v>
          </cell>
          <cell r="E282" t="str">
            <v>F0664</v>
          </cell>
          <cell r="F282" t="str">
            <v>Street &amp; Hwy Relocates ISRS (SW)</v>
          </cell>
          <cell r="I282">
            <v>3091.39</v>
          </cell>
        </row>
        <row r="283">
          <cell r="B283" t="str">
            <v>N/A</v>
          </cell>
          <cell r="C283" t="str">
            <v>800714</v>
          </cell>
          <cell r="D283" t="str">
            <v>Repl w 2748F 2-4P Monett Phase 1B</v>
          </cell>
          <cell r="E283" t="str">
            <v>F0572</v>
          </cell>
          <cell r="F283" t="str">
            <v>Main Replacement - ISRS (SW)</v>
          </cell>
          <cell r="I283">
            <v>136272.18</v>
          </cell>
        </row>
        <row r="284">
          <cell r="B284" t="str">
            <v>N/A</v>
          </cell>
          <cell r="C284" t="str">
            <v>800714</v>
          </cell>
          <cell r="D284" t="str">
            <v>Repl w 2748F 2-4P Monett Phase 1B</v>
          </cell>
          <cell r="E284" t="str">
            <v>F0572</v>
          </cell>
          <cell r="F284" t="str">
            <v>Main Replacement - ISRS (SW)</v>
          </cell>
          <cell r="I284">
            <v>8198.89</v>
          </cell>
        </row>
        <row r="285">
          <cell r="B285" t="str">
            <v>N/A</v>
          </cell>
          <cell r="C285" t="str">
            <v>800724</v>
          </cell>
          <cell r="D285" t="str">
            <v>Repl w 2490F 2-4P 60th Terr &amp; Elm</v>
          </cell>
          <cell r="E285" t="str">
            <v>F0604</v>
          </cell>
          <cell r="F285" t="str">
            <v>Main Replacement - ISRS (S)</v>
          </cell>
          <cell r="I285">
            <v>61311.21</v>
          </cell>
        </row>
        <row r="286">
          <cell r="B286" t="str">
            <v>N/A</v>
          </cell>
          <cell r="C286" t="str">
            <v>800724</v>
          </cell>
          <cell r="D286" t="str">
            <v>Repl w 2490F 2-4P 60th Terr &amp; Elm</v>
          </cell>
          <cell r="E286" t="str">
            <v>F0604</v>
          </cell>
          <cell r="F286" t="str">
            <v>Main Replacement - ISRS (S)</v>
          </cell>
          <cell r="I286">
            <v>33859.339999999997</v>
          </cell>
        </row>
        <row r="287">
          <cell r="B287" t="str">
            <v>N/A</v>
          </cell>
          <cell r="C287" t="str">
            <v>800766</v>
          </cell>
          <cell r="D287" t="str">
            <v>Repl w 30F 4P Indiana &amp; 12th  AOR</v>
          </cell>
          <cell r="E287" t="str">
            <v>F0599</v>
          </cell>
          <cell r="F287" t="str">
            <v>Main Replacement - ISRS (N)</v>
          </cell>
          <cell r="I287">
            <v>25529.48</v>
          </cell>
        </row>
        <row r="288">
          <cell r="B288" t="str">
            <v>N/A</v>
          </cell>
          <cell r="C288" t="str">
            <v>800817</v>
          </cell>
          <cell r="D288" t="str">
            <v>Repl w 194F 2P 5th &amp; St. Louis</v>
          </cell>
          <cell r="E288" t="str">
            <v>F0572</v>
          </cell>
          <cell r="F288" t="str">
            <v>Main Replacement - ISRS (SW)</v>
          </cell>
          <cell r="I288">
            <v>23096.26</v>
          </cell>
        </row>
        <row r="289">
          <cell r="B289" t="str">
            <v>N/A</v>
          </cell>
          <cell r="C289" t="str">
            <v>800817</v>
          </cell>
          <cell r="D289" t="str">
            <v>Repl w 194F 2P 5th &amp; St. Louis</v>
          </cell>
          <cell r="E289" t="str">
            <v>F0572</v>
          </cell>
          <cell r="F289" t="str">
            <v>Main Replacement - ISRS (SW)</v>
          </cell>
          <cell r="I289">
            <v>321.33</v>
          </cell>
        </row>
        <row r="290">
          <cell r="B290" t="str">
            <v>N/A</v>
          </cell>
          <cell r="C290" t="str">
            <v>800938</v>
          </cell>
          <cell r="D290" t="str">
            <v>Reloc 625F 6P Hook Rd &amp; Arther Dr</v>
          </cell>
          <cell r="E290" t="str">
            <v>F0578</v>
          </cell>
          <cell r="F290" t="str">
            <v>Street &amp; Highway Relocates ISRS (S)</v>
          </cell>
          <cell r="I290">
            <v>32272.07</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RS Addns Mar-July 2016 sorted"/>
      <sheetName val="ISRS Addns Mar-July 2016"/>
      <sheetName val="ISRS Addns Mar-Oct 2016 Sorted"/>
      <sheetName val="ISRS Addns March-October 2016"/>
      <sheetName val="Sept 2016 Only"/>
      <sheetName val="Oct 2016 Only"/>
      <sheetName val="Detailed WO Descriptions "/>
      <sheetName val="New Sept WO Detailed Descr"/>
      <sheetName val="New Oct WO Detailed Descr "/>
      <sheetName val="MGE ISRS Retire Mar-Aug 16"/>
      <sheetName val="MGE ISRS Retire Mar-Jul 16"/>
      <sheetName val="MGE ISRS Retire Mar-Oct 16"/>
      <sheetName val="Depr-DIT GR-2015-0025"/>
      <sheetName val="Depr-DIT GO-2015-0270"/>
      <sheetName val="Depr-DIT GO-2015-0343"/>
      <sheetName val="Depr-DIT GO-2016-0197"/>
      <sheetName val="Depr-DIT Current"/>
      <sheetName val="MGE - Deferred Taxes"/>
      <sheetName val="Rate of Return"/>
      <sheetName val="Property Taxes"/>
      <sheetName val="Rev Req 9.75%"/>
      <sheetName val="summary"/>
      <sheetName val="9.75% Wtd Total"/>
      <sheetName val="Customers"/>
      <sheetName val="Sheet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2">
          <cell r="E22">
            <v>3186297.64094075</v>
          </cell>
        </row>
      </sheetData>
      <sheetData sheetId="21"/>
      <sheetData sheetId="22"/>
      <sheetData sheetId="23"/>
      <sheetData sheetId="2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s Sept - Feb 2016"/>
      <sheetName val="Jan 2016 Addns Only"/>
      <sheetName val="Feb 2016 Addns Only"/>
      <sheetName val="WO Additions - By Statute"/>
      <sheetName val="Detailed WO Descriptions"/>
      <sheetName val="New WO Detailed Description"/>
      <sheetName val="New Feb WO Detailed Description"/>
      <sheetName val="MGE Retirements Sep-Dec15"/>
      <sheetName val="MGE Retire Jan 16 Only"/>
      <sheetName val="MGE Retire Feb 16 Only"/>
      <sheetName val="Depr-DIT GR-2015-0025"/>
      <sheetName val="Depr-DIT GO-2015-0270"/>
      <sheetName val="Depr-DIT GO-2015-0343"/>
      <sheetName val="Depr-DIT Current"/>
      <sheetName val="MGE - Deferred Taxes"/>
      <sheetName val="Rate of Return"/>
      <sheetName val="Property Taxes"/>
      <sheetName val="Rev Req 9.75%"/>
      <sheetName val="summary"/>
      <sheetName val="9.75% Wtd Total"/>
      <sheetName val="Customer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3">
          <cell r="E23">
            <v>3570050.0068891952</v>
          </cell>
        </row>
      </sheetData>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 15 Additions Only"/>
      <sheetName val="New WO 8-15 Detail Description"/>
      <sheetName val="MGE ISRS Adds Mar - August 2015"/>
      <sheetName val="WO Descriptions "/>
      <sheetName val="MGE ISRS Rets Mar - August 2015"/>
      <sheetName val="Depr-DIT GR-2015-0025"/>
      <sheetName val="Depr-DIT GO-2015-0270"/>
      <sheetName val="Depr-DIT Current"/>
      <sheetName val="MGE - Deferred Taxes"/>
      <sheetName val="Rate of Return"/>
      <sheetName val="Property Taxes"/>
      <sheetName val="Rev Req 9.75%"/>
      <sheetName val="summary"/>
      <sheetName val="9.75% Wtd Total"/>
      <sheetName val="Customer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row r="23">
          <cell r="E23">
            <v>1878151.2819919055</v>
          </cell>
        </row>
      </sheetData>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s "/>
      <sheetName val="WO Additions"/>
      <sheetName val="Additions Sorted by WO"/>
      <sheetName val="Descriptions Sorted by WO "/>
      <sheetName val="Updated WO Additions - statute"/>
      <sheetName val="WO Retirements"/>
      <sheetName val="WO Descriptions"/>
      <sheetName val="BWO Estimate"/>
      <sheetName val="Open WO Estimate"/>
      <sheetName val="Depr-DIT GR-2015-0025"/>
      <sheetName val="Depr-DIT Current"/>
      <sheetName val="MGE - Deferred Taxes"/>
      <sheetName val="Rate of Return"/>
      <sheetName val="Property Taxes"/>
      <sheetName val="Rev Req 9.75%"/>
      <sheetName val="summary"/>
      <sheetName val="9.75% Wtd Total"/>
      <sheetName val="Staff property tax WP"/>
      <sheetName val="Customers"/>
      <sheetName val="ISRS Property Taxes"/>
      <sheetName val="MGE 2014 property tax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3">
          <cell r="E23">
            <v>2814926.2071011243</v>
          </cell>
        </row>
      </sheetData>
      <sheetData sheetId="15"/>
      <sheetData sheetId="16"/>
      <sheetData sheetId="17"/>
      <sheetData sheetId="18"/>
      <sheetData sheetId="19"/>
      <sheetData sheetId="2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r-DIT Current"/>
      <sheetName val="MGE - Deferred Taxes"/>
      <sheetName val="WO Additions-sorted by AC"/>
      <sheetName val="WO Additions-sorted"/>
      <sheetName val="Additions sorted by WO"/>
      <sheetName val="Work Order Descriptions July 14"/>
      <sheetName val="WO Descriptions Aug 14 Adds"/>
      <sheetName val="Work Order Descriptions"/>
      <sheetName val="Retirements"/>
      <sheetName val="Property Taxes"/>
      <sheetName val="Customers"/>
      <sheetName val="Rate of Return"/>
      <sheetName val="Rev Req 9.75%"/>
      <sheetName val="summary"/>
      <sheetName val="9.75% Wtd Total"/>
      <sheetName val="Reconciliation"/>
      <sheetName val="Sheet3"/>
    </sheetNames>
    <sheetDataSet>
      <sheetData sheetId="0"/>
      <sheetData sheetId="1"/>
      <sheetData sheetId="2"/>
      <sheetData sheetId="3"/>
      <sheetData sheetId="4"/>
      <sheetData sheetId="5"/>
      <sheetData sheetId="6"/>
      <sheetData sheetId="7"/>
      <sheetData sheetId="8"/>
      <sheetData sheetId="9"/>
      <sheetData sheetId="10">
        <row r="6">
          <cell r="D6">
            <v>440372</v>
          </cell>
        </row>
      </sheetData>
      <sheetData sheetId="11"/>
      <sheetData sheetId="12">
        <row r="21">
          <cell r="E21">
            <v>1990295.4582998087</v>
          </cell>
        </row>
      </sheetData>
      <sheetData sheetId="13">
        <row r="18">
          <cell r="C18">
            <v>-1322519.3700000001</v>
          </cell>
        </row>
      </sheetData>
      <sheetData sheetId="14"/>
      <sheetData sheetId="15"/>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ual"/>
    </sheetNames>
    <sheetDataSet>
      <sheetData sheetId="0">
        <row r="48">
          <cell r="B48">
            <v>12440388.770000003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Z1090"/>
  <sheetViews>
    <sheetView zoomScale="85" zoomScaleNormal="85" workbookViewId="0">
      <pane ySplit="4" topLeftCell="A1085" activePane="bottomLeft" state="frozen"/>
      <selection pane="bottomLeft" activeCell="F3" sqref="F3"/>
    </sheetView>
  </sheetViews>
  <sheetFormatPr defaultColWidth="9.140625" defaultRowHeight="15"/>
  <cols>
    <col min="1" max="1" width="36.28515625" style="137"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9.28515625" style="164"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24.5703125" style="137" customWidth="1"/>
    <col min="15" max="16384" width="9.140625" style="137"/>
  </cols>
  <sheetData>
    <row r="1" spans="1:26">
      <c r="A1" s="133" t="s">
        <v>0</v>
      </c>
      <c r="B1" s="134"/>
      <c r="C1" s="134"/>
      <c r="D1" s="135"/>
      <c r="E1" s="134"/>
      <c r="F1" s="135"/>
      <c r="G1" s="134"/>
      <c r="H1" s="134"/>
      <c r="I1" s="136"/>
      <c r="J1" s="135"/>
      <c r="K1" s="135"/>
      <c r="L1" s="135"/>
      <c r="M1" s="135"/>
      <c r="N1" s="135"/>
    </row>
    <row r="2" spans="1:26">
      <c r="A2" s="133" t="s">
        <v>2019</v>
      </c>
      <c r="B2" s="134"/>
      <c r="C2" s="134"/>
      <c r="D2" s="135"/>
      <c r="E2" s="134"/>
      <c r="F2" s="135"/>
      <c r="G2" s="134"/>
      <c r="H2" s="134"/>
      <c r="I2" s="136"/>
      <c r="J2" s="135"/>
      <c r="K2" s="135"/>
      <c r="L2" s="135"/>
      <c r="M2" s="135"/>
      <c r="N2" s="135"/>
      <c r="P2" s="144" t="s">
        <v>2025</v>
      </c>
      <c r="Q2" s="149">
        <v>201603</v>
      </c>
      <c r="R2" s="149">
        <v>201604</v>
      </c>
      <c r="S2" s="149">
        <v>201605</v>
      </c>
      <c r="T2" s="149">
        <v>201606</v>
      </c>
      <c r="U2" s="149">
        <v>201607</v>
      </c>
      <c r="V2" s="149">
        <v>201608</v>
      </c>
      <c r="W2" s="149">
        <v>201609</v>
      </c>
      <c r="X2" s="149">
        <v>201610</v>
      </c>
      <c r="Y2" s="149">
        <v>201611</v>
      </c>
      <c r="Z2" s="149">
        <v>201612</v>
      </c>
    </row>
    <row r="3" spans="1:26">
      <c r="A3" s="135"/>
      <c r="B3" s="134"/>
      <c r="C3" s="134"/>
      <c r="D3" s="135"/>
      <c r="E3" s="134"/>
      <c r="F3" s="135"/>
      <c r="G3" s="134"/>
      <c r="H3" s="134"/>
      <c r="I3" s="136"/>
      <c r="J3" s="135"/>
      <c r="K3" s="135"/>
      <c r="L3" s="135"/>
      <c r="M3" s="135"/>
      <c r="N3" s="135"/>
      <c r="P3" s="144" t="s">
        <v>2020</v>
      </c>
      <c r="Q3" s="144">
        <v>8</v>
      </c>
      <c r="R3" s="144">
        <v>7</v>
      </c>
      <c r="S3" s="144">
        <v>6</v>
      </c>
      <c r="T3" s="144">
        <v>5</v>
      </c>
      <c r="U3" s="144">
        <v>4</v>
      </c>
      <c r="V3" s="144">
        <v>3</v>
      </c>
      <c r="W3" s="144">
        <v>2</v>
      </c>
      <c r="X3" s="144">
        <v>1</v>
      </c>
      <c r="Y3" s="144">
        <v>0</v>
      </c>
      <c r="Z3" s="144">
        <v>0</v>
      </c>
    </row>
    <row r="4" spans="1:26"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c r="P4" s="137"/>
      <c r="Q4" s="137"/>
    </row>
    <row r="5" spans="1:26">
      <c r="A5" s="145" t="s">
        <v>554</v>
      </c>
      <c r="B5" s="146" t="s">
        <v>116</v>
      </c>
      <c r="C5" s="146" t="s">
        <v>117</v>
      </c>
      <c r="D5" s="145" t="s">
        <v>118</v>
      </c>
      <c r="E5" s="146" t="s">
        <v>119</v>
      </c>
      <c r="F5" s="145" t="s">
        <v>1605</v>
      </c>
      <c r="G5" s="146" t="s">
        <v>20</v>
      </c>
      <c r="H5" s="146">
        <v>201603</v>
      </c>
      <c r="I5" s="147">
        <v>387237.87</v>
      </c>
      <c r="J5" s="144">
        <f>HLOOKUP(H5,$Q$2:$Z$3,2)</f>
        <v>8</v>
      </c>
      <c r="K5" s="148">
        <v>1.4833299999999999E-3</v>
      </c>
      <c r="L5" s="147">
        <f>ROUND(I5*J5*K5,2)</f>
        <v>4595.21</v>
      </c>
      <c r="M5" s="147">
        <f>ROUND(I5*K5*12,2)</f>
        <v>6892.82</v>
      </c>
      <c r="N5" s="145"/>
    </row>
    <row r="6" spans="1:26">
      <c r="A6" s="145" t="s">
        <v>554</v>
      </c>
      <c r="B6" s="146" t="s">
        <v>116</v>
      </c>
      <c r="C6" s="146" t="s">
        <v>117</v>
      </c>
      <c r="D6" s="145" t="s">
        <v>118</v>
      </c>
      <c r="E6" s="146" t="s">
        <v>119</v>
      </c>
      <c r="F6" s="145" t="s">
        <v>1605</v>
      </c>
      <c r="G6" s="146" t="s">
        <v>20</v>
      </c>
      <c r="H6" s="146">
        <v>201604</v>
      </c>
      <c r="I6" s="147">
        <v>221699.39</v>
      </c>
      <c r="J6" s="144">
        <f>HLOOKUP(H6,$Q$2:$Z$3,2)</f>
        <v>7</v>
      </c>
      <c r="K6" s="148">
        <v>1.4833299999999999E-3</v>
      </c>
      <c r="L6" s="147">
        <f>ROUND(I6*J6*K6,2)</f>
        <v>2301.9699999999998</v>
      </c>
      <c r="M6" s="147">
        <f>ROUND(I6*K6*12,2)</f>
        <v>3946.24</v>
      </c>
      <c r="N6" s="145"/>
    </row>
    <row r="7" spans="1:26">
      <c r="A7" s="145" t="s">
        <v>554</v>
      </c>
      <c r="B7" s="146" t="s">
        <v>116</v>
      </c>
      <c r="C7" s="146" t="s">
        <v>117</v>
      </c>
      <c r="D7" s="145" t="s">
        <v>118</v>
      </c>
      <c r="E7" s="146" t="s">
        <v>119</v>
      </c>
      <c r="F7" s="145" t="s">
        <v>1605</v>
      </c>
      <c r="G7" s="146" t="s">
        <v>20</v>
      </c>
      <c r="H7" s="146">
        <v>201605</v>
      </c>
      <c r="I7" s="147">
        <v>57492.88</v>
      </c>
      <c r="J7" s="144">
        <f>HLOOKUP(H7,$Q$2:$Z$3,2)</f>
        <v>6</v>
      </c>
      <c r="K7" s="148">
        <v>1.4833299999999999E-3</v>
      </c>
      <c r="L7" s="147">
        <f>ROUND(I7*J7*K7,2)</f>
        <v>511.69</v>
      </c>
      <c r="M7" s="147">
        <f>ROUND(I7*K7*12,2)</f>
        <v>1023.37</v>
      </c>
      <c r="N7" s="145"/>
    </row>
    <row r="8" spans="1:26">
      <c r="A8" s="145" t="s">
        <v>554</v>
      </c>
      <c r="B8" s="146" t="s">
        <v>116</v>
      </c>
      <c r="C8" s="146" t="s">
        <v>117</v>
      </c>
      <c r="D8" s="145" t="s">
        <v>118</v>
      </c>
      <c r="E8" s="146" t="s">
        <v>119</v>
      </c>
      <c r="F8" s="145" t="s">
        <v>1605</v>
      </c>
      <c r="G8" s="146" t="s">
        <v>20</v>
      </c>
      <c r="H8" s="146">
        <v>201606</v>
      </c>
      <c r="I8" s="147">
        <v>181739.69</v>
      </c>
      <c r="J8" s="144">
        <f>HLOOKUP(H8,$Q$2:$Z$3,2)</f>
        <v>5</v>
      </c>
      <c r="K8" s="148">
        <v>1.4833299999999999E-3</v>
      </c>
      <c r="L8" s="147">
        <f>ROUND(I8*J8*K8,2)</f>
        <v>1347.9</v>
      </c>
      <c r="M8" s="147">
        <f>ROUND(I8*K8*12,2)</f>
        <v>3234.96</v>
      </c>
      <c r="N8" s="145"/>
    </row>
    <row r="9" spans="1:26">
      <c r="A9" s="161" t="s">
        <v>554</v>
      </c>
      <c r="B9" s="160" t="s">
        <v>116</v>
      </c>
      <c r="C9" s="160" t="s">
        <v>117</v>
      </c>
      <c r="D9" s="161" t="s">
        <v>118</v>
      </c>
      <c r="E9" s="160" t="s">
        <v>119</v>
      </c>
      <c r="F9" s="161" t="s">
        <v>1605</v>
      </c>
      <c r="G9" s="160" t="s">
        <v>20</v>
      </c>
      <c r="H9" s="103">
        <v>201607</v>
      </c>
      <c r="I9" s="154">
        <v>80607.34</v>
      </c>
      <c r="J9" s="144">
        <f>HLOOKUP(H9,$Q$2:$Z$3,2)</f>
        <v>4</v>
      </c>
      <c r="K9" s="155">
        <v>1.4833299999999999E-3</v>
      </c>
      <c r="L9" s="154">
        <f>ROUND(I9*J9*K9,2)</f>
        <v>478.27</v>
      </c>
      <c r="M9" s="154">
        <f>ROUND(I9*K9*12,2)</f>
        <v>1434.81</v>
      </c>
      <c r="N9" s="145"/>
    </row>
    <row r="10" spans="1:26">
      <c r="A10" s="161"/>
      <c r="B10" s="160"/>
      <c r="C10" s="160"/>
      <c r="D10" s="161"/>
      <c r="E10" s="160"/>
      <c r="F10" s="161"/>
      <c r="G10" s="160"/>
      <c r="H10" s="103"/>
      <c r="I10" s="293">
        <f>SUM(I5:I9)</f>
        <v>928777.17</v>
      </c>
      <c r="J10" s="144"/>
      <c r="K10" s="155"/>
      <c r="L10" s="293">
        <f t="shared" ref="L10:M10" si="0">SUM(L5:L9)</f>
        <v>9235.0400000000009</v>
      </c>
      <c r="M10" s="293">
        <f t="shared" si="0"/>
        <v>16532.2</v>
      </c>
      <c r="N10" s="145"/>
    </row>
    <row r="11" spans="1:26">
      <c r="A11" s="161"/>
      <c r="B11" s="160"/>
      <c r="C11" s="160"/>
      <c r="D11" s="161"/>
      <c r="E11" s="160"/>
      <c r="F11" s="161"/>
      <c r="G11" s="160"/>
      <c r="H11" s="103"/>
      <c r="I11" s="154"/>
      <c r="J11" s="144"/>
      <c r="K11" s="155"/>
      <c r="L11" s="154"/>
      <c r="M11" s="154"/>
      <c r="N11" s="145"/>
    </row>
    <row r="12" spans="1:26">
      <c r="A12" s="145" t="s">
        <v>990</v>
      </c>
      <c r="B12" s="146" t="s">
        <v>1003</v>
      </c>
      <c r="C12" s="146" t="s">
        <v>1004</v>
      </c>
      <c r="D12" s="145" t="s">
        <v>1673</v>
      </c>
      <c r="E12" s="146" t="s">
        <v>1006</v>
      </c>
      <c r="F12" s="145" t="s">
        <v>1606</v>
      </c>
      <c r="G12" s="146" t="s">
        <v>20</v>
      </c>
      <c r="H12" s="146">
        <v>201603</v>
      </c>
      <c r="I12" s="147">
        <v>28009.02</v>
      </c>
      <c r="J12" s="144">
        <f t="shared" ref="J12:J56" si="1">HLOOKUP(H12,$Q$2:$Z$3,2)</f>
        <v>8</v>
      </c>
      <c r="K12" s="148">
        <v>2.3833299999999999E-3</v>
      </c>
      <c r="L12" s="147">
        <f t="shared" ref="L12:L56" si="2">ROUND(I12*J12*K12,2)</f>
        <v>534.04</v>
      </c>
      <c r="M12" s="147">
        <f t="shared" ref="M12:M56" si="3">ROUND(I12*K12*12,2)</f>
        <v>801.06</v>
      </c>
      <c r="N12" s="145"/>
    </row>
    <row r="13" spans="1:26">
      <c r="A13" s="145" t="s">
        <v>990</v>
      </c>
      <c r="B13" s="146" t="s">
        <v>1003</v>
      </c>
      <c r="C13" s="146" t="s">
        <v>1004</v>
      </c>
      <c r="D13" s="145" t="s">
        <v>1673</v>
      </c>
      <c r="E13" s="146" t="s">
        <v>1006</v>
      </c>
      <c r="F13" s="145" t="s">
        <v>1606</v>
      </c>
      <c r="G13" s="146" t="s">
        <v>20</v>
      </c>
      <c r="H13" s="146">
        <v>201604</v>
      </c>
      <c r="I13" s="147">
        <v>24843.67</v>
      </c>
      <c r="J13" s="144">
        <f t="shared" si="1"/>
        <v>7</v>
      </c>
      <c r="K13" s="148">
        <v>2.3833299999999999E-3</v>
      </c>
      <c r="L13" s="147">
        <f t="shared" si="2"/>
        <v>414.47</v>
      </c>
      <c r="M13" s="147">
        <f t="shared" si="3"/>
        <v>710.53</v>
      </c>
      <c r="N13" s="145"/>
    </row>
    <row r="14" spans="1:26">
      <c r="A14" s="145" t="s">
        <v>990</v>
      </c>
      <c r="B14" s="146" t="s">
        <v>1003</v>
      </c>
      <c r="C14" s="146" t="s">
        <v>1004</v>
      </c>
      <c r="D14" s="145" t="s">
        <v>1673</v>
      </c>
      <c r="E14" s="146" t="s">
        <v>1006</v>
      </c>
      <c r="F14" s="145" t="s">
        <v>1606</v>
      </c>
      <c r="G14" s="146" t="s">
        <v>20</v>
      </c>
      <c r="H14" s="146">
        <v>201605</v>
      </c>
      <c r="I14" s="147">
        <v>14068.65</v>
      </c>
      <c r="J14" s="144">
        <f t="shared" si="1"/>
        <v>6</v>
      </c>
      <c r="K14" s="148">
        <v>2.3833299999999999E-3</v>
      </c>
      <c r="L14" s="147">
        <f t="shared" si="2"/>
        <v>201.18</v>
      </c>
      <c r="M14" s="147">
        <f t="shared" si="3"/>
        <v>402.36</v>
      </c>
      <c r="N14" s="145"/>
    </row>
    <row r="15" spans="1:26">
      <c r="A15" s="145" t="s">
        <v>990</v>
      </c>
      <c r="B15" s="146" t="s">
        <v>1003</v>
      </c>
      <c r="C15" s="146" t="s">
        <v>1004</v>
      </c>
      <c r="D15" s="145" t="s">
        <v>1673</v>
      </c>
      <c r="E15" s="146" t="s">
        <v>1006</v>
      </c>
      <c r="F15" s="145" t="s">
        <v>1606</v>
      </c>
      <c r="G15" s="146" t="s">
        <v>20</v>
      </c>
      <c r="H15" s="146">
        <v>201606</v>
      </c>
      <c r="I15" s="147">
        <v>39977.440000000002</v>
      </c>
      <c r="J15" s="144">
        <f t="shared" si="1"/>
        <v>5</v>
      </c>
      <c r="K15" s="148">
        <v>2.3833299999999999E-3</v>
      </c>
      <c r="L15" s="147">
        <f t="shared" si="2"/>
        <v>476.4</v>
      </c>
      <c r="M15" s="147">
        <f t="shared" si="3"/>
        <v>1143.3499999999999</v>
      </c>
      <c r="N15" s="145"/>
    </row>
    <row r="16" spans="1:26">
      <c r="A16" s="161" t="s">
        <v>990</v>
      </c>
      <c r="B16" s="160" t="s">
        <v>1003</v>
      </c>
      <c r="C16" s="160" t="s">
        <v>1004</v>
      </c>
      <c r="D16" s="161" t="s">
        <v>1673</v>
      </c>
      <c r="E16" s="160" t="s">
        <v>1006</v>
      </c>
      <c r="F16" s="161" t="s">
        <v>1606</v>
      </c>
      <c r="G16" s="160" t="s">
        <v>20</v>
      </c>
      <c r="H16" s="103">
        <v>201607</v>
      </c>
      <c r="I16" s="154">
        <v>51963.99</v>
      </c>
      <c r="J16" s="144">
        <f t="shared" si="1"/>
        <v>4</v>
      </c>
      <c r="K16" s="155">
        <v>2.3833299999999999E-3</v>
      </c>
      <c r="L16" s="154">
        <f t="shared" si="2"/>
        <v>495.39</v>
      </c>
      <c r="M16" s="154">
        <f t="shared" si="3"/>
        <v>1486.17</v>
      </c>
      <c r="N16" s="145"/>
    </row>
    <row r="17" spans="1:14">
      <c r="A17" s="145" t="s">
        <v>990</v>
      </c>
      <c r="B17" s="146" t="s">
        <v>1000</v>
      </c>
      <c r="C17" s="146" t="s">
        <v>1001</v>
      </c>
      <c r="D17" s="145" t="s">
        <v>1672</v>
      </c>
      <c r="E17" s="146" t="s">
        <v>1002</v>
      </c>
      <c r="F17" s="145" t="s">
        <v>1604</v>
      </c>
      <c r="G17" s="146" t="s">
        <v>20</v>
      </c>
      <c r="H17" s="146">
        <v>201603</v>
      </c>
      <c r="I17" s="147">
        <v>16090.71</v>
      </c>
      <c r="J17" s="144">
        <f t="shared" si="1"/>
        <v>8</v>
      </c>
      <c r="K17" s="148">
        <v>2.3833299999999999E-3</v>
      </c>
      <c r="L17" s="147">
        <f t="shared" si="2"/>
        <v>306.8</v>
      </c>
      <c r="M17" s="147">
        <f t="shared" si="3"/>
        <v>460.19</v>
      </c>
      <c r="N17" s="145"/>
    </row>
    <row r="18" spans="1:14">
      <c r="A18" s="145" t="s">
        <v>990</v>
      </c>
      <c r="B18" s="146" t="s">
        <v>1000</v>
      </c>
      <c r="C18" s="146" t="s">
        <v>1001</v>
      </c>
      <c r="D18" s="145" t="s">
        <v>1672</v>
      </c>
      <c r="E18" s="146" t="s">
        <v>1002</v>
      </c>
      <c r="F18" s="145" t="s">
        <v>1604</v>
      </c>
      <c r="G18" s="146" t="s">
        <v>20</v>
      </c>
      <c r="H18" s="146">
        <v>201604</v>
      </c>
      <c r="I18" s="147">
        <v>9136.4</v>
      </c>
      <c r="J18" s="144">
        <f t="shared" si="1"/>
        <v>7</v>
      </c>
      <c r="K18" s="148">
        <v>2.3833299999999999E-3</v>
      </c>
      <c r="L18" s="147">
        <f t="shared" si="2"/>
        <v>152.43</v>
      </c>
      <c r="M18" s="147">
        <f t="shared" si="3"/>
        <v>261.3</v>
      </c>
      <c r="N18" s="145"/>
    </row>
    <row r="19" spans="1:14">
      <c r="A19" s="145" t="s">
        <v>990</v>
      </c>
      <c r="B19" s="146" t="s">
        <v>1000</v>
      </c>
      <c r="C19" s="146" t="s">
        <v>1001</v>
      </c>
      <c r="D19" s="145" t="s">
        <v>1672</v>
      </c>
      <c r="E19" s="146" t="s">
        <v>1002</v>
      </c>
      <c r="F19" s="145" t="s">
        <v>1604</v>
      </c>
      <c r="G19" s="146" t="s">
        <v>20</v>
      </c>
      <c r="H19" s="146">
        <v>201605</v>
      </c>
      <c r="I19" s="147">
        <v>4189.82</v>
      </c>
      <c r="J19" s="144">
        <f t="shared" si="1"/>
        <v>6</v>
      </c>
      <c r="K19" s="148">
        <v>2.3833299999999999E-3</v>
      </c>
      <c r="L19" s="147">
        <f t="shared" si="2"/>
        <v>59.91</v>
      </c>
      <c r="M19" s="147">
        <f t="shared" si="3"/>
        <v>119.83</v>
      </c>
      <c r="N19" s="145"/>
    </row>
    <row r="20" spans="1:14">
      <c r="A20" s="145" t="s">
        <v>990</v>
      </c>
      <c r="B20" s="146" t="s">
        <v>1000</v>
      </c>
      <c r="C20" s="146" t="s">
        <v>1001</v>
      </c>
      <c r="D20" s="145" t="s">
        <v>1672</v>
      </c>
      <c r="E20" s="146" t="s">
        <v>1002</v>
      </c>
      <c r="F20" s="145" t="s">
        <v>1604</v>
      </c>
      <c r="G20" s="146" t="s">
        <v>20</v>
      </c>
      <c r="H20" s="146">
        <v>201606</v>
      </c>
      <c r="I20" s="147">
        <v>6405.92</v>
      </c>
      <c r="J20" s="144">
        <f t="shared" si="1"/>
        <v>5</v>
      </c>
      <c r="K20" s="148">
        <v>2.3833299999999999E-3</v>
      </c>
      <c r="L20" s="147">
        <f t="shared" si="2"/>
        <v>76.34</v>
      </c>
      <c r="M20" s="147">
        <f t="shared" si="3"/>
        <v>183.21</v>
      </c>
      <c r="N20" s="145"/>
    </row>
    <row r="21" spans="1:14">
      <c r="A21" s="161" t="s">
        <v>990</v>
      </c>
      <c r="B21" s="160" t="s">
        <v>1000</v>
      </c>
      <c r="C21" s="160" t="s">
        <v>1001</v>
      </c>
      <c r="D21" s="161" t="s">
        <v>1672</v>
      </c>
      <c r="E21" s="160" t="s">
        <v>1002</v>
      </c>
      <c r="F21" s="161" t="s">
        <v>1604</v>
      </c>
      <c r="G21" s="160" t="s">
        <v>20</v>
      </c>
      <c r="H21" s="103">
        <v>201607</v>
      </c>
      <c r="I21" s="154">
        <v>16985.099999999999</v>
      </c>
      <c r="J21" s="144">
        <f t="shared" si="1"/>
        <v>4</v>
      </c>
      <c r="K21" s="155">
        <v>2.3833299999999999E-3</v>
      </c>
      <c r="L21" s="154">
        <f t="shared" si="2"/>
        <v>161.91999999999999</v>
      </c>
      <c r="M21" s="154">
        <f t="shared" si="3"/>
        <v>485.77</v>
      </c>
      <c r="N21" s="145"/>
    </row>
    <row r="22" spans="1:14">
      <c r="A22" s="145" t="s">
        <v>990</v>
      </c>
      <c r="B22" s="146" t="s">
        <v>1020</v>
      </c>
      <c r="C22" s="146" t="s">
        <v>1021</v>
      </c>
      <c r="D22" s="145" t="s">
        <v>1680</v>
      </c>
      <c r="E22" s="146" t="s">
        <v>1022</v>
      </c>
      <c r="F22" s="145" t="s">
        <v>1614</v>
      </c>
      <c r="G22" s="146" t="s">
        <v>20</v>
      </c>
      <c r="H22" s="146">
        <v>201603</v>
      </c>
      <c r="I22" s="147">
        <v>-3463.02</v>
      </c>
      <c r="J22" s="144">
        <f t="shared" si="1"/>
        <v>8</v>
      </c>
      <c r="K22" s="148">
        <v>2.3833299999999999E-3</v>
      </c>
      <c r="L22" s="147">
        <f t="shared" si="2"/>
        <v>-66.03</v>
      </c>
      <c r="M22" s="147">
        <f t="shared" si="3"/>
        <v>-99.04</v>
      </c>
      <c r="N22" s="145"/>
    </row>
    <row r="23" spans="1:14">
      <c r="A23" s="145" t="s">
        <v>990</v>
      </c>
      <c r="B23" s="146" t="s">
        <v>1020</v>
      </c>
      <c r="C23" s="146" t="s">
        <v>1021</v>
      </c>
      <c r="D23" s="145" t="s">
        <v>1680</v>
      </c>
      <c r="E23" s="146" t="s">
        <v>1022</v>
      </c>
      <c r="F23" s="145" t="s">
        <v>1614</v>
      </c>
      <c r="G23" s="146" t="s">
        <v>20</v>
      </c>
      <c r="H23" s="146">
        <v>201604</v>
      </c>
      <c r="I23" s="147">
        <v>8535.56</v>
      </c>
      <c r="J23" s="144">
        <f t="shared" si="1"/>
        <v>7</v>
      </c>
      <c r="K23" s="148">
        <v>2.3833299999999999E-3</v>
      </c>
      <c r="L23" s="147">
        <f t="shared" si="2"/>
        <v>142.4</v>
      </c>
      <c r="M23" s="147">
        <f t="shared" si="3"/>
        <v>244.12</v>
      </c>
      <c r="N23" s="145"/>
    </row>
    <row r="24" spans="1:14">
      <c r="A24" s="145" t="s">
        <v>990</v>
      </c>
      <c r="B24" s="146" t="s">
        <v>1020</v>
      </c>
      <c r="C24" s="146" t="s">
        <v>1021</v>
      </c>
      <c r="D24" s="145" t="s">
        <v>1680</v>
      </c>
      <c r="E24" s="146" t="s">
        <v>1022</v>
      </c>
      <c r="F24" s="145" t="s">
        <v>1614</v>
      </c>
      <c r="G24" s="146" t="s">
        <v>20</v>
      </c>
      <c r="H24" s="146">
        <v>201605</v>
      </c>
      <c r="I24" s="147">
        <v>8395.52</v>
      </c>
      <c r="J24" s="144">
        <f t="shared" si="1"/>
        <v>6</v>
      </c>
      <c r="K24" s="148">
        <v>2.3833299999999999E-3</v>
      </c>
      <c r="L24" s="147">
        <f t="shared" si="2"/>
        <v>120.06</v>
      </c>
      <c r="M24" s="147">
        <f t="shared" si="3"/>
        <v>240.11</v>
      </c>
      <c r="N24" s="145"/>
    </row>
    <row r="25" spans="1:14">
      <c r="A25" s="145" t="s">
        <v>990</v>
      </c>
      <c r="B25" s="146" t="s">
        <v>1020</v>
      </c>
      <c r="C25" s="146" t="s">
        <v>1021</v>
      </c>
      <c r="D25" s="145" t="s">
        <v>1680</v>
      </c>
      <c r="E25" s="146" t="s">
        <v>1022</v>
      </c>
      <c r="F25" s="145" t="s">
        <v>1614</v>
      </c>
      <c r="G25" s="146" t="s">
        <v>20</v>
      </c>
      <c r="H25" s="146">
        <v>201606</v>
      </c>
      <c r="I25" s="147">
        <v>4727.6099999999997</v>
      </c>
      <c r="J25" s="144">
        <f t="shared" si="1"/>
        <v>5</v>
      </c>
      <c r="K25" s="148">
        <v>2.3833299999999999E-3</v>
      </c>
      <c r="L25" s="147">
        <f t="shared" si="2"/>
        <v>56.34</v>
      </c>
      <c r="M25" s="147">
        <f t="shared" si="3"/>
        <v>135.21</v>
      </c>
      <c r="N25" s="145"/>
    </row>
    <row r="26" spans="1:14">
      <c r="A26" s="151" t="s">
        <v>990</v>
      </c>
      <c r="B26" s="152" t="s">
        <v>1020</v>
      </c>
      <c r="C26" s="152" t="s">
        <v>1021</v>
      </c>
      <c r="D26" s="151" t="s">
        <v>1680</v>
      </c>
      <c r="E26" s="152" t="s">
        <v>1022</v>
      </c>
      <c r="F26" s="151" t="s">
        <v>1614</v>
      </c>
      <c r="G26" s="152" t="s">
        <v>20</v>
      </c>
      <c r="H26" s="153">
        <v>201607</v>
      </c>
      <c r="I26" s="154">
        <v>1363.96</v>
      </c>
      <c r="J26" s="144">
        <f t="shared" si="1"/>
        <v>4</v>
      </c>
      <c r="K26" s="155">
        <v>2.3833299999999999E-3</v>
      </c>
      <c r="L26" s="154">
        <f t="shared" si="2"/>
        <v>13</v>
      </c>
      <c r="M26" s="154">
        <f t="shared" si="3"/>
        <v>39.01</v>
      </c>
      <c r="N26" s="145"/>
    </row>
    <row r="27" spans="1:14">
      <c r="A27" s="145" t="s">
        <v>14</v>
      </c>
      <c r="B27" s="146" t="s">
        <v>195</v>
      </c>
      <c r="C27" s="146" t="s">
        <v>196</v>
      </c>
      <c r="D27" s="145" t="s">
        <v>1674</v>
      </c>
      <c r="E27" s="146" t="s">
        <v>198</v>
      </c>
      <c r="F27" s="145" t="s">
        <v>1610</v>
      </c>
      <c r="G27" s="146" t="s">
        <v>20</v>
      </c>
      <c r="H27" s="146">
        <v>201603</v>
      </c>
      <c r="I27" s="147">
        <v>532651.63</v>
      </c>
      <c r="J27" s="144">
        <f t="shared" si="1"/>
        <v>8</v>
      </c>
      <c r="K27" s="148">
        <v>2.23333E-3</v>
      </c>
      <c r="L27" s="147">
        <f t="shared" si="2"/>
        <v>9516.69</v>
      </c>
      <c r="M27" s="147">
        <f t="shared" si="3"/>
        <v>14275.04</v>
      </c>
      <c r="N27" s="145"/>
    </row>
    <row r="28" spans="1:14">
      <c r="A28" s="145" t="s">
        <v>1942</v>
      </c>
      <c r="B28" s="146" t="s">
        <v>1681</v>
      </c>
      <c r="C28" s="146" t="s">
        <v>1682</v>
      </c>
      <c r="D28" s="145" t="s">
        <v>1683</v>
      </c>
      <c r="E28" s="146" t="s">
        <v>198</v>
      </c>
      <c r="F28" s="145" t="s">
        <v>1610</v>
      </c>
      <c r="G28" s="146" t="s">
        <v>20</v>
      </c>
      <c r="H28" s="146">
        <v>201603</v>
      </c>
      <c r="I28" s="147">
        <v>-5515.17</v>
      </c>
      <c r="J28" s="144">
        <f t="shared" si="1"/>
        <v>8</v>
      </c>
      <c r="K28" s="148">
        <v>2.23333E-3</v>
      </c>
      <c r="L28" s="147">
        <f t="shared" si="2"/>
        <v>-98.54</v>
      </c>
      <c r="M28" s="147">
        <f t="shared" si="3"/>
        <v>-147.81</v>
      </c>
      <c r="N28" s="145"/>
    </row>
    <row r="29" spans="1:14">
      <c r="A29" s="145" t="s">
        <v>14</v>
      </c>
      <c r="B29" s="146" t="s">
        <v>195</v>
      </c>
      <c r="C29" s="146" t="s">
        <v>196</v>
      </c>
      <c r="D29" s="145" t="s">
        <v>1674</v>
      </c>
      <c r="E29" s="146" t="s">
        <v>198</v>
      </c>
      <c r="F29" s="145" t="s">
        <v>1610</v>
      </c>
      <c r="G29" s="146" t="s">
        <v>20</v>
      </c>
      <c r="H29" s="146">
        <v>201604</v>
      </c>
      <c r="I29" s="147">
        <v>326071.76</v>
      </c>
      <c r="J29" s="144">
        <f t="shared" si="1"/>
        <v>7</v>
      </c>
      <c r="K29" s="148">
        <v>2.23333E-3</v>
      </c>
      <c r="L29" s="147">
        <f t="shared" si="2"/>
        <v>5097.58</v>
      </c>
      <c r="M29" s="147">
        <f t="shared" si="3"/>
        <v>8738.7099999999991</v>
      </c>
      <c r="N29" s="145"/>
    </row>
    <row r="30" spans="1:14">
      <c r="A30" s="145" t="s">
        <v>1942</v>
      </c>
      <c r="B30" s="146" t="s">
        <v>1681</v>
      </c>
      <c r="C30" s="146" t="s">
        <v>1682</v>
      </c>
      <c r="D30" s="145" t="s">
        <v>1683</v>
      </c>
      <c r="E30" s="146" t="s">
        <v>198</v>
      </c>
      <c r="F30" s="145" t="s">
        <v>1610</v>
      </c>
      <c r="G30" s="146" t="s">
        <v>20</v>
      </c>
      <c r="H30" s="146">
        <v>201604</v>
      </c>
      <c r="I30" s="147">
        <v>3074.58</v>
      </c>
      <c r="J30" s="144">
        <f t="shared" si="1"/>
        <v>7</v>
      </c>
      <c r="K30" s="148">
        <v>2.23333E-3</v>
      </c>
      <c r="L30" s="147">
        <f t="shared" si="2"/>
        <v>48.07</v>
      </c>
      <c r="M30" s="147">
        <f t="shared" si="3"/>
        <v>82.4</v>
      </c>
      <c r="N30" s="145"/>
    </row>
    <row r="31" spans="1:14">
      <c r="A31" s="145" t="s">
        <v>14</v>
      </c>
      <c r="B31" s="146" t="s">
        <v>195</v>
      </c>
      <c r="C31" s="146" t="s">
        <v>196</v>
      </c>
      <c r="D31" s="145" t="s">
        <v>1674</v>
      </c>
      <c r="E31" s="146" t="s">
        <v>198</v>
      </c>
      <c r="F31" s="145" t="s">
        <v>1610</v>
      </c>
      <c r="G31" s="146" t="s">
        <v>20</v>
      </c>
      <c r="H31" s="146">
        <v>201605</v>
      </c>
      <c r="I31" s="147">
        <v>374323.56</v>
      </c>
      <c r="J31" s="144">
        <f t="shared" si="1"/>
        <v>6</v>
      </c>
      <c r="K31" s="148">
        <v>2.23333E-3</v>
      </c>
      <c r="L31" s="147">
        <f t="shared" si="2"/>
        <v>5015.93</v>
      </c>
      <c r="M31" s="147">
        <f t="shared" si="3"/>
        <v>10031.86</v>
      </c>
      <c r="N31" s="145"/>
    </row>
    <row r="32" spans="1:14">
      <c r="A32" s="145" t="s">
        <v>1942</v>
      </c>
      <c r="B32" s="146" t="s">
        <v>1681</v>
      </c>
      <c r="C32" s="146" t="s">
        <v>1682</v>
      </c>
      <c r="D32" s="145" t="s">
        <v>1683</v>
      </c>
      <c r="E32" s="146" t="s">
        <v>198</v>
      </c>
      <c r="F32" s="145" t="s">
        <v>1610</v>
      </c>
      <c r="G32" s="146" t="s">
        <v>20</v>
      </c>
      <c r="H32" s="146">
        <v>201605</v>
      </c>
      <c r="I32" s="147">
        <v>2132.77</v>
      </c>
      <c r="J32" s="144">
        <f t="shared" si="1"/>
        <v>6</v>
      </c>
      <c r="K32" s="148">
        <v>2.23333E-3</v>
      </c>
      <c r="L32" s="147">
        <f t="shared" si="2"/>
        <v>28.58</v>
      </c>
      <c r="M32" s="147">
        <f t="shared" si="3"/>
        <v>57.16</v>
      </c>
      <c r="N32" s="145"/>
    </row>
    <row r="33" spans="1:14">
      <c r="A33" s="145" t="s">
        <v>14</v>
      </c>
      <c r="B33" s="146" t="s">
        <v>195</v>
      </c>
      <c r="C33" s="146" t="s">
        <v>196</v>
      </c>
      <c r="D33" s="145" t="s">
        <v>1674</v>
      </c>
      <c r="E33" s="146" t="s">
        <v>198</v>
      </c>
      <c r="F33" s="145" t="s">
        <v>1610</v>
      </c>
      <c r="G33" s="146" t="s">
        <v>20</v>
      </c>
      <c r="H33" s="146">
        <v>201606</v>
      </c>
      <c r="I33" s="147">
        <v>398984.24</v>
      </c>
      <c r="J33" s="144">
        <f t="shared" si="1"/>
        <v>5</v>
      </c>
      <c r="K33" s="148">
        <v>2.23333E-3</v>
      </c>
      <c r="L33" s="147">
        <f t="shared" si="2"/>
        <v>4455.32</v>
      </c>
      <c r="M33" s="147">
        <f t="shared" si="3"/>
        <v>10692.76</v>
      </c>
      <c r="N33" s="145"/>
    </row>
    <row r="34" spans="1:14">
      <c r="A34" s="145" t="s">
        <v>1942</v>
      </c>
      <c r="B34" s="146" t="s">
        <v>1681</v>
      </c>
      <c r="C34" s="146" t="s">
        <v>1682</v>
      </c>
      <c r="D34" s="145" t="s">
        <v>1683</v>
      </c>
      <c r="E34" s="146" t="s">
        <v>198</v>
      </c>
      <c r="F34" s="145" t="s">
        <v>1610</v>
      </c>
      <c r="G34" s="146" t="s">
        <v>20</v>
      </c>
      <c r="H34" s="146">
        <v>201606</v>
      </c>
      <c r="I34" s="147">
        <v>13452.51</v>
      </c>
      <c r="J34" s="144">
        <f t="shared" si="1"/>
        <v>5</v>
      </c>
      <c r="K34" s="148">
        <v>2.23333E-3</v>
      </c>
      <c r="L34" s="147">
        <f t="shared" si="2"/>
        <v>150.22</v>
      </c>
      <c r="M34" s="147">
        <f t="shared" si="3"/>
        <v>360.53</v>
      </c>
      <c r="N34" s="145"/>
    </row>
    <row r="35" spans="1:14">
      <c r="A35" s="161" t="s">
        <v>1942</v>
      </c>
      <c r="B35" s="160" t="s">
        <v>1681</v>
      </c>
      <c r="C35" s="160" t="s">
        <v>1682</v>
      </c>
      <c r="D35" s="161" t="s">
        <v>1683</v>
      </c>
      <c r="E35" s="160" t="s">
        <v>198</v>
      </c>
      <c r="F35" s="161" t="s">
        <v>1610</v>
      </c>
      <c r="G35" s="160" t="s">
        <v>20</v>
      </c>
      <c r="H35" s="146">
        <v>201607</v>
      </c>
      <c r="I35" s="154">
        <v>2233.7600000000002</v>
      </c>
      <c r="J35" s="144">
        <f t="shared" si="1"/>
        <v>4</v>
      </c>
      <c r="K35" s="155">
        <v>2.23333E-3</v>
      </c>
      <c r="L35" s="154">
        <f t="shared" si="2"/>
        <v>19.95</v>
      </c>
      <c r="M35" s="154">
        <f t="shared" si="3"/>
        <v>59.86</v>
      </c>
      <c r="N35" s="145"/>
    </row>
    <row r="36" spans="1:14">
      <c r="A36" s="151" t="s">
        <v>14</v>
      </c>
      <c r="B36" s="152" t="s">
        <v>195</v>
      </c>
      <c r="C36" s="152" t="s">
        <v>196</v>
      </c>
      <c r="D36" s="151" t="s">
        <v>1674</v>
      </c>
      <c r="E36" s="152" t="s">
        <v>198</v>
      </c>
      <c r="F36" s="151" t="s">
        <v>1610</v>
      </c>
      <c r="G36" s="152" t="s">
        <v>20</v>
      </c>
      <c r="H36" s="153">
        <v>201607</v>
      </c>
      <c r="I36" s="154">
        <v>268543.59000000003</v>
      </c>
      <c r="J36" s="144">
        <f t="shared" si="1"/>
        <v>4</v>
      </c>
      <c r="K36" s="155">
        <v>2.23333E-3</v>
      </c>
      <c r="L36" s="154">
        <f t="shared" si="2"/>
        <v>2398.9899999999998</v>
      </c>
      <c r="M36" s="154">
        <f t="shared" si="3"/>
        <v>7196.96</v>
      </c>
      <c r="N36" s="145"/>
    </row>
    <row r="37" spans="1:14">
      <c r="A37" s="145" t="s">
        <v>14</v>
      </c>
      <c r="B37" s="146" t="s">
        <v>200</v>
      </c>
      <c r="C37" s="146" t="s">
        <v>201</v>
      </c>
      <c r="D37" s="145" t="s">
        <v>1675</v>
      </c>
      <c r="E37" s="146" t="s">
        <v>202</v>
      </c>
      <c r="F37" s="145" t="s">
        <v>1611</v>
      </c>
      <c r="G37" s="146" t="s">
        <v>20</v>
      </c>
      <c r="H37" s="146">
        <v>201603</v>
      </c>
      <c r="I37" s="147">
        <v>14084.84</v>
      </c>
      <c r="J37" s="144">
        <f t="shared" si="1"/>
        <v>8</v>
      </c>
      <c r="K37" s="148">
        <v>2.23333E-3</v>
      </c>
      <c r="L37" s="147">
        <f t="shared" si="2"/>
        <v>251.65</v>
      </c>
      <c r="M37" s="147">
        <f t="shared" si="3"/>
        <v>377.47</v>
      </c>
      <c r="N37" s="145"/>
    </row>
    <row r="38" spans="1:14">
      <c r="A38" s="145" t="s">
        <v>1942</v>
      </c>
      <c r="B38" s="146" t="s">
        <v>1681</v>
      </c>
      <c r="C38" s="146" t="s">
        <v>1943</v>
      </c>
      <c r="D38" s="145" t="s">
        <v>1944</v>
      </c>
      <c r="E38" s="146" t="s">
        <v>202</v>
      </c>
      <c r="F38" s="145" t="s">
        <v>1611</v>
      </c>
      <c r="G38" s="146" t="s">
        <v>20</v>
      </c>
      <c r="H38" s="146">
        <v>201603</v>
      </c>
      <c r="I38" s="147">
        <v>9006.61</v>
      </c>
      <c r="J38" s="144">
        <f t="shared" si="1"/>
        <v>8</v>
      </c>
      <c r="K38" s="148">
        <v>2.23333E-3</v>
      </c>
      <c r="L38" s="147">
        <f t="shared" si="2"/>
        <v>160.91999999999999</v>
      </c>
      <c r="M38" s="147">
        <f t="shared" si="3"/>
        <v>241.38</v>
      </c>
      <c r="N38" s="145"/>
    </row>
    <row r="39" spans="1:14">
      <c r="A39" s="145" t="s">
        <v>14</v>
      </c>
      <c r="B39" s="146" t="s">
        <v>200</v>
      </c>
      <c r="C39" s="146" t="s">
        <v>201</v>
      </c>
      <c r="D39" s="145" t="s">
        <v>1675</v>
      </c>
      <c r="E39" s="146" t="s">
        <v>202</v>
      </c>
      <c r="F39" s="145" t="s">
        <v>1611</v>
      </c>
      <c r="G39" s="146" t="s">
        <v>20</v>
      </c>
      <c r="H39" s="146">
        <v>201604</v>
      </c>
      <c r="I39" s="147">
        <v>24735.46</v>
      </c>
      <c r="J39" s="144">
        <f t="shared" si="1"/>
        <v>7</v>
      </c>
      <c r="K39" s="148">
        <v>2.23333E-3</v>
      </c>
      <c r="L39" s="147">
        <f t="shared" si="2"/>
        <v>386.7</v>
      </c>
      <c r="M39" s="147">
        <f t="shared" si="3"/>
        <v>662.91</v>
      </c>
      <c r="N39" s="145"/>
    </row>
    <row r="40" spans="1:14">
      <c r="A40" s="145" t="s">
        <v>1942</v>
      </c>
      <c r="B40" s="146" t="s">
        <v>1681</v>
      </c>
      <c r="C40" s="146" t="s">
        <v>1943</v>
      </c>
      <c r="D40" s="145" t="s">
        <v>1944</v>
      </c>
      <c r="E40" s="146" t="s">
        <v>202</v>
      </c>
      <c r="F40" s="145" t="s">
        <v>1611</v>
      </c>
      <c r="G40" s="146" t="s">
        <v>20</v>
      </c>
      <c r="H40" s="146">
        <v>201604</v>
      </c>
      <c r="I40" s="147">
        <v>1011.31</v>
      </c>
      <c r="J40" s="144">
        <f t="shared" si="1"/>
        <v>7</v>
      </c>
      <c r="K40" s="148">
        <v>2.23333E-3</v>
      </c>
      <c r="L40" s="147">
        <f t="shared" si="2"/>
        <v>15.81</v>
      </c>
      <c r="M40" s="147">
        <f t="shared" si="3"/>
        <v>27.1</v>
      </c>
      <c r="N40" s="145"/>
    </row>
    <row r="41" spans="1:14">
      <c r="A41" s="145" t="s">
        <v>14</v>
      </c>
      <c r="B41" s="146" t="s">
        <v>200</v>
      </c>
      <c r="C41" s="146" t="s">
        <v>201</v>
      </c>
      <c r="D41" s="145" t="s">
        <v>1675</v>
      </c>
      <c r="E41" s="146" t="s">
        <v>202</v>
      </c>
      <c r="F41" s="145" t="s">
        <v>1611</v>
      </c>
      <c r="G41" s="146" t="s">
        <v>20</v>
      </c>
      <c r="H41" s="146">
        <v>201605</v>
      </c>
      <c r="I41" s="147">
        <v>50093.1</v>
      </c>
      <c r="J41" s="144">
        <f t="shared" si="1"/>
        <v>6</v>
      </c>
      <c r="K41" s="148">
        <v>2.23333E-3</v>
      </c>
      <c r="L41" s="147">
        <f t="shared" si="2"/>
        <v>671.25</v>
      </c>
      <c r="M41" s="147">
        <f t="shared" si="3"/>
        <v>1342.49</v>
      </c>
      <c r="N41" s="145"/>
    </row>
    <row r="42" spans="1:14">
      <c r="A42" s="145" t="s">
        <v>1942</v>
      </c>
      <c r="B42" s="146" t="s">
        <v>1681</v>
      </c>
      <c r="C42" s="146" t="s">
        <v>1943</v>
      </c>
      <c r="D42" s="145" t="s">
        <v>1944</v>
      </c>
      <c r="E42" s="146" t="s">
        <v>202</v>
      </c>
      <c r="F42" s="145" t="s">
        <v>1611</v>
      </c>
      <c r="G42" s="146" t="s">
        <v>20</v>
      </c>
      <c r="H42" s="146">
        <v>201605</v>
      </c>
      <c r="I42" s="147">
        <v>469.82</v>
      </c>
      <c r="J42" s="144">
        <f t="shared" si="1"/>
        <v>6</v>
      </c>
      <c r="K42" s="148">
        <v>2.23333E-3</v>
      </c>
      <c r="L42" s="147">
        <f t="shared" si="2"/>
        <v>6.3</v>
      </c>
      <c r="M42" s="147">
        <f t="shared" si="3"/>
        <v>12.59</v>
      </c>
      <c r="N42" s="145"/>
    </row>
    <row r="43" spans="1:14">
      <c r="A43" s="145" t="s">
        <v>14</v>
      </c>
      <c r="B43" s="146" t="s">
        <v>200</v>
      </c>
      <c r="C43" s="146" t="s">
        <v>201</v>
      </c>
      <c r="D43" s="145" t="s">
        <v>1675</v>
      </c>
      <c r="E43" s="146" t="s">
        <v>202</v>
      </c>
      <c r="F43" s="145" t="s">
        <v>1611</v>
      </c>
      <c r="G43" s="146" t="s">
        <v>20</v>
      </c>
      <c r="H43" s="146">
        <v>201606</v>
      </c>
      <c r="I43" s="147">
        <v>32430.35</v>
      </c>
      <c r="J43" s="144">
        <f t="shared" si="1"/>
        <v>5</v>
      </c>
      <c r="K43" s="148">
        <v>2.23333E-3</v>
      </c>
      <c r="L43" s="147">
        <f t="shared" si="2"/>
        <v>362.14</v>
      </c>
      <c r="M43" s="147">
        <f t="shared" si="3"/>
        <v>869.13</v>
      </c>
      <c r="N43" s="145"/>
    </row>
    <row r="44" spans="1:14">
      <c r="A44" s="145" t="s">
        <v>1942</v>
      </c>
      <c r="B44" s="146" t="s">
        <v>1681</v>
      </c>
      <c r="C44" s="146" t="s">
        <v>1943</v>
      </c>
      <c r="D44" s="145" t="s">
        <v>1944</v>
      </c>
      <c r="E44" s="146" t="s">
        <v>202</v>
      </c>
      <c r="F44" s="145" t="s">
        <v>1611</v>
      </c>
      <c r="G44" s="146" t="s">
        <v>20</v>
      </c>
      <c r="H44" s="146">
        <v>201606</v>
      </c>
      <c r="I44" s="147">
        <v>4229.49</v>
      </c>
      <c r="J44" s="144">
        <f t="shared" si="1"/>
        <v>5</v>
      </c>
      <c r="K44" s="148">
        <v>2.23333E-3</v>
      </c>
      <c r="L44" s="147">
        <f t="shared" si="2"/>
        <v>47.23</v>
      </c>
      <c r="M44" s="147">
        <f t="shared" si="3"/>
        <v>113.35</v>
      </c>
      <c r="N44" s="145"/>
    </row>
    <row r="45" spans="1:14">
      <c r="A45" s="151" t="s">
        <v>1942</v>
      </c>
      <c r="B45" s="160" t="s">
        <v>1681</v>
      </c>
      <c r="C45" s="152" t="s">
        <v>1943</v>
      </c>
      <c r="D45" s="151" t="s">
        <v>1944</v>
      </c>
      <c r="E45" s="152" t="s">
        <v>202</v>
      </c>
      <c r="F45" s="151" t="s">
        <v>1611</v>
      </c>
      <c r="G45" s="152" t="s">
        <v>20</v>
      </c>
      <c r="H45" s="150">
        <v>201607</v>
      </c>
      <c r="I45" s="154">
        <v>-877.58</v>
      </c>
      <c r="J45" s="144">
        <f t="shared" si="1"/>
        <v>4</v>
      </c>
      <c r="K45" s="155">
        <v>2.23333E-3</v>
      </c>
      <c r="L45" s="154">
        <f t="shared" si="2"/>
        <v>-7.84</v>
      </c>
      <c r="M45" s="154">
        <f t="shared" si="3"/>
        <v>-23.52</v>
      </c>
      <c r="N45" s="145"/>
    </row>
    <row r="46" spans="1:14">
      <c r="A46" s="161" t="s">
        <v>14</v>
      </c>
      <c r="B46" s="160" t="s">
        <v>200</v>
      </c>
      <c r="C46" s="160" t="s">
        <v>201</v>
      </c>
      <c r="D46" s="161" t="s">
        <v>1675</v>
      </c>
      <c r="E46" s="160" t="s">
        <v>202</v>
      </c>
      <c r="F46" s="161" t="s">
        <v>1611</v>
      </c>
      <c r="G46" s="160" t="s">
        <v>20</v>
      </c>
      <c r="H46" s="103">
        <v>201607</v>
      </c>
      <c r="I46" s="154">
        <v>6584.46</v>
      </c>
      <c r="J46" s="144">
        <f t="shared" si="1"/>
        <v>4</v>
      </c>
      <c r="K46" s="155">
        <v>2.23333E-3</v>
      </c>
      <c r="L46" s="154">
        <f t="shared" si="2"/>
        <v>58.82</v>
      </c>
      <c r="M46" s="154">
        <f t="shared" si="3"/>
        <v>176.46</v>
      </c>
      <c r="N46" s="145"/>
    </row>
    <row r="47" spans="1:14">
      <c r="A47" s="145" t="s">
        <v>14</v>
      </c>
      <c r="B47" s="146" t="s">
        <v>292</v>
      </c>
      <c r="C47" s="146" t="s">
        <v>293</v>
      </c>
      <c r="D47" s="145" t="s">
        <v>1679</v>
      </c>
      <c r="E47" s="146" t="s">
        <v>294</v>
      </c>
      <c r="F47" s="145" t="s">
        <v>1613</v>
      </c>
      <c r="G47" s="146" t="s">
        <v>20</v>
      </c>
      <c r="H47" s="146">
        <v>201603</v>
      </c>
      <c r="I47" s="147">
        <v>64836</v>
      </c>
      <c r="J47" s="144">
        <f t="shared" si="1"/>
        <v>8</v>
      </c>
      <c r="K47" s="148">
        <v>2.23333E-3</v>
      </c>
      <c r="L47" s="147">
        <f t="shared" si="2"/>
        <v>1158.4000000000001</v>
      </c>
      <c r="M47" s="147">
        <f t="shared" si="3"/>
        <v>1737.6</v>
      </c>
      <c r="N47" s="145"/>
    </row>
    <row r="48" spans="1:14">
      <c r="A48" s="145" t="s">
        <v>1942</v>
      </c>
      <c r="B48" s="146" t="s">
        <v>1681</v>
      </c>
      <c r="C48" s="146" t="s">
        <v>1976</v>
      </c>
      <c r="D48" s="145" t="s">
        <v>1977</v>
      </c>
      <c r="E48" s="146" t="s">
        <v>294</v>
      </c>
      <c r="F48" s="145" t="s">
        <v>1613</v>
      </c>
      <c r="G48" s="146" t="s">
        <v>20</v>
      </c>
      <c r="H48" s="146">
        <v>201603</v>
      </c>
      <c r="I48" s="147">
        <v>-1488.14</v>
      </c>
      <c r="J48" s="144">
        <f t="shared" si="1"/>
        <v>8</v>
      </c>
      <c r="K48" s="148">
        <v>2.23333E-3</v>
      </c>
      <c r="L48" s="147">
        <f t="shared" si="2"/>
        <v>-26.59</v>
      </c>
      <c r="M48" s="147">
        <f t="shared" si="3"/>
        <v>-39.880000000000003</v>
      </c>
      <c r="N48" s="145"/>
    </row>
    <row r="49" spans="1:14">
      <c r="A49" s="145" t="s">
        <v>14</v>
      </c>
      <c r="B49" s="146" t="s">
        <v>292</v>
      </c>
      <c r="C49" s="146" t="s">
        <v>293</v>
      </c>
      <c r="D49" s="145" t="s">
        <v>1679</v>
      </c>
      <c r="E49" s="146" t="s">
        <v>294</v>
      </c>
      <c r="F49" s="145" t="s">
        <v>1613</v>
      </c>
      <c r="G49" s="146" t="s">
        <v>20</v>
      </c>
      <c r="H49" s="146">
        <v>201604</v>
      </c>
      <c r="I49" s="147">
        <v>64703.11</v>
      </c>
      <c r="J49" s="144">
        <f t="shared" si="1"/>
        <v>7</v>
      </c>
      <c r="K49" s="148">
        <v>2.23333E-3</v>
      </c>
      <c r="L49" s="147">
        <f t="shared" si="2"/>
        <v>1011.52</v>
      </c>
      <c r="M49" s="147">
        <f t="shared" si="3"/>
        <v>1734.04</v>
      </c>
      <c r="N49" s="145"/>
    </row>
    <row r="50" spans="1:14">
      <c r="A50" s="145" t="s">
        <v>1942</v>
      </c>
      <c r="B50" s="146" t="s">
        <v>1681</v>
      </c>
      <c r="C50" s="146" t="s">
        <v>1976</v>
      </c>
      <c r="D50" s="145" t="s">
        <v>1977</v>
      </c>
      <c r="E50" s="146" t="s">
        <v>294</v>
      </c>
      <c r="F50" s="145" t="s">
        <v>1613</v>
      </c>
      <c r="G50" s="146" t="s">
        <v>20</v>
      </c>
      <c r="H50" s="146">
        <v>201604</v>
      </c>
      <c r="I50" s="147">
        <v>8911.31</v>
      </c>
      <c r="J50" s="144">
        <f t="shared" si="1"/>
        <v>7</v>
      </c>
      <c r="K50" s="148">
        <v>2.23333E-3</v>
      </c>
      <c r="L50" s="147">
        <f t="shared" si="2"/>
        <v>139.31</v>
      </c>
      <c r="M50" s="147">
        <f t="shared" si="3"/>
        <v>238.82</v>
      </c>
      <c r="N50" s="145"/>
    </row>
    <row r="51" spans="1:14">
      <c r="A51" s="145" t="s">
        <v>14</v>
      </c>
      <c r="B51" s="146" t="s">
        <v>292</v>
      </c>
      <c r="C51" s="146" t="s">
        <v>293</v>
      </c>
      <c r="D51" s="145" t="s">
        <v>1679</v>
      </c>
      <c r="E51" s="146" t="s">
        <v>294</v>
      </c>
      <c r="F51" s="145" t="s">
        <v>1613</v>
      </c>
      <c r="G51" s="146" t="s">
        <v>20</v>
      </c>
      <c r="H51" s="146">
        <v>201605</v>
      </c>
      <c r="I51" s="147">
        <v>105796.79</v>
      </c>
      <c r="J51" s="144">
        <f t="shared" si="1"/>
        <v>6</v>
      </c>
      <c r="K51" s="148">
        <v>2.23333E-3</v>
      </c>
      <c r="L51" s="147">
        <f t="shared" si="2"/>
        <v>1417.67</v>
      </c>
      <c r="M51" s="147">
        <f t="shared" si="3"/>
        <v>2835.35</v>
      </c>
      <c r="N51" s="145"/>
    </row>
    <row r="52" spans="1:14">
      <c r="A52" s="145" t="s">
        <v>1942</v>
      </c>
      <c r="B52" s="146" t="s">
        <v>1681</v>
      </c>
      <c r="C52" s="146" t="s">
        <v>1976</v>
      </c>
      <c r="D52" s="145" t="s">
        <v>1977</v>
      </c>
      <c r="E52" s="146" t="s">
        <v>294</v>
      </c>
      <c r="F52" s="145" t="s">
        <v>1613</v>
      </c>
      <c r="G52" s="146" t="s">
        <v>20</v>
      </c>
      <c r="H52" s="146">
        <v>201605</v>
      </c>
      <c r="I52" s="147">
        <v>13955.23</v>
      </c>
      <c r="J52" s="144">
        <f t="shared" si="1"/>
        <v>6</v>
      </c>
      <c r="K52" s="148">
        <v>2.23333E-3</v>
      </c>
      <c r="L52" s="147">
        <f t="shared" si="2"/>
        <v>187</v>
      </c>
      <c r="M52" s="147">
        <f t="shared" si="3"/>
        <v>374</v>
      </c>
      <c r="N52" s="145"/>
    </row>
    <row r="53" spans="1:14">
      <c r="A53" s="145" t="s">
        <v>14</v>
      </c>
      <c r="B53" s="146" t="s">
        <v>292</v>
      </c>
      <c r="C53" s="146" t="s">
        <v>293</v>
      </c>
      <c r="D53" s="145" t="s">
        <v>1679</v>
      </c>
      <c r="E53" s="146" t="s">
        <v>294</v>
      </c>
      <c r="F53" s="145" t="s">
        <v>1613</v>
      </c>
      <c r="G53" s="146" t="s">
        <v>20</v>
      </c>
      <c r="H53" s="146">
        <v>201606</v>
      </c>
      <c r="I53" s="147">
        <v>63862.07</v>
      </c>
      <c r="J53" s="144">
        <f t="shared" si="1"/>
        <v>5</v>
      </c>
      <c r="K53" s="148">
        <v>2.23333E-3</v>
      </c>
      <c r="L53" s="147">
        <f t="shared" si="2"/>
        <v>713.13</v>
      </c>
      <c r="M53" s="147">
        <f t="shared" si="3"/>
        <v>1711.5</v>
      </c>
      <c r="N53" s="145"/>
    </row>
    <row r="54" spans="1:14">
      <c r="A54" s="145" t="s">
        <v>1942</v>
      </c>
      <c r="B54" s="146" t="s">
        <v>1681</v>
      </c>
      <c r="C54" s="146" t="s">
        <v>1976</v>
      </c>
      <c r="D54" s="145" t="s">
        <v>1977</v>
      </c>
      <c r="E54" s="146" t="s">
        <v>294</v>
      </c>
      <c r="F54" s="145" t="s">
        <v>1613</v>
      </c>
      <c r="G54" s="146" t="s">
        <v>20</v>
      </c>
      <c r="H54" s="146">
        <v>201606</v>
      </c>
      <c r="I54" s="147">
        <v>799.44</v>
      </c>
      <c r="J54" s="144">
        <f t="shared" si="1"/>
        <v>5</v>
      </c>
      <c r="K54" s="148">
        <v>2.23333E-3</v>
      </c>
      <c r="L54" s="147">
        <f t="shared" si="2"/>
        <v>8.93</v>
      </c>
      <c r="M54" s="147">
        <f t="shared" si="3"/>
        <v>21.42</v>
      </c>
      <c r="N54" s="145"/>
    </row>
    <row r="55" spans="1:14">
      <c r="A55" s="151" t="s">
        <v>1942</v>
      </c>
      <c r="B55" s="160" t="s">
        <v>1681</v>
      </c>
      <c r="C55" s="152" t="s">
        <v>1976</v>
      </c>
      <c r="D55" s="151" t="s">
        <v>1977</v>
      </c>
      <c r="E55" s="152" t="s">
        <v>294</v>
      </c>
      <c r="F55" s="151" t="s">
        <v>1613</v>
      </c>
      <c r="G55" s="152" t="s">
        <v>20</v>
      </c>
      <c r="H55" s="150">
        <v>201607</v>
      </c>
      <c r="I55" s="154">
        <v>936.49</v>
      </c>
      <c r="J55" s="144">
        <f t="shared" si="1"/>
        <v>4</v>
      </c>
      <c r="K55" s="155">
        <v>2.23333E-3</v>
      </c>
      <c r="L55" s="154">
        <f t="shared" si="2"/>
        <v>8.3699999999999992</v>
      </c>
      <c r="M55" s="154">
        <f t="shared" si="3"/>
        <v>25.1</v>
      </c>
      <c r="N55" s="145"/>
    </row>
    <row r="56" spans="1:14">
      <c r="A56" s="161" t="s">
        <v>14</v>
      </c>
      <c r="B56" s="160" t="s">
        <v>292</v>
      </c>
      <c r="C56" s="160" t="s">
        <v>293</v>
      </c>
      <c r="D56" s="161" t="s">
        <v>1679</v>
      </c>
      <c r="E56" s="160" t="s">
        <v>294</v>
      </c>
      <c r="F56" s="161" t="s">
        <v>1613</v>
      </c>
      <c r="G56" s="160" t="s">
        <v>20</v>
      </c>
      <c r="H56" s="103">
        <v>201607</v>
      </c>
      <c r="I56" s="154">
        <v>45031.58</v>
      </c>
      <c r="J56" s="144">
        <f t="shared" si="1"/>
        <v>4</v>
      </c>
      <c r="K56" s="155">
        <v>2.23333E-3</v>
      </c>
      <c r="L56" s="154">
        <f t="shared" si="2"/>
        <v>402.28</v>
      </c>
      <c r="M56" s="154">
        <f t="shared" si="3"/>
        <v>1206.8399999999999</v>
      </c>
      <c r="N56" s="145"/>
    </row>
    <row r="57" spans="1:14">
      <c r="A57" s="161"/>
      <c r="B57" s="160"/>
      <c r="C57" s="160"/>
      <c r="D57" s="161"/>
      <c r="E57" s="160"/>
      <c r="F57" s="161"/>
      <c r="G57" s="160"/>
      <c r="H57" s="103"/>
      <c r="I57" s="293">
        <f>SUM(I12:I56)</f>
        <v>2656295.3199999998</v>
      </c>
      <c r="J57" s="144"/>
      <c r="K57" s="155"/>
      <c r="L57" s="293">
        <f t="shared" ref="L57:M57" si="4">SUM(L12:L56)</f>
        <v>36750.439999999995</v>
      </c>
      <c r="M57" s="293">
        <f t="shared" si="4"/>
        <v>71604.800000000003</v>
      </c>
      <c r="N57" s="145"/>
    </row>
    <row r="58" spans="1:14">
      <c r="A58" s="161"/>
      <c r="B58" s="160"/>
      <c r="C58" s="160"/>
      <c r="D58" s="161"/>
      <c r="E58" s="160"/>
      <c r="F58" s="161"/>
      <c r="G58" s="160"/>
      <c r="H58" s="103"/>
      <c r="I58" s="154"/>
      <c r="J58" s="144"/>
      <c r="K58" s="155"/>
      <c r="L58" s="154"/>
      <c r="M58" s="154"/>
      <c r="N58" s="145"/>
    </row>
    <row r="59" spans="1:14">
      <c r="A59" s="145" t="s">
        <v>626</v>
      </c>
      <c r="B59" s="146" t="s">
        <v>1597</v>
      </c>
      <c r="C59" s="146" t="s">
        <v>1598</v>
      </c>
      <c r="D59" s="145" t="s">
        <v>1599</v>
      </c>
      <c r="E59" s="146" t="s">
        <v>164</v>
      </c>
      <c r="F59" s="145" t="s">
        <v>1600</v>
      </c>
      <c r="G59" s="146" t="s">
        <v>20</v>
      </c>
      <c r="H59" s="146">
        <v>201603</v>
      </c>
      <c r="I59" s="147">
        <v>-1</v>
      </c>
      <c r="J59" s="144">
        <f t="shared" ref="J59:J122" si="5">HLOOKUP(H59,$Q$2:$Z$3,2)</f>
        <v>8</v>
      </c>
      <c r="K59" s="148">
        <v>1.4833299999999999E-3</v>
      </c>
      <c r="L59" s="147">
        <f t="shared" ref="L59:L122" si="6">ROUND(I59*J59*K59,2)</f>
        <v>-0.01</v>
      </c>
      <c r="M59" s="147">
        <f t="shared" ref="M59:M122" si="7">ROUND(I59*K59*12,2)</f>
        <v>-0.02</v>
      </c>
      <c r="N59" s="145"/>
    </row>
    <row r="60" spans="1:14">
      <c r="A60" s="145" t="s">
        <v>626</v>
      </c>
      <c r="B60" s="146" t="s">
        <v>1545</v>
      </c>
      <c r="C60" s="146" t="s">
        <v>1546</v>
      </c>
      <c r="D60" s="145" t="s">
        <v>1547</v>
      </c>
      <c r="E60" s="146" t="s">
        <v>164</v>
      </c>
      <c r="F60" s="145" t="s">
        <v>1600</v>
      </c>
      <c r="G60" s="146" t="s">
        <v>20</v>
      </c>
      <c r="H60" s="146">
        <v>201603</v>
      </c>
      <c r="I60" s="147">
        <v>0.41</v>
      </c>
      <c r="J60" s="144">
        <f t="shared" si="5"/>
        <v>8</v>
      </c>
      <c r="K60" s="148">
        <v>1.4833299999999999E-3</v>
      </c>
      <c r="L60" s="147">
        <f t="shared" si="6"/>
        <v>0</v>
      </c>
      <c r="M60" s="147">
        <f t="shared" si="7"/>
        <v>0.01</v>
      </c>
      <c r="N60" s="145"/>
    </row>
    <row r="61" spans="1:14">
      <c r="A61" s="145" t="s">
        <v>626</v>
      </c>
      <c r="B61" s="146" t="s">
        <v>1681</v>
      </c>
      <c r="C61" s="146" t="s">
        <v>1703</v>
      </c>
      <c r="D61" s="145" t="s">
        <v>1704</v>
      </c>
      <c r="E61" s="146" t="s">
        <v>164</v>
      </c>
      <c r="F61" s="145" t="s">
        <v>1600</v>
      </c>
      <c r="G61" s="146" t="s">
        <v>20</v>
      </c>
      <c r="H61" s="146">
        <v>201603</v>
      </c>
      <c r="I61" s="147">
        <v>693.01</v>
      </c>
      <c r="J61" s="144">
        <f t="shared" si="5"/>
        <v>8</v>
      </c>
      <c r="K61" s="148">
        <v>1.4833299999999999E-3</v>
      </c>
      <c r="L61" s="147">
        <f t="shared" si="6"/>
        <v>8.2200000000000006</v>
      </c>
      <c r="M61" s="147">
        <f t="shared" si="7"/>
        <v>12.34</v>
      </c>
      <c r="N61" s="145"/>
    </row>
    <row r="62" spans="1:14">
      <c r="A62" s="145" t="s">
        <v>626</v>
      </c>
      <c r="B62" s="146" t="s">
        <v>1548</v>
      </c>
      <c r="C62" s="146" t="s">
        <v>1549</v>
      </c>
      <c r="D62" s="145" t="s">
        <v>1550</v>
      </c>
      <c r="E62" s="146" t="s">
        <v>164</v>
      </c>
      <c r="F62" s="145" t="s">
        <v>1600</v>
      </c>
      <c r="G62" s="146" t="s">
        <v>20</v>
      </c>
      <c r="H62" s="146">
        <v>201603</v>
      </c>
      <c r="I62" s="147">
        <v>-0.5</v>
      </c>
      <c r="J62" s="144">
        <f t="shared" si="5"/>
        <v>8</v>
      </c>
      <c r="K62" s="148">
        <v>1.4833299999999999E-3</v>
      </c>
      <c r="L62" s="147">
        <f t="shared" si="6"/>
        <v>-0.01</v>
      </c>
      <c r="M62" s="147">
        <f t="shared" si="7"/>
        <v>-0.01</v>
      </c>
      <c r="N62" s="145"/>
    </row>
    <row r="63" spans="1:14">
      <c r="A63" s="145" t="s">
        <v>626</v>
      </c>
      <c r="B63" s="146" t="s">
        <v>1444</v>
      </c>
      <c r="C63" s="146" t="s">
        <v>1445</v>
      </c>
      <c r="D63" s="145" t="s">
        <v>1282</v>
      </c>
      <c r="E63" s="146" t="s">
        <v>164</v>
      </c>
      <c r="F63" s="145" t="s">
        <v>1600</v>
      </c>
      <c r="G63" s="146" t="s">
        <v>20</v>
      </c>
      <c r="H63" s="146">
        <v>201603</v>
      </c>
      <c r="I63" s="147">
        <v>13.17</v>
      </c>
      <c r="J63" s="144">
        <f t="shared" si="5"/>
        <v>8</v>
      </c>
      <c r="K63" s="148">
        <v>1.4833299999999999E-3</v>
      </c>
      <c r="L63" s="147">
        <f t="shared" si="6"/>
        <v>0.16</v>
      </c>
      <c r="M63" s="147">
        <f t="shared" si="7"/>
        <v>0.23</v>
      </c>
      <c r="N63" s="145"/>
    </row>
    <row r="64" spans="1:14">
      <c r="A64" s="145" t="s">
        <v>626</v>
      </c>
      <c r="B64" s="146" t="s">
        <v>1496</v>
      </c>
      <c r="C64" s="146" t="s">
        <v>1497</v>
      </c>
      <c r="D64" s="145" t="s">
        <v>1498</v>
      </c>
      <c r="E64" s="146" t="s">
        <v>164</v>
      </c>
      <c r="F64" s="145" t="s">
        <v>1600</v>
      </c>
      <c r="G64" s="146" t="s">
        <v>20</v>
      </c>
      <c r="H64" s="146">
        <v>201603</v>
      </c>
      <c r="I64" s="147">
        <v>2.02</v>
      </c>
      <c r="J64" s="144">
        <f t="shared" si="5"/>
        <v>8</v>
      </c>
      <c r="K64" s="148">
        <v>1.4833299999999999E-3</v>
      </c>
      <c r="L64" s="147">
        <f t="shared" si="6"/>
        <v>0.02</v>
      </c>
      <c r="M64" s="147">
        <f t="shared" si="7"/>
        <v>0.04</v>
      </c>
      <c r="N64" s="145"/>
    </row>
    <row r="65" spans="1:14">
      <c r="A65" s="145" t="s">
        <v>626</v>
      </c>
      <c r="B65" s="146" t="s">
        <v>1736</v>
      </c>
      <c r="C65" s="146" t="s">
        <v>1737</v>
      </c>
      <c r="D65" s="145" t="s">
        <v>1738</v>
      </c>
      <c r="E65" s="146" t="s">
        <v>164</v>
      </c>
      <c r="F65" s="145" t="s">
        <v>1600</v>
      </c>
      <c r="G65" s="146" t="s">
        <v>20</v>
      </c>
      <c r="H65" s="146">
        <v>201603</v>
      </c>
      <c r="I65" s="147">
        <v>-220.8</v>
      </c>
      <c r="J65" s="144">
        <f t="shared" si="5"/>
        <v>8</v>
      </c>
      <c r="K65" s="148">
        <v>1.4833299999999999E-3</v>
      </c>
      <c r="L65" s="147">
        <f t="shared" si="6"/>
        <v>-2.62</v>
      </c>
      <c r="M65" s="147">
        <f t="shared" si="7"/>
        <v>-3.93</v>
      </c>
      <c r="N65" s="145"/>
    </row>
    <row r="66" spans="1:14">
      <c r="A66" s="145" t="s">
        <v>626</v>
      </c>
      <c r="B66" s="146" t="s">
        <v>1739</v>
      </c>
      <c r="C66" s="146" t="s">
        <v>1740</v>
      </c>
      <c r="D66" s="145" t="s">
        <v>1741</v>
      </c>
      <c r="E66" s="146" t="s">
        <v>164</v>
      </c>
      <c r="F66" s="145" t="s">
        <v>1600</v>
      </c>
      <c r="G66" s="146" t="s">
        <v>20</v>
      </c>
      <c r="H66" s="146">
        <v>201603</v>
      </c>
      <c r="I66" s="147">
        <v>2855.04</v>
      </c>
      <c r="J66" s="144">
        <f t="shared" si="5"/>
        <v>8</v>
      </c>
      <c r="K66" s="148">
        <v>1.4833299999999999E-3</v>
      </c>
      <c r="L66" s="147">
        <f t="shared" si="6"/>
        <v>33.880000000000003</v>
      </c>
      <c r="M66" s="147">
        <f t="shared" si="7"/>
        <v>50.82</v>
      </c>
      <c r="N66" s="145"/>
    </row>
    <row r="67" spans="1:14">
      <c r="A67" s="145" t="s">
        <v>626</v>
      </c>
      <c r="B67" s="146" t="s">
        <v>1797</v>
      </c>
      <c r="C67" s="146" t="s">
        <v>1798</v>
      </c>
      <c r="D67" s="145" t="s">
        <v>1799</v>
      </c>
      <c r="E67" s="146" t="s">
        <v>164</v>
      </c>
      <c r="F67" s="145" t="s">
        <v>1600</v>
      </c>
      <c r="G67" s="146" t="s">
        <v>20</v>
      </c>
      <c r="H67" s="146">
        <v>201603</v>
      </c>
      <c r="I67" s="147">
        <v>-1778.96</v>
      </c>
      <c r="J67" s="144">
        <f t="shared" si="5"/>
        <v>8</v>
      </c>
      <c r="K67" s="148">
        <v>1.4833299999999999E-3</v>
      </c>
      <c r="L67" s="147">
        <f t="shared" si="6"/>
        <v>-21.11</v>
      </c>
      <c r="M67" s="147">
        <f t="shared" si="7"/>
        <v>-31.67</v>
      </c>
      <c r="N67" s="145"/>
    </row>
    <row r="68" spans="1:14">
      <c r="A68" s="145" t="s">
        <v>626</v>
      </c>
      <c r="B68" s="146" t="s">
        <v>1638</v>
      </c>
      <c r="C68" s="146" t="s">
        <v>1639</v>
      </c>
      <c r="D68" s="145" t="s">
        <v>1640</v>
      </c>
      <c r="E68" s="146" t="s">
        <v>164</v>
      </c>
      <c r="F68" s="145" t="s">
        <v>1600</v>
      </c>
      <c r="G68" s="146" t="s">
        <v>20</v>
      </c>
      <c r="H68" s="146">
        <v>201603</v>
      </c>
      <c r="I68" s="147">
        <v>-0.64</v>
      </c>
      <c r="J68" s="144">
        <f t="shared" si="5"/>
        <v>8</v>
      </c>
      <c r="K68" s="148">
        <v>1.4833299999999999E-3</v>
      </c>
      <c r="L68" s="147">
        <f t="shared" si="6"/>
        <v>-0.01</v>
      </c>
      <c r="M68" s="147">
        <f t="shared" si="7"/>
        <v>-0.01</v>
      </c>
      <c r="N68" s="145"/>
    </row>
    <row r="69" spans="1:14">
      <c r="A69" s="145" t="s">
        <v>626</v>
      </c>
      <c r="B69" s="146" t="s">
        <v>1803</v>
      </c>
      <c r="C69" s="146" t="s">
        <v>1804</v>
      </c>
      <c r="D69" s="145" t="s">
        <v>1805</v>
      </c>
      <c r="E69" s="146" t="s">
        <v>164</v>
      </c>
      <c r="F69" s="145" t="s">
        <v>1600</v>
      </c>
      <c r="G69" s="146" t="s">
        <v>20</v>
      </c>
      <c r="H69" s="146">
        <v>201603</v>
      </c>
      <c r="I69" s="147">
        <v>-1901.79</v>
      </c>
      <c r="J69" s="144">
        <f t="shared" si="5"/>
        <v>8</v>
      </c>
      <c r="K69" s="148">
        <v>1.4833299999999999E-3</v>
      </c>
      <c r="L69" s="147">
        <f t="shared" si="6"/>
        <v>-22.57</v>
      </c>
      <c r="M69" s="147">
        <f t="shared" si="7"/>
        <v>-33.85</v>
      </c>
      <c r="N69" s="145"/>
    </row>
    <row r="70" spans="1:14">
      <c r="A70" s="145" t="s">
        <v>626</v>
      </c>
      <c r="B70" s="146" t="s">
        <v>1760</v>
      </c>
      <c r="C70" s="146" t="s">
        <v>1761</v>
      </c>
      <c r="D70" s="145" t="s">
        <v>1388</v>
      </c>
      <c r="E70" s="146" t="s">
        <v>164</v>
      </c>
      <c r="F70" s="145" t="s">
        <v>1600</v>
      </c>
      <c r="G70" s="146" t="s">
        <v>20</v>
      </c>
      <c r="H70" s="146">
        <v>201603</v>
      </c>
      <c r="I70" s="147">
        <v>-39.44</v>
      </c>
      <c r="J70" s="144">
        <f t="shared" si="5"/>
        <v>8</v>
      </c>
      <c r="K70" s="148">
        <v>1.4833299999999999E-3</v>
      </c>
      <c r="L70" s="147">
        <f t="shared" si="6"/>
        <v>-0.47</v>
      </c>
      <c r="M70" s="147">
        <f t="shared" si="7"/>
        <v>-0.7</v>
      </c>
      <c r="N70" s="145"/>
    </row>
    <row r="71" spans="1:14">
      <c r="A71" s="145" t="s">
        <v>21</v>
      </c>
      <c r="B71" s="146" t="s">
        <v>1760</v>
      </c>
      <c r="C71" s="146" t="s">
        <v>1761</v>
      </c>
      <c r="D71" s="145" t="s">
        <v>1388</v>
      </c>
      <c r="E71" s="146" t="s">
        <v>164</v>
      </c>
      <c r="F71" s="145" t="s">
        <v>1600</v>
      </c>
      <c r="G71" s="146" t="s">
        <v>20</v>
      </c>
      <c r="H71" s="146">
        <v>201603</v>
      </c>
      <c r="I71" s="147">
        <v>-0.9</v>
      </c>
      <c r="J71" s="144">
        <f t="shared" si="5"/>
        <v>8</v>
      </c>
      <c r="K71" s="148">
        <v>1.4833299999999999E-3</v>
      </c>
      <c r="L71" s="147">
        <f t="shared" si="6"/>
        <v>-0.01</v>
      </c>
      <c r="M71" s="147">
        <f t="shared" si="7"/>
        <v>-0.02</v>
      </c>
      <c r="N71" s="145"/>
    </row>
    <row r="72" spans="1:14">
      <c r="A72" s="145" t="s">
        <v>626</v>
      </c>
      <c r="B72" s="146" t="s">
        <v>1762</v>
      </c>
      <c r="C72" s="146" t="s">
        <v>1763</v>
      </c>
      <c r="D72" s="145" t="s">
        <v>1344</v>
      </c>
      <c r="E72" s="146" t="s">
        <v>164</v>
      </c>
      <c r="F72" s="145" t="s">
        <v>1600</v>
      </c>
      <c r="G72" s="146" t="s">
        <v>20</v>
      </c>
      <c r="H72" s="146">
        <v>201603</v>
      </c>
      <c r="I72" s="147">
        <v>-6.01</v>
      </c>
      <c r="J72" s="144">
        <f t="shared" si="5"/>
        <v>8</v>
      </c>
      <c r="K72" s="148">
        <v>1.4833299999999999E-3</v>
      </c>
      <c r="L72" s="147">
        <f t="shared" si="6"/>
        <v>-7.0000000000000007E-2</v>
      </c>
      <c r="M72" s="147">
        <f t="shared" si="7"/>
        <v>-0.11</v>
      </c>
      <c r="N72" s="145"/>
    </row>
    <row r="73" spans="1:14">
      <c r="A73" s="145" t="s">
        <v>626</v>
      </c>
      <c r="B73" s="146" t="s">
        <v>1681</v>
      </c>
      <c r="C73" s="146" t="s">
        <v>1997</v>
      </c>
      <c r="D73" s="145" t="s">
        <v>1998</v>
      </c>
      <c r="E73" s="146" t="s">
        <v>164</v>
      </c>
      <c r="F73" s="145" t="s">
        <v>1600</v>
      </c>
      <c r="G73" s="146" t="s">
        <v>20</v>
      </c>
      <c r="H73" s="146">
        <v>201603</v>
      </c>
      <c r="I73" s="147">
        <v>-1072.26</v>
      </c>
      <c r="J73" s="144">
        <f t="shared" si="5"/>
        <v>8</v>
      </c>
      <c r="K73" s="148">
        <v>1.4833299999999999E-3</v>
      </c>
      <c r="L73" s="147">
        <f t="shared" si="6"/>
        <v>-12.72</v>
      </c>
      <c r="M73" s="147">
        <f t="shared" si="7"/>
        <v>-19.09</v>
      </c>
      <c r="N73" s="145"/>
    </row>
    <row r="74" spans="1:14">
      <c r="A74" s="145" t="s">
        <v>1942</v>
      </c>
      <c r="B74" s="146" t="s">
        <v>1681</v>
      </c>
      <c r="C74" s="146" t="s">
        <v>1997</v>
      </c>
      <c r="D74" s="145" t="s">
        <v>1998</v>
      </c>
      <c r="E74" s="146" t="s">
        <v>164</v>
      </c>
      <c r="F74" s="145" t="s">
        <v>1600</v>
      </c>
      <c r="G74" s="146" t="s">
        <v>20</v>
      </c>
      <c r="H74" s="146">
        <v>201603</v>
      </c>
      <c r="I74" s="147">
        <v>-2.46</v>
      </c>
      <c r="J74" s="144">
        <f t="shared" si="5"/>
        <v>8</v>
      </c>
      <c r="K74" s="148">
        <v>2.23333E-3</v>
      </c>
      <c r="L74" s="147">
        <f t="shared" si="6"/>
        <v>-0.04</v>
      </c>
      <c r="M74" s="147">
        <f t="shared" si="7"/>
        <v>-7.0000000000000007E-2</v>
      </c>
      <c r="N74" s="145"/>
    </row>
    <row r="75" spans="1:14">
      <c r="A75" s="145" t="s">
        <v>626</v>
      </c>
      <c r="B75" s="146" t="s">
        <v>1681</v>
      </c>
      <c r="C75" s="146" t="s">
        <v>2001</v>
      </c>
      <c r="D75" s="145" t="s">
        <v>2002</v>
      </c>
      <c r="E75" s="146" t="s">
        <v>164</v>
      </c>
      <c r="F75" s="145" t="s">
        <v>1600</v>
      </c>
      <c r="G75" s="146" t="s">
        <v>20</v>
      </c>
      <c r="H75" s="146">
        <v>201603</v>
      </c>
      <c r="I75" s="147">
        <v>-113.5</v>
      </c>
      <c r="J75" s="144">
        <f t="shared" si="5"/>
        <v>8</v>
      </c>
      <c r="K75" s="148">
        <v>1.4833299999999999E-3</v>
      </c>
      <c r="L75" s="147">
        <f t="shared" si="6"/>
        <v>-1.35</v>
      </c>
      <c r="M75" s="147">
        <f t="shared" si="7"/>
        <v>-2.02</v>
      </c>
      <c r="N75" s="145"/>
    </row>
    <row r="76" spans="1:14">
      <c r="A76" s="145" t="s">
        <v>14</v>
      </c>
      <c r="B76" s="146" t="s">
        <v>1681</v>
      </c>
      <c r="C76" s="146" t="s">
        <v>2001</v>
      </c>
      <c r="D76" s="145" t="s">
        <v>2002</v>
      </c>
      <c r="E76" s="146" t="s">
        <v>164</v>
      </c>
      <c r="F76" s="145" t="s">
        <v>1600</v>
      </c>
      <c r="G76" s="146" t="s">
        <v>20</v>
      </c>
      <c r="H76" s="146">
        <v>201603</v>
      </c>
      <c r="I76" s="147">
        <v>-0.16</v>
      </c>
      <c r="J76" s="144">
        <f t="shared" si="5"/>
        <v>8</v>
      </c>
      <c r="K76" s="148">
        <v>2.23333E-3</v>
      </c>
      <c r="L76" s="147">
        <f t="shared" si="6"/>
        <v>0</v>
      </c>
      <c r="M76" s="147">
        <f t="shared" si="7"/>
        <v>0</v>
      </c>
      <c r="N76" s="145"/>
    </row>
    <row r="77" spans="1:14">
      <c r="A77" s="145" t="s">
        <v>14</v>
      </c>
      <c r="B77" s="146" t="s">
        <v>1681</v>
      </c>
      <c r="C77" s="146" t="s">
        <v>2003</v>
      </c>
      <c r="D77" s="145" t="s">
        <v>2004</v>
      </c>
      <c r="E77" s="146" t="s">
        <v>164</v>
      </c>
      <c r="F77" s="145" t="s">
        <v>1600</v>
      </c>
      <c r="G77" s="146" t="s">
        <v>20</v>
      </c>
      <c r="H77" s="146">
        <v>201603</v>
      </c>
      <c r="I77" s="147">
        <v>117.54</v>
      </c>
      <c r="J77" s="144">
        <f t="shared" si="5"/>
        <v>8</v>
      </c>
      <c r="K77" s="148">
        <v>2.23333E-3</v>
      </c>
      <c r="L77" s="147">
        <f t="shared" si="6"/>
        <v>2.1</v>
      </c>
      <c r="M77" s="147">
        <f t="shared" si="7"/>
        <v>3.15</v>
      </c>
      <c r="N77" s="145"/>
    </row>
    <row r="78" spans="1:14">
      <c r="A78" s="145" t="s">
        <v>21</v>
      </c>
      <c r="B78" s="146" t="s">
        <v>1681</v>
      </c>
      <c r="C78" s="146" t="s">
        <v>2003</v>
      </c>
      <c r="D78" s="145" t="s">
        <v>2004</v>
      </c>
      <c r="E78" s="146" t="s">
        <v>164</v>
      </c>
      <c r="F78" s="145" t="s">
        <v>1600</v>
      </c>
      <c r="G78" s="146" t="s">
        <v>20</v>
      </c>
      <c r="H78" s="146">
        <v>201603</v>
      </c>
      <c r="I78" s="147">
        <v>118.57</v>
      </c>
      <c r="J78" s="144">
        <f t="shared" si="5"/>
        <v>8</v>
      </c>
      <c r="K78" s="148">
        <v>1.4833299999999999E-3</v>
      </c>
      <c r="L78" s="147">
        <f t="shared" si="6"/>
        <v>1.41</v>
      </c>
      <c r="M78" s="147">
        <f t="shared" si="7"/>
        <v>2.11</v>
      </c>
      <c r="N78" s="145"/>
    </row>
    <row r="79" spans="1:14">
      <c r="A79" s="145" t="s">
        <v>626</v>
      </c>
      <c r="B79" s="146" t="s">
        <v>1681</v>
      </c>
      <c r="C79" s="146" t="s">
        <v>2003</v>
      </c>
      <c r="D79" s="145" t="s">
        <v>2004</v>
      </c>
      <c r="E79" s="146" t="s">
        <v>164</v>
      </c>
      <c r="F79" s="145" t="s">
        <v>1600</v>
      </c>
      <c r="G79" s="146" t="s">
        <v>20</v>
      </c>
      <c r="H79" s="146">
        <v>201603</v>
      </c>
      <c r="I79" s="147">
        <v>2441.14</v>
      </c>
      <c r="J79" s="144">
        <f t="shared" si="5"/>
        <v>8</v>
      </c>
      <c r="K79" s="148">
        <v>1.4833299999999999E-3</v>
      </c>
      <c r="L79" s="147">
        <f t="shared" si="6"/>
        <v>28.97</v>
      </c>
      <c r="M79" s="147">
        <f t="shared" si="7"/>
        <v>43.45</v>
      </c>
      <c r="N79" s="145"/>
    </row>
    <row r="80" spans="1:14">
      <c r="A80" s="145" t="s">
        <v>14</v>
      </c>
      <c r="B80" s="146" t="s">
        <v>1681</v>
      </c>
      <c r="C80" s="146" t="s">
        <v>2013</v>
      </c>
      <c r="D80" s="145" t="s">
        <v>2014</v>
      </c>
      <c r="E80" s="146" t="s">
        <v>164</v>
      </c>
      <c r="F80" s="145" t="s">
        <v>1600</v>
      </c>
      <c r="G80" s="146" t="s">
        <v>20</v>
      </c>
      <c r="H80" s="146">
        <v>201603</v>
      </c>
      <c r="I80" s="147">
        <v>2874.26</v>
      </c>
      <c r="J80" s="144">
        <f t="shared" si="5"/>
        <v>8</v>
      </c>
      <c r="K80" s="148">
        <v>2.23333E-3</v>
      </c>
      <c r="L80" s="147">
        <f t="shared" si="6"/>
        <v>51.35</v>
      </c>
      <c r="M80" s="147">
        <f t="shared" si="7"/>
        <v>77.03</v>
      </c>
      <c r="N80" s="145"/>
    </row>
    <row r="81" spans="1:14">
      <c r="A81" s="145" t="s">
        <v>626</v>
      </c>
      <c r="B81" s="146" t="s">
        <v>1681</v>
      </c>
      <c r="C81" s="146" t="s">
        <v>2013</v>
      </c>
      <c r="D81" s="145" t="s">
        <v>2014</v>
      </c>
      <c r="E81" s="146" t="s">
        <v>164</v>
      </c>
      <c r="F81" s="145" t="s">
        <v>1600</v>
      </c>
      <c r="G81" s="146" t="s">
        <v>20</v>
      </c>
      <c r="H81" s="146">
        <v>201603</v>
      </c>
      <c r="I81" s="147">
        <v>10994.46</v>
      </c>
      <c r="J81" s="144">
        <f t="shared" si="5"/>
        <v>8</v>
      </c>
      <c r="K81" s="148">
        <v>1.4833299999999999E-3</v>
      </c>
      <c r="L81" s="147">
        <f t="shared" si="6"/>
        <v>130.47</v>
      </c>
      <c r="M81" s="147">
        <f t="shared" si="7"/>
        <v>195.7</v>
      </c>
      <c r="N81" s="145"/>
    </row>
    <row r="82" spans="1:14">
      <c r="A82" s="145" t="s">
        <v>14</v>
      </c>
      <c r="B82" s="146" t="s">
        <v>1681</v>
      </c>
      <c r="C82" s="146" t="s">
        <v>2015</v>
      </c>
      <c r="D82" s="145" t="s">
        <v>2016</v>
      </c>
      <c r="E82" s="146" t="s">
        <v>164</v>
      </c>
      <c r="F82" s="145" t="s">
        <v>1600</v>
      </c>
      <c r="G82" s="146" t="s">
        <v>20</v>
      </c>
      <c r="H82" s="146">
        <v>201603</v>
      </c>
      <c r="I82" s="147">
        <v>2048.56</v>
      </c>
      <c r="J82" s="144">
        <f t="shared" si="5"/>
        <v>8</v>
      </c>
      <c r="K82" s="148">
        <v>2.23333E-3</v>
      </c>
      <c r="L82" s="147">
        <f t="shared" si="6"/>
        <v>36.6</v>
      </c>
      <c r="M82" s="147">
        <f t="shared" si="7"/>
        <v>54.9</v>
      </c>
      <c r="N82" s="145"/>
    </row>
    <row r="83" spans="1:14">
      <c r="A83" s="145" t="s">
        <v>626</v>
      </c>
      <c r="B83" s="146" t="s">
        <v>1681</v>
      </c>
      <c r="C83" s="146" t="s">
        <v>2015</v>
      </c>
      <c r="D83" s="145" t="s">
        <v>2016</v>
      </c>
      <c r="E83" s="146" t="s">
        <v>164</v>
      </c>
      <c r="F83" s="145" t="s">
        <v>1600</v>
      </c>
      <c r="G83" s="146" t="s">
        <v>20</v>
      </c>
      <c r="H83" s="146">
        <v>201603</v>
      </c>
      <c r="I83" s="147">
        <v>22818.81</v>
      </c>
      <c r="J83" s="144">
        <f t="shared" si="5"/>
        <v>8</v>
      </c>
      <c r="K83" s="148">
        <v>1.4833299999999999E-3</v>
      </c>
      <c r="L83" s="147">
        <f t="shared" si="6"/>
        <v>270.77999999999997</v>
      </c>
      <c r="M83" s="147">
        <f t="shared" si="7"/>
        <v>406.17</v>
      </c>
      <c r="N83" s="145"/>
    </row>
    <row r="84" spans="1:14">
      <c r="A84" s="145" t="s">
        <v>626</v>
      </c>
      <c r="B84" s="146" t="s">
        <v>1597</v>
      </c>
      <c r="C84" s="146" t="s">
        <v>1598</v>
      </c>
      <c r="D84" s="145" t="s">
        <v>1599</v>
      </c>
      <c r="E84" s="146" t="s">
        <v>164</v>
      </c>
      <c r="F84" s="145" t="s">
        <v>1600</v>
      </c>
      <c r="G84" s="146" t="s">
        <v>20</v>
      </c>
      <c r="H84" s="146">
        <v>201604</v>
      </c>
      <c r="I84" s="147">
        <v>11.71</v>
      </c>
      <c r="J84" s="144">
        <f t="shared" si="5"/>
        <v>7</v>
      </c>
      <c r="K84" s="148">
        <v>1.4833299999999999E-3</v>
      </c>
      <c r="L84" s="147">
        <f t="shared" si="6"/>
        <v>0.12</v>
      </c>
      <c r="M84" s="147">
        <f t="shared" si="7"/>
        <v>0.21</v>
      </c>
      <c r="N84" s="145"/>
    </row>
    <row r="85" spans="1:14">
      <c r="A85" s="145" t="s">
        <v>626</v>
      </c>
      <c r="B85" s="146" t="s">
        <v>1142</v>
      </c>
      <c r="C85" s="146" t="s">
        <v>1143</v>
      </c>
      <c r="D85" s="145" t="s">
        <v>1144</v>
      </c>
      <c r="E85" s="146" t="s">
        <v>164</v>
      </c>
      <c r="F85" s="145" t="s">
        <v>1600</v>
      </c>
      <c r="G85" s="146" t="s">
        <v>20</v>
      </c>
      <c r="H85" s="146">
        <v>201604</v>
      </c>
      <c r="I85" s="147">
        <v>579.16999999999996</v>
      </c>
      <c r="J85" s="144">
        <f t="shared" si="5"/>
        <v>7</v>
      </c>
      <c r="K85" s="148">
        <v>1.4833299999999999E-3</v>
      </c>
      <c r="L85" s="147">
        <f t="shared" si="6"/>
        <v>6.01</v>
      </c>
      <c r="M85" s="147">
        <f t="shared" si="7"/>
        <v>10.31</v>
      </c>
      <c r="N85" s="145"/>
    </row>
    <row r="86" spans="1:14">
      <c r="A86" s="145" t="s">
        <v>626</v>
      </c>
      <c r="B86" s="146" t="s">
        <v>1169</v>
      </c>
      <c r="C86" s="146" t="s">
        <v>1170</v>
      </c>
      <c r="D86" s="145" t="s">
        <v>1171</v>
      </c>
      <c r="E86" s="146" t="s">
        <v>164</v>
      </c>
      <c r="F86" s="145" t="s">
        <v>1600</v>
      </c>
      <c r="G86" s="146" t="s">
        <v>20</v>
      </c>
      <c r="H86" s="146">
        <v>201604</v>
      </c>
      <c r="I86" s="147">
        <v>3924.77</v>
      </c>
      <c r="J86" s="144">
        <f t="shared" si="5"/>
        <v>7</v>
      </c>
      <c r="K86" s="148">
        <v>1.4833299999999999E-3</v>
      </c>
      <c r="L86" s="147">
        <f t="shared" si="6"/>
        <v>40.75</v>
      </c>
      <c r="M86" s="147">
        <f t="shared" si="7"/>
        <v>69.86</v>
      </c>
      <c r="N86" s="145"/>
    </row>
    <row r="87" spans="1:14">
      <c r="A87" s="145" t="s">
        <v>626</v>
      </c>
      <c r="B87" s="146" t="s">
        <v>1545</v>
      </c>
      <c r="C87" s="146" t="s">
        <v>1546</v>
      </c>
      <c r="D87" s="145" t="s">
        <v>1547</v>
      </c>
      <c r="E87" s="146" t="s">
        <v>164</v>
      </c>
      <c r="F87" s="145" t="s">
        <v>1600</v>
      </c>
      <c r="G87" s="146" t="s">
        <v>20</v>
      </c>
      <c r="H87" s="146">
        <v>201604</v>
      </c>
      <c r="I87" s="147">
        <v>-5.46</v>
      </c>
      <c r="J87" s="144">
        <f t="shared" si="5"/>
        <v>7</v>
      </c>
      <c r="K87" s="148">
        <v>1.4833299999999999E-3</v>
      </c>
      <c r="L87" s="147">
        <f t="shared" si="6"/>
        <v>-0.06</v>
      </c>
      <c r="M87" s="147">
        <f t="shared" si="7"/>
        <v>-0.1</v>
      </c>
      <c r="N87" s="145"/>
    </row>
    <row r="88" spans="1:14">
      <c r="A88" s="145" t="s">
        <v>626</v>
      </c>
      <c r="B88" s="146" t="s">
        <v>1681</v>
      </c>
      <c r="C88" s="146" t="s">
        <v>1703</v>
      </c>
      <c r="D88" s="145" t="s">
        <v>1704</v>
      </c>
      <c r="E88" s="146" t="s">
        <v>164</v>
      </c>
      <c r="F88" s="145" t="s">
        <v>1600</v>
      </c>
      <c r="G88" s="146" t="s">
        <v>20</v>
      </c>
      <c r="H88" s="146">
        <v>201604</v>
      </c>
      <c r="I88" s="147">
        <v>52953.26</v>
      </c>
      <c r="J88" s="144">
        <f t="shared" si="5"/>
        <v>7</v>
      </c>
      <c r="K88" s="148">
        <v>1.4833299999999999E-3</v>
      </c>
      <c r="L88" s="147">
        <f t="shared" si="6"/>
        <v>549.83000000000004</v>
      </c>
      <c r="M88" s="147">
        <f t="shared" si="7"/>
        <v>942.57</v>
      </c>
      <c r="N88" s="145"/>
    </row>
    <row r="89" spans="1:14">
      <c r="A89" s="145" t="s">
        <v>626</v>
      </c>
      <c r="B89" s="146" t="s">
        <v>1548</v>
      </c>
      <c r="C89" s="146" t="s">
        <v>1549</v>
      </c>
      <c r="D89" s="145" t="s">
        <v>1550</v>
      </c>
      <c r="E89" s="146" t="s">
        <v>164</v>
      </c>
      <c r="F89" s="145" t="s">
        <v>1600</v>
      </c>
      <c r="G89" s="146" t="s">
        <v>20</v>
      </c>
      <c r="H89" s="146">
        <v>201604</v>
      </c>
      <c r="I89" s="147">
        <v>26.66</v>
      </c>
      <c r="J89" s="144">
        <f t="shared" si="5"/>
        <v>7</v>
      </c>
      <c r="K89" s="148">
        <v>1.4833299999999999E-3</v>
      </c>
      <c r="L89" s="147">
        <f t="shared" si="6"/>
        <v>0.28000000000000003</v>
      </c>
      <c r="M89" s="147">
        <f t="shared" si="7"/>
        <v>0.47</v>
      </c>
      <c r="N89" s="145"/>
    </row>
    <row r="90" spans="1:14">
      <c r="A90" s="145" t="s">
        <v>626</v>
      </c>
      <c r="B90" s="146" t="s">
        <v>1444</v>
      </c>
      <c r="C90" s="146" t="s">
        <v>1445</v>
      </c>
      <c r="D90" s="145" t="s">
        <v>1282</v>
      </c>
      <c r="E90" s="146" t="s">
        <v>164</v>
      </c>
      <c r="F90" s="145" t="s">
        <v>1600</v>
      </c>
      <c r="G90" s="146" t="s">
        <v>20</v>
      </c>
      <c r="H90" s="146">
        <v>201604</v>
      </c>
      <c r="I90" s="147">
        <v>-191.97</v>
      </c>
      <c r="J90" s="144">
        <f t="shared" si="5"/>
        <v>7</v>
      </c>
      <c r="K90" s="148">
        <v>1.4833299999999999E-3</v>
      </c>
      <c r="L90" s="147">
        <f t="shared" si="6"/>
        <v>-1.99</v>
      </c>
      <c r="M90" s="147">
        <f t="shared" si="7"/>
        <v>-3.42</v>
      </c>
      <c r="N90" s="145"/>
    </row>
    <row r="91" spans="1:14">
      <c r="A91" s="145" t="s">
        <v>626</v>
      </c>
      <c r="B91" s="146" t="s">
        <v>1496</v>
      </c>
      <c r="C91" s="146" t="s">
        <v>1497</v>
      </c>
      <c r="D91" s="145" t="s">
        <v>1498</v>
      </c>
      <c r="E91" s="146" t="s">
        <v>164</v>
      </c>
      <c r="F91" s="145" t="s">
        <v>1600</v>
      </c>
      <c r="G91" s="146" t="s">
        <v>20</v>
      </c>
      <c r="H91" s="146">
        <v>201604</v>
      </c>
      <c r="I91" s="147">
        <v>-28.02</v>
      </c>
      <c r="J91" s="144">
        <f t="shared" si="5"/>
        <v>7</v>
      </c>
      <c r="K91" s="148">
        <v>1.4833299999999999E-3</v>
      </c>
      <c r="L91" s="147">
        <f t="shared" si="6"/>
        <v>-0.28999999999999998</v>
      </c>
      <c r="M91" s="147">
        <f t="shared" si="7"/>
        <v>-0.5</v>
      </c>
      <c r="N91" s="145"/>
    </row>
    <row r="92" spans="1:14">
      <c r="A92" s="145" t="s">
        <v>626</v>
      </c>
      <c r="B92" s="146" t="s">
        <v>1736</v>
      </c>
      <c r="C92" s="146" t="s">
        <v>1737</v>
      </c>
      <c r="D92" s="145" t="s">
        <v>1738</v>
      </c>
      <c r="E92" s="146" t="s">
        <v>164</v>
      </c>
      <c r="F92" s="145" t="s">
        <v>1600</v>
      </c>
      <c r="G92" s="146" t="s">
        <v>20</v>
      </c>
      <c r="H92" s="146">
        <v>201604</v>
      </c>
      <c r="I92" s="147">
        <v>759.49</v>
      </c>
      <c r="J92" s="144">
        <f t="shared" si="5"/>
        <v>7</v>
      </c>
      <c r="K92" s="148">
        <v>1.4833299999999999E-3</v>
      </c>
      <c r="L92" s="147">
        <f t="shared" si="6"/>
        <v>7.89</v>
      </c>
      <c r="M92" s="147">
        <f t="shared" si="7"/>
        <v>13.52</v>
      </c>
      <c r="N92" s="145"/>
    </row>
    <row r="93" spans="1:14">
      <c r="A93" s="145" t="s">
        <v>626</v>
      </c>
      <c r="B93" s="146" t="s">
        <v>1739</v>
      </c>
      <c r="C93" s="146" t="s">
        <v>1740</v>
      </c>
      <c r="D93" s="145" t="s">
        <v>1741</v>
      </c>
      <c r="E93" s="146" t="s">
        <v>164</v>
      </c>
      <c r="F93" s="145" t="s">
        <v>1600</v>
      </c>
      <c r="G93" s="146" t="s">
        <v>20</v>
      </c>
      <c r="H93" s="146">
        <v>201604</v>
      </c>
      <c r="I93" s="147">
        <v>2396.35</v>
      </c>
      <c r="J93" s="144">
        <f t="shared" si="5"/>
        <v>7</v>
      </c>
      <c r="K93" s="148">
        <v>1.4833299999999999E-3</v>
      </c>
      <c r="L93" s="147">
        <f t="shared" si="6"/>
        <v>24.88</v>
      </c>
      <c r="M93" s="147">
        <f t="shared" si="7"/>
        <v>42.65</v>
      </c>
      <c r="N93" s="145"/>
    </row>
    <row r="94" spans="1:14">
      <c r="A94" s="145" t="s">
        <v>626</v>
      </c>
      <c r="B94" s="146" t="s">
        <v>1797</v>
      </c>
      <c r="C94" s="146" t="s">
        <v>1798</v>
      </c>
      <c r="D94" s="145" t="s">
        <v>1799</v>
      </c>
      <c r="E94" s="146" t="s">
        <v>164</v>
      </c>
      <c r="F94" s="145" t="s">
        <v>1600</v>
      </c>
      <c r="G94" s="146" t="s">
        <v>20</v>
      </c>
      <c r="H94" s="146">
        <v>201604</v>
      </c>
      <c r="I94" s="147">
        <v>6203.25</v>
      </c>
      <c r="J94" s="144">
        <f t="shared" si="5"/>
        <v>7</v>
      </c>
      <c r="K94" s="148">
        <v>1.4833299999999999E-3</v>
      </c>
      <c r="L94" s="147">
        <f t="shared" si="6"/>
        <v>64.41</v>
      </c>
      <c r="M94" s="147">
        <f t="shared" si="7"/>
        <v>110.42</v>
      </c>
      <c r="N94" s="145"/>
    </row>
    <row r="95" spans="1:14">
      <c r="A95" s="145" t="s">
        <v>626</v>
      </c>
      <c r="B95" s="146" t="s">
        <v>1638</v>
      </c>
      <c r="C95" s="146" t="s">
        <v>1639</v>
      </c>
      <c r="D95" s="145" t="s">
        <v>1640</v>
      </c>
      <c r="E95" s="146" t="s">
        <v>164</v>
      </c>
      <c r="F95" s="145" t="s">
        <v>1600</v>
      </c>
      <c r="G95" s="146" t="s">
        <v>20</v>
      </c>
      <c r="H95" s="146">
        <v>201604</v>
      </c>
      <c r="I95" s="147">
        <v>19.84</v>
      </c>
      <c r="J95" s="144">
        <f t="shared" si="5"/>
        <v>7</v>
      </c>
      <c r="K95" s="148">
        <v>1.4833299999999999E-3</v>
      </c>
      <c r="L95" s="147">
        <f t="shared" si="6"/>
        <v>0.21</v>
      </c>
      <c r="M95" s="147">
        <f t="shared" si="7"/>
        <v>0.35</v>
      </c>
      <c r="N95" s="145"/>
    </row>
    <row r="96" spans="1:14">
      <c r="A96" s="145" t="s">
        <v>626</v>
      </c>
      <c r="B96" s="146" t="s">
        <v>1803</v>
      </c>
      <c r="C96" s="146" t="s">
        <v>1804</v>
      </c>
      <c r="D96" s="145" t="s">
        <v>1805</v>
      </c>
      <c r="E96" s="146" t="s">
        <v>164</v>
      </c>
      <c r="F96" s="145" t="s">
        <v>1600</v>
      </c>
      <c r="G96" s="146" t="s">
        <v>20</v>
      </c>
      <c r="H96" s="146">
        <v>201604</v>
      </c>
      <c r="I96" s="147">
        <v>6434.75</v>
      </c>
      <c r="J96" s="144">
        <f t="shared" si="5"/>
        <v>7</v>
      </c>
      <c r="K96" s="148">
        <v>1.4833299999999999E-3</v>
      </c>
      <c r="L96" s="147">
        <f t="shared" si="6"/>
        <v>66.81</v>
      </c>
      <c r="M96" s="147">
        <f t="shared" si="7"/>
        <v>114.54</v>
      </c>
      <c r="N96" s="145"/>
    </row>
    <row r="97" spans="1:14">
      <c r="A97" s="145" t="s">
        <v>21</v>
      </c>
      <c r="B97" s="146" t="s">
        <v>1760</v>
      </c>
      <c r="C97" s="146" t="s">
        <v>1761</v>
      </c>
      <c r="D97" s="145" t="s">
        <v>1388</v>
      </c>
      <c r="E97" s="146" t="s">
        <v>164</v>
      </c>
      <c r="F97" s="145" t="s">
        <v>1600</v>
      </c>
      <c r="G97" s="146" t="s">
        <v>20</v>
      </c>
      <c r="H97" s="146">
        <v>201604</v>
      </c>
      <c r="I97" s="147">
        <v>1.79</v>
      </c>
      <c r="J97" s="144">
        <f t="shared" si="5"/>
        <v>7</v>
      </c>
      <c r="K97" s="148">
        <v>1.4833299999999999E-3</v>
      </c>
      <c r="L97" s="147">
        <f t="shared" si="6"/>
        <v>0.02</v>
      </c>
      <c r="M97" s="147">
        <f t="shared" si="7"/>
        <v>0.03</v>
      </c>
      <c r="N97" s="145"/>
    </row>
    <row r="98" spans="1:14">
      <c r="A98" s="145" t="s">
        <v>626</v>
      </c>
      <c r="B98" s="146" t="s">
        <v>1760</v>
      </c>
      <c r="C98" s="146" t="s">
        <v>1761</v>
      </c>
      <c r="D98" s="145" t="s">
        <v>1388</v>
      </c>
      <c r="E98" s="146" t="s">
        <v>164</v>
      </c>
      <c r="F98" s="145" t="s">
        <v>1600</v>
      </c>
      <c r="G98" s="146" t="s">
        <v>20</v>
      </c>
      <c r="H98" s="146">
        <v>201604</v>
      </c>
      <c r="I98" s="147">
        <v>76.92</v>
      </c>
      <c r="J98" s="144">
        <f t="shared" si="5"/>
        <v>7</v>
      </c>
      <c r="K98" s="148">
        <v>1.4833299999999999E-3</v>
      </c>
      <c r="L98" s="147">
        <f t="shared" si="6"/>
        <v>0.8</v>
      </c>
      <c r="M98" s="147">
        <f t="shared" si="7"/>
        <v>1.37</v>
      </c>
      <c r="N98" s="145"/>
    </row>
    <row r="99" spans="1:14">
      <c r="A99" s="145" t="s">
        <v>626</v>
      </c>
      <c r="B99" s="146" t="s">
        <v>1762</v>
      </c>
      <c r="C99" s="146" t="s">
        <v>1763</v>
      </c>
      <c r="D99" s="145" t="s">
        <v>1344</v>
      </c>
      <c r="E99" s="146" t="s">
        <v>164</v>
      </c>
      <c r="F99" s="145" t="s">
        <v>1600</v>
      </c>
      <c r="G99" s="146" t="s">
        <v>20</v>
      </c>
      <c r="H99" s="146">
        <v>201604</v>
      </c>
      <c r="I99" s="147">
        <v>-10435.74</v>
      </c>
      <c r="J99" s="144">
        <f t="shared" si="5"/>
        <v>7</v>
      </c>
      <c r="K99" s="148">
        <v>1.4833299999999999E-3</v>
      </c>
      <c r="L99" s="147">
        <f t="shared" si="6"/>
        <v>-108.36</v>
      </c>
      <c r="M99" s="147">
        <f t="shared" si="7"/>
        <v>-185.76</v>
      </c>
      <c r="N99" s="145"/>
    </row>
    <row r="100" spans="1:14">
      <c r="A100" s="145" t="s">
        <v>626</v>
      </c>
      <c r="B100" s="146" t="s">
        <v>1681</v>
      </c>
      <c r="C100" s="146" t="s">
        <v>1997</v>
      </c>
      <c r="D100" s="145" t="s">
        <v>1998</v>
      </c>
      <c r="E100" s="146" t="s">
        <v>164</v>
      </c>
      <c r="F100" s="145" t="s">
        <v>1600</v>
      </c>
      <c r="G100" s="146" t="s">
        <v>20</v>
      </c>
      <c r="H100" s="146">
        <v>201604</v>
      </c>
      <c r="I100" s="147">
        <v>-95.17</v>
      </c>
      <c r="J100" s="144">
        <f t="shared" si="5"/>
        <v>7</v>
      </c>
      <c r="K100" s="148">
        <v>1.4833299999999999E-3</v>
      </c>
      <c r="L100" s="147">
        <f t="shared" si="6"/>
        <v>-0.99</v>
      </c>
      <c r="M100" s="147">
        <f t="shared" si="7"/>
        <v>-1.69</v>
      </c>
      <c r="N100" s="145"/>
    </row>
    <row r="101" spans="1:14">
      <c r="A101" s="145" t="s">
        <v>1942</v>
      </c>
      <c r="B101" s="146" t="s">
        <v>1681</v>
      </c>
      <c r="C101" s="146" t="s">
        <v>1997</v>
      </c>
      <c r="D101" s="145" t="s">
        <v>1998</v>
      </c>
      <c r="E101" s="146" t="s">
        <v>164</v>
      </c>
      <c r="F101" s="145" t="s">
        <v>1600</v>
      </c>
      <c r="G101" s="146" t="s">
        <v>20</v>
      </c>
      <c r="H101" s="146">
        <v>201604</v>
      </c>
      <c r="I101" s="147">
        <v>-0.22</v>
      </c>
      <c r="J101" s="144">
        <f t="shared" si="5"/>
        <v>7</v>
      </c>
      <c r="K101" s="148">
        <v>2.23333E-3</v>
      </c>
      <c r="L101" s="147">
        <f t="shared" si="6"/>
        <v>0</v>
      </c>
      <c r="M101" s="147">
        <f t="shared" si="7"/>
        <v>-0.01</v>
      </c>
      <c r="N101" s="145"/>
    </row>
    <row r="102" spans="1:14">
      <c r="A102" s="145" t="s">
        <v>14</v>
      </c>
      <c r="B102" s="146" t="s">
        <v>1681</v>
      </c>
      <c r="C102" s="146" t="s">
        <v>2001</v>
      </c>
      <c r="D102" s="145" t="s">
        <v>2002</v>
      </c>
      <c r="E102" s="146" t="s">
        <v>164</v>
      </c>
      <c r="F102" s="145" t="s">
        <v>1600</v>
      </c>
      <c r="G102" s="146" t="s">
        <v>20</v>
      </c>
      <c r="H102" s="146">
        <v>201604</v>
      </c>
      <c r="I102" s="147">
        <v>0.91</v>
      </c>
      <c r="J102" s="144">
        <f t="shared" si="5"/>
        <v>7</v>
      </c>
      <c r="K102" s="148">
        <v>2.23333E-3</v>
      </c>
      <c r="L102" s="147">
        <f t="shared" si="6"/>
        <v>0.01</v>
      </c>
      <c r="M102" s="147">
        <f t="shared" si="7"/>
        <v>0.02</v>
      </c>
      <c r="N102" s="145"/>
    </row>
    <row r="103" spans="1:14">
      <c r="A103" s="145" t="s">
        <v>626</v>
      </c>
      <c r="B103" s="146" t="s">
        <v>1681</v>
      </c>
      <c r="C103" s="146" t="s">
        <v>2001</v>
      </c>
      <c r="D103" s="145" t="s">
        <v>2002</v>
      </c>
      <c r="E103" s="146" t="s">
        <v>164</v>
      </c>
      <c r="F103" s="145" t="s">
        <v>1600</v>
      </c>
      <c r="G103" s="146" t="s">
        <v>20</v>
      </c>
      <c r="H103" s="146">
        <v>201604</v>
      </c>
      <c r="I103" s="147">
        <v>661.94</v>
      </c>
      <c r="J103" s="144">
        <f t="shared" si="5"/>
        <v>7</v>
      </c>
      <c r="K103" s="148">
        <v>1.4833299999999999E-3</v>
      </c>
      <c r="L103" s="147">
        <f t="shared" si="6"/>
        <v>6.87</v>
      </c>
      <c r="M103" s="147">
        <f t="shared" si="7"/>
        <v>11.78</v>
      </c>
      <c r="N103" s="145"/>
    </row>
    <row r="104" spans="1:14">
      <c r="A104" s="145" t="s">
        <v>626</v>
      </c>
      <c r="B104" s="146" t="s">
        <v>1681</v>
      </c>
      <c r="C104" s="146" t="s">
        <v>2003</v>
      </c>
      <c r="D104" s="145" t="s">
        <v>2004</v>
      </c>
      <c r="E104" s="146" t="s">
        <v>164</v>
      </c>
      <c r="F104" s="145" t="s">
        <v>1600</v>
      </c>
      <c r="G104" s="146" t="s">
        <v>20</v>
      </c>
      <c r="H104" s="146">
        <v>201604</v>
      </c>
      <c r="I104" s="147">
        <v>-65.8</v>
      </c>
      <c r="J104" s="144">
        <f t="shared" si="5"/>
        <v>7</v>
      </c>
      <c r="K104" s="148">
        <v>1.4833299999999999E-3</v>
      </c>
      <c r="L104" s="147">
        <f t="shared" si="6"/>
        <v>-0.68</v>
      </c>
      <c r="M104" s="147">
        <f t="shared" si="7"/>
        <v>-1.17</v>
      </c>
      <c r="N104" s="145"/>
    </row>
    <row r="105" spans="1:14">
      <c r="A105" s="145" t="s">
        <v>21</v>
      </c>
      <c r="B105" s="146" t="s">
        <v>1681</v>
      </c>
      <c r="C105" s="146" t="s">
        <v>2003</v>
      </c>
      <c r="D105" s="145" t="s">
        <v>2004</v>
      </c>
      <c r="E105" s="146" t="s">
        <v>164</v>
      </c>
      <c r="F105" s="145" t="s">
        <v>1600</v>
      </c>
      <c r="G105" s="146" t="s">
        <v>20</v>
      </c>
      <c r="H105" s="146">
        <v>201604</v>
      </c>
      <c r="I105" s="147">
        <v>-3.2</v>
      </c>
      <c r="J105" s="144">
        <f t="shared" si="5"/>
        <v>7</v>
      </c>
      <c r="K105" s="148">
        <v>1.4833299999999999E-3</v>
      </c>
      <c r="L105" s="147">
        <f t="shared" si="6"/>
        <v>-0.03</v>
      </c>
      <c r="M105" s="147">
        <f t="shared" si="7"/>
        <v>-0.06</v>
      </c>
      <c r="N105" s="145"/>
    </row>
    <row r="106" spans="1:14">
      <c r="A106" s="145" t="s">
        <v>14</v>
      </c>
      <c r="B106" s="146" t="s">
        <v>1681</v>
      </c>
      <c r="C106" s="146" t="s">
        <v>2003</v>
      </c>
      <c r="D106" s="145" t="s">
        <v>2004</v>
      </c>
      <c r="E106" s="146" t="s">
        <v>164</v>
      </c>
      <c r="F106" s="145" t="s">
        <v>1600</v>
      </c>
      <c r="G106" s="146" t="s">
        <v>20</v>
      </c>
      <c r="H106" s="146">
        <v>201604</v>
      </c>
      <c r="I106" s="147">
        <v>-3.16</v>
      </c>
      <c r="J106" s="144">
        <f t="shared" si="5"/>
        <v>7</v>
      </c>
      <c r="K106" s="148">
        <v>2.23333E-3</v>
      </c>
      <c r="L106" s="147">
        <f t="shared" si="6"/>
        <v>-0.05</v>
      </c>
      <c r="M106" s="147">
        <f t="shared" si="7"/>
        <v>-0.08</v>
      </c>
      <c r="N106" s="145"/>
    </row>
    <row r="107" spans="1:14">
      <c r="A107" s="145" t="s">
        <v>14</v>
      </c>
      <c r="B107" s="146" t="s">
        <v>1681</v>
      </c>
      <c r="C107" s="146" t="s">
        <v>2069</v>
      </c>
      <c r="D107" s="145" t="s">
        <v>2070</v>
      </c>
      <c r="E107" s="146" t="s">
        <v>164</v>
      </c>
      <c r="F107" s="145" t="s">
        <v>1600</v>
      </c>
      <c r="G107" s="146" t="s">
        <v>20</v>
      </c>
      <c r="H107" s="146">
        <v>201604</v>
      </c>
      <c r="I107" s="147">
        <v>72815.7</v>
      </c>
      <c r="J107" s="144">
        <f t="shared" si="5"/>
        <v>7</v>
      </c>
      <c r="K107" s="148">
        <v>2.23333E-3</v>
      </c>
      <c r="L107" s="147">
        <f t="shared" si="6"/>
        <v>1138.3499999999999</v>
      </c>
      <c r="M107" s="147">
        <f t="shared" si="7"/>
        <v>1951.46</v>
      </c>
      <c r="N107" s="145"/>
    </row>
    <row r="108" spans="1:14">
      <c r="A108" s="145" t="s">
        <v>626</v>
      </c>
      <c r="B108" s="146" t="s">
        <v>1681</v>
      </c>
      <c r="C108" s="146" t="s">
        <v>2069</v>
      </c>
      <c r="D108" s="145" t="s">
        <v>2070</v>
      </c>
      <c r="E108" s="146" t="s">
        <v>164</v>
      </c>
      <c r="F108" s="145" t="s">
        <v>1600</v>
      </c>
      <c r="G108" s="146" t="s">
        <v>20</v>
      </c>
      <c r="H108" s="146">
        <v>201604</v>
      </c>
      <c r="I108" s="147">
        <v>341258.33</v>
      </c>
      <c r="J108" s="144">
        <f t="shared" si="5"/>
        <v>7</v>
      </c>
      <c r="K108" s="148">
        <v>1.4833299999999999E-3</v>
      </c>
      <c r="L108" s="147">
        <f t="shared" si="6"/>
        <v>3543.39</v>
      </c>
      <c r="M108" s="147">
        <f t="shared" si="7"/>
        <v>6074.38</v>
      </c>
      <c r="N108" s="145"/>
    </row>
    <row r="109" spans="1:14">
      <c r="A109" s="145" t="s">
        <v>14</v>
      </c>
      <c r="B109" s="146" t="s">
        <v>1681</v>
      </c>
      <c r="C109" s="146" t="s">
        <v>2013</v>
      </c>
      <c r="D109" s="145" t="s">
        <v>2014</v>
      </c>
      <c r="E109" s="146" t="s">
        <v>164</v>
      </c>
      <c r="F109" s="145" t="s">
        <v>1600</v>
      </c>
      <c r="G109" s="146" t="s">
        <v>20</v>
      </c>
      <c r="H109" s="146">
        <v>201604</v>
      </c>
      <c r="I109" s="147">
        <v>654.41</v>
      </c>
      <c r="J109" s="144">
        <f t="shared" si="5"/>
        <v>7</v>
      </c>
      <c r="K109" s="148">
        <v>2.23333E-3</v>
      </c>
      <c r="L109" s="147">
        <f t="shared" si="6"/>
        <v>10.23</v>
      </c>
      <c r="M109" s="147">
        <f t="shared" si="7"/>
        <v>17.54</v>
      </c>
      <c r="N109" s="145"/>
    </row>
    <row r="110" spans="1:14">
      <c r="A110" s="145" t="s">
        <v>626</v>
      </c>
      <c r="B110" s="146" t="s">
        <v>1681</v>
      </c>
      <c r="C110" s="146" t="s">
        <v>2013</v>
      </c>
      <c r="D110" s="145" t="s">
        <v>2014</v>
      </c>
      <c r="E110" s="146" t="s">
        <v>164</v>
      </c>
      <c r="F110" s="145" t="s">
        <v>1600</v>
      </c>
      <c r="G110" s="146" t="s">
        <v>20</v>
      </c>
      <c r="H110" s="146">
        <v>201604</v>
      </c>
      <c r="I110" s="147">
        <v>2503.21</v>
      </c>
      <c r="J110" s="144">
        <f t="shared" si="5"/>
        <v>7</v>
      </c>
      <c r="K110" s="148">
        <v>1.4833299999999999E-3</v>
      </c>
      <c r="L110" s="147">
        <f t="shared" si="6"/>
        <v>25.99</v>
      </c>
      <c r="M110" s="147">
        <f t="shared" si="7"/>
        <v>44.56</v>
      </c>
      <c r="N110" s="145"/>
    </row>
    <row r="111" spans="1:14">
      <c r="A111" s="145" t="s">
        <v>14</v>
      </c>
      <c r="B111" s="146" t="s">
        <v>1681</v>
      </c>
      <c r="C111" s="146" t="s">
        <v>2015</v>
      </c>
      <c r="D111" s="145" t="s">
        <v>2016</v>
      </c>
      <c r="E111" s="146" t="s">
        <v>164</v>
      </c>
      <c r="F111" s="145" t="s">
        <v>1600</v>
      </c>
      <c r="G111" s="146" t="s">
        <v>20</v>
      </c>
      <c r="H111" s="146">
        <v>201604</v>
      </c>
      <c r="I111" s="147">
        <v>16.97</v>
      </c>
      <c r="J111" s="144">
        <f t="shared" si="5"/>
        <v>7</v>
      </c>
      <c r="K111" s="148">
        <v>2.23333E-3</v>
      </c>
      <c r="L111" s="147">
        <f t="shared" si="6"/>
        <v>0.27</v>
      </c>
      <c r="M111" s="147">
        <f t="shared" si="7"/>
        <v>0.45</v>
      </c>
      <c r="N111" s="145"/>
    </row>
    <row r="112" spans="1:14">
      <c r="A112" s="145" t="s">
        <v>626</v>
      </c>
      <c r="B112" s="146" t="s">
        <v>1681</v>
      </c>
      <c r="C112" s="146" t="s">
        <v>2015</v>
      </c>
      <c r="D112" s="145" t="s">
        <v>2016</v>
      </c>
      <c r="E112" s="146" t="s">
        <v>164</v>
      </c>
      <c r="F112" s="145" t="s">
        <v>1600</v>
      </c>
      <c r="G112" s="146" t="s">
        <v>20</v>
      </c>
      <c r="H112" s="146">
        <v>201604</v>
      </c>
      <c r="I112" s="147">
        <v>188.93</v>
      </c>
      <c r="J112" s="144">
        <f t="shared" si="5"/>
        <v>7</v>
      </c>
      <c r="K112" s="148">
        <v>1.4833299999999999E-3</v>
      </c>
      <c r="L112" s="147">
        <f t="shared" si="6"/>
        <v>1.96</v>
      </c>
      <c r="M112" s="147">
        <f t="shared" si="7"/>
        <v>3.36</v>
      </c>
      <c r="N112" s="145"/>
    </row>
    <row r="113" spans="1:14">
      <c r="A113" s="145" t="s">
        <v>626</v>
      </c>
      <c r="B113" s="146" t="s">
        <v>1597</v>
      </c>
      <c r="C113" s="146" t="s">
        <v>1598</v>
      </c>
      <c r="D113" s="145" t="s">
        <v>1599</v>
      </c>
      <c r="E113" s="146" t="s">
        <v>164</v>
      </c>
      <c r="F113" s="145" t="s">
        <v>1600</v>
      </c>
      <c r="G113" s="146" t="s">
        <v>20</v>
      </c>
      <c r="H113" s="146">
        <v>201605</v>
      </c>
      <c r="I113" s="147">
        <v>8.36</v>
      </c>
      <c r="J113" s="144">
        <f t="shared" si="5"/>
        <v>6</v>
      </c>
      <c r="K113" s="148">
        <v>1.4833299999999999E-3</v>
      </c>
      <c r="L113" s="147">
        <f t="shared" si="6"/>
        <v>7.0000000000000007E-2</v>
      </c>
      <c r="M113" s="147">
        <f t="shared" si="7"/>
        <v>0.15</v>
      </c>
      <c r="N113" s="145"/>
    </row>
    <row r="114" spans="1:14">
      <c r="A114" s="145" t="s">
        <v>626</v>
      </c>
      <c r="B114" s="146" t="s">
        <v>1142</v>
      </c>
      <c r="C114" s="146" t="s">
        <v>1143</v>
      </c>
      <c r="D114" s="145" t="s">
        <v>1144</v>
      </c>
      <c r="E114" s="146" t="s">
        <v>164</v>
      </c>
      <c r="F114" s="145" t="s">
        <v>1600</v>
      </c>
      <c r="G114" s="146" t="s">
        <v>20</v>
      </c>
      <c r="H114" s="146">
        <v>201605</v>
      </c>
      <c r="I114" s="147">
        <v>1.31</v>
      </c>
      <c r="J114" s="144">
        <f t="shared" si="5"/>
        <v>6</v>
      </c>
      <c r="K114" s="148">
        <v>1.4833299999999999E-3</v>
      </c>
      <c r="L114" s="147">
        <f t="shared" si="6"/>
        <v>0.01</v>
      </c>
      <c r="M114" s="147">
        <f t="shared" si="7"/>
        <v>0.02</v>
      </c>
      <c r="N114" s="145"/>
    </row>
    <row r="115" spans="1:14">
      <c r="A115" s="145" t="s">
        <v>626</v>
      </c>
      <c r="B115" s="146" t="s">
        <v>1169</v>
      </c>
      <c r="C115" s="146" t="s">
        <v>1170</v>
      </c>
      <c r="D115" s="145" t="s">
        <v>1171</v>
      </c>
      <c r="E115" s="146" t="s">
        <v>164</v>
      </c>
      <c r="F115" s="145" t="s">
        <v>1600</v>
      </c>
      <c r="G115" s="146" t="s">
        <v>20</v>
      </c>
      <c r="H115" s="146">
        <v>201605</v>
      </c>
      <c r="I115" s="147">
        <v>8.64</v>
      </c>
      <c r="J115" s="144">
        <f t="shared" si="5"/>
        <v>6</v>
      </c>
      <c r="K115" s="148">
        <v>1.4833299999999999E-3</v>
      </c>
      <c r="L115" s="147">
        <f t="shared" si="6"/>
        <v>0.08</v>
      </c>
      <c r="M115" s="147">
        <f t="shared" si="7"/>
        <v>0.15</v>
      </c>
      <c r="N115" s="145"/>
    </row>
    <row r="116" spans="1:14">
      <c r="A116" s="145" t="s">
        <v>626</v>
      </c>
      <c r="B116" s="146" t="s">
        <v>1545</v>
      </c>
      <c r="C116" s="146" t="s">
        <v>1546</v>
      </c>
      <c r="D116" s="145" t="s">
        <v>1547</v>
      </c>
      <c r="E116" s="146" t="s">
        <v>164</v>
      </c>
      <c r="F116" s="145" t="s">
        <v>1600</v>
      </c>
      <c r="G116" s="146" t="s">
        <v>20</v>
      </c>
      <c r="H116" s="146">
        <v>201605</v>
      </c>
      <c r="I116" s="147">
        <v>-5.68</v>
      </c>
      <c r="J116" s="144">
        <f t="shared" si="5"/>
        <v>6</v>
      </c>
      <c r="K116" s="148">
        <v>1.4833299999999999E-3</v>
      </c>
      <c r="L116" s="147">
        <f t="shared" si="6"/>
        <v>-0.05</v>
      </c>
      <c r="M116" s="147">
        <f t="shared" si="7"/>
        <v>-0.1</v>
      </c>
      <c r="N116" s="145"/>
    </row>
    <row r="117" spans="1:14">
      <c r="A117" s="145" t="s">
        <v>626</v>
      </c>
      <c r="B117" s="146" t="s">
        <v>1681</v>
      </c>
      <c r="C117" s="146" t="s">
        <v>1703</v>
      </c>
      <c r="D117" s="145" t="s">
        <v>1704</v>
      </c>
      <c r="E117" s="146" t="s">
        <v>164</v>
      </c>
      <c r="F117" s="145" t="s">
        <v>1600</v>
      </c>
      <c r="G117" s="146" t="s">
        <v>20</v>
      </c>
      <c r="H117" s="146">
        <v>201605</v>
      </c>
      <c r="I117" s="147">
        <v>29261.37</v>
      </c>
      <c r="J117" s="144">
        <f t="shared" si="5"/>
        <v>6</v>
      </c>
      <c r="K117" s="148">
        <v>1.4833299999999999E-3</v>
      </c>
      <c r="L117" s="147">
        <f t="shared" si="6"/>
        <v>260.43</v>
      </c>
      <c r="M117" s="147">
        <f t="shared" si="7"/>
        <v>520.85</v>
      </c>
      <c r="N117" s="145"/>
    </row>
    <row r="118" spans="1:14">
      <c r="A118" s="145" t="s">
        <v>626</v>
      </c>
      <c r="B118" s="146" t="s">
        <v>1548</v>
      </c>
      <c r="C118" s="146" t="s">
        <v>1549</v>
      </c>
      <c r="D118" s="145" t="s">
        <v>1550</v>
      </c>
      <c r="E118" s="146" t="s">
        <v>164</v>
      </c>
      <c r="F118" s="145" t="s">
        <v>1600</v>
      </c>
      <c r="G118" s="146" t="s">
        <v>20</v>
      </c>
      <c r="H118" s="146">
        <v>201605</v>
      </c>
      <c r="I118" s="147">
        <v>142.09</v>
      </c>
      <c r="J118" s="144">
        <f t="shared" si="5"/>
        <v>6</v>
      </c>
      <c r="K118" s="148">
        <v>1.4833299999999999E-3</v>
      </c>
      <c r="L118" s="147">
        <f t="shared" si="6"/>
        <v>1.26</v>
      </c>
      <c r="M118" s="147">
        <f t="shared" si="7"/>
        <v>2.5299999999999998</v>
      </c>
      <c r="N118" s="145"/>
    </row>
    <row r="119" spans="1:14">
      <c r="A119" s="145" t="s">
        <v>626</v>
      </c>
      <c r="B119" s="146" t="s">
        <v>1444</v>
      </c>
      <c r="C119" s="146" t="s">
        <v>1445</v>
      </c>
      <c r="D119" s="145" t="s">
        <v>1282</v>
      </c>
      <c r="E119" s="146" t="s">
        <v>164</v>
      </c>
      <c r="F119" s="145" t="s">
        <v>1600</v>
      </c>
      <c r="G119" s="146" t="s">
        <v>20</v>
      </c>
      <c r="H119" s="146">
        <v>201605</v>
      </c>
      <c r="I119" s="147">
        <v>-138.22</v>
      </c>
      <c r="J119" s="144">
        <f t="shared" si="5"/>
        <v>6</v>
      </c>
      <c r="K119" s="148">
        <v>1.4833299999999999E-3</v>
      </c>
      <c r="L119" s="147">
        <f t="shared" si="6"/>
        <v>-1.23</v>
      </c>
      <c r="M119" s="147">
        <f t="shared" si="7"/>
        <v>-2.46</v>
      </c>
      <c r="N119" s="145"/>
    </row>
    <row r="120" spans="1:14">
      <c r="A120" s="145" t="s">
        <v>626</v>
      </c>
      <c r="B120" s="146" t="s">
        <v>1496</v>
      </c>
      <c r="C120" s="146" t="s">
        <v>1497</v>
      </c>
      <c r="D120" s="145" t="s">
        <v>1498</v>
      </c>
      <c r="E120" s="146" t="s">
        <v>164</v>
      </c>
      <c r="F120" s="145" t="s">
        <v>1600</v>
      </c>
      <c r="G120" s="146" t="s">
        <v>20</v>
      </c>
      <c r="H120" s="146">
        <v>201605</v>
      </c>
      <c r="I120" s="147">
        <v>-20.14</v>
      </c>
      <c r="J120" s="144">
        <f t="shared" si="5"/>
        <v>6</v>
      </c>
      <c r="K120" s="148">
        <v>1.4833299999999999E-3</v>
      </c>
      <c r="L120" s="147">
        <f t="shared" si="6"/>
        <v>-0.18</v>
      </c>
      <c r="M120" s="147">
        <f t="shared" si="7"/>
        <v>-0.36</v>
      </c>
      <c r="N120" s="145"/>
    </row>
    <row r="121" spans="1:14">
      <c r="A121" s="145" t="s">
        <v>626</v>
      </c>
      <c r="B121" s="146" t="s">
        <v>1736</v>
      </c>
      <c r="C121" s="146" t="s">
        <v>1737</v>
      </c>
      <c r="D121" s="145" t="s">
        <v>1738</v>
      </c>
      <c r="E121" s="146" t="s">
        <v>164</v>
      </c>
      <c r="F121" s="145" t="s">
        <v>1600</v>
      </c>
      <c r="G121" s="146" t="s">
        <v>20</v>
      </c>
      <c r="H121" s="146">
        <v>201605</v>
      </c>
      <c r="I121" s="147">
        <v>603.33000000000004</v>
      </c>
      <c r="J121" s="144">
        <f t="shared" si="5"/>
        <v>6</v>
      </c>
      <c r="K121" s="148">
        <v>1.4833299999999999E-3</v>
      </c>
      <c r="L121" s="147">
        <f t="shared" si="6"/>
        <v>5.37</v>
      </c>
      <c r="M121" s="147">
        <f t="shared" si="7"/>
        <v>10.74</v>
      </c>
      <c r="N121" s="145"/>
    </row>
    <row r="122" spans="1:14">
      <c r="A122" s="145" t="s">
        <v>626</v>
      </c>
      <c r="B122" s="146" t="s">
        <v>1739</v>
      </c>
      <c r="C122" s="146" t="s">
        <v>1740</v>
      </c>
      <c r="D122" s="145" t="s">
        <v>1741</v>
      </c>
      <c r="E122" s="146" t="s">
        <v>164</v>
      </c>
      <c r="F122" s="145" t="s">
        <v>1600</v>
      </c>
      <c r="G122" s="146" t="s">
        <v>20</v>
      </c>
      <c r="H122" s="146">
        <v>201605</v>
      </c>
      <c r="I122" s="147">
        <v>2560.29</v>
      </c>
      <c r="J122" s="144">
        <f t="shared" si="5"/>
        <v>6</v>
      </c>
      <c r="K122" s="148">
        <v>1.4833299999999999E-3</v>
      </c>
      <c r="L122" s="147">
        <f t="shared" si="6"/>
        <v>22.79</v>
      </c>
      <c r="M122" s="147">
        <f t="shared" si="7"/>
        <v>45.57</v>
      </c>
      <c r="N122" s="145"/>
    </row>
    <row r="123" spans="1:14">
      <c r="A123" s="145" t="s">
        <v>626</v>
      </c>
      <c r="B123" s="146" t="s">
        <v>1797</v>
      </c>
      <c r="C123" s="146" t="s">
        <v>1798</v>
      </c>
      <c r="D123" s="145" t="s">
        <v>1799</v>
      </c>
      <c r="E123" s="146" t="s">
        <v>164</v>
      </c>
      <c r="F123" s="145" t="s">
        <v>1600</v>
      </c>
      <c r="G123" s="146" t="s">
        <v>20</v>
      </c>
      <c r="H123" s="146">
        <v>201605</v>
      </c>
      <c r="I123" s="147">
        <v>13983.13</v>
      </c>
      <c r="J123" s="144">
        <f t="shared" ref="J123:J186" si="8">HLOOKUP(H123,$Q$2:$Z$3,2)</f>
        <v>6</v>
      </c>
      <c r="K123" s="148">
        <v>1.4833299999999999E-3</v>
      </c>
      <c r="L123" s="147">
        <f t="shared" ref="L123:L186" si="9">ROUND(I123*J123*K123,2)</f>
        <v>124.45</v>
      </c>
      <c r="M123" s="147">
        <f t="shared" ref="M123:M186" si="10">ROUND(I123*K123*12,2)</f>
        <v>248.9</v>
      </c>
      <c r="N123" s="145"/>
    </row>
    <row r="124" spans="1:14">
      <c r="A124" s="145" t="s">
        <v>626</v>
      </c>
      <c r="B124" s="146" t="s">
        <v>1638</v>
      </c>
      <c r="C124" s="146" t="s">
        <v>1639</v>
      </c>
      <c r="D124" s="145" t="s">
        <v>1640</v>
      </c>
      <c r="E124" s="146" t="s">
        <v>164</v>
      </c>
      <c r="F124" s="145" t="s">
        <v>1600</v>
      </c>
      <c r="G124" s="146" t="s">
        <v>20</v>
      </c>
      <c r="H124" s="146">
        <v>201605</v>
      </c>
      <c r="I124" s="147">
        <v>8.06</v>
      </c>
      <c r="J124" s="144">
        <f t="shared" si="8"/>
        <v>6</v>
      </c>
      <c r="K124" s="148">
        <v>1.4833299999999999E-3</v>
      </c>
      <c r="L124" s="147">
        <f t="shared" si="9"/>
        <v>7.0000000000000007E-2</v>
      </c>
      <c r="M124" s="147">
        <f t="shared" si="10"/>
        <v>0.14000000000000001</v>
      </c>
      <c r="N124" s="145"/>
    </row>
    <row r="125" spans="1:14">
      <c r="A125" s="145" t="s">
        <v>626</v>
      </c>
      <c r="B125" s="146" t="s">
        <v>1803</v>
      </c>
      <c r="C125" s="146" t="s">
        <v>1804</v>
      </c>
      <c r="D125" s="145" t="s">
        <v>1805</v>
      </c>
      <c r="E125" s="146" t="s">
        <v>164</v>
      </c>
      <c r="F125" s="145" t="s">
        <v>1600</v>
      </c>
      <c r="G125" s="146" t="s">
        <v>20</v>
      </c>
      <c r="H125" s="146">
        <v>201605</v>
      </c>
      <c r="I125" s="147">
        <v>7099.87</v>
      </c>
      <c r="J125" s="144">
        <f t="shared" si="8"/>
        <v>6</v>
      </c>
      <c r="K125" s="148">
        <v>1.4833299999999999E-3</v>
      </c>
      <c r="L125" s="147">
        <f t="shared" si="9"/>
        <v>63.19</v>
      </c>
      <c r="M125" s="147">
        <f t="shared" si="10"/>
        <v>126.38</v>
      </c>
      <c r="N125" s="145"/>
    </row>
    <row r="126" spans="1:14">
      <c r="A126" s="145" t="s">
        <v>21</v>
      </c>
      <c r="B126" s="146" t="s">
        <v>1760</v>
      </c>
      <c r="C126" s="146" t="s">
        <v>1761</v>
      </c>
      <c r="D126" s="145" t="s">
        <v>1388</v>
      </c>
      <c r="E126" s="146" t="s">
        <v>164</v>
      </c>
      <c r="F126" s="145" t="s">
        <v>1600</v>
      </c>
      <c r="G126" s="146" t="s">
        <v>20</v>
      </c>
      <c r="H126" s="146">
        <v>201605</v>
      </c>
      <c r="I126" s="147">
        <v>4.25</v>
      </c>
      <c r="J126" s="144">
        <f t="shared" si="8"/>
        <v>6</v>
      </c>
      <c r="K126" s="148">
        <v>1.4833299999999999E-3</v>
      </c>
      <c r="L126" s="147">
        <f t="shared" si="9"/>
        <v>0.04</v>
      </c>
      <c r="M126" s="147">
        <f t="shared" si="10"/>
        <v>0.08</v>
      </c>
      <c r="N126" s="145"/>
    </row>
    <row r="127" spans="1:14">
      <c r="A127" s="145" t="s">
        <v>626</v>
      </c>
      <c r="B127" s="146" t="s">
        <v>1760</v>
      </c>
      <c r="C127" s="146" t="s">
        <v>1761</v>
      </c>
      <c r="D127" s="145" t="s">
        <v>1388</v>
      </c>
      <c r="E127" s="146" t="s">
        <v>164</v>
      </c>
      <c r="F127" s="145" t="s">
        <v>1600</v>
      </c>
      <c r="G127" s="146" t="s">
        <v>20</v>
      </c>
      <c r="H127" s="146">
        <v>201605</v>
      </c>
      <c r="I127" s="147">
        <v>183.25</v>
      </c>
      <c r="J127" s="144">
        <f t="shared" si="8"/>
        <v>6</v>
      </c>
      <c r="K127" s="148">
        <v>1.4833299999999999E-3</v>
      </c>
      <c r="L127" s="147">
        <f t="shared" si="9"/>
        <v>1.63</v>
      </c>
      <c r="M127" s="147">
        <f t="shared" si="10"/>
        <v>3.26</v>
      </c>
      <c r="N127" s="145"/>
    </row>
    <row r="128" spans="1:14">
      <c r="A128" s="145" t="s">
        <v>1942</v>
      </c>
      <c r="B128" s="146" t="s">
        <v>1681</v>
      </c>
      <c r="C128" s="146" t="s">
        <v>1997</v>
      </c>
      <c r="D128" s="145" t="s">
        <v>1998</v>
      </c>
      <c r="E128" s="146" t="s">
        <v>164</v>
      </c>
      <c r="F128" s="145" t="s">
        <v>1600</v>
      </c>
      <c r="G128" s="146" t="s">
        <v>20</v>
      </c>
      <c r="H128" s="146">
        <v>201605</v>
      </c>
      <c r="I128" s="147">
        <v>3.97</v>
      </c>
      <c r="J128" s="144">
        <f t="shared" si="8"/>
        <v>6</v>
      </c>
      <c r="K128" s="148">
        <v>2.23333E-3</v>
      </c>
      <c r="L128" s="147">
        <f t="shared" si="9"/>
        <v>0.05</v>
      </c>
      <c r="M128" s="147">
        <f t="shared" si="10"/>
        <v>0.11</v>
      </c>
      <c r="N128" s="145"/>
    </row>
    <row r="129" spans="1:14">
      <c r="A129" s="145" t="s">
        <v>626</v>
      </c>
      <c r="B129" s="146" t="s">
        <v>1681</v>
      </c>
      <c r="C129" s="146" t="s">
        <v>1997</v>
      </c>
      <c r="D129" s="145" t="s">
        <v>1998</v>
      </c>
      <c r="E129" s="146" t="s">
        <v>164</v>
      </c>
      <c r="F129" s="145" t="s">
        <v>1600</v>
      </c>
      <c r="G129" s="146" t="s">
        <v>20</v>
      </c>
      <c r="H129" s="146">
        <v>201605</v>
      </c>
      <c r="I129" s="147">
        <v>1739.82</v>
      </c>
      <c r="J129" s="144">
        <f t="shared" si="8"/>
        <v>6</v>
      </c>
      <c r="K129" s="148">
        <v>1.4833299999999999E-3</v>
      </c>
      <c r="L129" s="147">
        <f t="shared" si="9"/>
        <v>15.48</v>
      </c>
      <c r="M129" s="147">
        <f t="shared" si="10"/>
        <v>30.97</v>
      </c>
      <c r="N129" s="145"/>
    </row>
    <row r="130" spans="1:14">
      <c r="A130" s="145" t="s">
        <v>14</v>
      </c>
      <c r="B130" s="146" t="s">
        <v>1681</v>
      </c>
      <c r="C130" s="146" t="s">
        <v>2001</v>
      </c>
      <c r="D130" s="145" t="s">
        <v>2002</v>
      </c>
      <c r="E130" s="146" t="s">
        <v>164</v>
      </c>
      <c r="F130" s="145" t="s">
        <v>1600</v>
      </c>
      <c r="G130" s="146" t="s">
        <v>20</v>
      </c>
      <c r="H130" s="146">
        <v>201605</v>
      </c>
      <c r="I130" s="147">
        <v>21.13</v>
      </c>
      <c r="J130" s="144">
        <f t="shared" si="8"/>
        <v>6</v>
      </c>
      <c r="K130" s="148">
        <v>2.23333E-3</v>
      </c>
      <c r="L130" s="147">
        <f t="shared" si="9"/>
        <v>0.28000000000000003</v>
      </c>
      <c r="M130" s="147">
        <f t="shared" si="10"/>
        <v>0.56999999999999995</v>
      </c>
      <c r="N130" s="145"/>
    </row>
    <row r="131" spans="1:14">
      <c r="A131" s="145" t="s">
        <v>626</v>
      </c>
      <c r="B131" s="146" t="s">
        <v>1681</v>
      </c>
      <c r="C131" s="146" t="s">
        <v>2001</v>
      </c>
      <c r="D131" s="145" t="s">
        <v>2002</v>
      </c>
      <c r="E131" s="146" t="s">
        <v>164</v>
      </c>
      <c r="F131" s="145" t="s">
        <v>1600</v>
      </c>
      <c r="G131" s="146" t="s">
        <v>20</v>
      </c>
      <c r="H131" s="146">
        <v>201605</v>
      </c>
      <c r="I131" s="147">
        <v>15465.93</v>
      </c>
      <c r="J131" s="144">
        <f t="shared" si="8"/>
        <v>6</v>
      </c>
      <c r="K131" s="148">
        <v>1.4833299999999999E-3</v>
      </c>
      <c r="L131" s="147">
        <f t="shared" si="9"/>
        <v>137.65</v>
      </c>
      <c r="M131" s="147">
        <f t="shared" si="10"/>
        <v>275.29000000000002</v>
      </c>
      <c r="N131" s="145"/>
    </row>
    <row r="132" spans="1:14">
      <c r="A132" s="145" t="s">
        <v>14</v>
      </c>
      <c r="B132" s="146" t="s">
        <v>1681</v>
      </c>
      <c r="C132" s="146" t="s">
        <v>2003</v>
      </c>
      <c r="D132" s="145" t="s">
        <v>2004</v>
      </c>
      <c r="E132" s="146" t="s">
        <v>164</v>
      </c>
      <c r="F132" s="145" t="s">
        <v>1600</v>
      </c>
      <c r="G132" s="146" t="s">
        <v>20</v>
      </c>
      <c r="H132" s="146">
        <v>201605</v>
      </c>
      <c r="I132" s="147">
        <v>311.77999999999997</v>
      </c>
      <c r="J132" s="144">
        <f t="shared" si="8"/>
        <v>6</v>
      </c>
      <c r="K132" s="148">
        <v>2.23333E-3</v>
      </c>
      <c r="L132" s="147">
        <f t="shared" si="9"/>
        <v>4.18</v>
      </c>
      <c r="M132" s="147">
        <f t="shared" si="10"/>
        <v>8.36</v>
      </c>
      <c r="N132" s="145"/>
    </row>
    <row r="133" spans="1:14">
      <c r="A133" s="145" t="s">
        <v>21</v>
      </c>
      <c r="B133" s="146" t="s">
        <v>1681</v>
      </c>
      <c r="C133" s="146" t="s">
        <v>2003</v>
      </c>
      <c r="D133" s="145" t="s">
        <v>2004</v>
      </c>
      <c r="E133" s="146" t="s">
        <v>164</v>
      </c>
      <c r="F133" s="145" t="s">
        <v>1600</v>
      </c>
      <c r="G133" s="146" t="s">
        <v>20</v>
      </c>
      <c r="H133" s="146">
        <v>201605</v>
      </c>
      <c r="I133" s="147">
        <v>314.57</v>
      </c>
      <c r="J133" s="144">
        <f t="shared" si="8"/>
        <v>6</v>
      </c>
      <c r="K133" s="148">
        <v>1.4833299999999999E-3</v>
      </c>
      <c r="L133" s="147">
        <f t="shared" si="9"/>
        <v>2.8</v>
      </c>
      <c r="M133" s="147">
        <f t="shared" si="10"/>
        <v>5.6</v>
      </c>
      <c r="N133" s="145"/>
    </row>
    <row r="134" spans="1:14">
      <c r="A134" s="145" t="s">
        <v>626</v>
      </c>
      <c r="B134" s="146" t="s">
        <v>1681</v>
      </c>
      <c r="C134" s="146" t="s">
        <v>2003</v>
      </c>
      <c r="D134" s="145" t="s">
        <v>2004</v>
      </c>
      <c r="E134" s="146" t="s">
        <v>164</v>
      </c>
      <c r="F134" s="145" t="s">
        <v>1600</v>
      </c>
      <c r="G134" s="146" t="s">
        <v>20</v>
      </c>
      <c r="H134" s="146">
        <v>201605</v>
      </c>
      <c r="I134" s="147">
        <v>6476.27</v>
      </c>
      <c r="J134" s="144">
        <f t="shared" si="8"/>
        <v>6</v>
      </c>
      <c r="K134" s="148">
        <v>1.4833299999999999E-3</v>
      </c>
      <c r="L134" s="147">
        <f t="shared" si="9"/>
        <v>57.64</v>
      </c>
      <c r="M134" s="147">
        <f t="shared" si="10"/>
        <v>115.28</v>
      </c>
      <c r="N134" s="145"/>
    </row>
    <row r="135" spans="1:14">
      <c r="A135" s="145" t="s">
        <v>14</v>
      </c>
      <c r="B135" s="146" t="s">
        <v>1681</v>
      </c>
      <c r="C135" s="146" t="s">
        <v>2069</v>
      </c>
      <c r="D135" s="145" t="s">
        <v>2070</v>
      </c>
      <c r="E135" s="146" t="s">
        <v>164</v>
      </c>
      <c r="F135" s="145" t="s">
        <v>1600</v>
      </c>
      <c r="G135" s="146" t="s">
        <v>20</v>
      </c>
      <c r="H135" s="146">
        <v>201605</v>
      </c>
      <c r="I135" s="147">
        <v>897.49</v>
      </c>
      <c r="J135" s="144">
        <f t="shared" si="8"/>
        <v>6</v>
      </c>
      <c r="K135" s="148">
        <v>2.23333E-3</v>
      </c>
      <c r="L135" s="147">
        <f t="shared" si="9"/>
        <v>12.03</v>
      </c>
      <c r="M135" s="147">
        <f t="shared" si="10"/>
        <v>24.05</v>
      </c>
      <c r="N135" s="145"/>
    </row>
    <row r="136" spans="1:14">
      <c r="A136" s="145" t="s">
        <v>626</v>
      </c>
      <c r="B136" s="146" t="s">
        <v>1681</v>
      </c>
      <c r="C136" s="146" t="s">
        <v>2069</v>
      </c>
      <c r="D136" s="145" t="s">
        <v>2070</v>
      </c>
      <c r="E136" s="146" t="s">
        <v>164</v>
      </c>
      <c r="F136" s="145" t="s">
        <v>1600</v>
      </c>
      <c r="G136" s="146" t="s">
        <v>20</v>
      </c>
      <c r="H136" s="146">
        <v>201605</v>
      </c>
      <c r="I136" s="147">
        <v>4206.18</v>
      </c>
      <c r="J136" s="144">
        <f t="shared" si="8"/>
        <v>6</v>
      </c>
      <c r="K136" s="148">
        <v>1.4833299999999999E-3</v>
      </c>
      <c r="L136" s="147">
        <f t="shared" si="9"/>
        <v>37.43</v>
      </c>
      <c r="M136" s="147">
        <f t="shared" si="10"/>
        <v>74.87</v>
      </c>
      <c r="N136" s="145"/>
    </row>
    <row r="137" spans="1:14">
      <c r="A137" s="145" t="s">
        <v>14</v>
      </c>
      <c r="B137" s="146" t="s">
        <v>1681</v>
      </c>
      <c r="C137" s="146" t="s">
        <v>2013</v>
      </c>
      <c r="D137" s="145" t="s">
        <v>2014</v>
      </c>
      <c r="E137" s="146" t="s">
        <v>164</v>
      </c>
      <c r="F137" s="145" t="s">
        <v>1600</v>
      </c>
      <c r="G137" s="146" t="s">
        <v>20</v>
      </c>
      <c r="H137" s="146">
        <v>201605</v>
      </c>
      <c r="I137" s="147">
        <v>133.43</v>
      </c>
      <c r="J137" s="144">
        <f t="shared" si="8"/>
        <v>6</v>
      </c>
      <c r="K137" s="148">
        <v>2.23333E-3</v>
      </c>
      <c r="L137" s="147">
        <f t="shared" si="9"/>
        <v>1.79</v>
      </c>
      <c r="M137" s="147">
        <f t="shared" si="10"/>
        <v>3.58</v>
      </c>
      <c r="N137" s="145"/>
    </row>
    <row r="138" spans="1:14">
      <c r="A138" s="145" t="s">
        <v>626</v>
      </c>
      <c r="B138" s="146" t="s">
        <v>1681</v>
      </c>
      <c r="C138" s="146" t="s">
        <v>2013</v>
      </c>
      <c r="D138" s="145" t="s">
        <v>2014</v>
      </c>
      <c r="E138" s="146" t="s">
        <v>164</v>
      </c>
      <c r="F138" s="145" t="s">
        <v>1600</v>
      </c>
      <c r="G138" s="146" t="s">
        <v>20</v>
      </c>
      <c r="H138" s="146">
        <v>201605</v>
      </c>
      <c r="I138" s="147">
        <v>510.39</v>
      </c>
      <c r="J138" s="144">
        <f t="shared" si="8"/>
        <v>6</v>
      </c>
      <c r="K138" s="148">
        <v>1.4833299999999999E-3</v>
      </c>
      <c r="L138" s="147">
        <f t="shared" si="9"/>
        <v>4.54</v>
      </c>
      <c r="M138" s="147">
        <f t="shared" si="10"/>
        <v>9.08</v>
      </c>
      <c r="N138" s="145"/>
    </row>
    <row r="139" spans="1:14">
      <c r="A139" s="145" t="s">
        <v>14</v>
      </c>
      <c r="B139" s="146" t="s">
        <v>1681</v>
      </c>
      <c r="C139" s="146" t="s">
        <v>2015</v>
      </c>
      <c r="D139" s="145" t="s">
        <v>2016</v>
      </c>
      <c r="E139" s="146" t="s">
        <v>164</v>
      </c>
      <c r="F139" s="145" t="s">
        <v>1600</v>
      </c>
      <c r="G139" s="146" t="s">
        <v>20</v>
      </c>
      <c r="H139" s="146">
        <v>201605</v>
      </c>
      <c r="I139" s="147">
        <v>56.11</v>
      </c>
      <c r="J139" s="144">
        <f t="shared" si="8"/>
        <v>6</v>
      </c>
      <c r="K139" s="148">
        <v>2.23333E-3</v>
      </c>
      <c r="L139" s="147">
        <f t="shared" si="9"/>
        <v>0.75</v>
      </c>
      <c r="M139" s="147">
        <f t="shared" si="10"/>
        <v>1.5</v>
      </c>
      <c r="N139" s="145"/>
    </row>
    <row r="140" spans="1:14">
      <c r="A140" s="145" t="s">
        <v>626</v>
      </c>
      <c r="B140" s="146" t="s">
        <v>1681</v>
      </c>
      <c r="C140" s="146" t="s">
        <v>2015</v>
      </c>
      <c r="D140" s="145" t="s">
        <v>2016</v>
      </c>
      <c r="E140" s="146" t="s">
        <v>164</v>
      </c>
      <c r="F140" s="145" t="s">
        <v>1600</v>
      </c>
      <c r="G140" s="146" t="s">
        <v>20</v>
      </c>
      <c r="H140" s="146">
        <v>201605</v>
      </c>
      <c r="I140" s="147">
        <v>625.19000000000005</v>
      </c>
      <c r="J140" s="144">
        <f t="shared" si="8"/>
        <v>6</v>
      </c>
      <c r="K140" s="148">
        <v>1.4833299999999999E-3</v>
      </c>
      <c r="L140" s="147">
        <f t="shared" si="9"/>
        <v>5.56</v>
      </c>
      <c r="M140" s="147">
        <f t="shared" si="10"/>
        <v>11.13</v>
      </c>
      <c r="N140" s="145"/>
    </row>
    <row r="141" spans="1:14">
      <c r="A141" s="145" t="s">
        <v>626</v>
      </c>
      <c r="B141" s="146" t="s">
        <v>1597</v>
      </c>
      <c r="C141" s="146" t="s">
        <v>1598</v>
      </c>
      <c r="D141" s="145" t="s">
        <v>1599</v>
      </c>
      <c r="E141" s="146" t="s">
        <v>164</v>
      </c>
      <c r="F141" s="145" t="s">
        <v>1600</v>
      </c>
      <c r="G141" s="146" t="s">
        <v>20</v>
      </c>
      <c r="H141" s="146">
        <v>201606</v>
      </c>
      <c r="I141" s="147">
        <v>5.18</v>
      </c>
      <c r="J141" s="144">
        <f t="shared" si="8"/>
        <v>5</v>
      </c>
      <c r="K141" s="148">
        <v>1.4833299999999999E-3</v>
      </c>
      <c r="L141" s="147">
        <f t="shared" si="9"/>
        <v>0.04</v>
      </c>
      <c r="M141" s="147">
        <f t="shared" si="10"/>
        <v>0.09</v>
      </c>
      <c r="N141" s="145"/>
    </row>
    <row r="142" spans="1:14">
      <c r="A142" s="145" t="s">
        <v>626</v>
      </c>
      <c r="B142" s="146" t="s">
        <v>1142</v>
      </c>
      <c r="C142" s="146" t="s">
        <v>1143</v>
      </c>
      <c r="D142" s="145" t="s">
        <v>1144</v>
      </c>
      <c r="E142" s="146" t="s">
        <v>164</v>
      </c>
      <c r="F142" s="145" t="s">
        <v>1600</v>
      </c>
      <c r="G142" s="146" t="s">
        <v>20</v>
      </c>
      <c r="H142" s="146">
        <v>201606</v>
      </c>
      <c r="I142" s="147">
        <v>4.6100000000000003</v>
      </c>
      <c r="J142" s="144">
        <f t="shared" si="8"/>
        <v>5</v>
      </c>
      <c r="K142" s="148">
        <v>1.4833299999999999E-3</v>
      </c>
      <c r="L142" s="147">
        <f t="shared" si="9"/>
        <v>0.03</v>
      </c>
      <c r="M142" s="147">
        <f t="shared" si="10"/>
        <v>0.08</v>
      </c>
      <c r="N142" s="145"/>
    </row>
    <row r="143" spans="1:14">
      <c r="A143" s="145" t="s">
        <v>626</v>
      </c>
      <c r="B143" s="146" t="s">
        <v>1169</v>
      </c>
      <c r="C143" s="146" t="s">
        <v>1170</v>
      </c>
      <c r="D143" s="145" t="s">
        <v>1171</v>
      </c>
      <c r="E143" s="146" t="s">
        <v>164</v>
      </c>
      <c r="F143" s="145" t="s">
        <v>1600</v>
      </c>
      <c r="G143" s="146" t="s">
        <v>20</v>
      </c>
      <c r="H143" s="146">
        <v>201606</v>
      </c>
      <c r="I143" s="147">
        <v>31.54</v>
      </c>
      <c r="J143" s="144">
        <f t="shared" si="8"/>
        <v>5</v>
      </c>
      <c r="K143" s="148">
        <v>1.4833299999999999E-3</v>
      </c>
      <c r="L143" s="147">
        <f t="shared" si="9"/>
        <v>0.23</v>
      </c>
      <c r="M143" s="147">
        <f t="shared" si="10"/>
        <v>0.56000000000000005</v>
      </c>
      <c r="N143" s="145"/>
    </row>
    <row r="144" spans="1:14">
      <c r="A144" s="145" t="s">
        <v>626</v>
      </c>
      <c r="B144" s="146" t="s">
        <v>1545</v>
      </c>
      <c r="C144" s="146" t="s">
        <v>1546</v>
      </c>
      <c r="D144" s="145" t="s">
        <v>1547</v>
      </c>
      <c r="E144" s="146" t="s">
        <v>164</v>
      </c>
      <c r="F144" s="145" t="s">
        <v>1600</v>
      </c>
      <c r="G144" s="146" t="s">
        <v>20</v>
      </c>
      <c r="H144" s="146">
        <v>201606</v>
      </c>
      <c r="I144" s="147">
        <v>-2.38</v>
      </c>
      <c r="J144" s="144">
        <f t="shared" si="8"/>
        <v>5</v>
      </c>
      <c r="K144" s="148">
        <v>1.4833299999999999E-3</v>
      </c>
      <c r="L144" s="147">
        <f t="shared" si="9"/>
        <v>-0.02</v>
      </c>
      <c r="M144" s="147">
        <f t="shared" si="10"/>
        <v>-0.04</v>
      </c>
      <c r="N144" s="145"/>
    </row>
    <row r="145" spans="1:14">
      <c r="A145" s="145" t="s">
        <v>626</v>
      </c>
      <c r="B145" s="146" t="s">
        <v>1681</v>
      </c>
      <c r="C145" s="146" t="s">
        <v>1703</v>
      </c>
      <c r="D145" s="145" t="s">
        <v>1704</v>
      </c>
      <c r="E145" s="146" t="s">
        <v>164</v>
      </c>
      <c r="F145" s="145" t="s">
        <v>1600</v>
      </c>
      <c r="G145" s="146" t="s">
        <v>20</v>
      </c>
      <c r="H145" s="146">
        <v>201606</v>
      </c>
      <c r="I145" s="147">
        <v>52462.63</v>
      </c>
      <c r="J145" s="144">
        <f t="shared" si="8"/>
        <v>5</v>
      </c>
      <c r="K145" s="148">
        <v>1.4833299999999999E-3</v>
      </c>
      <c r="L145" s="147">
        <f t="shared" si="9"/>
        <v>389.1</v>
      </c>
      <c r="M145" s="147">
        <f t="shared" si="10"/>
        <v>933.83</v>
      </c>
      <c r="N145" s="145"/>
    </row>
    <row r="146" spans="1:14">
      <c r="A146" s="145" t="s">
        <v>626</v>
      </c>
      <c r="B146" s="146" t="s">
        <v>1548</v>
      </c>
      <c r="C146" s="146" t="s">
        <v>1549</v>
      </c>
      <c r="D146" s="145" t="s">
        <v>1550</v>
      </c>
      <c r="E146" s="146" t="s">
        <v>164</v>
      </c>
      <c r="F146" s="145" t="s">
        <v>1600</v>
      </c>
      <c r="G146" s="146" t="s">
        <v>20</v>
      </c>
      <c r="H146" s="146">
        <v>201606</v>
      </c>
      <c r="I146" s="147">
        <v>4.74</v>
      </c>
      <c r="J146" s="144">
        <f t="shared" si="8"/>
        <v>5</v>
      </c>
      <c r="K146" s="148">
        <v>1.4833299999999999E-3</v>
      </c>
      <c r="L146" s="147">
        <f t="shared" si="9"/>
        <v>0.04</v>
      </c>
      <c r="M146" s="147">
        <f t="shared" si="10"/>
        <v>0.08</v>
      </c>
      <c r="N146" s="145"/>
    </row>
    <row r="147" spans="1:14">
      <c r="A147" s="145" t="s">
        <v>626</v>
      </c>
      <c r="B147" s="146" t="s">
        <v>1444</v>
      </c>
      <c r="C147" s="146" t="s">
        <v>1445</v>
      </c>
      <c r="D147" s="145" t="s">
        <v>1282</v>
      </c>
      <c r="E147" s="146" t="s">
        <v>164</v>
      </c>
      <c r="F147" s="145" t="s">
        <v>1600</v>
      </c>
      <c r="G147" s="146" t="s">
        <v>20</v>
      </c>
      <c r="H147" s="146">
        <v>201606</v>
      </c>
      <c r="I147" s="147">
        <v>-84.02</v>
      </c>
      <c r="J147" s="144">
        <f t="shared" si="8"/>
        <v>5</v>
      </c>
      <c r="K147" s="148">
        <v>1.4833299999999999E-3</v>
      </c>
      <c r="L147" s="147">
        <f t="shared" si="9"/>
        <v>-0.62</v>
      </c>
      <c r="M147" s="147">
        <f t="shared" si="10"/>
        <v>-1.5</v>
      </c>
      <c r="N147" s="145"/>
    </row>
    <row r="148" spans="1:14">
      <c r="A148" s="145" t="s">
        <v>626</v>
      </c>
      <c r="B148" s="146" t="s">
        <v>1496</v>
      </c>
      <c r="C148" s="146" t="s">
        <v>1497</v>
      </c>
      <c r="D148" s="145" t="s">
        <v>1498</v>
      </c>
      <c r="E148" s="146" t="s">
        <v>164</v>
      </c>
      <c r="F148" s="145" t="s">
        <v>1600</v>
      </c>
      <c r="G148" s="146" t="s">
        <v>20</v>
      </c>
      <c r="H148" s="146">
        <v>201606</v>
      </c>
      <c r="I148" s="147">
        <v>-12.33</v>
      </c>
      <c r="J148" s="144">
        <f t="shared" si="8"/>
        <v>5</v>
      </c>
      <c r="K148" s="148">
        <v>1.4833299999999999E-3</v>
      </c>
      <c r="L148" s="147">
        <f t="shared" si="9"/>
        <v>-0.09</v>
      </c>
      <c r="M148" s="147">
        <f t="shared" si="10"/>
        <v>-0.22</v>
      </c>
      <c r="N148" s="145"/>
    </row>
    <row r="149" spans="1:14">
      <c r="A149" s="145" t="s">
        <v>626</v>
      </c>
      <c r="B149" s="146" t="s">
        <v>1736</v>
      </c>
      <c r="C149" s="146" t="s">
        <v>1737</v>
      </c>
      <c r="D149" s="145" t="s">
        <v>1738</v>
      </c>
      <c r="E149" s="146" t="s">
        <v>164</v>
      </c>
      <c r="F149" s="145" t="s">
        <v>1600</v>
      </c>
      <c r="G149" s="146" t="s">
        <v>20</v>
      </c>
      <c r="H149" s="146">
        <v>201606</v>
      </c>
      <c r="I149" s="147">
        <v>443.16</v>
      </c>
      <c r="J149" s="144">
        <f t="shared" si="8"/>
        <v>5</v>
      </c>
      <c r="K149" s="148">
        <v>1.4833299999999999E-3</v>
      </c>
      <c r="L149" s="147">
        <f t="shared" si="9"/>
        <v>3.29</v>
      </c>
      <c r="M149" s="147">
        <f t="shared" si="10"/>
        <v>7.89</v>
      </c>
      <c r="N149" s="145"/>
    </row>
    <row r="150" spans="1:14">
      <c r="A150" s="145" t="s">
        <v>626</v>
      </c>
      <c r="B150" s="146" t="s">
        <v>1739</v>
      </c>
      <c r="C150" s="146" t="s">
        <v>1740</v>
      </c>
      <c r="D150" s="145" t="s">
        <v>1741</v>
      </c>
      <c r="E150" s="146" t="s">
        <v>164</v>
      </c>
      <c r="F150" s="145" t="s">
        <v>1600</v>
      </c>
      <c r="G150" s="146" t="s">
        <v>20</v>
      </c>
      <c r="H150" s="146">
        <v>201606</v>
      </c>
      <c r="I150" s="147">
        <v>1057.04</v>
      </c>
      <c r="J150" s="144">
        <f t="shared" si="8"/>
        <v>5</v>
      </c>
      <c r="K150" s="148">
        <v>1.4833299999999999E-3</v>
      </c>
      <c r="L150" s="147">
        <f t="shared" si="9"/>
        <v>7.84</v>
      </c>
      <c r="M150" s="147">
        <f t="shared" si="10"/>
        <v>18.82</v>
      </c>
      <c r="N150" s="145"/>
    </row>
    <row r="151" spans="1:14">
      <c r="A151" s="145" t="s">
        <v>626</v>
      </c>
      <c r="B151" s="146" t="s">
        <v>1797</v>
      </c>
      <c r="C151" s="146" t="s">
        <v>1798</v>
      </c>
      <c r="D151" s="145" t="s">
        <v>1799</v>
      </c>
      <c r="E151" s="146" t="s">
        <v>164</v>
      </c>
      <c r="F151" s="145" t="s">
        <v>1600</v>
      </c>
      <c r="G151" s="146" t="s">
        <v>20</v>
      </c>
      <c r="H151" s="146">
        <v>201606</v>
      </c>
      <c r="I151" s="147">
        <v>2968.47</v>
      </c>
      <c r="J151" s="144">
        <f t="shared" si="8"/>
        <v>5</v>
      </c>
      <c r="K151" s="148">
        <v>1.4833299999999999E-3</v>
      </c>
      <c r="L151" s="147">
        <f t="shared" si="9"/>
        <v>22.02</v>
      </c>
      <c r="M151" s="147">
        <f t="shared" si="10"/>
        <v>52.84</v>
      </c>
      <c r="N151" s="145"/>
    </row>
    <row r="152" spans="1:14">
      <c r="A152" s="145" t="s">
        <v>626</v>
      </c>
      <c r="B152" s="146" t="s">
        <v>1638</v>
      </c>
      <c r="C152" s="146" t="s">
        <v>1639</v>
      </c>
      <c r="D152" s="145" t="s">
        <v>1640</v>
      </c>
      <c r="E152" s="146" t="s">
        <v>164</v>
      </c>
      <c r="F152" s="145" t="s">
        <v>1600</v>
      </c>
      <c r="G152" s="146" t="s">
        <v>20</v>
      </c>
      <c r="H152" s="146">
        <v>201606</v>
      </c>
      <c r="I152" s="147">
        <v>4.8499999999999996</v>
      </c>
      <c r="J152" s="144">
        <f t="shared" si="8"/>
        <v>5</v>
      </c>
      <c r="K152" s="148">
        <v>1.4833299999999999E-3</v>
      </c>
      <c r="L152" s="147">
        <f t="shared" si="9"/>
        <v>0.04</v>
      </c>
      <c r="M152" s="147">
        <f t="shared" si="10"/>
        <v>0.09</v>
      </c>
      <c r="N152" s="145"/>
    </row>
    <row r="153" spans="1:14">
      <c r="A153" s="145" t="s">
        <v>626</v>
      </c>
      <c r="B153" s="146" t="s">
        <v>1803</v>
      </c>
      <c r="C153" s="146" t="s">
        <v>1804</v>
      </c>
      <c r="D153" s="145" t="s">
        <v>1805</v>
      </c>
      <c r="E153" s="146" t="s">
        <v>164</v>
      </c>
      <c r="F153" s="145" t="s">
        <v>1600</v>
      </c>
      <c r="G153" s="146" t="s">
        <v>20</v>
      </c>
      <c r="H153" s="146">
        <v>201606</v>
      </c>
      <c r="I153" s="147">
        <v>3038.36</v>
      </c>
      <c r="J153" s="144">
        <f t="shared" si="8"/>
        <v>5</v>
      </c>
      <c r="K153" s="148">
        <v>1.4833299999999999E-3</v>
      </c>
      <c r="L153" s="147">
        <f t="shared" si="9"/>
        <v>22.53</v>
      </c>
      <c r="M153" s="147">
        <f t="shared" si="10"/>
        <v>54.08</v>
      </c>
      <c r="N153" s="145"/>
    </row>
    <row r="154" spans="1:14">
      <c r="A154" s="145" t="s">
        <v>21</v>
      </c>
      <c r="B154" s="146" t="s">
        <v>1760</v>
      </c>
      <c r="C154" s="146" t="s">
        <v>1761</v>
      </c>
      <c r="D154" s="145" t="s">
        <v>1388</v>
      </c>
      <c r="E154" s="146" t="s">
        <v>164</v>
      </c>
      <c r="F154" s="145" t="s">
        <v>1600</v>
      </c>
      <c r="G154" s="146" t="s">
        <v>20</v>
      </c>
      <c r="H154" s="146">
        <v>201606</v>
      </c>
      <c r="I154" s="147">
        <v>2.63</v>
      </c>
      <c r="J154" s="144">
        <f t="shared" si="8"/>
        <v>5</v>
      </c>
      <c r="K154" s="148">
        <v>1.4833299999999999E-3</v>
      </c>
      <c r="L154" s="147">
        <f t="shared" si="9"/>
        <v>0.02</v>
      </c>
      <c r="M154" s="147">
        <f t="shared" si="10"/>
        <v>0.05</v>
      </c>
      <c r="N154" s="145"/>
    </row>
    <row r="155" spans="1:14">
      <c r="A155" s="145" t="s">
        <v>626</v>
      </c>
      <c r="B155" s="146" t="s">
        <v>1760</v>
      </c>
      <c r="C155" s="146" t="s">
        <v>1761</v>
      </c>
      <c r="D155" s="145" t="s">
        <v>1388</v>
      </c>
      <c r="E155" s="146" t="s">
        <v>164</v>
      </c>
      <c r="F155" s="145" t="s">
        <v>1600</v>
      </c>
      <c r="G155" s="146" t="s">
        <v>20</v>
      </c>
      <c r="H155" s="146">
        <v>201606</v>
      </c>
      <c r="I155" s="147">
        <v>113.9</v>
      </c>
      <c r="J155" s="144">
        <f t="shared" si="8"/>
        <v>5</v>
      </c>
      <c r="K155" s="148">
        <v>1.4833299999999999E-3</v>
      </c>
      <c r="L155" s="147">
        <f t="shared" si="9"/>
        <v>0.84</v>
      </c>
      <c r="M155" s="147">
        <f t="shared" si="10"/>
        <v>2.0299999999999998</v>
      </c>
      <c r="N155" s="145"/>
    </row>
    <row r="156" spans="1:14">
      <c r="A156" s="145" t="s">
        <v>1942</v>
      </c>
      <c r="B156" s="146" t="s">
        <v>1681</v>
      </c>
      <c r="C156" s="146" t="s">
        <v>1997</v>
      </c>
      <c r="D156" s="145" t="s">
        <v>1998</v>
      </c>
      <c r="E156" s="146" t="s">
        <v>164</v>
      </c>
      <c r="F156" s="145" t="s">
        <v>1600</v>
      </c>
      <c r="G156" s="146" t="s">
        <v>20</v>
      </c>
      <c r="H156" s="146">
        <v>201606</v>
      </c>
      <c r="I156" s="147">
        <v>2.5099999999999998</v>
      </c>
      <c r="J156" s="144">
        <f t="shared" si="8"/>
        <v>5</v>
      </c>
      <c r="K156" s="148">
        <v>2.23333E-3</v>
      </c>
      <c r="L156" s="147">
        <f t="shared" si="9"/>
        <v>0.03</v>
      </c>
      <c r="M156" s="147">
        <f t="shared" si="10"/>
        <v>7.0000000000000007E-2</v>
      </c>
      <c r="N156" s="145"/>
    </row>
    <row r="157" spans="1:14">
      <c r="A157" s="145" t="s">
        <v>626</v>
      </c>
      <c r="B157" s="146" t="s">
        <v>1681</v>
      </c>
      <c r="C157" s="146" t="s">
        <v>1997</v>
      </c>
      <c r="D157" s="145" t="s">
        <v>1998</v>
      </c>
      <c r="E157" s="146" t="s">
        <v>164</v>
      </c>
      <c r="F157" s="145" t="s">
        <v>1600</v>
      </c>
      <c r="G157" s="146" t="s">
        <v>20</v>
      </c>
      <c r="H157" s="146">
        <v>201606</v>
      </c>
      <c r="I157" s="147">
        <v>1103.1300000000001</v>
      </c>
      <c r="J157" s="144">
        <f t="shared" si="8"/>
        <v>5</v>
      </c>
      <c r="K157" s="148">
        <v>1.4833299999999999E-3</v>
      </c>
      <c r="L157" s="147">
        <f t="shared" si="9"/>
        <v>8.18</v>
      </c>
      <c r="M157" s="147">
        <f t="shared" si="10"/>
        <v>19.64</v>
      </c>
      <c r="N157" s="145"/>
    </row>
    <row r="158" spans="1:14">
      <c r="A158" s="145" t="s">
        <v>14</v>
      </c>
      <c r="B158" s="146" t="s">
        <v>1681</v>
      </c>
      <c r="C158" s="146" t="s">
        <v>2001</v>
      </c>
      <c r="D158" s="145" t="s">
        <v>2002</v>
      </c>
      <c r="E158" s="146" t="s">
        <v>164</v>
      </c>
      <c r="F158" s="145" t="s">
        <v>1600</v>
      </c>
      <c r="G158" s="146" t="s">
        <v>20</v>
      </c>
      <c r="H158" s="146">
        <v>201606</v>
      </c>
      <c r="I158" s="147">
        <v>0.46</v>
      </c>
      <c r="J158" s="144">
        <f t="shared" si="8"/>
        <v>5</v>
      </c>
      <c r="K158" s="148">
        <v>2.23333E-3</v>
      </c>
      <c r="L158" s="147">
        <f t="shared" si="9"/>
        <v>0.01</v>
      </c>
      <c r="M158" s="147">
        <f t="shared" si="10"/>
        <v>0.01</v>
      </c>
      <c r="N158" s="145"/>
    </row>
    <row r="159" spans="1:14">
      <c r="A159" s="145" t="s">
        <v>626</v>
      </c>
      <c r="B159" s="146" t="s">
        <v>1681</v>
      </c>
      <c r="C159" s="146" t="s">
        <v>2001</v>
      </c>
      <c r="D159" s="145" t="s">
        <v>2002</v>
      </c>
      <c r="E159" s="146" t="s">
        <v>164</v>
      </c>
      <c r="F159" s="145" t="s">
        <v>1600</v>
      </c>
      <c r="G159" s="146" t="s">
        <v>20</v>
      </c>
      <c r="H159" s="146">
        <v>201606</v>
      </c>
      <c r="I159" s="147">
        <v>342.5</v>
      </c>
      <c r="J159" s="144">
        <f t="shared" si="8"/>
        <v>5</v>
      </c>
      <c r="K159" s="148">
        <v>1.4833299999999999E-3</v>
      </c>
      <c r="L159" s="147">
        <f t="shared" si="9"/>
        <v>2.54</v>
      </c>
      <c r="M159" s="147">
        <f t="shared" si="10"/>
        <v>6.1</v>
      </c>
      <c r="N159" s="145"/>
    </row>
    <row r="160" spans="1:14">
      <c r="A160" s="145" t="s">
        <v>14</v>
      </c>
      <c r="B160" s="146" t="s">
        <v>1681</v>
      </c>
      <c r="C160" s="146" t="s">
        <v>2003</v>
      </c>
      <c r="D160" s="145" t="s">
        <v>2004</v>
      </c>
      <c r="E160" s="146" t="s">
        <v>164</v>
      </c>
      <c r="F160" s="145" t="s">
        <v>1600</v>
      </c>
      <c r="G160" s="146" t="s">
        <v>20</v>
      </c>
      <c r="H160" s="146">
        <v>201606</v>
      </c>
      <c r="I160" s="147">
        <v>10.3</v>
      </c>
      <c r="J160" s="144">
        <f t="shared" si="8"/>
        <v>5</v>
      </c>
      <c r="K160" s="148">
        <v>2.23333E-3</v>
      </c>
      <c r="L160" s="147">
        <f t="shared" si="9"/>
        <v>0.12</v>
      </c>
      <c r="M160" s="147">
        <f t="shared" si="10"/>
        <v>0.28000000000000003</v>
      </c>
      <c r="N160" s="145"/>
    </row>
    <row r="161" spans="1:14">
      <c r="A161" s="145" t="s">
        <v>21</v>
      </c>
      <c r="B161" s="146" t="s">
        <v>1681</v>
      </c>
      <c r="C161" s="146" t="s">
        <v>2003</v>
      </c>
      <c r="D161" s="145" t="s">
        <v>2004</v>
      </c>
      <c r="E161" s="146" t="s">
        <v>164</v>
      </c>
      <c r="F161" s="145" t="s">
        <v>1600</v>
      </c>
      <c r="G161" s="146" t="s">
        <v>20</v>
      </c>
      <c r="H161" s="146">
        <v>201606</v>
      </c>
      <c r="I161" s="147">
        <v>10.41</v>
      </c>
      <c r="J161" s="144">
        <f t="shared" si="8"/>
        <v>5</v>
      </c>
      <c r="K161" s="148">
        <v>1.4833299999999999E-3</v>
      </c>
      <c r="L161" s="147">
        <f t="shared" si="9"/>
        <v>0.08</v>
      </c>
      <c r="M161" s="147">
        <f t="shared" si="10"/>
        <v>0.19</v>
      </c>
      <c r="N161" s="145"/>
    </row>
    <row r="162" spans="1:14">
      <c r="A162" s="145" t="s">
        <v>626</v>
      </c>
      <c r="B162" s="146" t="s">
        <v>1681</v>
      </c>
      <c r="C162" s="146" t="s">
        <v>2003</v>
      </c>
      <c r="D162" s="145" t="s">
        <v>2004</v>
      </c>
      <c r="E162" s="146" t="s">
        <v>164</v>
      </c>
      <c r="F162" s="145" t="s">
        <v>1600</v>
      </c>
      <c r="G162" s="146" t="s">
        <v>20</v>
      </c>
      <c r="H162" s="146">
        <v>201606</v>
      </c>
      <c r="I162" s="147">
        <v>214.19</v>
      </c>
      <c r="J162" s="144">
        <f t="shared" si="8"/>
        <v>5</v>
      </c>
      <c r="K162" s="148">
        <v>1.4833299999999999E-3</v>
      </c>
      <c r="L162" s="147">
        <f t="shared" si="9"/>
        <v>1.59</v>
      </c>
      <c r="M162" s="147">
        <f t="shared" si="10"/>
        <v>3.81</v>
      </c>
      <c r="N162" s="145"/>
    </row>
    <row r="163" spans="1:14">
      <c r="A163" s="145" t="s">
        <v>14</v>
      </c>
      <c r="B163" s="146" t="s">
        <v>1681</v>
      </c>
      <c r="C163" s="146" t="s">
        <v>2069</v>
      </c>
      <c r="D163" s="145" t="s">
        <v>2070</v>
      </c>
      <c r="E163" s="146" t="s">
        <v>164</v>
      </c>
      <c r="F163" s="145" t="s">
        <v>1600</v>
      </c>
      <c r="G163" s="146" t="s">
        <v>20</v>
      </c>
      <c r="H163" s="146">
        <v>201606</v>
      </c>
      <c r="I163" s="147">
        <v>590.48</v>
      </c>
      <c r="J163" s="144">
        <f t="shared" si="8"/>
        <v>5</v>
      </c>
      <c r="K163" s="148">
        <v>2.23333E-3</v>
      </c>
      <c r="L163" s="147">
        <f t="shared" si="9"/>
        <v>6.59</v>
      </c>
      <c r="M163" s="147">
        <f t="shared" si="10"/>
        <v>15.82</v>
      </c>
      <c r="N163" s="145"/>
    </row>
    <row r="164" spans="1:14">
      <c r="A164" s="145" t="s">
        <v>626</v>
      </c>
      <c r="B164" s="146" t="s">
        <v>1681</v>
      </c>
      <c r="C164" s="146" t="s">
        <v>2069</v>
      </c>
      <c r="D164" s="145" t="s">
        <v>2070</v>
      </c>
      <c r="E164" s="146" t="s">
        <v>164</v>
      </c>
      <c r="F164" s="145" t="s">
        <v>1600</v>
      </c>
      <c r="G164" s="146" t="s">
        <v>20</v>
      </c>
      <c r="H164" s="146">
        <v>201606</v>
      </c>
      <c r="I164" s="147">
        <v>2767.37</v>
      </c>
      <c r="J164" s="144">
        <f t="shared" si="8"/>
        <v>5</v>
      </c>
      <c r="K164" s="148">
        <v>1.4833299999999999E-3</v>
      </c>
      <c r="L164" s="147">
        <f t="shared" si="9"/>
        <v>20.52</v>
      </c>
      <c r="M164" s="147">
        <f t="shared" si="10"/>
        <v>49.26</v>
      </c>
      <c r="N164" s="145"/>
    </row>
    <row r="165" spans="1:14">
      <c r="A165" s="145" t="s">
        <v>626</v>
      </c>
      <c r="B165" s="146" t="s">
        <v>1681</v>
      </c>
      <c r="C165" s="146" t="s">
        <v>2073</v>
      </c>
      <c r="D165" s="145" t="s">
        <v>2074</v>
      </c>
      <c r="E165" s="146" t="s">
        <v>164</v>
      </c>
      <c r="F165" s="145" t="s">
        <v>1600</v>
      </c>
      <c r="G165" s="146" t="s">
        <v>20</v>
      </c>
      <c r="H165" s="146">
        <v>201606</v>
      </c>
      <c r="I165" s="147">
        <v>35449.5</v>
      </c>
      <c r="J165" s="144">
        <f t="shared" si="8"/>
        <v>5</v>
      </c>
      <c r="K165" s="148">
        <v>1.4833299999999999E-3</v>
      </c>
      <c r="L165" s="147">
        <f t="shared" si="9"/>
        <v>262.92</v>
      </c>
      <c r="M165" s="147">
        <f t="shared" si="10"/>
        <v>631</v>
      </c>
      <c r="N165" s="145"/>
    </row>
    <row r="166" spans="1:14">
      <c r="A166" s="145" t="s">
        <v>14</v>
      </c>
      <c r="B166" s="146" t="s">
        <v>1681</v>
      </c>
      <c r="C166" s="146" t="s">
        <v>2013</v>
      </c>
      <c r="D166" s="145" t="s">
        <v>2014</v>
      </c>
      <c r="E166" s="146" t="s">
        <v>164</v>
      </c>
      <c r="F166" s="145" t="s">
        <v>1600</v>
      </c>
      <c r="G166" s="146" t="s">
        <v>20</v>
      </c>
      <c r="H166" s="146">
        <v>201606</v>
      </c>
      <c r="I166" s="147">
        <v>88.81</v>
      </c>
      <c r="J166" s="144">
        <f t="shared" si="8"/>
        <v>5</v>
      </c>
      <c r="K166" s="148">
        <v>2.23333E-3</v>
      </c>
      <c r="L166" s="147">
        <f t="shared" si="9"/>
        <v>0.99</v>
      </c>
      <c r="M166" s="147">
        <f t="shared" si="10"/>
        <v>2.38</v>
      </c>
      <c r="N166" s="145"/>
    </row>
    <row r="167" spans="1:14">
      <c r="A167" s="145" t="s">
        <v>626</v>
      </c>
      <c r="B167" s="146" t="s">
        <v>1681</v>
      </c>
      <c r="C167" s="146" t="s">
        <v>2013</v>
      </c>
      <c r="D167" s="145" t="s">
        <v>2014</v>
      </c>
      <c r="E167" s="146" t="s">
        <v>164</v>
      </c>
      <c r="F167" s="145" t="s">
        <v>1600</v>
      </c>
      <c r="G167" s="146" t="s">
        <v>20</v>
      </c>
      <c r="H167" s="146">
        <v>201606</v>
      </c>
      <c r="I167" s="147">
        <v>339.72</v>
      </c>
      <c r="J167" s="144">
        <f t="shared" si="8"/>
        <v>5</v>
      </c>
      <c r="K167" s="148">
        <v>1.4833299999999999E-3</v>
      </c>
      <c r="L167" s="147">
        <f t="shared" si="9"/>
        <v>2.52</v>
      </c>
      <c r="M167" s="147">
        <f t="shared" si="10"/>
        <v>6.05</v>
      </c>
      <c r="N167" s="145"/>
    </row>
    <row r="168" spans="1:14">
      <c r="A168" s="145" t="s">
        <v>14</v>
      </c>
      <c r="B168" s="146" t="s">
        <v>1681</v>
      </c>
      <c r="C168" s="146" t="s">
        <v>2015</v>
      </c>
      <c r="D168" s="145" t="s">
        <v>2016</v>
      </c>
      <c r="E168" s="146" t="s">
        <v>164</v>
      </c>
      <c r="F168" s="145" t="s">
        <v>1600</v>
      </c>
      <c r="G168" s="146" t="s">
        <v>20</v>
      </c>
      <c r="H168" s="146">
        <v>201606</v>
      </c>
      <c r="I168" s="147">
        <v>35.42</v>
      </c>
      <c r="J168" s="144">
        <f t="shared" si="8"/>
        <v>5</v>
      </c>
      <c r="K168" s="148">
        <v>2.23333E-3</v>
      </c>
      <c r="L168" s="147">
        <f t="shared" si="9"/>
        <v>0.4</v>
      </c>
      <c r="M168" s="147">
        <f t="shared" si="10"/>
        <v>0.95</v>
      </c>
      <c r="N168" s="145"/>
    </row>
    <row r="169" spans="1:14">
      <c r="A169" s="145" t="s">
        <v>626</v>
      </c>
      <c r="B169" s="146" t="s">
        <v>1681</v>
      </c>
      <c r="C169" s="146" t="s">
        <v>2015</v>
      </c>
      <c r="D169" s="145" t="s">
        <v>2016</v>
      </c>
      <c r="E169" s="146" t="s">
        <v>164</v>
      </c>
      <c r="F169" s="145" t="s">
        <v>1600</v>
      </c>
      <c r="G169" s="146" t="s">
        <v>20</v>
      </c>
      <c r="H169" s="146">
        <v>201606</v>
      </c>
      <c r="I169" s="147">
        <v>394.59</v>
      </c>
      <c r="J169" s="144">
        <f t="shared" si="8"/>
        <v>5</v>
      </c>
      <c r="K169" s="148">
        <v>1.4833299999999999E-3</v>
      </c>
      <c r="L169" s="147">
        <f t="shared" si="9"/>
        <v>2.93</v>
      </c>
      <c r="M169" s="147">
        <f t="shared" si="10"/>
        <v>7.02</v>
      </c>
      <c r="N169" s="145"/>
    </row>
    <row r="170" spans="1:14">
      <c r="A170" s="145" t="s">
        <v>626</v>
      </c>
      <c r="B170" s="146" t="s">
        <v>1681</v>
      </c>
      <c r="C170" s="146" t="s">
        <v>2085</v>
      </c>
      <c r="D170" s="145" t="s">
        <v>2086</v>
      </c>
      <c r="E170" s="146" t="s">
        <v>164</v>
      </c>
      <c r="F170" s="145" t="s">
        <v>1600</v>
      </c>
      <c r="G170" s="146" t="s">
        <v>20</v>
      </c>
      <c r="H170" s="146">
        <v>201606</v>
      </c>
      <c r="I170" s="147">
        <v>65181.47</v>
      </c>
      <c r="J170" s="144">
        <f t="shared" si="8"/>
        <v>5</v>
      </c>
      <c r="K170" s="148">
        <v>1.4833299999999999E-3</v>
      </c>
      <c r="L170" s="147">
        <f t="shared" si="9"/>
        <v>483.43</v>
      </c>
      <c r="M170" s="147">
        <f t="shared" si="10"/>
        <v>1160.23</v>
      </c>
      <c r="N170" s="145"/>
    </row>
    <row r="171" spans="1:14">
      <c r="A171" s="145" t="s">
        <v>14</v>
      </c>
      <c r="B171" s="146" t="s">
        <v>1681</v>
      </c>
      <c r="C171" s="146" t="s">
        <v>2087</v>
      </c>
      <c r="D171" s="145" t="s">
        <v>2088</v>
      </c>
      <c r="E171" s="146" t="s">
        <v>164</v>
      </c>
      <c r="F171" s="145" t="s">
        <v>1600</v>
      </c>
      <c r="G171" s="146" t="s">
        <v>20</v>
      </c>
      <c r="H171" s="146">
        <v>201606</v>
      </c>
      <c r="I171" s="147">
        <v>4842.38</v>
      </c>
      <c r="J171" s="144">
        <f t="shared" si="8"/>
        <v>5</v>
      </c>
      <c r="K171" s="148">
        <v>2.23333E-3</v>
      </c>
      <c r="L171" s="147">
        <f t="shared" si="9"/>
        <v>54.07</v>
      </c>
      <c r="M171" s="147">
        <f t="shared" si="10"/>
        <v>129.78</v>
      </c>
      <c r="N171" s="145"/>
    </row>
    <row r="172" spans="1:14">
      <c r="A172" s="145" t="s">
        <v>626</v>
      </c>
      <c r="B172" s="146" t="s">
        <v>1681</v>
      </c>
      <c r="C172" s="146" t="s">
        <v>2087</v>
      </c>
      <c r="D172" s="145" t="s">
        <v>2088</v>
      </c>
      <c r="E172" s="146" t="s">
        <v>164</v>
      </c>
      <c r="F172" s="145" t="s">
        <v>1600</v>
      </c>
      <c r="G172" s="146" t="s">
        <v>20</v>
      </c>
      <c r="H172" s="146">
        <v>201606</v>
      </c>
      <c r="I172" s="147">
        <v>64093.32</v>
      </c>
      <c r="J172" s="144">
        <f t="shared" si="8"/>
        <v>5</v>
      </c>
      <c r="K172" s="148">
        <v>1.4833299999999999E-3</v>
      </c>
      <c r="L172" s="147">
        <f t="shared" si="9"/>
        <v>475.36</v>
      </c>
      <c r="M172" s="147">
        <f t="shared" si="10"/>
        <v>1140.8599999999999</v>
      </c>
      <c r="N172" s="145"/>
    </row>
    <row r="173" spans="1:14">
      <c r="A173" s="145" t="s">
        <v>626</v>
      </c>
      <c r="B173" s="146" t="s">
        <v>1681</v>
      </c>
      <c r="C173" s="146" t="s">
        <v>2089</v>
      </c>
      <c r="D173" s="145" t="s">
        <v>2090</v>
      </c>
      <c r="E173" s="146" t="s">
        <v>164</v>
      </c>
      <c r="F173" s="145" t="s">
        <v>1600</v>
      </c>
      <c r="G173" s="146" t="s">
        <v>20</v>
      </c>
      <c r="H173" s="146">
        <v>201606</v>
      </c>
      <c r="I173" s="147">
        <v>9704.4500000000007</v>
      </c>
      <c r="J173" s="144">
        <f t="shared" si="8"/>
        <v>5</v>
      </c>
      <c r="K173" s="148">
        <v>1.4833299999999999E-3</v>
      </c>
      <c r="L173" s="147">
        <f t="shared" si="9"/>
        <v>71.97</v>
      </c>
      <c r="M173" s="147">
        <f t="shared" si="10"/>
        <v>172.74</v>
      </c>
      <c r="N173" s="145"/>
    </row>
    <row r="174" spans="1:14">
      <c r="A174" s="145" t="s">
        <v>626</v>
      </c>
      <c r="B174" s="146" t="s">
        <v>1681</v>
      </c>
      <c r="C174" s="146" t="s">
        <v>2095</v>
      </c>
      <c r="D174" s="145" t="s">
        <v>2096</v>
      </c>
      <c r="E174" s="146" t="s">
        <v>164</v>
      </c>
      <c r="F174" s="145" t="s">
        <v>1600</v>
      </c>
      <c r="G174" s="146" t="s">
        <v>20</v>
      </c>
      <c r="H174" s="146">
        <v>201606</v>
      </c>
      <c r="I174" s="147">
        <v>16782.54</v>
      </c>
      <c r="J174" s="144">
        <f t="shared" si="8"/>
        <v>5</v>
      </c>
      <c r="K174" s="148">
        <v>1.4833299999999999E-3</v>
      </c>
      <c r="L174" s="147">
        <f t="shared" si="9"/>
        <v>124.47</v>
      </c>
      <c r="M174" s="147">
        <f t="shared" si="10"/>
        <v>298.73</v>
      </c>
      <c r="N174" s="145"/>
    </row>
    <row r="175" spans="1:14">
      <c r="A175" s="151" t="s">
        <v>626</v>
      </c>
      <c r="B175" s="152" t="s">
        <v>1444</v>
      </c>
      <c r="C175" s="152" t="s">
        <v>1445</v>
      </c>
      <c r="D175" s="151" t="s">
        <v>1282</v>
      </c>
      <c r="E175" s="152" t="s">
        <v>164</v>
      </c>
      <c r="F175" s="151" t="s">
        <v>1600</v>
      </c>
      <c r="G175" s="152" t="s">
        <v>20</v>
      </c>
      <c r="H175" s="153">
        <v>201607</v>
      </c>
      <c r="I175" s="154">
        <v>-47.73</v>
      </c>
      <c r="J175" s="144">
        <f t="shared" si="8"/>
        <v>4</v>
      </c>
      <c r="K175" s="155">
        <v>1.4833299999999999E-3</v>
      </c>
      <c r="L175" s="154">
        <f t="shared" si="9"/>
        <v>-0.28000000000000003</v>
      </c>
      <c r="M175" s="154">
        <f t="shared" si="10"/>
        <v>-0.85</v>
      </c>
      <c r="N175" s="145"/>
    </row>
    <row r="176" spans="1:14">
      <c r="A176" s="151" t="s">
        <v>626</v>
      </c>
      <c r="B176" s="152" t="s">
        <v>1496</v>
      </c>
      <c r="C176" s="152" t="s">
        <v>1497</v>
      </c>
      <c r="D176" s="151" t="s">
        <v>1498</v>
      </c>
      <c r="E176" s="152" t="s">
        <v>164</v>
      </c>
      <c r="F176" s="151" t="s">
        <v>1600</v>
      </c>
      <c r="G176" s="152" t="s">
        <v>20</v>
      </c>
      <c r="H176" s="153">
        <v>201607</v>
      </c>
      <c r="I176" s="154">
        <v>-7</v>
      </c>
      <c r="J176" s="144">
        <f t="shared" si="8"/>
        <v>4</v>
      </c>
      <c r="K176" s="155">
        <v>1.4833299999999999E-3</v>
      </c>
      <c r="L176" s="154">
        <f t="shared" si="9"/>
        <v>-0.04</v>
      </c>
      <c r="M176" s="154">
        <f t="shared" si="10"/>
        <v>-0.12</v>
      </c>
      <c r="N176" s="145"/>
    </row>
    <row r="177" spans="1:14">
      <c r="A177" s="151" t="s">
        <v>626</v>
      </c>
      <c r="B177" s="152" t="s">
        <v>1545</v>
      </c>
      <c r="C177" s="152" t="s">
        <v>1546</v>
      </c>
      <c r="D177" s="151" t="s">
        <v>1547</v>
      </c>
      <c r="E177" s="152" t="s">
        <v>164</v>
      </c>
      <c r="F177" s="151" t="s">
        <v>1600</v>
      </c>
      <c r="G177" s="152" t="s">
        <v>20</v>
      </c>
      <c r="H177" s="153">
        <v>201607</v>
      </c>
      <c r="I177" s="154">
        <v>-1.32</v>
      </c>
      <c r="J177" s="144">
        <f t="shared" si="8"/>
        <v>4</v>
      </c>
      <c r="K177" s="155">
        <v>1.4833299999999999E-3</v>
      </c>
      <c r="L177" s="154">
        <f t="shared" si="9"/>
        <v>-0.01</v>
      </c>
      <c r="M177" s="154">
        <f t="shared" si="10"/>
        <v>-0.02</v>
      </c>
      <c r="N177" s="145"/>
    </row>
    <row r="178" spans="1:14">
      <c r="A178" s="151" t="s">
        <v>14</v>
      </c>
      <c r="B178" s="160" t="s">
        <v>1681</v>
      </c>
      <c r="C178" s="152" t="s">
        <v>2001</v>
      </c>
      <c r="D178" s="151" t="s">
        <v>2002</v>
      </c>
      <c r="E178" s="152" t="s">
        <v>164</v>
      </c>
      <c r="F178" s="151" t="s">
        <v>1600</v>
      </c>
      <c r="G178" s="152" t="s">
        <v>20</v>
      </c>
      <c r="H178" s="150">
        <v>201607</v>
      </c>
      <c r="I178" s="154">
        <v>0.31</v>
      </c>
      <c r="J178" s="144">
        <f t="shared" si="8"/>
        <v>4</v>
      </c>
      <c r="K178" s="155">
        <v>2.23333E-3</v>
      </c>
      <c r="L178" s="154">
        <f t="shared" si="9"/>
        <v>0</v>
      </c>
      <c r="M178" s="154">
        <f t="shared" si="10"/>
        <v>0.01</v>
      </c>
      <c r="N178" s="145"/>
    </row>
    <row r="179" spans="1:14">
      <c r="A179" s="151" t="s">
        <v>21</v>
      </c>
      <c r="B179" s="152" t="s">
        <v>1760</v>
      </c>
      <c r="C179" s="152" t="s">
        <v>1761</v>
      </c>
      <c r="D179" s="151" t="s">
        <v>1388</v>
      </c>
      <c r="E179" s="152" t="s">
        <v>164</v>
      </c>
      <c r="F179" s="151" t="s">
        <v>1600</v>
      </c>
      <c r="G179" s="152" t="s">
        <v>20</v>
      </c>
      <c r="H179" s="153">
        <v>201607</v>
      </c>
      <c r="I179" s="154">
        <v>1.53</v>
      </c>
      <c r="J179" s="144">
        <f t="shared" si="8"/>
        <v>4</v>
      </c>
      <c r="K179" s="155">
        <v>1.4833299999999999E-3</v>
      </c>
      <c r="L179" s="154">
        <f t="shared" si="9"/>
        <v>0.01</v>
      </c>
      <c r="M179" s="154">
        <f t="shared" si="10"/>
        <v>0.03</v>
      </c>
      <c r="N179" s="145"/>
    </row>
    <row r="180" spans="1:14">
      <c r="A180" s="151" t="s">
        <v>1942</v>
      </c>
      <c r="B180" s="160" t="s">
        <v>1681</v>
      </c>
      <c r="C180" s="152" t="s">
        <v>1997</v>
      </c>
      <c r="D180" s="151" t="s">
        <v>1998</v>
      </c>
      <c r="E180" s="152" t="s">
        <v>164</v>
      </c>
      <c r="F180" s="151" t="s">
        <v>1600</v>
      </c>
      <c r="G180" s="152" t="s">
        <v>20</v>
      </c>
      <c r="H180" s="150">
        <v>201607</v>
      </c>
      <c r="I180" s="154">
        <v>1.63</v>
      </c>
      <c r="J180" s="144">
        <f t="shared" si="8"/>
        <v>4</v>
      </c>
      <c r="K180" s="155">
        <v>2.23333E-3</v>
      </c>
      <c r="L180" s="154">
        <f t="shared" si="9"/>
        <v>0.01</v>
      </c>
      <c r="M180" s="154">
        <f t="shared" si="10"/>
        <v>0.04</v>
      </c>
      <c r="N180" s="145"/>
    </row>
    <row r="181" spans="1:14">
      <c r="A181" s="151" t="s">
        <v>626</v>
      </c>
      <c r="B181" s="152" t="s">
        <v>1142</v>
      </c>
      <c r="C181" s="152" t="s">
        <v>1143</v>
      </c>
      <c r="D181" s="151" t="s">
        <v>1144</v>
      </c>
      <c r="E181" s="152" t="s">
        <v>164</v>
      </c>
      <c r="F181" s="151" t="s">
        <v>1600</v>
      </c>
      <c r="G181" s="152" t="s">
        <v>20</v>
      </c>
      <c r="H181" s="153">
        <v>201607</v>
      </c>
      <c r="I181" s="154">
        <v>2.63</v>
      </c>
      <c r="J181" s="144">
        <f t="shared" si="8"/>
        <v>4</v>
      </c>
      <c r="K181" s="155">
        <v>1.4833299999999999E-3</v>
      </c>
      <c r="L181" s="154">
        <f t="shared" si="9"/>
        <v>0.02</v>
      </c>
      <c r="M181" s="154">
        <f t="shared" si="10"/>
        <v>0.05</v>
      </c>
      <c r="N181" s="145"/>
    </row>
    <row r="182" spans="1:14">
      <c r="A182" s="151" t="s">
        <v>626</v>
      </c>
      <c r="B182" s="152" t="s">
        <v>1548</v>
      </c>
      <c r="C182" s="152" t="s">
        <v>1549</v>
      </c>
      <c r="D182" s="151" t="s">
        <v>1550</v>
      </c>
      <c r="E182" s="152" t="s">
        <v>164</v>
      </c>
      <c r="F182" s="151" t="s">
        <v>1600</v>
      </c>
      <c r="G182" s="152" t="s">
        <v>20</v>
      </c>
      <c r="H182" s="153">
        <v>201607</v>
      </c>
      <c r="I182" s="154">
        <v>2.69</v>
      </c>
      <c r="J182" s="144">
        <f t="shared" si="8"/>
        <v>4</v>
      </c>
      <c r="K182" s="155">
        <v>1.4833299999999999E-3</v>
      </c>
      <c r="L182" s="154">
        <f t="shared" si="9"/>
        <v>0.02</v>
      </c>
      <c r="M182" s="154">
        <f t="shared" si="10"/>
        <v>0.05</v>
      </c>
      <c r="N182" s="145"/>
    </row>
    <row r="183" spans="1:14">
      <c r="A183" s="151" t="s">
        <v>626</v>
      </c>
      <c r="B183" s="152" t="s">
        <v>1638</v>
      </c>
      <c r="C183" s="152" t="s">
        <v>1639</v>
      </c>
      <c r="D183" s="151" t="s">
        <v>1640</v>
      </c>
      <c r="E183" s="152" t="s">
        <v>164</v>
      </c>
      <c r="F183" s="151" t="s">
        <v>1600</v>
      </c>
      <c r="G183" s="152" t="s">
        <v>20</v>
      </c>
      <c r="H183" s="153">
        <v>201607</v>
      </c>
      <c r="I183" s="154">
        <v>2.77</v>
      </c>
      <c r="J183" s="144">
        <f t="shared" si="8"/>
        <v>4</v>
      </c>
      <c r="K183" s="155">
        <v>1.4833299999999999E-3</v>
      </c>
      <c r="L183" s="154">
        <f t="shared" si="9"/>
        <v>0.02</v>
      </c>
      <c r="M183" s="154">
        <f t="shared" si="10"/>
        <v>0.05</v>
      </c>
      <c r="N183" s="145"/>
    </row>
    <row r="184" spans="1:14">
      <c r="A184" s="151" t="s">
        <v>626</v>
      </c>
      <c r="B184" s="152" t="s">
        <v>1597</v>
      </c>
      <c r="C184" s="152" t="s">
        <v>1598</v>
      </c>
      <c r="D184" s="151" t="s">
        <v>1599</v>
      </c>
      <c r="E184" s="152" t="s">
        <v>164</v>
      </c>
      <c r="F184" s="151" t="s">
        <v>1600</v>
      </c>
      <c r="G184" s="152" t="s">
        <v>20</v>
      </c>
      <c r="H184" s="153">
        <v>201607</v>
      </c>
      <c r="I184" s="154">
        <v>2.92</v>
      </c>
      <c r="J184" s="144">
        <f t="shared" si="8"/>
        <v>4</v>
      </c>
      <c r="K184" s="155">
        <v>1.4833299999999999E-3</v>
      </c>
      <c r="L184" s="154">
        <f t="shared" si="9"/>
        <v>0.02</v>
      </c>
      <c r="M184" s="154">
        <f t="shared" si="10"/>
        <v>0.05</v>
      </c>
      <c r="N184" s="145"/>
    </row>
    <row r="185" spans="1:14">
      <c r="A185" s="151" t="s">
        <v>14</v>
      </c>
      <c r="B185" s="160" t="s">
        <v>1681</v>
      </c>
      <c r="C185" s="152" t="s">
        <v>2003</v>
      </c>
      <c r="D185" s="151" t="s">
        <v>2004</v>
      </c>
      <c r="E185" s="152" t="s">
        <v>164</v>
      </c>
      <c r="F185" s="151" t="s">
        <v>1600</v>
      </c>
      <c r="G185" s="152" t="s">
        <v>20</v>
      </c>
      <c r="H185" s="150">
        <v>201607</v>
      </c>
      <c r="I185" s="154">
        <v>8.16</v>
      </c>
      <c r="J185" s="144">
        <f t="shared" si="8"/>
        <v>4</v>
      </c>
      <c r="K185" s="155">
        <v>2.23333E-3</v>
      </c>
      <c r="L185" s="154">
        <f t="shared" si="9"/>
        <v>7.0000000000000007E-2</v>
      </c>
      <c r="M185" s="154">
        <f t="shared" si="10"/>
        <v>0.22</v>
      </c>
      <c r="N185" s="145"/>
    </row>
    <row r="186" spans="1:14">
      <c r="A186" s="151" t="s">
        <v>21</v>
      </c>
      <c r="B186" s="160" t="s">
        <v>1681</v>
      </c>
      <c r="C186" s="152" t="s">
        <v>2003</v>
      </c>
      <c r="D186" s="151" t="s">
        <v>2004</v>
      </c>
      <c r="E186" s="152" t="s">
        <v>164</v>
      </c>
      <c r="F186" s="151" t="s">
        <v>1600</v>
      </c>
      <c r="G186" s="152" t="s">
        <v>20</v>
      </c>
      <c r="H186" s="153">
        <v>201607</v>
      </c>
      <c r="I186" s="154">
        <v>8.23</v>
      </c>
      <c r="J186" s="144">
        <f t="shared" si="8"/>
        <v>4</v>
      </c>
      <c r="K186" s="155">
        <v>1.4833299999999999E-3</v>
      </c>
      <c r="L186" s="154">
        <f t="shared" si="9"/>
        <v>0.05</v>
      </c>
      <c r="M186" s="154">
        <f t="shared" si="10"/>
        <v>0.15</v>
      </c>
      <c r="N186" s="145"/>
    </row>
    <row r="187" spans="1:14">
      <c r="A187" s="151" t="s">
        <v>626</v>
      </c>
      <c r="B187" s="152" t="s">
        <v>1169</v>
      </c>
      <c r="C187" s="152" t="s">
        <v>1170</v>
      </c>
      <c r="D187" s="151" t="s">
        <v>1171</v>
      </c>
      <c r="E187" s="152" t="s">
        <v>164</v>
      </c>
      <c r="F187" s="151" t="s">
        <v>1600</v>
      </c>
      <c r="G187" s="152" t="s">
        <v>20</v>
      </c>
      <c r="H187" s="153">
        <v>201607</v>
      </c>
      <c r="I187" s="154">
        <v>17.86</v>
      </c>
      <c r="J187" s="144">
        <f t="shared" ref="J187:J250" si="11">HLOOKUP(H187,$Q$2:$Z$3,2)</f>
        <v>4</v>
      </c>
      <c r="K187" s="155">
        <v>1.4833299999999999E-3</v>
      </c>
      <c r="L187" s="154">
        <f t="shared" ref="L187:L250" si="12">ROUND(I187*J187*K187,2)</f>
        <v>0.11</v>
      </c>
      <c r="M187" s="154">
        <f t="shared" ref="M187:M250" si="13">ROUND(I187*K187*12,2)</f>
        <v>0.32</v>
      </c>
      <c r="N187" s="145"/>
    </row>
    <row r="188" spans="1:14">
      <c r="A188" s="151" t="s">
        <v>14</v>
      </c>
      <c r="B188" s="160" t="s">
        <v>1681</v>
      </c>
      <c r="C188" s="152" t="s">
        <v>2015</v>
      </c>
      <c r="D188" s="151" t="s">
        <v>2016</v>
      </c>
      <c r="E188" s="152" t="s">
        <v>164</v>
      </c>
      <c r="F188" s="151" t="s">
        <v>1600</v>
      </c>
      <c r="G188" s="152" t="s">
        <v>20</v>
      </c>
      <c r="H188" s="150">
        <v>201607</v>
      </c>
      <c r="I188" s="154">
        <v>25.09</v>
      </c>
      <c r="J188" s="144">
        <f t="shared" si="11"/>
        <v>4</v>
      </c>
      <c r="K188" s="155">
        <v>2.23333E-3</v>
      </c>
      <c r="L188" s="154">
        <f t="shared" si="12"/>
        <v>0.22</v>
      </c>
      <c r="M188" s="154">
        <f t="shared" si="13"/>
        <v>0.67</v>
      </c>
      <c r="N188" s="145"/>
    </row>
    <row r="189" spans="1:14">
      <c r="A189" s="151" t="s">
        <v>14</v>
      </c>
      <c r="B189" s="160" t="s">
        <v>1681</v>
      </c>
      <c r="C189" s="152" t="s">
        <v>2087</v>
      </c>
      <c r="D189" s="151" t="s">
        <v>2088</v>
      </c>
      <c r="E189" s="152" t="s">
        <v>164</v>
      </c>
      <c r="F189" s="151" t="s">
        <v>1600</v>
      </c>
      <c r="G189" s="152" t="s">
        <v>20</v>
      </c>
      <c r="H189" s="150">
        <v>201607</v>
      </c>
      <c r="I189" s="154">
        <v>34.39</v>
      </c>
      <c r="J189" s="144">
        <f t="shared" si="11"/>
        <v>4</v>
      </c>
      <c r="K189" s="155">
        <v>2.23333E-3</v>
      </c>
      <c r="L189" s="154">
        <f t="shared" si="12"/>
        <v>0.31</v>
      </c>
      <c r="M189" s="154">
        <f t="shared" si="13"/>
        <v>0.92</v>
      </c>
      <c r="N189" s="145"/>
    </row>
    <row r="190" spans="1:14">
      <c r="A190" s="151" t="s">
        <v>626</v>
      </c>
      <c r="B190" s="160" t="s">
        <v>1681</v>
      </c>
      <c r="C190" s="152" t="s">
        <v>2089</v>
      </c>
      <c r="D190" s="151" t="s">
        <v>2090</v>
      </c>
      <c r="E190" s="152" t="s">
        <v>164</v>
      </c>
      <c r="F190" s="151" t="s">
        <v>1600</v>
      </c>
      <c r="G190" s="152" t="s">
        <v>20</v>
      </c>
      <c r="H190" s="153">
        <v>201607</v>
      </c>
      <c r="I190" s="154">
        <v>37.07</v>
      </c>
      <c r="J190" s="144">
        <f t="shared" si="11"/>
        <v>4</v>
      </c>
      <c r="K190" s="155">
        <v>1.4833299999999999E-3</v>
      </c>
      <c r="L190" s="154">
        <f t="shared" si="12"/>
        <v>0.22</v>
      </c>
      <c r="M190" s="154">
        <f t="shared" si="13"/>
        <v>0.66</v>
      </c>
      <c r="N190" s="145"/>
    </row>
    <row r="191" spans="1:14">
      <c r="A191" s="151" t="s">
        <v>14</v>
      </c>
      <c r="B191" s="160" t="s">
        <v>1681</v>
      </c>
      <c r="C191" s="152" t="s">
        <v>2013</v>
      </c>
      <c r="D191" s="151" t="s">
        <v>2014</v>
      </c>
      <c r="E191" s="152" t="s">
        <v>164</v>
      </c>
      <c r="F191" s="151" t="s">
        <v>1600</v>
      </c>
      <c r="G191" s="152" t="s">
        <v>20</v>
      </c>
      <c r="H191" s="150">
        <v>201607</v>
      </c>
      <c r="I191" s="154">
        <v>57.29</v>
      </c>
      <c r="J191" s="144">
        <f t="shared" si="11"/>
        <v>4</v>
      </c>
      <c r="K191" s="155">
        <v>2.23333E-3</v>
      </c>
      <c r="L191" s="154">
        <f t="shared" si="12"/>
        <v>0.51</v>
      </c>
      <c r="M191" s="154">
        <f t="shared" si="13"/>
        <v>1.54</v>
      </c>
      <c r="N191" s="145"/>
    </row>
    <row r="192" spans="1:14">
      <c r="A192" s="151" t="s">
        <v>626</v>
      </c>
      <c r="B192" s="152" t="s">
        <v>1760</v>
      </c>
      <c r="C192" s="152" t="s">
        <v>1761</v>
      </c>
      <c r="D192" s="151" t="s">
        <v>1388</v>
      </c>
      <c r="E192" s="152" t="s">
        <v>164</v>
      </c>
      <c r="F192" s="151" t="s">
        <v>1600</v>
      </c>
      <c r="G192" s="152" t="s">
        <v>20</v>
      </c>
      <c r="H192" s="153">
        <v>201607</v>
      </c>
      <c r="I192" s="154">
        <v>66.47</v>
      </c>
      <c r="J192" s="144">
        <f t="shared" si="11"/>
        <v>4</v>
      </c>
      <c r="K192" s="155">
        <v>1.4833299999999999E-3</v>
      </c>
      <c r="L192" s="154">
        <f t="shared" si="12"/>
        <v>0.39</v>
      </c>
      <c r="M192" s="154">
        <f t="shared" si="13"/>
        <v>1.18</v>
      </c>
      <c r="N192" s="145"/>
    </row>
    <row r="193" spans="1:14">
      <c r="A193" s="151" t="s">
        <v>626</v>
      </c>
      <c r="B193" s="160" t="s">
        <v>1681</v>
      </c>
      <c r="C193" s="152" t="s">
        <v>2095</v>
      </c>
      <c r="D193" s="151" t="s">
        <v>2096</v>
      </c>
      <c r="E193" s="152" t="s">
        <v>164</v>
      </c>
      <c r="F193" s="151" t="s">
        <v>1600</v>
      </c>
      <c r="G193" s="152" t="s">
        <v>20</v>
      </c>
      <c r="H193" s="153">
        <v>201607</v>
      </c>
      <c r="I193" s="154">
        <v>69.98</v>
      </c>
      <c r="J193" s="144">
        <f t="shared" si="11"/>
        <v>4</v>
      </c>
      <c r="K193" s="155">
        <v>1.4833299999999999E-3</v>
      </c>
      <c r="L193" s="154">
        <f t="shared" si="12"/>
        <v>0.42</v>
      </c>
      <c r="M193" s="154">
        <f t="shared" si="13"/>
        <v>1.25</v>
      </c>
      <c r="N193" s="145"/>
    </row>
    <row r="194" spans="1:14">
      <c r="A194" s="151" t="s">
        <v>626</v>
      </c>
      <c r="B194" s="160" t="s">
        <v>1681</v>
      </c>
      <c r="C194" s="152" t="s">
        <v>2003</v>
      </c>
      <c r="D194" s="151" t="s">
        <v>2004</v>
      </c>
      <c r="E194" s="152" t="s">
        <v>164</v>
      </c>
      <c r="F194" s="151" t="s">
        <v>1600</v>
      </c>
      <c r="G194" s="152" t="s">
        <v>20</v>
      </c>
      <c r="H194" s="153">
        <v>201607</v>
      </c>
      <c r="I194" s="154">
        <v>169.48</v>
      </c>
      <c r="J194" s="144">
        <f t="shared" si="11"/>
        <v>4</v>
      </c>
      <c r="K194" s="155">
        <v>1.4833299999999999E-3</v>
      </c>
      <c r="L194" s="154">
        <f t="shared" si="12"/>
        <v>1.01</v>
      </c>
      <c r="M194" s="154">
        <f t="shared" si="13"/>
        <v>3.02</v>
      </c>
      <c r="N194" s="145"/>
    </row>
    <row r="195" spans="1:14">
      <c r="A195" s="151" t="s">
        <v>626</v>
      </c>
      <c r="B195" s="152" t="s">
        <v>1736</v>
      </c>
      <c r="C195" s="152" t="s">
        <v>1737</v>
      </c>
      <c r="D195" s="151" t="s">
        <v>1738</v>
      </c>
      <c r="E195" s="152" t="s">
        <v>164</v>
      </c>
      <c r="F195" s="151" t="s">
        <v>1600</v>
      </c>
      <c r="G195" s="152" t="s">
        <v>20</v>
      </c>
      <c r="H195" s="153">
        <v>201607</v>
      </c>
      <c r="I195" s="154">
        <v>213.58</v>
      </c>
      <c r="J195" s="144">
        <f t="shared" si="11"/>
        <v>4</v>
      </c>
      <c r="K195" s="155">
        <v>1.4833299999999999E-3</v>
      </c>
      <c r="L195" s="154">
        <f t="shared" si="12"/>
        <v>1.27</v>
      </c>
      <c r="M195" s="154">
        <f t="shared" si="13"/>
        <v>3.8</v>
      </c>
      <c r="N195" s="145"/>
    </row>
    <row r="196" spans="1:14">
      <c r="A196" s="151" t="s">
        <v>626</v>
      </c>
      <c r="B196" s="160" t="s">
        <v>1681</v>
      </c>
      <c r="C196" s="152" t="s">
        <v>2013</v>
      </c>
      <c r="D196" s="151" t="s">
        <v>2014</v>
      </c>
      <c r="E196" s="152" t="s">
        <v>164</v>
      </c>
      <c r="F196" s="151" t="s">
        <v>1600</v>
      </c>
      <c r="G196" s="152" t="s">
        <v>20</v>
      </c>
      <c r="H196" s="153">
        <v>201607</v>
      </c>
      <c r="I196" s="154">
        <v>219.15</v>
      </c>
      <c r="J196" s="144">
        <f t="shared" si="11"/>
        <v>4</v>
      </c>
      <c r="K196" s="155">
        <v>1.4833299999999999E-3</v>
      </c>
      <c r="L196" s="154">
        <f t="shared" si="12"/>
        <v>1.3</v>
      </c>
      <c r="M196" s="154">
        <f t="shared" si="13"/>
        <v>3.9</v>
      </c>
      <c r="N196" s="145"/>
    </row>
    <row r="197" spans="1:14">
      <c r="A197" s="151" t="s">
        <v>626</v>
      </c>
      <c r="B197" s="160" t="s">
        <v>1681</v>
      </c>
      <c r="C197" s="152" t="s">
        <v>2001</v>
      </c>
      <c r="D197" s="151" t="s">
        <v>2002</v>
      </c>
      <c r="E197" s="152" t="s">
        <v>164</v>
      </c>
      <c r="F197" s="151" t="s">
        <v>1600</v>
      </c>
      <c r="G197" s="152" t="s">
        <v>20</v>
      </c>
      <c r="H197" s="153">
        <v>201607</v>
      </c>
      <c r="I197" s="154">
        <v>226.51</v>
      </c>
      <c r="J197" s="144">
        <f t="shared" si="11"/>
        <v>4</v>
      </c>
      <c r="K197" s="155">
        <v>1.4833299999999999E-3</v>
      </c>
      <c r="L197" s="154">
        <f t="shared" si="12"/>
        <v>1.34</v>
      </c>
      <c r="M197" s="154">
        <f t="shared" si="13"/>
        <v>4.03</v>
      </c>
      <c r="N197" s="145"/>
    </row>
    <row r="198" spans="1:14">
      <c r="A198" s="151" t="s">
        <v>626</v>
      </c>
      <c r="B198" s="160" t="s">
        <v>1681</v>
      </c>
      <c r="C198" s="152" t="s">
        <v>2015</v>
      </c>
      <c r="D198" s="151" t="s">
        <v>2016</v>
      </c>
      <c r="E198" s="152" t="s">
        <v>164</v>
      </c>
      <c r="F198" s="151" t="s">
        <v>1600</v>
      </c>
      <c r="G198" s="152" t="s">
        <v>20</v>
      </c>
      <c r="H198" s="153">
        <v>201607</v>
      </c>
      <c r="I198" s="154">
        <v>279.58999999999997</v>
      </c>
      <c r="J198" s="144">
        <f t="shared" si="11"/>
        <v>4</v>
      </c>
      <c r="K198" s="155">
        <v>1.4833299999999999E-3</v>
      </c>
      <c r="L198" s="154">
        <f t="shared" si="12"/>
        <v>1.66</v>
      </c>
      <c r="M198" s="154">
        <f t="shared" si="13"/>
        <v>4.9800000000000004</v>
      </c>
      <c r="N198" s="145"/>
    </row>
    <row r="199" spans="1:14">
      <c r="A199" s="151" t="s">
        <v>626</v>
      </c>
      <c r="B199" s="160" t="s">
        <v>1681</v>
      </c>
      <c r="C199" s="152" t="s">
        <v>2073</v>
      </c>
      <c r="D199" s="151" t="s">
        <v>2074</v>
      </c>
      <c r="E199" s="152" t="s">
        <v>164</v>
      </c>
      <c r="F199" s="151" t="s">
        <v>1600</v>
      </c>
      <c r="G199" s="152" t="s">
        <v>20</v>
      </c>
      <c r="H199" s="153">
        <v>201607</v>
      </c>
      <c r="I199" s="154">
        <v>373.98</v>
      </c>
      <c r="J199" s="144">
        <f t="shared" si="11"/>
        <v>4</v>
      </c>
      <c r="K199" s="155">
        <v>1.4833299999999999E-3</v>
      </c>
      <c r="L199" s="154">
        <f t="shared" si="12"/>
        <v>2.2200000000000002</v>
      </c>
      <c r="M199" s="154">
        <f t="shared" si="13"/>
        <v>6.66</v>
      </c>
      <c r="N199" s="145"/>
    </row>
    <row r="200" spans="1:14">
      <c r="A200" s="151" t="s">
        <v>626</v>
      </c>
      <c r="B200" s="160" t="s">
        <v>1681</v>
      </c>
      <c r="C200" s="152" t="s">
        <v>2085</v>
      </c>
      <c r="D200" s="151" t="s">
        <v>2086</v>
      </c>
      <c r="E200" s="152" t="s">
        <v>164</v>
      </c>
      <c r="F200" s="151" t="s">
        <v>1600</v>
      </c>
      <c r="G200" s="152" t="s">
        <v>20</v>
      </c>
      <c r="H200" s="153">
        <v>201607</v>
      </c>
      <c r="I200" s="154">
        <v>385.58</v>
      </c>
      <c r="J200" s="144">
        <f t="shared" si="11"/>
        <v>4</v>
      </c>
      <c r="K200" s="155">
        <v>1.4833299999999999E-3</v>
      </c>
      <c r="L200" s="154">
        <f t="shared" si="12"/>
        <v>2.29</v>
      </c>
      <c r="M200" s="154">
        <f t="shared" si="13"/>
        <v>6.86</v>
      </c>
      <c r="N200" s="145"/>
    </row>
    <row r="201" spans="1:14">
      <c r="A201" s="151" t="s">
        <v>14</v>
      </c>
      <c r="B201" s="160" t="s">
        <v>1681</v>
      </c>
      <c r="C201" s="152" t="s">
        <v>2069</v>
      </c>
      <c r="D201" s="151" t="s">
        <v>2070</v>
      </c>
      <c r="E201" s="152" t="s">
        <v>164</v>
      </c>
      <c r="F201" s="151" t="s">
        <v>1600</v>
      </c>
      <c r="G201" s="152" t="s">
        <v>20</v>
      </c>
      <c r="H201" s="150">
        <v>201607</v>
      </c>
      <c r="I201" s="154">
        <v>389.53</v>
      </c>
      <c r="J201" s="144">
        <f t="shared" si="11"/>
        <v>4</v>
      </c>
      <c r="K201" s="155">
        <v>2.23333E-3</v>
      </c>
      <c r="L201" s="154">
        <f t="shared" si="12"/>
        <v>3.48</v>
      </c>
      <c r="M201" s="154">
        <f t="shared" si="13"/>
        <v>10.44</v>
      </c>
      <c r="N201" s="145"/>
    </row>
    <row r="202" spans="1:14">
      <c r="A202" s="151" t="s">
        <v>626</v>
      </c>
      <c r="B202" s="160" t="s">
        <v>1681</v>
      </c>
      <c r="C202" s="152" t="s">
        <v>2087</v>
      </c>
      <c r="D202" s="151" t="s">
        <v>2088</v>
      </c>
      <c r="E202" s="152" t="s">
        <v>164</v>
      </c>
      <c r="F202" s="151" t="s">
        <v>1600</v>
      </c>
      <c r="G202" s="152" t="s">
        <v>20</v>
      </c>
      <c r="H202" s="153">
        <v>201607</v>
      </c>
      <c r="I202" s="154">
        <v>455.32</v>
      </c>
      <c r="J202" s="144">
        <f t="shared" si="11"/>
        <v>4</v>
      </c>
      <c r="K202" s="155">
        <v>1.4833299999999999E-3</v>
      </c>
      <c r="L202" s="154">
        <f t="shared" si="12"/>
        <v>2.7</v>
      </c>
      <c r="M202" s="154">
        <f t="shared" si="13"/>
        <v>8.1</v>
      </c>
      <c r="N202" s="145"/>
    </row>
    <row r="203" spans="1:14">
      <c r="A203" s="151" t="s">
        <v>626</v>
      </c>
      <c r="B203" s="152" t="s">
        <v>1739</v>
      </c>
      <c r="C203" s="152" t="s">
        <v>1740</v>
      </c>
      <c r="D203" s="151" t="s">
        <v>1741</v>
      </c>
      <c r="E203" s="152" t="s">
        <v>164</v>
      </c>
      <c r="F203" s="151" t="s">
        <v>1600</v>
      </c>
      <c r="G203" s="152" t="s">
        <v>20</v>
      </c>
      <c r="H203" s="153">
        <v>201607</v>
      </c>
      <c r="I203" s="154">
        <v>592.30999999999995</v>
      </c>
      <c r="J203" s="144">
        <f t="shared" si="11"/>
        <v>4</v>
      </c>
      <c r="K203" s="155">
        <v>1.4833299999999999E-3</v>
      </c>
      <c r="L203" s="154">
        <f t="shared" si="12"/>
        <v>3.51</v>
      </c>
      <c r="M203" s="154">
        <f t="shared" si="13"/>
        <v>10.54</v>
      </c>
      <c r="N203" s="145"/>
    </row>
    <row r="204" spans="1:14">
      <c r="A204" s="151" t="s">
        <v>626</v>
      </c>
      <c r="B204" s="160" t="s">
        <v>1681</v>
      </c>
      <c r="C204" s="152" t="s">
        <v>1997</v>
      </c>
      <c r="D204" s="151" t="s">
        <v>1998</v>
      </c>
      <c r="E204" s="152" t="s">
        <v>164</v>
      </c>
      <c r="F204" s="151" t="s">
        <v>1600</v>
      </c>
      <c r="G204" s="152" t="s">
        <v>20</v>
      </c>
      <c r="H204" s="153">
        <v>201607</v>
      </c>
      <c r="I204" s="154">
        <v>716.8</v>
      </c>
      <c r="J204" s="144">
        <f t="shared" si="11"/>
        <v>4</v>
      </c>
      <c r="K204" s="155">
        <v>1.4833299999999999E-3</v>
      </c>
      <c r="L204" s="154">
        <f t="shared" si="12"/>
        <v>4.25</v>
      </c>
      <c r="M204" s="154">
        <f t="shared" si="13"/>
        <v>12.76</v>
      </c>
      <c r="N204" s="145"/>
    </row>
    <row r="205" spans="1:14">
      <c r="A205" s="161" t="s">
        <v>626</v>
      </c>
      <c r="B205" s="160" t="s">
        <v>1681</v>
      </c>
      <c r="C205" s="160" t="s">
        <v>2069</v>
      </c>
      <c r="D205" s="161" t="s">
        <v>2070</v>
      </c>
      <c r="E205" s="160" t="s">
        <v>164</v>
      </c>
      <c r="F205" s="161" t="s">
        <v>1600</v>
      </c>
      <c r="G205" s="160" t="s">
        <v>20</v>
      </c>
      <c r="H205" s="103">
        <v>201607</v>
      </c>
      <c r="I205" s="154">
        <v>1825.59</v>
      </c>
      <c r="J205" s="144">
        <f t="shared" si="11"/>
        <v>4</v>
      </c>
      <c r="K205" s="155">
        <v>1.4833299999999999E-3</v>
      </c>
      <c r="L205" s="154">
        <f t="shared" si="12"/>
        <v>10.83</v>
      </c>
      <c r="M205" s="154">
        <f t="shared" si="13"/>
        <v>32.5</v>
      </c>
      <c r="N205" s="145"/>
    </row>
    <row r="206" spans="1:14">
      <c r="A206" s="161" t="s">
        <v>626</v>
      </c>
      <c r="B206" s="160" t="s">
        <v>1797</v>
      </c>
      <c r="C206" s="160" t="s">
        <v>1798</v>
      </c>
      <c r="D206" s="161" t="s">
        <v>1799</v>
      </c>
      <c r="E206" s="160" t="s">
        <v>164</v>
      </c>
      <c r="F206" s="161" t="s">
        <v>1600</v>
      </c>
      <c r="G206" s="160" t="s">
        <v>20</v>
      </c>
      <c r="H206" s="103">
        <v>201607</v>
      </c>
      <c r="I206" s="154">
        <v>1858.31</v>
      </c>
      <c r="J206" s="144">
        <f t="shared" si="11"/>
        <v>4</v>
      </c>
      <c r="K206" s="155">
        <v>1.4833299999999999E-3</v>
      </c>
      <c r="L206" s="154">
        <f t="shared" si="12"/>
        <v>11.03</v>
      </c>
      <c r="M206" s="154">
        <f t="shared" si="13"/>
        <v>33.08</v>
      </c>
      <c r="N206" s="145"/>
    </row>
    <row r="207" spans="1:14">
      <c r="A207" s="161" t="s">
        <v>626</v>
      </c>
      <c r="B207" s="160" t="s">
        <v>1803</v>
      </c>
      <c r="C207" s="160" t="s">
        <v>1804</v>
      </c>
      <c r="D207" s="161" t="s">
        <v>1805</v>
      </c>
      <c r="E207" s="160" t="s">
        <v>164</v>
      </c>
      <c r="F207" s="161" t="s">
        <v>1600</v>
      </c>
      <c r="G207" s="160" t="s">
        <v>20</v>
      </c>
      <c r="H207" s="103">
        <v>201607</v>
      </c>
      <c r="I207" s="154">
        <v>1973.43</v>
      </c>
      <c r="J207" s="144">
        <f t="shared" si="11"/>
        <v>4</v>
      </c>
      <c r="K207" s="155">
        <v>1.4833299999999999E-3</v>
      </c>
      <c r="L207" s="154">
        <f t="shared" si="12"/>
        <v>11.71</v>
      </c>
      <c r="M207" s="154">
        <f t="shared" si="13"/>
        <v>35.130000000000003</v>
      </c>
      <c r="N207" s="145"/>
    </row>
    <row r="208" spans="1:14">
      <c r="A208" s="161" t="s">
        <v>14</v>
      </c>
      <c r="B208" s="160" t="s">
        <v>1681</v>
      </c>
      <c r="C208" s="160" t="s">
        <v>2111</v>
      </c>
      <c r="D208" s="161" t="s">
        <v>2112</v>
      </c>
      <c r="E208" s="160" t="s">
        <v>164</v>
      </c>
      <c r="F208" s="161" t="s">
        <v>1600</v>
      </c>
      <c r="G208" s="160" t="s">
        <v>20</v>
      </c>
      <c r="H208" s="146">
        <v>201607</v>
      </c>
      <c r="I208" s="154">
        <v>3481.71</v>
      </c>
      <c r="J208" s="144">
        <f t="shared" si="11"/>
        <v>4</v>
      </c>
      <c r="K208" s="155">
        <v>2.23333E-3</v>
      </c>
      <c r="L208" s="154">
        <f t="shared" si="12"/>
        <v>31.1</v>
      </c>
      <c r="M208" s="154">
        <f t="shared" si="13"/>
        <v>93.31</v>
      </c>
      <c r="N208" s="145"/>
    </row>
    <row r="209" spans="1:14">
      <c r="A209" s="161" t="s">
        <v>626</v>
      </c>
      <c r="B209" s="160" t="s">
        <v>1681</v>
      </c>
      <c r="C209" s="160" t="s">
        <v>2111</v>
      </c>
      <c r="D209" s="161" t="s">
        <v>2112</v>
      </c>
      <c r="E209" s="160" t="s">
        <v>164</v>
      </c>
      <c r="F209" s="161" t="s">
        <v>1600</v>
      </c>
      <c r="G209" s="160" t="s">
        <v>20</v>
      </c>
      <c r="H209" s="103">
        <v>201607</v>
      </c>
      <c r="I209" s="154">
        <v>30143.63</v>
      </c>
      <c r="J209" s="144">
        <f t="shared" si="11"/>
        <v>4</v>
      </c>
      <c r="K209" s="155">
        <v>1.4833299999999999E-3</v>
      </c>
      <c r="L209" s="154">
        <f t="shared" si="12"/>
        <v>178.85</v>
      </c>
      <c r="M209" s="154">
        <f t="shared" si="13"/>
        <v>536.55999999999995</v>
      </c>
      <c r="N209" s="145"/>
    </row>
    <row r="210" spans="1:14">
      <c r="A210" s="161" t="s">
        <v>626</v>
      </c>
      <c r="B210" s="160" t="s">
        <v>1681</v>
      </c>
      <c r="C210" s="160" t="s">
        <v>1703</v>
      </c>
      <c r="D210" s="161" t="s">
        <v>1704</v>
      </c>
      <c r="E210" s="160" t="s">
        <v>164</v>
      </c>
      <c r="F210" s="161" t="s">
        <v>1600</v>
      </c>
      <c r="G210" s="160" t="s">
        <v>20</v>
      </c>
      <c r="H210" s="103">
        <v>201607</v>
      </c>
      <c r="I210" s="154">
        <v>73537.679999999993</v>
      </c>
      <c r="J210" s="144">
        <f t="shared" si="11"/>
        <v>4</v>
      </c>
      <c r="K210" s="155">
        <v>1.4833299999999999E-3</v>
      </c>
      <c r="L210" s="154">
        <f t="shared" si="12"/>
        <v>436.32</v>
      </c>
      <c r="M210" s="154">
        <f t="shared" si="13"/>
        <v>1308.97</v>
      </c>
      <c r="N210" s="145"/>
    </row>
    <row r="211" spans="1:14">
      <c r="A211" s="145" t="s">
        <v>21</v>
      </c>
      <c r="B211" s="146" t="s">
        <v>485</v>
      </c>
      <c r="C211" s="146" t="s">
        <v>486</v>
      </c>
      <c r="D211" s="145" t="s">
        <v>487</v>
      </c>
      <c r="E211" s="146" t="s">
        <v>75</v>
      </c>
      <c r="F211" s="145" t="s">
        <v>1602</v>
      </c>
      <c r="G211" s="146" t="s">
        <v>20</v>
      </c>
      <c r="H211" s="146">
        <v>201603</v>
      </c>
      <c r="I211" s="147">
        <v>-0.33</v>
      </c>
      <c r="J211" s="144">
        <f t="shared" si="11"/>
        <v>8</v>
      </c>
      <c r="K211" s="148">
        <v>1.4833299999999999E-3</v>
      </c>
      <c r="L211" s="147">
        <f t="shared" si="12"/>
        <v>0</v>
      </c>
      <c r="M211" s="147">
        <f t="shared" si="13"/>
        <v>-0.01</v>
      </c>
      <c r="N211" s="145"/>
    </row>
    <row r="212" spans="1:14">
      <c r="A212" s="145" t="s">
        <v>626</v>
      </c>
      <c r="B212" s="146" t="s">
        <v>1861</v>
      </c>
      <c r="C212" s="146" t="s">
        <v>1862</v>
      </c>
      <c r="D212" s="145" t="s">
        <v>1863</v>
      </c>
      <c r="E212" s="146" t="s">
        <v>75</v>
      </c>
      <c r="F212" s="145" t="s">
        <v>1602</v>
      </c>
      <c r="G212" s="146" t="s">
        <v>20</v>
      </c>
      <c r="H212" s="146">
        <v>201603</v>
      </c>
      <c r="I212" s="147">
        <v>-251.67</v>
      </c>
      <c r="J212" s="144">
        <f t="shared" si="11"/>
        <v>8</v>
      </c>
      <c r="K212" s="148">
        <v>1.4833299999999999E-3</v>
      </c>
      <c r="L212" s="147">
        <f t="shared" si="12"/>
        <v>-2.99</v>
      </c>
      <c r="M212" s="147">
        <f t="shared" si="13"/>
        <v>-4.4800000000000004</v>
      </c>
      <c r="N212" s="145"/>
    </row>
    <row r="213" spans="1:14">
      <c r="A213" s="145" t="s">
        <v>626</v>
      </c>
      <c r="B213" s="146" t="s">
        <v>1864</v>
      </c>
      <c r="C213" s="146" t="s">
        <v>1865</v>
      </c>
      <c r="D213" s="145" t="s">
        <v>1866</v>
      </c>
      <c r="E213" s="146" t="s">
        <v>75</v>
      </c>
      <c r="F213" s="145" t="s">
        <v>1602</v>
      </c>
      <c r="G213" s="146" t="s">
        <v>20</v>
      </c>
      <c r="H213" s="146">
        <v>201603</v>
      </c>
      <c r="I213" s="147">
        <v>-668.37</v>
      </c>
      <c r="J213" s="144">
        <f t="shared" si="11"/>
        <v>8</v>
      </c>
      <c r="K213" s="148">
        <v>1.4833299999999999E-3</v>
      </c>
      <c r="L213" s="147">
        <f t="shared" si="12"/>
        <v>-7.93</v>
      </c>
      <c r="M213" s="147">
        <f t="shared" si="13"/>
        <v>-11.9</v>
      </c>
      <c r="N213" s="145"/>
    </row>
    <row r="214" spans="1:14">
      <c r="A214" s="145" t="s">
        <v>626</v>
      </c>
      <c r="B214" s="146" t="s">
        <v>1867</v>
      </c>
      <c r="C214" s="146" t="s">
        <v>1868</v>
      </c>
      <c r="D214" s="145" t="s">
        <v>1869</v>
      </c>
      <c r="E214" s="146" t="s">
        <v>75</v>
      </c>
      <c r="F214" s="145" t="s">
        <v>1602</v>
      </c>
      <c r="G214" s="146" t="s">
        <v>20</v>
      </c>
      <c r="H214" s="146">
        <v>201603</v>
      </c>
      <c r="I214" s="147">
        <v>-105.97</v>
      </c>
      <c r="J214" s="144">
        <f t="shared" si="11"/>
        <v>8</v>
      </c>
      <c r="K214" s="148">
        <v>1.4833299999999999E-3</v>
      </c>
      <c r="L214" s="147">
        <f t="shared" si="12"/>
        <v>-1.26</v>
      </c>
      <c r="M214" s="147">
        <f t="shared" si="13"/>
        <v>-1.89</v>
      </c>
      <c r="N214" s="145"/>
    </row>
    <row r="215" spans="1:14">
      <c r="A215" s="145" t="s">
        <v>626</v>
      </c>
      <c r="B215" s="146" t="s">
        <v>1870</v>
      </c>
      <c r="C215" s="146" t="s">
        <v>1871</v>
      </c>
      <c r="D215" s="145" t="s">
        <v>1872</v>
      </c>
      <c r="E215" s="146" t="s">
        <v>75</v>
      </c>
      <c r="F215" s="145" t="s">
        <v>1602</v>
      </c>
      <c r="G215" s="146" t="s">
        <v>20</v>
      </c>
      <c r="H215" s="146">
        <v>201603</v>
      </c>
      <c r="I215" s="147">
        <v>-248.08</v>
      </c>
      <c r="J215" s="144">
        <f t="shared" si="11"/>
        <v>8</v>
      </c>
      <c r="K215" s="148">
        <v>1.4833299999999999E-3</v>
      </c>
      <c r="L215" s="147">
        <f t="shared" si="12"/>
        <v>-2.94</v>
      </c>
      <c r="M215" s="147">
        <f t="shared" si="13"/>
        <v>-4.42</v>
      </c>
      <c r="N215" s="145"/>
    </row>
    <row r="216" spans="1:14">
      <c r="A216" s="145" t="s">
        <v>626</v>
      </c>
      <c r="B216" s="146" t="s">
        <v>1873</v>
      </c>
      <c r="C216" s="146" t="s">
        <v>1874</v>
      </c>
      <c r="D216" s="145" t="s">
        <v>1875</v>
      </c>
      <c r="E216" s="146" t="s">
        <v>75</v>
      </c>
      <c r="F216" s="145" t="s">
        <v>1602</v>
      </c>
      <c r="G216" s="146" t="s">
        <v>20</v>
      </c>
      <c r="H216" s="146">
        <v>201603</v>
      </c>
      <c r="I216" s="147">
        <v>-680.64</v>
      </c>
      <c r="J216" s="144">
        <f t="shared" si="11"/>
        <v>8</v>
      </c>
      <c r="K216" s="148">
        <v>1.4833299999999999E-3</v>
      </c>
      <c r="L216" s="147">
        <f t="shared" si="12"/>
        <v>-8.08</v>
      </c>
      <c r="M216" s="147">
        <f t="shared" si="13"/>
        <v>-12.12</v>
      </c>
      <c r="N216" s="145"/>
    </row>
    <row r="217" spans="1:14">
      <c r="A217" s="145" t="s">
        <v>626</v>
      </c>
      <c r="B217" s="146" t="s">
        <v>1681</v>
      </c>
      <c r="C217" s="146" t="s">
        <v>1705</v>
      </c>
      <c r="D217" s="145" t="s">
        <v>1706</v>
      </c>
      <c r="E217" s="146" t="s">
        <v>75</v>
      </c>
      <c r="F217" s="145" t="s">
        <v>1602</v>
      </c>
      <c r="G217" s="146" t="s">
        <v>20</v>
      </c>
      <c r="H217" s="146">
        <v>201603</v>
      </c>
      <c r="I217" s="147">
        <v>55791.61</v>
      </c>
      <c r="J217" s="144">
        <f t="shared" si="11"/>
        <v>8</v>
      </c>
      <c r="K217" s="148">
        <v>1.4833299999999999E-3</v>
      </c>
      <c r="L217" s="147">
        <f t="shared" si="12"/>
        <v>662.06</v>
      </c>
      <c r="M217" s="147">
        <f t="shared" si="13"/>
        <v>993.09</v>
      </c>
      <c r="N217" s="145"/>
    </row>
    <row r="218" spans="1:14">
      <c r="A218" s="145" t="s">
        <v>626</v>
      </c>
      <c r="B218" s="146" t="s">
        <v>1681</v>
      </c>
      <c r="C218" s="146" t="s">
        <v>1707</v>
      </c>
      <c r="D218" s="145" t="s">
        <v>1708</v>
      </c>
      <c r="E218" s="146" t="s">
        <v>75</v>
      </c>
      <c r="F218" s="145" t="s">
        <v>1602</v>
      </c>
      <c r="G218" s="146" t="s">
        <v>20</v>
      </c>
      <c r="H218" s="146">
        <v>201603</v>
      </c>
      <c r="I218" s="147">
        <v>-581.25</v>
      </c>
      <c r="J218" s="144">
        <f t="shared" si="11"/>
        <v>8</v>
      </c>
      <c r="K218" s="148">
        <v>1.4833299999999999E-3</v>
      </c>
      <c r="L218" s="147">
        <f t="shared" si="12"/>
        <v>-6.9</v>
      </c>
      <c r="M218" s="147">
        <f t="shared" si="13"/>
        <v>-10.35</v>
      </c>
      <c r="N218" s="145"/>
    </row>
    <row r="219" spans="1:14">
      <c r="A219" s="145" t="s">
        <v>626</v>
      </c>
      <c r="B219" s="146" t="s">
        <v>1951</v>
      </c>
      <c r="C219" s="146" t="s">
        <v>1952</v>
      </c>
      <c r="D219" s="145" t="s">
        <v>1759</v>
      </c>
      <c r="E219" s="146" t="s">
        <v>75</v>
      </c>
      <c r="F219" s="145" t="s">
        <v>1602</v>
      </c>
      <c r="G219" s="146" t="s">
        <v>20</v>
      </c>
      <c r="H219" s="146">
        <v>201603</v>
      </c>
      <c r="I219" s="147">
        <v>-1314.19</v>
      </c>
      <c r="J219" s="144">
        <f t="shared" si="11"/>
        <v>8</v>
      </c>
      <c r="K219" s="148">
        <v>1.4833299999999999E-3</v>
      </c>
      <c r="L219" s="147">
        <f t="shared" si="12"/>
        <v>-15.6</v>
      </c>
      <c r="M219" s="147">
        <f t="shared" si="13"/>
        <v>-23.39</v>
      </c>
      <c r="N219" s="145"/>
    </row>
    <row r="220" spans="1:14">
      <c r="A220" s="145" t="s">
        <v>626</v>
      </c>
      <c r="B220" s="146" t="s">
        <v>1721</v>
      </c>
      <c r="C220" s="146" t="s">
        <v>1722</v>
      </c>
      <c r="D220" s="145" t="s">
        <v>1723</v>
      </c>
      <c r="E220" s="146" t="s">
        <v>75</v>
      </c>
      <c r="F220" s="145" t="s">
        <v>1602</v>
      </c>
      <c r="G220" s="146" t="s">
        <v>20</v>
      </c>
      <c r="H220" s="146">
        <v>201603</v>
      </c>
      <c r="I220" s="147">
        <v>-1.46</v>
      </c>
      <c r="J220" s="144">
        <f t="shared" si="11"/>
        <v>8</v>
      </c>
      <c r="K220" s="148">
        <v>1.4833299999999999E-3</v>
      </c>
      <c r="L220" s="147">
        <f t="shared" si="12"/>
        <v>-0.02</v>
      </c>
      <c r="M220" s="147">
        <f t="shared" si="13"/>
        <v>-0.03</v>
      </c>
      <c r="N220" s="145"/>
    </row>
    <row r="221" spans="1:14">
      <c r="A221" s="145" t="s">
        <v>626</v>
      </c>
      <c r="B221" s="146" t="s">
        <v>1953</v>
      </c>
      <c r="C221" s="146" t="s">
        <v>1954</v>
      </c>
      <c r="D221" s="145" t="s">
        <v>1955</v>
      </c>
      <c r="E221" s="146" t="s">
        <v>75</v>
      </c>
      <c r="F221" s="145" t="s">
        <v>1602</v>
      </c>
      <c r="G221" s="146" t="s">
        <v>20</v>
      </c>
      <c r="H221" s="146">
        <v>201603</v>
      </c>
      <c r="I221" s="147">
        <v>-1.73</v>
      </c>
      <c r="J221" s="144">
        <f t="shared" si="11"/>
        <v>8</v>
      </c>
      <c r="K221" s="148">
        <v>1.4833299999999999E-3</v>
      </c>
      <c r="L221" s="147">
        <f t="shared" si="12"/>
        <v>-0.02</v>
      </c>
      <c r="M221" s="147">
        <f t="shared" si="13"/>
        <v>-0.03</v>
      </c>
      <c r="N221" s="145"/>
    </row>
    <row r="222" spans="1:14">
      <c r="A222" s="145" t="s">
        <v>626</v>
      </c>
      <c r="B222" s="146" t="s">
        <v>1724</v>
      </c>
      <c r="C222" s="146" t="s">
        <v>1725</v>
      </c>
      <c r="D222" s="145" t="s">
        <v>1726</v>
      </c>
      <c r="E222" s="146" t="s">
        <v>75</v>
      </c>
      <c r="F222" s="145" t="s">
        <v>1602</v>
      </c>
      <c r="G222" s="146" t="s">
        <v>20</v>
      </c>
      <c r="H222" s="146">
        <v>201603</v>
      </c>
      <c r="I222" s="147">
        <v>13.84</v>
      </c>
      <c r="J222" s="144">
        <f t="shared" si="11"/>
        <v>8</v>
      </c>
      <c r="K222" s="148">
        <v>1.4833299999999999E-3</v>
      </c>
      <c r="L222" s="147">
        <f t="shared" si="12"/>
        <v>0.16</v>
      </c>
      <c r="M222" s="147">
        <f t="shared" si="13"/>
        <v>0.25</v>
      </c>
      <c r="N222" s="145"/>
    </row>
    <row r="223" spans="1:14">
      <c r="A223" s="145" t="s">
        <v>626</v>
      </c>
      <c r="B223" s="146" t="s">
        <v>1791</v>
      </c>
      <c r="C223" s="146" t="s">
        <v>1792</v>
      </c>
      <c r="D223" s="145" t="s">
        <v>1793</v>
      </c>
      <c r="E223" s="146" t="s">
        <v>75</v>
      </c>
      <c r="F223" s="145" t="s">
        <v>1602</v>
      </c>
      <c r="G223" s="146" t="s">
        <v>20</v>
      </c>
      <c r="H223" s="146">
        <v>201603</v>
      </c>
      <c r="I223" s="147">
        <v>2388.21</v>
      </c>
      <c r="J223" s="144">
        <f t="shared" si="11"/>
        <v>8</v>
      </c>
      <c r="K223" s="148">
        <v>1.4833299999999999E-3</v>
      </c>
      <c r="L223" s="147">
        <f t="shared" si="12"/>
        <v>28.34</v>
      </c>
      <c r="M223" s="147">
        <f t="shared" si="13"/>
        <v>42.51</v>
      </c>
      <c r="N223" s="145"/>
    </row>
    <row r="224" spans="1:14">
      <c r="A224" s="145" t="s">
        <v>133</v>
      </c>
      <c r="B224" s="146" t="s">
        <v>1876</v>
      </c>
      <c r="C224" s="146" t="s">
        <v>1877</v>
      </c>
      <c r="D224" s="145" t="s">
        <v>1878</v>
      </c>
      <c r="E224" s="146" t="s">
        <v>75</v>
      </c>
      <c r="F224" s="145" t="s">
        <v>1602</v>
      </c>
      <c r="G224" s="146" t="s">
        <v>20</v>
      </c>
      <c r="H224" s="146">
        <v>201603</v>
      </c>
      <c r="I224" s="147">
        <v>-10153.36</v>
      </c>
      <c r="J224" s="144">
        <f t="shared" si="11"/>
        <v>8</v>
      </c>
      <c r="K224" s="148">
        <v>1.4833299999999999E-3</v>
      </c>
      <c r="L224" s="147">
        <f t="shared" si="12"/>
        <v>-120.49</v>
      </c>
      <c r="M224" s="147">
        <f t="shared" si="13"/>
        <v>-180.73</v>
      </c>
      <c r="N224" s="145"/>
    </row>
    <row r="225" spans="1:14">
      <c r="A225" s="145" t="s">
        <v>626</v>
      </c>
      <c r="B225" s="146" t="s">
        <v>1879</v>
      </c>
      <c r="C225" s="146" t="s">
        <v>1880</v>
      </c>
      <c r="D225" s="145" t="s">
        <v>1273</v>
      </c>
      <c r="E225" s="146" t="s">
        <v>75</v>
      </c>
      <c r="F225" s="145" t="s">
        <v>1602</v>
      </c>
      <c r="G225" s="146" t="s">
        <v>20</v>
      </c>
      <c r="H225" s="146">
        <v>201603</v>
      </c>
      <c r="I225" s="147">
        <v>-315.85000000000002</v>
      </c>
      <c r="J225" s="144">
        <f t="shared" si="11"/>
        <v>8</v>
      </c>
      <c r="K225" s="148">
        <v>1.4833299999999999E-3</v>
      </c>
      <c r="L225" s="147">
        <f t="shared" si="12"/>
        <v>-3.75</v>
      </c>
      <c r="M225" s="147">
        <f t="shared" si="13"/>
        <v>-5.62</v>
      </c>
      <c r="N225" s="145"/>
    </row>
    <row r="226" spans="1:14">
      <c r="A226" s="145" t="s">
        <v>21</v>
      </c>
      <c r="B226" s="146" t="s">
        <v>1727</v>
      </c>
      <c r="C226" s="146" t="s">
        <v>1728</v>
      </c>
      <c r="D226" s="145" t="s">
        <v>1729</v>
      </c>
      <c r="E226" s="146" t="s">
        <v>75</v>
      </c>
      <c r="F226" s="145" t="s">
        <v>1602</v>
      </c>
      <c r="G226" s="146" t="s">
        <v>20</v>
      </c>
      <c r="H226" s="146">
        <v>201603</v>
      </c>
      <c r="I226" s="147">
        <v>-1840.12</v>
      </c>
      <c r="J226" s="144">
        <f t="shared" si="11"/>
        <v>8</v>
      </c>
      <c r="K226" s="148">
        <v>1.4833299999999999E-3</v>
      </c>
      <c r="L226" s="147">
        <f t="shared" si="12"/>
        <v>-21.84</v>
      </c>
      <c r="M226" s="147">
        <f t="shared" si="13"/>
        <v>-32.75</v>
      </c>
      <c r="N226" s="145"/>
    </row>
    <row r="227" spans="1:14">
      <c r="A227" s="145" t="s">
        <v>626</v>
      </c>
      <c r="B227" s="146" t="s">
        <v>1881</v>
      </c>
      <c r="C227" s="146" t="s">
        <v>1882</v>
      </c>
      <c r="D227" s="145" t="s">
        <v>1883</v>
      </c>
      <c r="E227" s="146" t="s">
        <v>75</v>
      </c>
      <c r="F227" s="145" t="s">
        <v>1602</v>
      </c>
      <c r="G227" s="146" t="s">
        <v>20</v>
      </c>
      <c r="H227" s="146">
        <v>201603</v>
      </c>
      <c r="I227" s="147">
        <v>-193.43</v>
      </c>
      <c r="J227" s="144">
        <f t="shared" si="11"/>
        <v>8</v>
      </c>
      <c r="K227" s="148">
        <v>1.4833299999999999E-3</v>
      </c>
      <c r="L227" s="147">
        <f t="shared" si="12"/>
        <v>-2.2999999999999998</v>
      </c>
      <c r="M227" s="147">
        <f t="shared" si="13"/>
        <v>-3.44</v>
      </c>
      <c r="N227" s="145"/>
    </row>
    <row r="228" spans="1:14">
      <c r="A228" s="145" t="s">
        <v>626</v>
      </c>
      <c r="B228" s="146" t="s">
        <v>1884</v>
      </c>
      <c r="C228" s="146" t="s">
        <v>1885</v>
      </c>
      <c r="D228" s="145" t="s">
        <v>1886</v>
      </c>
      <c r="E228" s="146" t="s">
        <v>75</v>
      </c>
      <c r="F228" s="145" t="s">
        <v>1602</v>
      </c>
      <c r="G228" s="146" t="s">
        <v>20</v>
      </c>
      <c r="H228" s="146">
        <v>201603</v>
      </c>
      <c r="I228" s="147">
        <v>-78.06</v>
      </c>
      <c r="J228" s="144">
        <f t="shared" si="11"/>
        <v>8</v>
      </c>
      <c r="K228" s="148">
        <v>1.4833299999999999E-3</v>
      </c>
      <c r="L228" s="147">
        <f t="shared" si="12"/>
        <v>-0.93</v>
      </c>
      <c r="M228" s="147">
        <f t="shared" si="13"/>
        <v>-1.39</v>
      </c>
      <c r="N228" s="145"/>
    </row>
    <row r="229" spans="1:14">
      <c r="A229" s="145" t="s">
        <v>626</v>
      </c>
      <c r="B229" s="146" t="s">
        <v>1890</v>
      </c>
      <c r="C229" s="146" t="s">
        <v>1891</v>
      </c>
      <c r="D229" s="145" t="s">
        <v>1495</v>
      </c>
      <c r="E229" s="146" t="s">
        <v>75</v>
      </c>
      <c r="F229" s="145" t="s">
        <v>1602</v>
      </c>
      <c r="G229" s="146" t="s">
        <v>20</v>
      </c>
      <c r="H229" s="146">
        <v>201603</v>
      </c>
      <c r="I229" s="147">
        <v>-238.48</v>
      </c>
      <c r="J229" s="144">
        <f t="shared" si="11"/>
        <v>8</v>
      </c>
      <c r="K229" s="148">
        <v>1.4833299999999999E-3</v>
      </c>
      <c r="L229" s="147">
        <f t="shared" si="12"/>
        <v>-2.83</v>
      </c>
      <c r="M229" s="147">
        <f t="shared" si="13"/>
        <v>-4.24</v>
      </c>
      <c r="N229" s="145"/>
    </row>
    <row r="230" spans="1:14">
      <c r="A230" s="145" t="s">
        <v>21</v>
      </c>
      <c r="B230" s="146" t="s">
        <v>1956</v>
      </c>
      <c r="C230" s="146" t="s">
        <v>1957</v>
      </c>
      <c r="D230" s="145" t="s">
        <v>1958</v>
      </c>
      <c r="E230" s="146" t="s">
        <v>75</v>
      </c>
      <c r="F230" s="145" t="s">
        <v>1602</v>
      </c>
      <c r="G230" s="146" t="s">
        <v>20</v>
      </c>
      <c r="H230" s="146">
        <v>201603</v>
      </c>
      <c r="I230" s="147">
        <v>19374.82</v>
      </c>
      <c r="J230" s="144">
        <f t="shared" si="11"/>
        <v>8</v>
      </c>
      <c r="K230" s="148">
        <v>1.4833299999999999E-3</v>
      </c>
      <c r="L230" s="147">
        <f t="shared" si="12"/>
        <v>229.91</v>
      </c>
      <c r="M230" s="147">
        <f t="shared" si="13"/>
        <v>344.87</v>
      </c>
      <c r="N230" s="145"/>
    </row>
    <row r="231" spans="1:14">
      <c r="A231" s="145" t="s">
        <v>626</v>
      </c>
      <c r="B231" s="146" t="s">
        <v>1892</v>
      </c>
      <c r="C231" s="146" t="s">
        <v>1893</v>
      </c>
      <c r="D231" s="145" t="s">
        <v>1894</v>
      </c>
      <c r="E231" s="146" t="s">
        <v>75</v>
      </c>
      <c r="F231" s="145" t="s">
        <v>1602</v>
      </c>
      <c r="G231" s="146" t="s">
        <v>20</v>
      </c>
      <c r="H231" s="146">
        <v>201603</v>
      </c>
      <c r="I231" s="147">
        <v>1000.61</v>
      </c>
      <c r="J231" s="144">
        <f t="shared" si="11"/>
        <v>8</v>
      </c>
      <c r="K231" s="148">
        <v>1.4833299999999999E-3</v>
      </c>
      <c r="L231" s="147">
        <f t="shared" si="12"/>
        <v>11.87</v>
      </c>
      <c r="M231" s="147">
        <f t="shared" si="13"/>
        <v>17.809999999999999</v>
      </c>
      <c r="N231" s="145"/>
    </row>
    <row r="232" spans="1:14">
      <c r="A232" s="145" t="s">
        <v>626</v>
      </c>
      <c r="B232" s="146" t="s">
        <v>1959</v>
      </c>
      <c r="C232" s="146" t="s">
        <v>1960</v>
      </c>
      <c r="D232" s="145" t="s">
        <v>1495</v>
      </c>
      <c r="E232" s="146" t="s">
        <v>75</v>
      </c>
      <c r="F232" s="145" t="s">
        <v>1602</v>
      </c>
      <c r="G232" s="146" t="s">
        <v>20</v>
      </c>
      <c r="H232" s="146">
        <v>201603</v>
      </c>
      <c r="I232" s="147">
        <v>-2.4700000000000002</v>
      </c>
      <c r="J232" s="144">
        <f t="shared" si="11"/>
        <v>8</v>
      </c>
      <c r="K232" s="148">
        <v>1.4833299999999999E-3</v>
      </c>
      <c r="L232" s="147">
        <f t="shared" si="12"/>
        <v>-0.03</v>
      </c>
      <c r="M232" s="147">
        <f t="shared" si="13"/>
        <v>-0.04</v>
      </c>
      <c r="N232" s="145"/>
    </row>
    <row r="233" spans="1:14">
      <c r="A233" s="145" t="s">
        <v>626</v>
      </c>
      <c r="B233" s="146" t="s">
        <v>1898</v>
      </c>
      <c r="C233" s="146" t="s">
        <v>1899</v>
      </c>
      <c r="D233" s="145" t="s">
        <v>1900</v>
      </c>
      <c r="E233" s="146" t="s">
        <v>75</v>
      </c>
      <c r="F233" s="145" t="s">
        <v>1602</v>
      </c>
      <c r="G233" s="146" t="s">
        <v>20</v>
      </c>
      <c r="H233" s="146">
        <v>201603</v>
      </c>
      <c r="I233" s="147">
        <v>-333.69</v>
      </c>
      <c r="J233" s="144">
        <f t="shared" si="11"/>
        <v>8</v>
      </c>
      <c r="K233" s="148">
        <v>1.4833299999999999E-3</v>
      </c>
      <c r="L233" s="147">
        <f t="shared" si="12"/>
        <v>-3.96</v>
      </c>
      <c r="M233" s="147">
        <f t="shared" si="13"/>
        <v>-5.94</v>
      </c>
      <c r="N233" s="145"/>
    </row>
    <row r="234" spans="1:14">
      <c r="A234" s="145" t="s">
        <v>626</v>
      </c>
      <c r="B234" s="146" t="s">
        <v>1901</v>
      </c>
      <c r="C234" s="146" t="s">
        <v>1902</v>
      </c>
      <c r="D234" s="145" t="s">
        <v>1903</v>
      </c>
      <c r="E234" s="146" t="s">
        <v>75</v>
      </c>
      <c r="F234" s="145" t="s">
        <v>1602</v>
      </c>
      <c r="G234" s="146" t="s">
        <v>20</v>
      </c>
      <c r="H234" s="146">
        <v>201603</v>
      </c>
      <c r="I234" s="147">
        <v>1311.11</v>
      </c>
      <c r="J234" s="144">
        <f t="shared" si="11"/>
        <v>8</v>
      </c>
      <c r="K234" s="148">
        <v>1.4833299999999999E-3</v>
      </c>
      <c r="L234" s="147">
        <f t="shared" si="12"/>
        <v>15.56</v>
      </c>
      <c r="M234" s="147">
        <f t="shared" si="13"/>
        <v>23.34</v>
      </c>
      <c r="N234" s="145"/>
    </row>
    <row r="235" spans="1:14">
      <c r="A235" s="145" t="s">
        <v>626</v>
      </c>
      <c r="B235" s="146" t="s">
        <v>1904</v>
      </c>
      <c r="C235" s="146" t="s">
        <v>1905</v>
      </c>
      <c r="D235" s="145" t="s">
        <v>1906</v>
      </c>
      <c r="E235" s="146" t="s">
        <v>75</v>
      </c>
      <c r="F235" s="145" t="s">
        <v>1602</v>
      </c>
      <c r="G235" s="146" t="s">
        <v>20</v>
      </c>
      <c r="H235" s="146">
        <v>201603</v>
      </c>
      <c r="I235" s="147">
        <v>-122.41</v>
      </c>
      <c r="J235" s="144">
        <f t="shared" si="11"/>
        <v>8</v>
      </c>
      <c r="K235" s="148">
        <v>1.4833299999999999E-3</v>
      </c>
      <c r="L235" s="147">
        <f t="shared" si="12"/>
        <v>-1.45</v>
      </c>
      <c r="M235" s="147">
        <f t="shared" si="13"/>
        <v>-2.1800000000000002</v>
      </c>
      <c r="N235" s="145"/>
    </row>
    <row r="236" spans="1:14">
      <c r="A236" s="145" t="s">
        <v>626</v>
      </c>
      <c r="B236" s="146" t="s">
        <v>1800</v>
      </c>
      <c r="C236" s="146" t="s">
        <v>1801</v>
      </c>
      <c r="D236" s="145" t="s">
        <v>1802</v>
      </c>
      <c r="E236" s="146" t="s">
        <v>75</v>
      </c>
      <c r="F236" s="145" t="s">
        <v>1602</v>
      </c>
      <c r="G236" s="146" t="s">
        <v>20</v>
      </c>
      <c r="H236" s="146">
        <v>201603</v>
      </c>
      <c r="I236" s="147">
        <v>-12942.58</v>
      </c>
      <c r="J236" s="144">
        <f t="shared" si="11"/>
        <v>8</v>
      </c>
      <c r="K236" s="148">
        <v>1.4833299999999999E-3</v>
      </c>
      <c r="L236" s="147">
        <f t="shared" si="12"/>
        <v>-153.58000000000001</v>
      </c>
      <c r="M236" s="147">
        <f t="shared" si="13"/>
        <v>-230.38</v>
      </c>
      <c r="N236" s="145"/>
    </row>
    <row r="237" spans="1:14">
      <c r="A237" s="145" t="s">
        <v>626</v>
      </c>
      <c r="B237" s="146" t="s">
        <v>1961</v>
      </c>
      <c r="C237" s="146" t="s">
        <v>1962</v>
      </c>
      <c r="D237" s="145" t="s">
        <v>1963</v>
      </c>
      <c r="E237" s="146" t="s">
        <v>75</v>
      </c>
      <c r="F237" s="145" t="s">
        <v>1602</v>
      </c>
      <c r="G237" s="146" t="s">
        <v>20</v>
      </c>
      <c r="H237" s="146">
        <v>201603</v>
      </c>
      <c r="I237" s="147">
        <v>-2714.3</v>
      </c>
      <c r="J237" s="144">
        <f t="shared" si="11"/>
        <v>8</v>
      </c>
      <c r="K237" s="148">
        <v>1.4833299999999999E-3</v>
      </c>
      <c r="L237" s="147">
        <f t="shared" si="12"/>
        <v>-32.21</v>
      </c>
      <c r="M237" s="147">
        <f t="shared" si="13"/>
        <v>-48.31</v>
      </c>
      <c r="N237" s="145"/>
    </row>
    <row r="238" spans="1:14">
      <c r="A238" s="145" t="s">
        <v>626</v>
      </c>
      <c r="B238" s="146" t="s">
        <v>1907</v>
      </c>
      <c r="C238" s="146" t="s">
        <v>1908</v>
      </c>
      <c r="D238" s="145" t="s">
        <v>1909</v>
      </c>
      <c r="E238" s="146" t="s">
        <v>75</v>
      </c>
      <c r="F238" s="145" t="s">
        <v>1602</v>
      </c>
      <c r="G238" s="146" t="s">
        <v>20</v>
      </c>
      <c r="H238" s="146">
        <v>201603</v>
      </c>
      <c r="I238" s="147">
        <v>-49140.34</v>
      </c>
      <c r="J238" s="144">
        <f t="shared" si="11"/>
        <v>8</v>
      </c>
      <c r="K238" s="148">
        <v>1.4833299999999999E-3</v>
      </c>
      <c r="L238" s="147">
        <f t="shared" si="12"/>
        <v>-583.13</v>
      </c>
      <c r="M238" s="147">
        <f t="shared" si="13"/>
        <v>-874.7</v>
      </c>
      <c r="N238" s="145"/>
    </row>
    <row r="239" spans="1:14">
      <c r="A239" s="145" t="s">
        <v>626</v>
      </c>
      <c r="B239" s="146" t="s">
        <v>1748</v>
      </c>
      <c r="C239" s="146" t="s">
        <v>1749</v>
      </c>
      <c r="D239" s="145" t="s">
        <v>1750</v>
      </c>
      <c r="E239" s="146" t="s">
        <v>75</v>
      </c>
      <c r="F239" s="145" t="s">
        <v>1602</v>
      </c>
      <c r="G239" s="146" t="s">
        <v>20</v>
      </c>
      <c r="H239" s="146">
        <v>201603</v>
      </c>
      <c r="I239" s="147">
        <v>-413.94</v>
      </c>
      <c r="J239" s="144">
        <f t="shared" si="11"/>
        <v>8</v>
      </c>
      <c r="K239" s="148">
        <v>1.4833299999999999E-3</v>
      </c>
      <c r="L239" s="147">
        <f t="shared" si="12"/>
        <v>-4.91</v>
      </c>
      <c r="M239" s="147">
        <f t="shared" si="13"/>
        <v>-7.37</v>
      </c>
      <c r="N239" s="145"/>
    </row>
    <row r="240" spans="1:14">
      <c r="A240" s="145" t="s">
        <v>626</v>
      </c>
      <c r="B240" s="146" t="s">
        <v>1910</v>
      </c>
      <c r="C240" s="146" t="s">
        <v>1911</v>
      </c>
      <c r="D240" s="145" t="s">
        <v>1912</v>
      </c>
      <c r="E240" s="146" t="s">
        <v>75</v>
      </c>
      <c r="F240" s="145" t="s">
        <v>1602</v>
      </c>
      <c r="G240" s="146" t="s">
        <v>20</v>
      </c>
      <c r="H240" s="146">
        <v>201603</v>
      </c>
      <c r="I240" s="147">
        <v>2723</v>
      </c>
      <c r="J240" s="144">
        <f t="shared" si="11"/>
        <v>8</v>
      </c>
      <c r="K240" s="148">
        <v>1.4833299999999999E-3</v>
      </c>
      <c r="L240" s="147">
        <f t="shared" si="12"/>
        <v>32.31</v>
      </c>
      <c r="M240" s="147">
        <f t="shared" si="13"/>
        <v>48.47</v>
      </c>
      <c r="N240" s="145"/>
    </row>
    <row r="241" spans="1:14">
      <c r="A241" s="145" t="s">
        <v>626</v>
      </c>
      <c r="B241" s="146" t="s">
        <v>1913</v>
      </c>
      <c r="C241" s="146" t="s">
        <v>1914</v>
      </c>
      <c r="D241" s="145" t="s">
        <v>1915</v>
      </c>
      <c r="E241" s="146" t="s">
        <v>75</v>
      </c>
      <c r="F241" s="145" t="s">
        <v>1602</v>
      </c>
      <c r="G241" s="146" t="s">
        <v>20</v>
      </c>
      <c r="H241" s="146">
        <v>201603</v>
      </c>
      <c r="I241" s="147">
        <v>-381.94</v>
      </c>
      <c r="J241" s="144">
        <f t="shared" si="11"/>
        <v>8</v>
      </c>
      <c r="K241" s="148">
        <v>1.4833299999999999E-3</v>
      </c>
      <c r="L241" s="147">
        <f t="shared" si="12"/>
        <v>-4.53</v>
      </c>
      <c r="M241" s="147">
        <f t="shared" si="13"/>
        <v>-6.8</v>
      </c>
      <c r="N241" s="145"/>
    </row>
    <row r="242" spans="1:14">
      <c r="A242" s="145" t="s">
        <v>626</v>
      </c>
      <c r="B242" s="146" t="s">
        <v>1916</v>
      </c>
      <c r="C242" s="146" t="s">
        <v>1917</v>
      </c>
      <c r="D242" s="145" t="s">
        <v>1273</v>
      </c>
      <c r="E242" s="146" t="s">
        <v>75</v>
      </c>
      <c r="F242" s="145" t="s">
        <v>1602</v>
      </c>
      <c r="G242" s="146" t="s">
        <v>20</v>
      </c>
      <c r="H242" s="146">
        <v>201603</v>
      </c>
      <c r="I242" s="147">
        <v>-622.54</v>
      </c>
      <c r="J242" s="144">
        <f t="shared" si="11"/>
        <v>8</v>
      </c>
      <c r="K242" s="148">
        <v>1.4833299999999999E-3</v>
      </c>
      <c r="L242" s="147">
        <f t="shared" si="12"/>
        <v>-7.39</v>
      </c>
      <c r="M242" s="147">
        <f t="shared" si="13"/>
        <v>-11.08</v>
      </c>
      <c r="N242" s="145"/>
    </row>
    <row r="243" spans="1:14">
      <c r="A243" s="145" t="s">
        <v>626</v>
      </c>
      <c r="B243" s="146" t="s">
        <v>1806</v>
      </c>
      <c r="C243" s="146" t="s">
        <v>1807</v>
      </c>
      <c r="D243" s="145" t="s">
        <v>1808</v>
      </c>
      <c r="E243" s="146" t="s">
        <v>75</v>
      </c>
      <c r="F243" s="145" t="s">
        <v>1602</v>
      </c>
      <c r="G243" s="146" t="s">
        <v>20</v>
      </c>
      <c r="H243" s="146">
        <v>201603</v>
      </c>
      <c r="I243" s="147">
        <v>-137.9</v>
      </c>
      <c r="J243" s="144">
        <f t="shared" si="11"/>
        <v>8</v>
      </c>
      <c r="K243" s="148">
        <v>1.4833299999999999E-3</v>
      </c>
      <c r="L243" s="147">
        <f t="shared" si="12"/>
        <v>-1.64</v>
      </c>
      <c r="M243" s="147">
        <f t="shared" si="13"/>
        <v>-2.4500000000000002</v>
      </c>
      <c r="N243" s="145"/>
    </row>
    <row r="244" spans="1:14">
      <c r="A244" s="145" t="s">
        <v>626</v>
      </c>
      <c r="B244" s="146" t="s">
        <v>1918</v>
      </c>
      <c r="C244" s="146" t="s">
        <v>1919</v>
      </c>
      <c r="D244" s="145" t="s">
        <v>1920</v>
      </c>
      <c r="E244" s="146" t="s">
        <v>75</v>
      </c>
      <c r="F244" s="145" t="s">
        <v>1602</v>
      </c>
      <c r="G244" s="146" t="s">
        <v>20</v>
      </c>
      <c r="H244" s="146">
        <v>201603</v>
      </c>
      <c r="I244" s="147">
        <v>-280.25</v>
      </c>
      <c r="J244" s="144">
        <f t="shared" si="11"/>
        <v>8</v>
      </c>
      <c r="K244" s="148">
        <v>1.4833299999999999E-3</v>
      </c>
      <c r="L244" s="147">
        <f t="shared" si="12"/>
        <v>-3.33</v>
      </c>
      <c r="M244" s="147">
        <f t="shared" si="13"/>
        <v>-4.99</v>
      </c>
      <c r="N244" s="145"/>
    </row>
    <row r="245" spans="1:14">
      <c r="A245" s="145" t="s">
        <v>626</v>
      </c>
      <c r="B245" s="146" t="s">
        <v>1924</v>
      </c>
      <c r="C245" s="146" t="s">
        <v>1925</v>
      </c>
      <c r="D245" s="145" t="s">
        <v>1926</v>
      </c>
      <c r="E245" s="146" t="s">
        <v>75</v>
      </c>
      <c r="F245" s="145" t="s">
        <v>1602</v>
      </c>
      <c r="G245" s="146" t="s">
        <v>20</v>
      </c>
      <c r="H245" s="146">
        <v>201603</v>
      </c>
      <c r="I245" s="147">
        <v>-9.48</v>
      </c>
      <c r="J245" s="144">
        <f t="shared" si="11"/>
        <v>8</v>
      </c>
      <c r="K245" s="148">
        <v>1.4833299999999999E-3</v>
      </c>
      <c r="L245" s="147">
        <f t="shared" si="12"/>
        <v>-0.11</v>
      </c>
      <c r="M245" s="147">
        <f t="shared" si="13"/>
        <v>-0.17</v>
      </c>
      <c r="N245" s="145"/>
    </row>
    <row r="246" spans="1:14">
      <c r="A246" s="145" t="s">
        <v>626</v>
      </c>
      <c r="B246" s="146" t="s">
        <v>1927</v>
      </c>
      <c r="C246" s="146" t="s">
        <v>1928</v>
      </c>
      <c r="D246" s="145" t="s">
        <v>1929</v>
      </c>
      <c r="E246" s="146" t="s">
        <v>75</v>
      </c>
      <c r="F246" s="145" t="s">
        <v>1602</v>
      </c>
      <c r="G246" s="146" t="s">
        <v>20</v>
      </c>
      <c r="H246" s="146">
        <v>201603</v>
      </c>
      <c r="I246" s="147">
        <v>-8.93</v>
      </c>
      <c r="J246" s="144">
        <f t="shared" si="11"/>
        <v>8</v>
      </c>
      <c r="K246" s="148">
        <v>1.4833299999999999E-3</v>
      </c>
      <c r="L246" s="147">
        <f t="shared" si="12"/>
        <v>-0.11</v>
      </c>
      <c r="M246" s="147">
        <f t="shared" si="13"/>
        <v>-0.16</v>
      </c>
      <c r="N246" s="145"/>
    </row>
    <row r="247" spans="1:14">
      <c r="A247" s="145" t="s">
        <v>626</v>
      </c>
      <c r="B247" s="146" t="s">
        <v>1930</v>
      </c>
      <c r="C247" s="146" t="s">
        <v>1931</v>
      </c>
      <c r="D247" s="145" t="s">
        <v>1932</v>
      </c>
      <c r="E247" s="146" t="s">
        <v>75</v>
      </c>
      <c r="F247" s="145" t="s">
        <v>1602</v>
      </c>
      <c r="G247" s="146" t="s">
        <v>20</v>
      </c>
      <c r="H247" s="146">
        <v>201603</v>
      </c>
      <c r="I247" s="147">
        <v>-77.81</v>
      </c>
      <c r="J247" s="144">
        <f t="shared" si="11"/>
        <v>8</v>
      </c>
      <c r="K247" s="148">
        <v>1.4833299999999999E-3</v>
      </c>
      <c r="L247" s="147">
        <f t="shared" si="12"/>
        <v>-0.92</v>
      </c>
      <c r="M247" s="147">
        <f t="shared" si="13"/>
        <v>-1.39</v>
      </c>
      <c r="N247" s="145"/>
    </row>
    <row r="248" spans="1:14">
      <c r="A248" s="145" t="s">
        <v>626</v>
      </c>
      <c r="B248" s="146" t="s">
        <v>1933</v>
      </c>
      <c r="C248" s="146" t="s">
        <v>1934</v>
      </c>
      <c r="D248" s="145" t="s">
        <v>1935</v>
      </c>
      <c r="E248" s="146" t="s">
        <v>75</v>
      </c>
      <c r="F248" s="145" t="s">
        <v>1602</v>
      </c>
      <c r="G248" s="146" t="s">
        <v>20</v>
      </c>
      <c r="H248" s="146">
        <v>201603</v>
      </c>
      <c r="I248" s="147">
        <v>-375.96</v>
      </c>
      <c r="J248" s="144">
        <f t="shared" si="11"/>
        <v>8</v>
      </c>
      <c r="K248" s="148">
        <v>1.4833299999999999E-3</v>
      </c>
      <c r="L248" s="147">
        <f t="shared" si="12"/>
        <v>-4.46</v>
      </c>
      <c r="M248" s="147">
        <f t="shared" si="13"/>
        <v>-6.69</v>
      </c>
      <c r="N248" s="145"/>
    </row>
    <row r="249" spans="1:14">
      <c r="A249" s="145" t="s">
        <v>626</v>
      </c>
      <c r="B249" s="146" t="s">
        <v>1936</v>
      </c>
      <c r="C249" s="146" t="s">
        <v>1937</v>
      </c>
      <c r="D249" s="145" t="s">
        <v>1938</v>
      </c>
      <c r="E249" s="146" t="s">
        <v>75</v>
      </c>
      <c r="F249" s="145" t="s">
        <v>1602</v>
      </c>
      <c r="G249" s="146" t="s">
        <v>20</v>
      </c>
      <c r="H249" s="146">
        <v>201603</v>
      </c>
      <c r="I249" s="147">
        <v>-14.46</v>
      </c>
      <c r="J249" s="144">
        <f t="shared" si="11"/>
        <v>8</v>
      </c>
      <c r="K249" s="148">
        <v>1.4833299999999999E-3</v>
      </c>
      <c r="L249" s="147">
        <f t="shared" si="12"/>
        <v>-0.17</v>
      </c>
      <c r="M249" s="147">
        <f t="shared" si="13"/>
        <v>-0.26</v>
      </c>
      <c r="N249" s="145"/>
    </row>
    <row r="250" spans="1:14">
      <c r="A250" s="145" t="s">
        <v>626</v>
      </c>
      <c r="B250" s="146" t="s">
        <v>1978</v>
      </c>
      <c r="C250" s="146" t="s">
        <v>1979</v>
      </c>
      <c r="D250" s="145" t="s">
        <v>1980</v>
      </c>
      <c r="E250" s="146" t="s">
        <v>75</v>
      </c>
      <c r="F250" s="145" t="s">
        <v>1602</v>
      </c>
      <c r="G250" s="146" t="s">
        <v>20</v>
      </c>
      <c r="H250" s="146">
        <v>201603</v>
      </c>
      <c r="I250" s="147">
        <v>21650.39</v>
      </c>
      <c r="J250" s="144">
        <f t="shared" si="11"/>
        <v>8</v>
      </c>
      <c r="K250" s="148">
        <v>1.4833299999999999E-3</v>
      </c>
      <c r="L250" s="147">
        <f t="shared" si="12"/>
        <v>256.92</v>
      </c>
      <c r="M250" s="147">
        <f t="shared" si="13"/>
        <v>385.38</v>
      </c>
      <c r="N250" s="145"/>
    </row>
    <row r="251" spans="1:14">
      <c r="A251" s="145" t="s">
        <v>626</v>
      </c>
      <c r="B251" s="146" t="s">
        <v>1757</v>
      </c>
      <c r="C251" s="146" t="s">
        <v>1758</v>
      </c>
      <c r="D251" s="145" t="s">
        <v>1759</v>
      </c>
      <c r="E251" s="146" t="s">
        <v>75</v>
      </c>
      <c r="F251" s="145" t="s">
        <v>1602</v>
      </c>
      <c r="G251" s="146" t="s">
        <v>20</v>
      </c>
      <c r="H251" s="146">
        <v>201603</v>
      </c>
      <c r="I251" s="147">
        <v>-12.61</v>
      </c>
      <c r="J251" s="144">
        <f t="shared" ref="J251:J314" si="14">HLOOKUP(H251,$Q$2:$Z$3,2)</f>
        <v>8</v>
      </c>
      <c r="K251" s="148">
        <v>1.4833299999999999E-3</v>
      </c>
      <c r="L251" s="147">
        <f t="shared" ref="L251:L314" si="15">ROUND(I251*J251*K251,2)</f>
        <v>-0.15</v>
      </c>
      <c r="M251" s="147">
        <f t="shared" ref="M251:M314" si="16">ROUND(I251*K251*12,2)</f>
        <v>-0.22</v>
      </c>
      <c r="N251" s="145"/>
    </row>
    <row r="252" spans="1:14">
      <c r="A252" s="145" t="s">
        <v>626</v>
      </c>
      <c r="B252" s="146" t="s">
        <v>1981</v>
      </c>
      <c r="C252" s="146" t="s">
        <v>1982</v>
      </c>
      <c r="D252" s="145" t="s">
        <v>1983</v>
      </c>
      <c r="E252" s="146" t="s">
        <v>75</v>
      </c>
      <c r="F252" s="145" t="s">
        <v>1602</v>
      </c>
      <c r="G252" s="146" t="s">
        <v>20</v>
      </c>
      <c r="H252" s="146">
        <v>201603</v>
      </c>
      <c r="I252" s="147">
        <v>70333.570000000007</v>
      </c>
      <c r="J252" s="144">
        <f t="shared" si="14"/>
        <v>8</v>
      </c>
      <c r="K252" s="148">
        <v>1.4833299999999999E-3</v>
      </c>
      <c r="L252" s="147">
        <f t="shared" si="15"/>
        <v>834.62</v>
      </c>
      <c r="M252" s="147">
        <f t="shared" si="16"/>
        <v>1251.93</v>
      </c>
      <c r="N252" s="145"/>
    </row>
    <row r="253" spans="1:14">
      <c r="A253" s="145" t="s">
        <v>626</v>
      </c>
      <c r="B253" s="146" t="s">
        <v>1987</v>
      </c>
      <c r="C253" s="146" t="s">
        <v>1988</v>
      </c>
      <c r="D253" s="145" t="s">
        <v>1338</v>
      </c>
      <c r="E253" s="146" t="s">
        <v>75</v>
      </c>
      <c r="F253" s="145" t="s">
        <v>1602</v>
      </c>
      <c r="G253" s="146" t="s">
        <v>20</v>
      </c>
      <c r="H253" s="146">
        <v>201603</v>
      </c>
      <c r="I253" s="147">
        <v>14336.54</v>
      </c>
      <c r="J253" s="144">
        <f t="shared" si="14"/>
        <v>8</v>
      </c>
      <c r="K253" s="148">
        <v>1.4833299999999999E-3</v>
      </c>
      <c r="L253" s="147">
        <f t="shared" si="15"/>
        <v>170.13</v>
      </c>
      <c r="M253" s="147">
        <f t="shared" si="16"/>
        <v>255.19</v>
      </c>
      <c r="N253" s="145"/>
    </row>
    <row r="254" spans="1:14">
      <c r="A254" s="145" t="s">
        <v>133</v>
      </c>
      <c r="B254" s="146" t="s">
        <v>1817</v>
      </c>
      <c r="C254" s="146" t="s">
        <v>1818</v>
      </c>
      <c r="D254" s="145" t="s">
        <v>1819</v>
      </c>
      <c r="E254" s="146" t="s">
        <v>75</v>
      </c>
      <c r="F254" s="145" t="s">
        <v>1602</v>
      </c>
      <c r="G254" s="146" t="s">
        <v>20</v>
      </c>
      <c r="H254" s="146">
        <v>201603</v>
      </c>
      <c r="I254" s="147">
        <v>9769.93</v>
      </c>
      <c r="J254" s="144">
        <f t="shared" si="14"/>
        <v>8</v>
      </c>
      <c r="K254" s="148">
        <v>1.4833299999999999E-3</v>
      </c>
      <c r="L254" s="147">
        <f t="shared" si="15"/>
        <v>115.94</v>
      </c>
      <c r="M254" s="147">
        <f t="shared" si="16"/>
        <v>173.9</v>
      </c>
      <c r="N254" s="145"/>
    </row>
    <row r="255" spans="1:14">
      <c r="A255" s="145" t="s">
        <v>626</v>
      </c>
      <c r="B255" s="146" t="s">
        <v>1989</v>
      </c>
      <c r="C255" s="146" t="s">
        <v>1990</v>
      </c>
      <c r="D255" s="145" t="s">
        <v>1495</v>
      </c>
      <c r="E255" s="146" t="s">
        <v>75</v>
      </c>
      <c r="F255" s="145" t="s">
        <v>1602</v>
      </c>
      <c r="G255" s="146" t="s">
        <v>20</v>
      </c>
      <c r="H255" s="146">
        <v>201603</v>
      </c>
      <c r="I255" s="147">
        <v>-10336.94</v>
      </c>
      <c r="J255" s="144">
        <f t="shared" si="14"/>
        <v>8</v>
      </c>
      <c r="K255" s="148">
        <v>1.4833299999999999E-3</v>
      </c>
      <c r="L255" s="147">
        <f t="shared" si="15"/>
        <v>-122.66</v>
      </c>
      <c r="M255" s="147">
        <f t="shared" si="16"/>
        <v>-184</v>
      </c>
      <c r="N255" s="145"/>
    </row>
    <row r="256" spans="1:14">
      <c r="A256" s="145" t="s">
        <v>626</v>
      </c>
      <c r="B256" s="146" t="s">
        <v>1681</v>
      </c>
      <c r="C256" s="146" t="s">
        <v>1999</v>
      </c>
      <c r="D256" s="145" t="s">
        <v>2000</v>
      </c>
      <c r="E256" s="146" t="s">
        <v>75</v>
      </c>
      <c r="F256" s="145" t="s">
        <v>1602</v>
      </c>
      <c r="G256" s="146" t="s">
        <v>20</v>
      </c>
      <c r="H256" s="146">
        <v>201603</v>
      </c>
      <c r="I256" s="147">
        <v>-1308.51</v>
      </c>
      <c r="J256" s="144">
        <f t="shared" si="14"/>
        <v>8</v>
      </c>
      <c r="K256" s="148">
        <v>1.4833299999999999E-3</v>
      </c>
      <c r="L256" s="147">
        <f t="shared" si="15"/>
        <v>-15.53</v>
      </c>
      <c r="M256" s="147">
        <f t="shared" si="16"/>
        <v>-23.29</v>
      </c>
      <c r="N256" s="145"/>
    </row>
    <row r="257" spans="1:14">
      <c r="A257" s="145" t="s">
        <v>14</v>
      </c>
      <c r="B257" s="146" t="s">
        <v>1681</v>
      </c>
      <c r="C257" s="146" t="s">
        <v>1999</v>
      </c>
      <c r="D257" s="145" t="s">
        <v>2000</v>
      </c>
      <c r="E257" s="146" t="s">
        <v>75</v>
      </c>
      <c r="F257" s="145" t="s">
        <v>1602</v>
      </c>
      <c r="G257" s="146" t="s">
        <v>20</v>
      </c>
      <c r="H257" s="146">
        <v>201603</v>
      </c>
      <c r="I257" s="147">
        <v>-167.35</v>
      </c>
      <c r="J257" s="144">
        <f t="shared" si="14"/>
        <v>8</v>
      </c>
      <c r="K257" s="148">
        <v>2.23333E-3</v>
      </c>
      <c r="L257" s="147">
        <f t="shared" si="15"/>
        <v>-2.99</v>
      </c>
      <c r="M257" s="147">
        <f t="shared" si="16"/>
        <v>-4.4800000000000004</v>
      </c>
      <c r="N257" s="145"/>
    </row>
    <row r="258" spans="1:14">
      <c r="A258" s="145" t="s">
        <v>1942</v>
      </c>
      <c r="B258" s="146" t="s">
        <v>1681</v>
      </c>
      <c r="C258" s="146" t="s">
        <v>1999</v>
      </c>
      <c r="D258" s="145" t="s">
        <v>2000</v>
      </c>
      <c r="E258" s="146" t="s">
        <v>75</v>
      </c>
      <c r="F258" s="145" t="s">
        <v>1602</v>
      </c>
      <c r="G258" s="146" t="s">
        <v>20</v>
      </c>
      <c r="H258" s="146">
        <v>201603</v>
      </c>
      <c r="I258" s="147">
        <v>-5.48</v>
      </c>
      <c r="J258" s="144">
        <f t="shared" si="14"/>
        <v>8</v>
      </c>
      <c r="K258" s="148">
        <v>2.23333E-3</v>
      </c>
      <c r="L258" s="147">
        <f t="shared" si="15"/>
        <v>-0.1</v>
      </c>
      <c r="M258" s="147">
        <f t="shared" si="16"/>
        <v>-0.15</v>
      </c>
      <c r="N258" s="145"/>
    </row>
    <row r="259" spans="1:14">
      <c r="A259" s="145" t="s">
        <v>21</v>
      </c>
      <c r="B259" s="146" t="s">
        <v>485</v>
      </c>
      <c r="C259" s="146" t="s">
        <v>486</v>
      </c>
      <c r="D259" s="145" t="s">
        <v>487</v>
      </c>
      <c r="E259" s="146" t="s">
        <v>75</v>
      </c>
      <c r="F259" s="145" t="s">
        <v>1602</v>
      </c>
      <c r="G259" s="146" t="s">
        <v>20</v>
      </c>
      <c r="H259" s="146">
        <v>201604</v>
      </c>
      <c r="I259" s="147">
        <v>3.89</v>
      </c>
      <c r="J259" s="144">
        <f t="shared" si="14"/>
        <v>7</v>
      </c>
      <c r="K259" s="148">
        <v>1.4833299999999999E-3</v>
      </c>
      <c r="L259" s="147">
        <f t="shared" si="15"/>
        <v>0.04</v>
      </c>
      <c r="M259" s="147">
        <f t="shared" si="16"/>
        <v>7.0000000000000007E-2</v>
      </c>
      <c r="N259" s="145"/>
    </row>
    <row r="260" spans="1:14">
      <c r="A260" s="145" t="s">
        <v>626</v>
      </c>
      <c r="B260" s="146" t="s">
        <v>1508</v>
      </c>
      <c r="C260" s="146" t="s">
        <v>1509</v>
      </c>
      <c r="D260" s="145" t="s">
        <v>1510</v>
      </c>
      <c r="E260" s="146" t="s">
        <v>75</v>
      </c>
      <c r="F260" s="145" t="s">
        <v>1602</v>
      </c>
      <c r="G260" s="146" t="s">
        <v>20</v>
      </c>
      <c r="H260" s="146">
        <v>201604</v>
      </c>
      <c r="I260" s="147">
        <v>1627.66</v>
      </c>
      <c r="J260" s="144">
        <f t="shared" si="14"/>
        <v>7</v>
      </c>
      <c r="K260" s="148">
        <v>1.4833299999999999E-3</v>
      </c>
      <c r="L260" s="147">
        <f t="shared" si="15"/>
        <v>16.899999999999999</v>
      </c>
      <c r="M260" s="147">
        <f t="shared" si="16"/>
        <v>28.97</v>
      </c>
      <c r="N260" s="145"/>
    </row>
    <row r="261" spans="1:14">
      <c r="A261" s="145" t="s">
        <v>626</v>
      </c>
      <c r="B261" s="146" t="s">
        <v>1861</v>
      </c>
      <c r="C261" s="146" t="s">
        <v>1862</v>
      </c>
      <c r="D261" s="145" t="s">
        <v>1863</v>
      </c>
      <c r="E261" s="146" t="s">
        <v>75</v>
      </c>
      <c r="F261" s="145" t="s">
        <v>1602</v>
      </c>
      <c r="G261" s="146" t="s">
        <v>20</v>
      </c>
      <c r="H261" s="146">
        <v>201604</v>
      </c>
      <c r="I261" s="147">
        <v>587.9</v>
      </c>
      <c r="J261" s="144">
        <f t="shared" si="14"/>
        <v>7</v>
      </c>
      <c r="K261" s="148">
        <v>1.4833299999999999E-3</v>
      </c>
      <c r="L261" s="147">
        <f t="shared" si="15"/>
        <v>6.1</v>
      </c>
      <c r="M261" s="147">
        <f t="shared" si="16"/>
        <v>10.46</v>
      </c>
      <c r="N261" s="145"/>
    </row>
    <row r="262" spans="1:14">
      <c r="A262" s="145" t="s">
        <v>626</v>
      </c>
      <c r="B262" s="146" t="s">
        <v>1864</v>
      </c>
      <c r="C262" s="146" t="s">
        <v>1865</v>
      </c>
      <c r="D262" s="145" t="s">
        <v>1866</v>
      </c>
      <c r="E262" s="146" t="s">
        <v>75</v>
      </c>
      <c r="F262" s="145" t="s">
        <v>1602</v>
      </c>
      <c r="G262" s="146" t="s">
        <v>20</v>
      </c>
      <c r="H262" s="146">
        <v>201604</v>
      </c>
      <c r="I262" s="147">
        <v>-4635.05</v>
      </c>
      <c r="J262" s="144">
        <f t="shared" si="14"/>
        <v>7</v>
      </c>
      <c r="K262" s="148">
        <v>1.4833299999999999E-3</v>
      </c>
      <c r="L262" s="147">
        <f t="shared" si="15"/>
        <v>-48.13</v>
      </c>
      <c r="M262" s="147">
        <f t="shared" si="16"/>
        <v>-82.5</v>
      </c>
      <c r="N262" s="145"/>
    </row>
    <row r="263" spans="1:14">
      <c r="A263" s="145" t="s">
        <v>626</v>
      </c>
      <c r="B263" s="146" t="s">
        <v>1867</v>
      </c>
      <c r="C263" s="146" t="s">
        <v>1868</v>
      </c>
      <c r="D263" s="145" t="s">
        <v>1869</v>
      </c>
      <c r="E263" s="146" t="s">
        <v>75</v>
      </c>
      <c r="F263" s="145" t="s">
        <v>1602</v>
      </c>
      <c r="G263" s="146" t="s">
        <v>20</v>
      </c>
      <c r="H263" s="146">
        <v>201604</v>
      </c>
      <c r="I263" s="147">
        <v>69.61</v>
      </c>
      <c r="J263" s="144">
        <f t="shared" si="14"/>
        <v>7</v>
      </c>
      <c r="K263" s="148">
        <v>1.4833299999999999E-3</v>
      </c>
      <c r="L263" s="147">
        <f t="shared" si="15"/>
        <v>0.72</v>
      </c>
      <c r="M263" s="147">
        <f t="shared" si="16"/>
        <v>1.24</v>
      </c>
      <c r="N263" s="145"/>
    </row>
    <row r="264" spans="1:14">
      <c r="A264" s="145" t="s">
        <v>626</v>
      </c>
      <c r="B264" s="146" t="s">
        <v>1870</v>
      </c>
      <c r="C264" s="146" t="s">
        <v>1871</v>
      </c>
      <c r="D264" s="145" t="s">
        <v>1872</v>
      </c>
      <c r="E264" s="146" t="s">
        <v>75</v>
      </c>
      <c r="F264" s="145" t="s">
        <v>1602</v>
      </c>
      <c r="G264" s="146" t="s">
        <v>20</v>
      </c>
      <c r="H264" s="146">
        <v>201604</v>
      </c>
      <c r="I264" s="147">
        <v>2050.66</v>
      </c>
      <c r="J264" s="144">
        <f t="shared" si="14"/>
        <v>7</v>
      </c>
      <c r="K264" s="148">
        <v>1.4833299999999999E-3</v>
      </c>
      <c r="L264" s="147">
        <f t="shared" si="15"/>
        <v>21.29</v>
      </c>
      <c r="M264" s="147">
        <f t="shared" si="16"/>
        <v>36.5</v>
      </c>
      <c r="N264" s="145"/>
    </row>
    <row r="265" spans="1:14">
      <c r="A265" s="145" t="s">
        <v>626</v>
      </c>
      <c r="B265" s="146" t="s">
        <v>1873</v>
      </c>
      <c r="C265" s="146" t="s">
        <v>1874</v>
      </c>
      <c r="D265" s="145" t="s">
        <v>1875</v>
      </c>
      <c r="E265" s="146" t="s">
        <v>75</v>
      </c>
      <c r="F265" s="145" t="s">
        <v>1602</v>
      </c>
      <c r="G265" s="146" t="s">
        <v>20</v>
      </c>
      <c r="H265" s="146">
        <v>201604</v>
      </c>
      <c r="I265" s="147">
        <v>3328.83</v>
      </c>
      <c r="J265" s="144">
        <f t="shared" si="14"/>
        <v>7</v>
      </c>
      <c r="K265" s="148">
        <v>1.4833299999999999E-3</v>
      </c>
      <c r="L265" s="147">
        <f t="shared" si="15"/>
        <v>34.56</v>
      </c>
      <c r="M265" s="147">
        <f t="shared" si="16"/>
        <v>59.25</v>
      </c>
      <c r="N265" s="145"/>
    </row>
    <row r="266" spans="1:14">
      <c r="A266" s="145" t="s">
        <v>626</v>
      </c>
      <c r="B266" s="146" t="s">
        <v>1681</v>
      </c>
      <c r="C266" s="146" t="s">
        <v>1705</v>
      </c>
      <c r="D266" s="145" t="s">
        <v>1706</v>
      </c>
      <c r="E266" s="146" t="s">
        <v>75</v>
      </c>
      <c r="F266" s="145" t="s">
        <v>1602</v>
      </c>
      <c r="G266" s="146" t="s">
        <v>20</v>
      </c>
      <c r="H266" s="146">
        <v>201604</v>
      </c>
      <c r="I266" s="147">
        <v>23340.87</v>
      </c>
      <c r="J266" s="144">
        <f t="shared" si="14"/>
        <v>7</v>
      </c>
      <c r="K266" s="148">
        <v>1.4833299999999999E-3</v>
      </c>
      <c r="L266" s="147">
        <f t="shared" si="15"/>
        <v>242.36</v>
      </c>
      <c r="M266" s="147">
        <f t="shared" si="16"/>
        <v>415.47</v>
      </c>
      <c r="N266" s="145"/>
    </row>
    <row r="267" spans="1:14">
      <c r="A267" s="145" t="s">
        <v>626</v>
      </c>
      <c r="B267" s="146" t="s">
        <v>1681</v>
      </c>
      <c r="C267" s="146" t="s">
        <v>1707</v>
      </c>
      <c r="D267" s="145" t="s">
        <v>1708</v>
      </c>
      <c r="E267" s="146" t="s">
        <v>75</v>
      </c>
      <c r="F267" s="145" t="s">
        <v>1602</v>
      </c>
      <c r="G267" s="146" t="s">
        <v>20</v>
      </c>
      <c r="H267" s="146">
        <v>201604</v>
      </c>
      <c r="I267" s="147">
        <v>408.31</v>
      </c>
      <c r="J267" s="144">
        <f t="shared" si="14"/>
        <v>7</v>
      </c>
      <c r="K267" s="148">
        <v>1.4833299999999999E-3</v>
      </c>
      <c r="L267" s="147">
        <f t="shared" si="15"/>
        <v>4.24</v>
      </c>
      <c r="M267" s="147">
        <f t="shared" si="16"/>
        <v>7.27</v>
      </c>
      <c r="N267" s="145"/>
    </row>
    <row r="268" spans="1:14">
      <c r="A268" s="145" t="s">
        <v>626</v>
      </c>
      <c r="B268" s="146" t="s">
        <v>1951</v>
      </c>
      <c r="C268" s="146" t="s">
        <v>1952</v>
      </c>
      <c r="D268" s="145" t="s">
        <v>1759</v>
      </c>
      <c r="E268" s="146" t="s">
        <v>75</v>
      </c>
      <c r="F268" s="145" t="s">
        <v>1602</v>
      </c>
      <c r="G268" s="146" t="s">
        <v>20</v>
      </c>
      <c r="H268" s="146">
        <v>201604</v>
      </c>
      <c r="I268" s="147">
        <v>1557.28</v>
      </c>
      <c r="J268" s="144">
        <f t="shared" si="14"/>
        <v>7</v>
      </c>
      <c r="K268" s="148">
        <v>1.4833299999999999E-3</v>
      </c>
      <c r="L268" s="147">
        <f t="shared" si="15"/>
        <v>16.170000000000002</v>
      </c>
      <c r="M268" s="147">
        <f t="shared" si="16"/>
        <v>27.72</v>
      </c>
      <c r="N268" s="145"/>
    </row>
    <row r="269" spans="1:14">
      <c r="A269" s="145" t="s">
        <v>626</v>
      </c>
      <c r="B269" s="146" t="s">
        <v>1721</v>
      </c>
      <c r="C269" s="146" t="s">
        <v>1722</v>
      </c>
      <c r="D269" s="145" t="s">
        <v>1723</v>
      </c>
      <c r="E269" s="146" t="s">
        <v>75</v>
      </c>
      <c r="F269" s="145" t="s">
        <v>1602</v>
      </c>
      <c r="G269" s="146" t="s">
        <v>20</v>
      </c>
      <c r="H269" s="146">
        <v>201604</v>
      </c>
      <c r="I269" s="147">
        <v>21.09</v>
      </c>
      <c r="J269" s="144">
        <f t="shared" si="14"/>
        <v>7</v>
      </c>
      <c r="K269" s="148">
        <v>1.4833299999999999E-3</v>
      </c>
      <c r="L269" s="147">
        <f t="shared" si="15"/>
        <v>0.22</v>
      </c>
      <c r="M269" s="147">
        <f t="shared" si="16"/>
        <v>0.38</v>
      </c>
      <c r="N269" s="145"/>
    </row>
    <row r="270" spans="1:14">
      <c r="A270" s="145" t="s">
        <v>626</v>
      </c>
      <c r="B270" s="146" t="s">
        <v>1953</v>
      </c>
      <c r="C270" s="146" t="s">
        <v>1954</v>
      </c>
      <c r="D270" s="145" t="s">
        <v>1955</v>
      </c>
      <c r="E270" s="146" t="s">
        <v>75</v>
      </c>
      <c r="F270" s="145" t="s">
        <v>1602</v>
      </c>
      <c r="G270" s="146" t="s">
        <v>20</v>
      </c>
      <c r="H270" s="146">
        <v>201604</v>
      </c>
      <c r="I270" s="147">
        <v>50.75</v>
      </c>
      <c r="J270" s="144">
        <f t="shared" si="14"/>
        <v>7</v>
      </c>
      <c r="K270" s="148">
        <v>1.4833299999999999E-3</v>
      </c>
      <c r="L270" s="147">
        <f t="shared" si="15"/>
        <v>0.53</v>
      </c>
      <c r="M270" s="147">
        <f t="shared" si="16"/>
        <v>0.9</v>
      </c>
      <c r="N270" s="145"/>
    </row>
    <row r="271" spans="1:14">
      <c r="A271" s="145" t="s">
        <v>626</v>
      </c>
      <c r="B271" s="146" t="s">
        <v>1724</v>
      </c>
      <c r="C271" s="146" t="s">
        <v>1725</v>
      </c>
      <c r="D271" s="145" t="s">
        <v>1726</v>
      </c>
      <c r="E271" s="146" t="s">
        <v>75</v>
      </c>
      <c r="F271" s="145" t="s">
        <v>1602</v>
      </c>
      <c r="G271" s="146" t="s">
        <v>20</v>
      </c>
      <c r="H271" s="146">
        <v>201604</v>
      </c>
      <c r="I271" s="147">
        <v>-18.47</v>
      </c>
      <c r="J271" s="144">
        <f t="shared" si="14"/>
        <v>7</v>
      </c>
      <c r="K271" s="148">
        <v>1.4833299999999999E-3</v>
      </c>
      <c r="L271" s="147">
        <f t="shared" si="15"/>
        <v>-0.19</v>
      </c>
      <c r="M271" s="147">
        <f t="shared" si="16"/>
        <v>-0.33</v>
      </c>
      <c r="N271" s="145"/>
    </row>
    <row r="272" spans="1:14">
      <c r="A272" s="145" t="s">
        <v>626</v>
      </c>
      <c r="B272" s="146" t="s">
        <v>1791</v>
      </c>
      <c r="C272" s="146" t="s">
        <v>1792</v>
      </c>
      <c r="D272" s="145" t="s">
        <v>1793</v>
      </c>
      <c r="E272" s="146" t="s">
        <v>75</v>
      </c>
      <c r="F272" s="145" t="s">
        <v>1602</v>
      </c>
      <c r="G272" s="146" t="s">
        <v>20</v>
      </c>
      <c r="H272" s="146">
        <v>201604</v>
      </c>
      <c r="I272" s="147">
        <v>6075.28</v>
      </c>
      <c r="J272" s="144">
        <f t="shared" si="14"/>
        <v>7</v>
      </c>
      <c r="K272" s="148">
        <v>1.4833299999999999E-3</v>
      </c>
      <c r="L272" s="147">
        <f t="shared" si="15"/>
        <v>63.08</v>
      </c>
      <c r="M272" s="147">
        <f t="shared" si="16"/>
        <v>108.14</v>
      </c>
      <c r="N272" s="145"/>
    </row>
    <row r="273" spans="1:14">
      <c r="A273" s="145" t="s">
        <v>133</v>
      </c>
      <c r="B273" s="146" t="s">
        <v>1876</v>
      </c>
      <c r="C273" s="146" t="s">
        <v>1877</v>
      </c>
      <c r="D273" s="145" t="s">
        <v>1878</v>
      </c>
      <c r="E273" s="146" t="s">
        <v>75</v>
      </c>
      <c r="F273" s="145" t="s">
        <v>1602</v>
      </c>
      <c r="G273" s="146" t="s">
        <v>20</v>
      </c>
      <c r="H273" s="146">
        <v>201604</v>
      </c>
      <c r="I273" s="147">
        <v>1629</v>
      </c>
      <c r="J273" s="144">
        <f t="shared" si="14"/>
        <v>7</v>
      </c>
      <c r="K273" s="148">
        <v>1.4833299999999999E-3</v>
      </c>
      <c r="L273" s="147">
        <f t="shared" si="15"/>
        <v>16.91</v>
      </c>
      <c r="M273" s="147">
        <f t="shared" si="16"/>
        <v>29</v>
      </c>
      <c r="N273" s="145"/>
    </row>
    <row r="274" spans="1:14">
      <c r="A274" s="145" t="s">
        <v>626</v>
      </c>
      <c r="B274" s="146" t="s">
        <v>1879</v>
      </c>
      <c r="C274" s="146" t="s">
        <v>1880</v>
      </c>
      <c r="D274" s="145" t="s">
        <v>1273</v>
      </c>
      <c r="E274" s="146" t="s">
        <v>75</v>
      </c>
      <c r="F274" s="145" t="s">
        <v>1602</v>
      </c>
      <c r="G274" s="146" t="s">
        <v>20</v>
      </c>
      <c r="H274" s="146">
        <v>201604</v>
      </c>
      <c r="I274" s="147">
        <v>260.91000000000003</v>
      </c>
      <c r="J274" s="144">
        <f t="shared" si="14"/>
        <v>7</v>
      </c>
      <c r="K274" s="148">
        <v>1.4833299999999999E-3</v>
      </c>
      <c r="L274" s="147">
        <f t="shared" si="15"/>
        <v>2.71</v>
      </c>
      <c r="M274" s="147">
        <f t="shared" si="16"/>
        <v>4.6399999999999997</v>
      </c>
      <c r="N274" s="145"/>
    </row>
    <row r="275" spans="1:14">
      <c r="A275" s="145" t="s">
        <v>21</v>
      </c>
      <c r="B275" s="146" t="s">
        <v>1727</v>
      </c>
      <c r="C275" s="146" t="s">
        <v>1728</v>
      </c>
      <c r="D275" s="145" t="s">
        <v>1729</v>
      </c>
      <c r="E275" s="146" t="s">
        <v>75</v>
      </c>
      <c r="F275" s="145" t="s">
        <v>1602</v>
      </c>
      <c r="G275" s="146" t="s">
        <v>20</v>
      </c>
      <c r="H275" s="146">
        <v>201604</v>
      </c>
      <c r="I275" s="147">
        <v>308.83999999999997</v>
      </c>
      <c r="J275" s="144">
        <f t="shared" si="14"/>
        <v>7</v>
      </c>
      <c r="K275" s="148">
        <v>1.4833299999999999E-3</v>
      </c>
      <c r="L275" s="147">
        <f t="shared" si="15"/>
        <v>3.21</v>
      </c>
      <c r="M275" s="147">
        <f t="shared" si="16"/>
        <v>5.5</v>
      </c>
      <c r="N275" s="145"/>
    </row>
    <row r="276" spans="1:14">
      <c r="A276" s="145" t="s">
        <v>626</v>
      </c>
      <c r="B276" s="146" t="s">
        <v>1881</v>
      </c>
      <c r="C276" s="146" t="s">
        <v>1882</v>
      </c>
      <c r="D276" s="145" t="s">
        <v>1883</v>
      </c>
      <c r="E276" s="146" t="s">
        <v>75</v>
      </c>
      <c r="F276" s="145" t="s">
        <v>1602</v>
      </c>
      <c r="G276" s="146" t="s">
        <v>20</v>
      </c>
      <c r="H276" s="146">
        <v>201604</v>
      </c>
      <c r="I276" s="147">
        <v>272.52</v>
      </c>
      <c r="J276" s="144">
        <f t="shared" si="14"/>
        <v>7</v>
      </c>
      <c r="K276" s="148">
        <v>1.4833299999999999E-3</v>
      </c>
      <c r="L276" s="147">
        <f t="shared" si="15"/>
        <v>2.83</v>
      </c>
      <c r="M276" s="147">
        <f t="shared" si="16"/>
        <v>4.8499999999999996</v>
      </c>
      <c r="N276" s="145"/>
    </row>
    <row r="277" spans="1:14">
      <c r="A277" s="145" t="s">
        <v>626</v>
      </c>
      <c r="B277" s="146" t="s">
        <v>1884</v>
      </c>
      <c r="C277" s="146" t="s">
        <v>1885</v>
      </c>
      <c r="D277" s="145" t="s">
        <v>1886</v>
      </c>
      <c r="E277" s="146" t="s">
        <v>75</v>
      </c>
      <c r="F277" s="145" t="s">
        <v>1602</v>
      </c>
      <c r="G277" s="146" t="s">
        <v>20</v>
      </c>
      <c r="H277" s="146">
        <v>201604</v>
      </c>
      <c r="I277" s="147">
        <v>146.33000000000001</v>
      </c>
      <c r="J277" s="144">
        <f t="shared" si="14"/>
        <v>7</v>
      </c>
      <c r="K277" s="148">
        <v>1.4833299999999999E-3</v>
      </c>
      <c r="L277" s="147">
        <f t="shared" si="15"/>
        <v>1.52</v>
      </c>
      <c r="M277" s="147">
        <f t="shared" si="16"/>
        <v>2.6</v>
      </c>
      <c r="N277" s="145"/>
    </row>
    <row r="278" spans="1:14">
      <c r="A278" s="145" t="s">
        <v>626</v>
      </c>
      <c r="B278" s="146" t="s">
        <v>1890</v>
      </c>
      <c r="C278" s="146" t="s">
        <v>1891</v>
      </c>
      <c r="D278" s="145" t="s">
        <v>1495</v>
      </c>
      <c r="E278" s="146" t="s">
        <v>75</v>
      </c>
      <c r="F278" s="145" t="s">
        <v>1602</v>
      </c>
      <c r="G278" s="146" t="s">
        <v>20</v>
      </c>
      <c r="H278" s="146">
        <v>201604</v>
      </c>
      <c r="I278" s="147">
        <v>849.85</v>
      </c>
      <c r="J278" s="144">
        <f t="shared" si="14"/>
        <v>7</v>
      </c>
      <c r="K278" s="148">
        <v>1.4833299999999999E-3</v>
      </c>
      <c r="L278" s="147">
        <f t="shared" si="15"/>
        <v>8.82</v>
      </c>
      <c r="M278" s="147">
        <f t="shared" si="16"/>
        <v>15.13</v>
      </c>
      <c r="N278" s="145"/>
    </row>
    <row r="279" spans="1:14">
      <c r="A279" s="145" t="s">
        <v>21</v>
      </c>
      <c r="B279" s="146" t="s">
        <v>1956</v>
      </c>
      <c r="C279" s="146" t="s">
        <v>1957</v>
      </c>
      <c r="D279" s="145" t="s">
        <v>1958</v>
      </c>
      <c r="E279" s="146" t="s">
        <v>75</v>
      </c>
      <c r="F279" s="145" t="s">
        <v>1602</v>
      </c>
      <c r="G279" s="146" t="s">
        <v>20</v>
      </c>
      <c r="H279" s="146">
        <v>201604</v>
      </c>
      <c r="I279" s="147">
        <v>32043.040000000001</v>
      </c>
      <c r="J279" s="144">
        <f t="shared" si="14"/>
        <v>7</v>
      </c>
      <c r="K279" s="148">
        <v>1.4833299999999999E-3</v>
      </c>
      <c r="L279" s="147">
        <f t="shared" si="15"/>
        <v>332.71</v>
      </c>
      <c r="M279" s="147">
        <f t="shared" si="16"/>
        <v>570.36</v>
      </c>
      <c r="N279" s="145"/>
    </row>
    <row r="280" spans="1:14">
      <c r="A280" s="145" t="s">
        <v>626</v>
      </c>
      <c r="B280" s="146" t="s">
        <v>1892</v>
      </c>
      <c r="C280" s="146" t="s">
        <v>1893</v>
      </c>
      <c r="D280" s="145" t="s">
        <v>1894</v>
      </c>
      <c r="E280" s="146" t="s">
        <v>75</v>
      </c>
      <c r="F280" s="145" t="s">
        <v>1602</v>
      </c>
      <c r="G280" s="146" t="s">
        <v>20</v>
      </c>
      <c r="H280" s="146">
        <v>201604</v>
      </c>
      <c r="I280" s="147">
        <v>1865.73</v>
      </c>
      <c r="J280" s="144">
        <f t="shared" si="14"/>
        <v>7</v>
      </c>
      <c r="K280" s="148">
        <v>1.4833299999999999E-3</v>
      </c>
      <c r="L280" s="147">
        <f t="shared" si="15"/>
        <v>19.37</v>
      </c>
      <c r="M280" s="147">
        <f t="shared" si="16"/>
        <v>33.21</v>
      </c>
      <c r="N280" s="145"/>
    </row>
    <row r="281" spans="1:14">
      <c r="A281" s="145" t="s">
        <v>626</v>
      </c>
      <c r="B281" s="146" t="s">
        <v>1959</v>
      </c>
      <c r="C281" s="146" t="s">
        <v>1960</v>
      </c>
      <c r="D281" s="145" t="s">
        <v>1495</v>
      </c>
      <c r="E281" s="146" t="s">
        <v>75</v>
      </c>
      <c r="F281" s="145" t="s">
        <v>1602</v>
      </c>
      <c r="G281" s="146" t="s">
        <v>20</v>
      </c>
      <c r="H281" s="146">
        <v>201604</v>
      </c>
      <c r="I281" s="147">
        <v>34.590000000000003</v>
      </c>
      <c r="J281" s="144">
        <f t="shared" si="14"/>
        <v>7</v>
      </c>
      <c r="K281" s="148">
        <v>1.4833299999999999E-3</v>
      </c>
      <c r="L281" s="147">
        <f t="shared" si="15"/>
        <v>0.36</v>
      </c>
      <c r="M281" s="147">
        <f t="shared" si="16"/>
        <v>0.62</v>
      </c>
      <c r="N281" s="145"/>
    </row>
    <row r="282" spans="1:14">
      <c r="A282" s="145" t="s">
        <v>626</v>
      </c>
      <c r="B282" s="146" t="s">
        <v>1898</v>
      </c>
      <c r="C282" s="146" t="s">
        <v>1899</v>
      </c>
      <c r="D282" s="145" t="s">
        <v>1900</v>
      </c>
      <c r="E282" s="146" t="s">
        <v>75</v>
      </c>
      <c r="F282" s="145" t="s">
        <v>1602</v>
      </c>
      <c r="G282" s="146" t="s">
        <v>20</v>
      </c>
      <c r="H282" s="146">
        <v>201604</v>
      </c>
      <c r="I282" s="147">
        <v>823.68</v>
      </c>
      <c r="J282" s="144">
        <f t="shared" si="14"/>
        <v>7</v>
      </c>
      <c r="K282" s="148">
        <v>1.4833299999999999E-3</v>
      </c>
      <c r="L282" s="147">
        <f t="shared" si="15"/>
        <v>8.5500000000000007</v>
      </c>
      <c r="M282" s="147">
        <f t="shared" si="16"/>
        <v>14.66</v>
      </c>
      <c r="N282" s="145"/>
    </row>
    <row r="283" spans="1:14">
      <c r="A283" s="145" t="s">
        <v>626</v>
      </c>
      <c r="B283" s="146" t="s">
        <v>1901</v>
      </c>
      <c r="C283" s="146" t="s">
        <v>1902</v>
      </c>
      <c r="D283" s="145" t="s">
        <v>1903</v>
      </c>
      <c r="E283" s="146" t="s">
        <v>75</v>
      </c>
      <c r="F283" s="145" t="s">
        <v>1602</v>
      </c>
      <c r="G283" s="146" t="s">
        <v>20</v>
      </c>
      <c r="H283" s="146">
        <v>201604</v>
      </c>
      <c r="I283" s="147">
        <v>5549.6</v>
      </c>
      <c r="J283" s="144">
        <f t="shared" si="14"/>
        <v>7</v>
      </c>
      <c r="K283" s="148">
        <v>1.4833299999999999E-3</v>
      </c>
      <c r="L283" s="147">
        <f t="shared" si="15"/>
        <v>57.62</v>
      </c>
      <c r="M283" s="147">
        <f t="shared" si="16"/>
        <v>98.78</v>
      </c>
      <c r="N283" s="145"/>
    </row>
    <row r="284" spans="1:14">
      <c r="A284" s="145" t="s">
        <v>626</v>
      </c>
      <c r="B284" s="146" t="s">
        <v>1904</v>
      </c>
      <c r="C284" s="146" t="s">
        <v>1905</v>
      </c>
      <c r="D284" s="145" t="s">
        <v>1906</v>
      </c>
      <c r="E284" s="146" t="s">
        <v>75</v>
      </c>
      <c r="F284" s="145" t="s">
        <v>1602</v>
      </c>
      <c r="G284" s="146" t="s">
        <v>20</v>
      </c>
      <c r="H284" s="146">
        <v>201604</v>
      </c>
      <c r="I284" s="147">
        <v>748.05</v>
      </c>
      <c r="J284" s="144">
        <f t="shared" si="14"/>
        <v>7</v>
      </c>
      <c r="K284" s="148">
        <v>1.4833299999999999E-3</v>
      </c>
      <c r="L284" s="147">
        <f t="shared" si="15"/>
        <v>7.77</v>
      </c>
      <c r="M284" s="147">
        <f t="shared" si="16"/>
        <v>13.32</v>
      </c>
      <c r="N284" s="145"/>
    </row>
    <row r="285" spans="1:14">
      <c r="A285" s="145" t="s">
        <v>626</v>
      </c>
      <c r="B285" s="146" t="s">
        <v>1800</v>
      </c>
      <c r="C285" s="146" t="s">
        <v>1801</v>
      </c>
      <c r="D285" s="145" t="s">
        <v>1802</v>
      </c>
      <c r="E285" s="146" t="s">
        <v>75</v>
      </c>
      <c r="F285" s="145" t="s">
        <v>1602</v>
      </c>
      <c r="G285" s="146" t="s">
        <v>20</v>
      </c>
      <c r="H285" s="146">
        <v>201604</v>
      </c>
      <c r="I285" s="147">
        <v>9785.5400000000009</v>
      </c>
      <c r="J285" s="144">
        <f t="shared" si="14"/>
        <v>7</v>
      </c>
      <c r="K285" s="148">
        <v>1.4833299999999999E-3</v>
      </c>
      <c r="L285" s="147">
        <f t="shared" si="15"/>
        <v>101.61</v>
      </c>
      <c r="M285" s="147">
        <f t="shared" si="16"/>
        <v>174.18</v>
      </c>
      <c r="N285" s="145"/>
    </row>
    <row r="286" spans="1:14">
      <c r="A286" s="145" t="s">
        <v>626</v>
      </c>
      <c r="B286" s="146" t="s">
        <v>2045</v>
      </c>
      <c r="C286" s="146" t="s">
        <v>2046</v>
      </c>
      <c r="D286" s="145" t="s">
        <v>2047</v>
      </c>
      <c r="E286" s="146" t="s">
        <v>75</v>
      </c>
      <c r="F286" s="145" t="s">
        <v>1602</v>
      </c>
      <c r="G286" s="146" t="s">
        <v>20</v>
      </c>
      <c r="H286" s="146">
        <v>201604</v>
      </c>
      <c r="I286" s="147">
        <v>323453.55</v>
      </c>
      <c r="J286" s="144">
        <f t="shared" si="14"/>
        <v>7</v>
      </c>
      <c r="K286" s="148">
        <v>1.4833299999999999E-3</v>
      </c>
      <c r="L286" s="147">
        <f t="shared" si="15"/>
        <v>3358.52</v>
      </c>
      <c r="M286" s="147">
        <f t="shared" si="16"/>
        <v>5757.46</v>
      </c>
      <c r="N286" s="145"/>
    </row>
    <row r="287" spans="1:14">
      <c r="A287" s="145" t="s">
        <v>626</v>
      </c>
      <c r="B287" s="146" t="s">
        <v>1961</v>
      </c>
      <c r="C287" s="146" t="s">
        <v>1962</v>
      </c>
      <c r="D287" s="145" t="s">
        <v>1963</v>
      </c>
      <c r="E287" s="146" t="s">
        <v>75</v>
      </c>
      <c r="F287" s="145" t="s">
        <v>1602</v>
      </c>
      <c r="G287" s="146" t="s">
        <v>20</v>
      </c>
      <c r="H287" s="146">
        <v>201604</v>
      </c>
      <c r="I287" s="147">
        <v>2214.38</v>
      </c>
      <c r="J287" s="144">
        <f t="shared" si="14"/>
        <v>7</v>
      </c>
      <c r="K287" s="148">
        <v>1.4833299999999999E-3</v>
      </c>
      <c r="L287" s="147">
        <f t="shared" si="15"/>
        <v>22.99</v>
      </c>
      <c r="M287" s="147">
        <f t="shared" si="16"/>
        <v>39.42</v>
      </c>
      <c r="N287" s="145"/>
    </row>
    <row r="288" spans="1:14">
      <c r="A288" s="145" t="s">
        <v>626</v>
      </c>
      <c r="B288" s="146" t="s">
        <v>1907</v>
      </c>
      <c r="C288" s="146" t="s">
        <v>1908</v>
      </c>
      <c r="D288" s="145" t="s">
        <v>1909</v>
      </c>
      <c r="E288" s="146" t="s">
        <v>75</v>
      </c>
      <c r="F288" s="145" t="s">
        <v>1602</v>
      </c>
      <c r="G288" s="146" t="s">
        <v>20</v>
      </c>
      <c r="H288" s="146">
        <v>201604</v>
      </c>
      <c r="I288" s="147">
        <v>3857.9</v>
      </c>
      <c r="J288" s="144">
        <f t="shared" si="14"/>
        <v>7</v>
      </c>
      <c r="K288" s="148">
        <v>1.4833299999999999E-3</v>
      </c>
      <c r="L288" s="147">
        <f t="shared" si="15"/>
        <v>40.06</v>
      </c>
      <c r="M288" s="147">
        <f t="shared" si="16"/>
        <v>68.67</v>
      </c>
      <c r="N288" s="145"/>
    </row>
    <row r="289" spans="1:14">
      <c r="A289" s="145" t="s">
        <v>626</v>
      </c>
      <c r="B289" s="146" t="s">
        <v>1748</v>
      </c>
      <c r="C289" s="146" t="s">
        <v>1749</v>
      </c>
      <c r="D289" s="145" t="s">
        <v>1750</v>
      </c>
      <c r="E289" s="146" t="s">
        <v>75</v>
      </c>
      <c r="F289" s="145" t="s">
        <v>1602</v>
      </c>
      <c r="G289" s="146" t="s">
        <v>20</v>
      </c>
      <c r="H289" s="146">
        <v>201604</v>
      </c>
      <c r="I289" s="147">
        <v>4220.22</v>
      </c>
      <c r="J289" s="144">
        <f t="shared" si="14"/>
        <v>7</v>
      </c>
      <c r="K289" s="148">
        <v>1.4833299999999999E-3</v>
      </c>
      <c r="L289" s="147">
        <f t="shared" si="15"/>
        <v>43.82</v>
      </c>
      <c r="M289" s="147">
        <f t="shared" si="16"/>
        <v>75.12</v>
      </c>
      <c r="N289" s="145"/>
    </row>
    <row r="290" spans="1:14">
      <c r="A290" s="145" t="s">
        <v>626</v>
      </c>
      <c r="B290" s="146" t="s">
        <v>1910</v>
      </c>
      <c r="C290" s="146" t="s">
        <v>1911</v>
      </c>
      <c r="D290" s="145" t="s">
        <v>1912</v>
      </c>
      <c r="E290" s="146" t="s">
        <v>75</v>
      </c>
      <c r="F290" s="145" t="s">
        <v>1602</v>
      </c>
      <c r="G290" s="146" t="s">
        <v>20</v>
      </c>
      <c r="H290" s="146">
        <v>201604</v>
      </c>
      <c r="I290" s="147">
        <v>4301.6099999999997</v>
      </c>
      <c r="J290" s="144">
        <f t="shared" si="14"/>
        <v>7</v>
      </c>
      <c r="K290" s="148">
        <v>1.4833299999999999E-3</v>
      </c>
      <c r="L290" s="147">
        <f t="shared" si="15"/>
        <v>44.66</v>
      </c>
      <c r="M290" s="147">
        <f t="shared" si="16"/>
        <v>76.569999999999993</v>
      </c>
      <c r="N290" s="145"/>
    </row>
    <row r="291" spans="1:14">
      <c r="A291" s="145" t="s">
        <v>626</v>
      </c>
      <c r="B291" s="146" t="s">
        <v>1913</v>
      </c>
      <c r="C291" s="146" t="s">
        <v>1914</v>
      </c>
      <c r="D291" s="145" t="s">
        <v>1915</v>
      </c>
      <c r="E291" s="146" t="s">
        <v>75</v>
      </c>
      <c r="F291" s="145" t="s">
        <v>1602</v>
      </c>
      <c r="G291" s="146" t="s">
        <v>20</v>
      </c>
      <c r="H291" s="146">
        <v>201604</v>
      </c>
      <c r="I291" s="147">
        <v>350.52</v>
      </c>
      <c r="J291" s="144">
        <f t="shared" si="14"/>
        <v>7</v>
      </c>
      <c r="K291" s="148">
        <v>1.4833299999999999E-3</v>
      </c>
      <c r="L291" s="147">
        <f t="shared" si="15"/>
        <v>3.64</v>
      </c>
      <c r="M291" s="147">
        <f t="shared" si="16"/>
        <v>6.24</v>
      </c>
      <c r="N291" s="145"/>
    </row>
    <row r="292" spans="1:14">
      <c r="A292" s="145" t="s">
        <v>626</v>
      </c>
      <c r="B292" s="146" t="s">
        <v>1916</v>
      </c>
      <c r="C292" s="146" t="s">
        <v>1917</v>
      </c>
      <c r="D292" s="145" t="s">
        <v>1273</v>
      </c>
      <c r="E292" s="146" t="s">
        <v>75</v>
      </c>
      <c r="F292" s="145" t="s">
        <v>1602</v>
      </c>
      <c r="G292" s="146" t="s">
        <v>20</v>
      </c>
      <c r="H292" s="146">
        <v>201604</v>
      </c>
      <c r="I292" s="147">
        <v>2765.92</v>
      </c>
      <c r="J292" s="144">
        <f t="shared" si="14"/>
        <v>7</v>
      </c>
      <c r="K292" s="148">
        <v>1.4833299999999999E-3</v>
      </c>
      <c r="L292" s="147">
        <f t="shared" si="15"/>
        <v>28.72</v>
      </c>
      <c r="M292" s="147">
        <f t="shared" si="16"/>
        <v>49.23</v>
      </c>
      <c r="N292" s="145"/>
    </row>
    <row r="293" spans="1:14">
      <c r="A293" s="145" t="s">
        <v>626</v>
      </c>
      <c r="B293" s="146" t="s">
        <v>1806</v>
      </c>
      <c r="C293" s="146" t="s">
        <v>1807</v>
      </c>
      <c r="D293" s="145" t="s">
        <v>1808</v>
      </c>
      <c r="E293" s="146" t="s">
        <v>75</v>
      </c>
      <c r="F293" s="145" t="s">
        <v>1602</v>
      </c>
      <c r="G293" s="146" t="s">
        <v>20</v>
      </c>
      <c r="H293" s="146">
        <v>201604</v>
      </c>
      <c r="I293" s="147">
        <v>366.1</v>
      </c>
      <c r="J293" s="144">
        <f t="shared" si="14"/>
        <v>7</v>
      </c>
      <c r="K293" s="148">
        <v>1.4833299999999999E-3</v>
      </c>
      <c r="L293" s="147">
        <f t="shared" si="15"/>
        <v>3.8</v>
      </c>
      <c r="M293" s="147">
        <f t="shared" si="16"/>
        <v>6.52</v>
      </c>
      <c r="N293" s="145"/>
    </row>
    <row r="294" spans="1:14">
      <c r="A294" s="145" t="s">
        <v>626</v>
      </c>
      <c r="B294" s="146" t="s">
        <v>1918</v>
      </c>
      <c r="C294" s="146" t="s">
        <v>1919</v>
      </c>
      <c r="D294" s="145" t="s">
        <v>1920</v>
      </c>
      <c r="E294" s="146" t="s">
        <v>75</v>
      </c>
      <c r="F294" s="145" t="s">
        <v>1602</v>
      </c>
      <c r="G294" s="146" t="s">
        <v>20</v>
      </c>
      <c r="H294" s="146">
        <v>201604</v>
      </c>
      <c r="I294" s="147">
        <v>259.12</v>
      </c>
      <c r="J294" s="144">
        <f t="shared" si="14"/>
        <v>7</v>
      </c>
      <c r="K294" s="148">
        <v>1.4833299999999999E-3</v>
      </c>
      <c r="L294" s="147">
        <f t="shared" si="15"/>
        <v>2.69</v>
      </c>
      <c r="M294" s="147">
        <f t="shared" si="16"/>
        <v>4.6100000000000003</v>
      </c>
      <c r="N294" s="145"/>
    </row>
    <row r="295" spans="1:14">
      <c r="A295" s="145" t="s">
        <v>626</v>
      </c>
      <c r="B295" s="146" t="s">
        <v>1924</v>
      </c>
      <c r="C295" s="146" t="s">
        <v>1925</v>
      </c>
      <c r="D295" s="145" t="s">
        <v>1926</v>
      </c>
      <c r="E295" s="146" t="s">
        <v>75</v>
      </c>
      <c r="F295" s="145" t="s">
        <v>1602</v>
      </c>
      <c r="G295" s="146" t="s">
        <v>20</v>
      </c>
      <c r="H295" s="146">
        <v>201604</v>
      </c>
      <c r="I295" s="147">
        <v>130.28</v>
      </c>
      <c r="J295" s="144">
        <f t="shared" si="14"/>
        <v>7</v>
      </c>
      <c r="K295" s="148">
        <v>1.4833299999999999E-3</v>
      </c>
      <c r="L295" s="147">
        <f t="shared" si="15"/>
        <v>1.35</v>
      </c>
      <c r="M295" s="147">
        <f t="shared" si="16"/>
        <v>2.3199999999999998</v>
      </c>
      <c r="N295" s="145"/>
    </row>
    <row r="296" spans="1:14">
      <c r="A296" s="145" t="s">
        <v>626</v>
      </c>
      <c r="B296" s="146" t="s">
        <v>1927</v>
      </c>
      <c r="C296" s="146" t="s">
        <v>1928</v>
      </c>
      <c r="D296" s="145" t="s">
        <v>1929</v>
      </c>
      <c r="E296" s="146" t="s">
        <v>75</v>
      </c>
      <c r="F296" s="145" t="s">
        <v>1602</v>
      </c>
      <c r="G296" s="146" t="s">
        <v>20</v>
      </c>
      <c r="H296" s="146">
        <v>201604</v>
      </c>
      <c r="I296" s="147">
        <v>125.24</v>
      </c>
      <c r="J296" s="144">
        <f t="shared" si="14"/>
        <v>7</v>
      </c>
      <c r="K296" s="148">
        <v>1.4833299999999999E-3</v>
      </c>
      <c r="L296" s="147">
        <f t="shared" si="15"/>
        <v>1.3</v>
      </c>
      <c r="M296" s="147">
        <f t="shared" si="16"/>
        <v>2.23</v>
      </c>
      <c r="N296" s="145"/>
    </row>
    <row r="297" spans="1:14">
      <c r="A297" s="145" t="s">
        <v>626</v>
      </c>
      <c r="B297" s="146" t="s">
        <v>1930</v>
      </c>
      <c r="C297" s="146" t="s">
        <v>1931</v>
      </c>
      <c r="D297" s="145" t="s">
        <v>1932</v>
      </c>
      <c r="E297" s="146" t="s">
        <v>75</v>
      </c>
      <c r="F297" s="145" t="s">
        <v>1602</v>
      </c>
      <c r="G297" s="146" t="s">
        <v>20</v>
      </c>
      <c r="H297" s="146">
        <v>201604</v>
      </c>
      <c r="I297" s="147">
        <v>428.99</v>
      </c>
      <c r="J297" s="144">
        <f t="shared" si="14"/>
        <v>7</v>
      </c>
      <c r="K297" s="148">
        <v>1.4833299999999999E-3</v>
      </c>
      <c r="L297" s="147">
        <f t="shared" si="15"/>
        <v>4.45</v>
      </c>
      <c r="M297" s="147">
        <f t="shared" si="16"/>
        <v>7.64</v>
      </c>
      <c r="N297" s="145"/>
    </row>
    <row r="298" spans="1:14">
      <c r="A298" s="145" t="s">
        <v>626</v>
      </c>
      <c r="B298" s="146" t="s">
        <v>1933</v>
      </c>
      <c r="C298" s="146" t="s">
        <v>1934</v>
      </c>
      <c r="D298" s="145" t="s">
        <v>1935</v>
      </c>
      <c r="E298" s="146" t="s">
        <v>75</v>
      </c>
      <c r="F298" s="145" t="s">
        <v>1602</v>
      </c>
      <c r="G298" s="146" t="s">
        <v>20</v>
      </c>
      <c r="H298" s="146">
        <v>201604</v>
      </c>
      <c r="I298" s="147">
        <v>274.92</v>
      </c>
      <c r="J298" s="144">
        <f t="shared" si="14"/>
        <v>7</v>
      </c>
      <c r="K298" s="148">
        <v>1.4833299999999999E-3</v>
      </c>
      <c r="L298" s="147">
        <f t="shared" si="15"/>
        <v>2.85</v>
      </c>
      <c r="M298" s="147">
        <f t="shared" si="16"/>
        <v>4.8899999999999997</v>
      </c>
      <c r="N298" s="145"/>
    </row>
    <row r="299" spans="1:14">
      <c r="A299" s="145" t="s">
        <v>626</v>
      </c>
      <c r="B299" s="146" t="s">
        <v>1936</v>
      </c>
      <c r="C299" s="146" t="s">
        <v>1937</v>
      </c>
      <c r="D299" s="145" t="s">
        <v>1938</v>
      </c>
      <c r="E299" s="146" t="s">
        <v>75</v>
      </c>
      <c r="F299" s="145" t="s">
        <v>1602</v>
      </c>
      <c r="G299" s="146" t="s">
        <v>20</v>
      </c>
      <c r="H299" s="146">
        <v>201604</v>
      </c>
      <c r="I299" s="147">
        <v>254.42</v>
      </c>
      <c r="J299" s="144">
        <f t="shared" si="14"/>
        <v>7</v>
      </c>
      <c r="K299" s="148">
        <v>1.4833299999999999E-3</v>
      </c>
      <c r="L299" s="147">
        <f t="shared" si="15"/>
        <v>2.64</v>
      </c>
      <c r="M299" s="147">
        <f t="shared" si="16"/>
        <v>4.53</v>
      </c>
      <c r="N299" s="145"/>
    </row>
    <row r="300" spans="1:14">
      <c r="A300" s="145" t="s">
        <v>626</v>
      </c>
      <c r="B300" s="146" t="s">
        <v>1809</v>
      </c>
      <c r="C300" s="146" t="s">
        <v>1810</v>
      </c>
      <c r="D300" s="145" t="s">
        <v>1323</v>
      </c>
      <c r="E300" s="146" t="s">
        <v>75</v>
      </c>
      <c r="F300" s="145" t="s">
        <v>1602</v>
      </c>
      <c r="G300" s="146" t="s">
        <v>20</v>
      </c>
      <c r="H300" s="146">
        <v>201604</v>
      </c>
      <c r="I300" s="147">
        <v>-0.48</v>
      </c>
      <c r="J300" s="144">
        <f t="shared" si="14"/>
        <v>7</v>
      </c>
      <c r="K300" s="148">
        <v>1.4833299999999999E-3</v>
      </c>
      <c r="L300" s="147">
        <f t="shared" si="15"/>
        <v>0</v>
      </c>
      <c r="M300" s="147">
        <f t="shared" si="16"/>
        <v>-0.01</v>
      </c>
      <c r="N300" s="145"/>
    </row>
    <row r="301" spans="1:14">
      <c r="A301" s="145" t="s">
        <v>626</v>
      </c>
      <c r="B301" s="146" t="s">
        <v>1978</v>
      </c>
      <c r="C301" s="146" t="s">
        <v>1979</v>
      </c>
      <c r="D301" s="145" t="s">
        <v>1980</v>
      </c>
      <c r="E301" s="146" t="s">
        <v>75</v>
      </c>
      <c r="F301" s="145" t="s">
        <v>1602</v>
      </c>
      <c r="G301" s="146" t="s">
        <v>20</v>
      </c>
      <c r="H301" s="146">
        <v>201604</v>
      </c>
      <c r="I301" s="147">
        <v>39438.81</v>
      </c>
      <c r="J301" s="144">
        <f t="shared" si="14"/>
        <v>7</v>
      </c>
      <c r="K301" s="148">
        <v>1.4833299999999999E-3</v>
      </c>
      <c r="L301" s="147">
        <f t="shared" si="15"/>
        <v>409.51</v>
      </c>
      <c r="M301" s="147">
        <f t="shared" si="16"/>
        <v>702.01</v>
      </c>
      <c r="N301" s="145"/>
    </row>
    <row r="302" spans="1:14">
      <c r="A302" s="145" t="s">
        <v>626</v>
      </c>
      <c r="B302" s="146" t="s">
        <v>1757</v>
      </c>
      <c r="C302" s="146" t="s">
        <v>1758</v>
      </c>
      <c r="D302" s="145" t="s">
        <v>1759</v>
      </c>
      <c r="E302" s="146" t="s">
        <v>75</v>
      </c>
      <c r="F302" s="145" t="s">
        <v>1602</v>
      </c>
      <c r="G302" s="146" t="s">
        <v>20</v>
      </c>
      <c r="H302" s="146">
        <v>201604</v>
      </c>
      <c r="I302" s="147">
        <v>206.07</v>
      </c>
      <c r="J302" s="144">
        <f t="shared" si="14"/>
        <v>7</v>
      </c>
      <c r="K302" s="148">
        <v>1.4833299999999999E-3</v>
      </c>
      <c r="L302" s="147">
        <f t="shared" si="15"/>
        <v>2.14</v>
      </c>
      <c r="M302" s="147">
        <f t="shared" si="16"/>
        <v>3.67</v>
      </c>
      <c r="N302" s="145"/>
    </row>
    <row r="303" spans="1:14">
      <c r="A303" s="145" t="s">
        <v>626</v>
      </c>
      <c r="B303" s="146" t="s">
        <v>1981</v>
      </c>
      <c r="C303" s="146" t="s">
        <v>1982</v>
      </c>
      <c r="D303" s="145" t="s">
        <v>1983</v>
      </c>
      <c r="E303" s="146" t="s">
        <v>75</v>
      </c>
      <c r="F303" s="145" t="s">
        <v>1602</v>
      </c>
      <c r="G303" s="146" t="s">
        <v>20</v>
      </c>
      <c r="H303" s="146">
        <v>201604</v>
      </c>
      <c r="I303" s="147">
        <v>4616.5600000000004</v>
      </c>
      <c r="J303" s="144">
        <f t="shared" si="14"/>
        <v>7</v>
      </c>
      <c r="K303" s="148">
        <v>1.4833299999999999E-3</v>
      </c>
      <c r="L303" s="147">
        <f t="shared" si="15"/>
        <v>47.94</v>
      </c>
      <c r="M303" s="147">
        <f t="shared" si="16"/>
        <v>82.17</v>
      </c>
      <c r="N303" s="145"/>
    </row>
    <row r="304" spans="1:14">
      <c r="A304" s="145" t="s">
        <v>626</v>
      </c>
      <c r="B304" s="146" t="s">
        <v>1987</v>
      </c>
      <c r="C304" s="146" t="s">
        <v>1988</v>
      </c>
      <c r="D304" s="145" t="s">
        <v>1338</v>
      </c>
      <c r="E304" s="146" t="s">
        <v>75</v>
      </c>
      <c r="F304" s="145" t="s">
        <v>1602</v>
      </c>
      <c r="G304" s="146" t="s">
        <v>20</v>
      </c>
      <c r="H304" s="146">
        <v>201604</v>
      </c>
      <c r="I304" s="147">
        <v>3770.56</v>
      </c>
      <c r="J304" s="144">
        <f t="shared" si="14"/>
        <v>7</v>
      </c>
      <c r="K304" s="148">
        <v>1.4833299999999999E-3</v>
      </c>
      <c r="L304" s="147">
        <f t="shared" si="15"/>
        <v>39.15</v>
      </c>
      <c r="M304" s="147">
        <f t="shared" si="16"/>
        <v>67.12</v>
      </c>
      <c r="N304" s="145"/>
    </row>
    <row r="305" spans="1:14">
      <c r="A305" s="145" t="s">
        <v>133</v>
      </c>
      <c r="B305" s="146" t="s">
        <v>1817</v>
      </c>
      <c r="C305" s="146" t="s">
        <v>1818</v>
      </c>
      <c r="D305" s="145" t="s">
        <v>1819</v>
      </c>
      <c r="E305" s="146" t="s">
        <v>75</v>
      </c>
      <c r="F305" s="145" t="s">
        <v>1602</v>
      </c>
      <c r="G305" s="146" t="s">
        <v>20</v>
      </c>
      <c r="H305" s="146">
        <v>201604</v>
      </c>
      <c r="I305" s="147">
        <v>16127.3</v>
      </c>
      <c r="J305" s="144">
        <f t="shared" si="14"/>
        <v>7</v>
      </c>
      <c r="K305" s="148">
        <v>1.4833299999999999E-3</v>
      </c>
      <c r="L305" s="147">
        <f t="shared" si="15"/>
        <v>167.45</v>
      </c>
      <c r="M305" s="147">
        <f t="shared" si="16"/>
        <v>287.07</v>
      </c>
      <c r="N305" s="145"/>
    </row>
    <row r="306" spans="1:14">
      <c r="A306" s="145" t="s">
        <v>626</v>
      </c>
      <c r="B306" s="146" t="s">
        <v>1989</v>
      </c>
      <c r="C306" s="146" t="s">
        <v>1990</v>
      </c>
      <c r="D306" s="145" t="s">
        <v>1495</v>
      </c>
      <c r="E306" s="146" t="s">
        <v>75</v>
      </c>
      <c r="F306" s="145" t="s">
        <v>1602</v>
      </c>
      <c r="G306" s="146" t="s">
        <v>20</v>
      </c>
      <c r="H306" s="146">
        <v>201604</v>
      </c>
      <c r="I306" s="147">
        <v>3762.85</v>
      </c>
      <c r="J306" s="144">
        <f t="shared" si="14"/>
        <v>7</v>
      </c>
      <c r="K306" s="148">
        <v>1.4833299999999999E-3</v>
      </c>
      <c r="L306" s="147">
        <f t="shared" si="15"/>
        <v>39.07</v>
      </c>
      <c r="M306" s="147">
        <f t="shared" si="16"/>
        <v>66.98</v>
      </c>
      <c r="N306" s="145"/>
    </row>
    <row r="307" spans="1:14">
      <c r="A307" s="145" t="s">
        <v>1942</v>
      </c>
      <c r="B307" s="146" t="s">
        <v>1681</v>
      </c>
      <c r="C307" s="146" t="s">
        <v>1999</v>
      </c>
      <c r="D307" s="145" t="s">
        <v>2000</v>
      </c>
      <c r="E307" s="146" t="s">
        <v>75</v>
      </c>
      <c r="F307" s="145" t="s">
        <v>1602</v>
      </c>
      <c r="G307" s="146" t="s">
        <v>20</v>
      </c>
      <c r="H307" s="146">
        <v>201604</v>
      </c>
      <c r="I307" s="147">
        <v>64.94</v>
      </c>
      <c r="J307" s="144">
        <f t="shared" si="14"/>
        <v>7</v>
      </c>
      <c r="K307" s="148">
        <v>2.23333E-3</v>
      </c>
      <c r="L307" s="147">
        <f t="shared" si="15"/>
        <v>1.02</v>
      </c>
      <c r="M307" s="147">
        <f t="shared" si="16"/>
        <v>1.74</v>
      </c>
      <c r="N307" s="145"/>
    </row>
    <row r="308" spans="1:14">
      <c r="A308" s="145" t="s">
        <v>14</v>
      </c>
      <c r="B308" s="146" t="s">
        <v>1681</v>
      </c>
      <c r="C308" s="146" t="s">
        <v>1999</v>
      </c>
      <c r="D308" s="145" t="s">
        <v>2000</v>
      </c>
      <c r="E308" s="146" t="s">
        <v>75</v>
      </c>
      <c r="F308" s="145" t="s">
        <v>1602</v>
      </c>
      <c r="G308" s="146" t="s">
        <v>20</v>
      </c>
      <c r="H308" s="146">
        <v>201604</v>
      </c>
      <c r="I308" s="147">
        <v>1985.41</v>
      </c>
      <c r="J308" s="144">
        <f t="shared" si="14"/>
        <v>7</v>
      </c>
      <c r="K308" s="148">
        <v>2.23333E-3</v>
      </c>
      <c r="L308" s="147">
        <f t="shared" si="15"/>
        <v>31.04</v>
      </c>
      <c r="M308" s="147">
        <f t="shared" si="16"/>
        <v>53.21</v>
      </c>
      <c r="N308" s="145"/>
    </row>
    <row r="309" spans="1:14">
      <c r="A309" s="145" t="s">
        <v>626</v>
      </c>
      <c r="B309" s="146" t="s">
        <v>1681</v>
      </c>
      <c r="C309" s="146" t="s">
        <v>1999</v>
      </c>
      <c r="D309" s="145" t="s">
        <v>2000</v>
      </c>
      <c r="E309" s="146" t="s">
        <v>75</v>
      </c>
      <c r="F309" s="145" t="s">
        <v>1602</v>
      </c>
      <c r="G309" s="146" t="s">
        <v>20</v>
      </c>
      <c r="H309" s="146">
        <v>201604</v>
      </c>
      <c r="I309" s="147">
        <v>15523.27</v>
      </c>
      <c r="J309" s="144">
        <f t="shared" si="14"/>
        <v>7</v>
      </c>
      <c r="K309" s="148">
        <v>1.4833299999999999E-3</v>
      </c>
      <c r="L309" s="147">
        <f t="shared" si="15"/>
        <v>161.18</v>
      </c>
      <c r="M309" s="147">
        <f t="shared" si="16"/>
        <v>276.31</v>
      </c>
      <c r="N309" s="145"/>
    </row>
    <row r="310" spans="1:14">
      <c r="A310" s="145" t="s">
        <v>626</v>
      </c>
      <c r="B310" s="146" t="s">
        <v>1681</v>
      </c>
      <c r="C310" s="146" t="s">
        <v>2079</v>
      </c>
      <c r="D310" s="145" t="s">
        <v>2080</v>
      </c>
      <c r="E310" s="146" t="s">
        <v>75</v>
      </c>
      <c r="F310" s="145" t="s">
        <v>1602</v>
      </c>
      <c r="G310" s="146" t="s">
        <v>20</v>
      </c>
      <c r="H310" s="146">
        <v>201604</v>
      </c>
      <c r="I310" s="147">
        <v>109132.49</v>
      </c>
      <c r="J310" s="144">
        <f t="shared" si="14"/>
        <v>7</v>
      </c>
      <c r="K310" s="148">
        <v>1.4833299999999999E-3</v>
      </c>
      <c r="L310" s="147">
        <f t="shared" si="15"/>
        <v>1133.1600000000001</v>
      </c>
      <c r="M310" s="147">
        <f t="shared" si="16"/>
        <v>1942.55</v>
      </c>
      <c r="N310" s="145"/>
    </row>
    <row r="311" spans="1:14">
      <c r="A311" s="145" t="s">
        <v>21</v>
      </c>
      <c r="B311" s="146" t="s">
        <v>485</v>
      </c>
      <c r="C311" s="146" t="s">
        <v>486</v>
      </c>
      <c r="D311" s="145" t="s">
        <v>487</v>
      </c>
      <c r="E311" s="146" t="s">
        <v>75</v>
      </c>
      <c r="F311" s="145" t="s">
        <v>1602</v>
      </c>
      <c r="G311" s="146" t="s">
        <v>20</v>
      </c>
      <c r="H311" s="146">
        <v>201605</v>
      </c>
      <c r="I311" s="147">
        <v>2.85</v>
      </c>
      <c r="J311" s="144">
        <f t="shared" si="14"/>
        <v>6</v>
      </c>
      <c r="K311" s="148">
        <v>1.4833299999999999E-3</v>
      </c>
      <c r="L311" s="147">
        <f t="shared" si="15"/>
        <v>0.03</v>
      </c>
      <c r="M311" s="147">
        <f t="shared" si="16"/>
        <v>0.05</v>
      </c>
      <c r="N311" s="145"/>
    </row>
    <row r="312" spans="1:14">
      <c r="A312" s="145" t="s">
        <v>626</v>
      </c>
      <c r="B312" s="146" t="s">
        <v>1508</v>
      </c>
      <c r="C312" s="146" t="s">
        <v>1509</v>
      </c>
      <c r="D312" s="145" t="s">
        <v>1510</v>
      </c>
      <c r="E312" s="146" t="s">
        <v>75</v>
      </c>
      <c r="F312" s="145" t="s">
        <v>1602</v>
      </c>
      <c r="G312" s="146" t="s">
        <v>20</v>
      </c>
      <c r="H312" s="146">
        <v>201605</v>
      </c>
      <c r="I312" s="147">
        <v>26.15</v>
      </c>
      <c r="J312" s="144">
        <f t="shared" si="14"/>
        <v>6</v>
      </c>
      <c r="K312" s="148">
        <v>1.4833299999999999E-3</v>
      </c>
      <c r="L312" s="147">
        <f t="shared" si="15"/>
        <v>0.23</v>
      </c>
      <c r="M312" s="147">
        <f t="shared" si="16"/>
        <v>0.47</v>
      </c>
      <c r="N312" s="145"/>
    </row>
    <row r="313" spans="1:14">
      <c r="A313" s="145" t="s">
        <v>626</v>
      </c>
      <c r="B313" s="146" t="s">
        <v>1861</v>
      </c>
      <c r="C313" s="146" t="s">
        <v>1862</v>
      </c>
      <c r="D313" s="145" t="s">
        <v>1863</v>
      </c>
      <c r="E313" s="146" t="s">
        <v>75</v>
      </c>
      <c r="F313" s="145" t="s">
        <v>1602</v>
      </c>
      <c r="G313" s="146" t="s">
        <v>20</v>
      </c>
      <c r="H313" s="146">
        <v>201605</v>
      </c>
      <c r="I313" s="147">
        <v>576.08000000000004</v>
      </c>
      <c r="J313" s="144">
        <f t="shared" si="14"/>
        <v>6</v>
      </c>
      <c r="K313" s="148">
        <v>1.4833299999999999E-3</v>
      </c>
      <c r="L313" s="147">
        <f t="shared" si="15"/>
        <v>5.13</v>
      </c>
      <c r="M313" s="147">
        <f t="shared" si="16"/>
        <v>10.25</v>
      </c>
      <c r="N313" s="145"/>
    </row>
    <row r="314" spans="1:14">
      <c r="A314" s="145" t="s">
        <v>626</v>
      </c>
      <c r="B314" s="146" t="s">
        <v>1864</v>
      </c>
      <c r="C314" s="146" t="s">
        <v>1865</v>
      </c>
      <c r="D314" s="145" t="s">
        <v>1866</v>
      </c>
      <c r="E314" s="146" t="s">
        <v>75</v>
      </c>
      <c r="F314" s="145" t="s">
        <v>1602</v>
      </c>
      <c r="G314" s="146" t="s">
        <v>20</v>
      </c>
      <c r="H314" s="146">
        <v>201605</v>
      </c>
      <c r="I314" s="147">
        <v>3610.55</v>
      </c>
      <c r="J314" s="144">
        <f t="shared" si="14"/>
        <v>6</v>
      </c>
      <c r="K314" s="148">
        <v>1.4833299999999999E-3</v>
      </c>
      <c r="L314" s="147">
        <f t="shared" si="15"/>
        <v>32.130000000000003</v>
      </c>
      <c r="M314" s="147">
        <f t="shared" si="16"/>
        <v>64.27</v>
      </c>
      <c r="N314" s="145"/>
    </row>
    <row r="315" spans="1:14">
      <c r="A315" s="145" t="s">
        <v>626</v>
      </c>
      <c r="B315" s="146" t="s">
        <v>1867</v>
      </c>
      <c r="C315" s="146" t="s">
        <v>1868</v>
      </c>
      <c r="D315" s="145" t="s">
        <v>1869</v>
      </c>
      <c r="E315" s="146" t="s">
        <v>75</v>
      </c>
      <c r="F315" s="145" t="s">
        <v>1602</v>
      </c>
      <c r="G315" s="146" t="s">
        <v>20</v>
      </c>
      <c r="H315" s="146">
        <v>201605</v>
      </c>
      <c r="I315" s="147">
        <v>63.05</v>
      </c>
      <c r="J315" s="144">
        <f t="shared" ref="J315:J378" si="17">HLOOKUP(H315,$Q$2:$Z$3,2)</f>
        <v>6</v>
      </c>
      <c r="K315" s="148">
        <v>1.4833299999999999E-3</v>
      </c>
      <c r="L315" s="147">
        <f t="shared" ref="L315:L378" si="18">ROUND(I315*J315*K315,2)</f>
        <v>0.56000000000000005</v>
      </c>
      <c r="M315" s="147">
        <f t="shared" ref="M315:M378" si="19">ROUND(I315*K315*12,2)</f>
        <v>1.1200000000000001</v>
      </c>
      <c r="N315" s="145"/>
    </row>
    <row r="316" spans="1:14">
      <c r="A316" s="145" t="s">
        <v>626</v>
      </c>
      <c r="B316" s="146" t="s">
        <v>1870</v>
      </c>
      <c r="C316" s="146" t="s">
        <v>1871</v>
      </c>
      <c r="D316" s="145" t="s">
        <v>1872</v>
      </c>
      <c r="E316" s="146" t="s">
        <v>75</v>
      </c>
      <c r="F316" s="145" t="s">
        <v>1602</v>
      </c>
      <c r="G316" s="146" t="s">
        <v>20</v>
      </c>
      <c r="H316" s="146">
        <v>201605</v>
      </c>
      <c r="I316" s="147">
        <v>-464.86</v>
      </c>
      <c r="J316" s="144">
        <f t="shared" si="17"/>
        <v>6</v>
      </c>
      <c r="K316" s="148">
        <v>1.4833299999999999E-3</v>
      </c>
      <c r="L316" s="147">
        <f t="shared" si="18"/>
        <v>-4.1399999999999997</v>
      </c>
      <c r="M316" s="147">
        <f t="shared" si="19"/>
        <v>-8.27</v>
      </c>
      <c r="N316" s="145"/>
    </row>
    <row r="317" spans="1:14">
      <c r="A317" s="145" t="s">
        <v>626</v>
      </c>
      <c r="B317" s="146" t="s">
        <v>1873</v>
      </c>
      <c r="C317" s="146" t="s">
        <v>1874</v>
      </c>
      <c r="D317" s="145" t="s">
        <v>1875</v>
      </c>
      <c r="E317" s="146" t="s">
        <v>75</v>
      </c>
      <c r="F317" s="145" t="s">
        <v>1602</v>
      </c>
      <c r="G317" s="146" t="s">
        <v>20</v>
      </c>
      <c r="H317" s="146">
        <v>201605</v>
      </c>
      <c r="I317" s="147">
        <v>3213.12</v>
      </c>
      <c r="J317" s="144">
        <f t="shared" si="17"/>
        <v>6</v>
      </c>
      <c r="K317" s="148">
        <v>1.4833299999999999E-3</v>
      </c>
      <c r="L317" s="147">
        <f t="shared" si="18"/>
        <v>28.6</v>
      </c>
      <c r="M317" s="147">
        <f t="shared" si="19"/>
        <v>57.19</v>
      </c>
      <c r="N317" s="145"/>
    </row>
    <row r="318" spans="1:14">
      <c r="A318" s="145" t="s">
        <v>626</v>
      </c>
      <c r="B318" s="146" t="s">
        <v>1681</v>
      </c>
      <c r="C318" s="146" t="s">
        <v>1705</v>
      </c>
      <c r="D318" s="145" t="s">
        <v>1706</v>
      </c>
      <c r="E318" s="146" t="s">
        <v>75</v>
      </c>
      <c r="F318" s="145" t="s">
        <v>1602</v>
      </c>
      <c r="G318" s="146" t="s">
        <v>20</v>
      </c>
      <c r="H318" s="146">
        <v>201605</v>
      </c>
      <c r="I318" s="147">
        <v>4795.1899999999996</v>
      </c>
      <c r="J318" s="144">
        <f t="shared" si="17"/>
        <v>6</v>
      </c>
      <c r="K318" s="148">
        <v>1.4833299999999999E-3</v>
      </c>
      <c r="L318" s="147">
        <f t="shared" si="18"/>
        <v>42.68</v>
      </c>
      <c r="M318" s="147">
        <f t="shared" si="19"/>
        <v>85.35</v>
      </c>
      <c r="N318" s="145"/>
    </row>
    <row r="319" spans="1:14">
      <c r="A319" s="145" t="s">
        <v>626</v>
      </c>
      <c r="B319" s="146" t="s">
        <v>1681</v>
      </c>
      <c r="C319" s="146" t="s">
        <v>1707</v>
      </c>
      <c r="D319" s="145" t="s">
        <v>1708</v>
      </c>
      <c r="E319" s="146" t="s">
        <v>75</v>
      </c>
      <c r="F319" s="145" t="s">
        <v>1602</v>
      </c>
      <c r="G319" s="146" t="s">
        <v>20</v>
      </c>
      <c r="H319" s="146">
        <v>201605</v>
      </c>
      <c r="I319" s="147">
        <v>353.94</v>
      </c>
      <c r="J319" s="144">
        <f t="shared" si="17"/>
        <v>6</v>
      </c>
      <c r="K319" s="148">
        <v>1.4833299999999999E-3</v>
      </c>
      <c r="L319" s="147">
        <f t="shared" si="18"/>
        <v>3.15</v>
      </c>
      <c r="M319" s="147">
        <f t="shared" si="19"/>
        <v>6.3</v>
      </c>
      <c r="N319" s="145"/>
    </row>
    <row r="320" spans="1:14">
      <c r="A320" s="145" t="s">
        <v>626</v>
      </c>
      <c r="B320" s="146" t="s">
        <v>1951</v>
      </c>
      <c r="C320" s="146" t="s">
        <v>1952</v>
      </c>
      <c r="D320" s="145" t="s">
        <v>1759</v>
      </c>
      <c r="E320" s="146" t="s">
        <v>75</v>
      </c>
      <c r="F320" s="145" t="s">
        <v>1602</v>
      </c>
      <c r="G320" s="146" t="s">
        <v>20</v>
      </c>
      <c r="H320" s="146">
        <v>201605</v>
      </c>
      <c r="I320" s="147">
        <v>-340.54</v>
      </c>
      <c r="J320" s="144">
        <f t="shared" si="17"/>
        <v>6</v>
      </c>
      <c r="K320" s="148">
        <v>1.4833299999999999E-3</v>
      </c>
      <c r="L320" s="147">
        <f t="shared" si="18"/>
        <v>-3.03</v>
      </c>
      <c r="M320" s="147">
        <f t="shared" si="19"/>
        <v>-6.06</v>
      </c>
      <c r="N320" s="145"/>
    </row>
    <row r="321" spans="1:14">
      <c r="A321" s="145" t="s">
        <v>626</v>
      </c>
      <c r="B321" s="146" t="s">
        <v>1721</v>
      </c>
      <c r="C321" s="146" t="s">
        <v>1722</v>
      </c>
      <c r="D321" s="145" t="s">
        <v>1723</v>
      </c>
      <c r="E321" s="146" t="s">
        <v>75</v>
      </c>
      <c r="F321" s="145" t="s">
        <v>1602</v>
      </c>
      <c r="G321" s="146" t="s">
        <v>20</v>
      </c>
      <c r="H321" s="146">
        <v>201605</v>
      </c>
      <c r="I321" s="147">
        <v>15.2</v>
      </c>
      <c r="J321" s="144">
        <f t="shared" si="17"/>
        <v>6</v>
      </c>
      <c r="K321" s="148">
        <v>1.4833299999999999E-3</v>
      </c>
      <c r="L321" s="147">
        <f t="shared" si="18"/>
        <v>0.14000000000000001</v>
      </c>
      <c r="M321" s="147">
        <f t="shared" si="19"/>
        <v>0.27</v>
      </c>
      <c r="N321" s="145"/>
    </row>
    <row r="322" spans="1:14">
      <c r="A322" s="145" t="s">
        <v>626</v>
      </c>
      <c r="B322" s="146" t="s">
        <v>1953</v>
      </c>
      <c r="C322" s="146" t="s">
        <v>1954</v>
      </c>
      <c r="D322" s="145" t="s">
        <v>1955</v>
      </c>
      <c r="E322" s="146" t="s">
        <v>75</v>
      </c>
      <c r="F322" s="145" t="s">
        <v>1602</v>
      </c>
      <c r="G322" s="146" t="s">
        <v>20</v>
      </c>
      <c r="H322" s="146">
        <v>201605</v>
      </c>
      <c r="I322" s="147">
        <v>18.29</v>
      </c>
      <c r="J322" s="144">
        <f t="shared" si="17"/>
        <v>6</v>
      </c>
      <c r="K322" s="148">
        <v>1.4833299999999999E-3</v>
      </c>
      <c r="L322" s="147">
        <f t="shared" si="18"/>
        <v>0.16</v>
      </c>
      <c r="M322" s="147">
        <f t="shared" si="19"/>
        <v>0.33</v>
      </c>
      <c r="N322" s="145"/>
    </row>
    <row r="323" spans="1:14">
      <c r="A323" s="145" t="s">
        <v>626</v>
      </c>
      <c r="B323" s="146" t="s">
        <v>1724</v>
      </c>
      <c r="C323" s="146" t="s">
        <v>1725</v>
      </c>
      <c r="D323" s="145" t="s">
        <v>1726</v>
      </c>
      <c r="E323" s="146" t="s">
        <v>75</v>
      </c>
      <c r="F323" s="145" t="s">
        <v>1602</v>
      </c>
      <c r="G323" s="146" t="s">
        <v>20</v>
      </c>
      <c r="H323" s="146">
        <v>201605</v>
      </c>
      <c r="I323" s="147">
        <v>-14.2</v>
      </c>
      <c r="J323" s="144">
        <f t="shared" si="17"/>
        <v>6</v>
      </c>
      <c r="K323" s="148">
        <v>1.4833299999999999E-3</v>
      </c>
      <c r="L323" s="147">
        <f t="shared" si="18"/>
        <v>-0.13</v>
      </c>
      <c r="M323" s="147">
        <f t="shared" si="19"/>
        <v>-0.25</v>
      </c>
      <c r="N323" s="145"/>
    </row>
    <row r="324" spans="1:14">
      <c r="A324" s="145" t="s">
        <v>626</v>
      </c>
      <c r="B324" s="146" t="s">
        <v>1791</v>
      </c>
      <c r="C324" s="146" t="s">
        <v>1792</v>
      </c>
      <c r="D324" s="145" t="s">
        <v>1793</v>
      </c>
      <c r="E324" s="146" t="s">
        <v>75</v>
      </c>
      <c r="F324" s="145" t="s">
        <v>1602</v>
      </c>
      <c r="G324" s="146" t="s">
        <v>20</v>
      </c>
      <c r="H324" s="146">
        <v>201605</v>
      </c>
      <c r="I324" s="147">
        <v>1800.78</v>
      </c>
      <c r="J324" s="144">
        <f t="shared" si="17"/>
        <v>6</v>
      </c>
      <c r="K324" s="148">
        <v>1.4833299999999999E-3</v>
      </c>
      <c r="L324" s="147">
        <f t="shared" si="18"/>
        <v>16.03</v>
      </c>
      <c r="M324" s="147">
        <f t="shared" si="19"/>
        <v>32.049999999999997</v>
      </c>
      <c r="N324" s="145"/>
    </row>
    <row r="325" spans="1:14">
      <c r="A325" s="145" t="s">
        <v>133</v>
      </c>
      <c r="B325" s="146" t="s">
        <v>1876</v>
      </c>
      <c r="C325" s="146" t="s">
        <v>1877</v>
      </c>
      <c r="D325" s="145" t="s">
        <v>1878</v>
      </c>
      <c r="E325" s="146" t="s">
        <v>75</v>
      </c>
      <c r="F325" s="145" t="s">
        <v>1602</v>
      </c>
      <c r="G325" s="146" t="s">
        <v>20</v>
      </c>
      <c r="H325" s="146">
        <v>201605</v>
      </c>
      <c r="I325" s="147">
        <v>1324.25</v>
      </c>
      <c r="J325" s="144">
        <f t="shared" si="17"/>
        <v>6</v>
      </c>
      <c r="K325" s="148">
        <v>1.4833299999999999E-3</v>
      </c>
      <c r="L325" s="147">
        <f t="shared" si="18"/>
        <v>11.79</v>
      </c>
      <c r="M325" s="147">
        <f t="shared" si="19"/>
        <v>23.57</v>
      </c>
      <c r="N325" s="145"/>
    </row>
    <row r="326" spans="1:14">
      <c r="A326" s="145" t="s">
        <v>626</v>
      </c>
      <c r="B326" s="146" t="s">
        <v>1879</v>
      </c>
      <c r="C326" s="146" t="s">
        <v>1880</v>
      </c>
      <c r="D326" s="145" t="s">
        <v>1273</v>
      </c>
      <c r="E326" s="146" t="s">
        <v>75</v>
      </c>
      <c r="F326" s="145" t="s">
        <v>1602</v>
      </c>
      <c r="G326" s="146" t="s">
        <v>20</v>
      </c>
      <c r="H326" s="146">
        <v>201605</v>
      </c>
      <c r="I326" s="147">
        <v>244.94</v>
      </c>
      <c r="J326" s="144">
        <f t="shared" si="17"/>
        <v>6</v>
      </c>
      <c r="K326" s="148">
        <v>1.4833299999999999E-3</v>
      </c>
      <c r="L326" s="147">
        <f t="shared" si="18"/>
        <v>2.1800000000000002</v>
      </c>
      <c r="M326" s="147">
        <f t="shared" si="19"/>
        <v>4.3600000000000003</v>
      </c>
      <c r="N326" s="145"/>
    </row>
    <row r="327" spans="1:14">
      <c r="A327" s="145" t="s">
        <v>21</v>
      </c>
      <c r="B327" s="146" t="s">
        <v>1727</v>
      </c>
      <c r="C327" s="146" t="s">
        <v>1728</v>
      </c>
      <c r="D327" s="145" t="s">
        <v>1729</v>
      </c>
      <c r="E327" s="146" t="s">
        <v>75</v>
      </c>
      <c r="F327" s="145" t="s">
        <v>1602</v>
      </c>
      <c r="G327" s="146" t="s">
        <v>20</v>
      </c>
      <c r="H327" s="146">
        <v>201605</v>
      </c>
      <c r="I327" s="147">
        <v>161.82</v>
      </c>
      <c r="J327" s="144">
        <f t="shared" si="17"/>
        <v>6</v>
      </c>
      <c r="K327" s="148">
        <v>1.4833299999999999E-3</v>
      </c>
      <c r="L327" s="147">
        <f t="shared" si="18"/>
        <v>1.44</v>
      </c>
      <c r="M327" s="147">
        <f t="shared" si="19"/>
        <v>2.88</v>
      </c>
      <c r="N327" s="145"/>
    </row>
    <row r="328" spans="1:14">
      <c r="A328" s="145" t="s">
        <v>626</v>
      </c>
      <c r="B328" s="146" t="s">
        <v>1881</v>
      </c>
      <c r="C328" s="146" t="s">
        <v>1882</v>
      </c>
      <c r="D328" s="145" t="s">
        <v>1883</v>
      </c>
      <c r="E328" s="146" t="s">
        <v>75</v>
      </c>
      <c r="F328" s="145" t="s">
        <v>1602</v>
      </c>
      <c r="G328" s="146" t="s">
        <v>20</v>
      </c>
      <c r="H328" s="146">
        <v>201605</v>
      </c>
      <c r="I328" s="147">
        <v>-1545.21</v>
      </c>
      <c r="J328" s="144">
        <f t="shared" si="17"/>
        <v>6</v>
      </c>
      <c r="K328" s="148">
        <v>1.4833299999999999E-3</v>
      </c>
      <c r="L328" s="147">
        <f t="shared" si="18"/>
        <v>-13.75</v>
      </c>
      <c r="M328" s="147">
        <f t="shared" si="19"/>
        <v>-27.5</v>
      </c>
      <c r="N328" s="145"/>
    </row>
    <row r="329" spans="1:14">
      <c r="A329" s="145" t="s">
        <v>626</v>
      </c>
      <c r="B329" s="146" t="s">
        <v>1884</v>
      </c>
      <c r="C329" s="146" t="s">
        <v>1885</v>
      </c>
      <c r="D329" s="145" t="s">
        <v>1886</v>
      </c>
      <c r="E329" s="146" t="s">
        <v>75</v>
      </c>
      <c r="F329" s="145" t="s">
        <v>1602</v>
      </c>
      <c r="G329" s="146" t="s">
        <v>20</v>
      </c>
      <c r="H329" s="146">
        <v>201605</v>
      </c>
      <c r="I329" s="147">
        <v>112.23</v>
      </c>
      <c r="J329" s="144">
        <f t="shared" si="17"/>
        <v>6</v>
      </c>
      <c r="K329" s="148">
        <v>1.4833299999999999E-3</v>
      </c>
      <c r="L329" s="147">
        <f t="shared" si="18"/>
        <v>1</v>
      </c>
      <c r="M329" s="147">
        <f t="shared" si="19"/>
        <v>2</v>
      </c>
      <c r="N329" s="145"/>
    </row>
    <row r="330" spans="1:14">
      <c r="A330" s="145" t="s">
        <v>626</v>
      </c>
      <c r="B330" s="146" t="s">
        <v>1890</v>
      </c>
      <c r="C330" s="146" t="s">
        <v>1891</v>
      </c>
      <c r="D330" s="145" t="s">
        <v>1495</v>
      </c>
      <c r="E330" s="146" t="s">
        <v>75</v>
      </c>
      <c r="F330" s="145" t="s">
        <v>1602</v>
      </c>
      <c r="G330" s="146" t="s">
        <v>20</v>
      </c>
      <c r="H330" s="146">
        <v>201605</v>
      </c>
      <c r="I330" s="147">
        <v>785.01</v>
      </c>
      <c r="J330" s="144">
        <f t="shared" si="17"/>
        <v>6</v>
      </c>
      <c r="K330" s="148">
        <v>1.4833299999999999E-3</v>
      </c>
      <c r="L330" s="147">
        <f t="shared" si="18"/>
        <v>6.99</v>
      </c>
      <c r="M330" s="147">
        <f t="shared" si="19"/>
        <v>13.97</v>
      </c>
      <c r="N330" s="145"/>
    </row>
    <row r="331" spans="1:14">
      <c r="A331" s="145" t="s">
        <v>21</v>
      </c>
      <c r="B331" s="146" t="s">
        <v>1956</v>
      </c>
      <c r="C331" s="146" t="s">
        <v>1957</v>
      </c>
      <c r="D331" s="145" t="s">
        <v>1958</v>
      </c>
      <c r="E331" s="146" t="s">
        <v>75</v>
      </c>
      <c r="F331" s="145" t="s">
        <v>1602</v>
      </c>
      <c r="G331" s="146" t="s">
        <v>20</v>
      </c>
      <c r="H331" s="146">
        <v>201605</v>
      </c>
      <c r="I331" s="147">
        <v>50672.2</v>
      </c>
      <c r="J331" s="144">
        <f t="shared" si="17"/>
        <v>6</v>
      </c>
      <c r="K331" s="148">
        <v>1.4833299999999999E-3</v>
      </c>
      <c r="L331" s="147">
        <f t="shared" si="18"/>
        <v>450.98</v>
      </c>
      <c r="M331" s="147">
        <f t="shared" si="19"/>
        <v>901.96</v>
      </c>
      <c r="N331" s="145"/>
    </row>
    <row r="332" spans="1:14">
      <c r="A332" s="145" t="s">
        <v>626</v>
      </c>
      <c r="B332" s="146" t="s">
        <v>1892</v>
      </c>
      <c r="C332" s="146" t="s">
        <v>1893</v>
      </c>
      <c r="D332" s="145" t="s">
        <v>1894</v>
      </c>
      <c r="E332" s="146" t="s">
        <v>75</v>
      </c>
      <c r="F332" s="145" t="s">
        <v>1602</v>
      </c>
      <c r="G332" s="146" t="s">
        <v>20</v>
      </c>
      <c r="H332" s="146">
        <v>201605</v>
      </c>
      <c r="I332" s="147">
        <v>1781.39</v>
      </c>
      <c r="J332" s="144">
        <f t="shared" si="17"/>
        <v>6</v>
      </c>
      <c r="K332" s="148">
        <v>1.4833299999999999E-3</v>
      </c>
      <c r="L332" s="147">
        <f t="shared" si="18"/>
        <v>15.85</v>
      </c>
      <c r="M332" s="147">
        <f t="shared" si="19"/>
        <v>31.71</v>
      </c>
      <c r="N332" s="145"/>
    </row>
    <row r="333" spans="1:14">
      <c r="A333" s="145" t="s">
        <v>626</v>
      </c>
      <c r="B333" s="146" t="s">
        <v>1959</v>
      </c>
      <c r="C333" s="146" t="s">
        <v>1960</v>
      </c>
      <c r="D333" s="145" t="s">
        <v>1495</v>
      </c>
      <c r="E333" s="146" t="s">
        <v>75</v>
      </c>
      <c r="F333" s="145" t="s">
        <v>1602</v>
      </c>
      <c r="G333" s="146" t="s">
        <v>20</v>
      </c>
      <c r="H333" s="146">
        <v>201605</v>
      </c>
      <c r="I333" s="147">
        <v>-123.99</v>
      </c>
      <c r="J333" s="144">
        <f t="shared" si="17"/>
        <v>6</v>
      </c>
      <c r="K333" s="148">
        <v>1.4833299999999999E-3</v>
      </c>
      <c r="L333" s="147">
        <f t="shared" si="18"/>
        <v>-1.1000000000000001</v>
      </c>
      <c r="M333" s="147">
        <f t="shared" si="19"/>
        <v>-2.21</v>
      </c>
      <c r="N333" s="145"/>
    </row>
    <row r="334" spans="1:14">
      <c r="A334" s="145" t="s">
        <v>626</v>
      </c>
      <c r="B334" s="146" t="s">
        <v>1898</v>
      </c>
      <c r="C334" s="146" t="s">
        <v>1899</v>
      </c>
      <c r="D334" s="145" t="s">
        <v>1900</v>
      </c>
      <c r="E334" s="146" t="s">
        <v>75</v>
      </c>
      <c r="F334" s="145" t="s">
        <v>1602</v>
      </c>
      <c r="G334" s="146" t="s">
        <v>20</v>
      </c>
      <c r="H334" s="146">
        <v>201605</v>
      </c>
      <c r="I334" s="147">
        <v>837.04</v>
      </c>
      <c r="J334" s="144">
        <f t="shared" si="17"/>
        <v>6</v>
      </c>
      <c r="K334" s="148">
        <v>1.4833299999999999E-3</v>
      </c>
      <c r="L334" s="147">
        <f t="shared" si="18"/>
        <v>7.45</v>
      </c>
      <c r="M334" s="147">
        <f t="shared" si="19"/>
        <v>14.9</v>
      </c>
      <c r="N334" s="145"/>
    </row>
    <row r="335" spans="1:14">
      <c r="A335" s="145" t="s">
        <v>626</v>
      </c>
      <c r="B335" s="146" t="s">
        <v>1901</v>
      </c>
      <c r="C335" s="146" t="s">
        <v>1902</v>
      </c>
      <c r="D335" s="145" t="s">
        <v>1903</v>
      </c>
      <c r="E335" s="146" t="s">
        <v>75</v>
      </c>
      <c r="F335" s="145" t="s">
        <v>1602</v>
      </c>
      <c r="G335" s="146" t="s">
        <v>20</v>
      </c>
      <c r="H335" s="146">
        <v>201605</v>
      </c>
      <c r="I335" s="147">
        <v>5071.58</v>
      </c>
      <c r="J335" s="144">
        <f t="shared" si="17"/>
        <v>6</v>
      </c>
      <c r="K335" s="148">
        <v>1.4833299999999999E-3</v>
      </c>
      <c r="L335" s="147">
        <f t="shared" si="18"/>
        <v>45.14</v>
      </c>
      <c r="M335" s="147">
        <f t="shared" si="19"/>
        <v>90.27</v>
      </c>
      <c r="N335" s="145"/>
    </row>
    <row r="336" spans="1:14">
      <c r="A336" s="145" t="s">
        <v>626</v>
      </c>
      <c r="B336" s="146" t="s">
        <v>1904</v>
      </c>
      <c r="C336" s="146" t="s">
        <v>1905</v>
      </c>
      <c r="D336" s="145" t="s">
        <v>1906</v>
      </c>
      <c r="E336" s="146" t="s">
        <v>75</v>
      </c>
      <c r="F336" s="145" t="s">
        <v>1602</v>
      </c>
      <c r="G336" s="146" t="s">
        <v>20</v>
      </c>
      <c r="H336" s="146">
        <v>201605</v>
      </c>
      <c r="I336" s="147">
        <v>545.24</v>
      </c>
      <c r="J336" s="144">
        <f t="shared" si="17"/>
        <v>6</v>
      </c>
      <c r="K336" s="148">
        <v>1.4833299999999999E-3</v>
      </c>
      <c r="L336" s="147">
        <f t="shared" si="18"/>
        <v>4.8499999999999996</v>
      </c>
      <c r="M336" s="147">
        <f t="shared" si="19"/>
        <v>9.7100000000000009</v>
      </c>
      <c r="N336" s="145"/>
    </row>
    <row r="337" spans="1:14">
      <c r="A337" s="145" t="s">
        <v>626</v>
      </c>
      <c r="B337" s="146" t="s">
        <v>1800</v>
      </c>
      <c r="C337" s="146" t="s">
        <v>1801</v>
      </c>
      <c r="D337" s="145" t="s">
        <v>1802</v>
      </c>
      <c r="E337" s="146" t="s">
        <v>75</v>
      </c>
      <c r="F337" s="145" t="s">
        <v>1602</v>
      </c>
      <c r="G337" s="146" t="s">
        <v>20</v>
      </c>
      <c r="H337" s="146">
        <v>201605</v>
      </c>
      <c r="I337" s="147">
        <v>9183.65</v>
      </c>
      <c r="J337" s="144">
        <f t="shared" si="17"/>
        <v>6</v>
      </c>
      <c r="K337" s="148">
        <v>1.4833299999999999E-3</v>
      </c>
      <c r="L337" s="147">
        <f t="shared" si="18"/>
        <v>81.73</v>
      </c>
      <c r="M337" s="147">
        <f t="shared" si="19"/>
        <v>163.47</v>
      </c>
      <c r="N337" s="145"/>
    </row>
    <row r="338" spans="1:14">
      <c r="A338" s="145" t="s">
        <v>626</v>
      </c>
      <c r="B338" s="146" t="s">
        <v>2045</v>
      </c>
      <c r="C338" s="146" t="s">
        <v>2046</v>
      </c>
      <c r="D338" s="145" t="s">
        <v>2047</v>
      </c>
      <c r="E338" s="146" t="s">
        <v>75</v>
      </c>
      <c r="F338" s="145" t="s">
        <v>1602</v>
      </c>
      <c r="G338" s="146" t="s">
        <v>20</v>
      </c>
      <c r="H338" s="146">
        <v>201605</v>
      </c>
      <c r="I338" s="147">
        <v>4001.21</v>
      </c>
      <c r="J338" s="144">
        <f t="shared" si="17"/>
        <v>6</v>
      </c>
      <c r="K338" s="148">
        <v>1.4833299999999999E-3</v>
      </c>
      <c r="L338" s="147">
        <f t="shared" si="18"/>
        <v>35.61</v>
      </c>
      <c r="M338" s="147">
        <f t="shared" si="19"/>
        <v>71.22</v>
      </c>
      <c r="N338" s="145"/>
    </row>
    <row r="339" spans="1:14">
      <c r="A339" s="145" t="s">
        <v>626</v>
      </c>
      <c r="B339" s="146" t="s">
        <v>1961</v>
      </c>
      <c r="C339" s="146" t="s">
        <v>1962</v>
      </c>
      <c r="D339" s="145" t="s">
        <v>1963</v>
      </c>
      <c r="E339" s="146" t="s">
        <v>75</v>
      </c>
      <c r="F339" s="145" t="s">
        <v>1602</v>
      </c>
      <c r="G339" s="146" t="s">
        <v>20</v>
      </c>
      <c r="H339" s="146">
        <v>201605</v>
      </c>
      <c r="I339" s="147">
        <v>1852.88</v>
      </c>
      <c r="J339" s="144">
        <f t="shared" si="17"/>
        <v>6</v>
      </c>
      <c r="K339" s="148">
        <v>1.4833299999999999E-3</v>
      </c>
      <c r="L339" s="147">
        <f t="shared" si="18"/>
        <v>16.489999999999998</v>
      </c>
      <c r="M339" s="147">
        <f t="shared" si="19"/>
        <v>32.979999999999997</v>
      </c>
      <c r="N339" s="145"/>
    </row>
    <row r="340" spans="1:14">
      <c r="A340" s="145" t="s">
        <v>626</v>
      </c>
      <c r="B340" s="146" t="s">
        <v>1907</v>
      </c>
      <c r="C340" s="146" t="s">
        <v>1908</v>
      </c>
      <c r="D340" s="145" t="s">
        <v>1909</v>
      </c>
      <c r="E340" s="146" t="s">
        <v>75</v>
      </c>
      <c r="F340" s="145" t="s">
        <v>1602</v>
      </c>
      <c r="G340" s="146" t="s">
        <v>20</v>
      </c>
      <c r="H340" s="146">
        <v>201605</v>
      </c>
      <c r="I340" s="147">
        <v>3000.02</v>
      </c>
      <c r="J340" s="144">
        <f t="shared" si="17"/>
        <v>6</v>
      </c>
      <c r="K340" s="148">
        <v>1.4833299999999999E-3</v>
      </c>
      <c r="L340" s="147">
        <f t="shared" si="18"/>
        <v>26.7</v>
      </c>
      <c r="M340" s="147">
        <f t="shared" si="19"/>
        <v>53.4</v>
      </c>
      <c r="N340" s="145"/>
    </row>
    <row r="341" spans="1:14">
      <c r="A341" s="145" t="s">
        <v>626</v>
      </c>
      <c r="B341" s="146" t="s">
        <v>1748</v>
      </c>
      <c r="C341" s="146" t="s">
        <v>1749</v>
      </c>
      <c r="D341" s="145" t="s">
        <v>1750</v>
      </c>
      <c r="E341" s="146" t="s">
        <v>75</v>
      </c>
      <c r="F341" s="145" t="s">
        <v>1602</v>
      </c>
      <c r="G341" s="146" t="s">
        <v>20</v>
      </c>
      <c r="H341" s="146">
        <v>201605</v>
      </c>
      <c r="I341" s="147">
        <v>4997.79</v>
      </c>
      <c r="J341" s="144">
        <f t="shared" si="17"/>
        <v>6</v>
      </c>
      <c r="K341" s="148">
        <v>1.4833299999999999E-3</v>
      </c>
      <c r="L341" s="147">
        <f t="shared" si="18"/>
        <v>44.48</v>
      </c>
      <c r="M341" s="147">
        <f t="shared" si="19"/>
        <v>88.96</v>
      </c>
      <c r="N341" s="145"/>
    </row>
    <row r="342" spans="1:14">
      <c r="A342" s="145" t="s">
        <v>626</v>
      </c>
      <c r="B342" s="146" t="s">
        <v>1910</v>
      </c>
      <c r="C342" s="146" t="s">
        <v>1911</v>
      </c>
      <c r="D342" s="145" t="s">
        <v>1912</v>
      </c>
      <c r="E342" s="146" t="s">
        <v>75</v>
      </c>
      <c r="F342" s="145" t="s">
        <v>1602</v>
      </c>
      <c r="G342" s="146" t="s">
        <v>20</v>
      </c>
      <c r="H342" s="146">
        <v>201605</v>
      </c>
      <c r="I342" s="147">
        <v>1324.04</v>
      </c>
      <c r="J342" s="144">
        <f t="shared" si="17"/>
        <v>6</v>
      </c>
      <c r="K342" s="148">
        <v>1.4833299999999999E-3</v>
      </c>
      <c r="L342" s="147">
        <f t="shared" si="18"/>
        <v>11.78</v>
      </c>
      <c r="M342" s="147">
        <f t="shared" si="19"/>
        <v>23.57</v>
      </c>
      <c r="N342" s="145"/>
    </row>
    <row r="343" spans="1:14">
      <c r="A343" s="145" t="s">
        <v>626</v>
      </c>
      <c r="B343" s="146" t="s">
        <v>1913</v>
      </c>
      <c r="C343" s="146" t="s">
        <v>1914</v>
      </c>
      <c r="D343" s="145" t="s">
        <v>1915</v>
      </c>
      <c r="E343" s="146" t="s">
        <v>75</v>
      </c>
      <c r="F343" s="145" t="s">
        <v>1602</v>
      </c>
      <c r="G343" s="146" t="s">
        <v>20</v>
      </c>
      <c r="H343" s="146">
        <v>201605</v>
      </c>
      <c r="I343" s="147">
        <v>361.34</v>
      </c>
      <c r="J343" s="144">
        <f t="shared" si="17"/>
        <v>6</v>
      </c>
      <c r="K343" s="148">
        <v>1.4833299999999999E-3</v>
      </c>
      <c r="L343" s="147">
        <f t="shared" si="18"/>
        <v>3.22</v>
      </c>
      <c r="M343" s="147">
        <f t="shared" si="19"/>
        <v>6.43</v>
      </c>
      <c r="N343" s="145"/>
    </row>
    <row r="344" spans="1:14">
      <c r="A344" s="145" t="s">
        <v>626</v>
      </c>
      <c r="B344" s="146" t="s">
        <v>1916</v>
      </c>
      <c r="C344" s="146" t="s">
        <v>1917</v>
      </c>
      <c r="D344" s="145" t="s">
        <v>1273</v>
      </c>
      <c r="E344" s="146" t="s">
        <v>75</v>
      </c>
      <c r="F344" s="145" t="s">
        <v>1602</v>
      </c>
      <c r="G344" s="146" t="s">
        <v>20</v>
      </c>
      <c r="H344" s="146">
        <v>201605</v>
      </c>
      <c r="I344" s="147">
        <v>1047.83</v>
      </c>
      <c r="J344" s="144">
        <f t="shared" si="17"/>
        <v>6</v>
      </c>
      <c r="K344" s="148">
        <v>1.4833299999999999E-3</v>
      </c>
      <c r="L344" s="147">
        <f t="shared" si="18"/>
        <v>9.33</v>
      </c>
      <c r="M344" s="147">
        <f t="shared" si="19"/>
        <v>18.649999999999999</v>
      </c>
      <c r="N344" s="145"/>
    </row>
    <row r="345" spans="1:14">
      <c r="A345" s="145" t="s">
        <v>626</v>
      </c>
      <c r="B345" s="146" t="s">
        <v>1806</v>
      </c>
      <c r="C345" s="146" t="s">
        <v>1807</v>
      </c>
      <c r="D345" s="145" t="s">
        <v>1808</v>
      </c>
      <c r="E345" s="146" t="s">
        <v>75</v>
      </c>
      <c r="F345" s="145" t="s">
        <v>1602</v>
      </c>
      <c r="G345" s="146" t="s">
        <v>20</v>
      </c>
      <c r="H345" s="146">
        <v>201605</v>
      </c>
      <c r="I345" s="147">
        <v>367.69</v>
      </c>
      <c r="J345" s="144">
        <f t="shared" si="17"/>
        <v>6</v>
      </c>
      <c r="K345" s="148">
        <v>1.4833299999999999E-3</v>
      </c>
      <c r="L345" s="147">
        <f t="shared" si="18"/>
        <v>3.27</v>
      </c>
      <c r="M345" s="147">
        <f t="shared" si="19"/>
        <v>6.54</v>
      </c>
      <c r="N345" s="145"/>
    </row>
    <row r="346" spans="1:14">
      <c r="A346" s="145" t="s">
        <v>626</v>
      </c>
      <c r="B346" s="146" t="s">
        <v>1918</v>
      </c>
      <c r="C346" s="146" t="s">
        <v>1919</v>
      </c>
      <c r="D346" s="145" t="s">
        <v>1920</v>
      </c>
      <c r="E346" s="146" t="s">
        <v>75</v>
      </c>
      <c r="F346" s="145" t="s">
        <v>1602</v>
      </c>
      <c r="G346" s="146" t="s">
        <v>20</v>
      </c>
      <c r="H346" s="146">
        <v>201605</v>
      </c>
      <c r="I346" s="147">
        <v>212.91</v>
      </c>
      <c r="J346" s="144">
        <f t="shared" si="17"/>
        <v>6</v>
      </c>
      <c r="K346" s="148">
        <v>1.4833299999999999E-3</v>
      </c>
      <c r="L346" s="147">
        <f t="shared" si="18"/>
        <v>1.89</v>
      </c>
      <c r="M346" s="147">
        <f t="shared" si="19"/>
        <v>3.79</v>
      </c>
      <c r="N346" s="145"/>
    </row>
    <row r="347" spans="1:14">
      <c r="A347" s="145" t="s">
        <v>626</v>
      </c>
      <c r="B347" s="146" t="s">
        <v>1924</v>
      </c>
      <c r="C347" s="146" t="s">
        <v>1925</v>
      </c>
      <c r="D347" s="145" t="s">
        <v>1926</v>
      </c>
      <c r="E347" s="146" t="s">
        <v>75</v>
      </c>
      <c r="F347" s="145" t="s">
        <v>1602</v>
      </c>
      <c r="G347" s="146" t="s">
        <v>20</v>
      </c>
      <c r="H347" s="146">
        <v>201605</v>
      </c>
      <c r="I347" s="147">
        <v>126.04</v>
      </c>
      <c r="J347" s="144">
        <f t="shared" si="17"/>
        <v>6</v>
      </c>
      <c r="K347" s="148">
        <v>1.4833299999999999E-3</v>
      </c>
      <c r="L347" s="147">
        <f t="shared" si="18"/>
        <v>1.1200000000000001</v>
      </c>
      <c r="M347" s="147">
        <f t="shared" si="19"/>
        <v>2.2400000000000002</v>
      </c>
      <c r="N347" s="145"/>
    </row>
    <row r="348" spans="1:14">
      <c r="A348" s="145" t="s">
        <v>626</v>
      </c>
      <c r="B348" s="146" t="s">
        <v>1927</v>
      </c>
      <c r="C348" s="146" t="s">
        <v>1928</v>
      </c>
      <c r="D348" s="145" t="s">
        <v>1929</v>
      </c>
      <c r="E348" s="146" t="s">
        <v>75</v>
      </c>
      <c r="F348" s="145" t="s">
        <v>1602</v>
      </c>
      <c r="G348" s="146" t="s">
        <v>20</v>
      </c>
      <c r="H348" s="146">
        <v>201605</v>
      </c>
      <c r="I348" s="147">
        <v>90.12</v>
      </c>
      <c r="J348" s="144">
        <f t="shared" si="17"/>
        <v>6</v>
      </c>
      <c r="K348" s="148">
        <v>1.4833299999999999E-3</v>
      </c>
      <c r="L348" s="147">
        <f t="shared" si="18"/>
        <v>0.8</v>
      </c>
      <c r="M348" s="147">
        <f t="shared" si="19"/>
        <v>1.6</v>
      </c>
      <c r="N348" s="145"/>
    </row>
    <row r="349" spans="1:14">
      <c r="A349" s="145" t="s">
        <v>626</v>
      </c>
      <c r="B349" s="146" t="s">
        <v>1930</v>
      </c>
      <c r="C349" s="146" t="s">
        <v>1931</v>
      </c>
      <c r="D349" s="145" t="s">
        <v>1932</v>
      </c>
      <c r="E349" s="146" t="s">
        <v>75</v>
      </c>
      <c r="F349" s="145" t="s">
        <v>1602</v>
      </c>
      <c r="G349" s="146" t="s">
        <v>20</v>
      </c>
      <c r="H349" s="146">
        <v>201605</v>
      </c>
      <c r="I349" s="147">
        <v>379.24</v>
      </c>
      <c r="J349" s="144">
        <f t="shared" si="17"/>
        <v>6</v>
      </c>
      <c r="K349" s="148">
        <v>1.4833299999999999E-3</v>
      </c>
      <c r="L349" s="147">
        <f t="shared" si="18"/>
        <v>3.38</v>
      </c>
      <c r="M349" s="147">
        <f t="shared" si="19"/>
        <v>6.75</v>
      </c>
      <c r="N349" s="145"/>
    </row>
    <row r="350" spans="1:14">
      <c r="A350" s="145" t="s">
        <v>626</v>
      </c>
      <c r="B350" s="146" t="s">
        <v>1933</v>
      </c>
      <c r="C350" s="146" t="s">
        <v>1934</v>
      </c>
      <c r="D350" s="145" t="s">
        <v>1935</v>
      </c>
      <c r="E350" s="146" t="s">
        <v>75</v>
      </c>
      <c r="F350" s="145" t="s">
        <v>1602</v>
      </c>
      <c r="G350" s="146" t="s">
        <v>20</v>
      </c>
      <c r="H350" s="146">
        <v>201605</v>
      </c>
      <c r="I350" s="147">
        <v>272.73</v>
      </c>
      <c r="J350" s="144">
        <f t="shared" si="17"/>
        <v>6</v>
      </c>
      <c r="K350" s="148">
        <v>1.4833299999999999E-3</v>
      </c>
      <c r="L350" s="147">
        <f t="shared" si="18"/>
        <v>2.4300000000000002</v>
      </c>
      <c r="M350" s="147">
        <f t="shared" si="19"/>
        <v>4.8499999999999996</v>
      </c>
      <c r="N350" s="145"/>
    </row>
    <row r="351" spans="1:14">
      <c r="A351" s="145" t="s">
        <v>626</v>
      </c>
      <c r="B351" s="146" t="s">
        <v>1936</v>
      </c>
      <c r="C351" s="146" t="s">
        <v>1937</v>
      </c>
      <c r="D351" s="145" t="s">
        <v>1938</v>
      </c>
      <c r="E351" s="146" t="s">
        <v>75</v>
      </c>
      <c r="F351" s="145" t="s">
        <v>1602</v>
      </c>
      <c r="G351" s="146" t="s">
        <v>20</v>
      </c>
      <c r="H351" s="146">
        <v>201605</v>
      </c>
      <c r="I351" s="147">
        <v>235.74</v>
      </c>
      <c r="J351" s="144">
        <f t="shared" si="17"/>
        <v>6</v>
      </c>
      <c r="K351" s="148">
        <v>1.4833299999999999E-3</v>
      </c>
      <c r="L351" s="147">
        <f t="shared" si="18"/>
        <v>2.1</v>
      </c>
      <c r="M351" s="147">
        <f t="shared" si="19"/>
        <v>4.2</v>
      </c>
      <c r="N351" s="145"/>
    </row>
    <row r="352" spans="1:14">
      <c r="A352" s="145" t="s">
        <v>626</v>
      </c>
      <c r="B352" s="146" t="s">
        <v>1978</v>
      </c>
      <c r="C352" s="146" t="s">
        <v>1979</v>
      </c>
      <c r="D352" s="145" t="s">
        <v>1980</v>
      </c>
      <c r="E352" s="146" t="s">
        <v>75</v>
      </c>
      <c r="F352" s="145" t="s">
        <v>1602</v>
      </c>
      <c r="G352" s="146" t="s">
        <v>20</v>
      </c>
      <c r="H352" s="146">
        <v>201605</v>
      </c>
      <c r="I352" s="147">
        <v>4736.59</v>
      </c>
      <c r="J352" s="144">
        <f t="shared" si="17"/>
        <v>6</v>
      </c>
      <c r="K352" s="148">
        <v>1.4833299999999999E-3</v>
      </c>
      <c r="L352" s="147">
        <f t="shared" si="18"/>
        <v>42.16</v>
      </c>
      <c r="M352" s="147">
        <f t="shared" si="19"/>
        <v>84.31</v>
      </c>
      <c r="N352" s="145"/>
    </row>
    <row r="353" spans="1:14">
      <c r="A353" s="145" t="s">
        <v>626</v>
      </c>
      <c r="B353" s="146" t="s">
        <v>1757</v>
      </c>
      <c r="C353" s="146" t="s">
        <v>1758</v>
      </c>
      <c r="D353" s="145" t="s">
        <v>1759</v>
      </c>
      <c r="E353" s="146" t="s">
        <v>75</v>
      </c>
      <c r="F353" s="145" t="s">
        <v>1602</v>
      </c>
      <c r="G353" s="146" t="s">
        <v>20</v>
      </c>
      <c r="H353" s="146">
        <v>201605</v>
      </c>
      <c r="I353" s="147">
        <v>190.43</v>
      </c>
      <c r="J353" s="144">
        <f t="shared" si="17"/>
        <v>6</v>
      </c>
      <c r="K353" s="148">
        <v>1.4833299999999999E-3</v>
      </c>
      <c r="L353" s="147">
        <f t="shared" si="18"/>
        <v>1.69</v>
      </c>
      <c r="M353" s="147">
        <f t="shared" si="19"/>
        <v>3.39</v>
      </c>
      <c r="N353" s="145"/>
    </row>
    <row r="354" spans="1:14">
      <c r="A354" s="145" t="s">
        <v>626</v>
      </c>
      <c r="B354" s="146" t="s">
        <v>1981</v>
      </c>
      <c r="C354" s="146" t="s">
        <v>1982</v>
      </c>
      <c r="D354" s="145" t="s">
        <v>1983</v>
      </c>
      <c r="E354" s="146" t="s">
        <v>75</v>
      </c>
      <c r="F354" s="145" t="s">
        <v>1602</v>
      </c>
      <c r="G354" s="146" t="s">
        <v>20</v>
      </c>
      <c r="H354" s="146">
        <v>201605</v>
      </c>
      <c r="I354" s="147">
        <v>9020.93</v>
      </c>
      <c r="J354" s="144">
        <f t="shared" si="17"/>
        <v>6</v>
      </c>
      <c r="K354" s="148">
        <v>1.4833299999999999E-3</v>
      </c>
      <c r="L354" s="147">
        <f t="shared" si="18"/>
        <v>80.290000000000006</v>
      </c>
      <c r="M354" s="147">
        <f t="shared" si="19"/>
        <v>160.57</v>
      </c>
      <c r="N354" s="145"/>
    </row>
    <row r="355" spans="1:14">
      <c r="A355" s="145" t="s">
        <v>626</v>
      </c>
      <c r="B355" s="146" t="s">
        <v>1987</v>
      </c>
      <c r="C355" s="146" t="s">
        <v>1988</v>
      </c>
      <c r="D355" s="145" t="s">
        <v>1338</v>
      </c>
      <c r="E355" s="146" t="s">
        <v>75</v>
      </c>
      <c r="F355" s="145" t="s">
        <v>1602</v>
      </c>
      <c r="G355" s="146" t="s">
        <v>20</v>
      </c>
      <c r="H355" s="146">
        <v>201605</v>
      </c>
      <c r="I355" s="147">
        <v>1596.18</v>
      </c>
      <c r="J355" s="144">
        <f t="shared" si="17"/>
        <v>6</v>
      </c>
      <c r="K355" s="148">
        <v>1.4833299999999999E-3</v>
      </c>
      <c r="L355" s="147">
        <f t="shared" si="18"/>
        <v>14.21</v>
      </c>
      <c r="M355" s="147">
        <f t="shared" si="19"/>
        <v>28.41</v>
      </c>
      <c r="N355" s="145"/>
    </row>
    <row r="356" spans="1:14">
      <c r="A356" s="145" t="s">
        <v>133</v>
      </c>
      <c r="B356" s="146" t="s">
        <v>1817</v>
      </c>
      <c r="C356" s="146" t="s">
        <v>1818</v>
      </c>
      <c r="D356" s="145" t="s">
        <v>1819</v>
      </c>
      <c r="E356" s="146" t="s">
        <v>75</v>
      </c>
      <c r="F356" s="145" t="s">
        <v>1602</v>
      </c>
      <c r="G356" s="146" t="s">
        <v>20</v>
      </c>
      <c r="H356" s="146">
        <v>201605</v>
      </c>
      <c r="I356" s="147">
        <v>135290.82999999999</v>
      </c>
      <c r="J356" s="144">
        <f t="shared" si="17"/>
        <v>6</v>
      </c>
      <c r="K356" s="148">
        <v>1.4833299999999999E-3</v>
      </c>
      <c r="L356" s="147">
        <f t="shared" si="18"/>
        <v>1204.0899999999999</v>
      </c>
      <c r="M356" s="147">
        <f t="shared" si="19"/>
        <v>2408.17</v>
      </c>
      <c r="N356" s="145"/>
    </row>
    <row r="357" spans="1:14">
      <c r="A357" s="145" t="s">
        <v>626</v>
      </c>
      <c r="B357" s="146" t="s">
        <v>1989</v>
      </c>
      <c r="C357" s="146" t="s">
        <v>1990</v>
      </c>
      <c r="D357" s="145" t="s">
        <v>1495</v>
      </c>
      <c r="E357" s="146" t="s">
        <v>75</v>
      </c>
      <c r="F357" s="145" t="s">
        <v>1602</v>
      </c>
      <c r="G357" s="146" t="s">
        <v>20</v>
      </c>
      <c r="H357" s="146">
        <v>201605</v>
      </c>
      <c r="I357" s="147">
        <v>7760.52</v>
      </c>
      <c r="J357" s="144">
        <f t="shared" si="17"/>
        <v>6</v>
      </c>
      <c r="K357" s="148">
        <v>1.4833299999999999E-3</v>
      </c>
      <c r="L357" s="147">
        <f t="shared" si="18"/>
        <v>69.069999999999993</v>
      </c>
      <c r="M357" s="147">
        <f t="shared" si="19"/>
        <v>138.13999999999999</v>
      </c>
      <c r="N357" s="145"/>
    </row>
    <row r="358" spans="1:14">
      <c r="A358" s="145" t="s">
        <v>1942</v>
      </c>
      <c r="B358" s="146" t="s">
        <v>1681</v>
      </c>
      <c r="C358" s="146" t="s">
        <v>1999</v>
      </c>
      <c r="D358" s="145" t="s">
        <v>2000</v>
      </c>
      <c r="E358" s="146" t="s">
        <v>75</v>
      </c>
      <c r="F358" s="145" t="s">
        <v>1602</v>
      </c>
      <c r="G358" s="146" t="s">
        <v>20</v>
      </c>
      <c r="H358" s="146">
        <v>201605</v>
      </c>
      <c r="I358" s="147">
        <v>51.06</v>
      </c>
      <c r="J358" s="144">
        <f t="shared" si="17"/>
        <v>6</v>
      </c>
      <c r="K358" s="148">
        <v>2.23333E-3</v>
      </c>
      <c r="L358" s="147">
        <f t="shared" si="18"/>
        <v>0.68</v>
      </c>
      <c r="M358" s="147">
        <f t="shared" si="19"/>
        <v>1.37</v>
      </c>
      <c r="N358" s="145"/>
    </row>
    <row r="359" spans="1:14">
      <c r="A359" s="145" t="s">
        <v>14</v>
      </c>
      <c r="B359" s="146" t="s">
        <v>1681</v>
      </c>
      <c r="C359" s="146" t="s">
        <v>1999</v>
      </c>
      <c r="D359" s="145" t="s">
        <v>2000</v>
      </c>
      <c r="E359" s="146" t="s">
        <v>75</v>
      </c>
      <c r="F359" s="145" t="s">
        <v>1602</v>
      </c>
      <c r="G359" s="146" t="s">
        <v>20</v>
      </c>
      <c r="H359" s="146">
        <v>201605</v>
      </c>
      <c r="I359" s="147">
        <v>1560.99</v>
      </c>
      <c r="J359" s="144">
        <f t="shared" si="17"/>
        <v>6</v>
      </c>
      <c r="K359" s="148">
        <v>2.23333E-3</v>
      </c>
      <c r="L359" s="147">
        <f t="shared" si="18"/>
        <v>20.92</v>
      </c>
      <c r="M359" s="147">
        <f t="shared" si="19"/>
        <v>41.83</v>
      </c>
      <c r="N359" s="145"/>
    </row>
    <row r="360" spans="1:14">
      <c r="A360" s="145" t="s">
        <v>626</v>
      </c>
      <c r="B360" s="146" t="s">
        <v>1681</v>
      </c>
      <c r="C360" s="146" t="s">
        <v>1999</v>
      </c>
      <c r="D360" s="145" t="s">
        <v>2000</v>
      </c>
      <c r="E360" s="146" t="s">
        <v>75</v>
      </c>
      <c r="F360" s="145" t="s">
        <v>1602</v>
      </c>
      <c r="G360" s="146" t="s">
        <v>20</v>
      </c>
      <c r="H360" s="146">
        <v>201605</v>
      </c>
      <c r="I360" s="147">
        <v>12204.92</v>
      </c>
      <c r="J360" s="144">
        <f t="shared" si="17"/>
        <v>6</v>
      </c>
      <c r="K360" s="148">
        <v>1.4833299999999999E-3</v>
      </c>
      <c r="L360" s="147">
        <f t="shared" si="18"/>
        <v>108.62</v>
      </c>
      <c r="M360" s="147">
        <f t="shared" si="19"/>
        <v>217.25</v>
      </c>
      <c r="N360" s="145"/>
    </row>
    <row r="361" spans="1:14">
      <c r="A361" s="145" t="s">
        <v>21</v>
      </c>
      <c r="B361" s="146" t="s">
        <v>1681</v>
      </c>
      <c r="C361" s="146" t="s">
        <v>2075</v>
      </c>
      <c r="D361" s="145" t="s">
        <v>2076</v>
      </c>
      <c r="E361" s="146" t="s">
        <v>75</v>
      </c>
      <c r="F361" s="145" t="s">
        <v>1602</v>
      </c>
      <c r="G361" s="146" t="s">
        <v>20</v>
      </c>
      <c r="H361" s="146">
        <v>201605</v>
      </c>
      <c r="I361" s="147">
        <v>125432.15</v>
      </c>
      <c r="J361" s="144">
        <f t="shared" si="17"/>
        <v>6</v>
      </c>
      <c r="K361" s="148">
        <v>1.4833299999999999E-3</v>
      </c>
      <c r="L361" s="147">
        <f t="shared" si="18"/>
        <v>1116.3399999999999</v>
      </c>
      <c r="M361" s="147">
        <f t="shared" si="19"/>
        <v>2232.69</v>
      </c>
      <c r="N361" s="145"/>
    </row>
    <row r="362" spans="1:14">
      <c r="A362" s="145" t="s">
        <v>626</v>
      </c>
      <c r="B362" s="146" t="s">
        <v>1681</v>
      </c>
      <c r="C362" s="146" t="s">
        <v>2079</v>
      </c>
      <c r="D362" s="145" t="s">
        <v>2080</v>
      </c>
      <c r="E362" s="146" t="s">
        <v>75</v>
      </c>
      <c r="F362" s="145" t="s">
        <v>1602</v>
      </c>
      <c r="G362" s="146" t="s">
        <v>20</v>
      </c>
      <c r="H362" s="146">
        <v>201605</v>
      </c>
      <c r="I362" s="147">
        <v>3771.1</v>
      </c>
      <c r="J362" s="144">
        <f t="shared" si="17"/>
        <v>6</v>
      </c>
      <c r="K362" s="148">
        <v>1.4833299999999999E-3</v>
      </c>
      <c r="L362" s="147">
        <f t="shared" si="18"/>
        <v>33.56</v>
      </c>
      <c r="M362" s="147">
        <f t="shared" si="19"/>
        <v>67.13</v>
      </c>
      <c r="N362" s="145"/>
    </row>
    <row r="363" spans="1:14">
      <c r="A363" s="145" t="s">
        <v>626</v>
      </c>
      <c r="B363" s="146" t="s">
        <v>1681</v>
      </c>
      <c r="C363" s="146" t="s">
        <v>2081</v>
      </c>
      <c r="D363" s="145" t="s">
        <v>2082</v>
      </c>
      <c r="E363" s="146" t="s">
        <v>75</v>
      </c>
      <c r="F363" s="145" t="s">
        <v>1602</v>
      </c>
      <c r="G363" s="146" t="s">
        <v>20</v>
      </c>
      <c r="H363" s="146">
        <v>201605</v>
      </c>
      <c r="I363" s="147">
        <v>396348.63</v>
      </c>
      <c r="J363" s="144">
        <f t="shared" si="17"/>
        <v>6</v>
      </c>
      <c r="K363" s="148">
        <v>1.4833299999999999E-3</v>
      </c>
      <c r="L363" s="147">
        <f t="shared" si="18"/>
        <v>3527.49</v>
      </c>
      <c r="M363" s="147">
        <f t="shared" si="19"/>
        <v>7054.99</v>
      </c>
      <c r="N363" s="145"/>
    </row>
    <row r="364" spans="1:14">
      <c r="A364" s="145" t="s">
        <v>626</v>
      </c>
      <c r="B364" s="146" t="s">
        <v>1681</v>
      </c>
      <c r="C364" s="146" t="s">
        <v>2083</v>
      </c>
      <c r="D364" s="145" t="s">
        <v>2084</v>
      </c>
      <c r="E364" s="146" t="s">
        <v>75</v>
      </c>
      <c r="F364" s="145" t="s">
        <v>1602</v>
      </c>
      <c r="G364" s="146" t="s">
        <v>20</v>
      </c>
      <c r="H364" s="146">
        <v>201605</v>
      </c>
      <c r="I364" s="147">
        <v>97811.62</v>
      </c>
      <c r="J364" s="144">
        <f t="shared" si="17"/>
        <v>6</v>
      </c>
      <c r="K364" s="148">
        <v>1.4833299999999999E-3</v>
      </c>
      <c r="L364" s="147">
        <f t="shared" si="18"/>
        <v>870.52</v>
      </c>
      <c r="M364" s="147">
        <f t="shared" si="19"/>
        <v>1741.04</v>
      </c>
      <c r="N364" s="145"/>
    </row>
    <row r="365" spans="1:14">
      <c r="A365" s="145" t="s">
        <v>21</v>
      </c>
      <c r="B365" s="146" t="s">
        <v>485</v>
      </c>
      <c r="C365" s="146" t="s">
        <v>486</v>
      </c>
      <c r="D365" s="145" t="s">
        <v>487</v>
      </c>
      <c r="E365" s="146" t="s">
        <v>75</v>
      </c>
      <c r="F365" s="145" t="s">
        <v>1602</v>
      </c>
      <c r="G365" s="146" t="s">
        <v>20</v>
      </c>
      <c r="H365" s="146">
        <v>201606</v>
      </c>
      <c r="I365" s="147">
        <v>1.71</v>
      </c>
      <c r="J365" s="144">
        <f t="shared" si="17"/>
        <v>5</v>
      </c>
      <c r="K365" s="148">
        <v>1.4833299999999999E-3</v>
      </c>
      <c r="L365" s="147">
        <f t="shared" si="18"/>
        <v>0.01</v>
      </c>
      <c r="M365" s="147">
        <f t="shared" si="19"/>
        <v>0.03</v>
      </c>
      <c r="N365" s="145"/>
    </row>
    <row r="366" spans="1:14">
      <c r="A366" s="145" t="s">
        <v>626</v>
      </c>
      <c r="B366" s="146" t="s">
        <v>1508</v>
      </c>
      <c r="C366" s="146" t="s">
        <v>1509</v>
      </c>
      <c r="D366" s="145" t="s">
        <v>1510</v>
      </c>
      <c r="E366" s="146" t="s">
        <v>75</v>
      </c>
      <c r="F366" s="145" t="s">
        <v>1602</v>
      </c>
      <c r="G366" s="146" t="s">
        <v>20</v>
      </c>
      <c r="H366" s="146">
        <v>201606</v>
      </c>
      <c r="I366" s="147">
        <v>12.8</v>
      </c>
      <c r="J366" s="144">
        <f t="shared" si="17"/>
        <v>5</v>
      </c>
      <c r="K366" s="148">
        <v>1.4833299999999999E-3</v>
      </c>
      <c r="L366" s="147">
        <f t="shared" si="18"/>
        <v>0.09</v>
      </c>
      <c r="M366" s="147">
        <f t="shared" si="19"/>
        <v>0.23</v>
      </c>
      <c r="N366" s="145"/>
    </row>
    <row r="367" spans="1:14">
      <c r="A367" s="145" t="s">
        <v>626</v>
      </c>
      <c r="B367" s="146" t="s">
        <v>1861</v>
      </c>
      <c r="C367" s="146" t="s">
        <v>1862</v>
      </c>
      <c r="D367" s="145" t="s">
        <v>1863</v>
      </c>
      <c r="E367" s="146" t="s">
        <v>75</v>
      </c>
      <c r="F367" s="145" t="s">
        <v>1602</v>
      </c>
      <c r="G367" s="146" t="s">
        <v>20</v>
      </c>
      <c r="H367" s="146">
        <v>201606</v>
      </c>
      <c r="I367" s="147">
        <v>290.42</v>
      </c>
      <c r="J367" s="144">
        <f t="shared" si="17"/>
        <v>5</v>
      </c>
      <c r="K367" s="148">
        <v>1.4833299999999999E-3</v>
      </c>
      <c r="L367" s="147">
        <f t="shared" si="18"/>
        <v>2.15</v>
      </c>
      <c r="M367" s="147">
        <f t="shared" si="19"/>
        <v>5.17</v>
      </c>
      <c r="N367" s="145"/>
    </row>
    <row r="368" spans="1:14">
      <c r="A368" s="145" t="s">
        <v>626</v>
      </c>
      <c r="B368" s="146" t="s">
        <v>1864</v>
      </c>
      <c r="C368" s="146" t="s">
        <v>1865</v>
      </c>
      <c r="D368" s="145" t="s">
        <v>1866</v>
      </c>
      <c r="E368" s="146" t="s">
        <v>75</v>
      </c>
      <c r="F368" s="145" t="s">
        <v>1602</v>
      </c>
      <c r="G368" s="146" t="s">
        <v>20</v>
      </c>
      <c r="H368" s="146">
        <v>201606</v>
      </c>
      <c r="I368" s="147">
        <v>1079.1199999999999</v>
      </c>
      <c r="J368" s="144">
        <f t="shared" si="17"/>
        <v>5</v>
      </c>
      <c r="K368" s="148">
        <v>1.4833299999999999E-3</v>
      </c>
      <c r="L368" s="147">
        <f t="shared" si="18"/>
        <v>8</v>
      </c>
      <c r="M368" s="147">
        <f t="shared" si="19"/>
        <v>19.21</v>
      </c>
      <c r="N368" s="145"/>
    </row>
    <row r="369" spans="1:14">
      <c r="A369" s="145" t="s">
        <v>626</v>
      </c>
      <c r="B369" s="146" t="s">
        <v>1867</v>
      </c>
      <c r="C369" s="146" t="s">
        <v>1868</v>
      </c>
      <c r="D369" s="145" t="s">
        <v>1869</v>
      </c>
      <c r="E369" s="146" t="s">
        <v>75</v>
      </c>
      <c r="F369" s="145" t="s">
        <v>1602</v>
      </c>
      <c r="G369" s="146" t="s">
        <v>20</v>
      </c>
      <c r="H369" s="146">
        <v>201606</v>
      </c>
      <c r="I369" s="147">
        <v>45.21</v>
      </c>
      <c r="J369" s="144">
        <f t="shared" si="17"/>
        <v>5</v>
      </c>
      <c r="K369" s="148">
        <v>1.4833299999999999E-3</v>
      </c>
      <c r="L369" s="147">
        <f t="shared" si="18"/>
        <v>0.34</v>
      </c>
      <c r="M369" s="147">
        <f t="shared" si="19"/>
        <v>0.8</v>
      </c>
      <c r="N369" s="145"/>
    </row>
    <row r="370" spans="1:14">
      <c r="A370" s="145" t="s">
        <v>626</v>
      </c>
      <c r="B370" s="146" t="s">
        <v>1870</v>
      </c>
      <c r="C370" s="146" t="s">
        <v>1871</v>
      </c>
      <c r="D370" s="145" t="s">
        <v>1872</v>
      </c>
      <c r="E370" s="146" t="s">
        <v>75</v>
      </c>
      <c r="F370" s="145" t="s">
        <v>1602</v>
      </c>
      <c r="G370" s="146" t="s">
        <v>20</v>
      </c>
      <c r="H370" s="146">
        <v>201606</v>
      </c>
      <c r="I370" s="147">
        <v>354.81</v>
      </c>
      <c r="J370" s="144">
        <f t="shared" si="17"/>
        <v>5</v>
      </c>
      <c r="K370" s="148">
        <v>1.4833299999999999E-3</v>
      </c>
      <c r="L370" s="147">
        <f t="shared" si="18"/>
        <v>2.63</v>
      </c>
      <c r="M370" s="147">
        <f t="shared" si="19"/>
        <v>6.32</v>
      </c>
      <c r="N370" s="145"/>
    </row>
    <row r="371" spans="1:14">
      <c r="A371" s="145" t="s">
        <v>626</v>
      </c>
      <c r="B371" s="146" t="s">
        <v>1873</v>
      </c>
      <c r="C371" s="146" t="s">
        <v>1874</v>
      </c>
      <c r="D371" s="145" t="s">
        <v>1875</v>
      </c>
      <c r="E371" s="146" t="s">
        <v>75</v>
      </c>
      <c r="F371" s="145" t="s">
        <v>1602</v>
      </c>
      <c r="G371" s="146" t="s">
        <v>20</v>
      </c>
      <c r="H371" s="146">
        <v>201606</v>
      </c>
      <c r="I371" s="147">
        <v>1774.13</v>
      </c>
      <c r="J371" s="144">
        <f t="shared" si="17"/>
        <v>5</v>
      </c>
      <c r="K371" s="148">
        <v>1.4833299999999999E-3</v>
      </c>
      <c r="L371" s="147">
        <f t="shared" si="18"/>
        <v>13.16</v>
      </c>
      <c r="M371" s="147">
        <f t="shared" si="19"/>
        <v>31.58</v>
      </c>
      <c r="N371" s="145"/>
    </row>
    <row r="372" spans="1:14">
      <c r="A372" s="145" t="s">
        <v>626</v>
      </c>
      <c r="B372" s="146" t="s">
        <v>1681</v>
      </c>
      <c r="C372" s="146" t="s">
        <v>1705</v>
      </c>
      <c r="D372" s="145" t="s">
        <v>1706</v>
      </c>
      <c r="E372" s="146" t="s">
        <v>75</v>
      </c>
      <c r="F372" s="145" t="s">
        <v>1602</v>
      </c>
      <c r="G372" s="146" t="s">
        <v>20</v>
      </c>
      <c r="H372" s="146">
        <v>201606</v>
      </c>
      <c r="I372" s="147">
        <v>12937.58</v>
      </c>
      <c r="J372" s="144">
        <f t="shared" si="17"/>
        <v>5</v>
      </c>
      <c r="K372" s="148">
        <v>1.4833299999999999E-3</v>
      </c>
      <c r="L372" s="147">
        <f t="shared" si="18"/>
        <v>95.95</v>
      </c>
      <c r="M372" s="147">
        <f t="shared" si="19"/>
        <v>230.29</v>
      </c>
      <c r="N372" s="145"/>
    </row>
    <row r="373" spans="1:14">
      <c r="A373" s="145" t="s">
        <v>626</v>
      </c>
      <c r="B373" s="146" t="s">
        <v>1681</v>
      </c>
      <c r="C373" s="146" t="s">
        <v>1707</v>
      </c>
      <c r="D373" s="145" t="s">
        <v>1708</v>
      </c>
      <c r="E373" s="146" t="s">
        <v>75</v>
      </c>
      <c r="F373" s="145" t="s">
        <v>1602</v>
      </c>
      <c r="G373" s="146" t="s">
        <v>20</v>
      </c>
      <c r="H373" s="146">
        <v>201606</v>
      </c>
      <c r="I373" s="147">
        <v>59436.53</v>
      </c>
      <c r="J373" s="144">
        <f t="shared" si="17"/>
        <v>5</v>
      </c>
      <c r="K373" s="148">
        <v>1.4833299999999999E-3</v>
      </c>
      <c r="L373" s="147">
        <f t="shared" si="18"/>
        <v>440.82</v>
      </c>
      <c r="M373" s="147">
        <f t="shared" si="19"/>
        <v>1057.97</v>
      </c>
      <c r="N373" s="145"/>
    </row>
    <row r="374" spans="1:14">
      <c r="A374" s="145" t="s">
        <v>626</v>
      </c>
      <c r="B374" s="146" t="s">
        <v>1951</v>
      </c>
      <c r="C374" s="146" t="s">
        <v>1952</v>
      </c>
      <c r="D374" s="145" t="s">
        <v>1759</v>
      </c>
      <c r="E374" s="146" t="s">
        <v>75</v>
      </c>
      <c r="F374" s="145" t="s">
        <v>1602</v>
      </c>
      <c r="G374" s="146" t="s">
        <v>20</v>
      </c>
      <c r="H374" s="146">
        <v>201606</v>
      </c>
      <c r="I374" s="147">
        <v>845.22</v>
      </c>
      <c r="J374" s="144">
        <f t="shared" si="17"/>
        <v>5</v>
      </c>
      <c r="K374" s="148">
        <v>1.4833299999999999E-3</v>
      </c>
      <c r="L374" s="147">
        <f t="shared" si="18"/>
        <v>6.27</v>
      </c>
      <c r="M374" s="147">
        <f t="shared" si="19"/>
        <v>15.04</v>
      </c>
      <c r="N374" s="145"/>
    </row>
    <row r="375" spans="1:14">
      <c r="A375" s="145" t="s">
        <v>626</v>
      </c>
      <c r="B375" s="146" t="s">
        <v>1721</v>
      </c>
      <c r="C375" s="146" t="s">
        <v>1722</v>
      </c>
      <c r="D375" s="145" t="s">
        <v>1723</v>
      </c>
      <c r="E375" s="146" t="s">
        <v>75</v>
      </c>
      <c r="F375" s="145" t="s">
        <v>1602</v>
      </c>
      <c r="G375" s="146" t="s">
        <v>20</v>
      </c>
      <c r="H375" s="146">
        <v>201606</v>
      </c>
      <c r="I375" s="147">
        <v>9.16</v>
      </c>
      <c r="J375" s="144">
        <f t="shared" si="17"/>
        <v>5</v>
      </c>
      <c r="K375" s="148">
        <v>1.4833299999999999E-3</v>
      </c>
      <c r="L375" s="147">
        <f t="shared" si="18"/>
        <v>7.0000000000000007E-2</v>
      </c>
      <c r="M375" s="147">
        <f t="shared" si="19"/>
        <v>0.16</v>
      </c>
      <c r="N375" s="145"/>
    </row>
    <row r="376" spans="1:14">
      <c r="A376" s="145" t="s">
        <v>626</v>
      </c>
      <c r="B376" s="146" t="s">
        <v>1953</v>
      </c>
      <c r="C376" s="146" t="s">
        <v>1954</v>
      </c>
      <c r="D376" s="145" t="s">
        <v>1955</v>
      </c>
      <c r="E376" s="146" t="s">
        <v>75</v>
      </c>
      <c r="F376" s="145" t="s">
        <v>1602</v>
      </c>
      <c r="G376" s="146" t="s">
        <v>20</v>
      </c>
      <c r="H376" s="146">
        <v>201606</v>
      </c>
      <c r="I376" s="147">
        <v>11.15</v>
      </c>
      <c r="J376" s="144">
        <f t="shared" si="17"/>
        <v>5</v>
      </c>
      <c r="K376" s="148">
        <v>1.4833299999999999E-3</v>
      </c>
      <c r="L376" s="147">
        <f t="shared" si="18"/>
        <v>0.08</v>
      </c>
      <c r="M376" s="147">
        <f t="shared" si="19"/>
        <v>0.2</v>
      </c>
      <c r="N376" s="145"/>
    </row>
    <row r="377" spans="1:14">
      <c r="A377" s="145" t="s">
        <v>626</v>
      </c>
      <c r="B377" s="146" t="s">
        <v>1724</v>
      </c>
      <c r="C377" s="146" t="s">
        <v>1725</v>
      </c>
      <c r="D377" s="145" t="s">
        <v>1726</v>
      </c>
      <c r="E377" s="146" t="s">
        <v>75</v>
      </c>
      <c r="F377" s="145" t="s">
        <v>1602</v>
      </c>
      <c r="G377" s="146" t="s">
        <v>20</v>
      </c>
      <c r="H377" s="146">
        <v>201606</v>
      </c>
      <c r="I377" s="147">
        <v>-11.06</v>
      </c>
      <c r="J377" s="144">
        <f t="shared" si="17"/>
        <v>5</v>
      </c>
      <c r="K377" s="148">
        <v>1.4833299999999999E-3</v>
      </c>
      <c r="L377" s="147">
        <f t="shared" si="18"/>
        <v>-0.08</v>
      </c>
      <c r="M377" s="147">
        <f t="shared" si="19"/>
        <v>-0.2</v>
      </c>
      <c r="N377" s="145"/>
    </row>
    <row r="378" spans="1:14">
      <c r="A378" s="145" t="s">
        <v>626</v>
      </c>
      <c r="B378" s="146" t="s">
        <v>1791</v>
      </c>
      <c r="C378" s="146" t="s">
        <v>1792</v>
      </c>
      <c r="D378" s="145" t="s">
        <v>1793</v>
      </c>
      <c r="E378" s="146" t="s">
        <v>75</v>
      </c>
      <c r="F378" s="145" t="s">
        <v>1602</v>
      </c>
      <c r="G378" s="146" t="s">
        <v>20</v>
      </c>
      <c r="H378" s="146">
        <v>201606</v>
      </c>
      <c r="I378" s="147">
        <v>852.37</v>
      </c>
      <c r="J378" s="144">
        <f t="shared" si="17"/>
        <v>5</v>
      </c>
      <c r="K378" s="148">
        <v>1.4833299999999999E-3</v>
      </c>
      <c r="L378" s="147">
        <f t="shared" si="18"/>
        <v>6.32</v>
      </c>
      <c r="M378" s="147">
        <f t="shared" si="19"/>
        <v>15.17</v>
      </c>
      <c r="N378" s="145"/>
    </row>
    <row r="379" spans="1:14">
      <c r="A379" s="145" t="s">
        <v>133</v>
      </c>
      <c r="B379" s="146" t="s">
        <v>1876</v>
      </c>
      <c r="C379" s="146" t="s">
        <v>1877</v>
      </c>
      <c r="D379" s="145" t="s">
        <v>1878</v>
      </c>
      <c r="E379" s="146" t="s">
        <v>75</v>
      </c>
      <c r="F379" s="145" t="s">
        <v>1602</v>
      </c>
      <c r="G379" s="146" t="s">
        <v>20</v>
      </c>
      <c r="H379" s="146">
        <v>201606</v>
      </c>
      <c r="I379" s="147">
        <v>877.26</v>
      </c>
      <c r="J379" s="144">
        <f t="shared" ref="J379:J442" si="20">HLOOKUP(H379,$Q$2:$Z$3,2)</f>
        <v>5</v>
      </c>
      <c r="K379" s="148">
        <v>1.4833299999999999E-3</v>
      </c>
      <c r="L379" s="147">
        <f t="shared" ref="L379:L442" si="21">ROUND(I379*J379*K379,2)</f>
        <v>6.51</v>
      </c>
      <c r="M379" s="147">
        <f t="shared" ref="M379:M442" si="22">ROUND(I379*K379*12,2)</f>
        <v>15.62</v>
      </c>
      <c r="N379" s="145"/>
    </row>
    <row r="380" spans="1:14">
      <c r="A380" s="145" t="s">
        <v>626</v>
      </c>
      <c r="B380" s="146" t="s">
        <v>1879</v>
      </c>
      <c r="C380" s="146" t="s">
        <v>1880</v>
      </c>
      <c r="D380" s="145" t="s">
        <v>1273</v>
      </c>
      <c r="E380" s="146" t="s">
        <v>75</v>
      </c>
      <c r="F380" s="145" t="s">
        <v>1602</v>
      </c>
      <c r="G380" s="146" t="s">
        <v>20</v>
      </c>
      <c r="H380" s="146">
        <v>201606</v>
      </c>
      <c r="I380" s="147">
        <v>157.65</v>
      </c>
      <c r="J380" s="144">
        <f t="shared" si="20"/>
        <v>5</v>
      </c>
      <c r="K380" s="148">
        <v>1.4833299999999999E-3</v>
      </c>
      <c r="L380" s="147">
        <f t="shared" si="21"/>
        <v>1.17</v>
      </c>
      <c r="M380" s="147">
        <f t="shared" si="22"/>
        <v>2.81</v>
      </c>
      <c r="N380" s="145"/>
    </row>
    <row r="381" spans="1:14">
      <c r="A381" s="145" t="s">
        <v>21</v>
      </c>
      <c r="B381" s="146" t="s">
        <v>1727</v>
      </c>
      <c r="C381" s="146" t="s">
        <v>1728</v>
      </c>
      <c r="D381" s="145" t="s">
        <v>1729</v>
      </c>
      <c r="E381" s="146" t="s">
        <v>75</v>
      </c>
      <c r="F381" s="145" t="s">
        <v>1602</v>
      </c>
      <c r="G381" s="146" t="s">
        <v>20</v>
      </c>
      <c r="H381" s="146">
        <v>201606</v>
      </c>
      <c r="I381" s="147">
        <v>100.59</v>
      </c>
      <c r="J381" s="144">
        <f t="shared" si="20"/>
        <v>5</v>
      </c>
      <c r="K381" s="148">
        <v>1.4833299999999999E-3</v>
      </c>
      <c r="L381" s="147">
        <f t="shared" si="21"/>
        <v>0.75</v>
      </c>
      <c r="M381" s="147">
        <f t="shared" si="22"/>
        <v>1.79</v>
      </c>
      <c r="N381" s="145"/>
    </row>
    <row r="382" spans="1:14">
      <c r="A382" s="145" t="s">
        <v>626</v>
      </c>
      <c r="B382" s="146" t="s">
        <v>1881</v>
      </c>
      <c r="C382" s="146" t="s">
        <v>1882</v>
      </c>
      <c r="D382" s="145" t="s">
        <v>1883</v>
      </c>
      <c r="E382" s="146" t="s">
        <v>75</v>
      </c>
      <c r="F382" s="145" t="s">
        <v>1602</v>
      </c>
      <c r="G382" s="146" t="s">
        <v>20</v>
      </c>
      <c r="H382" s="146">
        <v>201606</v>
      </c>
      <c r="I382" s="147">
        <v>131.46</v>
      </c>
      <c r="J382" s="144">
        <f t="shared" si="20"/>
        <v>5</v>
      </c>
      <c r="K382" s="148">
        <v>1.4833299999999999E-3</v>
      </c>
      <c r="L382" s="147">
        <f t="shared" si="21"/>
        <v>0.97</v>
      </c>
      <c r="M382" s="147">
        <f t="shared" si="22"/>
        <v>2.34</v>
      </c>
      <c r="N382" s="145"/>
    </row>
    <row r="383" spans="1:14">
      <c r="A383" s="145" t="s">
        <v>626</v>
      </c>
      <c r="B383" s="146" t="s">
        <v>1884</v>
      </c>
      <c r="C383" s="146" t="s">
        <v>1885</v>
      </c>
      <c r="D383" s="145" t="s">
        <v>1886</v>
      </c>
      <c r="E383" s="146" t="s">
        <v>75</v>
      </c>
      <c r="F383" s="145" t="s">
        <v>1602</v>
      </c>
      <c r="G383" s="146" t="s">
        <v>20</v>
      </c>
      <c r="H383" s="146">
        <v>201606</v>
      </c>
      <c r="I383" s="147">
        <v>73.94</v>
      </c>
      <c r="J383" s="144">
        <f t="shared" si="20"/>
        <v>5</v>
      </c>
      <c r="K383" s="148">
        <v>1.4833299999999999E-3</v>
      </c>
      <c r="L383" s="147">
        <f t="shared" si="21"/>
        <v>0.55000000000000004</v>
      </c>
      <c r="M383" s="147">
        <f t="shared" si="22"/>
        <v>1.32</v>
      </c>
      <c r="N383" s="145"/>
    </row>
    <row r="384" spans="1:14">
      <c r="A384" s="145" t="s">
        <v>626</v>
      </c>
      <c r="B384" s="146" t="s">
        <v>1890</v>
      </c>
      <c r="C384" s="146" t="s">
        <v>1891</v>
      </c>
      <c r="D384" s="145" t="s">
        <v>1495</v>
      </c>
      <c r="E384" s="146" t="s">
        <v>75</v>
      </c>
      <c r="F384" s="145" t="s">
        <v>1602</v>
      </c>
      <c r="G384" s="146" t="s">
        <v>20</v>
      </c>
      <c r="H384" s="146">
        <v>201606</v>
      </c>
      <c r="I384" s="147">
        <v>398.43</v>
      </c>
      <c r="J384" s="144">
        <f t="shared" si="20"/>
        <v>5</v>
      </c>
      <c r="K384" s="148">
        <v>1.4833299999999999E-3</v>
      </c>
      <c r="L384" s="147">
        <f t="shared" si="21"/>
        <v>2.96</v>
      </c>
      <c r="M384" s="147">
        <f t="shared" si="22"/>
        <v>7.09</v>
      </c>
      <c r="N384" s="145"/>
    </row>
    <row r="385" spans="1:14">
      <c r="A385" s="145" t="s">
        <v>21</v>
      </c>
      <c r="B385" s="146" t="s">
        <v>1956</v>
      </c>
      <c r="C385" s="146" t="s">
        <v>1957</v>
      </c>
      <c r="D385" s="145" t="s">
        <v>1958</v>
      </c>
      <c r="E385" s="146" t="s">
        <v>75</v>
      </c>
      <c r="F385" s="145" t="s">
        <v>1602</v>
      </c>
      <c r="G385" s="146" t="s">
        <v>20</v>
      </c>
      <c r="H385" s="146">
        <v>201606</v>
      </c>
      <c r="I385" s="147">
        <v>13418.58</v>
      </c>
      <c r="J385" s="144">
        <f t="shared" si="20"/>
        <v>5</v>
      </c>
      <c r="K385" s="148">
        <v>1.4833299999999999E-3</v>
      </c>
      <c r="L385" s="147">
        <f t="shared" si="21"/>
        <v>99.52</v>
      </c>
      <c r="M385" s="147">
        <f t="shared" si="22"/>
        <v>238.85</v>
      </c>
      <c r="N385" s="145"/>
    </row>
    <row r="386" spans="1:14">
      <c r="A386" s="145" t="s">
        <v>626</v>
      </c>
      <c r="B386" s="146" t="s">
        <v>1892</v>
      </c>
      <c r="C386" s="146" t="s">
        <v>1893</v>
      </c>
      <c r="D386" s="145" t="s">
        <v>1894</v>
      </c>
      <c r="E386" s="146" t="s">
        <v>75</v>
      </c>
      <c r="F386" s="145" t="s">
        <v>1602</v>
      </c>
      <c r="G386" s="146" t="s">
        <v>20</v>
      </c>
      <c r="H386" s="146">
        <v>201606</v>
      </c>
      <c r="I386" s="147">
        <v>844.76</v>
      </c>
      <c r="J386" s="144">
        <f t="shared" si="20"/>
        <v>5</v>
      </c>
      <c r="K386" s="148">
        <v>1.4833299999999999E-3</v>
      </c>
      <c r="L386" s="147">
        <f t="shared" si="21"/>
        <v>6.27</v>
      </c>
      <c r="M386" s="147">
        <f t="shared" si="22"/>
        <v>15.04</v>
      </c>
      <c r="N386" s="145"/>
    </row>
    <row r="387" spans="1:14">
      <c r="A387" s="145" t="s">
        <v>626</v>
      </c>
      <c r="B387" s="146" t="s">
        <v>1959</v>
      </c>
      <c r="C387" s="146" t="s">
        <v>1960</v>
      </c>
      <c r="D387" s="145" t="s">
        <v>1495</v>
      </c>
      <c r="E387" s="146" t="s">
        <v>75</v>
      </c>
      <c r="F387" s="145" t="s">
        <v>1602</v>
      </c>
      <c r="G387" s="146" t="s">
        <v>20</v>
      </c>
      <c r="H387" s="146">
        <v>201606</v>
      </c>
      <c r="I387" s="147">
        <v>14.04</v>
      </c>
      <c r="J387" s="144">
        <f t="shared" si="20"/>
        <v>5</v>
      </c>
      <c r="K387" s="148">
        <v>1.4833299999999999E-3</v>
      </c>
      <c r="L387" s="147">
        <f t="shared" si="21"/>
        <v>0.1</v>
      </c>
      <c r="M387" s="147">
        <f t="shared" si="22"/>
        <v>0.25</v>
      </c>
      <c r="N387" s="145"/>
    </row>
    <row r="388" spans="1:14">
      <c r="A388" s="145" t="s">
        <v>626</v>
      </c>
      <c r="B388" s="146" t="s">
        <v>1898</v>
      </c>
      <c r="C388" s="146" t="s">
        <v>1899</v>
      </c>
      <c r="D388" s="145" t="s">
        <v>1900</v>
      </c>
      <c r="E388" s="146" t="s">
        <v>75</v>
      </c>
      <c r="F388" s="145" t="s">
        <v>1602</v>
      </c>
      <c r="G388" s="146" t="s">
        <v>20</v>
      </c>
      <c r="H388" s="146">
        <v>201606</v>
      </c>
      <c r="I388" s="147">
        <v>473.32</v>
      </c>
      <c r="J388" s="144">
        <f t="shared" si="20"/>
        <v>5</v>
      </c>
      <c r="K388" s="148">
        <v>1.4833299999999999E-3</v>
      </c>
      <c r="L388" s="147">
        <f t="shared" si="21"/>
        <v>3.51</v>
      </c>
      <c r="M388" s="147">
        <f t="shared" si="22"/>
        <v>8.43</v>
      </c>
      <c r="N388" s="145"/>
    </row>
    <row r="389" spans="1:14">
      <c r="A389" s="145" t="s">
        <v>626</v>
      </c>
      <c r="B389" s="146" t="s">
        <v>1901</v>
      </c>
      <c r="C389" s="146" t="s">
        <v>1902</v>
      </c>
      <c r="D389" s="145" t="s">
        <v>1903</v>
      </c>
      <c r="E389" s="146" t="s">
        <v>75</v>
      </c>
      <c r="F389" s="145" t="s">
        <v>1602</v>
      </c>
      <c r="G389" s="146" t="s">
        <v>20</v>
      </c>
      <c r="H389" s="146">
        <v>201606</v>
      </c>
      <c r="I389" s="147">
        <v>2421.64</v>
      </c>
      <c r="J389" s="144">
        <f t="shared" si="20"/>
        <v>5</v>
      </c>
      <c r="K389" s="148">
        <v>1.4833299999999999E-3</v>
      </c>
      <c r="L389" s="147">
        <f t="shared" si="21"/>
        <v>17.96</v>
      </c>
      <c r="M389" s="147">
        <f t="shared" si="22"/>
        <v>43.11</v>
      </c>
      <c r="N389" s="145"/>
    </row>
    <row r="390" spans="1:14">
      <c r="A390" s="145" t="s">
        <v>626</v>
      </c>
      <c r="B390" s="146" t="s">
        <v>1904</v>
      </c>
      <c r="C390" s="146" t="s">
        <v>1905</v>
      </c>
      <c r="D390" s="145" t="s">
        <v>1906</v>
      </c>
      <c r="E390" s="146" t="s">
        <v>75</v>
      </c>
      <c r="F390" s="145" t="s">
        <v>1602</v>
      </c>
      <c r="G390" s="146" t="s">
        <v>20</v>
      </c>
      <c r="H390" s="146">
        <v>201606</v>
      </c>
      <c r="I390" s="147">
        <v>337.77</v>
      </c>
      <c r="J390" s="144">
        <f t="shared" si="20"/>
        <v>5</v>
      </c>
      <c r="K390" s="148">
        <v>1.4833299999999999E-3</v>
      </c>
      <c r="L390" s="147">
        <f t="shared" si="21"/>
        <v>2.5099999999999998</v>
      </c>
      <c r="M390" s="147">
        <f t="shared" si="22"/>
        <v>6.01</v>
      </c>
      <c r="N390" s="145"/>
    </row>
    <row r="391" spans="1:14">
      <c r="A391" s="145" t="s">
        <v>626</v>
      </c>
      <c r="B391" s="146" t="s">
        <v>1800</v>
      </c>
      <c r="C391" s="146" t="s">
        <v>1801</v>
      </c>
      <c r="D391" s="145" t="s">
        <v>1802</v>
      </c>
      <c r="E391" s="146" t="s">
        <v>75</v>
      </c>
      <c r="F391" s="145" t="s">
        <v>1602</v>
      </c>
      <c r="G391" s="146" t="s">
        <v>20</v>
      </c>
      <c r="H391" s="146">
        <v>201606</v>
      </c>
      <c r="I391" s="147">
        <v>6814.09</v>
      </c>
      <c r="J391" s="144">
        <f t="shared" si="20"/>
        <v>5</v>
      </c>
      <c r="K391" s="148">
        <v>1.4833299999999999E-3</v>
      </c>
      <c r="L391" s="147">
        <f t="shared" si="21"/>
        <v>50.54</v>
      </c>
      <c r="M391" s="147">
        <f t="shared" si="22"/>
        <v>121.29</v>
      </c>
      <c r="N391" s="145"/>
    </row>
    <row r="392" spans="1:14">
      <c r="A392" s="145" t="s">
        <v>626</v>
      </c>
      <c r="B392" s="146" t="s">
        <v>2045</v>
      </c>
      <c r="C392" s="146" t="s">
        <v>2046</v>
      </c>
      <c r="D392" s="145" t="s">
        <v>2047</v>
      </c>
      <c r="E392" s="146" t="s">
        <v>75</v>
      </c>
      <c r="F392" s="145" t="s">
        <v>1602</v>
      </c>
      <c r="G392" s="146" t="s">
        <v>20</v>
      </c>
      <c r="H392" s="146">
        <v>201606</v>
      </c>
      <c r="I392" s="147">
        <v>2523.84</v>
      </c>
      <c r="J392" s="144">
        <f t="shared" si="20"/>
        <v>5</v>
      </c>
      <c r="K392" s="148">
        <v>1.4833299999999999E-3</v>
      </c>
      <c r="L392" s="147">
        <f t="shared" si="21"/>
        <v>18.72</v>
      </c>
      <c r="M392" s="147">
        <f t="shared" si="22"/>
        <v>44.92</v>
      </c>
      <c r="N392" s="145"/>
    </row>
    <row r="393" spans="1:14">
      <c r="A393" s="145" t="s">
        <v>626</v>
      </c>
      <c r="B393" s="146" t="s">
        <v>1961</v>
      </c>
      <c r="C393" s="146" t="s">
        <v>1962</v>
      </c>
      <c r="D393" s="145" t="s">
        <v>1963</v>
      </c>
      <c r="E393" s="146" t="s">
        <v>75</v>
      </c>
      <c r="F393" s="145" t="s">
        <v>1602</v>
      </c>
      <c r="G393" s="146" t="s">
        <v>20</v>
      </c>
      <c r="H393" s="146">
        <v>201606</v>
      </c>
      <c r="I393" s="147">
        <v>1345.69</v>
      </c>
      <c r="J393" s="144">
        <f t="shared" si="20"/>
        <v>5</v>
      </c>
      <c r="K393" s="148">
        <v>1.4833299999999999E-3</v>
      </c>
      <c r="L393" s="147">
        <f t="shared" si="21"/>
        <v>9.98</v>
      </c>
      <c r="M393" s="147">
        <f t="shared" si="22"/>
        <v>23.95</v>
      </c>
      <c r="N393" s="145"/>
    </row>
    <row r="394" spans="1:14">
      <c r="A394" s="145" t="s">
        <v>626</v>
      </c>
      <c r="B394" s="146" t="s">
        <v>1907</v>
      </c>
      <c r="C394" s="146" t="s">
        <v>1908</v>
      </c>
      <c r="D394" s="145" t="s">
        <v>1909</v>
      </c>
      <c r="E394" s="146" t="s">
        <v>75</v>
      </c>
      <c r="F394" s="145" t="s">
        <v>1602</v>
      </c>
      <c r="G394" s="146" t="s">
        <v>20</v>
      </c>
      <c r="H394" s="146">
        <v>201606</v>
      </c>
      <c r="I394" s="147">
        <v>1612.47</v>
      </c>
      <c r="J394" s="144">
        <f t="shared" si="20"/>
        <v>5</v>
      </c>
      <c r="K394" s="148">
        <v>1.4833299999999999E-3</v>
      </c>
      <c r="L394" s="147">
        <f t="shared" si="21"/>
        <v>11.96</v>
      </c>
      <c r="M394" s="147">
        <f t="shared" si="22"/>
        <v>28.7</v>
      </c>
      <c r="N394" s="145"/>
    </row>
    <row r="395" spans="1:14">
      <c r="A395" s="145" t="s">
        <v>626</v>
      </c>
      <c r="B395" s="146" t="s">
        <v>1748</v>
      </c>
      <c r="C395" s="146" t="s">
        <v>1749</v>
      </c>
      <c r="D395" s="145" t="s">
        <v>1750</v>
      </c>
      <c r="E395" s="146" t="s">
        <v>75</v>
      </c>
      <c r="F395" s="145" t="s">
        <v>1602</v>
      </c>
      <c r="G395" s="146" t="s">
        <v>20</v>
      </c>
      <c r="H395" s="146">
        <v>201606</v>
      </c>
      <c r="I395" s="147">
        <v>2820.18</v>
      </c>
      <c r="J395" s="144">
        <f t="shared" si="20"/>
        <v>5</v>
      </c>
      <c r="K395" s="148">
        <v>1.4833299999999999E-3</v>
      </c>
      <c r="L395" s="147">
        <f t="shared" si="21"/>
        <v>20.92</v>
      </c>
      <c r="M395" s="147">
        <f t="shared" si="22"/>
        <v>50.2</v>
      </c>
      <c r="N395" s="145"/>
    </row>
    <row r="396" spans="1:14">
      <c r="A396" s="145" t="s">
        <v>626</v>
      </c>
      <c r="B396" s="146" t="s">
        <v>1910</v>
      </c>
      <c r="C396" s="146" t="s">
        <v>1911</v>
      </c>
      <c r="D396" s="145" t="s">
        <v>1912</v>
      </c>
      <c r="E396" s="146" t="s">
        <v>75</v>
      </c>
      <c r="F396" s="145" t="s">
        <v>1602</v>
      </c>
      <c r="G396" s="146" t="s">
        <v>20</v>
      </c>
      <c r="H396" s="146">
        <v>201606</v>
      </c>
      <c r="I396" s="147">
        <v>1396.67</v>
      </c>
      <c r="J396" s="144">
        <f t="shared" si="20"/>
        <v>5</v>
      </c>
      <c r="K396" s="148">
        <v>1.4833299999999999E-3</v>
      </c>
      <c r="L396" s="147">
        <f t="shared" si="21"/>
        <v>10.36</v>
      </c>
      <c r="M396" s="147">
        <f t="shared" si="22"/>
        <v>24.86</v>
      </c>
      <c r="N396" s="145"/>
    </row>
    <row r="397" spans="1:14">
      <c r="A397" s="145" t="s">
        <v>626</v>
      </c>
      <c r="B397" s="146" t="s">
        <v>1913</v>
      </c>
      <c r="C397" s="146" t="s">
        <v>1914</v>
      </c>
      <c r="D397" s="145" t="s">
        <v>1915</v>
      </c>
      <c r="E397" s="146" t="s">
        <v>75</v>
      </c>
      <c r="F397" s="145" t="s">
        <v>1602</v>
      </c>
      <c r="G397" s="146" t="s">
        <v>20</v>
      </c>
      <c r="H397" s="146">
        <v>201606</v>
      </c>
      <c r="I397" s="147">
        <v>213.12</v>
      </c>
      <c r="J397" s="144">
        <f t="shared" si="20"/>
        <v>5</v>
      </c>
      <c r="K397" s="148">
        <v>1.4833299999999999E-3</v>
      </c>
      <c r="L397" s="147">
        <f t="shared" si="21"/>
        <v>1.58</v>
      </c>
      <c r="M397" s="147">
        <f t="shared" si="22"/>
        <v>3.79</v>
      </c>
      <c r="N397" s="145"/>
    </row>
    <row r="398" spans="1:14">
      <c r="A398" s="145" t="s">
        <v>626</v>
      </c>
      <c r="B398" s="146" t="s">
        <v>2048</v>
      </c>
      <c r="C398" s="146" t="s">
        <v>2049</v>
      </c>
      <c r="D398" s="145" t="s">
        <v>2050</v>
      </c>
      <c r="E398" s="146" t="s">
        <v>75</v>
      </c>
      <c r="F398" s="145" t="s">
        <v>1602</v>
      </c>
      <c r="G398" s="146" t="s">
        <v>20</v>
      </c>
      <c r="H398" s="146">
        <v>201606</v>
      </c>
      <c r="I398" s="147">
        <v>181517.93</v>
      </c>
      <c r="J398" s="144">
        <f t="shared" si="20"/>
        <v>5</v>
      </c>
      <c r="K398" s="148">
        <v>1.4833299999999999E-3</v>
      </c>
      <c r="L398" s="147">
        <f t="shared" si="21"/>
        <v>1346.25</v>
      </c>
      <c r="M398" s="147">
        <f t="shared" si="22"/>
        <v>3231.01</v>
      </c>
      <c r="N398" s="145"/>
    </row>
    <row r="399" spans="1:14">
      <c r="A399" s="145" t="s">
        <v>626</v>
      </c>
      <c r="B399" s="146" t="s">
        <v>1916</v>
      </c>
      <c r="C399" s="146" t="s">
        <v>1917</v>
      </c>
      <c r="D399" s="145" t="s">
        <v>1273</v>
      </c>
      <c r="E399" s="146" t="s">
        <v>75</v>
      </c>
      <c r="F399" s="145" t="s">
        <v>1602</v>
      </c>
      <c r="G399" s="146" t="s">
        <v>20</v>
      </c>
      <c r="H399" s="146">
        <v>201606</v>
      </c>
      <c r="I399" s="147">
        <v>682.64</v>
      </c>
      <c r="J399" s="144">
        <f t="shared" si="20"/>
        <v>5</v>
      </c>
      <c r="K399" s="148">
        <v>1.4833299999999999E-3</v>
      </c>
      <c r="L399" s="147">
        <f t="shared" si="21"/>
        <v>5.0599999999999996</v>
      </c>
      <c r="M399" s="147">
        <f t="shared" si="22"/>
        <v>12.15</v>
      </c>
      <c r="N399" s="145"/>
    </row>
    <row r="400" spans="1:14">
      <c r="A400" s="145" t="s">
        <v>626</v>
      </c>
      <c r="B400" s="146" t="s">
        <v>1806</v>
      </c>
      <c r="C400" s="146" t="s">
        <v>1807</v>
      </c>
      <c r="D400" s="145" t="s">
        <v>1808</v>
      </c>
      <c r="E400" s="146" t="s">
        <v>75</v>
      </c>
      <c r="F400" s="145" t="s">
        <v>1602</v>
      </c>
      <c r="G400" s="146" t="s">
        <v>20</v>
      </c>
      <c r="H400" s="146">
        <v>201606</v>
      </c>
      <c r="I400" s="147">
        <v>178.59</v>
      </c>
      <c r="J400" s="144">
        <f t="shared" si="20"/>
        <v>5</v>
      </c>
      <c r="K400" s="148">
        <v>1.4833299999999999E-3</v>
      </c>
      <c r="L400" s="147">
        <f t="shared" si="21"/>
        <v>1.32</v>
      </c>
      <c r="M400" s="147">
        <f t="shared" si="22"/>
        <v>3.18</v>
      </c>
      <c r="N400" s="145"/>
    </row>
    <row r="401" spans="1:14">
      <c r="A401" s="145" t="s">
        <v>626</v>
      </c>
      <c r="B401" s="146" t="s">
        <v>1918</v>
      </c>
      <c r="C401" s="146" t="s">
        <v>1919</v>
      </c>
      <c r="D401" s="145" t="s">
        <v>1920</v>
      </c>
      <c r="E401" s="146" t="s">
        <v>75</v>
      </c>
      <c r="F401" s="145" t="s">
        <v>1602</v>
      </c>
      <c r="G401" s="146" t="s">
        <v>20</v>
      </c>
      <c r="H401" s="146">
        <v>201606</v>
      </c>
      <c r="I401" s="147">
        <v>151.94999999999999</v>
      </c>
      <c r="J401" s="144">
        <f t="shared" si="20"/>
        <v>5</v>
      </c>
      <c r="K401" s="148">
        <v>1.4833299999999999E-3</v>
      </c>
      <c r="L401" s="147">
        <f t="shared" si="21"/>
        <v>1.1299999999999999</v>
      </c>
      <c r="M401" s="147">
        <f t="shared" si="22"/>
        <v>2.7</v>
      </c>
      <c r="N401" s="145"/>
    </row>
    <row r="402" spans="1:14">
      <c r="A402" s="145" t="s">
        <v>626</v>
      </c>
      <c r="B402" s="146" t="s">
        <v>2051</v>
      </c>
      <c r="C402" s="146" t="s">
        <v>2052</v>
      </c>
      <c r="D402" s="145" t="s">
        <v>2053</v>
      </c>
      <c r="E402" s="146" t="s">
        <v>75</v>
      </c>
      <c r="F402" s="145" t="s">
        <v>1602</v>
      </c>
      <c r="G402" s="146" t="s">
        <v>20</v>
      </c>
      <c r="H402" s="146">
        <v>201606</v>
      </c>
      <c r="I402" s="147">
        <v>46134.87</v>
      </c>
      <c r="J402" s="144">
        <f t="shared" si="20"/>
        <v>5</v>
      </c>
      <c r="K402" s="148">
        <v>1.4833299999999999E-3</v>
      </c>
      <c r="L402" s="147">
        <f t="shared" si="21"/>
        <v>342.17</v>
      </c>
      <c r="M402" s="147">
        <f t="shared" si="22"/>
        <v>821.2</v>
      </c>
      <c r="N402" s="145"/>
    </row>
    <row r="403" spans="1:14">
      <c r="A403" s="145" t="s">
        <v>626</v>
      </c>
      <c r="B403" s="146" t="s">
        <v>1924</v>
      </c>
      <c r="C403" s="146" t="s">
        <v>1925</v>
      </c>
      <c r="D403" s="145" t="s">
        <v>1926</v>
      </c>
      <c r="E403" s="146" t="s">
        <v>75</v>
      </c>
      <c r="F403" s="145" t="s">
        <v>1602</v>
      </c>
      <c r="G403" s="146" t="s">
        <v>20</v>
      </c>
      <c r="H403" s="146">
        <v>201606</v>
      </c>
      <c r="I403" s="147">
        <v>58.52</v>
      </c>
      <c r="J403" s="144">
        <f t="shared" si="20"/>
        <v>5</v>
      </c>
      <c r="K403" s="148">
        <v>1.4833299999999999E-3</v>
      </c>
      <c r="L403" s="147">
        <f t="shared" si="21"/>
        <v>0.43</v>
      </c>
      <c r="M403" s="147">
        <f t="shared" si="22"/>
        <v>1.04</v>
      </c>
      <c r="N403" s="145"/>
    </row>
    <row r="404" spans="1:14">
      <c r="A404" s="145" t="s">
        <v>626</v>
      </c>
      <c r="B404" s="146" t="s">
        <v>1927</v>
      </c>
      <c r="C404" s="146" t="s">
        <v>1928</v>
      </c>
      <c r="D404" s="145" t="s">
        <v>1929</v>
      </c>
      <c r="E404" s="146" t="s">
        <v>75</v>
      </c>
      <c r="F404" s="145" t="s">
        <v>1602</v>
      </c>
      <c r="G404" s="146" t="s">
        <v>20</v>
      </c>
      <c r="H404" s="146">
        <v>201606</v>
      </c>
      <c r="I404" s="147">
        <v>54.88</v>
      </c>
      <c r="J404" s="144">
        <f t="shared" si="20"/>
        <v>5</v>
      </c>
      <c r="K404" s="148">
        <v>1.4833299999999999E-3</v>
      </c>
      <c r="L404" s="147">
        <f t="shared" si="21"/>
        <v>0.41</v>
      </c>
      <c r="M404" s="147">
        <f t="shared" si="22"/>
        <v>0.98</v>
      </c>
      <c r="N404" s="145"/>
    </row>
    <row r="405" spans="1:14">
      <c r="A405" s="145" t="s">
        <v>626</v>
      </c>
      <c r="B405" s="146" t="s">
        <v>1930</v>
      </c>
      <c r="C405" s="146" t="s">
        <v>1931</v>
      </c>
      <c r="D405" s="145" t="s">
        <v>1932</v>
      </c>
      <c r="E405" s="146" t="s">
        <v>75</v>
      </c>
      <c r="F405" s="145" t="s">
        <v>1602</v>
      </c>
      <c r="G405" s="146" t="s">
        <v>20</v>
      </c>
      <c r="H405" s="146">
        <v>201606</v>
      </c>
      <c r="I405" s="147">
        <v>236.04</v>
      </c>
      <c r="J405" s="144">
        <f t="shared" si="20"/>
        <v>5</v>
      </c>
      <c r="K405" s="148">
        <v>1.4833299999999999E-3</v>
      </c>
      <c r="L405" s="147">
        <f t="shared" si="21"/>
        <v>1.75</v>
      </c>
      <c r="M405" s="147">
        <f t="shared" si="22"/>
        <v>4.2</v>
      </c>
      <c r="N405" s="145"/>
    </row>
    <row r="406" spans="1:14">
      <c r="A406" s="145" t="s">
        <v>626</v>
      </c>
      <c r="B406" s="146" t="s">
        <v>1933</v>
      </c>
      <c r="C406" s="146" t="s">
        <v>1934</v>
      </c>
      <c r="D406" s="145" t="s">
        <v>1935</v>
      </c>
      <c r="E406" s="146" t="s">
        <v>75</v>
      </c>
      <c r="F406" s="145" t="s">
        <v>1602</v>
      </c>
      <c r="G406" s="146" t="s">
        <v>20</v>
      </c>
      <c r="H406" s="146">
        <v>201606</v>
      </c>
      <c r="I406" s="147">
        <v>171.28</v>
      </c>
      <c r="J406" s="144">
        <f t="shared" si="20"/>
        <v>5</v>
      </c>
      <c r="K406" s="148">
        <v>1.4833299999999999E-3</v>
      </c>
      <c r="L406" s="147">
        <f t="shared" si="21"/>
        <v>1.27</v>
      </c>
      <c r="M406" s="147">
        <f t="shared" si="22"/>
        <v>3.05</v>
      </c>
      <c r="N406" s="145"/>
    </row>
    <row r="407" spans="1:14">
      <c r="A407" s="145" t="s">
        <v>626</v>
      </c>
      <c r="B407" s="146" t="s">
        <v>1936</v>
      </c>
      <c r="C407" s="146" t="s">
        <v>1937</v>
      </c>
      <c r="D407" s="145" t="s">
        <v>1938</v>
      </c>
      <c r="E407" s="146" t="s">
        <v>75</v>
      </c>
      <c r="F407" s="145" t="s">
        <v>1602</v>
      </c>
      <c r="G407" s="146" t="s">
        <v>20</v>
      </c>
      <c r="H407" s="146">
        <v>201606</v>
      </c>
      <c r="I407" s="147">
        <v>110.67</v>
      </c>
      <c r="J407" s="144">
        <f t="shared" si="20"/>
        <v>5</v>
      </c>
      <c r="K407" s="148">
        <v>1.4833299999999999E-3</v>
      </c>
      <c r="L407" s="147">
        <f t="shared" si="21"/>
        <v>0.82</v>
      </c>
      <c r="M407" s="147">
        <f t="shared" si="22"/>
        <v>1.97</v>
      </c>
      <c r="N407" s="145"/>
    </row>
    <row r="408" spans="1:14">
      <c r="A408" s="145" t="s">
        <v>626</v>
      </c>
      <c r="B408" s="146" t="s">
        <v>1978</v>
      </c>
      <c r="C408" s="146" t="s">
        <v>1979</v>
      </c>
      <c r="D408" s="145" t="s">
        <v>1980</v>
      </c>
      <c r="E408" s="146" t="s">
        <v>75</v>
      </c>
      <c r="F408" s="145" t="s">
        <v>1602</v>
      </c>
      <c r="G408" s="146" t="s">
        <v>20</v>
      </c>
      <c r="H408" s="146">
        <v>201606</v>
      </c>
      <c r="I408" s="147">
        <v>3238.29</v>
      </c>
      <c r="J408" s="144">
        <f t="shared" si="20"/>
        <v>5</v>
      </c>
      <c r="K408" s="148">
        <v>1.4833299999999999E-3</v>
      </c>
      <c r="L408" s="147">
        <f t="shared" si="21"/>
        <v>24.02</v>
      </c>
      <c r="M408" s="147">
        <f t="shared" si="22"/>
        <v>57.64</v>
      </c>
      <c r="N408" s="145"/>
    </row>
    <row r="409" spans="1:14">
      <c r="A409" s="145" t="s">
        <v>626</v>
      </c>
      <c r="B409" s="146" t="s">
        <v>1757</v>
      </c>
      <c r="C409" s="146" t="s">
        <v>1758</v>
      </c>
      <c r="D409" s="145" t="s">
        <v>1759</v>
      </c>
      <c r="E409" s="146" t="s">
        <v>75</v>
      </c>
      <c r="F409" s="145" t="s">
        <v>1602</v>
      </c>
      <c r="G409" s="146" t="s">
        <v>20</v>
      </c>
      <c r="H409" s="146">
        <v>201606</v>
      </c>
      <c r="I409" s="147">
        <v>89.83</v>
      </c>
      <c r="J409" s="144">
        <f t="shared" si="20"/>
        <v>5</v>
      </c>
      <c r="K409" s="148">
        <v>1.4833299999999999E-3</v>
      </c>
      <c r="L409" s="147">
        <f t="shared" si="21"/>
        <v>0.67</v>
      </c>
      <c r="M409" s="147">
        <f t="shared" si="22"/>
        <v>1.6</v>
      </c>
      <c r="N409" s="145"/>
    </row>
    <row r="410" spans="1:14">
      <c r="A410" s="145" t="s">
        <v>626</v>
      </c>
      <c r="B410" s="146" t="s">
        <v>1981</v>
      </c>
      <c r="C410" s="146" t="s">
        <v>1982</v>
      </c>
      <c r="D410" s="145" t="s">
        <v>1983</v>
      </c>
      <c r="E410" s="146" t="s">
        <v>75</v>
      </c>
      <c r="F410" s="145" t="s">
        <v>1602</v>
      </c>
      <c r="G410" s="146" t="s">
        <v>20</v>
      </c>
      <c r="H410" s="146">
        <v>201606</v>
      </c>
      <c r="I410" s="147">
        <v>2416.5100000000002</v>
      </c>
      <c r="J410" s="144">
        <f t="shared" si="20"/>
        <v>5</v>
      </c>
      <c r="K410" s="148">
        <v>1.4833299999999999E-3</v>
      </c>
      <c r="L410" s="147">
        <f t="shared" si="21"/>
        <v>17.920000000000002</v>
      </c>
      <c r="M410" s="147">
        <f t="shared" si="22"/>
        <v>43.01</v>
      </c>
      <c r="N410" s="145"/>
    </row>
    <row r="411" spans="1:14">
      <c r="A411" s="145" t="s">
        <v>626</v>
      </c>
      <c r="B411" s="146" t="s">
        <v>1987</v>
      </c>
      <c r="C411" s="146" t="s">
        <v>1988</v>
      </c>
      <c r="D411" s="145" t="s">
        <v>1338</v>
      </c>
      <c r="E411" s="146" t="s">
        <v>75</v>
      </c>
      <c r="F411" s="145" t="s">
        <v>1602</v>
      </c>
      <c r="G411" s="146" t="s">
        <v>20</v>
      </c>
      <c r="H411" s="146">
        <v>201606</v>
      </c>
      <c r="I411" s="147">
        <v>1092.1600000000001</v>
      </c>
      <c r="J411" s="144">
        <f t="shared" si="20"/>
        <v>5</v>
      </c>
      <c r="K411" s="148">
        <v>1.4833299999999999E-3</v>
      </c>
      <c r="L411" s="147">
        <f t="shared" si="21"/>
        <v>8.1</v>
      </c>
      <c r="M411" s="147">
        <f t="shared" si="22"/>
        <v>19.440000000000001</v>
      </c>
      <c r="N411" s="145"/>
    </row>
    <row r="412" spans="1:14">
      <c r="A412" s="145" t="s">
        <v>133</v>
      </c>
      <c r="B412" s="146" t="s">
        <v>1817</v>
      </c>
      <c r="C412" s="146" t="s">
        <v>1818</v>
      </c>
      <c r="D412" s="145" t="s">
        <v>1819</v>
      </c>
      <c r="E412" s="146" t="s">
        <v>75</v>
      </c>
      <c r="F412" s="145" t="s">
        <v>1602</v>
      </c>
      <c r="G412" s="146" t="s">
        <v>20</v>
      </c>
      <c r="H412" s="146">
        <v>201606</v>
      </c>
      <c r="I412" s="147">
        <v>7633.48</v>
      </c>
      <c r="J412" s="144">
        <f t="shared" si="20"/>
        <v>5</v>
      </c>
      <c r="K412" s="148">
        <v>1.4833299999999999E-3</v>
      </c>
      <c r="L412" s="147">
        <f t="shared" si="21"/>
        <v>56.61</v>
      </c>
      <c r="M412" s="147">
        <f t="shared" si="22"/>
        <v>135.88</v>
      </c>
      <c r="N412" s="145"/>
    </row>
    <row r="413" spans="1:14">
      <c r="A413" s="145" t="s">
        <v>626</v>
      </c>
      <c r="B413" s="146" t="s">
        <v>1989</v>
      </c>
      <c r="C413" s="146" t="s">
        <v>1990</v>
      </c>
      <c r="D413" s="145" t="s">
        <v>1495</v>
      </c>
      <c r="E413" s="146" t="s">
        <v>75</v>
      </c>
      <c r="F413" s="145" t="s">
        <v>1602</v>
      </c>
      <c r="G413" s="146" t="s">
        <v>20</v>
      </c>
      <c r="H413" s="146">
        <v>201606</v>
      </c>
      <c r="I413" s="147">
        <v>1846.23</v>
      </c>
      <c r="J413" s="144">
        <f t="shared" si="20"/>
        <v>5</v>
      </c>
      <c r="K413" s="148">
        <v>1.4833299999999999E-3</v>
      </c>
      <c r="L413" s="147">
        <f t="shared" si="21"/>
        <v>13.69</v>
      </c>
      <c r="M413" s="147">
        <f t="shared" si="22"/>
        <v>32.86</v>
      </c>
      <c r="N413" s="145"/>
    </row>
    <row r="414" spans="1:14">
      <c r="A414" s="145" t="s">
        <v>1942</v>
      </c>
      <c r="B414" s="146" t="s">
        <v>1681</v>
      </c>
      <c r="C414" s="146" t="s">
        <v>1999</v>
      </c>
      <c r="D414" s="145" t="s">
        <v>2000</v>
      </c>
      <c r="E414" s="146" t="s">
        <v>75</v>
      </c>
      <c r="F414" s="145" t="s">
        <v>1602</v>
      </c>
      <c r="G414" s="146" t="s">
        <v>20</v>
      </c>
      <c r="H414" s="146">
        <v>201606</v>
      </c>
      <c r="I414" s="147">
        <v>41.38</v>
      </c>
      <c r="J414" s="144">
        <f t="shared" si="20"/>
        <v>5</v>
      </c>
      <c r="K414" s="148">
        <v>2.23333E-3</v>
      </c>
      <c r="L414" s="147">
        <f t="shared" si="21"/>
        <v>0.46</v>
      </c>
      <c r="M414" s="147">
        <f t="shared" si="22"/>
        <v>1.1100000000000001</v>
      </c>
      <c r="N414" s="145"/>
    </row>
    <row r="415" spans="1:14">
      <c r="A415" s="145" t="s">
        <v>14</v>
      </c>
      <c r="B415" s="146" t="s">
        <v>1681</v>
      </c>
      <c r="C415" s="146" t="s">
        <v>1999</v>
      </c>
      <c r="D415" s="145" t="s">
        <v>2000</v>
      </c>
      <c r="E415" s="146" t="s">
        <v>75</v>
      </c>
      <c r="F415" s="145" t="s">
        <v>1602</v>
      </c>
      <c r="G415" s="146" t="s">
        <v>20</v>
      </c>
      <c r="H415" s="146">
        <v>201606</v>
      </c>
      <c r="I415" s="147">
        <v>1264.6500000000001</v>
      </c>
      <c r="J415" s="144">
        <f t="shared" si="20"/>
        <v>5</v>
      </c>
      <c r="K415" s="148">
        <v>2.23333E-3</v>
      </c>
      <c r="L415" s="147">
        <f t="shared" si="21"/>
        <v>14.12</v>
      </c>
      <c r="M415" s="147">
        <f t="shared" si="22"/>
        <v>33.89</v>
      </c>
      <c r="N415" s="145"/>
    </row>
    <row r="416" spans="1:14">
      <c r="A416" s="145" t="s">
        <v>626</v>
      </c>
      <c r="B416" s="146" t="s">
        <v>1681</v>
      </c>
      <c r="C416" s="146" t="s">
        <v>1999</v>
      </c>
      <c r="D416" s="145" t="s">
        <v>2000</v>
      </c>
      <c r="E416" s="146" t="s">
        <v>75</v>
      </c>
      <c r="F416" s="145" t="s">
        <v>1602</v>
      </c>
      <c r="G416" s="146" t="s">
        <v>20</v>
      </c>
      <c r="H416" s="146">
        <v>201606</v>
      </c>
      <c r="I416" s="147">
        <v>9888.0300000000007</v>
      </c>
      <c r="J416" s="144">
        <f t="shared" si="20"/>
        <v>5</v>
      </c>
      <c r="K416" s="148">
        <v>1.4833299999999999E-3</v>
      </c>
      <c r="L416" s="147">
        <f t="shared" si="21"/>
        <v>73.34</v>
      </c>
      <c r="M416" s="147">
        <f t="shared" si="22"/>
        <v>176.01</v>
      </c>
      <c r="N416" s="145"/>
    </row>
    <row r="417" spans="1:14">
      <c r="A417" s="145" t="s">
        <v>21</v>
      </c>
      <c r="B417" s="146" t="s">
        <v>1681</v>
      </c>
      <c r="C417" s="146" t="s">
        <v>2075</v>
      </c>
      <c r="D417" s="145" t="s">
        <v>2076</v>
      </c>
      <c r="E417" s="146" t="s">
        <v>75</v>
      </c>
      <c r="F417" s="145" t="s">
        <v>1602</v>
      </c>
      <c r="G417" s="146" t="s">
        <v>20</v>
      </c>
      <c r="H417" s="146">
        <v>201606</v>
      </c>
      <c r="I417" s="147">
        <v>1609.6</v>
      </c>
      <c r="J417" s="144">
        <f t="shared" si="20"/>
        <v>5</v>
      </c>
      <c r="K417" s="148">
        <v>1.4833299999999999E-3</v>
      </c>
      <c r="L417" s="147">
        <f t="shared" si="21"/>
        <v>11.94</v>
      </c>
      <c r="M417" s="147">
        <f t="shared" si="22"/>
        <v>28.65</v>
      </c>
      <c r="N417" s="145"/>
    </row>
    <row r="418" spans="1:14">
      <c r="A418" s="145" t="s">
        <v>626</v>
      </c>
      <c r="B418" s="146" t="s">
        <v>1681</v>
      </c>
      <c r="C418" s="146" t="s">
        <v>2079</v>
      </c>
      <c r="D418" s="145" t="s">
        <v>2080</v>
      </c>
      <c r="E418" s="146" t="s">
        <v>75</v>
      </c>
      <c r="F418" s="145" t="s">
        <v>1602</v>
      </c>
      <c r="G418" s="146" t="s">
        <v>20</v>
      </c>
      <c r="H418" s="146">
        <v>201606</v>
      </c>
      <c r="I418" s="147">
        <v>2755.65</v>
      </c>
      <c r="J418" s="144">
        <f t="shared" si="20"/>
        <v>5</v>
      </c>
      <c r="K418" s="148">
        <v>1.4833299999999999E-3</v>
      </c>
      <c r="L418" s="147">
        <f t="shared" si="21"/>
        <v>20.440000000000001</v>
      </c>
      <c r="M418" s="147">
        <f t="shared" si="22"/>
        <v>49.05</v>
      </c>
      <c r="N418" s="145"/>
    </row>
    <row r="419" spans="1:14">
      <c r="A419" s="145" t="s">
        <v>626</v>
      </c>
      <c r="B419" s="146" t="s">
        <v>1681</v>
      </c>
      <c r="C419" s="146" t="s">
        <v>2081</v>
      </c>
      <c r="D419" s="145" t="s">
        <v>2082</v>
      </c>
      <c r="E419" s="146" t="s">
        <v>75</v>
      </c>
      <c r="F419" s="145" t="s">
        <v>1602</v>
      </c>
      <c r="G419" s="146" t="s">
        <v>20</v>
      </c>
      <c r="H419" s="146">
        <v>201606</v>
      </c>
      <c r="I419" s="147">
        <v>58204.84</v>
      </c>
      <c r="J419" s="144">
        <f t="shared" si="20"/>
        <v>5</v>
      </c>
      <c r="K419" s="148">
        <v>1.4833299999999999E-3</v>
      </c>
      <c r="L419" s="147">
        <f t="shared" si="21"/>
        <v>431.68</v>
      </c>
      <c r="M419" s="147">
        <f t="shared" si="22"/>
        <v>1036.04</v>
      </c>
      <c r="N419" s="145"/>
    </row>
    <row r="420" spans="1:14">
      <c r="A420" s="145" t="s">
        <v>626</v>
      </c>
      <c r="B420" s="146" t="s">
        <v>1681</v>
      </c>
      <c r="C420" s="146" t="s">
        <v>2083</v>
      </c>
      <c r="D420" s="145" t="s">
        <v>2084</v>
      </c>
      <c r="E420" s="146" t="s">
        <v>75</v>
      </c>
      <c r="F420" s="145" t="s">
        <v>1602</v>
      </c>
      <c r="G420" s="146" t="s">
        <v>20</v>
      </c>
      <c r="H420" s="146">
        <v>201606</v>
      </c>
      <c r="I420" s="147">
        <v>975.39</v>
      </c>
      <c r="J420" s="144">
        <f t="shared" si="20"/>
        <v>5</v>
      </c>
      <c r="K420" s="148">
        <v>1.4833299999999999E-3</v>
      </c>
      <c r="L420" s="147">
        <f t="shared" si="21"/>
        <v>7.23</v>
      </c>
      <c r="M420" s="147">
        <f t="shared" si="22"/>
        <v>17.36</v>
      </c>
      <c r="N420" s="145"/>
    </row>
    <row r="421" spans="1:14">
      <c r="A421" s="145" t="s">
        <v>626</v>
      </c>
      <c r="B421" s="146" t="s">
        <v>1681</v>
      </c>
      <c r="C421" s="146" t="s">
        <v>2105</v>
      </c>
      <c r="D421" s="145" t="s">
        <v>2106</v>
      </c>
      <c r="E421" s="146" t="s">
        <v>75</v>
      </c>
      <c r="F421" s="145" t="s">
        <v>1602</v>
      </c>
      <c r="G421" s="146" t="s">
        <v>20</v>
      </c>
      <c r="H421" s="146">
        <v>201606</v>
      </c>
      <c r="I421" s="147">
        <v>187507.98</v>
      </c>
      <c r="J421" s="144">
        <f t="shared" si="20"/>
        <v>5</v>
      </c>
      <c r="K421" s="148">
        <v>1.4833299999999999E-3</v>
      </c>
      <c r="L421" s="147">
        <f t="shared" si="21"/>
        <v>1390.68</v>
      </c>
      <c r="M421" s="147">
        <f t="shared" si="22"/>
        <v>3337.63</v>
      </c>
      <c r="N421" s="145"/>
    </row>
    <row r="422" spans="1:14">
      <c r="A422" s="145" t="s">
        <v>21</v>
      </c>
      <c r="B422" s="146" t="s">
        <v>1681</v>
      </c>
      <c r="C422" s="146" t="s">
        <v>2109</v>
      </c>
      <c r="D422" s="145" t="s">
        <v>2110</v>
      </c>
      <c r="E422" s="146" t="s">
        <v>75</v>
      </c>
      <c r="F422" s="145" t="s">
        <v>1602</v>
      </c>
      <c r="G422" s="146" t="s">
        <v>20</v>
      </c>
      <c r="H422" s="146">
        <v>201606</v>
      </c>
      <c r="I422" s="147">
        <v>9824.81</v>
      </c>
      <c r="J422" s="144">
        <f t="shared" si="20"/>
        <v>5</v>
      </c>
      <c r="K422" s="148">
        <v>1.4833299999999999E-3</v>
      </c>
      <c r="L422" s="147">
        <f t="shared" si="21"/>
        <v>72.87</v>
      </c>
      <c r="M422" s="147">
        <f t="shared" si="22"/>
        <v>174.88</v>
      </c>
      <c r="N422" s="145"/>
    </row>
    <row r="423" spans="1:14">
      <c r="A423" s="145" t="s">
        <v>14</v>
      </c>
      <c r="B423" s="146" t="s">
        <v>1681</v>
      </c>
      <c r="C423" s="146" t="s">
        <v>2109</v>
      </c>
      <c r="D423" s="145" t="s">
        <v>2110</v>
      </c>
      <c r="E423" s="146" t="s">
        <v>75</v>
      </c>
      <c r="F423" s="145" t="s">
        <v>1602</v>
      </c>
      <c r="G423" s="146" t="s">
        <v>20</v>
      </c>
      <c r="H423" s="146">
        <v>201606</v>
      </c>
      <c r="I423" s="147">
        <v>14683.5</v>
      </c>
      <c r="J423" s="144">
        <f t="shared" si="20"/>
        <v>5</v>
      </c>
      <c r="K423" s="148">
        <v>2.23333E-3</v>
      </c>
      <c r="L423" s="147">
        <f t="shared" si="21"/>
        <v>163.97</v>
      </c>
      <c r="M423" s="147">
        <f t="shared" si="22"/>
        <v>393.52</v>
      </c>
      <c r="N423" s="145"/>
    </row>
    <row r="424" spans="1:14">
      <c r="A424" s="145" t="s">
        <v>626</v>
      </c>
      <c r="B424" s="146" t="s">
        <v>1681</v>
      </c>
      <c r="C424" s="146" t="s">
        <v>2109</v>
      </c>
      <c r="D424" s="145" t="s">
        <v>2110</v>
      </c>
      <c r="E424" s="146" t="s">
        <v>75</v>
      </c>
      <c r="F424" s="145" t="s">
        <v>1602</v>
      </c>
      <c r="G424" s="146" t="s">
        <v>20</v>
      </c>
      <c r="H424" s="146">
        <v>201606</v>
      </c>
      <c r="I424" s="147">
        <v>111010.77</v>
      </c>
      <c r="J424" s="144">
        <f t="shared" si="20"/>
        <v>5</v>
      </c>
      <c r="K424" s="148">
        <v>1.4833299999999999E-3</v>
      </c>
      <c r="L424" s="147">
        <f t="shared" si="21"/>
        <v>823.33</v>
      </c>
      <c r="M424" s="147">
        <f t="shared" si="22"/>
        <v>1975.99</v>
      </c>
      <c r="N424" s="145"/>
    </row>
    <row r="425" spans="1:14">
      <c r="A425" s="151" t="s">
        <v>626</v>
      </c>
      <c r="B425" s="160" t="s">
        <v>1681</v>
      </c>
      <c r="C425" s="152" t="s">
        <v>1707</v>
      </c>
      <c r="D425" s="151" t="s">
        <v>1708</v>
      </c>
      <c r="E425" s="152" t="s">
        <v>75</v>
      </c>
      <c r="F425" s="151" t="s">
        <v>1602</v>
      </c>
      <c r="G425" s="152" t="s">
        <v>20</v>
      </c>
      <c r="H425" s="153">
        <v>201607</v>
      </c>
      <c r="I425" s="154">
        <v>-7409.26</v>
      </c>
      <c r="J425" s="144">
        <f t="shared" si="20"/>
        <v>4</v>
      </c>
      <c r="K425" s="155">
        <v>1.4833299999999999E-3</v>
      </c>
      <c r="L425" s="154">
        <f t="shared" si="21"/>
        <v>-43.96</v>
      </c>
      <c r="M425" s="154">
        <f t="shared" si="22"/>
        <v>-131.88</v>
      </c>
      <c r="N425" s="145"/>
    </row>
    <row r="426" spans="1:14">
      <c r="A426" s="151" t="s">
        <v>626</v>
      </c>
      <c r="B426" s="152" t="s">
        <v>1724</v>
      </c>
      <c r="C426" s="152" t="s">
        <v>1725</v>
      </c>
      <c r="D426" s="151" t="s">
        <v>1726</v>
      </c>
      <c r="E426" s="152" t="s">
        <v>75</v>
      </c>
      <c r="F426" s="151" t="s">
        <v>1602</v>
      </c>
      <c r="G426" s="152" t="s">
        <v>20</v>
      </c>
      <c r="H426" s="153">
        <v>201607</v>
      </c>
      <c r="I426" s="154">
        <v>-12.82</v>
      </c>
      <c r="J426" s="144">
        <f t="shared" si="20"/>
        <v>4</v>
      </c>
      <c r="K426" s="155">
        <v>1.4833299999999999E-3</v>
      </c>
      <c r="L426" s="154">
        <f t="shared" si="21"/>
        <v>-0.08</v>
      </c>
      <c r="M426" s="154">
        <f t="shared" si="22"/>
        <v>-0.23</v>
      </c>
      <c r="N426" s="145"/>
    </row>
    <row r="427" spans="1:14">
      <c r="A427" s="151" t="s">
        <v>21</v>
      </c>
      <c r="B427" s="152" t="s">
        <v>485</v>
      </c>
      <c r="C427" s="152" t="s">
        <v>486</v>
      </c>
      <c r="D427" s="151" t="s">
        <v>487</v>
      </c>
      <c r="E427" s="152" t="s">
        <v>75</v>
      </c>
      <c r="F427" s="151" t="s">
        <v>1602</v>
      </c>
      <c r="G427" s="152" t="s">
        <v>20</v>
      </c>
      <c r="H427" s="153">
        <v>201607</v>
      </c>
      <c r="I427" s="154">
        <v>0.99</v>
      </c>
      <c r="J427" s="144">
        <f t="shared" si="20"/>
        <v>4</v>
      </c>
      <c r="K427" s="155">
        <v>1.4833299999999999E-3</v>
      </c>
      <c r="L427" s="154">
        <f t="shared" si="21"/>
        <v>0.01</v>
      </c>
      <c r="M427" s="154">
        <f t="shared" si="22"/>
        <v>0.02</v>
      </c>
      <c r="N427" s="145"/>
    </row>
    <row r="428" spans="1:14">
      <c r="A428" s="151" t="s">
        <v>626</v>
      </c>
      <c r="B428" s="152" t="s">
        <v>1721</v>
      </c>
      <c r="C428" s="152" t="s">
        <v>1722</v>
      </c>
      <c r="D428" s="151" t="s">
        <v>1723</v>
      </c>
      <c r="E428" s="152" t="s">
        <v>75</v>
      </c>
      <c r="F428" s="151" t="s">
        <v>1602</v>
      </c>
      <c r="G428" s="152" t="s">
        <v>20</v>
      </c>
      <c r="H428" s="153">
        <v>201607</v>
      </c>
      <c r="I428" s="154">
        <v>5.27</v>
      </c>
      <c r="J428" s="144">
        <f t="shared" si="20"/>
        <v>4</v>
      </c>
      <c r="K428" s="155">
        <v>1.4833299999999999E-3</v>
      </c>
      <c r="L428" s="154">
        <f t="shared" si="21"/>
        <v>0.03</v>
      </c>
      <c r="M428" s="154">
        <f t="shared" si="22"/>
        <v>0.09</v>
      </c>
      <c r="N428" s="145"/>
    </row>
    <row r="429" spans="1:14">
      <c r="A429" s="151" t="s">
        <v>626</v>
      </c>
      <c r="B429" s="152" t="s">
        <v>1508</v>
      </c>
      <c r="C429" s="152" t="s">
        <v>1509</v>
      </c>
      <c r="D429" s="151" t="s">
        <v>1510</v>
      </c>
      <c r="E429" s="152" t="s">
        <v>75</v>
      </c>
      <c r="F429" s="151" t="s">
        <v>1602</v>
      </c>
      <c r="G429" s="152" t="s">
        <v>20</v>
      </c>
      <c r="H429" s="153">
        <v>201607</v>
      </c>
      <c r="I429" s="154">
        <v>7.19</v>
      </c>
      <c r="J429" s="144">
        <f t="shared" si="20"/>
        <v>4</v>
      </c>
      <c r="K429" s="155">
        <v>1.4833299999999999E-3</v>
      </c>
      <c r="L429" s="154">
        <f t="shared" si="21"/>
        <v>0.04</v>
      </c>
      <c r="M429" s="154">
        <f t="shared" si="22"/>
        <v>0.13</v>
      </c>
      <c r="N429" s="145"/>
    </row>
    <row r="430" spans="1:14">
      <c r="A430" s="151" t="s">
        <v>626</v>
      </c>
      <c r="B430" s="152" t="s">
        <v>1959</v>
      </c>
      <c r="C430" s="152" t="s">
        <v>1960</v>
      </c>
      <c r="D430" s="151" t="s">
        <v>1495</v>
      </c>
      <c r="E430" s="152" t="s">
        <v>75</v>
      </c>
      <c r="F430" s="151" t="s">
        <v>1602</v>
      </c>
      <c r="G430" s="152" t="s">
        <v>20</v>
      </c>
      <c r="H430" s="153">
        <v>201607</v>
      </c>
      <c r="I430" s="154">
        <v>7.93</v>
      </c>
      <c r="J430" s="144">
        <f t="shared" si="20"/>
        <v>4</v>
      </c>
      <c r="K430" s="155">
        <v>1.4833299999999999E-3</v>
      </c>
      <c r="L430" s="154">
        <f t="shared" si="21"/>
        <v>0.05</v>
      </c>
      <c r="M430" s="154">
        <f t="shared" si="22"/>
        <v>0.14000000000000001</v>
      </c>
      <c r="N430" s="145"/>
    </row>
    <row r="431" spans="1:14">
      <c r="A431" s="151" t="s">
        <v>626</v>
      </c>
      <c r="B431" s="152" t="s">
        <v>1953</v>
      </c>
      <c r="C431" s="152" t="s">
        <v>1954</v>
      </c>
      <c r="D431" s="151" t="s">
        <v>1955</v>
      </c>
      <c r="E431" s="152" t="s">
        <v>75</v>
      </c>
      <c r="F431" s="151" t="s">
        <v>1602</v>
      </c>
      <c r="G431" s="152" t="s">
        <v>20</v>
      </c>
      <c r="H431" s="153">
        <v>201607</v>
      </c>
      <c r="I431" s="154">
        <v>16.27</v>
      </c>
      <c r="J431" s="144">
        <f t="shared" si="20"/>
        <v>4</v>
      </c>
      <c r="K431" s="155">
        <v>1.4833299999999999E-3</v>
      </c>
      <c r="L431" s="154">
        <f t="shared" si="21"/>
        <v>0.1</v>
      </c>
      <c r="M431" s="154">
        <f t="shared" si="22"/>
        <v>0.28999999999999998</v>
      </c>
      <c r="N431" s="145"/>
    </row>
    <row r="432" spans="1:14">
      <c r="A432" s="151" t="s">
        <v>626</v>
      </c>
      <c r="B432" s="152" t="s">
        <v>1927</v>
      </c>
      <c r="C432" s="152" t="s">
        <v>1928</v>
      </c>
      <c r="D432" s="151" t="s">
        <v>1929</v>
      </c>
      <c r="E432" s="152" t="s">
        <v>75</v>
      </c>
      <c r="F432" s="151" t="s">
        <v>1602</v>
      </c>
      <c r="G432" s="152" t="s">
        <v>20</v>
      </c>
      <c r="H432" s="153">
        <v>201607</v>
      </c>
      <c r="I432" s="154">
        <v>31.17</v>
      </c>
      <c r="J432" s="144">
        <f t="shared" si="20"/>
        <v>4</v>
      </c>
      <c r="K432" s="155">
        <v>1.4833299999999999E-3</v>
      </c>
      <c r="L432" s="154">
        <f t="shared" si="21"/>
        <v>0.18</v>
      </c>
      <c r="M432" s="154">
        <f t="shared" si="22"/>
        <v>0.55000000000000004</v>
      </c>
      <c r="N432" s="145"/>
    </row>
    <row r="433" spans="1:14">
      <c r="A433" s="151" t="s">
        <v>626</v>
      </c>
      <c r="B433" s="152" t="s">
        <v>1924</v>
      </c>
      <c r="C433" s="152" t="s">
        <v>1925</v>
      </c>
      <c r="D433" s="151" t="s">
        <v>1926</v>
      </c>
      <c r="E433" s="152" t="s">
        <v>75</v>
      </c>
      <c r="F433" s="151" t="s">
        <v>1602</v>
      </c>
      <c r="G433" s="152" t="s">
        <v>20</v>
      </c>
      <c r="H433" s="153">
        <v>201607</v>
      </c>
      <c r="I433" s="154">
        <v>33.26</v>
      </c>
      <c r="J433" s="144">
        <f t="shared" si="20"/>
        <v>4</v>
      </c>
      <c r="K433" s="155">
        <v>1.4833299999999999E-3</v>
      </c>
      <c r="L433" s="154">
        <f t="shared" si="21"/>
        <v>0.2</v>
      </c>
      <c r="M433" s="154">
        <f t="shared" si="22"/>
        <v>0.59</v>
      </c>
      <c r="N433" s="145"/>
    </row>
    <row r="434" spans="1:14">
      <c r="A434" s="151" t="s">
        <v>1942</v>
      </c>
      <c r="B434" s="160" t="s">
        <v>1681</v>
      </c>
      <c r="C434" s="152" t="s">
        <v>1999</v>
      </c>
      <c r="D434" s="151" t="s">
        <v>2000</v>
      </c>
      <c r="E434" s="152" t="s">
        <v>75</v>
      </c>
      <c r="F434" s="151" t="s">
        <v>1602</v>
      </c>
      <c r="G434" s="152" t="s">
        <v>20</v>
      </c>
      <c r="H434" s="150">
        <v>201607</v>
      </c>
      <c r="I434" s="154">
        <v>38.619999999999997</v>
      </c>
      <c r="J434" s="144">
        <f t="shared" si="20"/>
        <v>4</v>
      </c>
      <c r="K434" s="155">
        <v>2.23333E-3</v>
      </c>
      <c r="L434" s="154">
        <f t="shared" si="21"/>
        <v>0.35</v>
      </c>
      <c r="M434" s="154">
        <f t="shared" si="22"/>
        <v>1.04</v>
      </c>
      <c r="N434" s="145"/>
    </row>
    <row r="435" spans="1:14">
      <c r="A435" s="151" t="s">
        <v>626</v>
      </c>
      <c r="B435" s="152" t="s">
        <v>1867</v>
      </c>
      <c r="C435" s="152" t="s">
        <v>1868</v>
      </c>
      <c r="D435" s="151" t="s">
        <v>1869</v>
      </c>
      <c r="E435" s="152" t="s">
        <v>75</v>
      </c>
      <c r="F435" s="151" t="s">
        <v>1602</v>
      </c>
      <c r="G435" s="152" t="s">
        <v>20</v>
      </c>
      <c r="H435" s="153">
        <v>201607</v>
      </c>
      <c r="I435" s="154">
        <v>40.33</v>
      </c>
      <c r="J435" s="144">
        <f t="shared" si="20"/>
        <v>4</v>
      </c>
      <c r="K435" s="155">
        <v>1.4833299999999999E-3</v>
      </c>
      <c r="L435" s="154">
        <f t="shared" si="21"/>
        <v>0.24</v>
      </c>
      <c r="M435" s="154">
        <f t="shared" si="22"/>
        <v>0.72</v>
      </c>
      <c r="N435" s="145"/>
    </row>
    <row r="436" spans="1:14">
      <c r="A436" s="151" t="s">
        <v>626</v>
      </c>
      <c r="B436" s="152" t="s">
        <v>1757</v>
      </c>
      <c r="C436" s="152" t="s">
        <v>1758</v>
      </c>
      <c r="D436" s="151" t="s">
        <v>1759</v>
      </c>
      <c r="E436" s="152" t="s">
        <v>75</v>
      </c>
      <c r="F436" s="151" t="s">
        <v>1602</v>
      </c>
      <c r="G436" s="152" t="s">
        <v>20</v>
      </c>
      <c r="H436" s="153">
        <v>201607</v>
      </c>
      <c r="I436" s="154">
        <v>49.98</v>
      </c>
      <c r="J436" s="144">
        <f t="shared" si="20"/>
        <v>4</v>
      </c>
      <c r="K436" s="155">
        <v>1.4833299999999999E-3</v>
      </c>
      <c r="L436" s="154">
        <f t="shared" si="21"/>
        <v>0.3</v>
      </c>
      <c r="M436" s="154">
        <f t="shared" si="22"/>
        <v>0.89</v>
      </c>
      <c r="N436" s="145"/>
    </row>
    <row r="437" spans="1:14">
      <c r="A437" s="151" t="s">
        <v>626</v>
      </c>
      <c r="B437" s="152" t="s">
        <v>1884</v>
      </c>
      <c r="C437" s="152" t="s">
        <v>1885</v>
      </c>
      <c r="D437" s="151" t="s">
        <v>1886</v>
      </c>
      <c r="E437" s="152" t="s">
        <v>75</v>
      </c>
      <c r="F437" s="151" t="s">
        <v>1602</v>
      </c>
      <c r="G437" s="152" t="s">
        <v>20</v>
      </c>
      <c r="H437" s="153">
        <v>201607</v>
      </c>
      <c r="I437" s="154">
        <v>51.77</v>
      </c>
      <c r="J437" s="144">
        <f t="shared" si="20"/>
        <v>4</v>
      </c>
      <c r="K437" s="155">
        <v>1.4833299999999999E-3</v>
      </c>
      <c r="L437" s="154">
        <f t="shared" si="21"/>
        <v>0.31</v>
      </c>
      <c r="M437" s="154">
        <f t="shared" si="22"/>
        <v>0.92</v>
      </c>
      <c r="N437" s="145"/>
    </row>
    <row r="438" spans="1:14">
      <c r="A438" s="151" t="s">
        <v>626</v>
      </c>
      <c r="B438" s="152" t="s">
        <v>1936</v>
      </c>
      <c r="C438" s="152" t="s">
        <v>1937</v>
      </c>
      <c r="D438" s="151" t="s">
        <v>1938</v>
      </c>
      <c r="E438" s="152" t="s">
        <v>75</v>
      </c>
      <c r="F438" s="151" t="s">
        <v>1602</v>
      </c>
      <c r="G438" s="152" t="s">
        <v>20</v>
      </c>
      <c r="H438" s="153">
        <v>201607</v>
      </c>
      <c r="I438" s="154">
        <v>60.93</v>
      </c>
      <c r="J438" s="144">
        <f t="shared" si="20"/>
        <v>4</v>
      </c>
      <c r="K438" s="155">
        <v>1.4833299999999999E-3</v>
      </c>
      <c r="L438" s="154">
        <f t="shared" si="21"/>
        <v>0.36</v>
      </c>
      <c r="M438" s="154">
        <f t="shared" si="22"/>
        <v>1.08</v>
      </c>
      <c r="N438" s="145"/>
    </row>
    <row r="439" spans="1:14">
      <c r="A439" s="151" t="s">
        <v>21</v>
      </c>
      <c r="B439" s="152" t="s">
        <v>1727</v>
      </c>
      <c r="C439" s="152" t="s">
        <v>1728</v>
      </c>
      <c r="D439" s="151" t="s">
        <v>1729</v>
      </c>
      <c r="E439" s="152" t="s">
        <v>75</v>
      </c>
      <c r="F439" s="151" t="s">
        <v>1602</v>
      </c>
      <c r="G439" s="152" t="s">
        <v>20</v>
      </c>
      <c r="H439" s="153">
        <v>201607</v>
      </c>
      <c r="I439" s="154">
        <v>77.959999999999994</v>
      </c>
      <c r="J439" s="144">
        <f t="shared" si="20"/>
        <v>4</v>
      </c>
      <c r="K439" s="155">
        <v>1.4833299999999999E-3</v>
      </c>
      <c r="L439" s="154">
        <f t="shared" si="21"/>
        <v>0.46</v>
      </c>
      <c r="M439" s="154">
        <f t="shared" si="22"/>
        <v>1.39</v>
      </c>
      <c r="N439" s="145"/>
    </row>
    <row r="440" spans="1:14">
      <c r="A440" s="151" t="s">
        <v>626</v>
      </c>
      <c r="B440" s="152" t="s">
        <v>1881</v>
      </c>
      <c r="C440" s="152" t="s">
        <v>1882</v>
      </c>
      <c r="D440" s="151" t="s">
        <v>1883</v>
      </c>
      <c r="E440" s="152" t="s">
        <v>75</v>
      </c>
      <c r="F440" s="151" t="s">
        <v>1602</v>
      </c>
      <c r="G440" s="152" t="s">
        <v>20</v>
      </c>
      <c r="H440" s="153">
        <v>201607</v>
      </c>
      <c r="I440" s="154">
        <v>99.24</v>
      </c>
      <c r="J440" s="144">
        <f t="shared" si="20"/>
        <v>4</v>
      </c>
      <c r="K440" s="155">
        <v>1.4833299999999999E-3</v>
      </c>
      <c r="L440" s="154">
        <f t="shared" si="21"/>
        <v>0.59</v>
      </c>
      <c r="M440" s="154">
        <f t="shared" si="22"/>
        <v>1.77</v>
      </c>
      <c r="N440" s="145"/>
    </row>
    <row r="441" spans="1:14">
      <c r="A441" s="151" t="s">
        <v>626</v>
      </c>
      <c r="B441" s="152" t="s">
        <v>1806</v>
      </c>
      <c r="C441" s="152" t="s">
        <v>1807</v>
      </c>
      <c r="D441" s="151" t="s">
        <v>1808</v>
      </c>
      <c r="E441" s="152" t="s">
        <v>75</v>
      </c>
      <c r="F441" s="151" t="s">
        <v>1602</v>
      </c>
      <c r="G441" s="152" t="s">
        <v>20</v>
      </c>
      <c r="H441" s="153">
        <v>201607</v>
      </c>
      <c r="I441" s="154">
        <v>115.69</v>
      </c>
      <c r="J441" s="144">
        <f t="shared" si="20"/>
        <v>4</v>
      </c>
      <c r="K441" s="155">
        <v>1.4833299999999999E-3</v>
      </c>
      <c r="L441" s="154">
        <f t="shared" si="21"/>
        <v>0.69</v>
      </c>
      <c r="M441" s="154">
        <f t="shared" si="22"/>
        <v>2.06</v>
      </c>
      <c r="N441" s="145"/>
    </row>
    <row r="442" spans="1:14">
      <c r="A442" s="151" t="s">
        <v>626</v>
      </c>
      <c r="B442" s="152" t="s">
        <v>1918</v>
      </c>
      <c r="C442" s="152" t="s">
        <v>1919</v>
      </c>
      <c r="D442" s="151" t="s">
        <v>1920</v>
      </c>
      <c r="E442" s="152" t="s">
        <v>75</v>
      </c>
      <c r="F442" s="151" t="s">
        <v>1602</v>
      </c>
      <c r="G442" s="152" t="s">
        <v>20</v>
      </c>
      <c r="H442" s="153">
        <v>201607</v>
      </c>
      <c r="I442" s="154">
        <v>124.14</v>
      </c>
      <c r="J442" s="144">
        <f t="shared" si="20"/>
        <v>4</v>
      </c>
      <c r="K442" s="155">
        <v>1.4833299999999999E-3</v>
      </c>
      <c r="L442" s="154">
        <f t="shared" si="21"/>
        <v>0.74</v>
      </c>
      <c r="M442" s="154">
        <f t="shared" si="22"/>
        <v>2.21</v>
      </c>
      <c r="N442" s="145"/>
    </row>
    <row r="443" spans="1:14">
      <c r="A443" s="151" t="s">
        <v>626</v>
      </c>
      <c r="B443" s="152" t="s">
        <v>1879</v>
      </c>
      <c r="C443" s="152" t="s">
        <v>1880</v>
      </c>
      <c r="D443" s="151" t="s">
        <v>1273</v>
      </c>
      <c r="E443" s="152" t="s">
        <v>75</v>
      </c>
      <c r="F443" s="151" t="s">
        <v>1602</v>
      </c>
      <c r="G443" s="152" t="s">
        <v>20</v>
      </c>
      <c r="H443" s="153">
        <v>201607</v>
      </c>
      <c r="I443" s="154">
        <v>132.15</v>
      </c>
      <c r="J443" s="144">
        <f t="shared" ref="J443:J506" si="23">HLOOKUP(H443,$Q$2:$Z$3,2)</f>
        <v>4</v>
      </c>
      <c r="K443" s="155">
        <v>1.4833299999999999E-3</v>
      </c>
      <c r="L443" s="154">
        <f t="shared" ref="L443:L506" si="24">ROUND(I443*J443*K443,2)</f>
        <v>0.78</v>
      </c>
      <c r="M443" s="154">
        <f t="shared" ref="M443:M506" si="25">ROUND(I443*K443*12,2)</f>
        <v>2.35</v>
      </c>
      <c r="N443" s="145"/>
    </row>
    <row r="444" spans="1:14">
      <c r="A444" s="151" t="s">
        <v>626</v>
      </c>
      <c r="B444" s="152" t="s">
        <v>1933</v>
      </c>
      <c r="C444" s="152" t="s">
        <v>1934</v>
      </c>
      <c r="D444" s="151" t="s">
        <v>1935</v>
      </c>
      <c r="E444" s="152" t="s">
        <v>75</v>
      </c>
      <c r="F444" s="151" t="s">
        <v>1602</v>
      </c>
      <c r="G444" s="152" t="s">
        <v>20</v>
      </c>
      <c r="H444" s="153">
        <v>201607</v>
      </c>
      <c r="I444" s="154">
        <v>145.46</v>
      </c>
      <c r="J444" s="144">
        <f t="shared" si="23"/>
        <v>4</v>
      </c>
      <c r="K444" s="155">
        <v>1.4833299999999999E-3</v>
      </c>
      <c r="L444" s="154">
        <f t="shared" si="24"/>
        <v>0.86</v>
      </c>
      <c r="M444" s="154">
        <f t="shared" si="25"/>
        <v>2.59</v>
      </c>
      <c r="N444" s="145"/>
    </row>
    <row r="445" spans="1:14">
      <c r="A445" s="151" t="s">
        <v>626</v>
      </c>
      <c r="B445" s="152" t="s">
        <v>1930</v>
      </c>
      <c r="C445" s="152" t="s">
        <v>1931</v>
      </c>
      <c r="D445" s="151" t="s">
        <v>1932</v>
      </c>
      <c r="E445" s="152" t="s">
        <v>75</v>
      </c>
      <c r="F445" s="151" t="s">
        <v>1602</v>
      </c>
      <c r="G445" s="152" t="s">
        <v>20</v>
      </c>
      <c r="H445" s="153">
        <v>201607</v>
      </c>
      <c r="I445" s="154">
        <v>147.21</v>
      </c>
      <c r="J445" s="144">
        <f t="shared" si="23"/>
        <v>4</v>
      </c>
      <c r="K445" s="155">
        <v>1.4833299999999999E-3</v>
      </c>
      <c r="L445" s="154">
        <f t="shared" si="24"/>
        <v>0.87</v>
      </c>
      <c r="M445" s="154">
        <f t="shared" si="25"/>
        <v>2.62</v>
      </c>
      <c r="N445" s="145"/>
    </row>
    <row r="446" spans="1:14">
      <c r="A446" s="151" t="s">
        <v>626</v>
      </c>
      <c r="B446" s="152" t="s">
        <v>1913</v>
      </c>
      <c r="C446" s="152" t="s">
        <v>1914</v>
      </c>
      <c r="D446" s="151" t="s">
        <v>1915</v>
      </c>
      <c r="E446" s="152" t="s">
        <v>75</v>
      </c>
      <c r="F446" s="151" t="s">
        <v>1602</v>
      </c>
      <c r="G446" s="152" t="s">
        <v>20</v>
      </c>
      <c r="H446" s="153">
        <v>201607</v>
      </c>
      <c r="I446" s="154">
        <v>172.01</v>
      </c>
      <c r="J446" s="144">
        <f t="shared" si="23"/>
        <v>4</v>
      </c>
      <c r="K446" s="155">
        <v>1.4833299999999999E-3</v>
      </c>
      <c r="L446" s="154">
        <f t="shared" si="24"/>
        <v>1.02</v>
      </c>
      <c r="M446" s="154">
        <f t="shared" si="25"/>
        <v>3.06</v>
      </c>
      <c r="N446" s="145"/>
    </row>
    <row r="447" spans="1:14">
      <c r="A447" s="151" t="s">
        <v>626</v>
      </c>
      <c r="B447" s="152" t="s">
        <v>1861</v>
      </c>
      <c r="C447" s="152" t="s">
        <v>1862</v>
      </c>
      <c r="D447" s="151" t="s">
        <v>1863</v>
      </c>
      <c r="E447" s="152" t="s">
        <v>75</v>
      </c>
      <c r="F447" s="151" t="s">
        <v>1602</v>
      </c>
      <c r="G447" s="152" t="s">
        <v>20</v>
      </c>
      <c r="H447" s="153">
        <v>201607</v>
      </c>
      <c r="I447" s="154">
        <v>201.08</v>
      </c>
      <c r="J447" s="144">
        <f t="shared" si="23"/>
        <v>4</v>
      </c>
      <c r="K447" s="155">
        <v>1.4833299999999999E-3</v>
      </c>
      <c r="L447" s="154">
        <f t="shared" si="24"/>
        <v>1.19</v>
      </c>
      <c r="M447" s="154">
        <f t="shared" si="25"/>
        <v>3.58</v>
      </c>
      <c r="N447" s="145"/>
    </row>
    <row r="448" spans="1:14">
      <c r="A448" s="151" t="s">
        <v>626</v>
      </c>
      <c r="B448" s="152" t="s">
        <v>1904</v>
      </c>
      <c r="C448" s="152" t="s">
        <v>1905</v>
      </c>
      <c r="D448" s="151" t="s">
        <v>1906</v>
      </c>
      <c r="E448" s="152" t="s">
        <v>75</v>
      </c>
      <c r="F448" s="151" t="s">
        <v>1602</v>
      </c>
      <c r="G448" s="152" t="s">
        <v>20</v>
      </c>
      <c r="H448" s="153">
        <v>201607</v>
      </c>
      <c r="I448" s="154">
        <v>201.61</v>
      </c>
      <c r="J448" s="144">
        <f t="shared" si="23"/>
        <v>4</v>
      </c>
      <c r="K448" s="155">
        <v>1.4833299999999999E-3</v>
      </c>
      <c r="L448" s="154">
        <f t="shared" si="24"/>
        <v>1.2</v>
      </c>
      <c r="M448" s="154">
        <f t="shared" si="25"/>
        <v>3.59</v>
      </c>
      <c r="N448" s="145"/>
    </row>
    <row r="449" spans="1:14">
      <c r="A449" s="151" t="s">
        <v>626</v>
      </c>
      <c r="B449" s="152" t="s">
        <v>1870</v>
      </c>
      <c r="C449" s="152" t="s">
        <v>1871</v>
      </c>
      <c r="D449" s="151" t="s">
        <v>1872</v>
      </c>
      <c r="E449" s="152" t="s">
        <v>75</v>
      </c>
      <c r="F449" s="151" t="s">
        <v>1602</v>
      </c>
      <c r="G449" s="152" t="s">
        <v>20</v>
      </c>
      <c r="H449" s="153">
        <v>201607</v>
      </c>
      <c r="I449" s="154">
        <v>218.6</v>
      </c>
      <c r="J449" s="144">
        <f t="shared" si="23"/>
        <v>4</v>
      </c>
      <c r="K449" s="155">
        <v>1.4833299999999999E-3</v>
      </c>
      <c r="L449" s="154">
        <f t="shared" si="24"/>
        <v>1.3</v>
      </c>
      <c r="M449" s="154">
        <f t="shared" si="25"/>
        <v>3.89</v>
      </c>
      <c r="N449" s="145"/>
    </row>
    <row r="450" spans="1:14">
      <c r="A450" s="151" t="s">
        <v>626</v>
      </c>
      <c r="B450" s="152" t="s">
        <v>1890</v>
      </c>
      <c r="C450" s="152" t="s">
        <v>1891</v>
      </c>
      <c r="D450" s="151" t="s">
        <v>1495</v>
      </c>
      <c r="E450" s="152" t="s">
        <v>75</v>
      </c>
      <c r="F450" s="151" t="s">
        <v>1602</v>
      </c>
      <c r="G450" s="152" t="s">
        <v>20</v>
      </c>
      <c r="H450" s="153">
        <v>201607</v>
      </c>
      <c r="I450" s="154">
        <v>251.64</v>
      </c>
      <c r="J450" s="144">
        <f t="shared" si="23"/>
        <v>4</v>
      </c>
      <c r="K450" s="155">
        <v>1.4833299999999999E-3</v>
      </c>
      <c r="L450" s="154">
        <f t="shared" si="24"/>
        <v>1.49</v>
      </c>
      <c r="M450" s="154">
        <f t="shared" si="25"/>
        <v>4.4800000000000004</v>
      </c>
      <c r="N450" s="145"/>
    </row>
    <row r="451" spans="1:14">
      <c r="A451" s="151" t="s">
        <v>626</v>
      </c>
      <c r="B451" s="152" t="s">
        <v>1898</v>
      </c>
      <c r="C451" s="152" t="s">
        <v>1899</v>
      </c>
      <c r="D451" s="151" t="s">
        <v>1900</v>
      </c>
      <c r="E451" s="152" t="s">
        <v>75</v>
      </c>
      <c r="F451" s="151" t="s">
        <v>1602</v>
      </c>
      <c r="G451" s="152" t="s">
        <v>20</v>
      </c>
      <c r="H451" s="153">
        <v>201607</v>
      </c>
      <c r="I451" s="154">
        <v>276.39</v>
      </c>
      <c r="J451" s="144">
        <f t="shared" si="23"/>
        <v>4</v>
      </c>
      <c r="K451" s="155">
        <v>1.4833299999999999E-3</v>
      </c>
      <c r="L451" s="154">
        <f t="shared" si="24"/>
        <v>1.64</v>
      </c>
      <c r="M451" s="154">
        <f t="shared" si="25"/>
        <v>4.92</v>
      </c>
      <c r="N451" s="145"/>
    </row>
    <row r="452" spans="1:14">
      <c r="A452" s="151" t="s">
        <v>21</v>
      </c>
      <c r="B452" s="160" t="s">
        <v>1681</v>
      </c>
      <c r="C452" s="152" t="s">
        <v>2109</v>
      </c>
      <c r="D452" s="151" t="s">
        <v>2110</v>
      </c>
      <c r="E452" s="152" t="s">
        <v>75</v>
      </c>
      <c r="F452" s="151" t="s">
        <v>1602</v>
      </c>
      <c r="G452" s="152" t="s">
        <v>20</v>
      </c>
      <c r="H452" s="153">
        <v>201607</v>
      </c>
      <c r="I452" s="154">
        <v>433.87</v>
      </c>
      <c r="J452" s="144">
        <f t="shared" si="23"/>
        <v>4</v>
      </c>
      <c r="K452" s="155">
        <v>1.4833299999999999E-3</v>
      </c>
      <c r="L452" s="154">
        <f t="shared" si="24"/>
        <v>2.57</v>
      </c>
      <c r="M452" s="154">
        <f t="shared" si="25"/>
        <v>7.72</v>
      </c>
      <c r="N452" s="145"/>
    </row>
    <row r="453" spans="1:14">
      <c r="A453" s="151" t="s">
        <v>626</v>
      </c>
      <c r="B453" s="152" t="s">
        <v>1892</v>
      </c>
      <c r="C453" s="152" t="s">
        <v>1893</v>
      </c>
      <c r="D453" s="151" t="s">
        <v>1894</v>
      </c>
      <c r="E453" s="152" t="s">
        <v>75</v>
      </c>
      <c r="F453" s="151" t="s">
        <v>1602</v>
      </c>
      <c r="G453" s="152" t="s">
        <v>20</v>
      </c>
      <c r="H453" s="153">
        <v>201607</v>
      </c>
      <c r="I453" s="154">
        <v>501.28</v>
      </c>
      <c r="J453" s="144">
        <f t="shared" si="23"/>
        <v>4</v>
      </c>
      <c r="K453" s="155">
        <v>1.4833299999999999E-3</v>
      </c>
      <c r="L453" s="154">
        <f t="shared" si="24"/>
        <v>2.97</v>
      </c>
      <c r="M453" s="154">
        <f t="shared" si="25"/>
        <v>8.92</v>
      </c>
      <c r="N453" s="145"/>
    </row>
    <row r="454" spans="1:14">
      <c r="A454" s="151" t="s">
        <v>626</v>
      </c>
      <c r="B454" s="152" t="s">
        <v>1791</v>
      </c>
      <c r="C454" s="152" t="s">
        <v>1792</v>
      </c>
      <c r="D454" s="151" t="s">
        <v>1793</v>
      </c>
      <c r="E454" s="152" t="s">
        <v>75</v>
      </c>
      <c r="F454" s="151" t="s">
        <v>1602</v>
      </c>
      <c r="G454" s="152" t="s">
        <v>20</v>
      </c>
      <c r="H454" s="153">
        <v>201607</v>
      </c>
      <c r="I454" s="154">
        <v>552</v>
      </c>
      <c r="J454" s="144">
        <f t="shared" si="23"/>
        <v>4</v>
      </c>
      <c r="K454" s="155">
        <v>1.4833299999999999E-3</v>
      </c>
      <c r="L454" s="154">
        <f t="shared" si="24"/>
        <v>3.28</v>
      </c>
      <c r="M454" s="154">
        <f t="shared" si="25"/>
        <v>9.83</v>
      </c>
      <c r="N454" s="145"/>
    </row>
    <row r="455" spans="1:14">
      <c r="A455" s="151" t="s">
        <v>133</v>
      </c>
      <c r="B455" s="152" t="s">
        <v>1876</v>
      </c>
      <c r="C455" s="152" t="s">
        <v>1877</v>
      </c>
      <c r="D455" s="151" t="s">
        <v>1878</v>
      </c>
      <c r="E455" s="152" t="s">
        <v>75</v>
      </c>
      <c r="F455" s="151" t="s">
        <v>1602</v>
      </c>
      <c r="G455" s="152" t="s">
        <v>20</v>
      </c>
      <c r="H455" s="153">
        <v>201607</v>
      </c>
      <c r="I455" s="154">
        <v>634.30999999999995</v>
      </c>
      <c r="J455" s="144">
        <f t="shared" si="23"/>
        <v>4</v>
      </c>
      <c r="K455" s="155">
        <v>1.4833299999999999E-3</v>
      </c>
      <c r="L455" s="154">
        <f t="shared" si="24"/>
        <v>3.76</v>
      </c>
      <c r="M455" s="154">
        <f t="shared" si="25"/>
        <v>11.29</v>
      </c>
      <c r="N455" s="145"/>
    </row>
    <row r="456" spans="1:14">
      <c r="A456" s="151" t="s">
        <v>14</v>
      </c>
      <c r="B456" s="160" t="s">
        <v>1681</v>
      </c>
      <c r="C456" s="152" t="s">
        <v>2109</v>
      </c>
      <c r="D456" s="151" t="s">
        <v>2110</v>
      </c>
      <c r="E456" s="152" t="s">
        <v>75</v>
      </c>
      <c r="F456" s="151" t="s">
        <v>1602</v>
      </c>
      <c r="G456" s="152" t="s">
        <v>20</v>
      </c>
      <c r="H456" s="150">
        <v>201607</v>
      </c>
      <c r="I456" s="154">
        <v>648.45000000000005</v>
      </c>
      <c r="J456" s="144">
        <f t="shared" si="23"/>
        <v>4</v>
      </c>
      <c r="K456" s="155">
        <v>2.23333E-3</v>
      </c>
      <c r="L456" s="154">
        <f t="shared" si="24"/>
        <v>5.79</v>
      </c>
      <c r="M456" s="154">
        <f t="shared" si="25"/>
        <v>17.38</v>
      </c>
      <c r="N456" s="145"/>
    </row>
    <row r="457" spans="1:14">
      <c r="A457" s="151" t="s">
        <v>626</v>
      </c>
      <c r="B457" s="152" t="s">
        <v>1951</v>
      </c>
      <c r="C457" s="152" t="s">
        <v>1952</v>
      </c>
      <c r="D457" s="151" t="s">
        <v>1759</v>
      </c>
      <c r="E457" s="152" t="s">
        <v>75</v>
      </c>
      <c r="F457" s="151" t="s">
        <v>1602</v>
      </c>
      <c r="G457" s="152" t="s">
        <v>20</v>
      </c>
      <c r="H457" s="153">
        <v>201607</v>
      </c>
      <c r="I457" s="154">
        <v>651.30999999999995</v>
      </c>
      <c r="J457" s="144">
        <f t="shared" si="23"/>
        <v>4</v>
      </c>
      <c r="K457" s="155">
        <v>1.4833299999999999E-3</v>
      </c>
      <c r="L457" s="154">
        <f t="shared" si="24"/>
        <v>3.86</v>
      </c>
      <c r="M457" s="154">
        <f t="shared" si="25"/>
        <v>11.59</v>
      </c>
      <c r="N457" s="145"/>
    </row>
    <row r="458" spans="1:14">
      <c r="A458" s="151" t="s">
        <v>626</v>
      </c>
      <c r="B458" s="160" t="s">
        <v>1681</v>
      </c>
      <c r="C458" s="152" t="s">
        <v>2083</v>
      </c>
      <c r="D458" s="151" t="s">
        <v>2084</v>
      </c>
      <c r="E458" s="152" t="s">
        <v>75</v>
      </c>
      <c r="F458" s="151" t="s">
        <v>1602</v>
      </c>
      <c r="G458" s="152" t="s">
        <v>20</v>
      </c>
      <c r="H458" s="153">
        <v>201607</v>
      </c>
      <c r="I458" s="154">
        <v>655.47</v>
      </c>
      <c r="J458" s="144">
        <f t="shared" si="23"/>
        <v>4</v>
      </c>
      <c r="K458" s="155">
        <v>1.4833299999999999E-3</v>
      </c>
      <c r="L458" s="154">
        <f t="shared" si="24"/>
        <v>3.89</v>
      </c>
      <c r="M458" s="154">
        <f t="shared" si="25"/>
        <v>11.67</v>
      </c>
      <c r="N458" s="145"/>
    </row>
    <row r="459" spans="1:14">
      <c r="A459" s="151" t="s">
        <v>626</v>
      </c>
      <c r="B459" s="152" t="s">
        <v>1864</v>
      </c>
      <c r="C459" s="152" t="s">
        <v>1865</v>
      </c>
      <c r="D459" s="151" t="s">
        <v>1866</v>
      </c>
      <c r="E459" s="152" t="s">
        <v>75</v>
      </c>
      <c r="F459" s="151" t="s">
        <v>1602</v>
      </c>
      <c r="G459" s="152" t="s">
        <v>20</v>
      </c>
      <c r="H459" s="153">
        <v>201607</v>
      </c>
      <c r="I459" s="154">
        <v>672.93</v>
      </c>
      <c r="J459" s="144">
        <f t="shared" si="23"/>
        <v>4</v>
      </c>
      <c r="K459" s="155">
        <v>1.4833299999999999E-3</v>
      </c>
      <c r="L459" s="154">
        <f t="shared" si="24"/>
        <v>3.99</v>
      </c>
      <c r="M459" s="154">
        <f t="shared" si="25"/>
        <v>11.98</v>
      </c>
      <c r="N459" s="145"/>
    </row>
    <row r="460" spans="1:14">
      <c r="A460" s="151" t="s">
        <v>626</v>
      </c>
      <c r="B460" s="152" t="s">
        <v>1910</v>
      </c>
      <c r="C460" s="152" t="s">
        <v>1911</v>
      </c>
      <c r="D460" s="151" t="s">
        <v>1912</v>
      </c>
      <c r="E460" s="152" t="s">
        <v>75</v>
      </c>
      <c r="F460" s="151" t="s">
        <v>1602</v>
      </c>
      <c r="G460" s="152" t="s">
        <v>20</v>
      </c>
      <c r="H460" s="153">
        <v>201607</v>
      </c>
      <c r="I460" s="154">
        <v>818.95</v>
      </c>
      <c r="J460" s="144">
        <f t="shared" si="23"/>
        <v>4</v>
      </c>
      <c r="K460" s="155">
        <v>1.4833299999999999E-3</v>
      </c>
      <c r="L460" s="154">
        <f t="shared" si="24"/>
        <v>4.8600000000000003</v>
      </c>
      <c r="M460" s="154">
        <f t="shared" si="25"/>
        <v>14.58</v>
      </c>
      <c r="N460" s="145"/>
    </row>
    <row r="461" spans="1:14">
      <c r="A461" s="151" t="s">
        <v>626</v>
      </c>
      <c r="B461" s="152" t="s">
        <v>1916</v>
      </c>
      <c r="C461" s="152" t="s">
        <v>1917</v>
      </c>
      <c r="D461" s="151" t="s">
        <v>1273</v>
      </c>
      <c r="E461" s="152" t="s">
        <v>75</v>
      </c>
      <c r="F461" s="151" t="s">
        <v>1602</v>
      </c>
      <c r="G461" s="152" t="s">
        <v>20</v>
      </c>
      <c r="H461" s="153">
        <v>201607</v>
      </c>
      <c r="I461" s="154">
        <v>920.07</v>
      </c>
      <c r="J461" s="144">
        <f t="shared" si="23"/>
        <v>4</v>
      </c>
      <c r="K461" s="155">
        <v>1.4833299999999999E-3</v>
      </c>
      <c r="L461" s="154">
        <f t="shared" si="24"/>
        <v>5.46</v>
      </c>
      <c r="M461" s="154">
        <f t="shared" si="25"/>
        <v>16.38</v>
      </c>
      <c r="N461" s="145"/>
    </row>
    <row r="462" spans="1:14">
      <c r="A462" s="151" t="s">
        <v>626</v>
      </c>
      <c r="B462" s="152" t="s">
        <v>1873</v>
      </c>
      <c r="C462" s="152" t="s">
        <v>1874</v>
      </c>
      <c r="D462" s="151" t="s">
        <v>1875</v>
      </c>
      <c r="E462" s="152" t="s">
        <v>75</v>
      </c>
      <c r="F462" s="151" t="s">
        <v>1602</v>
      </c>
      <c r="G462" s="152" t="s">
        <v>20</v>
      </c>
      <c r="H462" s="153">
        <v>201607</v>
      </c>
      <c r="I462" s="154">
        <v>927.8</v>
      </c>
      <c r="J462" s="144">
        <f t="shared" si="23"/>
        <v>4</v>
      </c>
      <c r="K462" s="155">
        <v>1.4833299999999999E-3</v>
      </c>
      <c r="L462" s="154">
        <f t="shared" si="24"/>
        <v>5.5</v>
      </c>
      <c r="M462" s="154">
        <f t="shared" si="25"/>
        <v>16.510000000000002</v>
      </c>
      <c r="N462" s="145"/>
    </row>
    <row r="463" spans="1:14">
      <c r="A463" s="151" t="s">
        <v>626</v>
      </c>
      <c r="B463" s="152" t="s">
        <v>1907</v>
      </c>
      <c r="C463" s="152" t="s">
        <v>1908</v>
      </c>
      <c r="D463" s="151" t="s">
        <v>1909</v>
      </c>
      <c r="E463" s="152" t="s">
        <v>75</v>
      </c>
      <c r="F463" s="151" t="s">
        <v>1602</v>
      </c>
      <c r="G463" s="152" t="s">
        <v>20</v>
      </c>
      <c r="H463" s="153">
        <v>201607</v>
      </c>
      <c r="I463" s="154">
        <v>945.2</v>
      </c>
      <c r="J463" s="144">
        <f t="shared" si="23"/>
        <v>4</v>
      </c>
      <c r="K463" s="155">
        <v>1.4833299999999999E-3</v>
      </c>
      <c r="L463" s="154">
        <f t="shared" si="24"/>
        <v>5.61</v>
      </c>
      <c r="M463" s="154">
        <f t="shared" si="25"/>
        <v>16.82</v>
      </c>
      <c r="N463" s="145"/>
    </row>
    <row r="464" spans="1:14">
      <c r="A464" s="151" t="s">
        <v>626</v>
      </c>
      <c r="B464" s="152" t="s">
        <v>1961</v>
      </c>
      <c r="C464" s="152" t="s">
        <v>1962</v>
      </c>
      <c r="D464" s="151" t="s">
        <v>1963</v>
      </c>
      <c r="E464" s="152" t="s">
        <v>75</v>
      </c>
      <c r="F464" s="151" t="s">
        <v>1602</v>
      </c>
      <c r="G464" s="152" t="s">
        <v>20</v>
      </c>
      <c r="H464" s="153">
        <v>201607</v>
      </c>
      <c r="I464" s="154">
        <v>1133.01</v>
      </c>
      <c r="J464" s="144">
        <f t="shared" si="23"/>
        <v>4</v>
      </c>
      <c r="K464" s="155">
        <v>1.4833299999999999E-3</v>
      </c>
      <c r="L464" s="154">
        <f t="shared" si="24"/>
        <v>6.72</v>
      </c>
      <c r="M464" s="154">
        <f t="shared" si="25"/>
        <v>20.170000000000002</v>
      </c>
      <c r="N464" s="145"/>
    </row>
    <row r="465" spans="1:14">
      <c r="A465" s="151" t="s">
        <v>21</v>
      </c>
      <c r="B465" s="160" t="s">
        <v>1681</v>
      </c>
      <c r="C465" s="152" t="s">
        <v>2075</v>
      </c>
      <c r="D465" s="151" t="s">
        <v>2076</v>
      </c>
      <c r="E465" s="152" t="s">
        <v>75</v>
      </c>
      <c r="F465" s="151" t="s">
        <v>1602</v>
      </c>
      <c r="G465" s="152" t="s">
        <v>20</v>
      </c>
      <c r="H465" s="153">
        <v>201607</v>
      </c>
      <c r="I465" s="154">
        <v>1178.92</v>
      </c>
      <c r="J465" s="144">
        <f t="shared" si="23"/>
        <v>4</v>
      </c>
      <c r="K465" s="155">
        <v>1.4833299999999999E-3</v>
      </c>
      <c r="L465" s="154">
        <f t="shared" si="24"/>
        <v>6.99</v>
      </c>
      <c r="M465" s="154">
        <f t="shared" si="25"/>
        <v>20.98</v>
      </c>
      <c r="N465" s="145"/>
    </row>
    <row r="466" spans="1:14">
      <c r="A466" s="151" t="s">
        <v>14</v>
      </c>
      <c r="B466" s="160" t="s">
        <v>1681</v>
      </c>
      <c r="C466" s="152" t="s">
        <v>1999</v>
      </c>
      <c r="D466" s="151" t="s">
        <v>2000</v>
      </c>
      <c r="E466" s="152" t="s">
        <v>75</v>
      </c>
      <c r="F466" s="151" t="s">
        <v>1602</v>
      </c>
      <c r="G466" s="152" t="s">
        <v>20</v>
      </c>
      <c r="H466" s="150">
        <v>201607</v>
      </c>
      <c r="I466" s="154">
        <v>1180.3599999999999</v>
      </c>
      <c r="J466" s="144">
        <f t="shared" si="23"/>
        <v>4</v>
      </c>
      <c r="K466" s="155">
        <v>2.23333E-3</v>
      </c>
      <c r="L466" s="154">
        <f t="shared" si="24"/>
        <v>10.54</v>
      </c>
      <c r="M466" s="154">
        <f t="shared" si="25"/>
        <v>31.63</v>
      </c>
      <c r="N466" s="145"/>
    </row>
    <row r="467" spans="1:14">
      <c r="A467" s="151" t="s">
        <v>626</v>
      </c>
      <c r="B467" s="152" t="s">
        <v>1901</v>
      </c>
      <c r="C467" s="152" t="s">
        <v>1902</v>
      </c>
      <c r="D467" s="151" t="s">
        <v>1903</v>
      </c>
      <c r="E467" s="152" t="s">
        <v>75</v>
      </c>
      <c r="F467" s="151" t="s">
        <v>1602</v>
      </c>
      <c r="G467" s="152" t="s">
        <v>20</v>
      </c>
      <c r="H467" s="153">
        <v>201607</v>
      </c>
      <c r="I467" s="154">
        <v>1482.07</v>
      </c>
      <c r="J467" s="144">
        <f t="shared" si="23"/>
        <v>4</v>
      </c>
      <c r="K467" s="155">
        <v>1.4833299999999999E-3</v>
      </c>
      <c r="L467" s="154">
        <f t="shared" si="24"/>
        <v>8.7899999999999991</v>
      </c>
      <c r="M467" s="154">
        <f t="shared" si="25"/>
        <v>26.38</v>
      </c>
      <c r="N467" s="145"/>
    </row>
    <row r="468" spans="1:14">
      <c r="A468" s="151" t="s">
        <v>626</v>
      </c>
      <c r="B468" s="152" t="s">
        <v>1987</v>
      </c>
      <c r="C468" s="152" t="s">
        <v>1988</v>
      </c>
      <c r="D468" s="151" t="s">
        <v>1338</v>
      </c>
      <c r="E468" s="152" t="s">
        <v>75</v>
      </c>
      <c r="F468" s="151" t="s">
        <v>1602</v>
      </c>
      <c r="G468" s="152" t="s">
        <v>20</v>
      </c>
      <c r="H468" s="153">
        <v>201607</v>
      </c>
      <c r="I468" s="154">
        <v>1525.27</v>
      </c>
      <c r="J468" s="144">
        <f t="shared" si="23"/>
        <v>4</v>
      </c>
      <c r="K468" s="155">
        <v>1.4833299999999999E-3</v>
      </c>
      <c r="L468" s="154">
        <f t="shared" si="24"/>
        <v>9.0500000000000007</v>
      </c>
      <c r="M468" s="154">
        <f t="shared" si="25"/>
        <v>27.15</v>
      </c>
      <c r="N468" s="145"/>
    </row>
    <row r="469" spans="1:14">
      <c r="A469" s="151" t="s">
        <v>626</v>
      </c>
      <c r="B469" s="152" t="s">
        <v>2048</v>
      </c>
      <c r="C469" s="152" t="s">
        <v>2049</v>
      </c>
      <c r="D469" s="151" t="s">
        <v>2050</v>
      </c>
      <c r="E469" s="152" t="s">
        <v>75</v>
      </c>
      <c r="F469" s="151" t="s">
        <v>1602</v>
      </c>
      <c r="G469" s="152" t="s">
        <v>20</v>
      </c>
      <c r="H469" s="153">
        <v>201607</v>
      </c>
      <c r="I469" s="154">
        <v>1605.65</v>
      </c>
      <c r="J469" s="144">
        <f t="shared" si="23"/>
        <v>4</v>
      </c>
      <c r="K469" s="155">
        <v>1.4833299999999999E-3</v>
      </c>
      <c r="L469" s="154">
        <f t="shared" si="24"/>
        <v>9.5299999999999994</v>
      </c>
      <c r="M469" s="154">
        <f t="shared" si="25"/>
        <v>28.58</v>
      </c>
      <c r="N469" s="145"/>
    </row>
    <row r="470" spans="1:14">
      <c r="A470" s="151" t="s">
        <v>626</v>
      </c>
      <c r="B470" s="152" t="s">
        <v>2051</v>
      </c>
      <c r="C470" s="152" t="s">
        <v>2052</v>
      </c>
      <c r="D470" s="151" t="s">
        <v>2053</v>
      </c>
      <c r="E470" s="152" t="s">
        <v>75</v>
      </c>
      <c r="F470" s="151" t="s">
        <v>1602</v>
      </c>
      <c r="G470" s="152" t="s">
        <v>20</v>
      </c>
      <c r="H470" s="153">
        <v>201607</v>
      </c>
      <c r="I470" s="154">
        <v>1639.44</v>
      </c>
      <c r="J470" s="144">
        <f t="shared" si="23"/>
        <v>4</v>
      </c>
      <c r="K470" s="155">
        <v>1.4833299999999999E-3</v>
      </c>
      <c r="L470" s="154">
        <f t="shared" si="24"/>
        <v>9.73</v>
      </c>
      <c r="M470" s="154">
        <f t="shared" si="25"/>
        <v>29.18</v>
      </c>
      <c r="N470" s="145"/>
    </row>
    <row r="471" spans="1:14">
      <c r="A471" s="161" t="s">
        <v>626</v>
      </c>
      <c r="B471" s="160" t="s">
        <v>1748</v>
      </c>
      <c r="C471" s="160" t="s">
        <v>1749</v>
      </c>
      <c r="D471" s="161" t="s">
        <v>1750</v>
      </c>
      <c r="E471" s="160" t="s">
        <v>75</v>
      </c>
      <c r="F471" s="161" t="s">
        <v>1602</v>
      </c>
      <c r="G471" s="160" t="s">
        <v>20</v>
      </c>
      <c r="H471" s="103">
        <v>201607</v>
      </c>
      <c r="I471" s="154">
        <v>2290.36</v>
      </c>
      <c r="J471" s="144">
        <f t="shared" si="23"/>
        <v>4</v>
      </c>
      <c r="K471" s="155">
        <v>1.4833299999999999E-3</v>
      </c>
      <c r="L471" s="154">
        <f t="shared" si="24"/>
        <v>13.59</v>
      </c>
      <c r="M471" s="154">
        <f t="shared" si="25"/>
        <v>40.770000000000003</v>
      </c>
      <c r="N471" s="145"/>
    </row>
    <row r="472" spans="1:14">
      <c r="A472" s="161" t="s">
        <v>626</v>
      </c>
      <c r="B472" s="160" t="s">
        <v>1681</v>
      </c>
      <c r="C472" s="160" t="s">
        <v>2079</v>
      </c>
      <c r="D472" s="161" t="s">
        <v>2080</v>
      </c>
      <c r="E472" s="160" t="s">
        <v>75</v>
      </c>
      <c r="F472" s="161" t="s">
        <v>1602</v>
      </c>
      <c r="G472" s="160" t="s">
        <v>20</v>
      </c>
      <c r="H472" s="103">
        <v>201607</v>
      </c>
      <c r="I472" s="154">
        <v>2336.88</v>
      </c>
      <c r="J472" s="144">
        <f t="shared" si="23"/>
        <v>4</v>
      </c>
      <c r="K472" s="155">
        <v>1.4833299999999999E-3</v>
      </c>
      <c r="L472" s="154">
        <f t="shared" si="24"/>
        <v>13.87</v>
      </c>
      <c r="M472" s="154">
        <f t="shared" si="25"/>
        <v>41.6</v>
      </c>
      <c r="N472" s="145"/>
    </row>
    <row r="473" spans="1:14">
      <c r="A473" s="161" t="s">
        <v>626</v>
      </c>
      <c r="B473" s="160" t="s">
        <v>1989</v>
      </c>
      <c r="C473" s="160" t="s">
        <v>1990</v>
      </c>
      <c r="D473" s="161" t="s">
        <v>1495</v>
      </c>
      <c r="E473" s="160" t="s">
        <v>75</v>
      </c>
      <c r="F473" s="161" t="s">
        <v>1602</v>
      </c>
      <c r="G473" s="160" t="s">
        <v>20</v>
      </c>
      <c r="H473" s="103">
        <v>201607</v>
      </c>
      <c r="I473" s="154">
        <v>2356.33</v>
      </c>
      <c r="J473" s="144">
        <f t="shared" si="23"/>
        <v>4</v>
      </c>
      <c r="K473" s="155">
        <v>1.4833299999999999E-3</v>
      </c>
      <c r="L473" s="154">
        <f t="shared" si="24"/>
        <v>13.98</v>
      </c>
      <c r="M473" s="154">
        <f t="shared" si="25"/>
        <v>41.94</v>
      </c>
      <c r="N473" s="145"/>
    </row>
    <row r="474" spans="1:14">
      <c r="A474" s="161" t="s">
        <v>21</v>
      </c>
      <c r="B474" s="160" t="s">
        <v>1956</v>
      </c>
      <c r="C474" s="160" t="s">
        <v>1957</v>
      </c>
      <c r="D474" s="161" t="s">
        <v>1958</v>
      </c>
      <c r="E474" s="160" t="s">
        <v>75</v>
      </c>
      <c r="F474" s="161" t="s">
        <v>1602</v>
      </c>
      <c r="G474" s="160" t="s">
        <v>20</v>
      </c>
      <c r="H474" s="103">
        <v>201607</v>
      </c>
      <c r="I474" s="154">
        <v>2990.51</v>
      </c>
      <c r="J474" s="144">
        <f t="shared" si="23"/>
        <v>4</v>
      </c>
      <c r="K474" s="155">
        <v>1.4833299999999999E-3</v>
      </c>
      <c r="L474" s="154">
        <f t="shared" si="24"/>
        <v>17.739999999999998</v>
      </c>
      <c r="M474" s="154">
        <f t="shared" si="25"/>
        <v>53.23</v>
      </c>
      <c r="N474" s="145"/>
    </row>
    <row r="475" spans="1:14">
      <c r="A475" s="161" t="s">
        <v>626</v>
      </c>
      <c r="B475" s="160" t="s">
        <v>2045</v>
      </c>
      <c r="C475" s="160" t="s">
        <v>2046</v>
      </c>
      <c r="D475" s="161" t="s">
        <v>2047</v>
      </c>
      <c r="E475" s="160" t="s">
        <v>75</v>
      </c>
      <c r="F475" s="161" t="s">
        <v>1602</v>
      </c>
      <c r="G475" s="160" t="s">
        <v>20</v>
      </c>
      <c r="H475" s="103">
        <v>201607</v>
      </c>
      <c r="I475" s="154">
        <v>3652.72</v>
      </c>
      <c r="J475" s="144">
        <f t="shared" si="23"/>
        <v>4</v>
      </c>
      <c r="K475" s="155">
        <v>1.4833299999999999E-3</v>
      </c>
      <c r="L475" s="154">
        <f t="shared" si="24"/>
        <v>21.67</v>
      </c>
      <c r="M475" s="154">
        <f t="shared" si="25"/>
        <v>65.02</v>
      </c>
      <c r="N475" s="145"/>
    </row>
    <row r="476" spans="1:14">
      <c r="A476" s="161" t="s">
        <v>626</v>
      </c>
      <c r="B476" s="160" t="s">
        <v>1681</v>
      </c>
      <c r="C476" s="160" t="s">
        <v>2109</v>
      </c>
      <c r="D476" s="161" t="s">
        <v>2110</v>
      </c>
      <c r="E476" s="160" t="s">
        <v>75</v>
      </c>
      <c r="F476" s="161" t="s">
        <v>1602</v>
      </c>
      <c r="G476" s="160" t="s">
        <v>20</v>
      </c>
      <c r="H476" s="103">
        <v>201607</v>
      </c>
      <c r="I476" s="154">
        <v>4902.45</v>
      </c>
      <c r="J476" s="144">
        <f t="shared" si="23"/>
        <v>4</v>
      </c>
      <c r="K476" s="155">
        <v>1.4833299999999999E-3</v>
      </c>
      <c r="L476" s="154">
        <f t="shared" si="24"/>
        <v>29.09</v>
      </c>
      <c r="M476" s="154">
        <f t="shared" si="25"/>
        <v>87.26</v>
      </c>
      <c r="N476" s="145"/>
    </row>
    <row r="477" spans="1:14">
      <c r="A477" s="161" t="s">
        <v>133</v>
      </c>
      <c r="B477" s="160" t="s">
        <v>1817</v>
      </c>
      <c r="C477" s="160" t="s">
        <v>1818</v>
      </c>
      <c r="D477" s="161" t="s">
        <v>1819</v>
      </c>
      <c r="E477" s="160" t="s">
        <v>75</v>
      </c>
      <c r="F477" s="161" t="s">
        <v>1602</v>
      </c>
      <c r="G477" s="160" t="s">
        <v>20</v>
      </c>
      <c r="H477" s="103">
        <v>201607</v>
      </c>
      <c r="I477" s="154">
        <v>5409.69</v>
      </c>
      <c r="J477" s="144">
        <f t="shared" si="23"/>
        <v>4</v>
      </c>
      <c r="K477" s="155">
        <v>1.4833299999999999E-3</v>
      </c>
      <c r="L477" s="154">
        <f t="shared" si="24"/>
        <v>32.1</v>
      </c>
      <c r="M477" s="154">
        <f t="shared" si="25"/>
        <v>96.29</v>
      </c>
      <c r="N477" s="145"/>
    </row>
    <row r="478" spans="1:14">
      <c r="A478" s="161" t="s">
        <v>626</v>
      </c>
      <c r="B478" s="160" t="s">
        <v>1981</v>
      </c>
      <c r="C478" s="160" t="s">
        <v>1982</v>
      </c>
      <c r="D478" s="161" t="s">
        <v>1983</v>
      </c>
      <c r="E478" s="160" t="s">
        <v>75</v>
      </c>
      <c r="F478" s="161" t="s">
        <v>1602</v>
      </c>
      <c r="G478" s="160" t="s">
        <v>20</v>
      </c>
      <c r="H478" s="103">
        <v>201607</v>
      </c>
      <c r="I478" s="154">
        <v>7283.77</v>
      </c>
      <c r="J478" s="144">
        <f t="shared" si="23"/>
        <v>4</v>
      </c>
      <c r="K478" s="155">
        <v>1.4833299999999999E-3</v>
      </c>
      <c r="L478" s="154">
        <f t="shared" si="24"/>
        <v>43.22</v>
      </c>
      <c r="M478" s="154">
        <f t="shared" si="25"/>
        <v>129.65</v>
      </c>
      <c r="N478" s="145"/>
    </row>
    <row r="479" spans="1:14">
      <c r="A479" s="161" t="s">
        <v>626</v>
      </c>
      <c r="B479" s="160" t="s">
        <v>1681</v>
      </c>
      <c r="C479" s="160" t="s">
        <v>1999</v>
      </c>
      <c r="D479" s="161" t="s">
        <v>2000</v>
      </c>
      <c r="E479" s="160" t="s">
        <v>75</v>
      </c>
      <c r="F479" s="161" t="s">
        <v>1602</v>
      </c>
      <c r="G479" s="160" t="s">
        <v>20</v>
      </c>
      <c r="H479" s="103">
        <v>201607</v>
      </c>
      <c r="I479" s="154">
        <v>9229.06</v>
      </c>
      <c r="J479" s="144">
        <f t="shared" si="23"/>
        <v>4</v>
      </c>
      <c r="K479" s="155">
        <v>1.4833299999999999E-3</v>
      </c>
      <c r="L479" s="154">
        <f t="shared" si="24"/>
        <v>54.76</v>
      </c>
      <c r="M479" s="154">
        <f t="shared" si="25"/>
        <v>164.28</v>
      </c>
      <c r="N479" s="145"/>
    </row>
    <row r="480" spans="1:14">
      <c r="A480" s="161" t="s">
        <v>626</v>
      </c>
      <c r="B480" s="160" t="s">
        <v>1800</v>
      </c>
      <c r="C480" s="160" t="s">
        <v>1801</v>
      </c>
      <c r="D480" s="161" t="s">
        <v>1802</v>
      </c>
      <c r="E480" s="160" t="s">
        <v>75</v>
      </c>
      <c r="F480" s="161" t="s">
        <v>1602</v>
      </c>
      <c r="G480" s="160" t="s">
        <v>20</v>
      </c>
      <c r="H480" s="103">
        <v>201607</v>
      </c>
      <c r="I480" s="154">
        <v>9710.14</v>
      </c>
      <c r="J480" s="144">
        <f t="shared" si="23"/>
        <v>4</v>
      </c>
      <c r="K480" s="155">
        <v>1.4833299999999999E-3</v>
      </c>
      <c r="L480" s="154">
        <f t="shared" si="24"/>
        <v>57.61</v>
      </c>
      <c r="M480" s="154">
        <f t="shared" si="25"/>
        <v>172.84</v>
      </c>
      <c r="N480" s="145"/>
    </row>
    <row r="481" spans="1:14">
      <c r="A481" s="161" t="s">
        <v>626</v>
      </c>
      <c r="B481" s="160" t="s">
        <v>1681</v>
      </c>
      <c r="C481" s="160" t="s">
        <v>1705</v>
      </c>
      <c r="D481" s="161" t="s">
        <v>1706</v>
      </c>
      <c r="E481" s="160" t="s">
        <v>75</v>
      </c>
      <c r="F481" s="161" t="s">
        <v>1602</v>
      </c>
      <c r="G481" s="160" t="s">
        <v>20</v>
      </c>
      <c r="H481" s="103">
        <v>201607</v>
      </c>
      <c r="I481" s="154">
        <v>9757.41</v>
      </c>
      <c r="J481" s="144">
        <f t="shared" si="23"/>
        <v>4</v>
      </c>
      <c r="K481" s="155">
        <v>1.4833299999999999E-3</v>
      </c>
      <c r="L481" s="154">
        <f t="shared" si="24"/>
        <v>57.89</v>
      </c>
      <c r="M481" s="154">
        <f t="shared" si="25"/>
        <v>173.68</v>
      </c>
      <c r="N481" s="145"/>
    </row>
    <row r="482" spans="1:14">
      <c r="A482" s="161" t="s">
        <v>626</v>
      </c>
      <c r="B482" s="160" t="s">
        <v>1681</v>
      </c>
      <c r="C482" s="160" t="s">
        <v>2081</v>
      </c>
      <c r="D482" s="161" t="s">
        <v>2082</v>
      </c>
      <c r="E482" s="160" t="s">
        <v>75</v>
      </c>
      <c r="F482" s="161" t="s">
        <v>1602</v>
      </c>
      <c r="G482" s="160" t="s">
        <v>20</v>
      </c>
      <c r="H482" s="103">
        <v>201607</v>
      </c>
      <c r="I482" s="154">
        <v>16648.689999999999</v>
      </c>
      <c r="J482" s="144">
        <f t="shared" si="23"/>
        <v>4</v>
      </c>
      <c r="K482" s="155">
        <v>1.4833299999999999E-3</v>
      </c>
      <c r="L482" s="154">
        <f t="shared" si="24"/>
        <v>98.78</v>
      </c>
      <c r="M482" s="154">
        <f t="shared" si="25"/>
        <v>296.35000000000002</v>
      </c>
      <c r="N482" s="145"/>
    </row>
    <row r="483" spans="1:14">
      <c r="A483" s="161" t="s">
        <v>626</v>
      </c>
      <c r="B483" s="160" t="s">
        <v>1978</v>
      </c>
      <c r="C483" s="160" t="s">
        <v>1979</v>
      </c>
      <c r="D483" s="161" t="s">
        <v>1980</v>
      </c>
      <c r="E483" s="160" t="s">
        <v>75</v>
      </c>
      <c r="F483" s="161" t="s">
        <v>1602</v>
      </c>
      <c r="G483" s="160" t="s">
        <v>20</v>
      </c>
      <c r="H483" s="103">
        <v>201607</v>
      </c>
      <c r="I483" s="154">
        <v>19870.400000000001</v>
      </c>
      <c r="J483" s="144">
        <f t="shared" si="23"/>
        <v>4</v>
      </c>
      <c r="K483" s="155">
        <v>1.4833299999999999E-3</v>
      </c>
      <c r="L483" s="154">
        <f t="shared" si="24"/>
        <v>117.9</v>
      </c>
      <c r="M483" s="154">
        <f t="shared" si="25"/>
        <v>353.69</v>
      </c>
      <c r="N483" s="145"/>
    </row>
    <row r="484" spans="1:14">
      <c r="A484" s="161" t="s">
        <v>626</v>
      </c>
      <c r="B484" s="160" t="s">
        <v>1681</v>
      </c>
      <c r="C484" s="160" t="s">
        <v>2105</v>
      </c>
      <c r="D484" s="161" t="s">
        <v>2106</v>
      </c>
      <c r="E484" s="160" t="s">
        <v>75</v>
      </c>
      <c r="F484" s="161" t="s">
        <v>1602</v>
      </c>
      <c r="G484" s="160" t="s">
        <v>20</v>
      </c>
      <c r="H484" s="103">
        <v>201607</v>
      </c>
      <c r="I484" s="154">
        <v>32571.17</v>
      </c>
      <c r="J484" s="144">
        <f t="shared" si="23"/>
        <v>4</v>
      </c>
      <c r="K484" s="155">
        <v>1.4833299999999999E-3</v>
      </c>
      <c r="L484" s="154">
        <f t="shared" si="24"/>
        <v>193.26</v>
      </c>
      <c r="M484" s="154">
        <f t="shared" si="25"/>
        <v>579.77</v>
      </c>
      <c r="N484" s="145"/>
    </row>
    <row r="485" spans="1:14">
      <c r="A485" s="161" t="s">
        <v>626</v>
      </c>
      <c r="B485" s="160" t="s">
        <v>2115</v>
      </c>
      <c r="C485" s="160" t="s">
        <v>2116</v>
      </c>
      <c r="D485" s="161" t="s">
        <v>1338</v>
      </c>
      <c r="E485" s="160" t="s">
        <v>75</v>
      </c>
      <c r="F485" s="161" t="s">
        <v>1602</v>
      </c>
      <c r="G485" s="160" t="s">
        <v>20</v>
      </c>
      <c r="H485" s="103">
        <v>201607</v>
      </c>
      <c r="I485" s="154">
        <v>109674.19</v>
      </c>
      <c r="J485" s="144">
        <f t="shared" si="23"/>
        <v>4</v>
      </c>
      <c r="K485" s="155">
        <v>1.4833299999999999E-3</v>
      </c>
      <c r="L485" s="154">
        <f t="shared" si="24"/>
        <v>650.73</v>
      </c>
      <c r="M485" s="154">
        <f t="shared" si="25"/>
        <v>1952.2</v>
      </c>
      <c r="N485" s="145"/>
    </row>
    <row r="486" spans="1:14">
      <c r="A486" s="161" t="s">
        <v>626</v>
      </c>
      <c r="B486" s="160" t="s">
        <v>2117</v>
      </c>
      <c r="C486" s="160" t="s">
        <v>2118</v>
      </c>
      <c r="D486" s="161" t="s">
        <v>2119</v>
      </c>
      <c r="E486" s="160" t="s">
        <v>75</v>
      </c>
      <c r="F486" s="161" t="s">
        <v>1602</v>
      </c>
      <c r="G486" s="160" t="s">
        <v>20</v>
      </c>
      <c r="H486" s="103">
        <v>201607</v>
      </c>
      <c r="I486" s="154">
        <v>127639.27</v>
      </c>
      <c r="J486" s="144">
        <f t="shared" si="23"/>
        <v>4</v>
      </c>
      <c r="K486" s="155">
        <v>1.4833299999999999E-3</v>
      </c>
      <c r="L486" s="154">
        <f t="shared" si="24"/>
        <v>757.32</v>
      </c>
      <c r="M486" s="154">
        <f t="shared" si="25"/>
        <v>2271.9699999999998</v>
      </c>
      <c r="N486" s="145"/>
    </row>
    <row r="487" spans="1:14">
      <c r="A487" s="145" t="s">
        <v>626</v>
      </c>
      <c r="B487" s="146" t="s">
        <v>1250</v>
      </c>
      <c r="C487" s="146" t="s">
        <v>1251</v>
      </c>
      <c r="D487" s="145" t="s">
        <v>1252</v>
      </c>
      <c r="E487" s="146" t="s">
        <v>260</v>
      </c>
      <c r="F487" s="145" t="s">
        <v>1608</v>
      </c>
      <c r="G487" s="146" t="s">
        <v>20</v>
      </c>
      <c r="H487" s="146">
        <v>201603</v>
      </c>
      <c r="I487" s="147">
        <v>-23.95</v>
      </c>
      <c r="J487" s="144">
        <f t="shared" si="23"/>
        <v>8</v>
      </c>
      <c r="K487" s="148">
        <v>1.4833299999999999E-3</v>
      </c>
      <c r="L487" s="147">
        <f t="shared" si="24"/>
        <v>-0.28000000000000003</v>
      </c>
      <c r="M487" s="147">
        <f t="shared" si="25"/>
        <v>-0.43</v>
      </c>
      <c r="N487" s="145"/>
    </row>
    <row r="488" spans="1:14">
      <c r="A488" s="145" t="s">
        <v>626</v>
      </c>
      <c r="B488" s="146" t="s">
        <v>1823</v>
      </c>
      <c r="C488" s="146" t="s">
        <v>1824</v>
      </c>
      <c r="D488" s="145" t="s">
        <v>1825</v>
      </c>
      <c r="E488" s="146" t="s">
        <v>260</v>
      </c>
      <c r="F488" s="145" t="s">
        <v>1608</v>
      </c>
      <c r="G488" s="146" t="s">
        <v>20</v>
      </c>
      <c r="H488" s="146">
        <v>201603</v>
      </c>
      <c r="I488" s="147">
        <v>-32.840000000000003</v>
      </c>
      <c r="J488" s="144">
        <f t="shared" si="23"/>
        <v>8</v>
      </c>
      <c r="K488" s="148">
        <v>1.4833299999999999E-3</v>
      </c>
      <c r="L488" s="147">
        <f t="shared" si="24"/>
        <v>-0.39</v>
      </c>
      <c r="M488" s="147">
        <f t="shared" si="25"/>
        <v>-0.57999999999999996</v>
      </c>
      <c r="N488" s="145"/>
    </row>
    <row r="489" spans="1:14">
      <c r="A489" s="145" t="s">
        <v>626</v>
      </c>
      <c r="B489" s="146" t="s">
        <v>1420</v>
      </c>
      <c r="C489" s="146" t="s">
        <v>1421</v>
      </c>
      <c r="D489" s="145" t="s">
        <v>1422</v>
      </c>
      <c r="E489" s="146" t="s">
        <v>260</v>
      </c>
      <c r="F489" s="145" t="s">
        <v>1608</v>
      </c>
      <c r="G489" s="146" t="s">
        <v>20</v>
      </c>
      <c r="H489" s="146">
        <v>201603</v>
      </c>
      <c r="I489" s="147">
        <v>-0.32</v>
      </c>
      <c r="J489" s="144">
        <f t="shared" si="23"/>
        <v>8</v>
      </c>
      <c r="K489" s="148">
        <v>1.4833299999999999E-3</v>
      </c>
      <c r="L489" s="147">
        <f t="shared" si="24"/>
        <v>0</v>
      </c>
      <c r="M489" s="147">
        <f t="shared" si="25"/>
        <v>-0.01</v>
      </c>
      <c r="N489" s="145"/>
    </row>
    <row r="490" spans="1:14">
      <c r="A490" s="145" t="s">
        <v>21</v>
      </c>
      <c r="B490" s="146" t="s">
        <v>1420</v>
      </c>
      <c r="C490" s="146" t="s">
        <v>1421</v>
      </c>
      <c r="D490" s="145" t="s">
        <v>1422</v>
      </c>
      <c r="E490" s="146" t="s">
        <v>260</v>
      </c>
      <c r="F490" s="145" t="s">
        <v>1608</v>
      </c>
      <c r="G490" s="146" t="s">
        <v>20</v>
      </c>
      <c r="H490" s="146">
        <v>201603</v>
      </c>
      <c r="I490" s="147">
        <v>-7.0000000000000007E-2</v>
      </c>
      <c r="J490" s="144">
        <f t="shared" si="23"/>
        <v>8</v>
      </c>
      <c r="K490" s="148">
        <v>1.4833299999999999E-3</v>
      </c>
      <c r="L490" s="147">
        <f t="shared" si="24"/>
        <v>0</v>
      </c>
      <c r="M490" s="147">
        <f t="shared" si="25"/>
        <v>0</v>
      </c>
      <c r="N490" s="145"/>
    </row>
    <row r="491" spans="1:14">
      <c r="A491" s="145" t="s">
        <v>626</v>
      </c>
      <c r="B491" s="146" t="s">
        <v>1268</v>
      </c>
      <c r="C491" s="146" t="s">
        <v>1269</v>
      </c>
      <c r="D491" s="145" t="s">
        <v>1270</v>
      </c>
      <c r="E491" s="146" t="s">
        <v>260</v>
      </c>
      <c r="F491" s="145" t="s">
        <v>1608</v>
      </c>
      <c r="G491" s="146" t="s">
        <v>20</v>
      </c>
      <c r="H491" s="146">
        <v>201603</v>
      </c>
      <c r="I491" s="147">
        <v>-15.01</v>
      </c>
      <c r="J491" s="144">
        <f t="shared" si="23"/>
        <v>8</v>
      </c>
      <c r="K491" s="148">
        <v>1.4833299999999999E-3</v>
      </c>
      <c r="L491" s="147">
        <f t="shared" si="24"/>
        <v>-0.18</v>
      </c>
      <c r="M491" s="147">
        <f t="shared" si="25"/>
        <v>-0.27</v>
      </c>
      <c r="N491" s="145"/>
    </row>
    <row r="492" spans="1:14">
      <c r="A492" s="145" t="s">
        <v>626</v>
      </c>
      <c r="B492" s="146" t="s">
        <v>1511</v>
      </c>
      <c r="C492" s="146" t="s">
        <v>1512</v>
      </c>
      <c r="D492" s="145" t="s">
        <v>1513</v>
      </c>
      <c r="E492" s="146" t="s">
        <v>260</v>
      </c>
      <c r="F492" s="145" t="s">
        <v>1608</v>
      </c>
      <c r="G492" s="146" t="s">
        <v>20</v>
      </c>
      <c r="H492" s="146">
        <v>201603</v>
      </c>
      <c r="I492" s="147">
        <v>-1.08</v>
      </c>
      <c r="J492" s="144">
        <f t="shared" si="23"/>
        <v>8</v>
      </c>
      <c r="K492" s="148">
        <v>1.4833299999999999E-3</v>
      </c>
      <c r="L492" s="147">
        <f t="shared" si="24"/>
        <v>-0.01</v>
      </c>
      <c r="M492" s="147">
        <f t="shared" si="25"/>
        <v>-0.02</v>
      </c>
      <c r="N492" s="145"/>
    </row>
    <row r="493" spans="1:14">
      <c r="A493" s="145" t="s">
        <v>626</v>
      </c>
      <c r="B493" s="146" t="s">
        <v>1838</v>
      </c>
      <c r="C493" s="146" t="s">
        <v>1839</v>
      </c>
      <c r="D493" s="145" t="s">
        <v>1840</v>
      </c>
      <c r="E493" s="146" t="s">
        <v>260</v>
      </c>
      <c r="F493" s="145" t="s">
        <v>1608</v>
      </c>
      <c r="G493" s="146" t="s">
        <v>20</v>
      </c>
      <c r="H493" s="146">
        <v>201603</v>
      </c>
      <c r="I493" s="147">
        <v>-2759.31</v>
      </c>
      <c r="J493" s="144">
        <f t="shared" si="23"/>
        <v>8</v>
      </c>
      <c r="K493" s="148">
        <v>1.4833299999999999E-3</v>
      </c>
      <c r="L493" s="147">
        <f t="shared" si="24"/>
        <v>-32.74</v>
      </c>
      <c r="M493" s="147">
        <f t="shared" si="25"/>
        <v>-49.12</v>
      </c>
      <c r="N493" s="145"/>
    </row>
    <row r="494" spans="1:14">
      <c r="A494" s="145" t="s">
        <v>626</v>
      </c>
      <c r="B494" s="146" t="s">
        <v>1850</v>
      </c>
      <c r="C494" s="146" t="s">
        <v>1851</v>
      </c>
      <c r="D494" s="145" t="s">
        <v>1852</v>
      </c>
      <c r="E494" s="146" t="s">
        <v>260</v>
      </c>
      <c r="F494" s="145" t="s">
        <v>1608</v>
      </c>
      <c r="G494" s="146" t="s">
        <v>20</v>
      </c>
      <c r="H494" s="146">
        <v>201603</v>
      </c>
      <c r="I494" s="147">
        <v>-1392.06</v>
      </c>
      <c r="J494" s="144">
        <f t="shared" si="23"/>
        <v>8</v>
      </c>
      <c r="K494" s="148">
        <v>1.4833299999999999E-3</v>
      </c>
      <c r="L494" s="147">
        <f t="shared" si="24"/>
        <v>-16.52</v>
      </c>
      <c r="M494" s="147">
        <f t="shared" si="25"/>
        <v>-24.78</v>
      </c>
      <c r="N494" s="145"/>
    </row>
    <row r="495" spans="1:14">
      <c r="A495" s="145" t="s">
        <v>626</v>
      </c>
      <c r="B495" s="146" t="s">
        <v>1681</v>
      </c>
      <c r="C495" s="146" t="s">
        <v>1853</v>
      </c>
      <c r="D495" s="145" t="s">
        <v>1854</v>
      </c>
      <c r="E495" s="146" t="s">
        <v>260</v>
      </c>
      <c r="F495" s="145" t="s">
        <v>1608</v>
      </c>
      <c r="G495" s="146" t="s">
        <v>20</v>
      </c>
      <c r="H495" s="146">
        <v>201603</v>
      </c>
      <c r="I495" s="147">
        <v>-506.32</v>
      </c>
      <c r="J495" s="144">
        <f t="shared" si="23"/>
        <v>8</v>
      </c>
      <c r="K495" s="148">
        <v>1.4833299999999999E-3</v>
      </c>
      <c r="L495" s="147">
        <f t="shared" si="24"/>
        <v>-6.01</v>
      </c>
      <c r="M495" s="147">
        <f t="shared" si="25"/>
        <v>-9.01</v>
      </c>
      <c r="N495" s="145"/>
    </row>
    <row r="496" spans="1:14">
      <c r="A496" s="145" t="s">
        <v>626</v>
      </c>
      <c r="B496" s="146" t="s">
        <v>1681</v>
      </c>
      <c r="C496" s="146" t="s">
        <v>2007</v>
      </c>
      <c r="D496" s="145" t="s">
        <v>2008</v>
      </c>
      <c r="E496" s="146" t="s">
        <v>260</v>
      </c>
      <c r="F496" s="145" t="s">
        <v>1608</v>
      </c>
      <c r="G496" s="146" t="s">
        <v>20</v>
      </c>
      <c r="H496" s="146">
        <v>201603</v>
      </c>
      <c r="I496" s="147">
        <v>-922.23</v>
      </c>
      <c r="J496" s="144">
        <f t="shared" si="23"/>
        <v>8</v>
      </c>
      <c r="K496" s="148">
        <v>1.4833299999999999E-3</v>
      </c>
      <c r="L496" s="147">
        <f t="shared" si="24"/>
        <v>-10.94</v>
      </c>
      <c r="M496" s="147">
        <f t="shared" si="25"/>
        <v>-16.420000000000002</v>
      </c>
      <c r="N496" s="145"/>
    </row>
    <row r="497" spans="1:14">
      <c r="A497" s="145" t="s">
        <v>14</v>
      </c>
      <c r="B497" s="146" t="s">
        <v>1681</v>
      </c>
      <c r="C497" s="146" t="s">
        <v>2009</v>
      </c>
      <c r="D497" s="145" t="s">
        <v>2010</v>
      </c>
      <c r="E497" s="146" t="s">
        <v>260</v>
      </c>
      <c r="F497" s="145" t="s">
        <v>1608</v>
      </c>
      <c r="G497" s="146" t="s">
        <v>20</v>
      </c>
      <c r="H497" s="146">
        <v>201603</v>
      </c>
      <c r="I497" s="147">
        <v>695.81</v>
      </c>
      <c r="J497" s="144">
        <f t="shared" si="23"/>
        <v>8</v>
      </c>
      <c r="K497" s="148">
        <v>2.23333E-3</v>
      </c>
      <c r="L497" s="147">
        <f t="shared" si="24"/>
        <v>12.43</v>
      </c>
      <c r="M497" s="147">
        <f t="shared" si="25"/>
        <v>18.649999999999999</v>
      </c>
      <c r="N497" s="145"/>
    </row>
    <row r="498" spans="1:14">
      <c r="A498" s="145" t="s">
        <v>626</v>
      </c>
      <c r="B498" s="146" t="s">
        <v>1681</v>
      </c>
      <c r="C498" s="146" t="s">
        <v>2009</v>
      </c>
      <c r="D498" s="145" t="s">
        <v>2010</v>
      </c>
      <c r="E498" s="146" t="s">
        <v>260</v>
      </c>
      <c r="F498" s="145" t="s">
        <v>1608</v>
      </c>
      <c r="G498" s="146" t="s">
        <v>20</v>
      </c>
      <c r="H498" s="146">
        <v>201603</v>
      </c>
      <c r="I498" s="147">
        <v>36887.22</v>
      </c>
      <c r="J498" s="144">
        <f t="shared" si="23"/>
        <v>8</v>
      </c>
      <c r="K498" s="148">
        <v>1.4833299999999999E-3</v>
      </c>
      <c r="L498" s="147">
        <f t="shared" si="24"/>
        <v>437.73</v>
      </c>
      <c r="M498" s="147">
        <f t="shared" si="25"/>
        <v>656.59</v>
      </c>
      <c r="N498" s="145"/>
    </row>
    <row r="499" spans="1:14">
      <c r="A499" s="145" t="s">
        <v>14</v>
      </c>
      <c r="B499" s="146" t="s">
        <v>1681</v>
      </c>
      <c r="C499" s="146" t="s">
        <v>2011</v>
      </c>
      <c r="D499" s="145" t="s">
        <v>2012</v>
      </c>
      <c r="E499" s="146" t="s">
        <v>260</v>
      </c>
      <c r="F499" s="145" t="s">
        <v>1608</v>
      </c>
      <c r="G499" s="146" t="s">
        <v>20</v>
      </c>
      <c r="H499" s="146">
        <v>201603</v>
      </c>
      <c r="I499" s="147">
        <v>1500.43</v>
      </c>
      <c r="J499" s="144">
        <f t="shared" si="23"/>
        <v>8</v>
      </c>
      <c r="K499" s="148">
        <v>2.23333E-3</v>
      </c>
      <c r="L499" s="147">
        <f t="shared" si="24"/>
        <v>26.81</v>
      </c>
      <c r="M499" s="147">
        <f t="shared" si="25"/>
        <v>40.21</v>
      </c>
      <c r="N499" s="145"/>
    </row>
    <row r="500" spans="1:14">
      <c r="A500" s="145" t="s">
        <v>626</v>
      </c>
      <c r="B500" s="146" t="s">
        <v>1681</v>
      </c>
      <c r="C500" s="146" t="s">
        <v>2011</v>
      </c>
      <c r="D500" s="145" t="s">
        <v>2012</v>
      </c>
      <c r="E500" s="146" t="s">
        <v>260</v>
      </c>
      <c r="F500" s="145" t="s">
        <v>1608</v>
      </c>
      <c r="G500" s="146" t="s">
        <v>20</v>
      </c>
      <c r="H500" s="146">
        <v>201603</v>
      </c>
      <c r="I500" s="147">
        <v>67096.899999999994</v>
      </c>
      <c r="J500" s="144">
        <f t="shared" si="23"/>
        <v>8</v>
      </c>
      <c r="K500" s="148">
        <v>1.4833299999999999E-3</v>
      </c>
      <c r="L500" s="147">
        <f t="shared" si="24"/>
        <v>796.21</v>
      </c>
      <c r="M500" s="147">
        <f t="shared" si="25"/>
        <v>1194.32</v>
      </c>
      <c r="N500" s="145"/>
    </row>
    <row r="501" spans="1:14">
      <c r="A501" s="145" t="s">
        <v>626</v>
      </c>
      <c r="B501" s="146" t="s">
        <v>1250</v>
      </c>
      <c r="C501" s="146" t="s">
        <v>1251</v>
      </c>
      <c r="D501" s="145" t="s">
        <v>1252</v>
      </c>
      <c r="E501" s="146" t="s">
        <v>260</v>
      </c>
      <c r="F501" s="145" t="s">
        <v>1608</v>
      </c>
      <c r="G501" s="146" t="s">
        <v>20</v>
      </c>
      <c r="H501" s="146">
        <v>201604</v>
      </c>
      <c r="I501" s="147">
        <v>284.12</v>
      </c>
      <c r="J501" s="144">
        <f t="shared" si="23"/>
        <v>7</v>
      </c>
      <c r="K501" s="148">
        <v>1.4833299999999999E-3</v>
      </c>
      <c r="L501" s="147">
        <f t="shared" si="24"/>
        <v>2.95</v>
      </c>
      <c r="M501" s="147">
        <f t="shared" si="25"/>
        <v>5.0599999999999996</v>
      </c>
      <c r="N501" s="145"/>
    </row>
    <row r="502" spans="1:14">
      <c r="A502" s="145" t="s">
        <v>626</v>
      </c>
      <c r="B502" s="146" t="s">
        <v>1823</v>
      </c>
      <c r="C502" s="146" t="s">
        <v>1824</v>
      </c>
      <c r="D502" s="145" t="s">
        <v>1825</v>
      </c>
      <c r="E502" s="146" t="s">
        <v>260</v>
      </c>
      <c r="F502" s="145" t="s">
        <v>1608</v>
      </c>
      <c r="G502" s="146" t="s">
        <v>20</v>
      </c>
      <c r="H502" s="146">
        <v>201604</v>
      </c>
      <c r="I502" s="147">
        <v>-33739.65</v>
      </c>
      <c r="J502" s="144">
        <f t="shared" si="23"/>
        <v>7</v>
      </c>
      <c r="K502" s="148">
        <v>1.4833299999999999E-3</v>
      </c>
      <c r="L502" s="147">
        <f t="shared" si="24"/>
        <v>-350.33</v>
      </c>
      <c r="M502" s="147">
        <f t="shared" si="25"/>
        <v>-600.55999999999995</v>
      </c>
      <c r="N502" s="145"/>
    </row>
    <row r="503" spans="1:14">
      <c r="A503" s="145" t="s">
        <v>21</v>
      </c>
      <c r="B503" s="146" t="s">
        <v>1823</v>
      </c>
      <c r="C503" s="146" t="s">
        <v>1824</v>
      </c>
      <c r="D503" s="145" t="s">
        <v>1825</v>
      </c>
      <c r="E503" s="146" t="s">
        <v>260</v>
      </c>
      <c r="F503" s="145" t="s">
        <v>1608</v>
      </c>
      <c r="G503" s="146" t="s">
        <v>20</v>
      </c>
      <c r="H503" s="146">
        <v>201604</v>
      </c>
      <c r="I503" s="147">
        <v>34251.43</v>
      </c>
      <c r="J503" s="144">
        <f t="shared" si="23"/>
        <v>7</v>
      </c>
      <c r="K503" s="148">
        <v>1.4833299999999999E-3</v>
      </c>
      <c r="L503" s="147">
        <f t="shared" si="24"/>
        <v>355.64</v>
      </c>
      <c r="M503" s="147">
        <f t="shared" si="25"/>
        <v>609.66999999999996</v>
      </c>
      <c r="N503" s="145"/>
    </row>
    <row r="504" spans="1:14">
      <c r="A504" s="145" t="s">
        <v>21</v>
      </c>
      <c r="B504" s="146" t="s">
        <v>1420</v>
      </c>
      <c r="C504" s="146" t="s">
        <v>1421</v>
      </c>
      <c r="D504" s="145" t="s">
        <v>1422</v>
      </c>
      <c r="E504" s="146" t="s">
        <v>260</v>
      </c>
      <c r="F504" s="145" t="s">
        <v>1608</v>
      </c>
      <c r="G504" s="146" t="s">
        <v>20</v>
      </c>
      <c r="H504" s="146">
        <v>201604</v>
      </c>
      <c r="I504" s="147">
        <v>12.89</v>
      </c>
      <c r="J504" s="144">
        <f t="shared" si="23"/>
        <v>7</v>
      </c>
      <c r="K504" s="148">
        <v>1.4833299999999999E-3</v>
      </c>
      <c r="L504" s="147">
        <f t="shared" si="24"/>
        <v>0.13</v>
      </c>
      <c r="M504" s="147">
        <f t="shared" si="25"/>
        <v>0.23</v>
      </c>
      <c r="N504" s="145"/>
    </row>
    <row r="505" spans="1:14">
      <c r="A505" s="145" t="s">
        <v>626</v>
      </c>
      <c r="B505" s="146" t="s">
        <v>1420</v>
      </c>
      <c r="C505" s="146" t="s">
        <v>1421</v>
      </c>
      <c r="D505" s="145" t="s">
        <v>1422</v>
      </c>
      <c r="E505" s="146" t="s">
        <v>260</v>
      </c>
      <c r="F505" s="145" t="s">
        <v>1608</v>
      </c>
      <c r="G505" s="146" t="s">
        <v>20</v>
      </c>
      <c r="H505" s="146">
        <v>201604</v>
      </c>
      <c r="I505" s="147">
        <v>50.22</v>
      </c>
      <c r="J505" s="144">
        <f t="shared" si="23"/>
        <v>7</v>
      </c>
      <c r="K505" s="148">
        <v>1.4833299999999999E-3</v>
      </c>
      <c r="L505" s="147">
        <f t="shared" si="24"/>
        <v>0.52</v>
      </c>
      <c r="M505" s="147">
        <f t="shared" si="25"/>
        <v>0.89</v>
      </c>
      <c r="N505" s="145"/>
    </row>
    <row r="506" spans="1:14">
      <c r="A506" s="145" t="s">
        <v>626</v>
      </c>
      <c r="B506" s="146" t="s">
        <v>1268</v>
      </c>
      <c r="C506" s="146" t="s">
        <v>1269</v>
      </c>
      <c r="D506" s="145" t="s">
        <v>1270</v>
      </c>
      <c r="E506" s="146" t="s">
        <v>260</v>
      </c>
      <c r="F506" s="145" t="s">
        <v>1608</v>
      </c>
      <c r="G506" s="146" t="s">
        <v>20</v>
      </c>
      <c r="H506" s="146">
        <v>201604</v>
      </c>
      <c r="I506" s="147">
        <v>-0.31</v>
      </c>
      <c r="J506" s="144">
        <f t="shared" si="23"/>
        <v>7</v>
      </c>
      <c r="K506" s="148">
        <v>1.4833299999999999E-3</v>
      </c>
      <c r="L506" s="147">
        <f t="shared" si="24"/>
        <v>0</v>
      </c>
      <c r="M506" s="147">
        <f t="shared" si="25"/>
        <v>-0.01</v>
      </c>
      <c r="N506" s="145"/>
    </row>
    <row r="507" spans="1:14">
      <c r="A507" s="145" t="s">
        <v>626</v>
      </c>
      <c r="B507" s="146" t="s">
        <v>1511</v>
      </c>
      <c r="C507" s="146" t="s">
        <v>1512</v>
      </c>
      <c r="D507" s="145" t="s">
        <v>1513</v>
      </c>
      <c r="E507" s="146" t="s">
        <v>260</v>
      </c>
      <c r="F507" s="145" t="s">
        <v>1608</v>
      </c>
      <c r="G507" s="146" t="s">
        <v>20</v>
      </c>
      <c r="H507" s="146">
        <v>201604</v>
      </c>
      <c r="I507" s="147">
        <v>15.96</v>
      </c>
      <c r="J507" s="144">
        <f t="shared" ref="J507:J574" si="26">HLOOKUP(H507,$Q$2:$Z$3,2)</f>
        <v>7</v>
      </c>
      <c r="K507" s="148">
        <v>1.4833299999999999E-3</v>
      </c>
      <c r="L507" s="147">
        <f t="shared" ref="L507:L570" si="27">ROUND(I507*J507*K507,2)</f>
        <v>0.17</v>
      </c>
      <c r="M507" s="147">
        <f t="shared" ref="M507:M574" si="28">ROUND(I507*K507*12,2)</f>
        <v>0.28000000000000003</v>
      </c>
      <c r="N507" s="145"/>
    </row>
    <row r="508" spans="1:14">
      <c r="A508" s="145" t="s">
        <v>626</v>
      </c>
      <c r="B508" s="146" t="s">
        <v>1838</v>
      </c>
      <c r="C508" s="146" t="s">
        <v>1839</v>
      </c>
      <c r="D508" s="145" t="s">
        <v>1840</v>
      </c>
      <c r="E508" s="146" t="s">
        <v>260</v>
      </c>
      <c r="F508" s="145" t="s">
        <v>1608</v>
      </c>
      <c r="G508" s="146" t="s">
        <v>20</v>
      </c>
      <c r="H508" s="146">
        <v>201604</v>
      </c>
      <c r="I508" s="147">
        <v>8794.4699999999993</v>
      </c>
      <c r="J508" s="144">
        <f t="shared" si="26"/>
        <v>7</v>
      </c>
      <c r="K508" s="148">
        <v>1.4833299999999999E-3</v>
      </c>
      <c r="L508" s="147">
        <f t="shared" si="27"/>
        <v>91.32</v>
      </c>
      <c r="M508" s="147">
        <f t="shared" si="28"/>
        <v>156.54</v>
      </c>
      <c r="N508" s="145"/>
    </row>
    <row r="509" spans="1:14">
      <c r="A509" s="145" t="s">
        <v>626</v>
      </c>
      <c r="B509" s="146" t="s">
        <v>1850</v>
      </c>
      <c r="C509" s="146" t="s">
        <v>1851</v>
      </c>
      <c r="D509" s="145" t="s">
        <v>1852</v>
      </c>
      <c r="E509" s="146" t="s">
        <v>260</v>
      </c>
      <c r="F509" s="145" t="s">
        <v>1608</v>
      </c>
      <c r="G509" s="146" t="s">
        <v>20</v>
      </c>
      <c r="H509" s="146">
        <v>201604</v>
      </c>
      <c r="I509" s="147">
        <v>5153.46</v>
      </c>
      <c r="J509" s="144">
        <f t="shared" si="26"/>
        <v>7</v>
      </c>
      <c r="K509" s="148">
        <v>1.4833299999999999E-3</v>
      </c>
      <c r="L509" s="147">
        <f t="shared" si="27"/>
        <v>53.51</v>
      </c>
      <c r="M509" s="147">
        <f t="shared" si="28"/>
        <v>91.73</v>
      </c>
      <c r="N509" s="145"/>
    </row>
    <row r="510" spans="1:14">
      <c r="A510" s="145" t="s">
        <v>626</v>
      </c>
      <c r="B510" s="146" t="s">
        <v>1681</v>
      </c>
      <c r="C510" s="146" t="s">
        <v>1853</v>
      </c>
      <c r="D510" s="145" t="s">
        <v>1854</v>
      </c>
      <c r="E510" s="146" t="s">
        <v>260</v>
      </c>
      <c r="F510" s="145" t="s">
        <v>1608</v>
      </c>
      <c r="G510" s="146" t="s">
        <v>20</v>
      </c>
      <c r="H510" s="146">
        <v>201604</v>
      </c>
      <c r="I510" s="147">
        <v>491.39</v>
      </c>
      <c r="J510" s="144">
        <f t="shared" si="26"/>
        <v>7</v>
      </c>
      <c r="K510" s="148">
        <v>1.4833299999999999E-3</v>
      </c>
      <c r="L510" s="147">
        <f t="shared" si="27"/>
        <v>5.0999999999999996</v>
      </c>
      <c r="M510" s="147">
        <f t="shared" si="28"/>
        <v>8.75</v>
      </c>
      <c r="N510" s="145"/>
    </row>
    <row r="511" spans="1:14">
      <c r="A511" s="145" t="s">
        <v>626</v>
      </c>
      <c r="B511" s="146" t="s">
        <v>1681</v>
      </c>
      <c r="C511" s="146" t="s">
        <v>2007</v>
      </c>
      <c r="D511" s="145" t="s">
        <v>2008</v>
      </c>
      <c r="E511" s="146" t="s">
        <v>260</v>
      </c>
      <c r="F511" s="145" t="s">
        <v>1608</v>
      </c>
      <c r="G511" s="146" t="s">
        <v>20</v>
      </c>
      <c r="H511" s="146">
        <v>201604</v>
      </c>
      <c r="I511" s="147">
        <v>2746.88</v>
      </c>
      <c r="J511" s="144">
        <f t="shared" si="26"/>
        <v>7</v>
      </c>
      <c r="K511" s="148">
        <v>1.4833299999999999E-3</v>
      </c>
      <c r="L511" s="147">
        <f t="shared" si="27"/>
        <v>28.52</v>
      </c>
      <c r="M511" s="147">
        <f t="shared" si="28"/>
        <v>48.89</v>
      </c>
      <c r="N511" s="145"/>
    </row>
    <row r="512" spans="1:14">
      <c r="A512" s="145" t="s">
        <v>14</v>
      </c>
      <c r="B512" s="146" t="s">
        <v>1681</v>
      </c>
      <c r="C512" s="146" t="s">
        <v>2009</v>
      </c>
      <c r="D512" s="145" t="s">
        <v>2010</v>
      </c>
      <c r="E512" s="146" t="s">
        <v>260</v>
      </c>
      <c r="F512" s="145" t="s">
        <v>1608</v>
      </c>
      <c r="G512" s="146" t="s">
        <v>20</v>
      </c>
      <c r="H512" s="146">
        <v>201604</v>
      </c>
      <c r="I512" s="147">
        <v>1341.98</v>
      </c>
      <c r="J512" s="144">
        <f t="shared" si="26"/>
        <v>7</v>
      </c>
      <c r="K512" s="148">
        <v>2.23333E-3</v>
      </c>
      <c r="L512" s="147">
        <f t="shared" si="27"/>
        <v>20.98</v>
      </c>
      <c r="M512" s="147">
        <f t="shared" si="28"/>
        <v>35.97</v>
      </c>
      <c r="N512" s="145"/>
    </row>
    <row r="513" spans="1:14">
      <c r="A513" s="145" t="s">
        <v>626</v>
      </c>
      <c r="B513" s="146" t="s">
        <v>1681</v>
      </c>
      <c r="C513" s="146" t="s">
        <v>2009</v>
      </c>
      <c r="D513" s="145" t="s">
        <v>2010</v>
      </c>
      <c r="E513" s="146" t="s">
        <v>260</v>
      </c>
      <c r="F513" s="145" t="s">
        <v>1608</v>
      </c>
      <c r="G513" s="146" t="s">
        <v>20</v>
      </c>
      <c r="H513" s="146">
        <v>201604</v>
      </c>
      <c r="I513" s="147">
        <v>71143.92</v>
      </c>
      <c r="J513" s="144">
        <f t="shared" si="26"/>
        <v>7</v>
      </c>
      <c r="K513" s="148">
        <v>1.4833299999999999E-3</v>
      </c>
      <c r="L513" s="147">
        <f t="shared" si="27"/>
        <v>738.71</v>
      </c>
      <c r="M513" s="147">
        <f t="shared" si="28"/>
        <v>1266.3599999999999</v>
      </c>
      <c r="N513" s="145"/>
    </row>
    <row r="514" spans="1:14">
      <c r="A514" s="145" t="s">
        <v>14</v>
      </c>
      <c r="B514" s="146" t="s">
        <v>1681</v>
      </c>
      <c r="C514" s="146" t="s">
        <v>2011</v>
      </c>
      <c r="D514" s="145" t="s">
        <v>2012</v>
      </c>
      <c r="E514" s="146" t="s">
        <v>260</v>
      </c>
      <c r="F514" s="145" t="s">
        <v>1608</v>
      </c>
      <c r="G514" s="146" t="s">
        <v>20</v>
      </c>
      <c r="H514" s="146">
        <v>201604</v>
      </c>
      <c r="I514" s="147">
        <v>816.69</v>
      </c>
      <c r="J514" s="144">
        <f t="shared" si="26"/>
        <v>7</v>
      </c>
      <c r="K514" s="148">
        <v>2.23333E-3</v>
      </c>
      <c r="L514" s="147">
        <f t="shared" si="27"/>
        <v>12.77</v>
      </c>
      <c r="M514" s="147">
        <f t="shared" si="28"/>
        <v>21.89</v>
      </c>
      <c r="N514" s="145"/>
    </row>
    <row r="515" spans="1:14">
      <c r="A515" s="145" t="s">
        <v>626</v>
      </c>
      <c r="B515" s="146" t="s">
        <v>1681</v>
      </c>
      <c r="C515" s="146" t="s">
        <v>2011</v>
      </c>
      <c r="D515" s="145" t="s">
        <v>2012</v>
      </c>
      <c r="E515" s="146" t="s">
        <v>260</v>
      </c>
      <c r="F515" s="145" t="s">
        <v>1608</v>
      </c>
      <c r="G515" s="146" t="s">
        <v>20</v>
      </c>
      <c r="H515" s="146">
        <v>201604</v>
      </c>
      <c r="I515" s="147">
        <v>36520.93</v>
      </c>
      <c r="J515" s="144">
        <f t="shared" si="26"/>
        <v>7</v>
      </c>
      <c r="K515" s="148">
        <v>1.4833299999999999E-3</v>
      </c>
      <c r="L515" s="147">
        <f t="shared" si="27"/>
        <v>379.21</v>
      </c>
      <c r="M515" s="147">
        <f t="shared" si="28"/>
        <v>650.07000000000005</v>
      </c>
      <c r="N515" s="145"/>
    </row>
    <row r="516" spans="1:14">
      <c r="A516" s="145" t="s">
        <v>626</v>
      </c>
      <c r="B516" s="146" t="s">
        <v>1250</v>
      </c>
      <c r="C516" s="146" t="s">
        <v>1251</v>
      </c>
      <c r="D516" s="145" t="s">
        <v>1252</v>
      </c>
      <c r="E516" s="146" t="s">
        <v>260</v>
      </c>
      <c r="F516" s="145" t="s">
        <v>1608</v>
      </c>
      <c r="G516" s="146" t="s">
        <v>20</v>
      </c>
      <c r="H516" s="146">
        <v>201605</v>
      </c>
      <c r="I516" s="147">
        <v>203.86</v>
      </c>
      <c r="J516" s="144">
        <f t="shared" si="26"/>
        <v>6</v>
      </c>
      <c r="K516" s="148">
        <v>1.4833299999999999E-3</v>
      </c>
      <c r="L516" s="147">
        <f t="shared" si="27"/>
        <v>1.81</v>
      </c>
      <c r="M516" s="147">
        <f t="shared" si="28"/>
        <v>3.63</v>
      </c>
      <c r="N516" s="145"/>
    </row>
    <row r="517" spans="1:14">
      <c r="A517" s="145" t="s">
        <v>21</v>
      </c>
      <c r="B517" s="146" t="s">
        <v>1823</v>
      </c>
      <c r="C517" s="146" t="s">
        <v>1824</v>
      </c>
      <c r="D517" s="145" t="s">
        <v>1825</v>
      </c>
      <c r="E517" s="146" t="s">
        <v>260</v>
      </c>
      <c r="F517" s="145" t="s">
        <v>1608</v>
      </c>
      <c r="G517" s="146" t="s">
        <v>20</v>
      </c>
      <c r="H517" s="146">
        <v>201605</v>
      </c>
      <c r="I517" s="147">
        <v>48.04</v>
      </c>
      <c r="J517" s="144">
        <f t="shared" si="26"/>
        <v>6</v>
      </c>
      <c r="K517" s="148">
        <v>1.4833299999999999E-3</v>
      </c>
      <c r="L517" s="147">
        <f t="shared" si="27"/>
        <v>0.43</v>
      </c>
      <c r="M517" s="147">
        <f t="shared" si="28"/>
        <v>0.86</v>
      </c>
      <c r="N517" s="145"/>
    </row>
    <row r="518" spans="1:14">
      <c r="A518" s="145" t="s">
        <v>626</v>
      </c>
      <c r="B518" s="146" t="s">
        <v>1823</v>
      </c>
      <c r="C518" s="146" t="s">
        <v>1824</v>
      </c>
      <c r="D518" s="145" t="s">
        <v>1825</v>
      </c>
      <c r="E518" s="146" t="s">
        <v>260</v>
      </c>
      <c r="F518" s="145" t="s">
        <v>1608</v>
      </c>
      <c r="G518" s="146" t="s">
        <v>20</v>
      </c>
      <c r="H518" s="146">
        <v>201605</v>
      </c>
      <c r="I518" s="147">
        <v>386.55</v>
      </c>
      <c r="J518" s="144">
        <f t="shared" si="26"/>
        <v>6</v>
      </c>
      <c r="K518" s="148">
        <v>1.4833299999999999E-3</v>
      </c>
      <c r="L518" s="147">
        <f t="shared" si="27"/>
        <v>3.44</v>
      </c>
      <c r="M518" s="147">
        <f t="shared" si="28"/>
        <v>6.88</v>
      </c>
      <c r="N518" s="145"/>
    </row>
    <row r="519" spans="1:14">
      <c r="A519" s="145" t="s">
        <v>21</v>
      </c>
      <c r="B519" s="146" t="s">
        <v>1420</v>
      </c>
      <c r="C519" s="146" t="s">
        <v>1421</v>
      </c>
      <c r="D519" s="145" t="s">
        <v>1422</v>
      </c>
      <c r="E519" s="146" t="s">
        <v>260</v>
      </c>
      <c r="F519" s="145" t="s">
        <v>1608</v>
      </c>
      <c r="G519" s="146" t="s">
        <v>20</v>
      </c>
      <c r="H519" s="146">
        <v>201605</v>
      </c>
      <c r="I519" s="147">
        <v>9.2899999999999991</v>
      </c>
      <c r="J519" s="144">
        <f t="shared" si="26"/>
        <v>6</v>
      </c>
      <c r="K519" s="148">
        <v>1.4833299999999999E-3</v>
      </c>
      <c r="L519" s="147">
        <f t="shared" si="27"/>
        <v>0.08</v>
      </c>
      <c r="M519" s="147">
        <f t="shared" si="28"/>
        <v>0.17</v>
      </c>
      <c r="N519" s="145"/>
    </row>
    <row r="520" spans="1:14">
      <c r="A520" s="145" t="s">
        <v>626</v>
      </c>
      <c r="B520" s="146" t="s">
        <v>1420</v>
      </c>
      <c r="C520" s="146" t="s">
        <v>1421</v>
      </c>
      <c r="D520" s="145" t="s">
        <v>1422</v>
      </c>
      <c r="E520" s="146" t="s">
        <v>260</v>
      </c>
      <c r="F520" s="145" t="s">
        <v>1608</v>
      </c>
      <c r="G520" s="146" t="s">
        <v>20</v>
      </c>
      <c r="H520" s="146">
        <v>201605</v>
      </c>
      <c r="I520" s="147">
        <v>36.15</v>
      </c>
      <c r="J520" s="144">
        <f t="shared" si="26"/>
        <v>6</v>
      </c>
      <c r="K520" s="148">
        <v>1.4833299999999999E-3</v>
      </c>
      <c r="L520" s="147">
        <f t="shared" si="27"/>
        <v>0.32</v>
      </c>
      <c r="M520" s="147">
        <f t="shared" si="28"/>
        <v>0.64</v>
      </c>
      <c r="N520" s="145"/>
    </row>
    <row r="521" spans="1:14">
      <c r="A521" s="145" t="s">
        <v>626</v>
      </c>
      <c r="B521" s="146" t="s">
        <v>1268</v>
      </c>
      <c r="C521" s="146" t="s">
        <v>1269</v>
      </c>
      <c r="D521" s="145" t="s">
        <v>1270</v>
      </c>
      <c r="E521" s="146" t="s">
        <v>260</v>
      </c>
      <c r="F521" s="145" t="s">
        <v>1608</v>
      </c>
      <c r="G521" s="146" t="s">
        <v>20</v>
      </c>
      <c r="H521" s="146">
        <v>201605</v>
      </c>
      <c r="I521" s="147">
        <v>-0.17</v>
      </c>
      <c r="J521" s="144">
        <f t="shared" si="26"/>
        <v>6</v>
      </c>
      <c r="K521" s="148">
        <v>1.4833299999999999E-3</v>
      </c>
      <c r="L521" s="147">
        <f t="shared" si="27"/>
        <v>0</v>
      </c>
      <c r="M521" s="147">
        <f t="shared" si="28"/>
        <v>0</v>
      </c>
      <c r="N521" s="145"/>
    </row>
    <row r="522" spans="1:14">
      <c r="A522" s="145" t="s">
        <v>626</v>
      </c>
      <c r="B522" s="146" t="s">
        <v>1511</v>
      </c>
      <c r="C522" s="146" t="s">
        <v>1512</v>
      </c>
      <c r="D522" s="145" t="s">
        <v>1513</v>
      </c>
      <c r="E522" s="146" t="s">
        <v>260</v>
      </c>
      <c r="F522" s="145" t="s">
        <v>1608</v>
      </c>
      <c r="G522" s="146" t="s">
        <v>20</v>
      </c>
      <c r="H522" s="146">
        <v>201605</v>
      </c>
      <c r="I522" s="147">
        <v>16.850000000000001</v>
      </c>
      <c r="J522" s="144">
        <f t="shared" si="26"/>
        <v>6</v>
      </c>
      <c r="K522" s="148">
        <v>1.4833299999999999E-3</v>
      </c>
      <c r="L522" s="147">
        <f t="shared" si="27"/>
        <v>0.15</v>
      </c>
      <c r="M522" s="147">
        <f t="shared" si="28"/>
        <v>0.3</v>
      </c>
      <c r="N522" s="145"/>
    </row>
    <row r="523" spans="1:14">
      <c r="A523" s="145" t="s">
        <v>626</v>
      </c>
      <c r="B523" s="146" t="s">
        <v>1838</v>
      </c>
      <c r="C523" s="146" t="s">
        <v>1839</v>
      </c>
      <c r="D523" s="145" t="s">
        <v>1840</v>
      </c>
      <c r="E523" s="146" t="s">
        <v>260</v>
      </c>
      <c r="F523" s="145" t="s">
        <v>1608</v>
      </c>
      <c r="G523" s="146" t="s">
        <v>20</v>
      </c>
      <c r="H523" s="146">
        <v>201605</v>
      </c>
      <c r="I523" s="147">
        <v>4906.59</v>
      </c>
      <c r="J523" s="144">
        <f t="shared" si="26"/>
        <v>6</v>
      </c>
      <c r="K523" s="148">
        <v>1.4833299999999999E-3</v>
      </c>
      <c r="L523" s="147">
        <f t="shared" si="27"/>
        <v>43.67</v>
      </c>
      <c r="M523" s="147">
        <f t="shared" si="28"/>
        <v>87.34</v>
      </c>
      <c r="N523" s="145"/>
    </row>
    <row r="524" spans="1:14">
      <c r="A524" s="145" t="s">
        <v>626</v>
      </c>
      <c r="B524" s="146" t="s">
        <v>1850</v>
      </c>
      <c r="C524" s="146" t="s">
        <v>1851</v>
      </c>
      <c r="D524" s="145" t="s">
        <v>1852</v>
      </c>
      <c r="E524" s="146" t="s">
        <v>260</v>
      </c>
      <c r="F524" s="145" t="s">
        <v>1608</v>
      </c>
      <c r="G524" s="146" t="s">
        <v>20</v>
      </c>
      <c r="H524" s="146">
        <v>201605</v>
      </c>
      <c r="I524" s="147">
        <v>2449.9299999999998</v>
      </c>
      <c r="J524" s="144">
        <f t="shared" si="26"/>
        <v>6</v>
      </c>
      <c r="K524" s="148">
        <v>1.4833299999999999E-3</v>
      </c>
      <c r="L524" s="147">
        <f t="shared" si="27"/>
        <v>21.8</v>
      </c>
      <c r="M524" s="147">
        <f t="shared" si="28"/>
        <v>43.61</v>
      </c>
      <c r="N524" s="145"/>
    </row>
    <row r="525" spans="1:14">
      <c r="A525" s="145" t="s">
        <v>626</v>
      </c>
      <c r="B525" s="146" t="s">
        <v>1681</v>
      </c>
      <c r="C525" s="146" t="s">
        <v>1853</v>
      </c>
      <c r="D525" s="145" t="s">
        <v>1854</v>
      </c>
      <c r="E525" s="146" t="s">
        <v>260</v>
      </c>
      <c r="F525" s="145" t="s">
        <v>1608</v>
      </c>
      <c r="G525" s="146" t="s">
        <v>20</v>
      </c>
      <c r="H525" s="146">
        <v>201605</v>
      </c>
      <c r="I525" s="147">
        <v>401.85</v>
      </c>
      <c r="J525" s="144">
        <f t="shared" si="26"/>
        <v>6</v>
      </c>
      <c r="K525" s="148">
        <v>1.4833299999999999E-3</v>
      </c>
      <c r="L525" s="147">
        <f t="shared" si="27"/>
        <v>3.58</v>
      </c>
      <c r="M525" s="147">
        <f t="shared" si="28"/>
        <v>7.15</v>
      </c>
      <c r="N525" s="145"/>
    </row>
    <row r="526" spans="1:14">
      <c r="A526" s="145" t="s">
        <v>626</v>
      </c>
      <c r="B526" s="146" t="s">
        <v>1681</v>
      </c>
      <c r="C526" s="146" t="s">
        <v>2007</v>
      </c>
      <c r="D526" s="145" t="s">
        <v>2008</v>
      </c>
      <c r="E526" s="146" t="s">
        <v>260</v>
      </c>
      <c r="F526" s="145" t="s">
        <v>1608</v>
      </c>
      <c r="G526" s="146" t="s">
        <v>20</v>
      </c>
      <c r="H526" s="146">
        <v>201605</v>
      </c>
      <c r="I526" s="147">
        <v>2055.65</v>
      </c>
      <c r="J526" s="144">
        <f t="shared" si="26"/>
        <v>6</v>
      </c>
      <c r="K526" s="148">
        <v>1.4833299999999999E-3</v>
      </c>
      <c r="L526" s="147">
        <f t="shared" si="27"/>
        <v>18.3</v>
      </c>
      <c r="M526" s="147">
        <f t="shared" si="28"/>
        <v>36.590000000000003</v>
      </c>
      <c r="N526" s="145"/>
    </row>
    <row r="527" spans="1:14">
      <c r="A527" s="145" t="s">
        <v>14</v>
      </c>
      <c r="B527" s="146" t="s">
        <v>1681</v>
      </c>
      <c r="C527" s="146" t="s">
        <v>2009</v>
      </c>
      <c r="D527" s="145" t="s">
        <v>2010</v>
      </c>
      <c r="E527" s="146" t="s">
        <v>260</v>
      </c>
      <c r="F527" s="145" t="s">
        <v>1608</v>
      </c>
      <c r="G527" s="146" t="s">
        <v>20</v>
      </c>
      <c r="H527" s="146">
        <v>201605</v>
      </c>
      <c r="I527" s="147">
        <v>599.80999999999995</v>
      </c>
      <c r="J527" s="144">
        <f t="shared" si="26"/>
        <v>6</v>
      </c>
      <c r="K527" s="148">
        <v>2.23333E-3</v>
      </c>
      <c r="L527" s="147">
        <f t="shared" si="27"/>
        <v>8.0399999999999991</v>
      </c>
      <c r="M527" s="147">
        <f t="shared" si="28"/>
        <v>16.07</v>
      </c>
      <c r="N527" s="145"/>
    </row>
    <row r="528" spans="1:14">
      <c r="A528" s="145" t="s">
        <v>626</v>
      </c>
      <c r="B528" s="146" t="s">
        <v>1681</v>
      </c>
      <c r="C528" s="146" t="s">
        <v>2009</v>
      </c>
      <c r="D528" s="145" t="s">
        <v>2010</v>
      </c>
      <c r="E528" s="146" t="s">
        <v>260</v>
      </c>
      <c r="F528" s="145" t="s">
        <v>1608</v>
      </c>
      <c r="G528" s="146" t="s">
        <v>20</v>
      </c>
      <c r="H528" s="146">
        <v>201605</v>
      </c>
      <c r="I528" s="147">
        <v>31798.37</v>
      </c>
      <c r="J528" s="144">
        <f t="shared" si="26"/>
        <v>6</v>
      </c>
      <c r="K528" s="148">
        <v>1.4833299999999999E-3</v>
      </c>
      <c r="L528" s="147">
        <f t="shared" si="27"/>
        <v>283</v>
      </c>
      <c r="M528" s="147">
        <f t="shared" si="28"/>
        <v>566.01</v>
      </c>
      <c r="N528" s="145"/>
    </row>
    <row r="529" spans="1:14">
      <c r="A529" s="145" t="s">
        <v>14</v>
      </c>
      <c r="B529" s="146" t="s">
        <v>1681</v>
      </c>
      <c r="C529" s="146" t="s">
        <v>2011</v>
      </c>
      <c r="D529" s="145" t="s">
        <v>2012</v>
      </c>
      <c r="E529" s="146" t="s">
        <v>260</v>
      </c>
      <c r="F529" s="145" t="s">
        <v>1608</v>
      </c>
      <c r="G529" s="146" t="s">
        <v>20</v>
      </c>
      <c r="H529" s="146">
        <v>201605</v>
      </c>
      <c r="I529" s="147">
        <v>574.83000000000004</v>
      </c>
      <c r="J529" s="144">
        <f t="shared" si="26"/>
        <v>6</v>
      </c>
      <c r="K529" s="148">
        <v>2.23333E-3</v>
      </c>
      <c r="L529" s="147">
        <f t="shared" si="27"/>
        <v>7.7</v>
      </c>
      <c r="M529" s="147">
        <f t="shared" si="28"/>
        <v>15.41</v>
      </c>
      <c r="N529" s="145"/>
    </row>
    <row r="530" spans="1:14">
      <c r="A530" s="145" t="s">
        <v>626</v>
      </c>
      <c r="B530" s="146" t="s">
        <v>1681</v>
      </c>
      <c r="C530" s="146" t="s">
        <v>2011</v>
      </c>
      <c r="D530" s="145" t="s">
        <v>2012</v>
      </c>
      <c r="E530" s="146" t="s">
        <v>260</v>
      </c>
      <c r="F530" s="145" t="s">
        <v>1608</v>
      </c>
      <c r="G530" s="146" t="s">
        <v>20</v>
      </c>
      <c r="H530" s="146">
        <v>201605</v>
      </c>
      <c r="I530" s="147">
        <v>25704.62</v>
      </c>
      <c r="J530" s="144">
        <f t="shared" si="26"/>
        <v>6</v>
      </c>
      <c r="K530" s="148">
        <v>1.4833299999999999E-3</v>
      </c>
      <c r="L530" s="147">
        <f t="shared" si="27"/>
        <v>228.77</v>
      </c>
      <c r="M530" s="147">
        <f t="shared" si="28"/>
        <v>457.54</v>
      </c>
      <c r="N530" s="145"/>
    </row>
    <row r="531" spans="1:14">
      <c r="A531" s="145" t="s">
        <v>626</v>
      </c>
      <c r="B531" s="146" t="s">
        <v>1250</v>
      </c>
      <c r="C531" s="146" t="s">
        <v>1251</v>
      </c>
      <c r="D531" s="145" t="s">
        <v>1252</v>
      </c>
      <c r="E531" s="146" t="s">
        <v>260</v>
      </c>
      <c r="F531" s="145" t="s">
        <v>1608</v>
      </c>
      <c r="G531" s="146" t="s">
        <v>20</v>
      </c>
      <c r="H531" s="146">
        <v>201606</v>
      </c>
      <c r="I531" s="147">
        <v>125.34</v>
      </c>
      <c r="J531" s="144">
        <f t="shared" si="26"/>
        <v>5</v>
      </c>
      <c r="K531" s="148">
        <v>1.4833299999999999E-3</v>
      </c>
      <c r="L531" s="147">
        <f t="shared" si="27"/>
        <v>0.93</v>
      </c>
      <c r="M531" s="147">
        <f t="shared" si="28"/>
        <v>2.23</v>
      </c>
      <c r="N531" s="145"/>
    </row>
    <row r="532" spans="1:14">
      <c r="A532" s="145" t="s">
        <v>21</v>
      </c>
      <c r="B532" s="146" t="s">
        <v>1823</v>
      </c>
      <c r="C532" s="146" t="s">
        <v>1824</v>
      </c>
      <c r="D532" s="145" t="s">
        <v>1825</v>
      </c>
      <c r="E532" s="146" t="s">
        <v>260</v>
      </c>
      <c r="F532" s="145" t="s">
        <v>1608</v>
      </c>
      <c r="G532" s="146" t="s">
        <v>20</v>
      </c>
      <c r="H532" s="146">
        <v>201606</v>
      </c>
      <c r="I532" s="147">
        <v>21.45</v>
      </c>
      <c r="J532" s="144">
        <f t="shared" si="26"/>
        <v>5</v>
      </c>
      <c r="K532" s="148">
        <v>1.4833299999999999E-3</v>
      </c>
      <c r="L532" s="147">
        <f t="shared" si="27"/>
        <v>0.16</v>
      </c>
      <c r="M532" s="147">
        <f t="shared" si="28"/>
        <v>0.38</v>
      </c>
      <c r="N532" s="145"/>
    </row>
    <row r="533" spans="1:14">
      <c r="A533" s="145" t="s">
        <v>626</v>
      </c>
      <c r="B533" s="146" t="s">
        <v>1823</v>
      </c>
      <c r="C533" s="146" t="s">
        <v>1824</v>
      </c>
      <c r="D533" s="145" t="s">
        <v>1825</v>
      </c>
      <c r="E533" s="146" t="s">
        <v>260</v>
      </c>
      <c r="F533" s="145" t="s">
        <v>1608</v>
      </c>
      <c r="G533" s="146" t="s">
        <v>20</v>
      </c>
      <c r="H533" s="146">
        <v>201606</v>
      </c>
      <c r="I533" s="147">
        <v>201.67</v>
      </c>
      <c r="J533" s="144">
        <f t="shared" si="26"/>
        <v>5</v>
      </c>
      <c r="K533" s="148">
        <v>1.4833299999999999E-3</v>
      </c>
      <c r="L533" s="147">
        <f t="shared" si="27"/>
        <v>1.5</v>
      </c>
      <c r="M533" s="147">
        <f t="shared" si="28"/>
        <v>3.59</v>
      </c>
      <c r="N533" s="145"/>
    </row>
    <row r="534" spans="1:14">
      <c r="A534" s="145" t="s">
        <v>21</v>
      </c>
      <c r="B534" s="146" t="s">
        <v>1420</v>
      </c>
      <c r="C534" s="146" t="s">
        <v>1421</v>
      </c>
      <c r="D534" s="145" t="s">
        <v>1422</v>
      </c>
      <c r="E534" s="146" t="s">
        <v>260</v>
      </c>
      <c r="F534" s="145" t="s">
        <v>1608</v>
      </c>
      <c r="G534" s="146" t="s">
        <v>20</v>
      </c>
      <c r="H534" s="146">
        <v>201606</v>
      </c>
      <c r="I534" s="147">
        <v>5.62</v>
      </c>
      <c r="J534" s="144">
        <f t="shared" si="26"/>
        <v>5</v>
      </c>
      <c r="K534" s="148">
        <v>1.4833299999999999E-3</v>
      </c>
      <c r="L534" s="147">
        <f t="shared" si="27"/>
        <v>0.04</v>
      </c>
      <c r="M534" s="147">
        <f t="shared" si="28"/>
        <v>0.1</v>
      </c>
      <c r="N534" s="145"/>
    </row>
    <row r="535" spans="1:14">
      <c r="A535" s="145" t="s">
        <v>626</v>
      </c>
      <c r="B535" s="146" t="s">
        <v>1420</v>
      </c>
      <c r="C535" s="146" t="s">
        <v>1421</v>
      </c>
      <c r="D535" s="145" t="s">
        <v>1422</v>
      </c>
      <c r="E535" s="146" t="s">
        <v>260</v>
      </c>
      <c r="F535" s="145" t="s">
        <v>1608</v>
      </c>
      <c r="G535" s="146" t="s">
        <v>20</v>
      </c>
      <c r="H535" s="146">
        <v>201606</v>
      </c>
      <c r="I535" s="147">
        <v>21.97</v>
      </c>
      <c r="J535" s="144">
        <f t="shared" si="26"/>
        <v>5</v>
      </c>
      <c r="K535" s="148">
        <v>1.4833299999999999E-3</v>
      </c>
      <c r="L535" s="147">
        <f t="shared" si="27"/>
        <v>0.16</v>
      </c>
      <c r="M535" s="147">
        <f t="shared" si="28"/>
        <v>0.39</v>
      </c>
      <c r="N535" s="145"/>
    </row>
    <row r="536" spans="1:14">
      <c r="A536" s="145" t="s">
        <v>626</v>
      </c>
      <c r="B536" s="146" t="s">
        <v>1268</v>
      </c>
      <c r="C536" s="146" t="s">
        <v>1269</v>
      </c>
      <c r="D536" s="145" t="s">
        <v>1270</v>
      </c>
      <c r="E536" s="146" t="s">
        <v>260</v>
      </c>
      <c r="F536" s="145" t="s">
        <v>1608</v>
      </c>
      <c r="G536" s="146" t="s">
        <v>20</v>
      </c>
      <c r="H536" s="146">
        <v>201606</v>
      </c>
      <c r="I536" s="147">
        <v>-0.13</v>
      </c>
      <c r="J536" s="144">
        <f t="shared" si="26"/>
        <v>5</v>
      </c>
      <c r="K536" s="148">
        <v>1.4833299999999999E-3</v>
      </c>
      <c r="L536" s="147">
        <f t="shared" si="27"/>
        <v>0</v>
      </c>
      <c r="M536" s="147">
        <f t="shared" si="28"/>
        <v>0</v>
      </c>
      <c r="N536" s="145"/>
    </row>
    <row r="537" spans="1:14">
      <c r="A537" s="145" t="s">
        <v>626</v>
      </c>
      <c r="B537" s="146" t="s">
        <v>1511</v>
      </c>
      <c r="C537" s="146" t="s">
        <v>1512</v>
      </c>
      <c r="D537" s="145" t="s">
        <v>1513</v>
      </c>
      <c r="E537" s="146" t="s">
        <v>260</v>
      </c>
      <c r="F537" s="145" t="s">
        <v>1608</v>
      </c>
      <c r="G537" s="146" t="s">
        <v>20</v>
      </c>
      <c r="H537" s="146">
        <v>201606</v>
      </c>
      <c r="I537" s="147">
        <v>7</v>
      </c>
      <c r="J537" s="144">
        <f t="shared" si="26"/>
        <v>5</v>
      </c>
      <c r="K537" s="148">
        <v>1.4833299999999999E-3</v>
      </c>
      <c r="L537" s="147">
        <f t="shared" si="27"/>
        <v>0.05</v>
      </c>
      <c r="M537" s="147">
        <f t="shared" si="28"/>
        <v>0.12</v>
      </c>
      <c r="N537" s="145"/>
    </row>
    <row r="538" spans="1:14">
      <c r="A538" s="145" t="s">
        <v>626</v>
      </c>
      <c r="B538" s="146" t="s">
        <v>1838</v>
      </c>
      <c r="C538" s="146" t="s">
        <v>1839</v>
      </c>
      <c r="D538" s="145" t="s">
        <v>1840</v>
      </c>
      <c r="E538" s="146" t="s">
        <v>260</v>
      </c>
      <c r="F538" s="145" t="s">
        <v>1608</v>
      </c>
      <c r="G538" s="146" t="s">
        <v>20</v>
      </c>
      <c r="H538" s="146">
        <v>201606</v>
      </c>
      <c r="I538" s="147">
        <v>1851.07</v>
      </c>
      <c r="J538" s="144">
        <f t="shared" si="26"/>
        <v>5</v>
      </c>
      <c r="K538" s="148">
        <v>1.4833299999999999E-3</v>
      </c>
      <c r="L538" s="147">
        <f t="shared" si="27"/>
        <v>13.73</v>
      </c>
      <c r="M538" s="147">
        <f t="shared" si="28"/>
        <v>32.950000000000003</v>
      </c>
      <c r="N538" s="145"/>
    </row>
    <row r="539" spans="1:14">
      <c r="A539" s="145" t="s">
        <v>626</v>
      </c>
      <c r="B539" s="146" t="s">
        <v>1850</v>
      </c>
      <c r="C539" s="146" t="s">
        <v>1851</v>
      </c>
      <c r="D539" s="145" t="s">
        <v>1852</v>
      </c>
      <c r="E539" s="146" t="s">
        <v>260</v>
      </c>
      <c r="F539" s="145" t="s">
        <v>1608</v>
      </c>
      <c r="G539" s="146" t="s">
        <v>20</v>
      </c>
      <c r="H539" s="146">
        <v>201606</v>
      </c>
      <c r="I539" s="147">
        <v>1606.75</v>
      </c>
      <c r="J539" s="144">
        <f t="shared" si="26"/>
        <v>5</v>
      </c>
      <c r="K539" s="148">
        <v>1.4833299999999999E-3</v>
      </c>
      <c r="L539" s="147">
        <f t="shared" si="27"/>
        <v>11.92</v>
      </c>
      <c r="M539" s="147">
        <f t="shared" si="28"/>
        <v>28.6</v>
      </c>
      <c r="N539" s="145"/>
    </row>
    <row r="540" spans="1:14">
      <c r="A540" s="145" t="s">
        <v>626</v>
      </c>
      <c r="B540" s="146" t="s">
        <v>1681</v>
      </c>
      <c r="C540" s="146" t="s">
        <v>1853</v>
      </c>
      <c r="D540" s="145" t="s">
        <v>1854</v>
      </c>
      <c r="E540" s="146" t="s">
        <v>260</v>
      </c>
      <c r="F540" s="145" t="s">
        <v>1608</v>
      </c>
      <c r="G540" s="146" t="s">
        <v>20</v>
      </c>
      <c r="H540" s="146">
        <v>201606</v>
      </c>
      <c r="I540" s="147">
        <v>285.36</v>
      </c>
      <c r="J540" s="144">
        <f t="shared" si="26"/>
        <v>5</v>
      </c>
      <c r="K540" s="148">
        <v>1.4833299999999999E-3</v>
      </c>
      <c r="L540" s="147">
        <f t="shared" si="27"/>
        <v>2.12</v>
      </c>
      <c r="M540" s="147">
        <f t="shared" si="28"/>
        <v>5.08</v>
      </c>
      <c r="N540" s="145"/>
    </row>
    <row r="541" spans="1:14">
      <c r="A541" s="145" t="s">
        <v>626</v>
      </c>
      <c r="B541" s="146" t="s">
        <v>1681</v>
      </c>
      <c r="C541" s="146" t="s">
        <v>2007</v>
      </c>
      <c r="D541" s="145" t="s">
        <v>2008</v>
      </c>
      <c r="E541" s="146" t="s">
        <v>260</v>
      </c>
      <c r="F541" s="145" t="s">
        <v>1608</v>
      </c>
      <c r="G541" s="146" t="s">
        <v>20</v>
      </c>
      <c r="H541" s="146">
        <v>201606</v>
      </c>
      <c r="I541" s="147">
        <v>2603.39</v>
      </c>
      <c r="J541" s="144">
        <f t="shared" si="26"/>
        <v>5</v>
      </c>
      <c r="K541" s="148">
        <v>1.4833299999999999E-3</v>
      </c>
      <c r="L541" s="147">
        <f t="shared" si="27"/>
        <v>19.309999999999999</v>
      </c>
      <c r="M541" s="147">
        <f t="shared" si="28"/>
        <v>46.34</v>
      </c>
      <c r="N541" s="145"/>
    </row>
    <row r="542" spans="1:14">
      <c r="A542" s="145" t="s">
        <v>14</v>
      </c>
      <c r="B542" s="146" t="s">
        <v>1681</v>
      </c>
      <c r="C542" s="146" t="s">
        <v>2009</v>
      </c>
      <c r="D542" s="145" t="s">
        <v>2010</v>
      </c>
      <c r="E542" s="146" t="s">
        <v>260</v>
      </c>
      <c r="F542" s="145" t="s">
        <v>1608</v>
      </c>
      <c r="G542" s="146" t="s">
        <v>20</v>
      </c>
      <c r="H542" s="146">
        <v>201606</v>
      </c>
      <c r="I542" s="147">
        <v>322.5</v>
      </c>
      <c r="J542" s="144">
        <f t="shared" si="26"/>
        <v>5</v>
      </c>
      <c r="K542" s="148">
        <v>2.23333E-3</v>
      </c>
      <c r="L542" s="147">
        <f t="shared" si="27"/>
        <v>3.6</v>
      </c>
      <c r="M542" s="147">
        <f t="shared" si="28"/>
        <v>8.64</v>
      </c>
      <c r="N542" s="145"/>
    </row>
    <row r="543" spans="1:14">
      <c r="A543" s="145" t="s">
        <v>626</v>
      </c>
      <c r="B543" s="146" t="s">
        <v>1681</v>
      </c>
      <c r="C543" s="146" t="s">
        <v>2009</v>
      </c>
      <c r="D543" s="145" t="s">
        <v>2010</v>
      </c>
      <c r="E543" s="146" t="s">
        <v>260</v>
      </c>
      <c r="F543" s="145" t="s">
        <v>1608</v>
      </c>
      <c r="G543" s="146" t="s">
        <v>20</v>
      </c>
      <c r="H543" s="146">
        <v>201606</v>
      </c>
      <c r="I543" s="147">
        <v>17096.7</v>
      </c>
      <c r="J543" s="144">
        <f t="shared" si="26"/>
        <v>5</v>
      </c>
      <c r="K543" s="148">
        <v>1.4833299999999999E-3</v>
      </c>
      <c r="L543" s="147">
        <f t="shared" si="27"/>
        <v>126.8</v>
      </c>
      <c r="M543" s="147">
        <f t="shared" si="28"/>
        <v>304.32</v>
      </c>
      <c r="N543" s="145"/>
    </row>
    <row r="544" spans="1:14">
      <c r="A544" s="145" t="s">
        <v>14</v>
      </c>
      <c r="B544" s="146" t="s">
        <v>1681</v>
      </c>
      <c r="C544" s="146" t="s">
        <v>2011</v>
      </c>
      <c r="D544" s="145" t="s">
        <v>2012</v>
      </c>
      <c r="E544" s="146" t="s">
        <v>260</v>
      </c>
      <c r="F544" s="145" t="s">
        <v>1608</v>
      </c>
      <c r="G544" s="146" t="s">
        <v>20</v>
      </c>
      <c r="H544" s="146">
        <v>201606</v>
      </c>
      <c r="I544" s="147">
        <v>723.54</v>
      </c>
      <c r="J544" s="144">
        <f t="shared" si="26"/>
        <v>5</v>
      </c>
      <c r="K544" s="148">
        <v>2.23333E-3</v>
      </c>
      <c r="L544" s="147">
        <f t="shared" si="27"/>
        <v>8.08</v>
      </c>
      <c r="M544" s="147">
        <f t="shared" si="28"/>
        <v>19.39</v>
      </c>
      <c r="N544" s="145"/>
    </row>
    <row r="545" spans="1:14">
      <c r="A545" s="145" t="s">
        <v>626</v>
      </c>
      <c r="B545" s="146" t="s">
        <v>1681</v>
      </c>
      <c r="C545" s="146" t="s">
        <v>2011</v>
      </c>
      <c r="D545" s="145" t="s">
        <v>2012</v>
      </c>
      <c r="E545" s="146" t="s">
        <v>260</v>
      </c>
      <c r="F545" s="145" t="s">
        <v>1608</v>
      </c>
      <c r="G545" s="146" t="s">
        <v>20</v>
      </c>
      <c r="H545" s="146">
        <v>201606</v>
      </c>
      <c r="I545" s="147">
        <v>32355.05</v>
      </c>
      <c r="J545" s="144">
        <f t="shared" si="26"/>
        <v>5</v>
      </c>
      <c r="K545" s="148">
        <v>1.4833299999999999E-3</v>
      </c>
      <c r="L545" s="147">
        <f t="shared" si="27"/>
        <v>239.97</v>
      </c>
      <c r="M545" s="147">
        <f t="shared" si="28"/>
        <v>575.91999999999996</v>
      </c>
      <c r="N545" s="145"/>
    </row>
    <row r="546" spans="1:14">
      <c r="A546" s="145" t="s">
        <v>626</v>
      </c>
      <c r="B546" s="146" t="s">
        <v>1681</v>
      </c>
      <c r="C546" s="146" t="s">
        <v>2071</v>
      </c>
      <c r="D546" s="145" t="s">
        <v>2072</v>
      </c>
      <c r="E546" s="146" t="s">
        <v>260</v>
      </c>
      <c r="F546" s="145" t="s">
        <v>1608</v>
      </c>
      <c r="G546" s="146" t="s">
        <v>20</v>
      </c>
      <c r="H546" s="146">
        <v>201606</v>
      </c>
      <c r="I546" s="147">
        <v>40886.730000000003</v>
      </c>
      <c r="J546" s="144">
        <f t="shared" si="26"/>
        <v>5</v>
      </c>
      <c r="K546" s="148">
        <v>1.4833299999999999E-3</v>
      </c>
      <c r="L546" s="147">
        <f t="shared" si="27"/>
        <v>303.24</v>
      </c>
      <c r="M546" s="147">
        <f t="shared" si="28"/>
        <v>727.78</v>
      </c>
      <c r="N546" s="145"/>
    </row>
    <row r="547" spans="1:14">
      <c r="A547" s="145" t="s">
        <v>626</v>
      </c>
      <c r="B547" s="146" t="s">
        <v>1681</v>
      </c>
      <c r="C547" s="146" t="s">
        <v>2077</v>
      </c>
      <c r="D547" s="145" t="s">
        <v>2078</v>
      </c>
      <c r="E547" s="146" t="s">
        <v>260</v>
      </c>
      <c r="F547" s="145" t="s">
        <v>1608</v>
      </c>
      <c r="G547" s="146" t="s">
        <v>20</v>
      </c>
      <c r="H547" s="146">
        <v>201606</v>
      </c>
      <c r="I547" s="147">
        <v>218130.17</v>
      </c>
      <c r="J547" s="144">
        <f t="shared" si="26"/>
        <v>5</v>
      </c>
      <c r="K547" s="148">
        <v>1.4833299999999999E-3</v>
      </c>
      <c r="L547" s="147">
        <f t="shared" si="27"/>
        <v>1617.8</v>
      </c>
      <c r="M547" s="147">
        <f t="shared" si="28"/>
        <v>3882.71</v>
      </c>
      <c r="N547" s="145"/>
    </row>
    <row r="548" spans="1:14">
      <c r="A548" s="145" t="s">
        <v>14</v>
      </c>
      <c r="B548" s="146" t="s">
        <v>1681</v>
      </c>
      <c r="C548" s="146" t="s">
        <v>2097</v>
      </c>
      <c r="D548" s="145" t="s">
        <v>2098</v>
      </c>
      <c r="E548" s="146" t="s">
        <v>260</v>
      </c>
      <c r="F548" s="145" t="s">
        <v>1608</v>
      </c>
      <c r="G548" s="146" t="s">
        <v>20</v>
      </c>
      <c r="H548" s="146">
        <v>201606</v>
      </c>
      <c r="I548" s="147">
        <v>5196.82</v>
      </c>
      <c r="J548" s="144">
        <f t="shared" si="26"/>
        <v>5</v>
      </c>
      <c r="K548" s="148">
        <v>2.23333E-3</v>
      </c>
      <c r="L548" s="147">
        <f t="shared" si="27"/>
        <v>58.03</v>
      </c>
      <c r="M548" s="147">
        <f t="shared" si="28"/>
        <v>139.27000000000001</v>
      </c>
      <c r="N548" s="145"/>
    </row>
    <row r="549" spans="1:14">
      <c r="A549" s="145" t="s">
        <v>626</v>
      </c>
      <c r="B549" s="146" t="s">
        <v>1681</v>
      </c>
      <c r="C549" s="146" t="s">
        <v>2097</v>
      </c>
      <c r="D549" s="145" t="s">
        <v>2098</v>
      </c>
      <c r="E549" s="146" t="s">
        <v>260</v>
      </c>
      <c r="F549" s="145" t="s">
        <v>1608</v>
      </c>
      <c r="G549" s="146" t="s">
        <v>20</v>
      </c>
      <c r="H549" s="146">
        <v>201606</v>
      </c>
      <c r="I549" s="147">
        <v>41649.4</v>
      </c>
      <c r="J549" s="144">
        <f t="shared" si="26"/>
        <v>5</v>
      </c>
      <c r="K549" s="148">
        <v>1.4833299999999999E-3</v>
      </c>
      <c r="L549" s="147">
        <f t="shared" si="27"/>
        <v>308.89999999999998</v>
      </c>
      <c r="M549" s="147">
        <f t="shared" si="28"/>
        <v>741.36</v>
      </c>
      <c r="N549" s="145"/>
    </row>
    <row r="550" spans="1:14">
      <c r="A550" s="145" t="s">
        <v>14</v>
      </c>
      <c r="B550" s="146" t="s">
        <v>1681</v>
      </c>
      <c r="C550" s="146" t="s">
        <v>2099</v>
      </c>
      <c r="D550" s="145" t="s">
        <v>2100</v>
      </c>
      <c r="E550" s="146" t="s">
        <v>260</v>
      </c>
      <c r="F550" s="145" t="s">
        <v>1608</v>
      </c>
      <c r="G550" s="146" t="s">
        <v>20</v>
      </c>
      <c r="H550" s="146">
        <v>201606</v>
      </c>
      <c r="I550" s="147">
        <v>829.1</v>
      </c>
      <c r="J550" s="144">
        <f t="shared" si="26"/>
        <v>5</v>
      </c>
      <c r="K550" s="148">
        <v>2.23333E-3</v>
      </c>
      <c r="L550" s="147">
        <f t="shared" si="27"/>
        <v>9.26</v>
      </c>
      <c r="M550" s="147">
        <f t="shared" si="28"/>
        <v>22.22</v>
      </c>
      <c r="N550" s="145"/>
    </row>
    <row r="551" spans="1:14">
      <c r="A551" s="145" t="s">
        <v>626</v>
      </c>
      <c r="B551" s="146" t="s">
        <v>1681</v>
      </c>
      <c r="C551" s="146" t="s">
        <v>2099</v>
      </c>
      <c r="D551" s="145" t="s">
        <v>2100</v>
      </c>
      <c r="E551" s="146" t="s">
        <v>260</v>
      </c>
      <c r="F551" s="145" t="s">
        <v>1608</v>
      </c>
      <c r="G551" s="146" t="s">
        <v>20</v>
      </c>
      <c r="H551" s="146">
        <v>201606</v>
      </c>
      <c r="I551" s="147">
        <v>22719.51</v>
      </c>
      <c r="J551" s="144">
        <f t="shared" si="26"/>
        <v>5</v>
      </c>
      <c r="K551" s="148">
        <v>1.4833299999999999E-3</v>
      </c>
      <c r="L551" s="147">
        <f t="shared" si="27"/>
        <v>168.5</v>
      </c>
      <c r="M551" s="147">
        <f t="shared" si="28"/>
        <v>404.41</v>
      </c>
      <c r="N551" s="145"/>
    </row>
    <row r="552" spans="1:14">
      <c r="A552" s="145" t="s">
        <v>626</v>
      </c>
      <c r="B552" s="146" t="s">
        <v>1681</v>
      </c>
      <c r="C552" s="146" t="s">
        <v>2101</v>
      </c>
      <c r="D552" s="145" t="s">
        <v>2102</v>
      </c>
      <c r="E552" s="146" t="s">
        <v>260</v>
      </c>
      <c r="F552" s="145" t="s">
        <v>1608</v>
      </c>
      <c r="G552" s="146" t="s">
        <v>20</v>
      </c>
      <c r="H552" s="146">
        <v>201606</v>
      </c>
      <c r="I552" s="147">
        <v>7405.02</v>
      </c>
      <c r="J552" s="144">
        <f t="shared" si="26"/>
        <v>5</v>
      </c>
      <c r="K552" s="148">
        <v>1.4833299999999999E-3</v>
      </c>
      <c r="L552" s="147">
        <f t="shared" si="27"/>
        <v>54.92</v>
      </c>
      <c r="M552" s="147">
        <f t="shared" si="28"/>
        <v>131.81</v>
      </c>
      <c r="N552" s="145"/>
    </row>
    <row r="553" spans="1:14">
      <c r="A553" s="151" t="s">
        <v>626</v>
      </c>
      <c r="B553" s="160" t="s">
        <v>1681</v>
      </c>
      <c r="C553" s="152" t="s">
        <v>2101</v>
      </c>
      <c r="D553" s="151" t="s">
        <v>2102</v>
      </c>
      <c r="E553" s="152" t="s">
        <v>260</v>
      </c>
      <c r="F553" s="151" t="s">
        <v>1608</v>
      </c>
      <c r="G553" s="152" t="s">
        <v>20</v>
      </c>
      <c r="H553" s="153">
        <v>201607</v>
      </c>
      <c r="I553" s="154">
        <v>-2418.6</v>
      </c>
      <c r="J553" s="144">
        <f t="shared" si="26"/>
        <v>4</v>
      </c>
      <c r="K553" s="155">
        <v>1.4833299999999999E-3</v>
      </c>
      <c r="L553" s="154">
        <f t="shared" si="27"/>
        <v>-14.35</v>
      </c>
      <c r="M553" s="154">
        <f t="shared" si="28"/>
        <v>-43.05</v>
      </c>
      <c r="N553" s="145"/>
    </row>
    <row r="554" spans="1:14">
      <c r="A554" s="151" t="s">
        <v>626</v>
      </c>
      <c r="B554" s="160" t="s">
        <v>1681</v>
      </c>
      <c r="C554" s="152" t="s">
        <v>2097</v>
      </c>
      <c r="D554" s="151" t="s">
        <v>2098</v>
      </c>
      <c r="E554" s="152" t="s">
        <v>260</v>
      </c>
      <c r="F554" s="151" t="s">
        <v>1608</v>
      </c>
      <c r="G554" s="152" t="s">
        <v>20</v>
      </c>
      <c r="H554" s="153">
        <v>201607</v>
      </c>
      <c r="I554" s="154">
        <v>-2106.38</v>
      </c>
      <c r="J554" s="144">
        <f t="shared" si="26"/>
        <v>4</v>
      </c>
      <c r="K554" s="155">
        <v>1.4833299999999999E-3</v>
      </c>
      <c r="L554" s="154">
        <f t="shared" si="27"/>
        <v>-12.5</v>
      </c>
      <c r="M554" s="154">
        <f t="shared" si="28"/>
        <v>-37.49</v>
      </c>
      <c r="N554" s="145"/>
    </row>
    <row r="555" spans="1:14">
      <c r="A555" s="151" t="s">
        <v>14</v>
      </c>
      <c r="B555" s="160" t="s">
        <v>1681</v>
      </c>
      <c r="C555" s="152" t="s">
        <v>2097</v>
      </c>
      <c r="D555" s="151" t="s">
        <v>2098</v>
      </c>
      <c r="E555" s="152" t="s">
        <v>260</v>
      </c>
      <c r="F555" s="151" t="s">
        <v>1608</v>
      </c>
      <c r="G555" s="152" t="s">
        <v>20</v>
      </c>
      <c r="H555" s="150">
        <v>201607</v>
      </c>
      <c r="I555" s="154">
        <v>-262.83999999999997</v>
      </c>
      <c r="J555" s="144">
        <f t="shared" si="26"/>
        <v>4</v>
      </c>
      <c r="K555" s="155">
        <v>2.23333E-3</v>
      </c>
      <c r="L555" s="154">
        <f t="shared" si="27"/>
        <v>-2.35</v>
      </c>
      <c r="M555" s="154">
        <f t="shared" si="28"/>
        <v>-7.04</v>
      </c>
      <c r="N555" s="145"/>
    </row>
    <row r="556" spans="1:14">
      <c r="A556" s="151" t="s">
        <v>21</v>
      </c>
      <c r="B556" s="152" t="s">
        <v>1823</v>
      </c>
      <c r="C556" s="152" t="s">
        <v>1824</v>
      </c>
      <c r="D556" s="151" t="s">
        <v>1825</v>
      </c>
      <c r="E556" s="152" t="s">
        <v>260</v>
      </c>
      <c r="F556" s="151" t="s">
        <v>1608</v>
      </c>
      <c r="G556" s="152" t="s">
        <v>20</v>
      </c>
      <c r="H556" s="153">
        <v>201607</v>
      </c>
      <c r="I556" s="154">
        <v>-1.47</v>
      </c>
      <c r="J556" s="144">
        <f t="shared" si="26"/>
        <v>4</v>
      </c>
      <c r="K556" s="155">
        <v>1.4833299999999999E-3</v>
      </c>
      <c r="L556" s="154">
        <f t="shared" si="27"/>
        <v>-0.01</v>
      </c>
      <c r="M556" s="154">
        <f t="shared" si="28"/>
        <v>-0.03</v>
      </c>
      <c r="N556" s="145"/>
    </row>
    <row r="557" spans="1:14">
      <c r="A557" s="151" t="s">
        <v>626</v>
      </c>
      <c r="B557" s="152" t="s">
        <v>1268</v>
      </c>
      <c r="C557" s="152" t="s">
        <v>1269</v>
      </c>
      <c r="D557" s="151" t="s">
        <v>1270</v>
      </c>
      <c r="E557" s="152" t="s">
        <v>260</v>
      </c>
      <c r="F557" s="151" t="s">
        <v>1608</v>
      </c>
      <c r="G557" s="152" t="s">
        <v>20</v>
      </c>
      <c r="H557" s="153">
        <v>201607</v>
      </c>
      <c r="I557" s="154">
        <v>-0.08</v>
      </c>
      <c r="J557" s="144">
        <f t="shared" si="26"/>
        <v>4</v>
      </c>
      <c r="K557" s="155">
        <v>1.4833299999999999E-3</v>
      </c>
      <c r="L557" s="154">
        <f t="shared" si="27"/>
        <v>0</v>
      </c>
      <c r="M557" s="154">
        <f t="shared" si="28"/>
        <v>0</v>
      </c>
      <c r="N557" s="145"/>
    </row>
    <row r="558" spans="1:14">
      <c r="A558" s="151" t="s">
        <v>21</v>
      </c>
      <c r="B558" s="152" t="s">
        <v>1420</v>
      </c>
      <c r="C558" s="152" t="s">
        <v>1421</v>
      </c>
      <c r="D558" s="151" t="s">
        <v>1422</v>
      </c>
      <c r="E558" s="152" t="s">
        <v>260</v>
      </c>
      <c r="F558" s="151" t="s">
        <v>1608</v>
      </c>
      <c r="G558" s="152" t="s">
        <v>20</v>
      </c>
      <c r="H558" s="153">
        <v>201607</v>
      </c>
      <c r="I558" s="154">
        <v>3.19</v>
      </c>
      <c r="J558" s="144">
        <f t="shared" si="26"/>
        <v>4</v>
      </c>
      <c r="K558" s="155">
        <v>1.4833299999999999E-3</v>
      </c>
      <c r="L558" s="154">
        <f t="shared" si="27"/>
        <v>0.02</v>
      </c>
      <c r="M558" s="154">
        <f t="shared" si="28"/>
        <v>0.06</v>
      </c>
      <c r="N558" s="145"/>
    </row>
    <row r="559" spans="1:14">
      <c r="A559" s="151" t="s">
        <v>626</v>
      </c>
      <c r="B559" s="152" t="s">
        <v>1511</v>
      </c>
      <c r="C559" s="152" t="s">
        <v>1512</v>
      </c>
      <c r="D559" s="151" t="s">
        <v>1513</v>
      </c>
      <c r="E559" s="152" t="s">
        <v>260</v>
      </c>
      <c r="F559" s="151" t="s">
        <v>1608</v>
      </c>
      <c r="G559" s="152" t="s">
        <v>20</v>
      </c>
      <c r="H559" s="153">
        <v>201607</v>
      </c>
      <c r="I559" s="154">
        <v>3.94</v>
      </c>
      <c r="J559" s="144">
        <f t="shared" si="26"/>
        <v>4</v>
      </c>
      <c r="K559" s="155">
        <v>1.4833299999999999E-3</v>
      </c>
      <c r="L559" s="154">
        <f t="shared" si="27"/>
        <v>0.02</v>
      </c>
      <c r="M559" s="154">
        <f t="shared" si="28"/>
        <v>7.0000000000000007E-2</v>
      </c>
      <c r="N559" s="145"/>
    </row>
    <row r="560" spans="1:14">
      <c r="A560" s="151" t="s">
        <v>626</v>
      </c>
      <c r="B560" s="152" t="s">
        <v>1420</v>
      </c>
      <c r="C560" s="152" t="s">
        <v>1421</v>
      </c>
      <c r="D560" s="151" t="s">
        <v>1422</v>
      </c>
      <c r="E560" s="152" t="s">
        <v>260</v>
      </c>
      <c r="F560" s="151" t="s">
        <v>1608</v>
      </c>
      <c r="G560" s="152" t="s">
        <v>20</v>
      </c>
      <c r="H560" s="153">
        <v>201607</v>
      </c>
      <c r="I560" s="154">
        <v>12.46</v>
      </c>
      <c r="J560" s="144">
        <f t="shared" si="26"/>
        <v>4</v>
      </c>
      <c r="K560" s="155">
        <v>1.4833299999999999E-3</v>
      </c>
      <c r="L560" s="154">
        <f t="shared" si="27"/>
        <v>7.0000000000000007E-2</v>
      </c>
      <c r="M560" s="154">
        <f t="shared" si="28"/>
        <v>0.22</v>
      </c>
      <c r="N560" s="145"/>
    </row>
    <row r="561" spans="1:14">
      <c r="A561" s="151" t="s">
        <v>14</v>
      </c>
      <c r="B561" s="160" t="s">
        <v>1681</v>
      </c>
      <c r="C561" s="152" t="s">
        <v>2009</v>
      </c>
      <c r="D561" s="151" t="s">
        <v>2010</v>
      </c>
      <c r="E561" s="152" t="s">
        <v>260</v>
      </c>
      <c r="F561" s="151" t="s">
        <v>1608</v>
      </c>
      <c r="G561" s="152" t="s">
        <v>20</v>
      </c>
      <c r="H561" s="150">
        <v>201607</v>
      </c>
      <c r="I561" s="154">
        <v>20.13</v>
      </c>
      <c r="J561" s="144">
        <f t="shared" si="26"/>
        <v>4</v>
      </c>
      <c r="K561" s="155">
        <v>2.23333E-3</v>
      </c>
      <c r="L561" s="154">
        <f t="shared" si="27"/>
        <v>0.18</v>
      </c>
      <c r="M561" s="154">
        <f t="shared" si="28"/>
        <v>0.54</v>
      </c>
      <c r="N561" s="145"/>
    </row>
    <row r="562" spans="1:14">
      <c r="A562" s="151" t="s">
        <v>14</v>
      </c>
      <c r="B562" s="160" t="s">
        <v>1681</v>
      </c>
      <c r="C562" s="152" t="s">
        <v>2099</v>
      </c>
      <c r="D562" s="151" t="s">
        <v>2100</v>
      </c>
      <c r="E562" s="152" t="s">
        <v>260</v>
      </c>
      <c r="F562" s="151" t="s">
        <v>1608</v>
      </c>
      <c r="G562" s="152" t="s">
        <v>20</v>
      </c>
      <c r="H562" s="150">
        <v>201607</v>
      </c>
      <c r="I562" s="154">
        <v>34.53</v>
      </c>
      <c r="J562" s="144">
        <f t="shared" si="26"/>
        <v>4</v>
      </c>
      <c r="K562" s="155">
        <v>2.23333E-3</v>
      </c>
      <c r="L562" s="154">
        <f t="shared" si="27"/>
        <v>0.31</v>
      </c>
      <c r="M562" s="154">
        <f t="shared" si="28"/>
        <v>0.93</v>
      </c>
      <c r="N562" s="145"/>
    </row>
    <row r="563" spans="1:14">
      <c r="A563" s="151" t="s">
        <v>14</v>
      </c>
      <c r="B563" s="160" t="s">
        <v>1681</v>
      </c>
      <c r="C563" s="152" t="s">
        <v>2011</v>
      </c>
      <c r="D563" s="151" t="s">
        <v>2012</v>
      </c>
      <c r="E563" s="152" t="s">
        <v>260</v>
      </c>
      <c r="F563" s="151" t="s">
        <v>1608</v>
      </c>
      <c r="G563" s="152" t="s">
        <v>20</v>
      </c>
      <c r="H563" s="150">
        <v>201607</v>
      </c>
      <c r="I563" s="154">
        <v>57.08</v>
      </c>
      <c r="J563" s="144">
        <f t="shared" si="26"/>
        <v>4</v>
      </c>
      <c r="K563" s="155">
        <v>2.23333E-3</v>
      </c>
      <c r="L563" s="154">
        <f t="shared" si="27"/>
        <v>0.51</v>
      </c>
      <c r="M563" s="154">
        <f t="shared" si="28"/>
        <v>1.53</v>
      </c>
      <c r="N563" s="145"/>
    </row>
    <row r="564" spans="1:14">
      <c r="A564" s="151" t="s">
        <v>626</v>
      </c>
      <c r="B564" s="152" t="s">
        <v>1250</v>
      </c>
      <c r="C564" s="152" t="s">
        <v>1251</v>
      </c>
      <c r="D564" s="151" t="s">
        <v>1252</v>
      </c>
      <c r="E564" s="152" t="s">
        <v>260</v>
      </c>
      <c r="F564" s="151" t="s">
        <v>1608</v>
      </c>
      <c r="G564" s="152" t="s">
        <v>20</v>
      </c>
      <c r="H564" s="153">
        <v>201607</v>
      </c>
      <c r="I564" s="154">
        <v>71.540000000000006</v>
      </c>
      <c r="J564" s="144">
        <f t="shared" si="26"/>
        <v>4</v>
      </c>
      <c r="K564" s="155">
        <v>1.4833299999999999E-3</v>
      </c>
      <c r="L564" s="154">
        <f t="shared" si="27"/>
        <v>0.42</v>
      </c>
      <c r="M564" s="154">
        <f t="shared" si="28"/>
        <v>1.27</v>
      </c>
      <c r="N564" s="145"/>
    </row>
    <row r="565" spans="1:14">
      <c r="A565" s="151" t="s">
        <v>626</v>
      </c>
      <c r="B565" s="152" t="s">
        <v>1823</v>
      </c>
      <c r="C565" s="152" t="s">
        <v>1824</v>
      </c>
      <c r="D565" s="151" t="s">
        <v>1825</v>
      </c>
      <c r="E565" s="152" t="s">
        <v>260</v>
      </c>
      <c r="F565" s="151" t="s">
        <v>1608</v>
      </c>
      <c r="G565" s="152" t="s">
        <v>20</v>
      </c>
      <c r="H565" s="153">
        <v>201607</v>
      </c>
      <c r="I565" s="154">
        <v>131.47</v>
      </c>
      <c r="J565" s="144">
        <f t="shared" si="26"/>
        <v>4</v>
      </c>
      <c r="K565" s="155">
        <v>1.4833299999999999E-3</v>
      </c>
      <c r="L565" s="154">
        <f t="shared" si="27"/>
        <v>0.78</v>
      </c>
      <c r="M565" s="154">
        <f t="shared" si="28"/>
        <v>2.34</v>
      </c>
      <c r="N565" s="145"/>
    </row>
    <row r="566" spans="1:14">
      <c r="A566" s="151" t="s">
        <v>626</v>
      </c>
      <c r="B566" s="160" t="s">
        <v>1681</v>
      </c>
      <c r="C566" s="152" t="s">
        <v>1853</v>
      </c>
      <c r="D566" s="151" t="s">
        <v>1854</v>
      </c>
      <c r="E566" s="152" t="s">
        <v>260</v>
      </c>
      <c r="F566" s="151" t="s">
        <v>1608</v>
      </c>
      <c r="G566" s="152" t="s">
        <v>20</v>
      </c>
      <c r="H566" s="153">
        <v>201607</v>
      </c>
      <c r="I566" s="154">
        <v>230.1</v>
      </c>
      <c r="J566" s="144">
        <f t="shared" si="26"/>
        <v>4</v>
      </c>
      <c r="K566" s="155">
        <v>1.4833299999999999E-3</v>
      </c>
      <c r="L566" s="154">
        <f t="shared" si="27"/>
        <v>1.37</v>
      </c>
      <c r="M566" s="154">
        <f t="shared" si="28"/>
        <v>4.0999999999999996</v>
      </c>
      <c r="N566" s="145"/>
    </row>
    <row r="567" spans="1:14">
      <c r="A567" s="151" t="s">
        <v>626</v>
      </c>
      <c r="B567" s="160" t="s">
        <v>1681</v>
      </c>
      <c r="C567" s="152" t="s">
        <v>2007</v>
      </c>
      <c r="D567" s="151" t="s">
        <v>2008</v>
      </c>
      <c r="E567" s="152" t="s">
        <v>260</v>
      </c>
      <c r="F567" s="151" t="s">
        <v>1608</v>
      </c>
      <c r="G567" s="152" t="s">
        <v>20</v>
      </c>
      <c r="H567" s="153">
        <v>201607</v>
      </c>
      <c r="I567" s="154">
        <v>859.35</v>
      </c>
      <c r="J567" s="144">
        <f t="shared" si="26"/>
        <v>4</v>
      </c>
      <c r="K567" s="155">
        <v>1.4833299999999999E-3</v>
      </c>
      <c r="L567" s="154">
        <f t="shared" si="27"/>
        <v>5.0999999999999996</v>
      </c>
      <c r="M567" s="154">
        <f t="shared" si="28"/>
        <v>15.3</v>
      </c>
      <c r="N567" s="145"/>
    </row>
    <row r="568" spans="1:14">
      <c r="A568" s="151" t="s">
        <v>626</v>
      </c>
      <c r="B568" s="160" t="s">
        <v>1681</v>
      </c>
      <c r="C568" s="152" t="s">
        <v>2099</v>
      </c>
      <c r="D568" s="151" t="s">
        <v>2100</v>
      </c>
      <c r="E568" s="152" t="s">
        <v>260</v>
      </c>
      <c r="F568" s="151" t="s">
        <v>1608</v>
      </c>
      <c r="G568" s="152" t="s">
        <v>20</v>
      </c>
      <c r="H568" s="153">
        <v>201607</v>
      </c>
      <c r="I568" s="154">
        <v>946.21</v>
      </c>
      <c r="J568" s="144">
        <f t="shared" si="26"/>
        <v>4</v>
      </c>
      <c r="K568" s="155">
        <v>1.4833299999999999E-3</v>
      </c>
      <c r="L568" s="154">
        <f t="shared" si="27"/>
        <v>5.61</v>
      </c>
      <c r="M568" s="154">
        <f t="shared" si="28"/>
        <v>16.84</v>
      </c>
      <c r="N568" s="145"/>
    </row>
    <row r="569" spans="1:14">
      <c r="A569" s="151" t="s">
        <v>626</v>
      </c>
      <c r="B569" s="160" t="s">
        <v>1681</v>
      </c>
      <c r="C569" s="152" t="s">
        <v>2009</v>
      </c>
      <c r="D569" s="151" t="s">
        <v>2010</v>
      </c>
      <c r="E569" s="152" t="s">
        <v>260</v>
      </c>
      <c r="F569" s="151" t="s">
        <v>1608</v>
      </c>
      <c r="G569" s="152" t="s">
        <v>20</v>
      </c>
      <c r="H569" s="153">
        <v>201607</v>
      </c>
      <c r="I569" s="154">
        <v>1067.68</v>
      </c>
      <c r="J569" s="144">
        <f t="shared" si="26"/>
        <v>4</v>
      </c>
      <c r="K569" s="155">
        <v>1.4833299999999999E-3</v>
      </c>
      <c r="L569" s="154">
        <f t="shared" si="27"/>
        <v>6.33</v>
      </c>
      <c r="M569" s="154">
        <f t="shared" si="28"/>
        <v>19</v>
      </c>
      <c r="N569" s="145"/>
    </row>
    <row r="570" spans="1:14">
      <c r="A570" s="151" t="s">
        <v>626</v>
      </c>
      <c r="B570" s="152" t="s">
        <v>1838</v>
      </c>
      <c r="C570" s="152" t="s">
        <v>1839</v>
      </c>
      <c r="D570" s="151" t="s">
        <v>1840</v>
      </c>
      <c r="E570" s="152" t="s">
        <v>260</v>
      </c>
      <c r="F570" s="151" t="s">
        <v>1608</v>
      </c>
      <c r="G570" s="152" t="s">
        <v>20</v>
      </c>
      <c r="H570" s="153">
        <v>201607</v>
      </c>
      <c r="I570" s="154">
        <v>1309.23</v>
      </c>
      <c r="J570" s="144">
        <f t="shared" si="26"/>
        <v>4</v>
      </c>
      <c r="K570" s="155">
        <v>1.4833299999999999E-3</v>
      </c>
      <c r="L570" s="154">
        <f t="shared" si="27"/>
        <v>7.77</v>
      </c>
      <c r="M570" s="154">
        <f t="shared" si="28"/>
        <v>23.3</v>
      </c>
      <c r="N570" s="145"/>
    </row>
    <row r="571" spans="1:14">
      <c r="A571" s="161" t="s">
        <v>626</v>
      </c>
      <c r="B571" s="160" t="s">
        <v>1850</v>
      </c>
      <c r="C571" s="160" t="s">
        <v>1851</v>
      </c>
      <c r="D571" s="161" t="s">
        <v>1852</v>
      </c>
      <c r="E571" s="160" t="s">
        <v>260</v>
      </c>
      <c r="F571" s="161" t="s">
        <v>1608</v>
      </c>
      <c r="G571" s="160" t="s">
        <v>20</v>
      </c>
      <c r="H571" s="103">
        <v>201607</v>
      </c>
      <c r="I571" s="154">
        <v>2249.3000000000002</v>
      </c>
      <c r="J571" s="144">
        <f t="shared" si="26"/>
        <v>4</v>
      </c>
      <c r="K571" s="155">
        <v>1.4833299999999999E-3</v>
      </c>
      <c r="L571" s="154">
        <f t="shared" ref="L571:L574" si="29">ROUND(I571*J571*K571,2)</f>
        <v>13.35</v>
      </c>
      <c r="M571" s="154">
        <f t="shared" si="28"/>
        <v>40.04</v>
      </c>
      <c r="N571" s="145"/>
    </row>
    <row r="572" spans="1:14">
      <c r="A572" s="161" t="s">
        <v>626</v>
      </c>
      <c r="B572" s="160" t="s">
        <v>1681</v>
      </c>
      <c r="C572" s="160" t="s">
        <v>2011</v>
      </c>
      <c r="D572" s="161" t="s">
        <v>2012</v>
      </c>
      <c r="E572" s="160" t="s">
        <v>260</v>
      </c>
      <c r="F572" s="161" t="s">
        <v>1608</v>
      </c>
      <c r="G572" s="160" t="s">
        <v>20</v>
      </c>
      <c r="H572" s="103">
        <v>201607</v>
      </c>
      <c r="I572" s="154">
        <v>2552.64</v>
      </c>
      <c r="J572" s="144">
        <f t="shared" si="26"/>
        <v>4</v>
      </c>
      <c r="K572" s="155">
        <v>1.4833299999999999E-3</v>
      </c>
      <c r="L572" s="154">
        <f t="shared" si="29"/>
        <v>15.15</v>
      </c>
      <c r="M572" s="154">
        <f t="shared" si="28"/>
        <v>45.44</v>
      </c>
      <c r="N572" s="145"/>
    </row>
    <row r="573" spans="1:14">
      <c r="A573" s="161" t="s">
        <v>626</v>
      </c>
      <c r="B573" s="160" t="s">
        <v>1681</v>
      </c>
      <c r="C573" s="160" t="s">
        <v>2077</v>
      </c>
      <c r="D573" s="161" t="s">
        <v>2078</v>
      </c>
      <c r="E573" s="160" t="s">
        <v>260</v>
      </c>
      <c r="F573" s="161" t="s">
        <v>1608</v>
      </c>
      <c r="G573" s="160" t="s">
        <v>20</v>
      </c>
      <c r="H573" s="103">
        <v>201607</v>
      </c>
      <c r="I573" s="154">
        <v>6626.05</v>
      </c>
      <c r="J573" s="144">
        <f t="shared" si="26"/>
        <v>4</v>
      </c>
      <c r="K573" s="155">
        <v>1.4833299999999999E-3</v>
      </c>
      <c r="L573" s="154">
        <f t="shared" si="29"/>
        <v>39.31</v>
      </c>
      <c r="M573" s="154">
        <f t="shared" si="28"/>
        <v>117.94</v>
      </c>
      <c r="N573" s="145"/>
    </row>
    <row r="574" spans="1:14">
      <c r="A574" s="161" t="s">
        <v>626</v>
      </c>
      <c r="B574" s="160" t="s">
        <v>1681</v>
      </c>
      <c r="C574" s="160" t="s">
        <v>2071</v>
      </c>
      <c r="D574" s="161" t="s">
        <v>2072</v>
      </c>
      <c r="E574" s="160" t="s">
        <v>260</v>
      </c>
      <c r="F574" s="161" t="s">
        <v>1608</v>
      </c>
      <c r="G574" s="160" t="s">
        <v>20</v>
      </c>
      <c r="H574" s="103">
        <v>201607</v>
      </c>
      <c r="I574" s="154">
        <v>14406.34</v>
      </c>
      <c r="J574" s="144">
        <f t="shared" si="26"/>
        <v>4</v>
      </c>
      <c r="K574" s="155">
        <v>1.4833299999999999E-3</v>
      </c>
      <c r="L574" s="154">
        <f t="shared" si="29"/>
        <v>85.48</v>
      </c>
      <c r="M574" s="154">
        <f t="shared" si="28"/>
        <v>256.43</v>
      </c>
      <c r="N574" s="145"/>
    </row>
    <row r="575" spans="1:14">
      <c r="A575" s="161"/>
      <c r="B575" s="160"/>
      <c r="C575" s="160"/>
      <c r="D575" s="161"/>
      <c r="E575" s="160"/>
      <c r="F575" s="161"/>
      <c r="G575" s="160"/>
      <c r="H575" s="103"/>
      <c r="I575" s="293">
        <f>SUM(I59:I574)</f>
        <v>4463805.7100000028</v>
      </c>
      <c r="J575" s="144"/>
      <c r="K575" s="155"/>
      <c r="L575" s="293">
        <f t="shared" ref="L575:M575" si="30">SUM(L59:L574)</f>
        <v>39228.279999999984</v>
      </c>
      <c r="M575" s="293">
        <f t="shared" si="30"/>
        <v>80565.339999999982</v>
      </c>
      <c r="N575" s="145"/>
    </row>
    <row r="576" spans="1:14">
      <c r="A576" s="161"/>
      <c r="B576" s="160"/>
      <c r="C576" s="160"/>
      <c r="D576" s="161"/>
      <c r="E576" s="160"/>
      <c r="F576" s="161"/>
      <c r="G576" s="160"/>
      <c r="H576" s="103"/>
      <c r="I576" s="154"/>
      <c r="J576" s="144"/>
      <c r="K576" s="155"/>
      <c r="L576" s="154"/>
      <c r="M576" s="154"/>
      <c r="N576" s="145"/>
    </row>
    <row r="577" spans="1:14">
      <c r="A577" s="145" t="s">
        <v>990</v>
      </c>
      <c r="B577" s="146" t="s">
        <v>1730</v>
      </c>
      <c r="C577" s="146" t="s">
        <v>1731</v>
      </c>
      <c r="D577" s="145" t="s">
        <v>1732</v>
      </c>
      <c r="E577" s="146" t="s">
        <v>1688</v>
      </c>
      <c r="F577" s="145" t="s">
        <v>1689</v>
      </c>
      <c r="G577" s="146" t="s">
        <v>20</v>
      </c>
      <c r="H577" s="146">
        <v>201603</v>
      </c>
      <c r="I577" s="147">
        <v>1.36</v>
      </c>
      <c r="J577" s="144">
        <f t="shared" ref="J577:J600" si="31">HLOOKUP(H577,$Q$2:$Z$3,2)</f>
        <v>8</v>
      </c>
      <c r="K577" s="148">
        <v>2.3833299999999999E-3</v>
      </c>
      <c r="L577" s="147">
        <f t="shared" ref="L577:L600" si="32">ROUND(I577*J577*K577,2)</f>
        <v>0.03</v>
      </c>
      <c r="M577" s="147">
        <f t="shared" ref="M577:M600" si="33">ROUND(I577*K577*12,2)</f>
        <v>0.04</v>
      </c>
      <c r="N577" s="145"/>
    </row>
    <row r="578" spans="1:14">
      <c r="A578" s="145" t="s">
        <v>990</v>
      </c>
      <c r="B578" s="146" t="s">
        <v>1733</v>
      </c>
      <c r="C578" s="146" t="s">
        <v>1734</v>
      </c>
      <c r="D578" s="145" t="s">
        <v>1735</v>
      </c>
      <c r="E578" s="146" t="s">
        <v>1688</v>
      </c>
      <c r="F578" s="145" t="s">
        <v>1689</v>
      </c>
      <c r="G578" s="146" t="s">
        <v>20</v>
      </c>
      <c r="H578" s="146">
        <v>201603</v>
      </c>
      <c r="I578" s="147">
        <v>-6.19</v>
      </c>
      <c r="J578" s="144">
        <f t="shared" si="31"/>
        <v>8</v>
      </c>
      <c r="K578" s="148">
        <v>2.3833299999999999E-3</v>
      </c>
      <c r="L578" s="147">
        <f t="shared" si="32"/>
        <v>-0.12</v>
      </c>
      <c r="M578" s="147">
        <f t="shared" si="33"/>
        <v>-0.18</v>
      </c>
      <c r="N578" s="145"/>
    </row>
    <row r="579" spans="1:14">
      <c r="A579" s="145" t="s">
        <v>990</v>
      </c>
      <c r="B579" s="146" t="s">
        <v>1751</v>
      </c>
      <c r="C579" s="146" t="s">
        <v>1752</v>
      </c>
      <c r="D579" s="145" t="s">
        <v>1753</v>
      </c>
      <c r="E579" s="146" t="s">
        <v>1688</v>
      </c>
      <c r="F579" s="145" t="s">
        <v>1689</v>
      </c>
      <c r="G579" s="146" t="s">
        <v>20</v>
      </c>
      <c r="H579" s="146">
        <v>201603</v>
      </c>
      <c r="I579" s="147">
        <v>-6.19</v>
      </c>
      <c r="J579" s="144">
        <f t="shared" si="31"/>
        <v>8</v>
      </c>
      <c r="K579" s="148">
        <v>2.3833299999999999E-3</v>
      </c>
      <c r="L579" s="147">
        <f t="shared" si="32"/>
        <v>-0.12</v>
      </c>
      <c r="M579" s="147">
        <f t="shared" si="33"/>
        <v>-0.18</v>
      </c>
      <c r="N579" s="145"/>
    </row>
    <row r="580" spans="1:14">
      <c r="A580" s="145" t="s">
        <v>990</v>
      </c>
      <c r="B580" s="146" t="s">
        <v>1754</v>
      </c>
      <c r="C580" s="146" t="s">
        <v>1755</v>
      </c>
      <c r="D580" s="145" t="s">
        <v>1756</v>
      </c>
      <c r="E580" s="146" t="s">
        <v>1688</v>
      </c>
      <c r="F580" s="145" t="s">
        <v>1689</v>
      </c>
      <c r="G580" s="146" t="s">
        <v>20</v>
      </c>
      <c r="H580" s="146">
        <v>201603</v>
      </c>
      <c r="I580" s="147">
        <v>-53.01</v>
      </c>
      <c r="J580" s="144">
        <f t="shared" si="31"/>
        <v>8</v>
      </c>
      <c r="K580" s="148">
        <v>2.3833299999999999E-3</v>
      </c>
      <c r="L580" s="147">
        <f t="shared" si="32"/>
        <v>-1.01</v>
      </c>
      <c r="M580" s="147">
        <f t="shared" si="33"/>
        <v>-1.52</v>
      </c>
      <c r="N580" s="145"/>
    </row>
    <row r="581" spans="1:14">
      <c r="A581" s="145" t="s">
        <v>990</v>
      </c>
      <c r="B581" s="146" t="s">
        <v>1730</v>
      </c>
      <c r="C581" s="146" t="s">
        <v>1731</v>
      </c>
      <c r="D581" s="145" t="s">
        <v>1732</v>
      </c>
      <c r="E581" s="146" t="s">
        <v>1688</v>
      </c>
      <c r="F581" s="145" t="s">
        <v>1689</v>
      </c>
      <c r="G581" s="146" t="s">
        <v>20</v>
      </c>
      <c r="H581" s="146">
        <v>201604</v>
      </c>
      <c r="I581" s="147">
        <v>-3.09</v>
      </c>
      <c r="J581" s="144">
        <f t="shared" si="31"/>
        <v>7</v>
      </c>
      <c r="K581" s="148">
        <v>2.3833299999999999E-3</v>
      </c>
      <c r="L581" s="147">
        <f t="shared" si="32"/>
        <v>-0.05</v>
      </c>
      <c r="M581" s="147">
        <f t="shared" si="33"/>
        <v>-0.09</v>
      </c>
      <c r="N581" s="145"/>
    </row>
    <row r="582" spans="1:14">
      <c r="A582" s="145" t="s">
        <v>990</v>
      </c>
      <c r="B582" s="146" t="s">
        <v>1733</v>
      </c>
      <c r="C582" s="146" t="s">
        <v>1734</v>
      </c>
      <c r="D582" s="145" t="s">
        <v>1735</v>
      </c>
      <c r="E582" s="146" t="s">
        <v>1688</v>
      </c>
      <c r="F582" s="145" t="s">
        <v>1689</v>
      </c>
      <c r="G582" s="146" t="s">
        <v>20</v>
      </c>
      <c r="H582" s="146">
        <v>201604</v>
      </c>
      <c r="I582" s="147">
        <v>13.73</v>
      </c>
      <c r="J582" s="144">
        <f t="shared" si="31"/>
        <v>7</v>
      </c>
      <c r="K582" s="148">
        <v>2.3833299999999999E-3</v>
      </c>
      <c r="L582" s="147">
        <f t="shared" si="32"/>
        <v>0.23</v>
      </c>
      <c r="M582" s="147">
        <f t="shared" si="33"/>
        <v>0.39</v>
      </c>
      <c r="N582" s="145"/>
    </row>
    <row r="583" spans="1:14">
      <c r="A583" s="145" t="s">
        <v>990</v>
      </c>
      <c r="B583" s="146" t="s">
        <v>1751</v>
      </c>
      <c r="C583" s="146" t="s">
        <v>1752</v>
      </c>
      <c r="D583" s="145" t="s">
        <v>1753</v>
      </c>
      <c r="E583" s="146" t="s">
        <v>1688</v>
      </c>
      <c r="F583" s="145" t="s">
        <v>1689</v>
      </c>
      <c r="G583" s="146" t="s">
        <v>20</v>
      </c>
      <c r="H583" s="146">
        <v>201604</v>
      </c>
      <c r="I583" s="147">
        <v>13.73</v>
      </c>
      <c r="J583" s="144">
        <f t="shared" si="31"/>
        <v>7</v>
      </c>
      <c r="K583" s="148">
        <v>2.3833299999999999E-3</v>
      </c>
      <c r="L583" s="147">
        <f t="shared" si="32"/>
        <v>0.23</v>
      </c>
      <c r="M583" s="147">
        <f t="shared" si="33"/>
        <v>0.39</v>
      </c>
      <c r="N583" s="145"/>
    </row>
    <row r="584" spans="1:14">
      <c r="A584" s="145" t="s">
        <v>990</v>
      </c>
      <c r="B584" s="146" t="s">
        <v>1754</v>
      </c>
      <c r="C584" s="146" t="s">
        <v>1755</v>
      </c>
      <c r="D584" s="145" t="s">
        <v>1756</v>
      </c>
      <c r="E584" s="146" t="s">
        <v>1688</v>
      </c>
      <c r="F584" s="145" t="s">
        <v>1689</v>
      </c>
      <c r="G584" s="146" t="s">
        <v>20</v>
      </c>
      <c r="H584" s="146">
        <v>201604</v>
      </c>
      <c r="I584" s="147">
        <v>56.9</v>
      </c>
      <c r="J584" s="144">
        <f t="shared" si="31"/>
        <v>7</v>
      </c>
      <c r="K584" s="148">
        <v>2.3833299999999999E-3</v>
      </c>
      <c r="L584" s="147">
        <f t="shared" si="32"/>
        <v>0.95</v>
      </c>
      <c r="M584" s="147">
        <f t="shared" si="33"/>
        <v>1.63</v>
      </c>
      <c r="N584" s="145"/>
    </row>
    <row r="585" spans="1:14">
      <c r="A585" s="145" t="s">
        <v>990</v>
      </c>
      <c r="B585" s="146" t="s">
        <v>1681</v>
      </c>
      <c r="C585" s="146" t="s">
        <v>2063</v>
      </c>
      <c r="D585" s="145" t="s">
        <v>2064</v>
      </c>
      <c r="E585" s="146" t="s">
        <v>1688</v>
      </c>
      <c r="F585" s="145" t="s">
        <v>1689</v>
      </c>
      <c r="G585" s="146" t="s">
        <v>20</v>
      </c>
      <c r="H585" s="146">
        <v>201604</v>
      </c>
      <c r="I585" s="147">
        <v>2497.5500000000002</v>
      </c>
      <c r="J585" s="144">
        <f t="shared" si="31"/>
        <v>7</v>
      </c>
      <c r="K585" s="148">
        <v>2.3833299999999999E-3</v>
      </c>
      <c r="L585" s="147">
        <f t="shared" si="32"/>
        <v>41.67</v>
      </c>
      <c r="M585" s="147">
        <f t="shared" si="33"/>
        <v>71.430000000000007</v>
      </c>
      <c r="N585" s="145"/>
    </row>
    <row r="586" spans="1:14">
      <c r="A586" s="145" t="s">
        <v>990</v>
      </c>
      <c r="B586" s="146" t="s">
        <v>1730</v>
      </c>
      <c r="C586" s="146" t="s">
        <v>1731</v>
      </c>
      <c r="D586" s="145" t="s">
        <v>1732</v>
      </c>
      <c r="E586" s="146" t="s">
        <v>1688</v>
      </c>
      <c r="F586" s="145" t="s">
        <v>1689</v>
      </c>
      <c r="G586" s="146" t="s">
        <v>20</v>
      </c>
      <c r="H586" s="146">
        <v>201605</v>
      </c>
      <c r="I586" s="147">
        <v>-2.31</v>
      </c>
      <c r="J586" s="144">
        <f t="shared" si="31"/>
        <v>6</v>
      </c>
      <c r="K586" s="148">
        <v>2.3833299999999999E-3</v>
      </c>
      <c r="L586" s="147">
        <f t="shared" si="32"/>
        <v>-0.03</v>
      </c>
      <c r="M586" s="147">
        <f t="shared" si="33"/>
        <v>-7.0000000000000007E-2</v>
      </c>
      <c r="N586" s="145"/>
    </row>
    <row r="587" spans="1:14">
      <c r="A587" s="145" t="s">
        <v>990</v>
      </c>
      <c r="B587" s="146" t="s">
        <v>1733</v>
      </c>
      <c r="C587" s="146" t="s">
        <v>1734</v>
      </c>
      <c r="D587" s="145" t="s">
        <v>1735</v>
      </c>
      <c r="E587" s="146" t="s">
        <v>1688</v>
      </c>
      <c r="F587" s="145" t="s">
        <v>1689</v>
      </c>
      <c r="G587" s="146" t="s">
        <v>20</v>
      </c>
      <c r="H587" s="146">
        <v>201605</v>
      </c>
      <c r="I587" s="147">
        <v>11.21</v>
      </c>
      <c r="J587" s="144">
        <f t="shared" si="31"/>
        <v>6</v>
      </c>
      <c r="K587" s="148">
        <v>2.3833299999999999E-3</v>
      </c>
      <c r="L587" s="147">
        <f t="shared" si="32"/>
        <v>0.16</v>
      </c>
      <c r="M587" s="147">
        <f t="shared" si="33"/>
        <v>0.32</v>
      </c>
      <c r="N587" s="145"/>
    </row>
    <row r="588" spans="1:14">
      <c r="A588" s="145" t="s">
        <v>990</v>
      </c>
      <c r="B588" s="146" t="s">
        <v>1751</v>
      </c>
      <c r="C588" s="146" t="s">
        <v>1752</v>
      </c>
      <c r="D588" s="145" t="s">
        <v>1753</v>
      </c>
      <c r="E588" s="146" t="s">
        <v>1688</v>
      </c>
      <c r="F588" s="145" t="s">
        <v>1689</v>
      </c>
      <c r="G588" s="146" t="s">
        <v>20</v>
      </c>
      <c r="H588" s="146">
        <v>201605</v>
      </c>
      <c r="I588" s="147">
        <v>11.21</v>
      </c>
      <c r="J588" s="144">
        <f t="shared" si="31"/>
        <v>6</v>
      </c>
      <c r="K588" s="148">
        <v>2.3833299999999999E-3</v>
      </c>
      <c r="L588" s="147">
        <f t="shared" si="32"/>
        <v>0.16</v>
      </c>
      <c r="M588" s="147">
        <f t="shared" si="33"/>
        <v>0.32</v>
      </c>
      <c r="N588" s="145"/>
    </row>
    <row r="589" spans="1:14">
      <c r="A589" s="145" t="s">
        <v>990</v>
      </c>
      <c r="B589" s="146" t="s">
        <v>1754</v>
      </c>
      <c r="C589" s="146" t="s">
        <v>1755</v>
      </c>
      <c r="D589" s="145" t="s">
        <v>1756</v>
      </c>
      <c r="E589" s="146" t="s">
        <v>1688</v>
      </c>
      <c r="F589" s="145" t="s">
        <v>1689</v>
      </c>
      <c r="G589" s="146" t="s">
        <v>20</v>
      </c>
      <c r="H589" s="146">
        <v>201605</v>
      </c>
      <c r="I589" s="147">
        <v>48.16</v>
      </c>
      <c r="J589" s="144">
        <f t="shared" si="31"/>
        <v>6</v>
      </c>
      <c r="K589" s="148">
        <v>2.3833299999999999E-3</v>
      </c>
      <c r="L589" s="147">
        <f t="shared" si="32"/>
        <v>0.69</v>
      </c>
      <c r="M589" s="147">
        <f t="shared" si="33"/>
        <v>1.38</v>
      </c>
      <c r="N589" s="145"/>
    </row>
    <row r="590" spans="1:14">
      <c r="A590" s="145" t="s">
        <v>990</v>
      </c>
      <c r="B590" s="146" t="s">
        <v>1681</v>
      </c>
      <c r="C590" s="146" t="s">
        <v>2063</v>
      </c>
      <c r="D590" s="145" t="s">
        <v>2064</v>
      </c>
      <c r="E590" s="146" t="s">
        <v>1688</v>
      </c>
      <c r="F590" s="145" t="s">
        <v>1689</v>
      </c>
      <c r="G590" s="146" t="s">
        <v>20</v>
      </c>
      <c r="H590" s="146">
        <v>201605</v>
      </c>
      <c r="I590" s="147">
        <v>79.59</v>
      </c>
      <c r="J590" s="144">
        <f t="shared" si="31"/>
        <v>6</v>
      </c>
      <c r="K590" s="148">
        <v>2.3833299999999999E-3</v>
      </c>
      <c r="L590" s="147">
        <f t="shared" si="32"/>
        <v>1.1399999999999999</v>
      </c>
      <c r="M590" s="147">
        <f t="shared" si="33"/>
        <v>2.2799999999999998</v>
      </c>
      <c r="N590" s="145"/>
    </row>
    <row r="591" spans="1:14">
      <c r="A591" s="145" t="s">
        <v>990</v>
      </c>
      <c r="B591" s="146" t="s">
        <v>1730</v>
      </c>
      <c r="C591" s="146" t="s">
        <v>1731</v>
      </c>
      <c r="D591" s="145" t="s">
        <v>1732</v>
      </c>
      <c r="E591" s="146" t="s">
        <v>1688</v>
      </c>
      <c r="F591" s="145" t="s">
        <v>1689</v>
      </c>
      <c r="G591" s="146" t="s">
        <v>20</v>
      </c>
      <c r="H591" s="146">
        <v>201606</v>
      </c>
      <c r="I591" s="147">
        <v>-1.61</v>
      </c>
      <c r="J591" s="144">
        <f t="shared" si="31"/>
        <v>5</v>
      </c>
      <c r="K591" s="148">
        <v>2.3833299999999999E-3</v>
      </c>
      <c r="L591" s="147">
        <f t="shared" si="32"/>
        <v>-0.02</v>
      </c>
      <c r="M591" s="147">
        <f t="shared" si="33"/>
        <v>-0.05</v>
      </c>
      <c r="N591" s="145"/>
    </row>
    <row r="592" spans="1:14">
      <c r="A592" s="145" t="s">
        <v>990</v>
      </c>
      <c r="B592" s="146" t="s">
        <v>1733</v>
      </c>
      <c r="C592" s="146" t="s">
        <v>1734</v>
      </c>
      <c r="D592" s="145" t="s">
        <v>1735</v>
      </c>
      <c r="E592" s="146" t="s">
        <v>1688</v>
      </c>
      <c r="F592" s="145" t="s">
        <v>1689</v>
      </c>
      <c r="G592" s="146" t="s">
        <v>20</v>
      </c>
      <c r="H592" s="146">
        <v>201606</v>
      </c>
      <c r="I592" s="147">
        <v>7.32</v>
      </c>
      <c r="J592" s="144">
        <f t="shared" si="31"/>
        <v>5</v>
      </c>
      <c r="K592" s="148">
        <v>2.3833299999999999E-3</v>
      </c>
      <c r="L592" s="147">
        <f t="shared" si="32"/>
        <v>0.09</v>
      </c>
      <c r="M592" s="147">
        <f t="shared" si="33"/>
        <v>0.21</v>
      </c>
      <c r="N592" s="145"/>
    </row>
    <row r="593" spans="1:14">
      <c r="A593" s="145" t="s">
        <v>990</v>
      </c>
      <c r="B593" s="146" t="s">
        <v>1751</v>
      </c>
      <c r="C593" s="146" t="s">
        <v>1752</v>
      </c>
      <c r="D593" s="145" t="s">
        <v>1753</v>
      </c>
      <c r="E593" s="146" t="s">
        <v>1688</v>
      </c>
      <c r="F593" s="145" t="s">
        <v>1689</v>
      </c>
      <c r="G593" s="146" t="s">
        <v>20</v>
      </c>
      <c r="H593" s="146">
        <v>201606</v>
      </c>
      <c r="I593" s="147">
        <v>7.32</v>
      </c>
      <c r="J593" s="144">
        <f t="shared" si="31"/>
        <v>5</v>
      </c>
      <c r="K593" s="148">
        <v>2.3833299999999999E-3</v>
      </c>
      <c r="L593" s="147">
        <f t="shared" si="32"/>
        <v>0.09</v>
      </c>
      <c r="M593" s="147">
        <f t="shared" si="33"/>
        <v>0.21</v>
      </c>
      <c r="N593" s="145"/>
    </row>
    <row r="594" spans="1:14">
      <c r="A594" s="145" t="s">
        <v>990</v>
      </c>
      <c r="B594" s="146" t="s">
        <v>1754</v>
      </c>
      <c r="C594" s="146" t="s">
        <v>1755</v>
      </c>
      <c r="D594" s="145" t="s">
        <v>1756</v>
      </c>
      <c r="E594" s="146" t="s">
        <v>1688</v>
      </c>
      <c r="F594" s="145" t="s">
        <v>1689</v>
      </c>
      <c r="G594" s="146" t="s">
        <v>20</v>
      </c>
      <c r="H594" s="146">
        <v>201606</v>
      </c>
      <c r="I594" s="147">
        <v>33.54</v>
      </c>
      <c r="J594" s="144">
        <f t="shared" si="31"/>
        <v>5</v>
      </c>
      <c r="K594" s="148">
        <v>2.3833299999999999E-3</v>
      </c>
      <c r="L594" s="147">
        <f t="shared" si="32"/>
        <v>0.4</v>
      </c>
      <c r="M594" s="147">
        <f t="shared" si="33"/>
        <v>0.96</v>
      </c>
      <c r="N594" s="145"/>
    </row>
    <row r="595" spans="1:14">
      <c r="A595" s="145" t="s">
        <v>990</v>
      </c>
      <c r="B595" s="146" t="s">
        <v>1681</v>
      </c>
      <c r="C595" s="146" t="s">
        <v>2063</v>
      </c>
      <c r="D595" s="145" t="s">
        <v>2064</v>
      </c>
      <c r="E595" s="146" t="s">
        <v>1688</v>
      </c>
      <c r="F595" s="145" t="s">
        <v>1689</v>
      </c>
      <c r="G595" s="146" t="s">
        <v>20</v>
      </c>
      <c r="H595" s="146">
        <v>201606</v>
      </c>
      <c r="I595" s="147">
        <v>55.48</v>
      </c>
      <c r="J595" s="144">
        <f t="shared" si="31"/>
        <v>5</v>
      </c>
      <c r="K595" s="148">
        <v>2.3833299999999999E-3</v>
      </c>
      <c r="L595" s="147">
        <f t="shared" si="32"/>
        <v>0.66</v>
      </c>
      <c r="M595" s="147">
        <f t="shared" si="33"/>
        <v>1.59</v>
      </c>
      <c r="N595" s="145"/>
    </row>
    <row r="596" spans="1:14">
      <c r="A596" s="151" t="s">
        <v>990</v>
      </c>
      <c r="B596" s="152" t="s">
        <v>1730</v>
      </c>
      <c r="C596" s="152" t="s">
        <v>1731</v>
      </c>
      <c r="D596" s="151" t="s">
        <v>1732</v>
      </c>
      <c r="E596" s="152" t="s">
        <v>1688</v>
      </c>
      <c r="F596" s="151" t="s">
        <v>1689</v>
      </c>
      <c r="G596" s="152" t="s">
        <v>20</v>
      </c>
      <c r="H596" s="153">
        <v>201607</v>
      </c>
      <c r="I596" s="154">
        <v>-1.53</v>
      </c>
      <c r="J596" s="144">
        <f t="shared" si="31"/>
        <v>4</v>
      </c>
      <c r="K596" s="155">
        <v>2.3833299999999999E-3</v>
      </c>
      <c r="L596" s="154">
        <f t="shared" si="32"/>
        <v>-0.01</v>
      </c>
      <c r="M596" s="154">
        <f t="shared" si="33"/>
        <v>-0.04</v>
      </c>
      <c r="N596" s="145"/>
    </row>
    <row r="597" spans="1:14">
      <c r="A597" s="151" t="s">
        <v>990</v>
      </c>
      <c r="B597" s="152" t="s">
        <v>1751</v>
      </c>
      <c r="C597" s="152" t="s">
        <v>1752</v>
      </c>
      <c r="D597" s="151" t="s">
        <v>1753</v>
      </c>
      <c r="E597" s="152" t="s">
        <v>1688</v>
      </c>
      <c r="F597" s="151" t="s">
        <v>1689</v>
      </c>
      <c r="G597" s="152" t="s">
        <v>20</v>
      </c>
      <c r="H597" s="153">
        <v>201607</v>
      </c>
      <c r="I597" s="154">
        <v>6.58</v>
      </c>
      <c r="J597" s="144">
        <f t="shared" si="31"/>
        <v>4</v>
      </c>
      <c r="K597" s="155">
        <v>2.3833299999999999E-3</v>
      </c>
      <c r="L597" s="154">
        <f t="shared" si="32"/>
        <v>0.06</v>
      </c>
      <c r="M597" s="154">
        <f t="shared" si="33"/>
        <v>0.19</v>
      </c>
      <c r="N597" s="145"/>
    </row>
    <row r="598" spans="1:14">
      <c r="A598" s="151" t="s">
        <v>990</v>
      </c>
      <c r="B598" s="152" t="s">
        <v>1733</v>
      </c>
      <c r="C598" s="152" t="s">
        <v>1734</v>
      </c>
      <c r="D598" s="151" t="s">
        <v>1735</v>
      </c>
      <c r="E598" s="152" t="s">
        <v>1688</v>
      </c>
      <c r="F598" s="151" t="s">
        <v>1689</v>
      </c>
      <c r="G598" s="152" t="s">
        <v>20</v>
      </c>
      <c r="H598" s="153">
        <v>201607</v>
      </c>
      <c r="I598" s="154">
        <v>6.58</v>
      </c>
      <c r="J598" s="144">
        <f t="shared" si="31"/>
        <v>4</v>
      </c>
      <c r="K598" s="155">
        <v>2.3833299999999999E-3</v>
      </c>
      <c r="L598" s="154">
        <f t="shared" si="32"/>
        <v>0.06</v>
      </c>
      <c r="M598" s="154">
        <f t="shared" si="33"/>
        <v>0.19</v>
      </c>
      <c r="N598" s="145"/>
    </row>
    <row r="599" spans="1:14">
      <c r="A599" s="151" t="s">
        <v>990</v>
      </c>
      <c r="B599" s="152" t="s">
        <v>1754</v>
      </c>
      <c r="C599" s="152" t="s">
        <v>1755</v>
      </c>
      <c r="D599" s="151" t="s">
        <v>1756</v>
      </c>
      <c r="E599" s="152" t="s">
        <v>1688</v>
      </c>
      <c r="F599" s="151" t="s">
        <v>1689</v>
      </c>
      <c r="G599" s="152" t="s">
        <v>20</v>
      </c>
      <c r="H599" s="153">
        <v>201607</v>
      </c>
      <c r="I599" s="154">
        <v>29.65</v>
      </c>
      <c r="J599" s="144">
        <f t="shared" si="31"/>
        <v>4</v>
      </c>
      <c r="K599" s="155">
        <v>2.3833299999999999E-3</v>
      </c>
      <c r="L599" s="154">
        <f t="shared" si="32"/>
        <v>0.28000000000000003</v>
      </c>
      <c r="M599" s="154">
        <f t="shared" si="33"/>
        <v>0.85</v>
      </c>
      <c r="N599" s="145"/>
    </row>
    <row r="600" spans="1:14">
      <c r="A600" s="151" t="s">
        <v>990</v>
      </c>
      <c r="B600" s="160" t="s">
        <v>1681</v>
      </c>
      <c r="C600" s="152" t="s">
        <v>2063</v>
      </c>
      <c r="D600" s="151" t="s">
        <v>2064</v>
      </c>
      <c r="E600" s="152" t="s">
        <v>1688</v>
      </c>
      <c r="F600" s="151" t="s">
        <v>1689</v>
      </c>
      <c r="G600" s="152" t="s">
        <v>20</v>
      </c>
      <c r="H600" s="153">
        <v>201607</v>
      </c>
      <c r="I600" s="154">
        <v>47.17</v>
      </c>
      <c r="J600" s="144">
        <f t="shared" si="31"/>
        <v>4</v>
      </c>
      <c r="K600" s="155">
        <v>2.3833299999999999E-3</v>
      </c>
      <c r="L600" s="154">
        <f t="shared" si="32"/>
        <v>0.45</v>
      </c>
      <c r="M600" s="154">
        <f t="shared" si="33"/>
        <v>1.35</v>
      </c>
      <c r="N600" s="145"/>
    </row>
    <row r="601" spans="1:14">
      <c r="A601" s="151"/>
      <c r="B601" s="160"/>
      <c r="C601" s="152"/>
      <c r="D601" s="151"/>
      <c r="E601" s="152"/>
      <c r="F601" s="151"/>
      <c r="G601" s="152"/>
      <c r="H601" s="153"/>
      <c r="I601" s="293">
        <f>SUM(I577:I600)</f>
        <v>2853.15</v>
      </c>
      <c r="J601" s="144"/>
      <c r="K601" s="155"/>
      <c r="L601" s="293">
        <f t="shared" ref="L601:M601" si="34">SUM(L577:L600)</f>
        <v>45.99</v>
      </c>
      <c r="M601" s="293">
        <f t="shared" si="34"/>
        <v>81.599999999999966</v>
      </c>
      <c r="N601" s="145"/>
    </row>
    <row r="602" spans="1:14">
      <c r="A602" s="151"/>
      <c r="B602" s="160"/>
      <c r="C602" s="152"/>
      <c r="D602" s="151"/>
      <c r="E602" s="152"/>
      <c r="F602" s="151"/>
      <c r="G602" s="152"/>
      <c r="H602" s="153"/>
      <c r="I602" s="154"/>
      <c r="J602" s="144"/>
      <c r="K602" s="155"/>
      <c r="L602" s="154"/>
      <c r="M602" s="154"/>
      <c r="N602" s="145"/>
    </row>
    <row r="603" spans="1:14">
      <c r="A603" s="145" t="s">
        <v>21</v>
      </c>
      <c r="B603" s="146" t="s">
        <v>1858</v>
      </c>
      <c r="C603" s="146" t="s">
        <v>1859</v>
      </c>
      <c r="D603" s="145" t="s">
        <v>1860</v>
      </c>
      <c r="E603" s="146" t="s">
        <v>70</v>
      </c>
      <c r="F603" s="145" t="s">
        <v>71</v>
      </c>
      <c r="G603" s="146" t="s">
        <v>20</v>
      </c>
      <c r="H603" s="146">
        <v>201603</v>
      </c>
      <c r="I603" s="147">
        <v>-4.7300000000000004</v>
      </c>
      <c r="J603" s="144">
        <f t="shared" ref="J603:J617" si="35">HLOOKUP(H603,$Q$2:$Z$3,2)</f>
        <v>8</v>
      </c>
      <c r="K603" s="148">
        <v>1.4833299999999999E-3</v>
      </c>
      <c r="L603" s="147">
        <f t="shared" ref="L603:L617" si="36">ROUND(I603*J603*K603,2)</f>
        <v>-0.06</v>
      </c>
      <c r="M603" s="147">
        <f t="shared" ref="M603:M617" si="37">ROUND(I603*K603*12,2)</f>
        <v>-0.08</v>
      </c>
      <c r="N603" s="145"/>
    </row>
    <row r="604" spans="1:14">
      <c r="A604" s="145" t="s">
        <v>21</v>
      </c>
      <c r="B604" s="146" t="s">
        <v>1858</v>
      </c>
      <c r="C604" s="146" t="s">
        <v>1859</v>
      </c>
      <c r="D604" s="145" t="s">
        <v>1860</v>
      </c>
      <c r="E604" s="146" t="s">
        <v>70</v>
      </c>
      <c r="F604" s="145" t="s">
        <v>71</v>
      </c>
      <c r="G604" s="146" t="s">
        <v>20</v>
      </c>
      <c r="H604" s="146">
        <v>201604</v>
      </c>
      <c r="I604" s="147">
        <v>55.96</v>
      </c>
      <c r="J604" s="144">
        <f t="shared" si="35"/>
        <v>7</v>
      </c>
      <c r="K604" s="148">
        <v>1.4833299999999999E-3</v>
      </c>
      <c r="L604" s="147">
        <f t="shared" si="36"/>
        <v>0.57999999999999996</v>
      </c>
      <c r="M604" s="147">
        <f t="shared" si="37"/>
        <v>1</v>
      </c>
      <c r="N604" s="145"/>
    </row>
    <row r="605" spans="1:14">
      <c r="A605" s="145" t="s">
        <v>21</v>
      </c>
      <c r="B605" s="146" t="s">
        <v>1858</v>
      </c>
      <c r="C605" s="146" t="s">
        <v>1859</v>
      </c>
      <c r="D605" s="145" t="s">
        <v>1860</v>
      </c>
      <c r="E605" s="146" t="s">
        <v>70</v>
      </c>
      <c r="F605" s="145" t="s">
        <v>71</v>
      </c>
      <c r="G605" s="146" t="s">
        <v>20</v>
      </c>
      <c r="H605" s="146">
        <v>201605</v>
      </c>
      <c r="I605" s="147">
        <v>40.130000000000003</v>
      </c>
      <c r="J605" s="144">
        <f t="shared" si="35"/>
        <v>6</v>
      </c>
      <c r="K605" s="148">
        <v>1.4833299999999999E-3</v>
      </c>
      <c r="L605" s="147">
        <f t="shared" si="36"/>
        <v>0.36</v>
      </c>
      <c r="M605" s="147">
        <f t="shared" si="37"/>
        <v>0.71</v>
      </c>
      <c r="N605" s="145"/>
    </row>
    <row r="606" spans="1:14">
      <c r="A606" s="145" t="s">
        <v>21</v>
      </c>
      <c r="B606" s="146" t="s">
        <v>1858</v>
      </c>
      <c r="C606" s="146" t="s">
        <v>1859</v>
      </c>
      <c r="D606" s="145" t="s">
        <v>1860</v>
      </c>
      <c r="E606" s="146" t="s">
        <v>70</v>
      </c>
      <c r="F606" s="145" t="s">
        <v>71</v>
      </c>
      <c r="G606" s="146" t="s">
        <v>20</v>
      </c>
      <c r="H606" s="146">
        <v>201606</v>
      </c>
      <c r="I606" s="147">
        <v>24.67</v>
      </c>
      <c r="J606" s="144">
        <f t="shared" si="35"/>
        <v>5</v>
      </c>
      <c r="K606" s="148">
        <v>1.4833299999999999E-3</v>
      </c>
      <c r="L606" s="147">
        <f t="shared" si="36"/>
        <v>0.18</v>
      </c>
      <c r="M606" s="147">
        <f t="shared" si="37"/>
        <v>0.44</v>
      </c>
      <c r="N606" s="145"/>
    </row>
    <row r="607" spans="1:14">
      <c r="A607" s="151" t="s">
        <v>21</v>
      </c>
      <c r="B607" s="152" t="s">
        <v>1858</v>
      </c>
      <c r="C607" s="152" t="s">
        <v>1859</v>
      </c>
      <c r="D607" s="151" t="s">
        <v>1860</v>
      </c>
      <c r="E607" s="152" t="s">
        <v>70</v>
      </c>
      <c r="F607" s="151" t="s">
        <v>71</v>
      </c>
      <c r="G607" s="152" t="s">
        <v>20</v>
      </c>
      <c r="H607" s="153">
        <v>201607</v>
      </c>
      <c r="I607" s="154">
        <v>14.08</v>
      </c>
      <c r="J607" s="144">
        <f t="shared" si="35"/>
        <v>4</v>
      </c>
      <c r="K607" s="155">
        <v>1.4833299999999999E-3</v>
      </c>
      <c r="L607" s="154">
        <f t="shared" si="36"/>
        <v>0.08</v>
      </c>
      <c r="M607" s="154">
        <f t="shared" si="37"/>
        <v>0.25</v>
      </c>
      <c r="N607" s="145"/>
    </row>
    <row r="608" spans="1:14">
      <c r="A608" s="145" t="s">
        <v>21</v>
      </c>
      <c r="B608" s="146" t="s">
        <v>1948</v>
      </c>
      <c r="C608" s="146" t="s">
        <v>1949</v>
      </c>
      <c r="D608" s="145" t="s">
        <v>1950</v>
      </c>
      <c r="E608" s="146" t="s">
        <v>756</v>
      </c>
      <c r="F608" s="145" t="s">
        <v>757</v>
      </c>
      <c r="G608" s="146" t="s">
        <v>20</v>
      </c>
      <c r="H608" s="146">
        <v>201603</v>
      </c>
      <c r="I608" s="147">
        <v>-38.15</v>
      </c>
      <c r="J608" s="144">
        <f t="shared" si="35"/>
        <v>8</v>
      </c>
      <c r="K608" s="148">
        <v>1.4833299999999999E-3</v>
      </c>
      <c r="L608" s="147">
        <f t="shared" si="36"/>
        <v>-0.45</v>
      </c>
      <c r="M608" s="147">
        <f t="shared" si="37"/>
        <v>-0.68</v>
      </c>
      <c r="N608" s="145"/>
    </row>
    <row r="609" spans="1:14">
      <c r="A609" s="145" t="s">
        <v>21</v>
      </c>
      <c r="B609" s="146" t="s">
        <v>1948</v>
      </c>
      <c r="C609" s="146" t="s">
        <v>1949</v>
      </c>
      <c r="D609" s="145" t="s">
        <v>1950</v>
      </c>
      <c r="E609" s="146" t="s">
        <v>756</v>
      </c>
      <c r="F609" s="145" t="s">
        <v>757</v>
      </c>
      <c r="G609" s="146" t="s">
        <v>20</v>
      </c>
      <c r="H609" s="146">
        <v>201604</v>
      </c>
      <c r="I609" s="147">
        <v>452.73</v>
      </c>
      <c r="J609" s="144">
        <f t="shared" si="35"/>
        <v>7</v>
      </c>
      <c r="K609" s="148">
        <v>1.4833299999999999E-3</v>
      </c>
      <c r="L609" s="147">
        <f t="shared" si="36"/>
        <v>4.7</v>
      </c>
      <c r="M609" s="147">
        <f t="shared" si="37"/>
        <v>8.06</v>
      </c>
      <c r="N609" s="145"/>
    </row>
    <row r="610" spans="1:14">
      <c r="A610" s="145" t="s">
        <v>21</v>
      </c>
      <c r="B610" s="146" t="s">
        <v>1948</v>
      </c>
      <c r="C610" s="146" t="s">
        <v>1949</v>
      </c>
      <c r="D610" s="145" t="s">
        <v>1950</v>
      </c>
      <c r="E610" s="146" t="s">
        <v>756</v>
      </c>
      <c r="F610" s="145" t="s">
        <v>757</v>
      </c>
      <c r="G610" s="146" t="s">
        <v>20</v>
      </c>
      <c r="H610" s="146">
        <v>201605</v>
      </c>
      <c r="I610" s="147">
        <v>324.85000000000002</v>
      </c>
      <c r="J610" s="144">
        <f t="shared" si="35"/>
        <v>6</v>
      </c>
      <c r="K610" s="148">
        <v>1.4833299999999999E-3</v>
      </c>
      <c r="L610" s="147">
        <f t="shared" si="36"/>
        <v>2.89</v>
      </c>
      <c r="M610" s="147">
        <f t="shared" si="37"/>
        <v>5.78</v>
      </c>
      <c r="N610" s="145"/>
    </row>
    <row r="611" spans="1:14">
      <c r="A611" s="145" t="s">
        <v>21</v>
      </c>
      <c r="B611" s="146" t="s">
        <v>1948</v>
      </c>
      <c r="C611" s="146" t="s">
        <v>1949</v>
      </c>
      <c r="D611" s="145" t="s">
        <v>1950</v>
      </c>
      <c r="E611" s="146" t="s">
        <v>756</v>
      </c>
      <c r="F611" s="145" t="s">
        <v>757</v>
      </c>
      <c r="G611" s="146" t="s">
        <v>20</v>
      </c>
      <c r="H611" s="146">
        <v>201606</v>
      </c>
      <c r="I611" s="147">
        <v>199.71</v>
      </c>
      <c r="J611" s="144">
        <f t="shared" si="35"/>
        <v>5</v>
      </c>
      <c r="K611" s="148">
        <v>1.4833299999999999E-3</v>
      </c>
      <c r="L611" s="147">
        <f t="shared" si="36"/>
        <v>1.48</v>
      </c>
      <c r="M611" s="147">
        <f t="shared" si="37"/>
        <v>3.55</v>
      </c>
      <c r="N611" s="145"/>
    </row>
    <row r="612" spans="1:14">
      <c r="A612" s="151" t="s">
        <v>21</v>
      </c>
      <c r="B612" s="152" t="s">
        <v>1948</v>
      </c>
      <c r="C612" s="152" t="s">
        <v>1949</v>
      </c>
      <c r="D612" s="151" t="s">
        <v>1950</v>
      </c>
      <c r="E612" s="152" t="s">
        <v>756</v>
      </c>
      <c r="F612" s="151" t="s">
        <v>757</v>
      </c>
      <c r="G612" s="152" t="s">
        <v>20</v>
      </c>
      <c r="H612" s="153">
        <v>201607</v>
      </c>
      <c r="I612" s="154">
        <v>113.96</v>
      </c>
      <c r="J612" s="144">
        <f t="shared" si="35"/>
        <v>4</v>
      </c>
      <c r="K612" s="155">
        <v>1.4833299999999999E-3</v>
      </c>
      <c r="L612" s="154">
        <f t="shared" si="36"/>
        <v>0.68</v>
      </c>
      <c r="M612" s="154">
        <f t="shared" si="37"/>
        <v>2.0299999999999998</v>
      </c>
      <c r="N612" s="145"/>
    </row>
    <row r="613" spans="1:14">
      <c r="A613" s="145" t="s">
        <v>21</v>
      </c>
      <c r="B613" s="146" t="s">
        <v>1502</v>
      </c>
      <c r="C613" s="146" t="s">
        <v>1503</v>
      </c>
      <c r="D613" s="145" t="s">
        <v>1504</v>
      </c>
      <c r="E613" s="146" t="s">
        <v>172</v>
      </c>
      <c r="F613" s="145" t="s">
        <v>1609</v>
      </c>
      <c r="G613" s="146" t="s">
        <v>20</v>
      </c>
      <c r="H613" s="146">
        <v>201603</v>
      </c>
      <c r="I613" s="147">
        <v>1.18</v>
      </c>
      <c r="J613" s="144">
        <f t="shared" si="35"/>
        <v>8</v>
      </c>
      <c r="K613" s="148">
        <v>1.4833299999999999E-3</v>
      </c>
      <c r="L613" s="147">
        <f t="shared" si="36"/>
        <v>0.01</v>
      </c>
      <c r="M613" s="147">
        <f t="shared" si="37"/>
        <v>0.02</v>
      </c>
      <c r="N613" s="145"/>
    </row>
    <row r="614" spans="1:14">
      <c r="A614" s="145" t="s">
        <v>21</v>
      </c>
      <c r="B614" s="146" t="s">
        <v>1502</v>
      </c>
      <c r="C614" s="146" t="s">
        <v>1503</v>
      </c>
      <c r="D614" s="145" t="s">
        <v>1504</v>
      </c>
      <c r="E614" s="146" t="s">
        <v>172</v>
      </c>
      <c r="F614" s="145" t="s">
        <v>1609</v>
      </c>
      <c r="G614" s="146" t="s">
        <v>20</v>
      </c>
      <c r="H614" s="146">
        <v>201604</v>
      </c>
      <c r="I614" s="147">
        <v>-13.84</v>
      </c>
      <c r="J614" s="144">
        <f t="shared" si="35"/>
        <v>7</v>
      </c>
      <c r="K614" s="148">
        <v>1.4833299999999999E-3</v>
      </c>
      <c r="L614" s="147">
        <f t="shared" si="36"/>
        <v>-0.14000000000000001</v>
      </c>
      <c r="M614" s="147">
        <f t="shared" si="37"/>
        <v>-0.25</v>
      </c>
      <c r="N614" s="145"/>
    </row>
    <row r="615" spans="1:14">
      <c r="A615" s="145" t="s">
        <v>21</v>
      </c>
      <c r="B615" s="146" t="s">
        <v>1502</v>
      </c>
      <c r="C615" s="146" t="s">
        <v>1503</v>
      </c>
      <c r="D615" s="145" t="s">
        <v>1504</v>
      </c>
      <c r="E615" s="146" t="s">
        <v>172</v>
      </c>
      <c r="F615" s="145" t="s">
        <v>1609</v>
      </c>
      <c r="G615" s="146" t="s">
        <v>20</v>
      </c>
      <c r="H615" s="146">
        <v>201605</v>
      </c>
      <c r="I615" s="147">
        <v>-9.9</v>
      </c>
      <c r="J615" s="144">
        <f t="shared" si="35"/>
        <v>6</v>
      </c>
      <c r="K615" s="148">
        <v>1.4833299999999999E-3</v>
      </c>
      <c r="L615" s="147">
        <f t="shared" si="36"/>
        <v>-0.09</v>
      </c>
      <c r="M615" s="147">
        <f t="shared" si="37"/>
        <v>-0.18</v>
      </c>
      <c r="N615" s="145"/>
    </row>
    <row r="616" spans="1:14">
      <c r="A616" s="145" t="s">
        <v>21</v>
      </c>
      <c r="B616" s="146" t="s">
        <v>1502</v>
      </c>
      <c r="C616" s="146" t="s">
        <v>1503</v>
      </c>
      <c r="D616" s="145" t="s">
        <v>1504</v>
      </c>
      <c r="E616" s="146" t="s">
        <v>172</v>
      </c>
      <c r="F616" s="145" t="s">
        <v>1609</v>
      </c>
      <c r="G616" s="146" t="s">
        <v>20</v>
      </c>
      <c r="H616" s="146">
        <v>201606</v>
      </c>
      <c r="I616" s="147">
        <v>-6.13</v>
      </c>
      <c r="J616" s="144">
        <f t="shared" si="35"/>
        <v>5</v>
      </c>
      <c r="K616" s="148">
        <v>1.4833299999999999E-3</v>
      </c>
      <c r="L616" s="147">
        <f t="shared" si="36"/>
        <v>-0.05</v>
      </c>
      <c r="M616" s="147">
        <f t="shared" si="37"/>
        <v>-0.11</v>
      </c>
      <c r="N616" s="145"/>
    </row>
    <row r="617" spans="1:14">
      <c r="A617" s="151" t="s">
        <v>21</v>
      </c>
      <c r="B617" s="152" t="s">
        <v>1502</v>
      </c>
      <c r="C617" s="152" t="s">
        <v>1503</v>
      </c>
      <c r="D617" s="151" t="s">
        <v>1504</v>
      </c>
      <c r="E617" s="152" t="s">
        <v>172</v>
      </c>
      <c r="F617" s="151" t="s">
        <v>1609</v>
      </c>
      <c r="G617" s="152" t="s">
        <v>20</v>
      </c>
      <c r="H617" s="153">
        <v>201607</v>
      </c>
      <c r="I617" s="154">
        <v>-3.47</v>
      </c>
      <c r="J617" s="144">
        <f t="shared" si="35"/>
        <v>4</v>
      </c>
      <c r="K617" s="155">
        <v>1.4833299999999999E-3</v>
      </c>
      <c r="L617" s="154">
        <f t="shared" si="36"/>
        <v>-0.02</v>
      </c>
      <c r="M617" s="154">
        <f t="shared" si="37"/>
        <v>-0.06</v>
      </c>
      <c r="N617" s="145"/>
    </row>
    <row r="618" spans="1:14">
      <c r="A618" s="151"/>
      <c r="B618" s="152"/>
      <c r="C618" s="152"/>
      <c r="D618" s="151"/>
      <c r="E618" s="152"/>
      <c r="F618" s="151"/>
      <c r="G618" s="152"/>
      <c r="H618" s="153"/>
      <c r="I618" s="293">
        <f>SUM(I603:I617)</f>
        <v>1151.05</v>
      </c>
      <c r="J618" s="144"/>
      <c r="K618" s="155"/>
      <c r="L618" s="293">
        <f t="shared" ref="L618:M618" si="38">SUM(L603:L617)</f>
        <v>10.15</v>
      </c>
      <c r="M618" s="293">
        <f t="shared" si="38"/>
        <v>20.480000000000004</v>
      </c>
      <c r="N618" s="145"/>
    </row>
    <row r="619" spans="1:14">
      <c r="A619" s="151"/>
      <c r="B619" s="152"/>
      <c r="C619" s="152"/>
      <c r="D619" s="151"/>
      <c r="E619" s="152"/>
      <c r="F619" s="151"/>
      <c r="G619" s="152"/>
      <c r="H619" s="153"/>
      <c r="I619" s="154"/>
      <c r="J619" s="144"/>
      <c r="K619" s="155"/>
      <c r="L619" s="154"/>
      <c r="M619" s="154"/>
      <c r="N619" s="145"/>
    </row>
    <row r="620" spans="1:14">
      <c r="A620" s="145" t="s">
        <v>626</v>
      </c>
      <c r="B620" s="146" t="s">
        <v>1826</v>
      </c>
      <c r="C620" s="146" t="s">
        <v>1827</v>
      </c>
      <c r="D620" s="145" t="s">
        <v>1828</v>
      </c>
      <c r="E620" s="146" t="s">
        <v>25</v>
      </c>
      <c r="F620" s="145" t="s">
        <v>26</v>
      </c>
      <c r="G620" s="146" t="s">
        <v>20</v>
      </c>
      <c r="H620" s="146">
        <v>201603</v>
      </c>
      <c r="I620" s="147">
        <v>5965.78</v>
      </c>
      <c r="J620" s="144">
        <f t="shared" ref="J620:J651" si="39">HLOOKUP(H620,$Q$2:$Z$3,2)</f>
        <v>8</v>
      </c>
      <c r="K620" s="148">
        <v>1.4833299999999999E-3</v>
      </c>
      <c r="L620" s="147">
        <f t="shared" ref="L620:L651" si="40">ROUND(I620*J620*K620,2)</f>
        <v>70.790000000000006</v>
      </c>
      <c r="M620" s="147">
        <f t="shared" ref="M620:M651" si="41">ROUND(I620*K620*12,2)</f>
        <v>106.19</v>
      </c>
      <c r="N620" s="145"/>
    </row>
    <row r="621" spans="1:14">
      <c r="A621" s="145" t="s">
        <v>626</v>
      </c>
      <c r="B621" s="146" t="s">
        <v>1615</v>
      </c>
      <c r="C621" s="146" t="s">
        <v>1616</v>
      </c>
      <c r="D621" s="145" t="s">
        <v>1617</v>
      </c>
      <c r="E621" s="146" t="s">
        <v>497</v>
      </c>
      <c r="F621" s="145" t="s">
        <v>26</v>
      </c>
      <c r="G621" s="146" t="s">
        <v>20</v>
      </c>
      <c r="H621" s="146">
        <v>201603</v>
      </c>
      <c r="I621" s="147">
        <v>2.12</v>
      </c>
      <c r="J621" s="144">
        <f t="shared" si="39"/>
        <v>8</v>
      </c>
      <c r="K621" s="148">
        <v>1.4833299999999999E-3</v>
      </c>
      <c r="L621" s="147">
        <f t="shared" si="40"/>
        <v>0.03</v>
      </c>
      <c r="M621" s="147">
        <f t="shared" si="41"/>
        <v>0.04</v>
      </c>
      <c r="N621" s="145"/>
    </row>
    <row r="622" spans="1:14">
      <c r="A622" s="145" t="s">
        <v>626</v>
      </c>
      <c r="B622" s="146" t="s">
        <v>1829</v>
      </c>
      <c r="C622" s="146" t="s">
        <v>1830</v>
      </c>
      <c r="D622" s="145" t="s">
        <v>1831</v>
      </c>
      <c r="E622" s="146" t="s">
        <v>497</v>
      </c>
      <c r="F622" s="145" t="s">
        <v>26</v>
      </c>
      <c r="G622" s="146" t="s">
        <v>20</v>
      </c>
      <c r="H622" s="146">
        <v>201603</v>
      </c>
      <c r="I622" s="147">
        <v>-2.4700000000000002</v>
      </c>
      <c r="J622" s="144">
        <f t="shared" si="39"/>
        <v>8</v>
      </c>
      <c r="K622" s="148">
        <v>1.4833299999999999E-3</v>
      </c>
      <c r="L622" s="147">
        <f t="shared" si="40"/>
        <v>-0.03</v>
      </c>
      <c r="M622" s="147">
        <f t="shared" si="41"/>
        <v>-0.04</v>
      </c>
      <c r="N622" s="145"/>
    </row>
    <row r="623" spans="1:14">
      <c r="A623" s="145" t="s">
        <v>626</v>
      </c>
      <c r="B623" s="146" t="s">
        <v>1709</v>
      </c>
      <c r="C623" s="146" t="s">
        <v>1710</v>
      </c>
      <c r="D623" s="145" t="s">
        <v>1711</v>
      </c>
      <c r="E623" s="146" t="s">
        <v>497</v>
      </c>
      <c r="F623" s="145" t="s">
        <v>26</v>
      </c>
      <c r="G623" s="146" t="s">
        <v>20</v>
      </c>
      <c r="H623" s="146">
        <v>201603</v>
      </c>
      <c r="I623" s="147">
        <v>-0.3</v>
      </c>
      <c r="J623" s="144">
        <f t="shared" si="39"/>
        <v>8</v>
      </c>
      <c r="K623" s="148">
        <v>1.4833299999999999E-3</v>
      </c>
      <c r="L623" s="147">
        <f t="shared" si="40"/>
        <v>0</v>
      </c>
      <c r="M623" s="147">
        <f t="shared" si="41"/>
        <v>-0.01</v>
      </c>
      <c r="N623" s="145"/>
    </row>
    <row r="624" spans="1:14">
      <c r="A624" s="145" t="s">
        <v>626</v>
      </c>
      <c r="B624" s="146" t="s">
        <v>1514</v>
      </c>
      <c r="C624" s="146" t="s">
        <v>1515</v>
      </c>
      <c r="D624" s="145" t="s">
        <v>1516</v>
      </c>
      <c r="E624" s="146" t="s">
        <v>809</v>
      </c>
      <c r="F624" s="145" t="s">
        <v>26</v>
      </c>
      <c r="G624" s="146" t="s">
        <v>20</v>
      </c>
      <c r="H624" s="146">
        <v>201603</v>
      </c>
      <c r="I624" s="147">
        <v>-1.24</v>
      </c>
      <c r="J624" s="144">
        <f t="shared" si="39"/>
        <v>8</v>
      </c>
      <c r="K624" s="148">
        <v>1.4833299999999999E-3</v>
      </c>
      <c r="L624" s="147">
        <f t="shared" si="40"/>
        <v>-0.01</v>
      </c>
      <c r="M624" s="147">
        <f t="shared" si="41"/>
        <v>-0.02</v>
      </c>
      <c r="N624" s="145"/>
    </row>
    <row r="625" spans="1:14">
      <c r="A625" s="145" t="s">
        <v>626</v>
      </c>
      <c r="B625" s="146" t="s">
        <v>1832</v>
      </c>
      <c r="C625" s="146" t="s">
        <v>1833</v>
      </c>
      <c r="D625" s="145" t="s">
        <v>1834</v>
      </c>
      <c r="E625" s="146" t="s">
        <v>497</v>
      </c>
      <c r="F625" s="145" t="s">
        <v>26</v>
      </c>
      <c r="G625" s="146" t="s">
        <v>20</v>
      </c>
      <c r="H625" s="146">
        <v>201603</v>
      </c>
      <c r="I625" s="147">
        <v>-150.94999999999999</v>
      </c>
      <c r="J625" s="144">
        <f t="shared" si="39"/>
        <v>8</v>
      </c>
      <c r="K625" s="148">
        <v>1.4833299999999999E-3</v>
      </c>
      <c r="L625" s="147">
        <f t="shared" si="40"/>
        <v>-1.79</v>
      </c>
      <c r="M625" s="147">
        <f t="shared" si="41"/>
        <v>-2.69</v>
      </c>
      <c r="N625" s="145"/>
    </row>
    <row r="626" spans="1:14">
      <c r="A626" s="145" t="s">
        <v>626</v>
      </c>
      <c r="B626" s="146" t="s">
        <v>1712</v>
      </c>
      <c r="C626" s="146" t="s">
        <v>1713</v>
      </c>
      <c r="D626" s="145" t="s">
        <v>1714</v>
      </c>
      <c r="E626" s="146" t="s">
        <v>497</v>
      </c>
      <c r="F626" s="145" t="s">
        <v>26</v>
      </c>
      <c r="G626" s="146" t="s">
        <v>20</v>
      </c>
      <c r="H626" s="146">
        <v>201603</v>
      </c>
      <c r="I626" s="147">
        <v>-19</v>
      </c>
      <c r="J626" s="144">
        <f t="shared" si="39"/>
        <v>8</v>
      </c>
      <c r="K626" s="148">
        <v>1.4833299999999999E-3</v>
      </c>
      <c r="L626" s="147">
        <f t="shared" si="40"/>
        <v>-0.23</v>
      </c>
      <c r="M626" s="147">
        <f t="shared" si="41"/>
        <v>-0.34</v>
      </c>
      <c r="N626" s="145"/>
    </row>
    <row r="627" spans="1:14">
      <c r="A627" s="145" t="s">
        <v>626</v>
      </c>
      <c r="B627" s="146" t="s">
        <v>1715</v>
      </c>
      <c r="C627" s="146" t="s">
        <v>1716</v>
      </c>
      <c r="D627" s="145" t="s">
        <v>1717</v>
      </c>
      <c r="E627" s="146" t="s">
        <v>497</v>
      </c>
      <c r="F627" s="145" t="s">
        <v>26</v>
      </c>
      <c r="G627" s="146" t="s">
        <v>20</v>
      </c>
      <c r="H627" s="146">
        <v>201603</v>
      </c>
      <c r="I627" s="147">
        <v>9.25</v>
      </c>
      <c r="J627" s="144">
        <f t="shared" si="39"/>
        <v>8</v>
      </c>
      <c r="K627" s="148">
        <v>1.4833299999999999E-3</v>
      </c>
      <c r="L627" s="147">
        <f t="shared" si="40"/>
        <v>0.11</v>
      </c>
      <c r="M627" s="147">
        <f t="shared" si="41"/>
        <v>0.16</v>
      </c>
      <c r="N627" s="145"/>
    </row>
    <row r="628" spans="1:14">
      <c r="A628" s="145" t="s">
        <v>626</v>
      </c>
      <c r="B628" s="146" t="s">
        <v>1835</v>
      </c>
      <c r="C628" s="146" t="s">
        <v>1836</v>
      </c>
      <c r="D628" s="145" t="s">
        <v>1837</v>
      </c>
      <c r="E628" s="146" t="s">
        <v>497</v>
      </c>
      <c r="F628" s="145" t="s">
        <v>26</v>
      </c>
      <c r="G628" s="146" t="s">
        <v>20</v>
      </c>
      <c r="H628" s="146">
        <v>201603</v>
      </c>
      <c r="I628" s="147">
        <v>-18.079999999999998</v>
      </c>
      <c r="J628" s="144">
        <f t="shared" si="39"/>
        <v>8</v>
      </c>
      <c r="K628" s="148">
        <v>1.4833299999999999E-3</v>
      </c>
      <c r="L628" s="147">
        <f t="shared" si="40"/>
        <v>-0.21</v>
      </c>
      <c r="M628" s="147">
        <f t="shared" si="41"/>
        <v>-0.32</v>
      </c>
      <c r="N628" s="145"/>
    </row>
    <row r="629" spans="1:14">
      <c r="A629" s="145" t="s">
        <v>626</v>
      </c>
      <c r="B629" s="146" t="s">
        <v>1718</v>
      </c>
      <c r="C629" s="146" t="s">
        <v>1719</v>
      </c>
      <c r="D629" s="145" t="s">
        <v>1720</v>
      </c>
      <c r="E629" s="146" t="s">
        <v>497</v>
      </c>
      <c r="F629" s="145" t="s">
        <v>26</v>
      </c>
      <c r="G629" s="146" t="s">
        <v>20</v>
      </c>
      <c r="H629" s="146">
        <v>201603</v>
      </c>
      <c r="I629" s="147">
        <v>-4.58</v>
      </c>
      <c r="J629" s="144">
        <f t="shared" si="39"/>
        <v>8</v>
      </c>
      <c r="K629" s="148">
        <v>1.4833299999999999E-3</v>
      </c>
      <c r="L629" s="147">
        <f t="shared" si="40"/>
        <v>-0.05</v>
      </c>
      <c r="M629" s="147">
        <f t="shared" si="41"/>
        <v>-0.08</v>
      </c>
      <c r="N629" s="145"/>
    </row>
    <row r="630" spans="1:14">
      <c r="A630" s="145" t="s">
        <v>626</v>
      </c>
      <c r="B630" s="146" t="s">
        <v>1620</v>
      </c>
      <c r="C630" s="146" t="s">
        <v>1621</v>
      </c>
      <c r="D630" s="145" t="s">
        <v>1622</v>
      </c>
      <c r="E630" s="146" t="s">
        <v>497</v>
      </c>
      <c r="F630" s="145" t="s">
        <v>26</v>
      </c>
      <c r="G630" s="146" t="s">
        <v>20</v>
      </c>
      <c r="H630" s="146">
        <v>201603</v>
      </c>
      <c r="I630" s="147">
        <v>-57.02</v>
      </c>
      <c r="J630" s="144">
        <f t="shared" si="39"/>
        <v>8</v>
      </c>
      <c r="K630" s="148">
        <v>1.4833299999999999E-3</v>
      </c>
      <c r="L630" s="147">
        <f t="shared" si="40"/>
        <v>-0.68</v>
      </c>
      <c r="M630" s="147">
        <f t="shared" si="41"/>
        <v>-1.01</v>
      </c>
      <c r="N630" s="145"/>
    </row>
    <row r="631" spans="1:14">
      <c r="A631" s="145" t="s">
        <v>626</v>
      </c>
      <c r="B631" s="146" t="s">
        <v>1375</v>
      </c>
      <c r="C631" s="146" t="s">
        <v>1376</v>
      </c>
      <c r="D631" s="145" t="s">
        <v>1374</v>
      </c>
      <c r="E631" s="146" t="s">
        <v>497</v>
      </c>
      <c r="F631" s="145" t="s">
        <v>26</v>
      </c>
      <c r="G631" s="146" t="s">
        <v>20</v>
      </c>
      <c r="H631" s="146">
        <v>201603</v>
      </c>
      <c r="I631" s="147">
        <v>-18.86</v>
      </c>
      <c r="J631" s="144">
        <f t="shared" si="39"/>
        <v>8</v>
      </c>
      <c r="K631" s="148">
        <v>1.4833299999999999E-3</v>
      </c>
      <c r="L631" s="147">
        <f t="shared" si="40"/>
        <v>-0.22</v>
      </c>
      <c r="M631" s="147">
        <f t="shared" si="41"/>
        <v>-0.34</v>
      </c>
      <c r="N631" s="145"/>
    </row>
    <row r="632" spans="1:14">
      <c r="A632" s="145" t="s">
        <v>626</v>
      </c>
      <c r="B632" s="146" t="s">
        <v>1788</v>
      </c>
      <c r="C632" s="146" t="s">
        <v>1789</v>
      </c>
      <c r="D632" s="145" t="s">
        <v>1790</v>
      </c>
      <c r="E632" s="146" t="s">
        <v>25</v>
      </c>
      <c r="F632" s="145" t="s">
        <v>26</v>
      </c>
      <c r="G632" s="146" t="s">
        <v>20</v>
      </c>
      <c r="H632" s="146">
        <v>201603</v>
      </c>
      <c r="I632" s="147">
        <v>379.8</v>
      </c>
      <c r="J632" s="144">
        <f t="shared" si="39"/>
        <v>8</v>
      </c>
      <c r="K632" s="148">
        <v>1.4833299999999999E-3</v>
      </c>
      <c r="L632" s="147">
        <f t="shared" si="40"/>
        <v>4.51</v>
      </c>
      <c r="M632" s="147">
        <f t="shared" si="41"/>
        <v>6.76</v>
      </c>
      <c r="N632" s="145"/>
    </row>
    <row r="633" spans="1:14">
      <c r="A633" s="145" t="s">
        <v>626</v>
      </c>
      <c r="B633" s="146" t="s">
        <v>1794</v>
      </c>
      <c r="C633" s="146" t="s">
        <v>1795</v>
      </c>
      <c r="D633" s="145" t="s">
        <v>1796</v>
      </c>
      <c r="E633" s="146" t="s">
        <v>809</v>
      </c>
      <c r="F633" s="145" t="s">
        <v>26</v>
      </c>
      <c r="G633" s="146" t="s">
        <v>20</v>
      </c>
      <c r="H633" s="146">
        <v>201603</v>
      </c>
      <c r="I633" s="147">
        <v>-1379.62</v>
      </c>
      <c r="J633" s="144">
        <f t="shared" si="39"/>
        <v>8</v>
      </c>
      <c r="K633" s="148">
        <v>1.4833299999999999E-3</v>
      </c>
      <c r="L633" s="147">
        <f t="shared" si="40"/>
        <v>-16.37</v>
      </c>
      <c r="M633" s="147">
        <f t="shared" si="41"/>
        <v>-24.56</v>
      </c>
      <c r="N633" s="145"/>
    </row>
    <row r="634" spans="1:14">
      <c r="A634" s="145" t="s">
        <v>626</v>
      </c>
      <c r="B634" s="146" t="s">
        <v>1693</v>
      </c>
      <c r="C634" s="146" t="s">
        <v>1694</v>
      </c>
      <c r="D634" s="145" t="s">
        <v>1695</v>
      </c>
      <c r="E634" s="146" t="s">
        <v>809</v>
      </c>
      <c r="F634" s="145" t="s">
        <v>26</v>
      </c>
      <c r="G634" s="146" t="s">
        <v>20</v>
      </c>
      <c r="H634" s="146">
        <v>201603</v>
      </c>
      <c r="I634" s="147">
        <v>-64.540000000000006</v>
      </c>
      <c r="J634" s="144">
        <f t="shared" si="39"/>
        <v>8</v>
      </c>
      <c r="K634" s="148">
        <v>1.4833299999999999E-3</v>
      </c>
      <c r="L634" s="147">
        <f t="shared" si="40"/>
        <v>-0.77</v>
      </c>
      <c r="M634" s="147">
        <f t="shared" si="41"/>
        <v>-1.1499999999999999</v>
      </c>
      <c r="N634" s="145"/>
    </row>
    <row r="635" spans="1:14">
      <c r="A635" s="145" t="s">
        <v>626</v>
      </c>
      <c r="B635" s="146" t="s">
        <v>1742</v>
      </c>
      <c r="C635" s="146" t="s">
        <v>1743</v>
      </c>
      <c r="D635" s="145" t="s">
        <v>1744</v>
      </c>
      <c r="E635" s="146" t="s">
        <v>497</v>
      </c>
      <c r="F635" s="145" t="s">
        <v>26</v>
      </c>
      <c r="G635" s="146" t="s">
        <v>20</v>
      </c>
      <c r="H635" s="146">
        <v>201603</v>
      </c>
      <c r="I635" s="147">
        <v>-94.37</v>
      </c>
      <c r="J635" s="144">
        <f t="shared" si="39"/>
        <v>8</v>
      </c>
      <c r="K635" s="148">
        <v>1.4833299999999999E-3</v>
      </c>
      <c r="L635" s="147">
        <f t="shared" si="40"/>
        <v>-1.1200000000000001</v>
      </c>
      <c r="M635" s="147">
        <f t="shared" si="41"/>
        <v>-1.68</v>
      </c>
      <c r="N635" s="145"/>
    </row>
    <row r="636" spans="1:14">
      <c r="A636" s="145" t="s">
        <v>626</v>
      </c>
      <c r="B636" s="146" t="s">
        <v>1745</v>
      </c>
      <c r="C636" s="146" t="s">
        <v>1746</v>
      </c>
      <c r="D636" s="145" t="s">
        <v>1747</v>
      </c>
      <c r="E636" s="146" t="s">
        <v>497</v>
      </c>
      <c r="F636" s="145" t="s">
        <v>26</v>
      </c>
      <c r="G636" s="146" t="s">
        <v>20</v>
      </c>
      <c r="H636" s="146">
        <v>201603</v>
      </c>
      <c r="I636" s="147">
        <v>1368.72</v>
      </c>
      <c r="J636" s="144">
        <f t="shared" si="39"/>
        <v>8</v>
      </c>
      <c r="K636" s="148">
        <v>1.4833299999999999E-3</v>
      </c>
      <c r="L636" s="147">
        <f t="shared" si="40"/>
        <v>16.239999999999998</v>
      </c>
      <c r="M636" s="147">
        <f t="shared" si="41"/>
        <v>24.36</v>
      </c>
      <c r="N636" s="145"/>
    </row>
    <row r="637" spans="1:14">
      <c r="A637" s="145" t="s">
        <v>626</v>
      </c>
      <c r="B637" s="146" t="s">
        <v>1921</v>
      </c>
      <c r="C637" s="146" t="s">
        <v>1922</v>
      </c>
      <c r="D637" s="145" t="s">
        <v>1923</v>
      </c>
      <c r="E637" s="146" t="s">
        <v>156</v>
      </c>
      <c r="F637" s="145" t="s">
        <v>26</v>
      </c>
      <c r="G637" s="146" t="s">
        <v>20</v>
      </c>
      <c r="H637" s="146">
        <v>201603</v>
      </c>
      <c r="I637" s="147">
        <v>-2391.35</v>
      </c>
      <c r="J637" s="144">
        <f t="shared" si="39"/>
        <v>8</v>
      </c>
      <c r="K637" s="148">
        <v>1.4833299999999999E-3</v>
      </c>
      <c r="L637" s="147">
        <f t="shared" si="40"/>
        <v>-28.38</v>
      </c>
      <c r="M637" s="147">
        <f t="shared" si="41"/>
        <v>-42.57</v>
      </c>
      <c r="N637" s="145"/>
    </row>
    <row r="638" spans="1:14">
      <c r="A638" s="145" t="s">
        <v>626</v>
      </c>
      <c r="B638" s="146" t="s">
        <v>1699</v>
      </c>
      <c r="C638" s="146" t="s">
        <v>1700</v>
      </c>
      <c r="D638" s="145" t="s">
        <v>1701</v>
      </c>
      <c r="E638" s="146" t="s">
        <v>544</v>
      </c>
      <c r="F638" s="145" t="s">
        <v>26</v>
      </c>
      <c r="G638" s="146" t="s">
        <v>20</v>
      </c>
      <c r="H638" s="146">
        <v>201603</v>
      </c>
      <c r="I638" s="147">
        <v>-381.21</v>
      </c>
      <c r="J638" s="144">
        <f t="shared" si="39"/>
        <v>8</v>
      </c>
      <c r="K638" s="148">
        <v>1.4833299999999999E-3</v>
      </c>
      <c r="L638" s="147">
        <f t="shared" si="40"/>
        <v>-4.5199999999999996</v>
      </c>
      <c r="M638" s="147">
        <f t="shared" si="41"/>
        <v>-6.79</v>
      </c>
      <c r="N638" s="145"/>
    </row>
    <row r="639" spans="1:14">
      <c r="A639" s="145" t="s">
        <v>626</v>
      </c>
      <c r="B639" s="146" t="s">
        <v>1967</v>
      </c>
      <c r="C639" s="146" t="s">
        <v>1968</v>
      </c>
      <c r="D639" s="145" t="s">
        <v>1969</v>
      </c>
      <c r="E639" s="146" t="s">
        <v>544</v>
      </c>
      <c r="F639" s="145" t="s">
        <v>26</v>
      </c>
      <c r="G639" s="146" t="s">
        <v>20</v>
      </c>
      <c r="H639" s="146">
        <v>201603</v>
      </c>
      <c r="I639" s="147">
        <v>49102.86</v>
      </c>
      <c r="J639" s="144">
        <f t="shared" si="39"/>
        <v>8</v>
      </c>
      <c r="K639" s="148">
        <v>1.4833299999999999E-3</v>
      </c>
      <c r="L639" s="147">
        <f t="shared" si="40"/>
        <v>582.69000000000005</v>
      </c>
      <c r="M639" s="147">
        <f t="shared" si="41"/>
        <v>874.03</v>
      </c>
      <c r="N639" s="145"/>
    </row>
    <row r="640" spans="1:14">
      <c r="A640" s="145" t="s">
        <v>626</v>
      </c>
      <c r="B640" s="146" t="s">
        <v>1811</v>
      </c>
      <c r="C640" s="146" t="s">
        <v>1812</v>
      </c>
      <c r="D640" s="145" t="s">
        <v>1813</v>
      </c>
      <c r="E640" s="146" t="s">
        <v>25</v>
      </c>
      <c r="F640" s="145" t="s">
        <v>26</v>
      </c>
      <c r="G640" s="146" t="s">
        <v>20</v>
      </c>
      <c r="H640" s="146">
        <v>201603</v>
      </c>
      <c r="I640" s="147">
        <v>-525.41999999999996</v>
      </c>
      <c r="J640" s="144">
        <f t="shared" si="39"/>
        <v>8</v>
      </c>
      <c r="K640" s="148">
        <v>1.4833299999999999E-3</v>
      </c>
      <c r="L640" s="147">
        <f t="shared" si="40"/>
        <v>-6.23</v>
      </c>
      <c r="M640" s="147">
        <f t="shared" si="41"/>
        <v>-9.35</v>
      </c>
      <c r="N640" s="145"/>
    </row>
    <row r="641" spans="1:14">
      <c r="A641" s="145" t="s">
        <v>626</v>
      </c>
      <c r="B641" s="146" t="s">
        <v>1984</v>
      </c>
      <c r="C641" s="146" t="s">
        <v>1985</v>
      </c>
      <c r="D641" s="145" t="s">
        <v>1986</v>
      </c>
      <c r="E641" s="146" t="s">
        <v>156</v>
      </c>
      <c r="F641" s="145" t="s">
        <v>26</v>
      </c>
      <c r="G641" s="146" t="s">
        <v>20</v>
      </c>
      <c r="H641" s="146">
        <v>201603</v>
      </c>
      <c r="I641" s="147">
        <v>27979.62</v>
      </c>
      <c r="J641" s="144">
        <f t="shared" si="39"/>
        <v>8</v>
      </c>
      <c r="K641" s="148">
        <v>1.4833299999999999E-3</v>
      </c>
      <c r="L641" s="147">
        <f t="shared" si="40"/>
        <v>332.02</v>
      </c>
      <c r="M641" s="147">
        <f t="shared" si="41"/>
        <v>498.04</v>
      </c>
      <c r="N641" s="145"/>
    </row>
    <row r="642" spans="1:14">
      <c r="A642" s="145" t="s">
        <v>626</v>
      </c>
      <c r="B642" s="146" t="s">
        <v>1814</v>
      </c>
      <c r="C642" s="146" t="s">
        <v>1815</v>
      </c>
      <c r="D642" s="145" t="s">
        <v>1816</v>
      </c>
      <c r="E642" s="146" t="s">
        <v>25</v>
      </c>
      <c r="F642" s="145" t="s">
        <v>26</v>
      </c>
      <c r="G642" s="146" t="s">
        <v>20</v>
      </c>
      <c r="H642" s="146">
        <v>201603</v>
      </c>
      <c r="I642" s="147">
        <v>-1677.88</v>
      </c>
      <c r="J642" s="144">
        <f t="shared" si="39"/>
        <v>8</v>
      </c>
      <c r="K642" s="148">
        <v>1.4833299999999999E-3</v>
      </c>
      <c r="L642" s="147">
        <f t="shared" si="40"/>
        <v>-19.91</v>
      </c>
      <c r="M642" s="147">
        <f t="shared" si="41"/>
        <v>-29.87</v>
      </c>
      <c r="N642" s="145"/>
    </row>
    <row r="643" spans="1:14">
      <c r="A643" s="145" t="s">
        <v>626</v>
      </c>
      <c r="B643" s="146" t="s">
        <v>1764</v>
      </c>
      <c r="C643" s="146" t="s">
        <v>1765</v>
      </c>
      <c r="D643" s="145" t="s">
        <v>1766</v>
      </c>
      <c r="E643" s="146" t="s">
        <v>156</v>
      </c>
      <c r="F643" s="145" t="s">
        <v>26</v>
      </c>
      <c r="G643" s="146" t="s">
        <v>20</v>
      </c>
      <c r="H643" s="146">
        <v>201603</v>
      </c>
      <c r="I643" s="147">
        <v>-1374.12</v>
      </c>
      <c r="J643" s="144">
        <f t="shared" si="39"/>
        <v>8</v>
      </c>
      <c r="K643" s="148">
        <v>1.4833299999999999E-3</v>
      </c>
      <c r="L643" s="147">
        <f t="shared" si="40"/>
        <v>-16.309999999999999</v>
      </c>
      <c r="M643" s="147">
        <f t="shared" si="41"/>
        <v>-24.46</v>
      </c>
      <c r="N643" s="145"/>
    </row>
    <row r="644" spans="1:14">
      <c r="A644" s="145" t="s">
        <v>626</v>
      </c>
      <c r="B644" s="146" t="s">
        <v>1991</v>
      </c>
      <c r="C644" s="146" t="s">
        <v>1992</v>
      </c>
      <c r="D644" s="145" t="s">
        <v>1993</v>
      </c>
      <c r="E644" s="146" t="s">
        <v>497</v>
      </c>
      <c r="F644" s="145" t="s">
        <v>26</v>
      </c>
      <c r="G644" s="146" t="s">
        <v>20</v>
      </c>
      <c r="H644" s="146">
        <v>201603</v>
      </c>
      <c r="I644" s="147">
        <v>-311.73</v>
      </c>
      <c r="J644" s="144">
        <f t="shared" si="39"/>
        <v>8</v>
      </c>
      <c r="K644" s="148">
        <v>1.4833299999999999E-3</v>
      </c>
      <c r="L644" s="147">
        <f t="shared" si="40"/>
        <v>-3.7</v>
      </c>
      <c r="M644" s="147">
        <f t="shared" si="41"/>
        <v>-5.55</v>
      </c>
      <c r="N644" s="145"/>
    </row>
    <row r="645" spans="1:14">
      <c r="A645" s="145" t="s">
        <v>626</v>
      </c>
      <c r="B645" s="146" t="s">
        <v>1826</v>
      </c>
      <c r="C645" s="146" t="s">
        <v>1827</v>
      </c>
      <c r="D645" s="145" t="s">
        <v>1828</v>
      </c>
      <c r="E645" s="146" t="s">
        <v>25</v>
      </c>
      <c r="F645" s="145" t="s">
        <v>26</v>
      </c>
      <c r="G645" s="146" t="s">
        <v>20</v>
      </c>
      <c r="H645" s="146">
        <v>201604</v>
      </c>
      <c r="I645" s="147">
        <v>13112.69</v>
      </c>
      <c r="J645" s="144">
        <f t="shared" si="39"/>
        <v>7</v>
      </c>
      <c r="K645" s="148">
        <v>1.4833299999999999E-3</v>
      </c>
      <c r="L645" s="147">
        <f t="shared" si="40"/>
        <v>136.15</v>
      </c>
      <c r="M645" s="147">
        <f t="shared" si="41"/>
        <v>233.41</v>
      </c>
      <c r="N645" s="145"/>
    </row>
    <row r="646" spans="1:14">
      <c r="A646" s="145" t="s">
        <v>626</v>
      </c>
      <c r="B646" s="146" t="s">
        <v>1139</v>
      </c>
      <c r="C646" s="146" t="s">
        <v>1140</v>
      </c>
      <c r="D646" s="145" t="s">
        <v>1141</v>
      </c>
      <c r="E646" s="146" t="s">
        <v>280</v>
      </c>
      <c r="F646" s="145" t="s">
        <v>26</v>
      </c>
      <c r="G646" s="146" t="s">
        <v>20</v>
      </c>
      <c r="H646" s="146">
        <v>201604</v>
      </c>
      <c r="I646" s="147">
        <v>1430.21</v>
      </c>
      <c r="J646" s="144">
        <f t="shared" si="39"/>
        <v>7</v>
      </c>
      <c r="K646" s="148">
        <v>1.4833299999999999E-3</v>
      </c>
      <c r="L646" s="147">
        <f t="shared" si="40"/>
        <v>14.85</v>
      </c>
      <c r="M646" s="147">
        <f t="shared" si="41"/>
        <v>25.46</v>
      </c>
      <c r="N646" s="145"/>
    </row>
    <row r="647" spans="1:14">
      <c r="A647" s="145" t="s">
        <v>626</v>
      </c>
      <c r="B647" s="146" t="s">
        <v>1615</v>
      </c>
      <c r="C647" s="146" t="s">
        <v>1616</v>
      </c>
      <c r="D647" s="145" t="s">
        <v>1617</v>
      </c>
      <c r="E647" s="146" t="s">
        <v>497</v>
      </c>
      <c r="F647" s="145" t="s">
        <v>26</v>
      </c>
      <c r="G647" s="146" t="s">
        <v>20</v>
      </c>
      <c r="H647" s="146">
        <v>201604</v>
      </c>
      <c r="I647" s="147">
        <v>70764.38</v>
      </c>
      <c r="J647" s="144">
        <f t="shared" si="39"/>
        <v>7</v>
      </c>
      <c r="K647" s="148">
        <v>1.4833299999999999E-3</v>
      </c>
      <c r="L647" s="147">
        <f t="shared" si="40"/>
        <v>734.77</v>
      </c>
      <c r="M647" s="147">
        <f t="shared" si="41"/>
        <v>1259.5999999999999</v>
      </c>
      <c r="N647" s="145"/>
    </row>
    <row r="648" spans="1:14">
      <c r="A648" s="145" t="s">
        <v>626</v>
      </c>
      <c r="B648" s="146" t="s">
        <v>1172</v>
      </c>
      <c r="C648" s="146" t="s">
        <v>1173</v>
      </c>
      <c r="D648" s="145" t="s">
        <v>1174</v>
      </c>
      <c r="E648" s="146" t="s">
        <v>156</v>
      </c>
      <c r="F648" s="145" t="s">
        <v>26</v>
      </c>
      <c r="G648" s="146" t="s">
        <v>20</v>
      </c>
      <c r="H648" s="146">
        <v>201604</v>
      </c>
      <c r="I648" s="147">
        <v>543.78</v>
      </c>
      <c r="J648" s="144">
        <f t="shared" si="39"/>
        <v>7</v>
      </c>
      <c r="K648" s="148">
        <v>1.4833299999999999E-3</v>
      </c>
      <c r="L648" s="147">
        <f t="shared" si="40"/>
        <v>5.65</v>
      </c>
      <c r="M648" s="147">
        <f t="shared" si="41"/>
        <v>9.68</v>
      </c>
      <c r="N648" s="145"/>
    </row>
    <row r="649" spans="1:14">
      <c r="A649" s="145" t="s">
        <v>626</v>
      </c>
      <c r="B649" s="146" t="s">
        <v>1829</v>
      </c>
      <c r="C649" s="146" t="s">
        <v>1830</v>
      </c>
      <c r="D649" s="145" t="s">
        <v>1831</v>
      </c>
      <c r="E649" s="146" t="s">
        <v>497</v>
      </c>
      <c r="F649" s="145" t="s">
        <v>26</v>
      </c>
      <c r="G649" s="146" t="s">
        <v>20</v>
      </c>
      <c r="H649" s="146">
        <v>201604</v>
      </c>
      <c r="I649" s="147">
        <v>-4636.46</v>
      </c>
      <c r="J649" s="144">
        <f t="shared" si="39"/>
        <v>7</v>
      </c>
      <c r="K649" s="148">
        <v>1.4833299999999999E-3</v>
      </c>
      <c r="L649" s="147">
        <f t="shared" si="40"/>
        <v>-48.14</v>
      </c>
      <c r="M649" s="147">
        <f t="shared" si="41"/>
        <v>-82.53</v>
      </c>
      <c r="N649" s="145"/>
    </row>
    <row r="650" spans="1:14">
      <c r="A650" s="145" t="s">
        <v>21</v>
      </c>
      <c r="B650" s="146" t="s">
        <v>1829</v>
      </c>
      <c r="C650" s="146" t="s">
        <v>1830</v>
      </c>
      <c r="D650" s="145" t="s">
        <v>1831</v>
      </c>
      <c r="E650" s="146" t="s">
        <v>497</v>
      </c>
      <c r="F650" s="145" t="s">
        <v>26</v>
      </c>
      <c r="G650" s="146" t="s">
        <v>20</v>
      </c>
      <c r="H650" s="146">
        <v>201604</v>
      </c>
      <c r="I650" s="147">
        <v>4671.67</v>
      </c>
      <c r="J650" s="144">
        <f t="shared" si="39"/>
        <v>7</v>
      </c>
      <c r="K650" s="148">
        <v>1.4833299999999999E-3</v>
      </c>
      <c r="L650" s="147">
        <f t="shared" si="40"/>
        <v>48.51</v>
      </c>
      <c r="M650" s="147">
        <f t="shared" si="41"/>
        <v>83.16</v>
      </c>
      <c r="N650" s="145"/>
    </row>
    <row r="651" spans="1:14">
      <c r="A651" s="145" t="s">
        <v>626</v>
      </c>
      <c r="B651" s="146" t="s">
        <v>1709</v>
      </c>
      <c r="C651" s="146" t="s">
        <v>1710</v>
      </c>
      <c r="D651" s="145" t="s">
        <v>1711</v>
      </c>
      <c r="E651" s="146" t="s">
        <v>497</v>
      </c>
      <c r="F651" s="145" t="s">
        <v>26</v>
      </c>
      <c r="G651" s="146" t="s">
        <v>20</v>
      </c>
      <c r="H651" s="146">
        <v>201604</v>
      </c>
      <c r="I651" s="147">
        <v>5.1100000000000003</v>
      </c>
      <c r="J651" s="144">
        <f t="shared" si="39"/>
        <v>7</v>
      </c>
      <c r="K651" s="148">
        <v>1.4833299999999999E-3</v>
      </c>
      <c r="L651" s="147">
        <f t="shared" si="40"/>
        <v>0.05</v>
      </c>
      <c r="M651" s="147">
        <f t="shared" si="41"/>
        <v>0.09</v>
      </c>
      <c r="N651" s="145"/>
    </row>
    <row r="652" spans="1:14">
      <c r="A652" s="145" t="s">
        <v>626</v>
      </c>
      <c r="B652" s="146" t="s">
        <v>1514</v>
      </c>
      <c r="C652" s="146" t="s">
        <v>1515</v>
      </c>
      <c r="D652" s="145" t="s">
        <v>1516</v>
      </c>
      <c r="E652" s="146" t="s">
        <v>809</v>
      </c>
      <c r="F652" s="145" t="s">
        <v>26</v>
      </c>
      <c r="G652" s="146" t="s">
        <v>20</v>
      </c>
      <c r="H652" s="146">
        <v>201604</v>
      </c>
      <c r="I652" s="147">
        <v>19.57</v>
      </c>
      <c r="J652" s="144">
        <f t="shared" ref="J652:J683" si="42">HLOOKUP(H652,$Q$2:$Z$3,2)</f>
        <v>7</v>
      </c>
      <c r="K652" s="148">
        <v>1.4833299999999999E-3</v>
      </c>
      <c r="L652" s="147">
        <f t="shared" ref="L652:L683" si="43">ROUND(I652*J652*K652,2)</f>
        <v>0.2</v>
      </c>
      <c r="M652" s="147">
        <f t="shared" ref="M652:M683" si="44">ROUND(I652*K652*12,2)</f>
        <v>0.35</v>
      </c>
      <c r="N652" s="145"/>
    </row>
    <row r="653" spans="1:14">
      <c r="A653" s="145" t="s">
        <v>626</v>
      </c>
      <c r="B653" s="146" t="s">
        <v>1832</v>
      </c>
      <c r="C653" s="146" t="s">
        <v>1833</v>
      </c>
      <c r="D653" s="145" t="s">
        <v>1834</v>
      </c>
      <c r="E653" s="146" t="s">
        <v>497</v>
      </c>
      <c r="F653" s="145" t="s">
        <v>26</v>
      </c>
      <c r="G653" s="146" t="s">
        <v>20</v>
      </c>
      <c r="H653" s="146">
        <v>201604</v>
      </c>
      <c r="I653" s="147">
        <v>129.38999999999999</v>
      </c>
      <c r="J653" s="144">
        <f t="shared" si="42"/>
        <v>7</v>
      </c>
      <c r="K653" s="148">
        <v>1.4833299999999999E-3</v>
      </c>
      <c r="L653" s="147">
        <f t="shared" si="43"/>
        <v>1.34</v>
      </c>
      <c r="M653" s="147">
        <f t="shared" si="44"/>
        <v>2.2999999999999998</v>
      </c>
      <c r="N653" s="145"/>
    </row>
    <row r="654" spans="1:14">
      <c r="A654" s="145" t="s">
        <v>626</v>
      </c>
      <c r="B654" s="146" t="s">
        <v>1712</v>
      </c>
      <c r="C654" s="146" t="s">
        <v>1713</v>
      </c>
      <c r="D654" s="145" t="s">
        <v>1714</v>
      </c>
      <c r="E654" s="146" t="s">
        <v>497</v>
      </c>
      <c r="F654" s="145" t="s">
        <v>26</v>
      </c>
      <c r="G654" s="146" t="s">
        <v>20</v>
      </c>
      <c r="H654" s="146">
        <v>201604</v>
      </c>
      <c r="I654" s="147">
        <v>15.71</v>
      </c>
      <c r="J654" s="144">
        <f t="shared" si="42"/>
        <v>7</v>
      </c>
      <c r="K654" s="148">
        <v>1.4833299999999999E-3</v>
      </c>
      <c r="L654" s="147">
        <f t="shared" si="43"/>
        <v>0.16</v>
      </c>
      <c r="M654" s="147">
        <f t="shared" si="44"/>
        <v>0.28000000000000003</v>
      </c>
      <c r="N654" s="145"/>
    </row>
    <row r="655" spans="1:14">
      <c r="A655" s="145" t="s">
        <v>626</v>
      </c>
      <c r="B655" s="146" t="s">
        <v>2030</v>
      </c>
      <c r="C655" s="146" t="s">
        <v>2031</v>
      </c>
      <c r="D655" s="145" t="s">
        <v>2032</v>
      </c>
      <c r="E655" s="146" t="s">
        <v>497</v>
      </c>
      <c r="F655" s="145" t="s">
        <v>26</v>
      </c>
      <c r="G655" s="146" t="s">
        <v>20</v>
      </c>
      <c r="H655" s="146">
        <v>201604</v>
      </c>
      <c r="I655" s="147">
        <v>3086.38</v>
      </c>
      <c r="J655" s="144">
        <f t="shared" si="42"/>
        <v>7</v>
      </c>
      <c r="K655" s="148">
        <v>1.4833299999999999E-3</v>
      </c>
      <c r="L655" s="147">
        <f t="shared" si="43"/>
        <v>32.049999999999997</v>
      </c>
      <c r="M655" s="147">
        <f t="shared" si="44"/>
        <v>54.94</v>
      </c>
      <c r="N655" s="145"/>
    </row>
    <row r="656" spans="1:14">
      <c r="A656" s="145" t="s">
        <v>626</v>
      </c>
      <c r="B656" s="146" t="s">
        <v>1715</v>
      </c>
      <c r="C656" s="146" t="s">
        <v>1716</v>
      </c>
      <c r="D656" s="145" t="s">
        <v>1717</v>
      </c>
      <c r="E656" s="146" t="s">
        <v>497</v>
      </c>
      <c r="F656" s="145" t="s">
        <v>26</v>
      </c>
      <c r="G656" s="146" t="s">
        <v>20</v>
      </c>
      <c r="H656" s="146">
        <v>201604</v>
      </c>
      <c r="I656" s="147">
        <v>-8.44</v>
      </c>
      <c r="J656" s="144">
        <f t="shared" si="42"/>
        <v>7</v>
      </c>
      <c r="K656" s="148">
        <v>1.4833299999999999E-3</v>
      </c>
      <c r="L656" s="147">
        <f t="shared" si="43"/>
        <v>-0.09</v>
      </c>
      <c r="M656" s="147">
        <f t="shared" si="44"/>
        <v>-0.15</v>
      </c>
      <c r="N656" s="145"/>
    </row>
    <row r="657" spans="1:14">
      <c r="A657" s="145" t="s">
        <v>626</v>
      </c>
      <c r="B657" s="146" t="s">
        <v>1835</v>
      </c>
      <c r="C657" s="146" t="s">
        <v>1836</v>
      </c>
      <c r="D657" s="145" t="s">
        <v>1837</v>
      </c>
      <c r="E657" s="146" t="s">
        <v>497</v>
      </c>
      <c r="F657" s="145" t="s">
        <v>26</v>
      </c>
      <c r="G657" s="146" t="s">
        <v>20</v>
      </c>
      <c r="H657" s="146">
        <v>201604</v>
      </c>
      <c r="I657" s="147">
        <v>247.08</v>
      </c>
      <c r="J657" s="144">
        <f t="shared" si="42"/>
        <v>7</v>
      </c>
      <c r="K657" s="148">
        <v>1.4833299999999999E-3</v>
      </c>
      <c r="L657" s="147">
        <f t="shared" si="43"/>
        <v>2.57</v>
      </c>
      <c r="M657" s="147">
        <f t="shared" si="44"/>
        <v>4.4000000000000004</v>
      </c>
      <c r="N657" s="145"/>
    </row>
    <row r="658" spans="1:14">
      <c r="A658" s="145" t="s">
        <v>626</v>
      </c>
      <c r="B658" s="146" t="s">
        <v>1718</v>
      </c>
      <c r="C658" s="146" t="s">
        <v>1719</v>
      </c>
      <c r="D658" s="145" t="s">
        <v>1720</v>
      </c>
      <c r="E658" s="146" t="s">
        <v>497</v>
      </c>
      <c r="F658" s="145" t="s">
        <v>26</v>
      </c>
      <c r="G658" s="146" t="s">
        <v>20</v>
      </c>
      <c r="H658" s="146">
        <v>201604</v>
      </c>
      <c r="I658" s="147">
        <v>70.48</v>
      </c>
      <c r="J658" s="144">
        <f t="shared" si="42"/>
        <v>7</v>
      </c>
      <c r="K658" s="148">
        <v>1.4833299999999999E-3</v>
      </c>
      <c r="L658" s="147">
        <f t="shared" si="43"/>
        <v>0.73</v>
      </c>
      <c r="M658" s="147">
        <f t="shared" si="44"/>
        <v>1.25</v>
      </c>
      <c r="N658" s="145"/>
    </row>
    <row r="659" spans="1:14">
      <c r="A659" s="145" t="s">
        <v>626</v>
      </c>
      <c r="B659" s="146" t="s">
        <v>1620</v>
      </c>
      <c r="C659" s="146" t="s">
        <v>1621</v>
      </c>
      <c r="D659" s="145" t="s">
        <v>1622</v>
      </c>
      <c r="E659" s="146" t="s">
        <v>497</v>
      </c>
      <c r="F659" s="145" t="s">
        <v>26</v>
      </c>
      <c r="G659" s="146" t="s">
        <v>20</v>
      </c>
      <c r="H659" s="146">
        <v>201604</v>
      </c>
      <c r="I659" s="147">
        <v>8404.01</v>
      </c>
      <c r="J659" s="144">
        <f t="shared" si="42"/>
        <v>7</v>
      </c>
      <c r="K659" s="148">
        <v>1.4833299999999999E-3</v>
      </c>
      <c r="L659" s="147">
        <f t="shared" si="43"/>
        <v>87.26</v>
      </c>
      <c r="M659" s="147">
        <f t="shared" si="44"/>
        <v>149.59</v>
      </c>
      <c r="N659" s="145"/>
    </row>
    <row r="660" spans="1:14">
      <c r="A660" s="145" t="s">
        <v>626</v>
      </c>
      <c r="B660" s="146" t="s">
        <v>1375</v>
      </c>
      <c r="C660" s="146" t="s">
        <v>1376</v>
      </c>
      <c r="D660" s="145" t="s">
        <v>1374</v>
      </c>
      <c r="E660" s="146" t="s">
        <v>497</v>
      </c>
      <c r="F660" s="145" t="s">
        <v>26</v>
      </c>
      <c r="G660" s="146" t="s">
        <v>20</v>
      </c>
      <c r="H660" s="146">
        <v>201604</v>
      </c>
      <c r="I660" s="147">
        <v>264.76</v>
      </c>
      <c r="J660" s="144">
        <f t="shared" si="42"/>
        <v>7</v>
      </c>
      <c r="K660" s="148">
        <v>1.4833299999999999E-3</v>
      </c>
      <c r="L660" s="147">
        <f t="shared" si="43"/>
        <v>2.75</v>
      </c>
      <c r="M660" s="147">
        <f t="shared" si="44"/>
        <v>4.71</v>
      </c>
      <c r="N660" s="145"/>
    </row>
    <row r="661" spans="1:14">
      <c r="A661" s="145" t="s">
        <v>626</v>
      </c>
      <c r="B661" s="146" t="s">
        <v>1788</v>
      </c>
      <c r="C661" s="146" t="s">
        <v>1789</v>
      </c>
      <c r="D661" s="145" t="s">
        <v>1790</v>
      </c>
      <c r="E661" s="146" t="s">
        <v>25</v>
      </c>
      <c r="F661" s="145" t="s">
        <v>26</v>
      </c>
      <c r="G661" s="146" t="s">
        <v>20</v>
      </c>
      <c r="H661" s="146">
        <v>201604</v>
      </c>
      <c r="I661" s="147">
        <v>84.94</v>
      </c>
      <c r="J661" s="144">
        <f t="shared" si="42"/>
        <v>7</v>
      </c>
      <c r="K661" s="148">
        <v>1.4833299999999999E-3</v>
      </c>
      <c r="L661" s="147">
        <f t="shared" si="43"/>
        <v>0.88</v>
      </c>
      <c r="M661" s="147">
        <f t="shared" si="44"/>
        <v>1.51</v>
      </c>
      <c r="N661" s="145"/>
    </row>
    <row r="662" spans="1:14">
      <c r="A662" s="145" t="s">
        <v>626</v>
      </c>
      <c r="B662" s="146" t="s">
        <v>2039</v>
      </c>
      <c r="C662" s="146" t="s">
        <v>2040</v>
      </c>
      <c r="D662" s="145" t="s">
        <v>2041</v>
      </c>
      <c r="E662" s="146" t="s">
        <v>497</v>
      </c>
      <c r="F662" s="145" t="s">
        <v>26</v>
      </c>
      <c r="G662" s="146" t="s">
        <v>20</v>
      </c>
      <c r="H662" s="146">
        <v>201604</v>
      </c>
      <c r="I662" s="147">
        <v>90026.14</v>
      </c>
      <c r="J662" s="144">
        <f t="shared" si="42"/>
        <v>7</v>
      </c>
      <c r="K662" s="148">
        <v>1.4833299999999999E-3</v>
      </c>
      <c r="L662" s="147">
        <f t="shared" si="43"/>
        <v>934.77</v>
      </c>
      <c r="M662" s="147">
        <f t="shared" si="44"/>
        <v>1602.46</v>
      </c>
      <c r="N662" s="145"/>
    </row>
    <row r="663" spans="1:14">
      <c r="A663" s="145" t="s">
        <v>626</v>
      </c>
      <c r="B663" s="146" t="s">
        <v>1794</v>
      </c>
      <c r="C663" s="146" t="s">
        <v>1795</v>
      </c>
      <c r="D663" s="145" t="s">
        <v>1796</v>
      </c>
      <c r="E663" s="146" t="s">
        <v>809</v>
      </c>
      <c r="F663" s="145" t="s">
        <v>26</v>
      </c>
      <c r="G663" s="146" t="s">
        <v>20</v>
      </c>
      <c r="H663" s="146">
        <v>201604</v>
      </c>
      <c r="I663" s="147">
        <v>870.7</v>
      </c>
      <c r="J663" s="144">
        <f t="shared" si="42"/>
        <v>7</v>
      </c>
      <c r="K663" s="148">
        <v>1.4833299999999999E-3</v>
      </c>
      <c r="L663" s="147">
        <f t="shared" si="43"/>
        <v>9.0399999999999991</v>
      </c>
      <c r="M663" s="147">
        <f t="shared" si="44"/>
        <v>15.5</v>
      </c>
      <c r="N663" s="145"/>
    </row>
    <row r="664" spans="1:14">
      <c r="A664" s="145" t="s">
        <v>626</v>
      </c>
      <c r="B664" s="146" t="s">
        <v>1895</v>
      </c>
      <c r="C664" s="146" t="s">
        <v>1896</v>
      </c>
      <c r="D664" s="145" t="s">
        <v>1897</v>
      </c>
      <c r="E664" s="146" t="s">
        <v>79</v>
      </c>
      <c r="F664" s="145" t="s">
        <v>26</v>
      </c>
      <c r="G664" s="146" t="s">
        <v>20</v>
      </c>
      <c r="H664" s="146">
        <v>201604</v>
      </c>
      <c r="I664" s="147">
        <v>236.39</v>
      </c>
      <c r="J664" s="144">
        <f t="shared" si="42"/>
        <v>7</v>
      </c>
      <c r="K664" s="148">
        <v>1.4833299999999999E-3</v>
      </c>
      <c r="L664" s="147">
        <f t="shared" si="43"/>
        <v>2.4500000000000002</v>
      </c>
      <c r="M664" s="147">
        <f t="shared" si="44"/>
        <v>4.21</v>
      </c>
      <c r="N664" s="145"/>
    </row>
    <row r="665" spans="1:14">
      <c r="A665" s="145" t="s">
        <v>626</v>
      </c>
      <c r="B665" s="146" t="s">
        <v>1693</v>
      </c>
      <c r="C665" s="146" t="s">
        <v>1694</v>
      </c>
      <c r="D665" s="145" t="s">
        <v>1695</v>
      </c>
      <c r="E665" s="146" t="s">
        <v>809</v>
      </c>
      <c r="F665" s="145" t="s">
        <v>26</v>
      </c>
      <c r="G665" s="146" t="s">
        <v>20</v>
      </c>
      <c r="H665" s="146">
        <v>201604</v>
      </c>
      <c r="I665" s="147">
        <v>183.34</v>
      </c>
      <c r="J665" s="144">
        <f t="shared" si="42"/>
        <v>7</v>
      </c>
      <c r="K665" s="148">
        <v>1.4833299999999999E-3</v>
      </c>
      <c r="L665" s="147">
        <f t="shared" si="43"/>
        <v>1.9</v>
      </c>
      <c r="M665" s="147">
        <f t="shared" si="44"/>
        <v>3.26</v>
      </c>
      <c r="N665" s="145"/>
    </row>
    <row r="666" spans="1:14">
      <c r="A666" s="145" t="s">
        <v>626</v>
      </c>
      <c r="B666" s="146" t="s">
        <v>1742</v>
      </c>
      <c r="C666" s="146" t="s">
        <v>1743</v>
      </c>
      <c r="D666" s="145" t="s">
        <v>1744</v>
      </c>
      <c r="E666" s="146" t="s">
        <v>497</v>
      </c>
      <c r="F666" s="145" t="s">
        <v>26</v>
      </c>
      <c r="G666" s="146" t="s">
        <v>20</v>
      </c>
      <c r="H666" s="146">
        <v>201604</v>
      </c>
      <c r="I666" s="147">
        <v>104.41</v>
      </c>
      <c r="J666" s="144">
        <f t="shared" si="42"/>
        <v>7</v>
      </c>
      <c r="K666" s="148">
        <v>1.4833299999999999E-3</v>
      </c>
      <c r="L666" s="147">
        <f t="shared" si="43"/>
        <v>1.08</v>
      </c>
      <c r="M666" s="147">
        <f t="shared" si="44"/>
        <v>1.86</v>
      </c>
      <c r="N666" s="145"/>
    </row>
    <row r="667" spans="1:14">
      <c r="A667" s="145" t="s">
        <v>626</v>
      </c>
      <c r="B667" s="146" t="s">
        <v>1745</v>
      </c>
      <c r="C667" s="146" t="s">
        <v>1746</v>
      </c>
      <c r="D667" s="145" t="s">
        <v>1747</v>
      </c>
      <c r="E667" s="146" t="s">
        <v>497</v>
      </c>
      <c r="F667" s="145" t="s">
        <v>26</v>
      </c>
      <c r="G667" s="146" t="s">
        <v>20</v>
      </c>
      <c r="H667" s="146">
        <v>201604</v>
      </c>
      <c r="I667" s="147">
        <v>22934.91</v>
      </c>
      <c r="J667" s="144">
        <f t="shared" si="42"/>
        <v>7</v>
      </c>
      <c r="K667" s="148">
        <v>1.4833299999999999E-3</v>
      </c>
      <c r="L667" s="147">
        <f t="shared" si="43"/>
        <v>238.14</v>
      </c>
      <c r="M667" s="147">
        <f t="shared" si="44"/>
        <v>408.24</v>
      </c>
      <c r="N667" s="145"/>
    </row>
    <row r="668" spans="1:14">
      <c r="A668" s="145" t="s">
        <v>626</v>
      </c>
      <c r="B668" s="146" t="s">
        <v>1921</v>
      </c>
      <c r="C668" s="146" t="s">
        <v>1922</v>
      </c>
      <c r="D668" s="145" t="s">
        <v>1923</v>
      </c>
      <c r="E668" s="146" t="s">
        <v>156</v>
      </c>
      <c r="F668" s="145" t="s">
        <v>26</v>
      </c>
      <c r="G668" s="146" t="s">
        <v>20</v>
      </c>
      <c r="H668" s="146">
        <v>201604</v>
      </c>
      <c r="I668" s="147">
        <v>1753.12</v>
      </c>
      <c r="J668" s="144">
        <f t="shared" si="42"/>
        <v>7</v>
      </c>
      <c r="K668" s="148">
        <v>1.4833299999999999E-3</v>
      </c>
      <c r="L668" s="147">
        <f t="shared" si="43"/>
        <v>18.2</v>
      </c>
      <c r="M668" s="147">
        <f t="shared" si="44"/>
        <v>31.21</v>
      </c>
      <c r="N668" s="145"/>
    </row>
    <row r="669" spans="1:14">
      <c r="A669" s="145" t="s">
        <v>626</v>
      </c>
      <c r="B669" s="146" t="s">
        <v>1699</v>
      </c>
      <c r="C669" s="146" t="s">
        <v>1700</v>
      </c>
      <c r="D669" s="145" t="s">
        <v>1701</v>
      </c>
      <c r="E669" s="146" t="s">
        <v>544</v>
      </c>
      <c r="F669" s="145" t="s">
        <v>26</v>
      </c>
      <c r="G669" s="146" t="s">
        <v>20</v>
      </c>
      <c r="H669" s="146">
        <v>201604</v>
      </c>
      <c r="I669" s="147">
        <v>-74.400000000000006</v>
      </c>
      <c r="J669" s="144">
        <f t="shared" si="42"/>
        <v>7</v>
      </c>
      <c r="K669" s="148">
        <v>1.4833299999999999E-3</v>
      </c>
      <c r="L669" s="147">
        <f t="shared" si="43"/>
        <v>-0.77</v>
      </c>
      <c r="M669" s="147">
        <f t="shared" si="44"/>
        <v>-1.32</v>
      </c>
      <c r="N669" s="145"/>
    </row>
    <row r="670" spans="1:14">
      <c r="A670" s="145" t="s">
        <v>626</v>
      </c>
      <c r="B670" s="146" t="s">
        <v>1967</v>
      </c>
      <c r="C670" s="146" t="s">
        <v>1968</v>
      </c>
      <c r="D670" s="145" t="s">
        <v>1969</v>
      </c>
      <c r="E670" s="146" t="s">
        <v>544</v>
      </c>
      <c r="F670" s="145" t="s">
        <v>26</v>
      </c>
      <c r="G670" s="146" t="s">
        <v>20</v>
      </c>
      <c r="H670" s="146">
        <v>201604</v>
      </c>
      <c r="I670" s="147">
        <v>2595.21</v>
      </c>
      <c r="J670" s="144">
        <f t="shared" si="42"/>
        <v>7</v>
      </c>
      <c r="K670" s="148">
        <v>1.4833299999999999E-3</v>
      </c>
      <c r="L670" s="147">
        <f t="shared" si="43"/>
        <v>26.95</v>
      </c>
      <c r="M670" s="147">
        <f t="shared" si="44"/>
        <v>46.19</v>
      </c>
      <c r="N670" s="145"/>
    </row>
    <row r="671" spans="1:14">
      <c r="A671" s="145" t="s">
        <v>626</v>
      </c>
      <c r="B671" s="146" t="s">
        <v>1811</v>
      </c>
      <c r="C671" s="146" t="s">
        <v>1812</v>
      </c>
      <c r="D671" s="145" t="s">
        <v>1813</v>
      </c>
      <c r="E671" s="146" t="s">
        <v>25</v>
      </c>
      <c r="F671" s="145" t="s">
        <v>26</v>
      </c>
      <c r="G671" s="146" t="s">
        <v>20</v>
      </c>
      <c r="H671" s="146">
        <v>201604</v>
      </c>
      <c r="I671" s="147">
        <v>465.78</v>
      </c>
      <c r="J671" s="144">
        <f t="shared" si="42"/>
        <v>7</v>
      </c>
      <c r="K671" s="148">
        <v>1.4833299999999999E-3</v>
      </c>
      <c r="L671" s="147">
        <f t="shared" si="43"/>
        <v>4.84</v>
      </c>
      <c r="M671" s="147">
        <f t="shared" si="44"/>
        <v>8.2899999999999991</v>
      </c>
      <c r="N671" s="145"/>
    </row>
    <row r="672" spans="1:14">
      <c r="A672" s="145" t="s">
        <v>626</v>
      </c>
      <c r="B672" s="146" t="s">
        <v>1984</v>
      </c>
      <c r="C672" s="146" t="s">
        <v>1985</v>
      </c>
      <c r="D672" s="145" t="s">
        <v>1986</v>
      </c>
      <c r="E672" s="146" t="s">
        <v>156</v>
      </c>
      <c r="F672" s="145" t="s">
        <v>26</v>
      </c>
      <c r="G672" s="146" t="s">
        <v>20</v>
      </c>
      <c r="H672" s="146">
        <v>201604</v>
      </c>
      <c r="I672" s="147">
        <v>24879.89</v>
      </c>
      <c r="J672" s="144">
        <f t="shared" si="42"/>
        <v>7</v>
      </c>
      <c r="K672" s="148">
        <v>1.4833299999999999E-3</v>
      </c>
      <c r="L672" s="147">
        <f t="shared" si="43"/>
        <v>258.33999999999997</v>
      </c>
      <c r="M672" s="147">
        <f t="shared" si="44"/>
        <v>442.86</v>
      </c>
      <c r="N672" s="145"/>
    </row>
    <row r="673" spans="1:14">
      <c r="A673" s="145" t="s">
        <v>626</v>
      </c>
      <c r="B673" s="146" t="s">
        <v>1814</v>
      </c>
      <c r="C673" s="146" t="s">
        <v>1815</v>
      </c>
      <c r="D673" s="145" t="s">
        <v>1816</v>
      </c>
      <c r="E673" s="146" t="s">
        <v>25</v>
      </c>
      <c r="F673" s="145" t="s">
        <v>26</v>
      </c>
      <c r="G673" s="146" t="s">
        <v>20</v>
      </c>
      <c r="H673" s="146">
        <v>201604</v>
      </c>
      <c r="I673" s="147">
        <v>1063.75</v>
      </c>
      <c r="J673" s="144">
        <f t="shared" si="42"/>
        <v>7</v>
      </c>
      <c r="K673" s="148">
        <v>1.4833299999999999E-3</v>
      </c>
      <c r="L673" s="147">
        <f t="shared" si="43"/>
        <v>11.05</v>
      </c>
      <c r="M673" s="147">
        <f t="shared" si="44"/>
        <v>18.93</v>
      </c>
      <c r="N673" s="145"/>
    </row>
    <row r="674" spans="1:14">
      <c r="A674" s="145" t="s">
        <v>626</v>
      </c>
      <c r="B674" s="146" t="s">
        <v>1764</v>
      </c>
      <c r="C674" s="146" t="s">
        <v>1765</v>
      </c>
      <c r="D674" s="145" t="s">
        <v>1766</v>
      </c>
      <c r="E674" s="146" t="s">
        <v>156</v>
      </c>
      <c r="F674" s="145" t="s">
        <v>26</v>
      </c>
      <c r="G674" s="146" t="s">
        <v>20</v>
      </c>
      <c r="H674" s="146">
        <v>201604</v>
      </c>
      <c r="I674" s="147">
        <v>1123.53</v>
      </c>
      <c r="J674" s="144">
        <f t="shared" si="42"/>
        <v>7</v>
      </c>
      <c r="K674" s="148">
        <v>1.4833299999999999E-3</v>
      </c>
      <c r="L674" s="147">
        <f t="shared" si="43"/>
        <v>11.67</v>
      </c>
      <c r="M674" s="147">
        <f t="shared" si="44"/>
        <v>20</v>
      </c>
      <c r="N674" s="145"/>
    </row>
    <row r="675" spans="1:14">
      <c r="A675" s="145" t="s">
        <v>626</v>
      </c>
      <c r="B675" s="146" t="s">
        <v>1991</v>
      </c>
      <c r="C675" s="146" t="s">
        <v>1992</v>
      </c>
      <c r="D675" s="145" t="s">
        <v>1993</v>
      </c>
      <c r="E675" s="146" t="s">
        <v>497</v>
      </c>
      <c r="F675" s="145" t="s">
        <v>26</v>
      </c>
      <c r="G675" s="146" t="s">
        <v>20</v>
      </c>
      <c r="H675" s="146">
        <v>201604</v>
      </c>
      <c r="I675" s="147">
        <v>2671.73</v>
      </c>
      <c r="J675" s="144">
        <f t="shared" si="42"/>
        <v>7</v>
      </c>
      <c r="K675" s="148">
        <v>1.4833299999999999E-3</v>
      </c>
      <c r="L675" s="147">
        <f t="shared" si="43"/>
        <v>27.74</v>
      </c>
      <c r="M675" s="147">
        <f t="shared" si="44"/>
        <v>47.56</v>
      </c>
      <c r="N675" s="145"/>
    </row>
    <row r="676" spans="1:14">
      <c r="A676" s="145" t="s">
        <v>626</v>
      </c>
      <c r="B676" s="146" t="s">
        <v>1826</v>
      </c>
      <c r="C676" s="146" t="s">
        <v>1827</v>
      </c>
      <c r="D676" s="145" t="s">
        <v>1828</v>
      </c>
      <c r="E676" s="146" t="s">
        <v>25</v>
      </c>
      <c r="F676" s="145" t="s">
        <v>26</v>
      </c>
      <c r="G676" s="146" t="s">
        <v>20</v>
      </c>
      <c r="H676" s="146">
        <v>201605</v>
      </c>
      <c r="I676" s="147">
        <v>-119998.69</v>
      </c>
      <c r="J676" s="144">
        <f t="shared" si="42"/>
        <v>6</v>
      </c>
      <c r="K676" s="148">
        <v>1.4833299999999999E-3</v>
      </c>
      <c r="L676" s="147">
        <f t="shared" si="43"/>
        <v>-1067.99</v>
      </c>
      <c r="M676" s="147">
        <f t="shared" si="44"/>
        <v>-2135.9699999999998</v>
      </c>
      <c r="N676" s="145"/>
    </row>
    <row r="677" spans="1:14">
      <c r="A677" s="145" t="s">
        <v>21</v>
      </c>
      <c r="B677" s="146" t="s">
        <v>1826</v>
      </c>
      <c r="C677" s="146" t="s">
        <v>1827</v>
      </c>
      <c r="D677" s="145" t="s">
        <v>1828</v>
      </c>
      <c r="E677" s="146" t="s">
        <v>25</v>
      </c>
      <c r="F677" s="145" t="s">
        <v>26</v>
      </c>
      <c r="G677" s="146" t="s">
        <v>20</v>
      </c>
      <c r="H677" s="146">
        <v>201605</v>
      </c>
      <c r="I677" s="147">
        <v>125497.77</v>
      </c>
      <c r="J677" s="144">
        <f t="shared" si="42"/>
        <v>6</v>
      </c>
      <c r="K677" s="148">
        <v>1.4833299999999999E-3</v>
      </c>
      <c r="L677" s="147">
        <f t="shared" si="43"/>
        <v>1116.93</v>
      </c>
      <c r="M677" s="147">
        <f t="shared" si="44"/>
        <v>2233.86</v>
      </c>
      <c r="N677" s="145"/>
    </row>
    <row r="678" spans="1:14">
      <c r="A678" s="145" t="s">
        <v>626</v>
      </c>
      <c r="B678" s="146" t="s">
        <v>1139</v>
      </c>
      <c r="C678" s="146" t="s">
        <v>1140</v>
      </c>
      <c r="D678" s="145" t="s">
        <v>1141</v>
      </c>
      <c r="E678" s="146" t="s">
        <v>280</v>
      </c>
      <c r="F678" s="145" t="s">
        <v>26</v>
      </c>
      <c r="G678" s="146" t="s">
        <v>20</v>
      </c>
      <c r="H678" s="146">
        <v>201605</v>
      </c>
      <c r="I678" s="147">
        <v>3.13</v>
      </c>
      <c r="J678" s="144">
        <f t="shared" si="42"/>
        <v>6</v>
      </c>
      <c r="K678" s="148">
        <v>1.4833299999999999E-3</v>
      </c>
      <c r="L678" s="147">
        <f t="shared" si="43"/>
        <v>0.03</v>
      </c>
      <c r="M678" s="147">
        <f t="shared" si="44"/>
        <v>0.06</v>
      </c>
      <c r="N678" s="145"/>
    </row>
    <row r="679" spans="1:14">
      <c r="A679" s="145" t="s">
        <v>626</v>
      </c>
      <c r="B679" s="146" t="s">
        <v>1615</v>
      </c>
      <c r="C679" s="146" t="s">
        <v>1616</v>
      </c>
      <c r="D679" s="145" t="s">
        <v>1617</v>
      </c>
      <c r="E679" s="146" t="s">
        <v>497</v>
      </c>
      <c r="F679" s="145" t="s">
        <v>26</v>
      </c>
      <c r="G679" s="146" t="s">
        <v>20</v>
      </c>
      <c r="H679" s="146">
        <v>201605</v>
      </c>
      <c r="I679" s="147">
        <v>-379.57</v>
      </c>
      <c r="J679" s="144">
        <f t="shared" si="42"/>
        <v>6</v>
      </c>
      <c r="K679" s="148">
        <v>1.4833299999999999E-3</v>
      </c>
      <c r="L679" s="147">
        <f t="shared" si="43"/>
        <v>-3.38</v>
      </c>
      <c r="M679" s="147">
        <f t="shared" si="44"/>
        <v>-6.76</v>
      </c>
      <c r="N679" s="145"/>
    </row>
    <row r="680" spans="1:14">
      <c r="A680" s="145" t="s">
        <v>626</v>
      </c>
      <c r="B680" s="146" t="s">
        <v>1172</v>
      </c>
      <c r="C680" s="146" t="s">
        <v>1173</v>
      </c>
      <c r="D680" s="145" t="s">
        <v>1174</v>
      </c>
      <c r="E680" s="146" t="s">
        <v>156</v>
      </c>
      <c r="F680" s="145" t="s">
        <v>26</v>
      </c>
      <c r="G680" s="146" t="s">
        <v>20</v>
      </c>
      <c r="H680" s="146">
        <v>201605</v>
      </c>
      <c r="I680" s="147">
        <v>1.2</v>
      </c>
      <c r="J680" s="144">
        <f t="shared" si="42"/>
        <v>6</v>
      </c>
      <c r="K680" s="148">
        <v>1.4833299999999999E-3</v>
      </c>
      <c r="L680" s="147">
        <f t="shared" si="43"/>
        <v>0.01</v>
      </c>
      <c r="M680" s="147">
        <f t="shared" si="44"/>
        <v>0.02</v>
      </c>
      <c r="N680" s="145"/>
    </row>
    <row r="681" spans="1:14">
      <c r="A681" s="145" t="s">
        <v>21</v>
      </c>
      <c r="B681" s="146" t="s">
        <v>1829</v>
      </c>
      <c r="C681" s="146" t="s">
        <v>1830</v>
      </c>
      <c r="D681" s="145" t="s">
        <v>1831</v>
      </c>
      <c r="E681" s="146" t="s">
        <v>497</v>
      </c>
      <c r="F681" s="145" t="s">
        <v>26</v>
      </c>
      <c r="G681" s="146" t="s">
        <v>20</v>
      </c>
      <c r="H681" s="146">
        <v>201605</v>
      </c>
      <c r="I681" s="147">
        <v>3.95</v>
      </c>
      <c r="J681" s="144">
        <f t="shared" si="42"/>
        <v>6</v>
      </c>
      <c r="K681" s="148">
        <v>1.4833299999999999E-3</v>
      </c>
      <c r="L681" s="147">
        <f t="shared" si="43"/>
        <v>0.04</v>
      </c>
      <c r="M681" s="147">
        <f t="shared" si="44"/>
        <v>7.0000000000000007E-2</v>
      </c>
      <c r="N681" s="145"/>
    </row>
    <row r="682" spans="1:14">
      <c r="A682" s="145" t="s">
        <v>626</v>
      </c>
      <c r="B682" s="146" t="s">
        <v>1829</v>
      </c>
      <c r="C682" s="146" t="s">
        <v>1830</v>
      </c>
      <c r="D682" s="145" t="s">
        <v>1831</v>
      </c>
      <c r="E682" s="146" t="s">
        <v>497</v>
      </c>
      <c r="F682" s="145" t="s">
        <v>26</v>
      </c>
      <c r="G682" s="146" t="s">
        <v>20</v>
      </c>
      <c r="H682" s="146">
        <v>201605</v>
      </c>
      <c r="I682" s="147">
        <v>26.87</v>
      </c>
      <c r="J682" s="144">
        <f t="shared" si="42"/>
        <v>6</v>
      </c>
      <c r="K682" s="148">
        <v>1.4833299999999999E-3</v>
      </c>
      <c r="L682" s="147">
        <f t="shared" si="43"/>
        <v>0.24</v>
      </c>
      <c r="M682" s="147">
        <f t="shared" si="44"/>
        <v>0.48</v>
      </c>
      <c r="N682" s="145"/>
    </row>
    <row r="683" spans="1:14">
      <c r="A683" s="145" t="s">
        <v>626</v>
      </c>
      <c r="B683" s="146" t="s">
        <v>1709</v>
      </c>
      <c r="C683" s="146" t="s">
        <v>1710</v>
      </c>
      <c r="D683" s="145" t="s">
        <v>1711</v>
      </c>
      <c r="E683" s="146" t="s">
        <v>497</v>
      </c>
      <c r="F683" s="145" t="s">
        <v>26</v>
      </c>
      <c r="G683" s="146" t="s">
        <v>20</v>
      </c>
      <c r="H683" s="146">
        <v>201605</v>
      </c>
      <c r="I683" s="147">
        <v>5.28</v>
      </c>
      <c r="J683" s="144">
        <f t="shared" si="42"/>
        <v>6</v>
      </c>
      <c r="K683" s="148">
        <v>1.4833299999999999E-3</v>
      </c>
      <c r="L683" s="147">
        <f t="shared" si="43"/>
        <v>0.05</v>
      </c>
      <c r="M683" s="147">
        <f t="shared" si="44"/>
        <v>0.09</v>
      </c>
      <c r="N683" s="145"/>
    </row>
    <row r="684" spans="1:14">
      <c r="A684" s="145" t="s">
        <v>626</v>
      </c>
      <c r="B684" s="146" t="s">
        <v>1514</v>
      </c>
      <c r="C684" s="146" t="s">
        <v>1515</v>
      </c>
      <c r="D684" s="145" t="s">
        <v>1516</v>
      </c>
      <c r="E684" s="146" t="s">
        <v>809</v>
      </c>
      <c r="F684" s="145" t="s">
        <v>26</v>
      </c>
      <c r="G684" s="146" t="s">
        <v>20</v>
      </c>
      <c r="H684" s="146">
        <v>201605</v>
      </c>
      <c r="I684" s="147">
        <v>20.36</v>
      </c>
      <c r="J684" s="144">
        <f t="shared" ref="J684:J715" si="45">HLOOKUP(H684,$Q$2:$Z$3,2)</f>
        <v>6</v>
      </c>
      <c r="K684" s="148">
        <v>1.4833299999999999E-3</v>
      </c>
      <c r="L684" s="147">
        <f t="shared" ref="L684:L715" si="46">ROUND(I684*J684*K684,2)</f>
        <v>0.18</v>
      </c>
      <c r="M684" s="147">
        <f t="shared" ref="M684:M715" si="47">ROUND(I684*K684*12,2)</f>
        <v>0.36</v>
      </c>
      <c r="N684" s="145"/>
    </row>
    <row r="685" spans="1:14">
      <c r="A685" s="145" t="s">
        <v>626</v>
      </c>
      <c r="B685" s="146" t="s">
        <v>1832</v>
      </c>
      <c r="C685" s="146" t="s">
        <v>1833</v>
      </c>
      <c r="D685" s="145" t="s">
        <v>1834</v>
      </c>
      <c r="E685" s="146" t="s">
        <v>497</v>
      </c>
      <c r="F685" s="145" t="s">
        <v>26</v>
      </c>
      <c r="G685" s="146" t="s">
        <v>20</v>
      </c>
      <c r="H685" s="146">
        <v>201605</v>
      </c>
      <c r="I685" s="147">
        <v>124.41</v>
      </c>
      <c r="J685" s="144">
        <f t="shared" si="45"/>
        <v>6</v>
      </c>
      <c r="K685" s="148">
        <v>1.4833299999999999E-3</v>
      </c>
      <c r="L685" s="147">
        <f t="shared" si="46"/>
        <v>1.1100000000000001</v>
      </c>
      <c r="M685" s="147">
        <f t="shared" si="47"/>
        <v>2.21</v>
      </c>
      <c r="N685" s="145"/>
    </row>
    <row r="686" spans="1:14">
      <c r="A686" s="145" t="s">
        <v>626</v>
      </c>
      <c r="B686" s="146" t="s">
        <v>1712</v>
      </c>
      <c r="C686" s="146" t="s">
        <v>1713</v>
      </c>
      <c r="D686" s="145" t="s">
        <v>1714</v>
      </c>
      <c r="E686" s="146" t="s">
        <v>497</v>
      </c>
      <c r="F686" s="145" t="s">
        <v>26</v>
      </c>
      <c r="G686" s="146" t="s">
        <v>20</v>
      </c>
      <c r="H686" s="146">
        <v>201605</v>
      </c>
      <c r="I686" s="147">
        <v>15.64</v>
      </c>
      <c r="J686" s="144">
        <f t="shared" si="45"/>
        <v>6</v>
      </c>
      <c r="K686" s="148">
        <v>1.4833299999999999E-3</v>
      </c>
      <c r="L686" s="147">
        <f t="shared" si="46"/>
        <v>0.14000000000000001</v>
      </c>
      <c r="M686" s="147">
        <f t="shared" si="47"/>
        <v>0.28000000000000003</v>
      </c>
      <c r="N686" s="145"/>
    </row>
    <row r="687" spans="1:14">
      <c r="A687" s="145" t="s">
        <v>626</v>
      </c>
      <c r="B687" s="146" t="s">
        <v>2030</v>
      </c>
      <c r="C687" s="146" t="s">
        <v>2031</v>
      </c>
      <c r="D687" s="145" t="s">
        <v>2032</v>
      </c>
      <c r="E687" s="146" t="s">
        <v>497</v>
      </c>
      <c r="F687" s="145" t="s">
        <v>26</v>
      </c>
      <c r="G687" s="146" t="s">
        <v>20</v>
      </c>
      <c r="H687" s="146">
        <v>201605</v>
      </c>
      <c r="I687" s="147">
        <v>18523.46</v>
      </c>
      <c r="J687" s="144">
        <f t="shared" si="45"/>
        <v>6</v>
      </c>
      <c r="K687" s="148">
        <v>1.4833299999999999E-3</v>
      </c>
      <c r="L687" s="147">
        <f t="shared" si="46"/>
        <v>164.86</v>
      </c>
      <c r="M687" s="147">
        <f t="shared" si="47"/>
        <v>329.72</v>
      </c>
      <c r="N687" s="145"/>
    </row>
    <row r="688" spans="1:14">
      <c r="A688" s="145" t="s">
        <v>626</v>
      </c>
      <c r="B688" s="146" t="s">
        <v>1715</v>
      </c>
      <c r="C688" s="146" t="s">
        <v>1716</v>
      </c>
      <c r="D688" s="145" t="s">
        <v>1717</v>
      </c>
      <c r="E688" s="146" t="s">
        <v>497</v>
      </c>
      <c r="F688" s="145" t="s">
        <v>26</v>
      </c>
      <c r="G688" s="146" t="s">
        <v>20</v>
      </c>
      <c r="H688" s="146">
        <v>201605</v>
      </c>
      <c r="I688" s="147">
        <v>-1.99</v>
      </c>
      <c r="J688" s="144">
        <f t="shared" si="45"/>
        <v>6</v>
      </c>
      <c r="K688" s="148">
        <v>1.4833299999999999E-3</v>
      </c>
      <c r="L688" s="147">
        <f t="shared" si="46"/>
        <v>-0.02</v>
      </c>
      <c r="M688" s="147">
        <f t="shared" si="47"/>
        <v>-0.04</v>
      </c>
      <c r="N688" s="145"/>
    </row>
    <row r="689" spans="1:14">
      <c r="A689" s="145" t="s">
        <v>626</v>
      </c>
      <c r="B689" s="146" t="s">
        <v>1835</v>
      </c>
      <c r="C689" s="146" t="s">
        <v>1836</v>
      </c>
      <c r="D689" s="145" t="s">
        <v>1837</v>
      </c>
      <c r="E689" s="146" t="s">
        <v>497</v>
      </c>
      <c r="F689" s="145" t="s">
        <v>26</v>
      </c>
      <c r="G689" s="146" t="s">
        <v>20</v>
      </c>
      <c r="H689" s="146">
        <v>201605</v>
      </c>
      <c r="I689" s="147">
        <v>222.81</v>
      </c>
      <c r="J689" s="144">
        <f t="shared" si="45"/>
        <v>6</v>
      </c>
      <c r="K689" s="148">
        <v>1.4833299999999999E-3</v>
      </c>
      <c r="L689" s="147">
        <f t="shared" si="46"/>
        <v>1.98</v>
      </c>
      <c r="M689" s="147">
        <f t="shared" si="47"/>
        <v>3.97</v>
      </c>
      <c r="N689" s="145"/>
    </row>
    <row r="690" spans="1:14">
      <c r="A690" s="145" t="s">
        <v>626</v>
      </c>
      <c r="B690" s="146" t="s">
        <v>1718</v>
      </c>
      <c r="C690" s="146" t="s">
        <v>1719</v>
      </c>
      <c r="D690" s="145" t="s">
        <v>1720</v>
      </c>
      <c r="E690" s="146" t="s">
        <v>497</v>
      </c>
      <c r="F690" s="145" t="s">
        <v>26</v>
      </c>
      <c r="G690" s="146" t="s">
        <v>20</v>
      </c>
      <c r="H690" s="146">
        <v>201605</v>
      </c>
      <c r="I690" s="147">
        <v>50.72</v>
      </c>
      <c r="J690" s="144">
        <f t="shared" si="45"/>
        <v>6</v>
      </c>
      <c r="K690" s="148">
        <v>1.4833299999999999E-3</v>
      </c>
      <c r="L690" s="147">
        <f t="shared" si="46"/>
        <v>0.45</v>
      </c>
      <c r="M690" s="147">
        <f t="shared" si="47"/>
        <v>0.9</v>
      </c>
      <c r="N690" s="145"/>
    </row>
    <row r="691" spans="1:14">
      <c r="A691" s="145" t="s">
        <v>626</v>
      </c>
      <c r="B691" s="146" t="s">
        <v>1620</v>
      </c>
      <c r="C691" s="146" t="s">
        <v>1621</v>
      </c>
      <c r="D691" s="145" t="s">
        <v>1622</v>
      </c>
      <c r="E691" s="146" t="s">
        <v>497</v>
      </c>
      <c r="F691" s="145" t="s">
        <v>26</v>
      </c>
      <c r="G691" s="146" t="s">
        <v>20</v>
      </c>
      <c r="H691" s="146">
        <v>201605</v>
      </c>
      <c r="I691" s="147">
        <v>159.38999999999999</v>
      </c>
      <c r="J691" s="144">
        <f t="shared" si="45"/>
        <v>6</v>
      </c>
      <c r="K691" s="148">
        <v>1.4833299999999999E-3</v>
      </c>
      <c r="L691" s="147">
        <f t="shared" si="46"/>
        <v>1.42</v>
      </c>
      <c r="M691" s="147">
        <f t="shared" si="47"/>
        <v>2.84</v>
      </c>
      <c r="N691" s="145"/>
    </row>
    <row r="692" spans="1:14">
      <c r="A692" s="145" t="s">
        <v>626</v>
      </c>
      <c r="B692" s="146" t="s">
        <v>1375</v>
      </c>
      <c r="C692" s="146" t="s">
        <v>1376</v>
      </c>
      <c r="D692" s="145" t="s">
        <v>1374</v>
      </c>
      <c r="E692" s="146" t="s">
        <v>497</v>
      </c>
      <c r="F692" s="145" t="s">
        <v>26</v>
      </c>
      <c r="G692" s="146" t="s">
        <v>20</v>
      </c>
      <c r="H692" s="146">
        <v>201605</v>
      </c>
      <c r="I692" s="147">
        <v>190.46</v>
      </c>
      <c r="J692" s="144">
        <f t="shared" si="45"/>
        <v>6</v>
      </c>
      <c r="K692" s="148">
        <v>1.4833299999999999E-3</v>
      </c>
      <c r="L692" s="147">
        <f t="shared" si="46"/>
        <v>1.7</v>
      </c>
      <c r="M692" s="147">
        <f t="shared" si="47"/>
        <v>3.39</v>
      </c>
      <c r="N692" s="145"/>
    </row>
    <row r="693" spans="1:14">
      <c r="A693" s="145" t="s">
        <v>626</v>
      </c>
      <c r="B693" s="146" t="s">
        <v>1788</v>
      </c>
      <c r="C693" s="146" t="s">
        <v>1789</v>
      </c>
      <c r="D693" s="145" t="s">
        <v>1790</v>
      </c>
      <c r="E693" s="146" t="s">
        <v>25</v>
      </c>
      <c r="F693" s="145" t="s">
        <v>26</v>
      </c>
      <c r="G693" s="146" t="s">
        <v>20</v>
      </c>
      <c r="H693" s="146">
        <v>201605</v>
      </c>
      <c r="I693" s="147">
        <v>209.73</v>
      </c>
      <c r="J693" s="144">
        <f t="shared" si="45"/>
        <v>6</v>
      </c>
      <c r="K693" s="148">
        <v>1.4833299999999999E-3</v>
      </c>
      <c r="L693" s="147">
        <f t="shared" si="46"/>
        <v>1.87</v>
      </c>
      <c r="M693" s="147">
        <f t="shared" si="47"/>
        <v>3.73</v>
      </c>
      <c r="N693" s="145"/>
    </row>
    <row r="694" spans="1:14">
      <c r="A694" s="145" t="s">
        <v>626</v>
      </c>
      <c r="B694" s="146" t="s">
        <v>2039</v>
      </c>
      <c r="C694" s="146" t="s">
        <v>2040</v>
      </c>
      <c r="D694" s="145" t="s">
        <v>2041</v>
      </c>
      <c r="E694" s="146" t="s">
        <v>497</v>
      </c>
      <c r="F694" s="145" t="s">
        <v>26</v>
      </c>
      <c r="G694" s="146" t="s">
        <v>20</v>
      </c>
      <c r="H694" s="146">
        <v>201605</v>
      </c>
      <c r="I694" s="147">
        <v>7136.76</v>
      </c>
      <c r="J694" s="144">
        <f t="shared" si="45"/>
        <v>6</v>
      </c>
      <c r="K694" s="148">
        <v>1.4833299999999999E-3</v>
      </c>
      <c r="L694" s="147">
        <f t="shared" si="46"/>
        <v>63.52</v>
      </c>
      <c r="M694" s="147">
        <f t="shared" si="47"/>
        <v>127.03</v>
      </c>
      <c r="N694" s="145"/>
    </row>
    <row r="695" spans="1:14">
      <c r="A695" s="145" t="s">
        <v>626</v>
      </c>
      <c r="B695" s="146" t="s">
        <v>2042</v>
      </c>
      <c r="C695" s="146" t="s">
        <v>2043</v>
      </c>
      <c r="D695" s="145" t="s">
        <v>2044</v>
      </c>
      <c r="E695" s="146" t="s">
        <v>497</v>
      </c>
      <c r="F695" s="145" t="s">
        <v>26</v>
      </c>
      <c r="G695" s="146" t="s">
        <v>20</v>
      </c>
      <c r="H695" s="146">
        <v>201605</v>
      </c>
      <c r="I695" s="147">
        <v>160421.72</v>
      </c>
      <c r="J695" s="144">
        <f t="shared" si="45"/>
        <v>6</v>
      </c>
      <c r="K695" s="148">
        <v>1.4833299999999999E-3</v>
      </c>
      <c r="L695" s="147">
        <f t="shared" si="46"/>
        <v>1427.75</v>
      </c>
      <c r="M695" s="147">
        <f t="shared" si="47"/>
        <v>2855.5</v>
      </c>
      <c r="N695" s="145"/>
    </row>
    <row r="696" spans="1:14">
      <c r="A696" s="145" t="s">
        <v>626</v>
      </c>
      <c r="B696" s="146" t="s">
        <v>1794</v>
      </c>
      <c r="C696" s="146" t="s">
        <v>1795</v>
      </c>
      <c r="D696" s="145" t="s">
        <v>1796</v>
      </c>
      <c r="E696" s="146" t="s">
        <v>809</v>
      </c>
      <c r="F696" s="145" t="s">
        <v>26</v>
      </c>
      <c r="G696" s="146" t="s">
        <v>20</v>
      </c>
      <c r="H696" s="146">
        <v>201605</v>
      </c>
      <c r="I696" s="147">
        <v>798.45</v>
      </c>
      <c r="J696" s="144">
        <f t="shared" si="45"/>
        <v>6</v>
      </c>
      <c r="K696" s="148">
        <v>1.4833299999999999E-3</v>
      </c>
      <c r="L696" s="147">
        <f t="shared" si="46"/>
        <v>7.11</v>
      </c>
      <c r="M696" s="147">
        <f t="shared" si="47"/>
        <v>14.21</v>
      </c>
      <c r="N696" s="145"/>
    </row>
    <row r="697" spans="1:14">
      <c r="A697" s="145" t="s">
        <v>21</v>
      </c>
      <c r="B697" s="146" t="s">
        <v>1470</v>
      </c>
      <c r="C697" s="146" t="s">
        <v>1471</v>
      </c>
      <c r="D697" s="145" t="s">
        <v>1472</v>
      </c>
      <c r="E697" s="146" t="s">
        <v>497</v>
      </c>
      <c r="F697" s="145" t="s">
        <v>26</v>
      </c>
      <c r="G697" s="146" t="s">
        <v>20</v>
      </c>
      <c r="H697" s="146">
        <v>201605</v>
      </c>
      <c r="I697" s="147">
        <v>-7.18</v>
      </c>
      <c r="J697" s="144">
        <f t="shared" si="45"/>
        <v>6</v>
      </c>
      <c r="K697" s="148">
        <v>1.4833299999999999E-3</v>
      </c>
      <c r="L697" s="147">
        <f t="shared" si="46"/>
        <v>-0.06</v>
      </c>
      <c r="M697" s="147">
        <f t="shared" si="47"/>
        <v>-0.13</v>
      </c>
      <c r="N697" s="145"/>
    </row>
    <row r="698" spans="1:14">
      <c r="A698" s="145" t="s">
        <v>626</v>
      </c>
      <c r="B698" s="146" t="s">
        <v>1693</v>
      </c>
      <c r="C698" s="146" t="s">
        <v>1694</v>
      </c>
      <c r="D698" s="145" t="s">
        <v>1695</v>
      </c>
      <c r="E698" s="146" t="s">
        <v>809</v>
      </c>
      <c r="F698" s="145" t="s">
        <v>26</v>
      </c>
      <c r="G698" s="146" t="s">
        <v>20</v>
      </c>
      <c r="H698" s="146">
        <v>201605</v>
      </c>
      <c r="I698" s="147">
        <v>4759.37</v>
      </c>
      <c r="J698" s="144">
        <f t="shared" si="45"/>
        <v>6</v>
      </c>
      <c r="K698" s="148">
        <v>1.4833299999999999E-3</v>
      </c>
      <c r="L698" s="147">
        <f t="shared" si="46"/>
        <v>42.36</v>
      </c>
      <c r="M698" s="147">
        <f t="shared" si="47"/>
        <v>84.72</v>
      </c>
      <c r="N698" s="145"/>
    </row>
    <row r="699" spans="1:14">
      <c r="A699" s="145" t="s">
        <v>626</v>
      </c>
      <c r="B699" s="146" t="s">
        <v>1742</v>
      </c>
      <c r="C699" s="146" t="s">
        <v>1743</v>
      </c>
      <c r="D699" s="145" t="s">
        <v>1744</v>
      </c>
      <c r="E699" s="146" t="s">
        <v>497</v>
      </c>
      <c r="F699" s="145" t="s">
        <v>26</v>
      </c>
      <c r="G699" s="146" t="s">
        <v>20</v>
      </c>
      <c r="H699" s="146">
        <v>201605</v>
      </c>
      <c r="I699" s="147">
        <v>96.39</v>
      </c>
      <c r="J699" s="144">
        <f t="shared" si="45"/>
        <v>6</v>
      </c>
      <c r="K699" s="148">
        <v>1.4833299999999999E-3</v>
      </c>
      <c r="L699" s="147">
        <f t="shared" si="46"/>
        <v>0.86</v>
      </c>
      <c r="M699" s="147">
        <f t="shared" si="47"/>
        <v>1.72</v>
      </c>
      <c r="N699" s="145"/>
    </row>
    <row r="700" spans="1:14">
      <c r="A700" s="145" t="s">
        <v>626</v>
      </c>
      <c r="B700" s="146" t="s">
        <v>1745</v>
      </c>
      <c r="C700" s="146" t="s">
        <v>1746</v>
      </c>
      <c r="D700" s="145" t="s">
        <v>1747</v>
      </c>
      <c r="E700" s="146" t="s">
        <v>497</v>
      </c>
      <c r="F700" s="145" t="s">
        <v>26</v>
      </c>
      <c r="G700" s="146" t="s">
        <v>20</v>
      </c>
      <c r="H700" s="146">
        <v>201605</v>
      </c>
      <c r="I700" s="147">
        <v>-14341.88</v>
      </c>
      <c r="J700" s="144">
        <f t="shared" si="45"/>
        <v>6</v>
      </c>
      <c r="K700" s="148">
        <v>1.4833299999999999E-3</v>
      </c>
      <c r="L700" s="147">
        <f t="shared" si="46"/>
        <v>-127.64</v>
      </c>
      <c r="M700" s="147">
        <f t="shared" si="47"/>
        <v>-255.28</v>
      </c>
      <c r="N700" s="145"/>
    </row>
    <row r="701" spans="1:14">
      <c r="A701" s="145" t="s">
        <v>21</v>
      </c>
      <c r="B701" s="146" t="s">
        <v>1745</v>
      </c>
      <c r="C701" s="146" t="s">
        <v>1746</v>
      </c>
      <c r="D701" s="145" t="s">
        <v>1747</v>
      </c>
      <c r="E701" s="146" t="s">
        <v>497</v>
      </c>
      <c r="F701" s="145" t="s">
        <v>26</v>
      </c>
      <c r="G701" s="146" t="s">
        <v>20</v>
      </c>
      <c r="H701" s="146">
        <v>201605</v>
      </c>
      <c r="I701" s="147">
        <v>14125.97</v>
      </c>
      <c r="J701" s="144">
        <f t="shared" si="45"/>
        <v>6</v>
      </c>
      <c r="K701" s="148">
        <v>1.4833299999999999E-3</v>
      </c>
      <c r="L701" s="147">
        <f t="shared" si="46"/>
        <v>125.72</v>
      </c>
      <c r="M701" s="147">
        <f t="shared" si="47"/>
        <v>251.44</v>
      </c>
      <c r="N701" s="145"/>
    </row>
    <row r="702" spans="1:14">
      <c r="A702" s="145" t="s">
        <v>626</v>
      </c>
      <c r="B702" s="146" t="s">
        <v>1921</v>
      </c>
      <c r="C702" s="146" t="s">
        <v>1922</v>
      </c>
      <c r="D702" s="145" t="s">
        <v>1923</v>
      </c>
      <c r="E702" s="146" t="s">
        <v>156</v>
      </c>
      <c r="F702" s="145" t="s">
        <v>26</v>
      </c>
      <c r="G702" s="146" t="s">
        <v>20</v>
      </c>
      <c r="H702" s="146">
        <v>201605</v>
      </c>
      <c r="I702" s="147">
        <v>1645.2</v>
      </c>
      <c r="J702" s="144">
        <f t="shared" si="45"/>
        <v>6</v>
      </c>
      <c r="K702" s="148">
        <v>1.4833299999999999E-3</v>
      </c>
      <c r="L702" s="147">
        <f t="shared" si="46"/>
        <v>14.64</v>
      </c>
      <c r="M702" s="147">
        <f t="shared" si="47"/>
        <v>29.28</v>
      </c>
      <c r="N702" s="145"/>
    </row>
    <row r="703" spans="1:14">
      <c r="A703" s="145" t="s">
        <v>626</v>
      </c>
      <c r="B703" s="146" t="s">
        <v>1699</v>
      </c>
      <c r="C703" s="146" t="s">
        <v>1700</v>
      </c>
      <c r="D703" s="145" t="s">
        <v>1701</v>
      </c>
      <c r="E703" s="146" t="s">
        <v>544</v>
      </c>
      <c r="F703" s="145" t="s">
        <v>26</v>
      </c>
      <c r="G703" s="146" t="s">
        <v>20</v>
      </c>
      <c r="H703" s="146">
        <v>201605</v>
      </c>
      <c r="I703" s="147">
        <v>-57.14</v>
      </c>
      <c r="J703" s="144">
        <f t="shared" si="45"/>
        <v>6</v>
      </c>
      <c r="K703" s="148">
        <v>1.4833299999999999E-3</v>
      </c>
      <c r="L703" s="147">
        <f t="shared" si="46"/>
        <v>-0.51</v>
      </c>
      <c r="M703" s="147">
        <f t="shared" si="47"/>
        <v>-1.02</v>
      </c>
      <c r="N703" s="145"/>
    </row>
    <row r="704" spans="1:14">
      <c r="A704" s="145" t="s">
        <v>626</v>
      </c>
      <c r="B704" s="146" t="s">
        <v>1967</v>
      </c>
      <c r="C704" s="146" t="s">
        <v>1968</v>
      </c>
      <c r="D704" s="145" t="s">
        <v>1969</v>
      </c>
      <c r="E704" s="146" t="s">
        <v>544</v>
      </c>
      <c r="F704" s="145" t="s">
        <v>26</v>
      </c>
      <c r="G704" s="146" t="s">
        <v>20</v>
      </c>
      <c r="H704" s="146">
        <v>201605</v>
      </c>
      <c r="I704" s="147">
        <v>2307.9</v>
      </c>
      <c r="J704" s="144">
        <f t="shared" si="45"/>
        <v>6</v>
      </c>
      <c r="K704" s="148">
        <v>1.4833299999999999E-3</v>
      </c>
      <c r="L704" s="147">
        <f t="shared" si="46"/>
        <v>20.54</v>
      </c>
      <c r="M704" s="147">
        <f t="shared" si="47"/>
        <v>41.08</v>
      </c>
      <c r="N704" s="145"/>
    </row>
    <row r="705" spans="1:14">
      <c r="A705" s="145" t="s">
        <v>626</v>
      </c>
      <c r="B705" s="146" t="s">
        <v>1811</v>
      </c>
      <c r="C705" s="146" t="s">
        <v>1812</v>
      </c>
      <c r="D705" s="145" t="s">
        <v>1813</v>
      </c>
      <c r="E705" s="146" t="s">
        <v>25</v>
      </c>
      <c r="F705" s="145" t="s">
        <v>26</v>
      </c>
      <c r="G705" s="146" t="s">
        <v>20</v>
      </c>
      <c r="H705" s="146">
        <v>201605</v>
      </c>
      <c r="I705" s="147">
        <v>572.27</v>
      </c>
      <c r="J705" s="144">
        <f t="shared" si="45"/>
        <v>6</v>
      </c>
      <c r="K705" s="148">
        <v>1.4833299999999999E-3</v>
      </c>
      <c r="L705" s="147">
        <f t="shared" si="46"/>
        <v>5.09</v>
      </c>
      <c r="M705" s="147">
        <f t="shared" si="47"/>
        <v>10.19</v>
      </c>
      <c r="N705" s="145"/>
    </row>
    <row r="706" spans="1:14">
      <c r="A706" s="145" t="s">
        <v>626</v>
      </c>
      <c r="B706" s="146" t="s">
        <v>1984</v>
      </c>
      <c r="C706" s="146" t="s">
        <v>1985</v>
      </c>
      <c r="D706" s="145" t="s">
        <v>1986</v>
      </c>
      <c r="E706" s="146" t="s">
        <v>156</v>
      </c>
      <c r="F706" s="145" t="s">
        <v>26</v>
      </c>
      <c r="G706" s="146" t="s">
        <v>20</v>
      </c>
      <c r="H706" s="146">
        <v>201605</v>
      </c>
      <c r="I706" s="147">
        <v>12333.74</v>
      </c>
      <c r="J706" s="144">
        <f t="shared" si="45"/>
        <v>6</v>
      </c>
      <c r="K706" s="148">
        <v>1.4833299999999999E-3</v>
      </c>
      <c r="L706" s="147">
        <f t="shared" si="46"/>
        <v>109.77</v>
      </c>
      <c r="M706" s="147">
        <f t="shared" si="47"/>
        <v>219.54</v>
      </c>
      <c r="N706" s="145"/>
    </row>
    <row r="707" spans="1:14">
      <c r="A707" s="145" t="s">
        <v>626</v>
      </c>
      <c r="B707" s="146" t="s">
        <v>2054</v>
      </c>
      <c r="C707" s="146" t="s">
        <v>2055</v>
      </c>
      <c r="D707" s="145" t="s">
        <v>2056</v>
      </c>
      <c r="E707" s="146" t="s">
        <v>156</v>
      </c>
      <c r="F707" s="145" t="s">
        <v>26</v>
      </c>
      <c r="G707" s="146" t="s">
        <v>20</v>
      </c>
      <c r="H707" s="146">
        <v>201605</v>
      </c>
      <c r="I707" s="147">
        <v>577489.87</v>
      </c>
      <c r="J707" s="144">
        <f t="shared" si="45"/>
        <v>6</v>
      </c>
      <c r="K707" s="148">
        <v>1.4833299999999999E-3</v>
      </c>
      <c r="L707" s="147">
        <f t="shared" si="46"/>
        <v>5139.6499999999996</v>
      </c>
      <c r="M707" s="147">
        <f t="shared" si="47"/>
        <v>10279.299999999999</v>
      </c>
      <c r="N707" s="145"/>
    </row>
    <row r="708" spans="1:14">
      <c r="A708" s="145" t="s">
        <v>626</v>
      </c>
      <c r="B708" s="146" t="s">
        <v>1814</v>
      </c>
      <c r="C708" s="146" t="s">
        <v>1815</v>
      </c>
      <c r="D708" s="145" t="s">
        <v>1816</v>
      </c>
      <c r="E708" s="146" t="s">
        <v>25</v>
      </c>
      <c r="F708" s="145" t="s">
        <v>26</v>
      </c>
      <c r="G708" s="146" t="s">
        <v>20</v>
      </c>
      <c r="H708" s="146">
        <v>201605</v>
      </c>
      <c r="I708" s="147">
        <v>985.05</v>
      </c>
      <c r="J708" s="144">
        <f t="shared" si="45"/>
        <v>6</v>
      </c>
      <c r="K708" s="148">
        <v>1.4833299999999999E-3</v>
      </c>
      <c r="L708" s="147">
        <f t="shared" si="46"/>
        <v>8.77</v>
      </c>
      <c r="M708" s="147">
        <f t="shared" si="47"/>
        <v>17.53</v>
      </c>
      <c r="N708" s="145"/>
    </row>
    <row r="709" spans="1:14">
      <c r="A709" s="145" t="s">
        <v>626</v>
      </c>
      <c r="B709" s="146" t="s">
        <v>2057</v>
      </c>
      <c r="C709" s="146" t="s">
        <v>2058</v>
      </c>
      <c r="D709" s="145" t="s">
        <v>2059</v>
      </c>
      <c r="E709" s="146" t="s">
        <v>156</v>
      </c>
      <c r="F709" s="145" t="s">
        <v>26</v>
      </c>
      <c r="G709" s="146" t="s">
        <v>20</v>
      </c>
      <c r="H709" s="146">
        <v>201605</v>
      </c>
      <c r="I709" s="147">
        <v>358022.1</v>
      </c>
      <c r="J709" s="144">
        <f t="shared" si="45"/>
        <v>6</v>
      </c>
      <c r="K709" s="148">
        <v>1.4833299999999999E-3</v>
      </c>
      <c r="L709" s="147">
        <f t="shared" si="46"/>
        <v>3186.39</v>
      </c>
      <c r="M709" s="147">
        <f t="shared" si="47"/>
        <v>6372.78</v>
      </c>
      <c r="N709" s="145"/>
    </row>
    <row r="710" spans="1:14">
      <c r="A710" s="145" t="s">
        <v>626</v>
      </c>
      <c r="B710" s="146" t="s">
        <v>2060</v>
      </c>
      <c r="C710" s="146" t="s">
        <v>2061</v>
      </c>
      <c r="D710" s="145" t="s">
        <v>2062</v>
      </c>
      <c r="E710" s="146" t="s">
        <v>156</v>
      </c>
      <c r="F710" s="145" t="s">
        <v>26</v>
      </c>
      <c r="G710" s="146" t="s">
        <v>20</v>
      </c>
      <c r="H710" s="146">
        <v>201605</v>
      </c>
      <c r="I710" s="147">
        <v>403217.41</v>
      </c>
      <c r="J710" s="144">
        <f t="shared" si="45"/>
        <v>6</v>
      </c>
      <c r="K710" s="148">
        <v>1.4833299999999999E-3</v>
      </c>
      <c r="L710" s="147">
        <f t="shared" si="46"/>
        <v>3588.63</v>
      </c>
      <c r="M710" s="147">
        <f t="shared" si="47"/>
        <v>7177.25</v>
      </c>
      <c r="N710" s="145"/>
    </row>
    <row r="711" spans="1:14">
      <c r="A711" s="145" t="s">
        <v>626</v>
      </c>
      <c r="B711" s="146" t="s">
        <v>1764</v>
      </c>
      <c r="C711" s="146" t="s">
        <v>1765</v>
      </c>
      <c r="D711" s="145" t="s">
        <v>1766</v>
      </c>
      <c r="E711" s="146" t="s">
        <v>156</v>
      </c>
      <c r="F711" s="145" t="s">
        <v>26</v>
      </c>
      <c r="G711" s="146" t="s">
        <v>20</v>
      </c>
      <c r="H711" s="146">
        <v>201605</v>
      </c>
      <c r="I711" s="147">
        <v>1135.29</v>
      </c>
      <c r="J711" s="144">
        <f t="shared" si="45"/>
        <v>6</v>
      </c>
      <c r="K711" s="148">
        <v>1.4833299999999999E-3</v>
      </c>
      <c r="L711" s="147">
        <f t="shared" si="46"/>
        <v>10.1</v>
      </c>
      <c r="M711" s="147">
        <f t="shared" si="47"/>
        <v>20.21</v>
      </c>
      <c r="N711" s="145"/>
    </row>
    <row r="712" spans="1:14">
      <c r="A712" s="145" t="s">
        <v>626</v>
      </c>
      <c r="B712" s="146" t="s">
        <v>1991</v>
      </c>
      <c r="C712" s="146" t="s">
        <v>1992</v>
      </c>
      <c r="D712" s="145" t="s">
        <v>1993</v>
      </c>
      <c r="E712" s="146" t="s">
        <v>497</v>
      </c>
      <c r="F712" s="145" t="s">
        <v>26</v>
      </c>
      <c r="G712" s="146" t="s">
        <v>20</v>
      </c>
      <c r="H712" s="146">
        <v>201605</v>
      </c>
      <c r="I712" s="147">
        <v>1003.01</v>
      </c>
      <c r="J712" s="144">
        <f t="shared" si="45"/>
        <v>6</v>
      </c>
      <c r="K712" s="148">
        <v>1.4833299999999999E-3</v>
      </c>
      <c r="L712" s="147">
        <f t="shared" si="46"/>
        <v>8.93</v>
      </c>
      <c r="M712" s="147">
        <f t="shared" si="47"/>
        <v>17.850000000000001</v>
      </c>
      <c r="N712" s="145"/>
    </row>
    <row r="713" spans="1:14">
      <c r="A713" s="145" t="s">
        <v>626</v>
      </c>
      <c r="B713" s="146" t="s">
        <v>1826</v>
      </c>
      <c r="C713" s="146" t="s">
        <v>1827</v>
      </c>
      <c r="D713" s="145" t="s">
        <v>1828</v>
      </c>
      <c r="E713" s="146" t="s">
        <v>25</v>
      </c>
      <c r="F713" s="145" t="s">
        <v>26</v>
      </c>
      <c r="G713" s="146" t="s">
        <v>20</v>
      </c>
      <c r="H713" s="146">
        <v>201606</v>
      </c>
      <c r="I713" s="147">
        <v>658.84</v>
      </c>
      <c r="J713" s="144">
        <f t="shared" si="45"/>
        <v>5</v>
      </c>
      <c r="K713" s="148">
        <v>1.4833299999999999E-3</v>
      </c>
      <c r="L713" s="147">
        <f t="shared" si="46"/>
        <v>4.8899999999999997</v>
      </c>
      <c r="M713" s="147">
        <f t="shared" si="47"/>
        <v>11.73</v>
      </c>
      <c r="N713" s="145"/>
    </row>
    <row r="714" spans="1:14">
      <c r="A714" s="145" t="s">
        <v>21</v>
      </c>
      <c r="B714" s="146" t="s">
        <v>1826</v>
      </c>
      <c r="C714" s="146" t="s">
        <v>1827</v>
      </c>
      <c r="D714" s="145" t="s">
        <v>1828</v>
      </c>
      <c r="E714" s="146" t="s">
        <v>25</v>
      </c>
      <c r="F714" s="145" t="s">
        <v>26</v>
      </c>
      <c r="G714" s="146" t="s">
        <v>20</v>
      </c>
      <c r="H714" s="146">
        <v>201606</v>
      </c>
      <c r="I714" s="147">
        <v>1895.35</v>
      </c>
      <c r="J714" s="144">
        <f t="shared" si="45"/>
        <v>5</v>
      </c>
      <c r="K714" s="148">
        <v>1.4833299999999999E-3</v>
      </c>
      <c r="L714" s="147">
        <f t="shared" si="46"/>
        <v>14.06</v>
      </c>
      <c r="M714" s="147">
        <f t="shared" si="47"/>
        <v>33.74</v>
      </c>
      <c r="N714" s="145"/>
    </row>
    <row r="715" spans="1:14">
      <c r="A715" s="145" t="s">
        <v>626</v>
      </c>
      <c r="B715" s="146" t="s">
        <v>1139</v>
      </c>
      <c r="C715" s="146" t="s">
        <v>1140</v>
      </c>
      <c r="D715" s="145" t="s">
        <v>1141</v>
      </c>
      <c r="E715" s="146" t="s">
        <v>280</v>
      </c>
      <c r="F715" s="145" t="s">
        <v>26</v>
      </c>
      <c r="G715" s="146" t="s">
        <v>20</v>
      </c>
      <c r="H715" s="146">
        <v>201606</v>
      </c>
      <c r="I715" s="147">
        <v>11.53</v>
      </c>
      <c r="J715" s="144">
        <f t="shared" si="45"/>
        <v>5</v>
      </c>
      <c r="K715" s="148">
        <v>1.4833299999999999E-3</v>
      </c>
      <c r="L715" s="147">
        <f t="shared" si="46"/>
        <v>0.09</v>
      </c>
      <c r="M715" s="147">
        <f t="shared" si="47"/>
        <v>0.21</v>
      </c>
      <c r="N715" s="145"/>
    </row>
    <row r="716" spans="1:14">
      <c r="A716" s="145" t="s">
        <v>626</v>
      </c>
      <c r="B716" s="146" t="s">
        <v>1615</v>
      </c>
      <c r="C716" s="146" t="s">
        <v>1616</v>
      </c>
      <c r="D716" s="145" t="s">
        <v>1617</v>
      </c>
      <c r="E716" s="146" t="s">
        <v>497</v>
      </c>
      <c r="F716" s="145" t="s">
        <v>26</v>
      </c>
      <c r="G716" s="146" t="s">
        <v>20</v>
      </c>
      <c r="H716" s="146">
        <v>201606</v>
      </c>
      <c r="I716" s="147">
        <v>-0.35</v>
      </c>
      <c r="J716" s="144">
        <f t="shared" ref="J716:J747" si="48">HLOOKUP(H716,$Q$2:$Z$3,2)</f>
        <v>5</v>
      </c>
      <c r="K716" s="148">
        <v>1.4833299999999999E-3</v>
      </c>
      <c r="L716" s="147">
        <f t="shared" ref="L716:L747" si="49">ROUND(I716*J716*K716,2)</f>
        <v>0</v>
      </c>
      <c r="M716" s="147">
        <f t="shared" ref="M716:M747" si="50">ROUND(I716*K716*12,2)</f>
        <v>-0.01</v>
      </c>
      <c r="N716" s="145"/>
    </row>
    <row r="717" spans="1:14">
      <c r="A717" s="145" t="s">
        <v>626</v>
      </c>
      <c r="B717" s="146" t="s">
        <v>1172</v>
      </c>
      <c r="C717" s="146" t="s">
        <v>1173</v>
      </c>
      <c r="D717" s="145" t="s">
        <v>1174</v>
      </c>
      <c r="E717" s="146" t="s">
        <v>156</v>
      </c>
      <c r="F717" s="145" t="s">
        <v>26</v>
      </c>
      <c r="G717" s="146" t="s">
        <v>20</v>
      </c>
      <c r="H717" s="146">
        <v>201606</v>
      </c>
      <c r="I717" s="147">
        <v>4.3600000000000003</v>
      </c>
      <c r="J717" s="144">
        <f t="shared" si="48"/>
        <v>5</v>
      </c>
      <c r="K717" s="148">
        <v>1.4833299999999999E-3</v>
      </c>
      <c r="L717" s="147">
        <f t="shared" si="49"/>
        <v>0.03</v>
      </c>
      <c r="M717" s="147">
        <f t="shared" si="50"/>
        <v>0.08</v>
      </c>
      <c r="N717" s="145"/>
    </row>
    <row r="718" spans="1:14">
      <c r="A718" s="145" t="s">
        <v>21</v>
      </c>
      <c r="B718" s="146" t="s">
        <v>1829</v>
      </c>
      <c r="C718" s="146" t="s">
        <v>1830</v>
      </c>
      <c r="D718" s="145" t="s">
        <v>1831</v>
      </c>
      <c r="E718" s="146" t="s">
        <v>497</v>
      </c>
      <c r="F718" s="145" t="s">
        <v>26</v>
      </c>
      <c r="G718" s="146" t="s">
        <v>20</v>
      </c>
      <c r="H718" s="146">
        <v>201606</v>
      </c>
      <c r="I718" s="147">
        <v>1.98</v>
      </c>
      <c r="J718" s="144">
        <f t="shared" si="48"/>
        <v>5</v>
      </c>
      <c r="K718" s="148">
        <v>1.4833299999999999E-3</v>
      </c>
      <c r="L718" s="147">
        <f t="shared" si="49"/>
        <v>0.01</v>
      </c>
      <c r="M718" s="147">
        <f t="shared" si="50"/>
        <v>0.04</v>
      </c>
      <c r="N718" s="145"/>
    </row>
    <row r="719" spans="1:14">
      <c r="A719" s="145" t="s">
        <v>626</v>
      </c>
      <c r="B719" s="146" t="s">
        <v>1829</v>
      </c>
      <c r="C719" s="146" t="s">
        <v>1830</v>
      </c>
      <c r="D719" s="145" t="s">
        <v>1831</v>
      </c>
      <c r="E719" s="146" t="s">
        <v>497</v>
      </c>
      <c r="F719" s="145" t="s">
        <v>26</v>
      </c>
      <c r="G719" s="146" t="s">
        <v>20</v>
      </c>
      <c r="H719" s="146">
        <v>201606</v>
      </c>
      <c r="I719" s="147">
        <v>13.39</v>
      </c>
      <c r="J719" s="144">
        <f t="shared" si="48"/>
        <v>5</v>
      </c>
      <c r="K719" s="148">
        <v>1.4833299999999999E-3</v>
      </c>
      <c r="L719" s="147">
        <f t="shared" si="49"/>
        <v>0.1</v>
      </c>
      <c r="M719" s="147">
        <f t="shared" si="50"/>
        <v>0.24</v>
      </c>
      <c r="N719" s="145"/>
    </row>
    <row r="720" spans="1:14">
      <c r="A720" s="145" t="s">
        <v>626</v>
      </c>
      <c r="B720" s="146" t="s">
        <v>1709</v>
      </c>
      <c r="C720" s="146" t="s">
        <v>1710</v>
      </c>
      <c r="D720" s="145" t="s">
        <v>1711</v>
      </c>
      <c r="E720" s="146" t="s">
        <v>497</v>
      </c>
      <c r="F720" s="145" t="s">
        <v>26</v>
      </c>
      <c r="G720" s="146" t="s">
        <v>20</v>
      </c>
      <c r="H720" s="146">
        <v>201606</v>
      </c>
      <c r="I720" s="147">
        <v>2.2200000000000002</v>
      </c>
      <c r="J720" s="144">
        <f t="shared" si="48"/>
        <v>5</v>
      </c>
      <c r="K720" s="148">
        <v>1.4833299999999999E-3</v>
      </c>
      <c r="L720" s="147">
        <f t="shared" si="49"/>
        <v>0.02</v>
      </c>
      <c r="M720" s="147">
        <f t="shared" si="50"/>
        <v>0.04</v>
      </c>
      <c r="N720" s="145"/>
    </row>
    <row r="721" spans="1:14">
      <c r="A721" s="145" t="s">
        <v>626</v>
      </c>
      <c r="B721" s="146" t="s">
        <v>1514</v>
      </c>
      <c r="C721" s="146" t="s">
        <v>1515</v>
      </c>
      <c r="D721" s="145" t="s">
        <v>1516</v>
      </c>
      <c r="E721" s="146" t="s">
        <v>809</v>
      </c>
      <c r="F721" s="145" t="s">
        <v>26</v>
      </c>
      <c r="G721" s="146" t="s">
        <v>20</v>
      </c>
      <c r="H721" s="146">
        <v>201606</v>
      </c>
      <c r="I721" s="147">
        <v>8.5399999999999991</v>
      </c>
      <c r="J721" s="144">
        <f t="shared" si="48"/>
        <v>5</v>
      </c>
      <c r="K721" s="148">
        <v>1.4833299999999999E-3</v>
      </c>
      <c r="L721" s="147">
        <f t="shared" si="49"/>
        <v>0.06</v>
      </c>
      <c r="M721" s="147">
        <f t="shared" si="50"/>
        <v>0.15</v>
      </c>
      <c r="N721" s="145"/>
    </row>
    <row r="722" spans="1:14">
      <c r="A722" s="145" t="s">
        <v>626</v>
      </c>
      <c r="B722" s="146" t="s">
        <v>1832</v>
      </c>
      <c r="C722" s="146" t="s">
        <v>1833</v>
      </c>
      <c r="D722" s="145" t="s">
        <v>1834</v>
      </c>
      <c r="E722" s="146" t="s">
        <v>497</v>
      </c>
      <c r="F722" s="145" t="s">
        <v>26</v>
      </c>
      <c r="G722" s="146" t="s">
        <v>20</v>
      </c>
      <c r="H722" s="146">
        <v>201606</v>
      </c>
      <c r="I722" s="147">
        <v>76.95</v>
      </c>
      <c r="J722" s="144">
        <f t="shared" si="48"/>
        <v>5</v>
      </c>
      <c r="K722" s="148">
        <v>1.4833299999999999E-3</v>
      </c>
      <c r="L722" s="147">
        <f t="shared" si="49"/>
        <v>0.56999999999999995</v>
      </c>
      <c r="M722" s="147">
        <f t="shared" si="50"/>
        <v>1.37</v>
      </c>
      <c r="N722" s="145"/>
    </row>
    <row r="723" spans="1:14">
      <c r="A723" s="145" t="s">
        <v>626</v>
      </c>
      <c r="B723" s="146" t="s">
        <v>1712</v>
      </c>
      <c r="C723" s="146" t="s">
        <v>1713</v>
      </c>
      <c r="D723" s="145" t="s">
        <v>1714</v>
      </c>
      <c r="E723" s="146" t="s">
        <v>497</v>
      </c>
      <c r="F723" s="145" t="s">
        <v>26</v>
      </c>
      <c r="G723" s="146" t="s">
        <v>20</v>
      </c>
      <c r="H723" s="146">
        <v>201606</v>
      </c>
      <c r="I723" s="147">
        <v>9.4499999999999993</v>
      </c>
      <c r="J723" s="144">
        <f t="shared" si="48"/>
        <v>5</v>
      </c>
      <c r="K723" s="148">
        <v>1.4833299999999999E-3</v>
      </c>
      <c r="L723" s="147">
        <f t="shared" si="49"/>
        <v>7.0000000000000007E-2</v>
      </c>
      <c r="M723" s="147">
        <f t="shared" si="50"/>
        <v>0.17</v>
      </c>
      <c r="N723" s="145"/>
    </row>
    <row r="724" spans="1:14">
      <c r="A724" s="145" t="s">
        <v>626</v>
      </c>
      <c r="B724" s="146" t="s">
        <v>2030</v>
      </c>
      <c r="C724" s="146" t="s">
        <v>2031</v>
      </c>
      <c r="D724" s="145" t="s">
        <v>2032</v>
      </c>
      <c r="E724" s="146" t="s">
        <v>497</v>
      </c>
      <c r="F724" s="145" t="s">
        <v>26</v>
      </c>
      <c r="G724" s="146" t="s">
        <v>20</v>
      </c>
      <c r="H724" s="146">
        <v>201606</v>
      </c>
      <c r="I724" s="147">
        <v>3363.68</v>
      </c>
      <c r="J724" s="144">
        <f t="shared" si="48"/>
        <v>5</v>
      </c>
      <c r="K724" s="148">
        <v>1.4833299999999999E-3</v>
      </c>
      <c r="L724" s="147">
        <f t="shared" si="49"/>
        <v>24.95</v>
      </c>
      <c r="M724" s="147">
        <f t="shared" si="50"/>
        <v>59.87</v>
      </c>
      <c r="N724" s="145"/>
    </row>
    <row r="725" spans="1:14">
      <c r="A725" s="145" t="s">
        <v>626</v>
      </c>
      <c r="B725" s="146" t="s">
        <v>1715</v>
      </c>
      <c r="C725" s="146" t="s">
        <v>1716</v>
      </c>
      <c r="D725" s="145" t="s">
        <v>1717</v>
      </c>
      <c r="E725" s="146" t="s">
        <v>497</v>
      </c>
      <c r="F725" s="145" t="s">
        <v>26</v>
      </c>
      <c r="G725" s="146" t="s">
        <v>20</v>
      </c>
      <c r="H725" s="146">
        <v>201606</v>
      </c>
      <c r="I725" s="147">
        <v>-5.73</v>
      </c>
      <c r="J725" s="144">
        <f t="shared" si="48"/>
        <v>5</v>
      </c>
      <c r="K725" s="148">
        <v>1.4833299999999999E-3</v>
      </c>
      <c r="L725" s="147">
        <f t="shared" si="49"/>
        <v>-0.04</v>
      </c>
      <c r="M725" s="147">
        <f t="shared" si="50"/>
        <v>-0.1</v>
      </c>
      <c r="N725" s="145"/>
    </row>
    <row r="726" spans="1:14">
      <c r="A726" s="145" t="s">
        <v>626</v>
      </c>
      <c r="B726" s="146" t="s">
        <v>1835</v>
      </c>
      <c r="C726" s="146" t="s">
        <v>1836</v>
      </c>
      <c r="D726" s="145" t="s">
        <v>1837</v>
      </c>
      <c r="E726" s="146" t="s">
        <v>497</v>
      </c>
      <c r="F726" s="145" t="s">
        <v>26</v>
      </c>
      <c r="G726" s="146" t="s">
        <v>20</v>
      </c>
      <c r="H726" s="146">
        <v>201606</v>
      </c>
      <c r="I726" s="147">
        <v>107.01</v>
      </c>
      <c r="J726" s="144">
        <f t="shared" si="48"/>
        <v>5</v>
      </c>
      <c r="K726" s="148">
        <v>1.4833299999999999E-3</v>
      </c>
      <c r="L726" s="147">
        <f t="shared" si="49"/>
        <v>0.79</v>
      </c>
      <c r="M726" s="147">
        <f t="shared" si="50"/>
        <v>1.9</v>
      </c>
      <c r="N726" s="145"/>
    </row>
    <row r="727" spans="1:14">
      <c r="A727" s="145" t="s">
        <v>626</v>
      </c>
      <c r="B727" s="146" t="s">
        <v>1718</v>
      </c>
      <c r="C727" s="146" t="s">
        <v>1719</v>
      </c>
      <c r="D727" s="145" t="s">
        <v>1720</v>
      </c>
      <c r="E727" s="146" t="s">
        <v>497</v>
      </c>
      <c r="F727" s="145" t="s">
        <v>26</v>
      </c>
      <c r="G727" s="146" t="s">
        <v>20</v>
      </c>
      <c r="H727" s="146">
        <v>201606</v>
      </c>
      <c r="I727" s="147">
        <v>30.75</v>
      </c>
      <c r="J727" s="144">
        <f t="shared" si="48"/>
        <v>5</v>
      </c>
      <c r="K727" s="148">
        <v>1.4833299999999999E-3</v>
      </c>
      <c r="L727" s="147">
        <f t="shared" si="49"/>
        <v>0.23</v>
      </c>
      <c r="M727" s="147">
        <f t="shared" si="50"/>
        <v>0.55000000000000004</v>
      </c>
      <c r="N727" s="145"/>
    </row>
    <row r="728" spans="1:14">
      <c r="A728" s="145" t="s">
        <v>626</v>
      </c>
      <c r="B728" s="146" t="s">
        <v>2033</v>
      </c>
      <c r="C728" s="146" t="s">
        <v>2034</v>
      </c>
      <c r="D728" s="145" t="s">
        <v>2035</v>
      </c>
      <c r="E728" s="146" t="s">
        <v>497</v>
      </c>
      <c r="F728" s="145" t="s">
        <v>26</v>
      </c>
      <c r="G728" s="146" t="s">
        <v>20</v>
      </c>
      <c r="H728" s="146">
        <v>201606</v>
      </c>
      <c r="I728" s="147">
        <v>130479.56</v>
      </c>
      <c r="J728" s="144">
        <f t="shared" si="48"/>
        <v>5</v>
      </c>
      <c r="K728" s="148">
        <v>1.4833299999999999E-3</v>
      </c>
      <c r="L728" s="147">
        <f t="shared" si="49"/>
        <v>967.72</v>
      </c>
      <c r="M728" s="147">
        <f t="shared" si="50"/>
        <v>2322.5300000000002</v>
      </c>
      <c r="N728" s="145"/>
    </row>
    <row r="729" spans="1:14">
      <c r="A729" s="145" t="s">
        <v>626</v>
      </c>
      <c r="B729" s="146" t="s">
        <v>1620</v>
      </c>
      <c r="C729" s="146" t="s">
        <v>1621</v>
      </c>
      <c r="D729" s="145" t="s">
        <v>1622</v>
      </c>
      <c r="E729" s="146" t="s">
        <v>497</v>
      </c>
      <c r="F729" s="145" t="s">
        <v>26</v>
      </c>
      <c r="G729" s="146" t="s">
        <v>20</v>
      </c>
      <c r="H729" s="146">
        <v>201606</v>
      </c>
      <c r="I729" s="147">
        <v>185.52</v>
      </c>
      <c r="J729" s="144">
        <f t="shared" si="48"/>
        <v>5</v>
      </c>
      <c r="K729" s="148">
        <v>1.4833299999999999E-3</v>
      </c>
      <c r="L729" s="147">
        <f t="shared" si="49"/>
        <v>1.38</v>
      </c>
      <c r="M729" s="147">
        <f t="shared" si="50"/>
        <v>3.3</v>
      </c>
      <c r="N729" s="145"/>
    </row>
    <row r="730" spans="1:14">
      <c r="A730" s="145" t="s">
        <v>626</v>
      </c>
      <c r="B730" s="146" t="s">
        <v>1375</v>
      </c>
      <c r="C730" s="146" t="s">
        <v>1376</v>
      </c>
      <c r="D730" s="145" t="s">
        <v>1374</v>
      </c>
      <c r="E730" s="146" t="s">
        <v>497</v>
      </c>
      <c r="F730" s="145" t="s">
        <v>26</v>
      </c>
      <c r="G730" s="146" t="s">
        <v>20</v>
      </c>
      <c r="H730" s="146">
        <v>201606</v>
      </c>
      <c r="I730" s="147">
        <v>116.09</v>
      </c>
      <c r="J730" s="144">
        <f t="shared" si="48"/>
        <v>5</v>
      </c>
      <c r="K730" s="148">
        <v>1.4833299999999999E-3</v>
      </c>
      <c r="L730" s="147">
        <f t="shared" si="49"/>
        <v>0.86</v>
      </c>
      <c r="M730" s="147">
        <f t="shared" si="50"/>
        <v>2.0699999999999998</v>
      </c>
      <c r="N730" s="145"/>
    </row>
    <row r="731" spans="1:14">
      <c r="A731" s="145" t="s">
        <v>626</v>
      </c>
      <c r="B731" s="146" t="s">
        <v>1788</v>
      </c>
      <c r="C731" s="146" t="s">
        <v>1789</v>
      </c>
      <c r="D731" s="145" t="s">
        <v>1790</v>
      </c>
      <c r="E731" s="146" t="s">
        <v>25</v>
      </c>
      <c r="F731" s="145" t="s">
        <v>26</v>
      </c>
      <c r="G731" s="146" t="s">
        <v>20</v>
      </c>
      <c r="H731" s="146">
        <v>201606</v>
      </c>
      <c r="I731" s="147">
        <v>43.98</v>
      </c>
      <c r="J731" s="144">
        <f t="shared" si="48"/>
        <v>5</v>
      </c>
      <c r="K731" s="148">
        <v>1.4833299999999999E-3</v>
      </c>
      <c r="L731" s="147">
        <f t="shared" si="49"/>
        <v>0.33</v>
      </c>
      <c r="M731" s="147">
        <f t="shared" si="50"/>
        <v>0.78</v>
      </c>
      <c r="N731" s="145"/>
    </row>
    <row r="732" spans="1:14">
      <c r="A732" s="145" t="s">
        <v>626</v>
      </c>
      <c r="B732" s="146" t="s">
        <v>2039</v>
      </c>
      <c r="C732" s="146" t="s">
        <v>2040</v>
      </c>
      <c r="D732" s="145" t="s">
        <v>2041</v>
      </c>
      <c r="E732" s="146" t="s">
        <v>497</v>
      </c>
      <c r="F732" s="145" t="s">
        <v>26</v>
      </c>
      <c r="G732" s="146" t="s">
        <v>20</v>
      </c>
      <c r="H732" s="146">
        <v>201606</v>
      </c>
      <c r="I732" s="147">
        <v>1954.38</v>
      </c>
      <c r="J732" s="144">
        <f t="shared" si="48"/>
        <v>5</v>
      </c>
      <c r="K732" s="148">
        <v>1.4833299999999999E-3</v>
      </c>
      <c r="L732" s="147">
        <f t="shared" si="49"/>
        <v>14.49</v>
      </c>
      <c r="M732" s="147">
        <f t="shared" si="50"/>
        <v>34.79</v>
      </c>
      <c r="N732" s="145"/>
    </row>
    <row r="733" spans="1:14">
      <c r="A733" s="145" t="s">
        <v>626</v>
      </c>
      <c r="B733" s="146" t="s">
        <v>2042</v>
      </c>
      <c r="C733" s="146" t="s">
        <v>2043</v>
      </c>
      <c r="D733" s="145" t="s">
        <v>2044</v>
      </c>
      <c r="E733" s="146" t="s">
        <v>497</v>
      </c>
      <c r="F733" s="145" t="s">
        <v>26</v>
      </c>
      <c r="G733" s="146" t="s">
        <v>20</v>
      </c>
      <c r="H733" s="146">
        <v>201606</v>
      </c>
      <c r="I733" s="147">
        <v>3923.03</v>
      </c>
      <c r="J733" s="144">
        <f t="shared" si="48"/>
        <v>5</v>
      </c>
      <c r="K733" s="148">
        <v>1.4833299999999999E-3</v>
      </c>
      <c r="L733" s="147">
        <f t="shared" si="49"/>
        <v>29.1</v>
      </c>
      <c r="M733" s="147">
        <f t="shared" si="50"/>
        <v>69.83</v>
      </c>
      <c r="N733" s="145"/>
    </row>
    <row r="734" spans="1:14">
      <c r="A734" s="145" t="s">
        <v>626</v>
      </c>
      <c r="B734" s="146" t="s">
        <v>1794</v>
      </c>
      <c r="C734" s="146" t="s">
        <v>1795</v>
      </c>
      <c r="D734" s="145" t="s">
        <v>1796</v>
      </c>
      <c r="E734" s="146" t="s">
        <v>809</v>
      </c>
      <c r="F734" s="145" t="s">
        <v>26</v>
      </c>
      <c r="G734" s="146" t="s">
        <v>20</v>
      </c>
      <c r="H734" s="146">
        <v>201606</v>
      </c>
      <c r="I734" s="147">
        <v>603.17999999999995</v>
      </c>
      <c r="J734" s="144">
        <f t="shared" si="48"/>
        <v>5</v>
      </c>
      <c r="K734" s="148">
        <v>1.4833299999999999E-3</v>
      </c>
      <c r="L734" s="147">
        <f t="shared" si="49"/>
        <v>4.47</v>
      </c>
      <c r="M734" s="147">
        <f t="shared" si="50"/>
        <v>10.74</v>
      </c>
      <c r="N734" s="145"/>
    </row>
    <row r="735" spans="1:14">
      <c r="A735" s="145" t="s">
        <v>626</v>
      </c>
      <c r="B735" s="146" t="s">
        <v>1693</v>
      </c>
      <c r="C735" s="146" t="s">
        <v>1694</v>
      </c>
      <c r="D735" s="145" t="s">
        <v>1695</v>
      </c>
      <c r="E735" s="146" t="s">
        <v>809</v>
      </c>
      <c r="F735" s="145" t="s">
        <v>26</v>
      </c>
      <c r="G735" s="146" t="s">
        <v>20</v>
      </c>
      <c r="H735" s="146">
        <v>201606</v>
      </c>
      <c r="I735" s="147">
        <v>3460.14</v>
      </c>
      <c r="J735" s="144">
        <f t="shared" si="48"/>
        <v>5</v>
      </c>
      <c r="K735" s="148">
        <v>1.4833299999999999E-3</v>
      </c>
      <c r="L735" s="147">
        <f t="shared" si="49"/>
        <v>25.66</v>
      </c>
      <c r="M735" s="147">
        <f t="shared" si="50"/>
        <v>61.59</v>
      </c>
      <c r="N735" s="145"/>
    </row>
    <row r="736" spans="1:14">
      <c r="A736" s="145" t="s">
        <v>626</v>
      </c>
      <c r="B736" s="146" t="s">
        <v>1742</v>
      </c>
      <c r="C736" s="146" t="s">
        <v>1743</v>
      </c>
      <c r="D736" s="145" t="s">
        <v>1744</v>
      </c>
      <c r="E736" s="146" t="s">
        <v>497</v>
      </c>
      <c r="F736" s="145" t="s">
        <v>26</v>
      </c>
      <c r="G736" s="146" t="s">
        <v>20</v>
      </c>
      <c r="H736" s="146">
        <v>201606</v>
      </c>
      <c r="I736" s="147">
        <v>58.47</v>
      </c>
      <c r="J736" s="144">
        <f t="shared" si="48"/>
        <v>5</v>
      </c>
      <c r="K736" s="148">
        <v>1.4833299999999999E-3</v>
      </c>
      <c r="L736" s="147">
        <f t="shared" si="49"/>
        <v>0.43</v>
      </c>
      <c r="M736" s="147">
        <f t="shared" si="50"/>
        <v>1.04</v>
      </c>
      <c r="N736" s="145"/>
    </row>
    <row r="737" spans="1:14">
      <c r="A737" s="145" t="s">
        <v>21</v>
      </c>
      <c r="B737" s="146" t="s">
        <v>1745</v>
      </c>
      <c r="C737" s="146" t="s">
        <v>1746</v>
      </c>
      <c r="D737" s="145" t="s">
        <v>1747</v>
      </c>
      <c r="E737" s="146" t="s">
        <v>497</v>
      </c>
      <c r="F737" s="145" t="s">
        <v>26</v>
      </c>
      <c r="G737" s="146" t="s">
        <v>20</v>
      </c>
      <c r="H737" s="146">
        <v>201606</v>
      </c>
      <c r="I737" s="147">
        <v>39.049999999999997</v>
      </c>
      <c r="J737" s="144">
        <f t="shared" si="48"/>
        <v>5</v>
      </c>
      <c r="K737" s="148">
        <v>1.4833299999999999E-3</v>
      </c>
      <c r="L737" s="147">
        <f t="shared" si="49"/>
        <v>0.28999999999999998</v>
      </c>
      <c r="M737" s="147">
        <f t="shared" si="50"/>
        <v>0.7</v>
      </c>
      <c r="N737" s="145"/>
    </row>
    <row r="738" spans="1:14">
      <c r="A738" s="145" t="s">
        <v>626</v>
      </c>
      <c r="B738" s="146" t="s">
        <v>1745</v>
      </c>
      <c r="C738" s="146" t="s">
        <v>1746</v>
      </c>
      <c r="D738" s="145" t="s">
        <v>1747</v>
      </c>
      <c r="E738" s="146" t="s">
        <v>497</v>
      </c>
      <c r="F738" s="145" t="s">
        <v>26</v>
      </c>
      <c r="G738" s="146" t="s">
        <v>20</v>
      </c>
      <c r="H738" s="146">
        <v>201606</v>
      </c>
      <c r="I738" s="147">
        <v>474.05</v>
      </c>
      <c r="J738" s="144">
        <f t="shared" si="48"/>
        <v>5</v>
      </c>
      <c r="K738" s="148">
        <v>1.4833299999999999E-3</v>
      </c>
      <c r="L738" s="147">
        <f t="shared" si="49"/>
        <v>3.52</v>
      </c>
      <c r="M738" s="147">
        <f t="shared" si="50"/>
        <v>8.44</v>
      </c>
      <c r="N738" s="145"/>
    </row>
    <row r="739" spans="1:14">
      <c r="A739" s="145" t="s">
        <v>626</v>
      </c>
      <c r="B739" s="146" t="s">
        <v>1921</v>
      </c>
      <c r="C739" s="146" t="s">
        <v>1922</v>
      </c>
      <c r="D739" s="145" t="s">
        <v>1923</v>
      </c>
      <c r="E739" s="146" t="s">
        <v>156</v>
      </c>
      <c r="F739" s="145" t="s">
        <v>26</v>
      </c>
      <c r="G739" s="146" t="s">
        <v>20</v>
      </c>
      <c r="H739" s="146">
        <v>201606</v>
      </c>
      <c r="I739" s="147">
        <v>1092.75</v>
      </c>
      <c r="J739" s="144">
        <f t="shared" si="48"/>
        <v>5</v>
      </c>
      <c r="K739" s="148">
        <v>1.4833299999999999E-3</v>
      </c>
      <c r="L739" s="147">
        <f t="shared" si="49"/>
        <v>8.1</v>
      </c>
      <c r="M739" s="147">
        <f t="shared" si="50"/>
        <v>19.45</v>
      </c>
      <c r="N739" s="145"/>
    </row>
    <row r="740" spans="1:14">
      <c r="A740" s="145" t="s">
        <v>626</v>
      </c>
      <c r="B740" s="146" t="s">
        <v>1699</v>
      </c>
      <c r="C740" s="146" t="s">
        <v>1700</v>
      </c>
      <c r="D740" s="145" t="s">
        <v>1701</v>
      </c>
      <c r="E740" s="146" t="s">
        <v>544</v>
      </c>
      <c r="F740" s="145" t="s">
        <v>26</v>
      </c>
      <c r="G740" s="146" t="s">
        <v>20</v>
      </c>
      <c r="H740" s="146">
        <v>201606</v>
      </c>
      <c r="I740" s="147">
        <v>-46.15</v>
      </c>
      <c r="J740" s="144">
        <f t="shared" si="48"/>
        <v>5</v>
      </c>
      <c r="K740" s="148">
        <v>1.4833299999999999E-3</v>
      </c>
      <c r="L740" s="147">
        <f t="shared" si="49"/>
        <v>-0.34</v>
      </c>
      <c r="M740" s="147">
        <f t="shared" si="50"/>
        <v>-0.82</v>
      </c>
      <c r="N740" s="145"/>
    </row>
    <row r="741" spans="1:14">
      <c r="A741" s="145" t="s">
        <v>626</v>
      </c>
      <c r="B741" s="146" t="s">
        <v>1967</v>
      </c>
      <c r="C741" s="146" t="s">
        <v>1968</v>
      </c>
      <c r="D741" s="145" t="s">
        <v>1969</v>
      </c>
      <c r="E741" s="146" t="s">
        <v>544</v>
      </c>
      <c r="F741" s="145" t="s">
        <v>26</v>
      </c>
      <c r="G741" s="146" t="s">
        <v>20</v>
      </c>
      <c r="H741" s="146">
        <v>201606</v>
      </c>
      <c r="I741" s="147">
        <v>1714.54</v>
      </c>
      <c r="J741" s="144">
        <f t="shared" si="48"/>
        <v>5</v>
      </c>
      <c r="K741" s="148">
        <v>1.4833299999999999E-3</v>
      </c>
      <c r="L741" s="147">
        <f t="shared" si="49"/>
        <v>12.72</v>
      </c>
      <c r="M741" s="147">
        <f t="shared" si="50"/>
        <v>30.52</v>
      </c>
      <c r="N741" s="145"/>
    </row>
    <row r="742" spans="1:14">
      <c r="A742" s="145" t="s">
        <v>626</v>
      </c>
      <c r="B742" s="146" t="s">
        <v>1811</v>
      </c>
      <c r="C742" s="146" t="s">
        <v>1812</v>
      </c>
      <c r="D742" s="145" t="s">
        <v>1813</v>
      </c>
      <c r="E742" s="146" t="s">
        <v>25</v>
      </c>
      <c r="F742" s="145" t="s">
        <v>26</v>
      </c>
      <c r="G742" s="146" t="s">
        <v>20</v>
      </c>
      <c r="H742" s="146">
        <v>201606</v>
      </c>
      <c r="I742" s="147">
        <v>320.70999999999998</v>
      </c>
      <c r="J742" s="144">
        <f t="shared" si="48"/>
        <v>5</v>
      </c>
      <c r="K742" s="148">
        <v>1.4833299999999999E-3</v>
      </c>
      <c r="L742" s="147">
        <f t="shared" si="49"/>
        <v>2.38</v>
      </c>
      <c r="M742" s="147">
        <f t="shared" si="50"/>
        <v>5.71</v>
      </c>
      <c r="N742" s="145"/>
    </row>
    <row r="743" spans="1:14">
      <c r="A743" s="145" t="s">
        <v>626</v>
      </c>
      <c r="B743" s="146" t="s">
        <v>1984</v>
      </c>
      <c r="C743" s="146" t="s">
        <v>1985</v>
      </c>
      <c r="D743" s="145" t="s">
        <v>1986</v>
      </c>
      <c r="E743" s="146" t="s">
        <v>156</v>
      </c>
      <c r="F743" s="145" t="s">
        <v>26</v>
      </c>
      <c r="G743" s="146" t="s">
        <v>20</v>
      </c>
      <c r="H743" s="146">
        <v>201606</v>
      </c>
      <c r="I743" s="147">
        <v>8272.9</v>
      </c>
      <c r="J743" s="144">
        <f t="shared" si="48"/>
        <v>5</v>
      </c>
      <c r="K743" s="148">
        <v>1.4833299999999999E-3</v>
      </c>
      <c r="L743" s="147">
        <f t="shared" si="49"/>
        <v>61.36</v>
      </c>
      <c r="M743" s="147">
        <f t="shared" si="50"/>
        <v>147.26</v>
      </c>
      <c r="N743" s="145"/>
    </row>
    <row r="744" spans="1:14">
      <c r="A744" s="145" t="s">
        <v>626</v>
      </c>
      <c r="B744" s="146" t="s">
        <v>2054</v>
      </c>
      <c r="C744" s="146" t="s">
        <v>2055</v>
      </c>
      <c r="D744" s="145" t="s">
        <v>2056</v>
      </c>
      <c r="E744" s="146" t="s">
        <v>156</v>
      </c>
      <c r="F744" s="145" t="s">
        <v>26</v>
      </c>
      <c r="G744" s="146" t="s">
        <v>20</v>
      </c>
      <c r="H744" s="146">
        <v>201606</v>
      </c>
      <c r="I744" s="147">
        <v>23427.33</v>
      </c>
      <c r="J744" s="144">
        <f t="shared" si="48"/>
        <v>5</v>
      </c>
      <c r="K744" s="148">
        <v>1.4833299999999999E-3</v>
      </c>
      <c r="L744" s="147">
        <f t="shared" si="49"/>
        <v>173.75</v>
      </c>
      <c r="M744" s="147">
        <f t="shared" si="50"/>
        <v>417.01</v>
      </c>
      <c r="N744" s="145"/>
    </row>
    <row r="745" spans="1:14">
      <c r="A745" s="145" t="s">
        <v>626</v>
      </c>
      <c r="B745" s="146" t="s">
        <v>1814</v>
      </c>
      <c r="C745" s="146" t="s">
        <v>1815</v>
      </c>
      <c r="D745" s="145" t="s">
        <v>1816</v>
      </c>
      <c r="E745" s="146" t="s">
        <v>25</v>
      </c>
      <c r="F745" s="145" t="s">
        <v>26</v>
      </c>
      <c r="G745" s="146" t="s">
        <v>20</v>
      </c>
      <c r="H745" s="146">
        <v>201606</v>
      </c>
      <c r="I745" s="147">
        <v>735.09</v>
      </c>
      <c r="J745" s="144">
        <f t="shared" si="48"/>
        <v>5</v>
      </c>
      <c r="K745" s="148">
        <v>1.4833299999999999E-3</v>
      </c>
      <c r="L745" s="147">
        <f t="shared" si="49"/>
        <v>5.45</v>
      </c>
      <c r="M745" s="147">
        <f t="shared" si="50"/>
        <v>13.08</v>
      </c>
      <c r="N745" s="145"/>
    </row>
    <row r="746" spans="1:14">
      <c r="A746" s="145" t="s">
        <v>626</v>
      </c>
      <c r="B746" s="146" t="s">
        <v>2057</v>
      </c>
      <c r="C746" s="146" t="s">
        <v>2058</v>
      </c>
      <c r="D746" s="145" t="s">
        <v>2059</v>
      </c>
      <c r="E746" s="146" t="s">
        <v>156</v>
      </c>
      <c r="F746" s="145" t="s">
        <v>26</v>
      </c>
      <c r="G746" s="146" t="s">
        <v>20</v>
      </c>
      <c r="H746" s="146">
        <v>201606</v>
      </c>
      <c r="I746" s="147">
        <v>30477.51</v>
      </c>
      <c r="J746" s="144">
        <f t="shared" si="48"/>
        <v>5</v>
      </c>
      <c r="K746" s="148">
        <v>1.4833299999999999E-3</v>
      </c>
      <c r="L746" s="147">
        <f t="shared" si="49"/>
        <v>226.04</v>
      </c>
      <c r="M746" s="147">
        <f t="shared" si="50"/>
        <v>542.5</v>
      </c>
      <c r="N746" s="145"/>
    </row>
    <row r="747" spans="1:14">
      <c r="A747" s="145" t="s">
        <v>626</v>
      </c>
      <c r="B747" s="146" t="s">
        <v>2060</v>
      </c>
      <c r="C747" s="146" t="s">
        <v>2061</v>
      </c>
      <c r="D747" s="145" t="s">
        <v>2062</v>
      </c>
      <c r="E747" s="146" t="s">
        <v>156</v>
      </c>
      <c r="F747" s="145" t="s">
        <v>26</v>
      </c>
      <c r="G747" s="146" t="s">
        <v>20</v>
      </c>
      <c r="H747" s="146">
        <v>201606</v>
      </c>
      <c r="I747" s="147">
        <v>14476.73</v>
      </c>
      <c r="J747" s="144">
        <f t="shared" si="48"/>
        <v>5</v>
      </c>
      <c r="K747" s="148">
        <v>1.4833299999999999E-3</v>
      </c>
      <c r="L747" s="147">
        <f t="shared" si="49"/>
        <v>107.37</v>
      </c>
      <c r="M747" s="147">
        <f t="shared" si="50"/>
        <v>257.69</v>
      </c>
      <c r="N747" s="145"/>
    </row>
    <row r="748" spans="1:14">
      <c r="A748" s="145" t="s">
        <v>626</v>
      </c>
      <c r="B748" s="146" t="s">
        <v>1764</v>
      </c>
      <c r="C748" s="146" t="s">
        <v>1765</v>
      </c>
      <c r="D748" s="145" t="s">
        <v>1766</v>
      </c>
      <c r="E748" s="146" t="s">
        <v>156</v>
      </c>
      <c r="F748" s="145" t="s">
        <v>26</v>
      </c>
      <c r="G748" s="146" t="s">
        <v>20</v>
      </c>
      <c r="H748" s="146">
        <v>201606</v>
      </c>
      <c r="I748" s="147">
        <v>808.09</v>
      </c>
      <c r="J748" s="144">
        <f t="shared" ref="J748:J779" si="51">HLOOKUP(H748,$Q$2:$Z$3,2)</f>
        <v>5</v>
      </c>
      <c r="K748" s="148">
        <v>1.4833299999999999E-3</v>
      </c>
      <c r="L748" s="147">
        <f t="shared" ref="L748:L779" si="52">ROUND(I748*J748*K748,2)</f>
        <v>5.99</v>
      </c>
      <c r="M748" s="147">
        <f t="shared" ref="M748:M779" si="53">ROUND(I748*K748*12,2)</f>
        <v>14.38</v>
      </c>
      <c r="N748" s="145"/>
    </row>
    <row r="749" spans="1:14">
      <c r="A749" s="145" t="s">
        <v>626</v>
      </c>
      <c r="B749" s="146" t="s">
        <v>1991</v>
      </c>
      <c r="C749" s="146" t="s">
        <v>1992</v>
      </c>
      <c r="D749" s="145" t="s">
        <v>1993</v>
      </c>
      <c r="E749" s="146" t="s">
        <v>497</v>
      </c>
      <c r="F749" s="145" t="s">
        <v>26</v>
      </c>
      <c r="G749" s="146" t="s">
        <v>20</v>
      </c>
      <c r="H749" s="146">
        <v>201606</v>
      </c>
      <c r="I749" s="147">
        <v>634.9</v>
      </c>
      <c r="J749" s="144">
        <f t="shared" si="51"/>
        <v>5</v>
      </c>
      <c r="K749" s="148">
        <v>1.4833299999999999E-3</v>
      </c>
      <c r="L749" s="147">
        <f t="shared" si="52"/>
        <v>4.71</v>
      </c>
      <c r="M749" s="147">
        <f t="shared" si="53"/>
        <v>11.3</v>
      </c>
      <c r="N749" s="145"/>
    </row>
    <row r="750" spans="1:14">
      <c r="A750" s="151" t="s">
        <v>626</v>
      </c>
      <c r="B750" s="152" t="s">
        <v>1699</v>
      </c>
      <c r="C750" s="152" t="s">
        <v>1700</v>
      </c>
      <c r="D750" s="151" t="s">
        <v>1701</v>
      </c>
      <c r="E750" s="152" t="s">
        <v>544</v>
      </c>
      <c r="F750" s="151" t="s">
        <v>26</v>
      </c>
      <c r="G750" s="152" t="s">
        <v>20</v>
      </c>
      <c r="H750" s="153">
        <v>201607</v>
      </c>
      <c r="I750" s="154">
        <v>-41.67</v>
      </c>
      <c r="J750" s="144">
        <f t="shared" si="51"/>
        <v>4</v>
      </c>
      <c r="K750" s="155">
        <v>1.4833299999999999E-3</v>
      </c>
      <c r="L750" s="154">
        <f t="shared" si="52"/>
        <v>-0.25</v>
      </c>
      <c r="M750" s="154">
        <f t="shared" si="53"/>
        <v>-0.74</v>
      </c>
      <c r="N750" s="145"/>
    </row>
    <row r="751" spans="1:14">
      <c r="A751" s="151" t="s">
        <v>626</v>
      </c>
      <c r="B751" s="152" t="s">
        <v>1715</v>
      </c>
      <c r="C751" s="152" t="s">
        <v>1716</v>
      </c>
      <c r="D751" s="151" t="s">
        <v>1717</v>
      </c>
      <c r="E751" s="152" t="s">
        <v>497</v>
      </c>
      <c r="F751" s="151" t="s">
        <v>26</v>
      </c>
      <c r="G751" s="152" t="s">
        <v>20</v>
      </c>
      <c r="H751" s="153">
        <v>201607</v>
      </c>
      <c r="I751" s="154">
        <v>-7.71</v>
      </c>
      <c r="J751" s="144">
        <f t="shared" si="51"/>
        <v>4</v>
      </c>
      <c r="K751" s="155">
        <v>1.4833299999999999E-3</v>
      </c>
      <c r="L751" s="154">
        <f t="shared" si="52"/>
        <v>-0.05</v>
      </c>
      <c r="M751" s="154">
        <f t="shared" si="53"/>
        <v>-0.14000000000000001</v>
      </c>
      <c r="N751" s="145"/>
    </row>
    <row r="752" spans="1:14">
      <c r="A752" s="151" t="s">
        <v>626</v>
      </c>
      <c r="B752" s="152" t="s">
        <v>1615</v>
      </c>
      <c r="C752" s="152" t="s">
        <v>1616</v>
      </c>
      <c r="D752" s="151" t="s">
        <v>1617</v>
      </c>
      <c r="E752" s="152" t="s">
        <v>497</v>
      </c>
      <c r="F752" s="151" t="s">
        <v>26</v>
      </c>
      <c r="G752" s="152" t="s">
        <v>20</v>
      </c>
      <c r="H752" s="153">
        <v>201607</v>
      </c>
      <c r="I752" s="154">
        <v>-1.76</v>
      </c>
      <c r="J752" s="144">
        <f t="shared" si="51"/>
        <v>4</v>
      </c>
      <c r="K752" s="155">
        <v>1.4833299999999999E-3</v>
      </c>
      <c r="L752" s="154">
        <f t="shared" si="52"/>
        <v>-0.01</v>
      </c>
      <c r="M752" s="154">
        <f t="shared" si="53"/>
        <v>-0.03</v>
      </c>
      <c r="N752" s="145"/>
    </row>
    <row r="753" spans="1:14">
      <c r="A753" s="151" t="s">
        <v>21</v>
      </c>
      <c r="B753" s="152" t="s">
        <v>1829</v>
      </c>
      <c r="C753" s="152" t="s">
        <v>1830</v>
      </c>
      <c r="D753" s="151" t="s">
        <v>1831</v>
      </c>
      <c r="E753" s="152" t="s">
        <v>497</v>
      </c>
      <c r="F753" s="151" t="s">
        <v>26</v>
      </c>
      <c r="G753" s="152" t="s">
        <v>20</v>
      </c>
      <c r="H753" s="153">
        <v>201607</v>
      </c>
      <c r="I753" s="154">
        <v>1.1100000000000001</v>
      </c>
      <c r="J753" s="144">
        <f t="shared" si="51"/>
        <v>4</v>
      </c>
      <c r="K753" s="155">
        <v>1.4833299999999999E-3</v>
      </c>
      <c r="L753" s="154">
        <f t="shared" si="52"/>
        <v>0.01</v>
      </c>
      <c r="M753" s="154">
        <f t="shared" si="53"/>
        <v>0.02</v>
      </c>
      <c r="N753" s="145"/>
    </row>
    <row r="754" spans="1:14">
      <c r="A754" s="151" t="s">
        <v>626</v>
      </c>
      <c r="B754" s="152" t="s">
        <v>1709</v>
      </c>
      <c r="C754" s="152" t="s">
        <v>1710</v>
      </c>
      <c r="D754" s="151" t="s">
        <v>1711</v>
      </c>
      <c r="E754" s="152" t="s">
        <v>497</v>
      </c>
      <c r="F754" s="151" t="s">
        <v>26</v>
      </c>
      <c r="G754" s="152" t="s">
        <v>20</v>
      </c>
      <c r="H754" s="153">
        <v>201607</v>
      </c>
      <c r="I754" s="154">
        <v>1.29</v>
      </c>
      <c r="J754" s="144">
        <f t="shared" si="51"/>
        <v>4</v>
      </c>
      <c r="K754" s="155">
        <v>1.4833299999999999E-3</v>
      </c>
      <c r="L754" s="154">
        <f t="shared" si="52"/>
        <v>0.01</v>
      </c>
      <c r="M754" s="154">
        <f t="shared" si="53"/>
        <v>0.02</v>
      </c>
      <c r="N754" s="145"/>
    </row>
    <row r="755" spans="1:14">
      <c r="A755" s="151" t="s">
        <v>626</v>
      </c>
      <c r="B755" s="152" t="s">
        <v>1693</v>
      </c>
      <c r="C755" s="152" t="s">
        <v>1694</v>
      </c>
      <c r="D755" s="151" t="s">
        <v>1695</v>
      </c>
      <c r="E755" s="152" t="s">
        <v>809</v>
      </c>
      <c r="F755" s="151" t="s">
        <v>26</v>
      </c>
      <c r="G755" s="152" t="s">
        <v>20</v>
      </c>
      <c r="H755" s="153">
        <v>201607</v>
      </c>
      <c r="I755" s="154">
        <v>1.42</v>
      </c>
      <c r="J755" s="144">
        <f t="shared" si="51"/>
        <v>4</v>
      </c>
      <c r="K755" s="155">
        <v>1.4833299999999999E-3</v>
      </c>
      <c r="L755" s="154">
        <f t="shared" si="52"/>
        <v>0.01</v>
      </c>
      <c r="M755" s="154">
        <f t="shared" si="53"/>
        <v>0.03</v>
      </c>
      <c r="N755" s="145"/>
    </row>
    <row r="756" spans="1:14">
      <c r="A756" s="151" t="s">
        <v>626</v>
      </c>
      <c r="B756" s="152" t="s">
        <v>1172</v>
      </c>
      <c r="C756" s="152" t="s">
        <v>1173</v>
      </c>
      <c r="D756" s="151" t="s">
        <v>1174</v>
      </c>
      <c r="E756" s="152" t="s">
        <v>156</v>
      </c>
      <c r="F756" s="151" t="s">
        <v>26</v>
      </c>
      <c r="G756" s="152" t="s">
        <v>20</v>
      </c>
      <c r="H756" s="153">
        <v>201607</v>
      </c>
      <c r="I756" s="154">
        <v>2.44</v>
      </c>
      <c r="J756" s="144">
        <f t="shared" si="51"/>
        <v>4</v>
      </c>
      <c r="K756" s="155">
        <v>1.4833299999999999E-3</v>
      </c>
      <c r="L756" s="154">
        <f t="shared" si="52"/>
        <v>0.01</v>
      </c>
      <c r="M756" s="154">
        <f t="shared" si="53"/>
        <v>0.04</v>
      </c>
      <c r="N756" s="145"/>
    </row>
    <row r="757" spans="1:14">
      <c r="A757" s="151" t="s">
        <v>626</v>
      </c>
      <c r="B757" s="152" t="s">
        <v>1514</v>
      </c>
      <c r="C757" s="152" t="s">
        <v>1515</v>
      </c>
      <c r="D757" s="151" t="s">
        <v>1516</v>
      </c>
      <c r="E757" s="152" t="s">
        <v>809</v>
      </c>
      <c r="F757" s="151" t="s">
        <v>26</v>
      </c>
      <c r="G757" s="152" t="s">
        <v>20</v>
      </c>
      <c r="H757" s="153">
        <v>201607</v>
      </c>
      <c r="I757" s="154">
        <v>4.84</v>
      </c>
      <c r="J757" s="144">
        <f t="shared" si="51"/>
        <v>4</v>
      </c>
      <c r="K757" s="155">
        <v>1.4833299999999999E-3</v>
      </c>
      <c r="L757" s="154">
        <f t="shared" si="52"/>
        <v>0.03</v>
      </c>
      <c r="M757" s="154">
        <f t="shared" si="53"/>
        <v>0.09</v>
      </c>
      <c r="N757" s="145"/>
    </row>
    <row r="758" spans="1:14">
      <c r="A758" s="151" t="s">
        <v>626</v>
      </c>
      <c r="B758" s="152" t="s">
        <v>1139</v>
      </c>
      <c r="C758" s="152" t="s">
        <v>1140</v>
      </c>
      <c r="D758" s="151" t="s">
        <v>1141</v>
      </c>
      <c r="E758" s="152" t="s">
        <v>280</v>
      </c>
      <c r="F758" s="151" t="s">
        <v>26</v>
      </c>
      <c r="G758" s="152" t="s">
        <v>20</v>
      </c>
      <c r="H758" s="153">
        <v>201607</v>
      </c>
      <c r="I758" s="154">
        <v>6.51</v>
      </c>
      <c r="J758" s="144">
        <f t="shared" si="51"/>
        <v>4</v>
      </c>
      <c r="K758" s="155">
        <v>1.4833299999999999E-3</v>
      </c>
      <c r="L758" s="154">
        <f t="shared" si="52"/>
        <v>0.04</v>
      </c>
      <c r="M758" s="154">
        <f t="shared" si="53"/>
        <v>0.12</v>
      </c>
      <c r="N758" s="145"/>
    </row>
    <row r="759" spans="1:14">
      <c r="A759" s="151" t="s">
        <v>626</v>
      </c>
      <c r="B759" s="152" t="s">
        <v>1829</v>
      </c>
      <c r="C759" s="152" t="s">
        <v>1830</v>
      </c>
      <c r="D759" s="151" t="s">
        <v>1831</v>
      </c>
      <c r="E759" s="152" t="s">
        <v>497</v>
      </c>
      <c r="F759" s="151" t="s">
        <v>26</v>
      </c>
      <c r="G759" s="152" t="s">
        <v>20</v>
      </c>
      <c r="H759" s="153">
        <v>201607</v>
      </c>
      <c r="I759" s="154">
        <v>7.57</v>
      </c>
      <c r="J759" s="144">
        <f t="shared" si="51"/>
        <v>4</v>
      </c>
      <c r="K759" s="155">
        <v>1.4833299999999999E-3</v>
      </c>
      <c r="L759" s="154">
        <f t="shared" si="52"/>
        <v>0.04</v>
      </c>
      <c r="M759" s="154">
        <f t="shared" si="53"/>
        <v>0.13</v>
      </c>
      <c r="N759" s="145"/>
    </row>
    <row r="760" spans="1:14">
      <c r="A760" s="151" t="s">
        <v>626</v>
      </c>
      <c r="B760" s="152" t="s">
        <v>1712</v>
      </c>
      <c r="C760" s="152" t="s">
        <v>1713</v>
      </c>
      <c r="D760" s="151" t="s">
        <v>1714</v>
      </c>
      <c r="E760" s="152" t="s">
        <v>497</v>
      </c>
      <c r="F760" s="151" t="s">
        <v>26</v>
      </c>
      <c r="G760" s="152" t="s">
        <v>20</v>
      </c>
      <c r="H760" s="153">
        <v>201607</v>
      </c>
      <c r="I760" s="154">
        <v>7.83</v>
      </c>
      <c r="J760" s="144">
        <f t="shared" si="51"/>
        <v>4</v>
      </c>
      <c r="K760" s="155">
        <v>1.4833299999999999E-3</v>
      </c>
      <c r="L760" s="154">
        <f t="shared" si="52"/>
        <v>0.05</v>
      </c>
      <c r="M760" s="154">
        <f t="shared" si="53"/>
        <v>0.14000000000000001</v>
      </c>
      <c r="N760" s="145"/>
    </row>
    <row r="761" spans="1:14">
      <c r="A761" s="151" t="s">
        <v>626</v>
      </c>
      <c r="B761" s="152" t="s">
        <v>1718</v>
      </c>
      <c r="C761" s="152" t="s">
        <v>1719</v>
      </c>
      <c r="D761" s="151" t="s">
        <v>1720</v>
      </c>
      <c r="E761" s="152" t="s">
        <v>497</v>
      </c>
      <c r="F761" s="151" t="s">
        <v>26</v>
      </c>
      <c r="G761" s="152" t="s">
        <v>20</v>
      </c>
      <c r="H761" s="153">
        <v>201607</v>
      </c>
      <c r="I761" s="154">
        <v>17.399999999999999</v>
      </c>
      <c r="J761" s="144">
        <f t="shared" si="51"/>
        <v>4</v>
      </c>
      <c r="K761" s="155">
        <v>1.4833299999999999E-3</v>
      </c>
      <c r="L761" s="154">
        <f t="shared" si="52"/>
        <v>0.1</v>
      </c>
      <c r="M761" s="154">
        <f t="shared" si="53"/>
        <v>0.31</v>
      </c>
      <c r="N761" s="145"/>
    </row>
    <row r="762" spans="1:14">
      <c r="A762" s="151" t="s">
        <v>21</v>
      </c>
      <c r="B762" s="152" t="s">
        <v>1745</v>
      </c>
      <c r="C762" s="152" t="s">
        <v>1746</v>
      </c>
      <c r="D762" s="151" t="s">
        <v>1747</v>
      </c>
      <c r="E762" s="152" t="s">
        <v>497</v>
      </c>
      <c r="F762" s="151" t="s">
        <v>26</v>
      </c>
      <c r="G762" s="152" t="s">
        <v>20</v>
      </c>
      <c r="H762" s="153">
        <v>201607</v>
      </c>
      <c r="I762" s="154">
        <v>21.59</v>
      </c>
      <c r="J762" s="144">
        <f t="shared" si="51"/>
        <v>4</v>
      </c>
      <c r="K762" s="155">
        <v>1.4833299999999999E-3</v>
      </c>
      <c r="L762" s="154">
        <f t="shared" si="52"/>
        <v>0.13</v>
      </c>
      <c r="M762" s="154">
        <f t="shared" si="53"/>
        <v>0.38</v>
      </c>
      <c r="N762" s="145"/>
    </row>
    <row r="763" spans="1:14">
      <c r="A763" s="151" t="s">
        <v>626</v>
      </c>
      <c r="B763" s="152" t="s">
        <v>1788</v>
      </c>
      <c r="C763" s="152" t="s">
        <v>1789</v>
      </c>
      <c r="D763" s="151" t="s">
        <v>1790</v>
      </c>
      <c r="E763" s="152" t="s">
        <v>25</v>
      </c>
      <c r="F763" s="151" t="s">
        <v>26</v>
      </c>
      <c r="G763" s="152" t="s">
        <v>20</v>
      </c>
      <c r="H763" s="153">
        <v>201607</v>
      </c>
      <c r="I763" s="154">
        <v>25.34</v>
      </c>
      <c r="J763" s="144">
        <f t="shared" si="51"/>
        <v>4</v>
      </c>
      <c r="K763" s="155">
        <v>1.4833299999999999E-3</v>
      </c>
      <c r="L763" s="154">
        <f t="shared" si="52"/>
        <v>0.15</v>
      </c>
      <c r="M763" s="154">
        <f t="shared" si="53"/>
        <v>0.45</v>
      </c>
      <c r="N763" s="145"/>
    </row>
    <row r="764" spans="1:14">
      <c r="A764" s="151" t="s">
        <v>626</v>
      </c>
      <c r="B764" s="152" t="s">
        <v>1742</v>
      </c>
      <c r="C764" s="152" t="s">
        <v>1743</v>
      </c>
      <c r="D764" s="151" t="s">
        <v>1744</v>
      </c>
      <c r="E764" s="152" t="s">
        <v>497</v>
      </c>
      <c r="F764" s="151" t="s">
        <v>26</v>
      </c>
      <c r="G764" s="152" t="s">
        <v>20</v>
      </c>
      <c r="H764" s="153">
        <v>201607</v>
      </c>
      <c r="I764" s="154">
        <v>45.81</v>
      </c>
      <c r="J764" s="144">
        <f t="shared" si="51"/>
        <v>4</v>
      </c>
      <c r="K764" s="155">
        <v>1.4833299999999999E-3</v>
      </c>
      <c r="L764" s="154">
        <f t="shared" si="52"/>
        <v>0.27</v>
      </c>
      <c r="M764" s="154">
        <f t="shared" si="53"/>
        <v>0.82</v>
      </c>
      <c r="N764" s="145"/>
    </row>
    <row r="765" spans="1:14">
      <c r="A765" s="151" t="s">
        <v>626</v>
      </c>
      <c r="B765" s="152" t="s">
        <v>1835</v>
      </c>
      <c r="C765" s="152" t="s">
        <v>1836</v>
      </c>
      <c r="D765" s="151" t="s">
        <v>1837</v>
      </c>
      <c r="E765" s="152" t="s">
        <v>497</v>
      </c>
      <c r="F765" s="151" t="s">
        <v>26</v>
      </c>
      <c r="G765" s="152" t="s">
        <v>20</v>
      </c>
      <c r="H765" s="153">
        <v>201607</v>
      </c>
      <c r="I765" s="154">
        <v>56.52</v>
      </c>
      <c r="J765" s="144">
        <f t="shared" si="51"/>
        <v>4</v>
      </c>
      <c r="K765" s="155">
        <v>1.4833299999999999E-3</v>
      </c>
      <c r="L765" s="154">
        <f t="shared" si="52"/>
        <v>0.34</v>
      </c>
      <c r="M765" s="154">
        <f t="shared" si="53"/>
        <v>1.01</v>
      </c>
      <c r="N765" s="145"/>
    </row>
    <row r="766" spans="1:14">
      <c r="A766" s="151" t="s">
        <v>626</v>
      </c>
      <c r="B766" s="152" t="s">
        <v>1832</v>
      </c>
      <c r="C766" s="152" t="s">
        <v>1833</v>
      </c>
      <c r="D766" s="151" t="s">
        <v>1834</v>
      </c>
      <c r="E766" s="152" t="s">
        <v>497</v>
      </c>
      <c r="F766" s="151" t="s">
        <v>26</v>
      </c>
      <c r="G766" s="152" t="s">
        <v>20</v>
      </c>
      <c r="H766" s="153">
        <v>201607</v>
      </c>
      <c r="I766" s="154">
        <v>63.86</v>
      </c>
      <c r="J766" s="144">
        <f t="shared" si="51"/>
        <v>4</v>
      </c>
      <c r="K766" s="155">
        <v>1.4833299999999999E-3</v>
      </c>
      <c r="L766" s="154">
        <f t="shared" si="52"/>
        <v>0.38</v>
      </c>
      <c r="M766" s="154">
        <f t="shared" si="53"/>
        <v>1.1399999999999999</v>
      </c>
      <c r="N766" s="145"/>
    </row>
    <row r="767" spans="1:14">
      <c r="A767" s="151" t="s">
        <v>626</v>
      </c>
      <c r="B767" s="152" t="s">
        <v>1375</v>
      </c>
      <c r="C767" s="152" t="s">
        <v>1376</v>
      </c>
      <c r="D767" s="151" t="s">
        <v>1374</v>
      </c>
      <c r="E767" s="152" t="s">
        <v>497</v>
      </c>
      <c r="F767" s="151" t="s">
        <v>26</v>
      </c>
      <c r="G767" s="152" t="s">
        <v>20</v>
      </c>
      <c r="H767" s="153">
        <v>201607</v>
      </c>
      <c r="I767" s="154">
        <v>65.86</v>
      </c>
      <c r="J767" s="144">
        <f t="shared" si="51"/>
        <v>4</v>
      </c>
      <c r="K767" s="155">
        <v>1.4833299999999999E-3</v>
      </c>
      <c r="L767" s="154">
        <f t="shared" si="52"/>
        <v>0.39</v>
      </c>
      <c r="M767" s="154">
        <f t="shared" si="53"/>
        <v>1.17</v>
      </c>
      <c r="N767" s="145"/>
    </row>
    <row r="768" spans="1:14">
      <c r="A768" s="151" t="s">
        <v>626</v>
      </c>
      <c r="B768" s="152" t="s">
        <v>1620</v>
      </c>
      <c r="C768" s="152" t="s">
        <v>1621</v>
      </c>
      <c r="D768" s="151" t="s">
        <v>1622</v>
      </c>
      <c r="E768" s="152" t="s">
        <v>497</v>
      </c>
      <c r="F768" s="151" t="s">
        <v>26</v>
      </c>
      <c r="G768" s="152" t="s">
        <v>20</v>
      </c>
      <c r="H768" s="153">
        <v>201607</v>
      </c>
      <c r="I768" s="154">
        <v>110.58</v>
      </c>
      <c r="J768" s="144">
        <f t="shared" si="51"/>
        <v>4</v>
      </c>
      <c r="K768" s="155">
        <v>1.4833299999999999E-3</v>
      </c>
      <c r="L768" s="154">
        <f t="shared" si="52"/>
        <v>0.66</v>
      </c>
      <c r="M768" s="154">
        <f t="shared" si="53"/>
        <v>1.97</v>
      </c>
      <c r="N768" s="145"/>
    </row>
    <row r="769" spans="1:14">
      <c r="A769" s="151" t="s">
        <v>626</v>
      </c>
      <c r="B769" s="152" t="s">
        <v>1811</v>
      </c>
      <c r="C769" s="152" t="s">
        <v>1812</v>
      </c>
      <c r="D769" s="151" t="s">
        <v>1813</v>
      </c>
      <c r="E769" s="152" t="s">
        <v>25</v>
      </c>
      <c r="F769" s="151" t="s">
        <v>26</v>
      </c>
      <c r="G769" s="152" t="s">
        <v>20</v>
      </c>
      <c r="H769" s="153">
        <v>201607</v>
      </c>
      <c r="I769" s="154">
        <v>251.08</v>
      </c>
      <c r="J769" s="144">
        <f t="shared" si="51"/>
        <v>4</v>
      </c>
      <c r="K769" s="155">
        <v>1.4833299999999999E-3</v>
      </c>
      <c r="L769" s="154">
        <f t="shared" si="52"/>
        <v>1.49</v>
      </c>
      <c r="M769" s="154">
        <f t="shared" si="53"/>
        <v>4.47</v>
      </c>
      <c r="N769" s="145"/>
    </row>
    <row r="770" spans="1:14">
      <c r="A770" s="151" t="s">
        <v>626</v>
      </c>
      <c r="B770" s="152" t="s">
        <v>1745</v>
      </c>
      <c r="C770" s="152" t="s">
        <v>1746</v>
      </c>
      <c r="D770" s="151" t="s">
        <v>1747</v>
      </c>
      <c r="E770" s="152" t="s">
        <v>497</v>
      </c>
      <c r="F770" s="151" t="s">
        <v>26</v>
      </c>
      <c r="G770" s="152" t="s">
        <v>20</v>
      </c>
      <c r="H770" s="153">
        <v>201607</v>
      </c>
      <c r="I770" s="154">
        <v>262.17</v>
      </c>
      <c r="J770" s="144">
        <f t="shared" si="51"/>
        <v>4</v>
      </c>
      <c r="K770" s="155">
        <v>1.4833299999999999E-3</v>
      </c>
      <c r="L770" s="154">
        <f t="shared" si="52"/>
        <v>1.56</v>
      </c>
      <c r="M770" s="154">
        <f t="shared" si="53"/>
        <v>4.67</v>
      </c>
      <c r="N770" s="145"/>
    </row>
    <row r="771" spans="1:14">
      <c r="A771" s="151" t="s">
        <v>626</v>
      </c>
      <c r="B771" s="152" t="s">
        <v>1826</v>
      </c>
      <c r="C771" s="152" t="s">
        <v>1827</v>
      </c>
      <c r="D771" s="151" t="s">
        <v>1828</v>
      </c>
      <c r="E771" s="152" t="s">
        <v>25</v>
      </c>
      <c r="F771" s="151" t="s">
        <v>26</v>
      </c>
      <c r="G771" s="152" t="s">
        <v>20</v>
      </c>
      <c r="H771" s="153">
        <v>201607</v>
      </c>
      <c r="I771" s="154">
        <v>447.33</v>
      </c>
      <c r="J771" s="144">
        <f t="shared" si="51"/>
        <v>4</v>
      </c>
      <c r="K771" s="155">
        <v>1.4833299999999999E-3</v>
      </c>
      <c r="L771" s="154">
        <f t="shared" si="52"/>
        <v>2.65</v>
      </c>
      <c r="M771" s="154">
        <f t="shared" si="53"/>
        <v>7.96</v>
      </c>
      <c r="N771" s="145"/>
    </row>
    <row r="772" spans="1:14">
      <c r="A772" s="151" t="s">
        <v>626</v>
      </c>
      <c r="B772" s="152" t="s">
        <v>1794</v>
      </c>
      <c r="C772" s="152" t="s">
        <v>1795</v>
      </c>
      <c r="D772" s="151" t="s">
        <v>1796</v>
      </c>
      <c r="E772" s="152" t="s">
        <v>809</v>
      </c>
      <c r="F772" s="151" t="s">
        <v>26</v>
      </c>
      <c r="G772" s="152" t="s">
        <v>20</v>
      </c>
      <c r="H772" s="153">
        <v>201607</v>
      </c>
      <c r="I772" s="154">
        <v>528.13</v>
      </c>
      <c r="J772" s="144">
        <f t="shared" si="51"/>
        <v>4</v>
      </c>
      <c r="K772" s="155">
        <v>1.4833299999999999E-3</v>
      </c>
      <c r="L772" s="154">
        <f t="shared" si="52"/>
        <v>3.13</v>
      </c>
      <c r="M772" s="154">
        <f t="shared" si="53"/>
        <v>9.4</v>
      </c>
      <c r="N772" s="145"/>
    </row>
    <row r="773" spans="1:14">
      <c r="A773" s="151" t="s">
        <v>626</v>
      </c>
      <c r="B773" s="152" t="s">
        <v>1814</v>
      </c>
      <c r="C773" s="152" t="s">
        <v>1815</v>
      </c>
      <c r="D773" s="151" t="s">
        <v>1816</v>
      </c>
      <c r="E773" s="152" t="s">
        <v>25</v>
      </c>
      <c r="F773" s="151" t="s">
        <v>26</v>
      </c>
      <c r="G773" s="152" t="s">
        <v>20</v>
      </c>
      <c r="H773" s="153">
        <v>201607</v>
      </c>
      <c r="I773" s="154">
        <v>645.27</v>
      </c>
      <c r="J773" s="144">
        <f t="shared" si="51"/>
        <v>4</v>
      </c>
      <c r="K773" s="155">
        <v>1.4833299999999999E-3</v>
      </c>
      <c r="L773" s="154">
        <f t="shared" si="52"/>
        <v>3.83</v>
      </c>
      <c r="M773" s="154">
        <f t="shared" si="53"/>
        <v>11.49</v>
      </c>
      <c r="N773" s="145"/>
    </row>
    <row r="774" spans="1:14">
      <c r="A774" s="151" t="s">
        <v>626</v>
      </c>
      <c r="B774" s="152" t="s">
        <v>1764</v>
      </c>
      <c r="C774" s="152" t="s">
        <v>1765</v>
      </c>
      <c r="D774" s="151" t="s">
        <v>1766</v>
      </c>
      <c r="E774" s="152" t="s">
        <v>156</v>
      </c>
      <c r="F774" s="151" t="s">
        <v>26</v>
      </c>
      <c r="G774" s="152" t="s">
        <v>20</v>
      </c>
      <c r="H774" s="153">
        <v>201607</v>
      </c>
      <c r="I774" s="154">
        <v>656.91</v>
      </c>
      <c r="J774" s="144">
        <f t="shared" si="51"/>
        <v>4</v>
      </c>
      <c r="K774" s="155">
        <v>1.4833299999999999E-3</v>
      </c>
      <c r="L774" s="154">
        <f t="shared" si="52"/>
        <v>3.9</v>
      </c>
      <c r="M774" s="154">
        <f t="shared" si="53"/>
        <v>11.69</v>
      </c>
      <c r="N774" s="145"/>
    </row>
    <row r="775" spans="1:14">
      <c r="A775" s="151" t="s">
        <v>626</v>
      </c>
      <c r="B775" s="152" t="s">
        <v>2030</v>
      </c>
      <c r="C775" s="152" t="s">
        <v>2031</v>
      </c>
      <c r="D775" s="151" t="s">
        <v>2032</v>
      </c>
      <c r="E775" s="152" t="s">
        <v>497</v>
      </c>
      <c r="F775" s="151" t="s">
        <v>26</v>
      </c>
      <c r="G775" s="152" t="s">
        <v>20</v>
      </c>
      <c r="H775" s="153">
        <v>201607</v>
      </c>
      <c r="I775" s="154">
        <v>656.95</v>
      </c>
      <c r="J775" s="144">
        <f t="shared" si="51"/>
        <v>4</v>
      </c>
      <c r="K775" s="155">
        <v>1.4833299999999999E-3</v>
      </c>
      <c r="L775" s="154">
        <f t="shared" si="52"/>
        <v>3.9</v>
      </c>
      <c r="M775" s="154">
        <f t="shared" si="53"/>
        <v>11.69</v>
      </c>
      <c r="N775" s="145"/>
    </row>
    <row r="776" spans="1:14">
      <c r="A776" s="151" t="s">
        <v>626</v>
      </c>
      <c r="B776" s="152" t="s">
        <v>1991</v>
      </c>
      <c r="C776" s="152" t="s">
        <v>1992</v>
      </c>
      <c r="D776" s="151" t="s">
        <v>1993</v>
      </c>
      <c r="E776" s="152" t="s">
        <v>497</v>
      </c>
      <c r="F776" s="151" t="s">
        <v>26</v>
      </c>
      <c r="G776" s="152" t="s">
        <v>20</v>
      </c>
      <c r="H776" s="153">
        <v>201607</v>
      </c>
      <c r="I776" s="154">
        <v>698.46</v>
      </c>
      <c r="J776" s="144">
        <f t="shared" si="51"/>
        <v>4</v>
      </c>
      <c r="K776" s="155">
        <v>1.4833299999999999E-3</v>
      </c>
      <c r="L776" s="154">
        <f t="shared" si="52"/>
        <v>4.1399999999999997</v>
      </c>
      <c r="M776" s="154">
        <f t="shared" si="53"/>
        <v>12.43</v>
      </c>
      <c r="N776" s="145"/>
    </row>
    <row r="777" spans="1:14">
      <c r="A777" s="151" t="s">
        <v>626</v>
      </c>
      <c r="B777" s="152" t="s">
        <v>2033</v>
      </c>
      <c r="C777" s="152" t="s">
        <v>2034</v>
      </c>
      <c r="D777" s="151" t="s">
        <v>2035</v>
      </c>
      <c r="E777" s="152" t="s">
        <v>497</v>
      </c>
      <c r="F777" s="151" t="s">
        <v>26</v>
      </c>
      <c r="G777" s="152" t="s">
        <v>20</v>
      </c>
      <c r="H777" s="153">
        <v>201607</v>
      </c>
      <c r="I777" s="154">
        <v>909.52</v>
      </c>
      <c r="J777" s="144">
        <f t="shared" si="51"/>
        <v>4</v>
      </c>
      <c r="K777" s="155">
        <v>1.4833299999999999E-3</v>
      </c>
      <c r="L777" s="154">
        <f t="shared" si="52"/>
        <v>5.4</v>
      </c>
      <c r="M777" s="154">
        <f t="shared" si="53"/>
        <v>16.190000000000001</v>
      </c>
      <c r="N777" s="145"/>
    </row>
    <row r="778" spans="1:14">
      <c r="A778" s="151" t="s">
        <v>626</v>
      </c>
      <c r="B778" s="152" t="s">
        <v>1921</v>
      </c>
      <c r="C778" s="152" t="s">
        <v>1922</v>
      </c>
      <c r="D778" s="151" t="s">
        <v>1923</v>
      </c>
      <c r="E778" s="152" t="s">
        <v>156</v>
      </c>
      <c r="F778" s="151" t="s">
        <v>26</v>
      </c>
      <c r="G778" s="152" t="s">
        <v>20</v>
      </c>
      <c r="H778" s="153">
        <v>201607</v>
      </c>
      <c r="I778" s="154">
        <v>944.33</v>
      </c>
      <c r="J778" s="144">
        <f t="shared" si="51"/>
        <v>4</v>
      </c>
      <c r="K778" s="155">
        <v>1.4833299999999999E-3</v>
      </c>
      <c r="L778" s="154">
        <f t="shared" si="52"/>
        <v>5.6</v>
      </c>
      <c r="M778" s="154">
        <f t="shared" si="53"/>
        <v>16.809999999999999</v>
      </c>
      <c r="N778" s="145"/>
    </row>
    <row r="779" spans="1:14">
      <c r="A779" s="151" t="s">
        <v>21</v>
      </c>
      <c r="B779" s="152" t="s">
        <v>1826</v>
      </c>
      <c r="C779" s="152" t="s">
        <v>1827</v>
      </c>
      <c r="D779" s="151" t="s">
        <v>1828</v>
      </c>
      <c r="E779" s="152" t="s">
        <v>25</v>
      </c>
      <c r="F779" s="151" t="s">
        <v>26</v>
      </c>
      <c r="G779" s="152" t="s">
        <v>20</v>
      </c>
      <c r="H779" s="153">
        <v>201607</v>
      </c>
      <c r="I779" s="154">
        <v>1286.8900000000001</v>
      </c>
      <c r="J779" s="144">
        <f t="shared" si="51"/>
        <v>4</v>
      </c>
      <c r="K779" s="155">
        <v>1.4833299999999999E-3</v>
      </c>
      <c r="L779" s="154">
        <f t="shared" si="52"/>
        <v>7.64</v>
      </c>
      <c r="M779" s="154">
        <f t="shared" si="53"/>
        <v>22.91</v>
      </c>
      <c r="N779" s="145"/>
    </row>
    <row r="780" spans="1:14">
      <c r="A780" s="161" t="s">
        <v>626</v>
      </c>
      <c r="B780" s="160" t="s">
        <v>2039</v>
      </c>
      <c r="C780" s="160" t="s">
        <v>2040</v>
      </c>
      <c r="D780" s="161" t="s">
        <v>2041</v>
      </c>
      <c r="E780" s="160" t="s">
        <v>497</v>
      </c>
      <c r="F780" s="161" t="s">
        <v>26</v>
      </c>
      <c r="G780" s="160" t="s">
        <v>20</v>
      </c>
      <c r="H780" s="103">
        <v>201607</v>
      </c>
      <c r="I780" s="154">
        <v>1980.26</v>
      </c>
      <c r="J780" s="144">
        <f t="shared" ref="J780:J786" si="54">HLOOKUP(H780,$Q$2:$Z$3,2)</f>
        <v>4</v>
      </c>
      <c r="K780" s="155">
        <v>1.4833299999999999E-3</v>
      </c>
      <c r="L780" s="154">
        <f t="shared" ref="L780:L786" si="55">ROUND(I780*J780*K780,2)</f>
        <v>11.75</v>
      </c>
      <c r="M780" s="154">
        <f t="shared" ref="M780:M786" si="56">ROUND(I780*K780*12,2)</f>
        <v>35.25</v>
      </c>
      <c r="N780" s="145"/>
    </row>
    <row r="781" spans="1:14">
      <c r="A781" s="161" t="s">
        <v>626</v>
      </c>
      <c r="B781" s="160" t="s">
        <v>1967</v>
      </c>
      <c r="C781" s="160" t="s">
        <v>1968</v>
      </c>
      <c r="D781" s="161" t="s">
        <v>1969</v>
      </c>
      <c r="E781" s="160" t="s">
        <v>544</v>
      </c>
      <c r="F781" s="161" t="s">
        <v>26</v>
      </c>
      <c r="G781" s="160" t="s">
        <v>20</v>
      </c>
      <c r="H781" s="103">
        <v>201607</v>
      </c>
      <c r="I781" s="154">
        <v>2543.85</v>
      </c>
      <c r="J781" s="144">
        <f t="shared" si="54"/>
        <v>4</v>
      </c>
      <c r="K781" s="155">
        <v>1.4833299999999999E-3</v>
      </c>
      <c r="L781" s="154">
        <f t="shared" si="55"/>
        <v>15.09</v>
      </c>
      <c r="M781" s="154">
        <f t="shared" si="56"/>
        <v>45.28</v>
      </c>
      <c r="N781" s="145"/>
    </row>
    <row r="782" spans="1:14">
      <c r="A782" s="161" t="s">
        <v>626</v>
      </c>
      <c r="B782" s="160" t="s">
        <v>2042</v>
      </c>
      <c r="C782" s="160" t="s">
        <v>2043</v>
      </c>
      <c r="D782" s="161" t="s">
        <v>2044</v>
      </c>
      <c r="E782" s="160" t="s">
        <v>497</v>
      </c>
      <c r="F782" s="161" t="s">
        <v>26</v>
      </c>
      <c r="G782" s="160" t="s">
        <v>20</v>
      </c>
      <c r="H782" s="103">
        <v>201607</v>
      </c>
      <c r="I782" s="154">
        <v>3467.6</v>
      </c>
      <c r="J782" s="144">
        <f t="shared" si="54"/>
        <v>4</v>
      </c>
      <c r="K782" s="155">
        <v>1.4833299999999999E-3</v>
      </c>
      <c r="L782" s="154">
        <f t="shared" si="55"/>
        <v>20.57</v>
      </c>
      <c r="M782" s="154">
        <f t="shared" si="56"/>
        <v>61.72</v>
      </c>
      <c r="N782" s="145"/>
    </row>
    <row r="783" spans="1:14">
      <c r="A783" s="161" t="s">
        <v>626</v>
      </c>
      <c r="B783" s="160" t="s">
        <v>2057</v>
      </c>
      <c r="C783" s="160" t="s">
        <v>2058</v>
      </c>
      <c r="D783" s="161" t="s">
        <v>2059</v>
      </c>
      <c r="E783" s="160" t="s">
        <v>156</v>
      </c>
      <c r="F783" s="161" t="s">
        <v>26</v>
      </c>
      <c r="G783" s="160" t="s">
        <v>20</v>
      </c>
      <c r="H783" s="103">
        <v>201607</v>
      </c>
      <c r="I783" s="154">
        <v>5878.84</v>
      </c>
      <c r="J783" s="144">
        <f t="shared" si="54"/>
        <v>4</v>
      </c>
      <c r="K783" s="155">
        <v>1.4833299999999999E-3</v>
      </c>
      <c r="L783" s="154">
        <f t="shared" si="55"/>
        <v>34.880000000000003</v>
      </c>
      <c r="M783" s="154">
        <f t="shared" si="56"/>
        <v>104.64</v>
      </c>
      <c r="N783" s="145"/>
    </row>
    <row r="784" spans="1:14">
      <c r="A784" s="161" t="s">
        <v>626</v>
      </c>
      <c r="B784" s="160" t="s">
        <v>1984</v>
      </c>
      <c r="C784" s="160" t="s">
        <v>1985</v>
      </c>
      <c r="D784" s="161" t="s">
        <v>1986</v>
      </c>
      <c r="E784" s="160" t="s">
        <v>156</v>
      </c>
      <c r="F784" s="161" t="s">
        <v>26</v>
      </c>
      <c r="G784" s="160" t="s">
        <v>20</v>
      </c>
      <c r="H784" s="103">
        <v>201607</v>
      </c>
      <c r="I784" s="154">
        <v>7647.45</v>
      </c>
      <c r="J784" s="144">
        <f t="shared" si="54"/>
        <v>4</v>
      </c>
      <c r="K784" s="155">
        <v>1.4833299999999999E-3</v>
      </c>
      <c r="L784" s="154">
        <f t="shared" si="55"/>
        <v>45.37</v>
      </c>
      <c r="M784" s="154">
        <f t="shared" si="56"/>
        <v>136.12</v>
      </c>
      <c r="N784" s="145"/>
    </row>
    <row r="785" spans="1:14">
      <c r="A785" s="161" t="s">
        <v>626</v>
      </c>
      <c r="B785" s="160" t="s">
        <v>2054</v>
      </c>
      <c r="C785" s="160" t="s">
        <v>2055</v>
      </c>
      <c r="D785" s="161" t="s">
        <v>2056</v>
      </c>
      <c r="E785" s="160" t="s">
        <v>156</v>
      </c>
      <c r="F785" s="161" t="s">
        <v>26</v>
      </c>
      <c r="G785" s="160" t="s">
        <v>20</v>
      </c>
      <c r="H785" s="103">
        <v>201607</v>
      </c>
      <c r="I785" s="154">
        <v>10349.68</v>
      </c>
      <c r="J785" s="144">
        <f t="shared" si="54"/>
        <v>4</v>
      </c>
      <c r="K785" s="155">
        <v>1.4833299999999999E-3</v>
      </c>
      <c r="L785" s="154">
        <f t="shared" si="55"/>
        <v>61.41</v>
      </c>
      <c r="M785" s="154">
        <f t="shared" si="56"/>
        <v>184.22</v>
      </c>
      <c r="N785" s="145"/>
    </row>
    <row r="786" spans="1:14">
      <c r="A786" s="161" t="s">
        <v>626</v>
      </c>
      <c r="B786" s="160" t="s">
        <v>2060</v>
      </c>
      <c r="C786" s="160" t="s">
        <v>2061</v>
      </c>
      <c r="D786" s="161" t="s">
        <v>2062</v>
      </c>
      <c r="E786" s="160" t="s">
        <v>156</v>
      </c>
      <c r="F786" s="161" t="s">
        <v>26</v>
      </c>
      <c r="G786" s="160" t="s">
        <v>20</v>
      </c>
      <c r="H786" s="103">
        <v>201607</v>
      </c>
      <c r="I786" s="154">
        <v>11294.65</v>
      </c>
      <c r="J786" s="144">
        <f t="shared" si="54"/>
        <v>4</v>
      </c>
      <c r="K786" s="155">
        <v>1.4833299999999999E-3</v>
      </c>
      <c r="L786" s="154">
        <f t="shared" si="55"/>
        <v>67.010000000000005</v>
      </c>
      <c r="M786" s="154">
        <f t="shared" si="56"/>
        <v>201.04</v>
      </c>
      <c r="N786" s="145"/>
    </row>
    <row r="787" spans="1:14">
      <c r="A787" s="161"/>
      <c r="B787" s="160"/>
      <c r="C787" s="160"/>
      <c r="D787" s="161"/>
      <c r="E787" s="160"/>
      <c r="F787" s="161"/>
      <c r="G787" s="160"/>
      <c r="H787" s="103"/>
      <c r="I787" s="293">
        <f>SUM(I620:I786)</f>
        <v>2159962.4199999995</v>
      </c>
      <c r="J787" s="144"/>
      <c r="K787" s="155"/>
      <c r="L787" s="293">
        <f t="shared" ref="L787:M787" si="57">SUM(L620:L786)</f>
        <v>19325.430000000011</v>
      </c>
      <c r="M787" s="293">
        <f t="shared" si="57"/>
        <v>38447.24</v>
      </c>
      <c r="N787" s="145"/>
    </row>
    <row r="788" spans="1:14">
      <c r="A788" s="161"/>
      <c r="B788" s="160"/>
      <c r="C788" s="160"/>
      <c r="D788" s="161"/>
      <c r="E788" s="160"/>
      <c r="F788" s="161"/>
      <c r="G788" s="160"/>
      <c r="H788" s="103"/>
      <c r="I788" s="154"/>
      <c r="J788" s="144"/>
      <c r="K788" s="155"/>
      <c r="L788" s="154"/>
      <c r="M788" s="154"/>
      <c r="N788" s="145"/>
    </row>
    <row r="789" spans="1:14">
      <c r="A789" s="145" t="s">
        <v>626</v>
      </c>
      <c r="B789" s="146" t="s">
        <v>1632</v>
      </c>
      <c r="C789" s="146" t="s">
        <v>1633</v>
      </c>
      <c r="D789" s="145" t="s">
        <v>1634</v>
      </c>
      <c r="E789" s="146" t="s">
        <v>471</v>
      </c>
      <c r="F789" s="145" t="s">
        <v>165</v>
      </c>
      <c r="G789" s="146" t="s">
        <v>20</v>
      </c>
      <c r="H789" s="146">
        <v>201603</v>
      </c>
      <c r="I789" s="147">
        <v>-2.31</v>
      </c>
      <c r="J789" s="144">
        <f>HLOOKUP(H789,$Q$2:$Z$3,2)</f>
        <v>8</v>
      </c>
      <c r="K789" s="148">
        <v>1.4833299999999999E-3</v>
      </c>
      <c r="L789" s="147">
        <f>ROUND(I789*J789*K789,2)</f>
        <v>-0.03</v>
      </c>
      <c r="M789" s="147">
        <f>ROUND(I789*K789*12,2)</f>
        <v>-0.04</v>
      </c>
      <c r="N789" s="145"/>
    </row>
    <row r="790" spans="1:14">
      <c r="A790" s="145" t="s">
        <v>626</v>
      </c>
      <c r="B790" s="146" t="s">
        <v>1632</v>
      </c>
      <c r="C790" s="146" t="s">
        <v>1633</v>
      </c>
      <c r="D790" s="145" t="s">
        <v>1634</v>
      </c>
      <c r="E790" s="146" t="s">
        <v>471</v>
      </c>
      <c r="F790" s="145" t="s">
        <v>165</v>
      </c>
      <c r="G790" s="146" t="s">
        <v>20</v>
      </c>
      <c r="H790" s="146">
        <v>201604</v>
      </c>
      <c r="I790" s="147">
        <v>29.17</v>
      </c>
      <c r="J790" s="144">
        <f>HLOOKUP(H790,$Q$2:$Z$3,2)</f>
        <v>7</v>
      </c>
      <c r="K790" s="148">
        <v>1.4833299999999999E-3</v>
      </c>
      <c r="L790" s="147">
        <f>ROUND(I790*J790*K790,2)</f>
        <v>0.3</v>
      </c>
      <c r="M790" s="147">
        <f>ROUND(I790*K790*12,2)</f>
        <v>0.52</v>
      </c>
      <c r="N790" s="145"/>
    </row>
    <row r="791" spans="1:14">
      <c r="A791" s="145" t="s">
        <v>626</v>
      </c>
      <c r="B791" s="146" t="s">
        <v>1632</v>
      </c>
      <c r="C791" s="146" t="s">
        <v>1633</v>
      </c>
      <c r="D791" s="145" t="s">
        <v>1634</v>
      </c>
      <c r="E791" s="146" t="s">
        <v>471</v>
      </c>
      <c r="F791" s="145" t="s">
        <v>165</v>
      </c>
      <c r="G791" s="146" t="s">
        <v>20</v>
      </c>
      <c r="H791" s="146">
        <v>201605</v>
      </c>
      <c r="I791" s="147">
        <v>26.48</v>
      </c>
      <c r="J791" s="144">
        <f>HLOOKUP(H791,$Q$2:$Z$3,2)</f>
        <v>6</v>
      </c>
      <c r="K791" s="148">
        <v>1.4833299999999999E-3</v>
      </c>
      <c r="L791" s="147">
        <f>ROUND(I791*J791*K791,2)</f>
        <v>0.24</v>
      </c>
      <c r="M791" s="147">
        <f>ROUND(I791*K791*12,2)</f>
        <v>0.47</v>
      </c>
      <c r="N791" s="145"/>
    </row>
    <row r="792" spans="1:14">
      <c r="A792" s="145" t="s">
        <v>626</v>
      </c>
      <c r="B792" s="146" t="s">
        <v>1632</v>
      </c>
      <c r="C792" s="146" t="s">
        <v>1633</v>
      </c>
      <c r="D792" s="145" t="s">
        <v>1634</v>
      </c>
      <c r="E792" s="146" t="s">
        <v>471</v>
      </c>
      <c r="F792" s="145" t="s">
        <v>165</v>
      </c>
      <c r="G792" s="146" t="s">
        <v>20</v>
      </c>
      <c r="H792" s="146">
        <v>201606</v>
      </c>
      <c r="I792" s="147">
        <v>14.32</v>
      </c>
      <c r="J792" s="144">
        <f>HLOOKUP(H792,$Q$2:$Z$3,2)</f>
        <v>5</v>
      </c>
      <c r="K792" s="148">
        <v>1.4833299999999999E-3</v>
      </c>
      <c r="L792" s="147">
        <f>ROUND(I792*J792*K792,2)</f>
        <v>0.11</v>
      </c>
      <c r="M792" s="147">
        <f>ROUND(I792*K792*12,2)</f>
        <v>0.25</v>
      </c>
      <c r="N792" s="145"/>
    </row>
    <row r="793" spans="1:14">
      <c r="A793" s="151" t="s">
        <v>626</v>
      </c>
      <c r="B793" s="152" t="s">
        <v>1632</v>
      </c>
      <c r="C793" s="152" t="s">
        <v>1633</v>
      </c>
      <c r="D793" s="151" t="s">
        <v>1634</v>
      </c>
      <c r="E793" s="152" t="s">
        <v>471</v>
      </c>
      <c r="F793" s="151" t="s">
        <v>165</v>
      </c>
      <c r="G793" s="152" t="s">
        <v>20</v>
      </c>
      <c r="H793" s="153">
        <v>201607</v>
      </c>
      <c r="I793" s="154">
        <v>8.1300000000000008</v>
      </c>
      <c r="J793" s="144">
        <f>HLOOKUP(H793,$Q$2:$Z$3,2)</f>
        <v>4</v>
      </c>
      <c r="K793" s="155">
        <v>1.4833299999999999E-3</v>
      </c>
      <c r="L793" s="154">
        <f>ROUND(I793*J793*K793,2)</f>
        <v>0.05</v>
      </c>
      <c r="M793" s="154">
        <f>ROUND(I793*K793*12,2)</f>
        <v>0.14000000000000001</v>
      </c>
      <c r="N793" s="145"/>
    </row>
    <row r="794" spans="1:14">
      <c r="A794" s="151"/>
      <c r="B794" s="152"/>
      <c r="C794" s="152"/>
      <c r="D794" s="151"/>
      <c r="E794" s="152"/>
      <c r="F794" s="151"/>
      <c r="G794" s="152"/>
      <c r="H794" s="153"/>
      <c r="I794" s="293">
        <f>SUM(I789:I793)</f>
        <v>75.789999999999992</v>
      </c>
      <c r="J794" s="144"/>
      <c r="K794" s="155"/>
      <c r="L794" s="293">
        <f t="shared" ref="L794:M794" si="58">SUM(L789:L793)</f>
        <v>0.67</v>
      </c>
      <c r="M794" s="293">
        <f t="shared" si="58"/>
        <v>1.3399999999999999</v>
      </c>
      <c r="N794" s="145"/>
    </row>
    <row r="795" spans="1:14">
      <c r="A795" s="151"/>
      <c r="B795" s="152"/>
      <c r="C795" s="152"/>
      <c r="D795" s="151"/>
      <c r="E795" s="152"/>
      <c r="F795" s="151"/>
      <c r="G795" s="152"/>
      <c r="H795" s="153"/>
      <c r="I795" s="154"/>
      <c r="J795" s="144"/>
      <c r="K795" s="155"/>
      <c r="L795" s="154"/>
      <c r="M795" s="154"/>
      <c r="N795" s="145"/>
    </row>
    <row r="796" spans="1:14">
      <c r="A796" s="145" t="s">
        <v>14</v>
      </c>
      <c r="B796" s="146" t="s">
        <v>239</v>
      </c>
      <c r="C796" s="146" t="s">
        <v>240</v>
      </c>
      <c r="D796" s="145" t="s">
        <v>197</v>
      </c>
      <c r="E796" s="146" t="s">
        <v>241</v>
      </c>
      <c r="F796" s="145" t="s">
        <v>199</v>
      </c>
      <c r="G796" s="146" t="s">
        <v>20</v>
      </c>
      <c r="H796" s="146">
        <v>201603</v>
      </c>
      <c r="I796" s="147">
        <v>12.75</v>
      </c>
      <c r="J796" s="144">
        <f t="shared" ref="J796:J805" si="59">HLOOKUP(H796,$Q$2:$Z$3,2)</f>
        <v>8</v>
      </c>
      <c r="K796" s="148">
        <v>2.23333E-3</v>
      </c>
      <c r="L796" s="147">
        <f t="shared" ref="L796:L805" si="60">ROUND(I796*J796*K796,2)</f>
        <v>0.23</v>
      </c>
      <c r="M796" s="147">
        <f t="shared" ref="M796:M805" si="61">ROUND(I796*K796*12,2)</f>
        <v>0.34</v>
      </c>
      <c r="N796" s="145"/>
    </row>
    <row r="797" spans="1:14">
      <c r="A797" s="145" t="s">
        <v>14</v>
      </c>
      <c r="B797" s="146" t="s">
        <v>271</v>
      </c>
      <c r="C797" s="146" t="s">
        <v>272</v>
      </c>
      <c r="D797" s="145" t="s">
        <v>197</v>
      </c>
      <c r="E797" s="146" t="s">
        <v>273</v>
      </c>
      <c r="F797" s="145" t="s">
        <v>199</v>
      </c>
      <c r="G797" s="146" t="s">
        <v>20</v>
      </c>
      <c r="H797" s="146">
        <v>201603</v>
      </c>
      <c r="I797" s="147">
        <v>0.86</v>
      </c>
      <c r="J797" s="144">
        <f t="shared" si="59"/>
        <v>8</v>
      </c>
      <c r="K797" s="148">
        <v>2.23333E-3</v>
      </c>
      <c r="L797" s="147">
        <f t="shared" si="60"/>
        <v>0.02</v>
      </c>
      <c r="M797" s="147">
        <f t="shared" si="61"/>
        <v>0.02</v>
      </c>
      <c r="N797" s="145"/>
    </row>
    <row r="798" spans="1:14">
      <c r="A798" s="145" t="s">
        <v>14</v>
      </c>
      <c r="B798" s="146" t="s">
        <v>239</v>
      </c>
      <c r="C798" s="146" t="s">
        <v>240</v>
      </c>
      <c r="D798" s="145" t="s">
        <v>197</v>
      </c>
      <c r="E798" s="146" t="s">
        <v>241</v>
      </c>
      <c r="F798" s="145" t="s">
        <v>199</v>
      </c>
      <c r="G798" s="146" t="s">
        <v>20</v>
      </c>
      <c r="H798" s="146">
        <v>201604</v>
      </c>
      <c r="I798" s="147">
        <v>-21.18</v>
      </c>
      <c r="J798" s="144">
        <f t="shared" si="59"/>
        <v>7</v>
      </c>
      <c r="K798" s="148">
        <v>2.23333E-3</v>
      </c>
      <c r="L798" s="147">
        <f t="shared" si="60"/>
        <v>-0.33</v>
      </c>
      <c r="M798" s="147">
        <f t="shared" si="61"/>
        <v>-0.56999999999999995</v>
      </c>
      <c r="N798" s="145"/>
    </row>
    <row r="799" spans="1:14">
      <c r="A799" s="145" t="s">
        <v>14</v>
      </c>
      <c r="B799" s="146" t="s">
        <v>271</v>
      </c>
      <c r="C799" s="146" t="s">
        <v>272</v>
      </c>
      <c r="D799" s="145" t="s">
        <v>197</v>
      </c>
      <c r="E799" s="146" t="s">
        <v>273</v>
      </c>
      <c r="F799" s="145" t="s">
        <v>199</v>
      </c>
      <c r="G799" s="146" t="s">
        <v>20</v>
      </c>
      <c r="H799" s="146">
        <v>201604</v>
      </c>
      <c r="I799" s="147">
        <v>0.62</v>
      </c>
      <c r="J799" s="144">
        <f t="shared" si="59"/>
        <v>7</v>
      </c>
      <c r="K799" s="148">
        <v>2.23333E-3</v>
      </c>
      <c r="L799" s="147">
        <f t="shared" si="60"/>
        <v>0.01</v>
      </c>
      <c r="M799" s="147">
        <f t="shared" si="61"/>
        <v>0.02</v>
      </c>
      <c r="N799" s="145"/>
    </row>
    <row r="800" spans="1:14">
      <c r="A800" s="145" t="s">
        <v>14</v>
      </c>
      <c r="B800" s="146" t="s">
        <v>239</v>
      </c>
      <c r="C800" s="146" t="s">
        <v>240</v>
      </c>
      <c r="D800" s="145" t="s">
        <v>197</v>
      </c>
      <c r="E800" s="146" t="s">
        <v>241</v>
      </c>
      <c r="F800" s="145" t="s">
        <v>199</v>
      </c>
      <c r="G800" s="146" t="s">
        <v>20</v>
      </c>
      <c r="H800" s="146">
        <v>201605</v>
      </c>
      <c r="I800" s="147">
        <v>-16.04</v>
      </c>
      <c r="J800" s="144">
        <f t="shared" si="59"/>
        <v>6</v>
      </c>
      <c r="K800" s="148">
        <v>2.23333E-3</v>
      </c>
      <c r="L800" s="147">
        <f t="shared" si="60"/>
        <v>-0.21</v>
      </c>
      <c r="M800" s="147">
        <f t="shared" si="61"/>
        <v>-0.43</v>
      </c>
      <c r="N800" s="145"/>
    </row>
    <row r="801" spans="1:14">
      <c r="A801" s="145" t="s">
        <v>14</v>
      </c>
      <c r="B801" s="146" t="s">
        <v>271</v>
      </c>
      <c r="C801" s="146" t="s">
        <v>272</v>
      </c>
      <c r="D801" s="145" t="s">
        <v>197</v>
      </c>
      <c r="E801" s="146" t="s">
        <v>273</v>
      </c>
      <c r="F801" s="145" t="s">
        <v>199</v>
      </c>
      <c r="G801" s="146" t="s">
        <v>20</v>
      </c>
      <c r="H801" s="146">
        <v>201605</v>
      </c>
      <c r="I801" s="147">
        <v>0.36</v>
      </c>
      <c r="J801" s="144">
        <f t="shared" si="59"/>
        <v>6</v>
      </c>
      <c r="K801" s="148">
        <v>2.23333E-3</v>
      </c>
      <c r="L801" s="147">
        <f t="shared" si="60"/>
        <v>0</v>
      </c>
      <c r="M801" s="147">
        <f t="shared" si="61"/>
        <v>0.01</v>
      </c>
      <c r="N801" s="145"/>
    </row>
    <row r="802" spans="1:14">
      <c r="A802" s="145" t="s">
        <v>14</v>
      </c>
      <c r="B802" s="146" t="s">
        <v>239</v>
      </c>
      <c r="C802" s="146" t="s">
        <v>240</v>
      </c>
      <c r="D802" s="145" t="s">
        <v>197</v>
      </c>
      <c r="E802" s="146" t="s">
        <v>241</v>
      </c>
      <c r="F802" s="145" t="s">
        <v>199</v>
      </c>
      <c r="G802" s="146" t="s">
        <v>20</v>
      </c>
      <c r="H802" s="146">
        <v>201606</v>
      </c>
      <c r="I802" s="147">
        <v>-11.95</v>
      </c>
      <c r="J802" s="144">
        <f t="shared" si="59"/>
        <v>5</v>
      </c>
      <c r="K802" s="148">
        <v>2.23333E-3</v>
      </c>
      <c r="L802" s="147">
        <f t="shared" si="60"/>
        <v>-0.13</v>
      </c>
      <c r="M802" s="147">
        <f t="shared" si="61"/>
        <v>-0.32</v>
      </c>
      <c r="N802" s="145"/>
    </row>
    <row r="803" spans="1:14">
      <c r="A803" s="145" t="s">
        <v>14</v>
      </c>
      <c r="B803" s="146" t="s">
        <v>271</v>
      </c>
      <c r="C803" s="146" t="s">
        <v>272</v>
      </c>
      <c r="D803" s="145" t="s">
        <v>197</v>
      </c>
      <c r="E803" s="146" t="s">
        <v>273</v>
      </c>
      <c r="F803" s="145" t="s">
        <v>199</v>
      </c>
      <c r="G803" s="146" t="s">
        <v>20</v>
      </c>
      <c r="H803" s="146">
        <v>201606</v>
      </c>
      <c r="I803" s="147">
        <v>0.03</v>
      </c>
      <c r="J803" s="144">
        <f t="shared" si="59"/>
        <v>5</v>
      </c>
      <c r="K803" s="148">
        <v>2.23333E-3</v>
      </c>
      <c r="L803" s="147">
        <f t="shared" si="60"/>
        <v>0</v>
      </c>
      <c r="M803" s="147">
        <f t="shared" si="61"/>
        <v>0</v>
      </c>
      <c r="N803" s="145"/>
    </row>
    <row r="804" spans="1:14">
      <c r="A804" s="151" t="s">
        <v>14</v>
      </c>
      <c r="B804" s="152" t="s">
        <v>239</v>
      </c>
      <c r="C804" s="152" t="s">
        <v>240</v>
      </c>
      <c r="D804" s="151" t="s">
        <v>197</v>
      </c>
      <c r="E804" s="152" t="s">
        <v>241</v>
      </c>
      <c r="F804" s="151" t="s">
        <v>199</v>
      </c>
      <c r="G804" s="152" t="s">
        <v>20</v>
      </c>
      <c r="H804" s="153">
        <v>201607</v>
      </c>
      <c r="I804" s="154">
        <v>-12.7</v>
      </c>
      <c r="J804" s="144">
        <f t="shared" si="59"/>
        <v>4</v>
      </c>
      <c r="K804" s="155">
        <v>2.23333E-3</v>
      </c>
      <c r="L804" s="154">
        <f t="shared" si="60"/>
        <v>-0.11</v>
      </c>
      <c r="M804" s="154">
        <f t="shared" si="61"/>
        <v>-0.34</v>
      </c>
      <c r="N804" s="145"/>
    </row>
    <row r="805" spans="1:14">
      <c r="A805" s="151" t="s">
        <v>14</v>
      </c>
      <c r="B805" s="152" t="s">
        <v>271</v>
      </c>
      <c r="C805" s="152" t="s">
        <v>272</v>
      </c>
      <c r="D805" s="151" t="s">
        <v>197</v>
      </c>
      <c r="E805" s="152" t="s">
        <v>273</v>
      </c>
      <c r="F805" s="151" t="s">
        <v>199</v>
      </c>
      <c r="G805" s="152" t="s">
        <v>20</v>
      </c>
      <c r="H805" s="153">
        <v>201607</v>
      </c>
      <c r="I805" s="154">
        <v>-0.47</v>
      </c>
      <c r="J805" s="144">
        <f t="shared" si="59"/>
        <v>4</v>
      </c>
      <c r="K805" s="155">
        <v>2.23333E-3</v>
      </c>
      <c r="L805" s="154">
        <f t="shared" si="60"/>
        <v>0</v>
      </c>
      <c r="M805" s="154">
        <f t="shared" si="61"/>
        <v>-0.01</v>
      </c>
      <c r="N805" s="145"/>
    </row>
    <row r="806" spans="1:14">
      <c r="A806" s="151"/>
      <c r="B806" s="152"/>
      <c r="C806" s="152"/>
      <c r="D806" s="151"/>
      <c r="E806" s="152"/>
      <c r="F806" s="151"/>
      <c r="G806" s="152"/>
      <c r="H806" s="153"/>
      <c r="I806" s="293">
        <f>SUM(I796:I805)</f>
        <v>-47.72</v>
      </c>
      <c r="J806" s="144"/>
      <c r="K806" s="155"/>
      <c r="L806" s="293">
        <f t="shared" ref="L806:M806" si="62">SUM(L796:L805)</f>
        <v>-0.52</v>
      </c>
      <c r="M806" s="293">
        <f t="shared" si="62"/>
        <v>-1.28</v>
      </c>
      <c r="N806" s="145"/>
    </row>
    <row r="807" spans="1:14">
      <c r="A807" s="151"/>
      <c r="B807" s="152"/>
      <c r="C807" s="152"/>
      <c r="D807" s="151"/>
      <c r="E807" s="152"/>
      <c r="F807" s="151"/>
      <c r="G807" s="152"/>
      <c r="H807" s="153"/>
      <c r="I807" s="154"/>
      <c r="J807" s="144"/>
      <c r="K807" s="155"/>
      <c r="L807" s="154"/>
      <c r="M807" s="154"/>
      <c r="N807" s="145"/>
    </row>
    <row r="808" spans="1:14">
      <c r="A808" s="145" t="s">
        <v>626</v>
      </c>
      <c r="B808" s="146" t="s">
        <v>1844</v>
      </c>
      <c r="C808" s="146" t="s">
        <v>1845</v>
      </c>
      <c r="D808" s="145" t="s">
        <v>1846</v>
      </c>
      <c r="E808" s="146" t="s">
        <v>160</v>
      </c>
      <c r="F808" s="145" t="s">
        <v>19</v>
      </c>
      <c r="G808" s="146" t="s">
        <v>20</v>
      </c>
      <c r="H808" s="146">
        <v>201603</v>
      </c>
      <c r="I808" s="147">
        <v>-290.64999999999998</v>
      </c>
      <c r="J808" s="144">
        <f t="shared" ref="J808:J826" si="63">HLOOKUP(H808,$Q$2:$Z$3,2)</f>
        <v>8</v>
      </c>
      <c r="K808" s="148">
        <v>1.4833299999999999E-3</v>
      </c>
      <c r="L808" s="147">
        <f t="shared" ref="L808:L826" si="64">ROUND(I808*J808*K808,2)</f>
        <v>-3.45</v>
      </c>
      <c r="M808" s="147">
        <f t="shared" ref="M808:M826" si="65">ROUND(I808*K808*12,2)</f>
        <v>-5.17</v>
      </c>
      <c r="N808" s="145"/>
    </row>
    <row r="809" spans="1:14">
      <c r="A809" s="145" t="s">
        <v>626</v>
      </c>
      <c r="B809" s="146" t="s">
        <v>1847</v>
      </c>
      <c r="C809" s="146" t="s">
        <v>1848</v>
      </c>
      <c r="D809" s="145" t="s">
        <v>1849</v>
      </c>
      <c r="E809" s="146" t="s">
        <v>63</v>
      </c>
      <c r="F809" s="145" t="s">
        <v>19</v>
      </c>
      <c r="G809" s="146" t="s">
        <v>20</v>
      </c>
      <c r="H809" s="146">
        <v>201603</v>
      </c>
      <c r="I809" s="147">
        <v>-0.44</v>
      </c>
      <c r="J809" s="144">
        <f t="shared" si="63"/>
        <v>8</v>
      </c>
      <c r="K809" s="148">
        <v>1.4833299999999999E-3</v>
      </c>
      <c r="L809" s="147">
        <f t="shared" si="64"/>
        <v>-0.01</v>
      </c>
      <c r="M809" s="147">
        <f t="shared" si="65"/>
        <v>-0.01</v>
      </c>
      <c r="N809" s="145"/>
    </row>
    <row r="810" spans="1:14">
      <c r="A810" s="145" t="s">
        <v>21</v>
      </c>
      <c r="B810" s="146" t="s">
        <v>1635</v>
      </c>
      <c r="C810" s="146" t="s">
        <v>1636</v>
      </c>
      <c r="D810" s="145" t="s">
        <v>1637</v>
      </c>
      <c r="E810" s="146" t="s">
        <v>360</v>
      </c>
      <c r="F810" s="145" t="s">
        <v>19</v>
      </c>
      <c r="G810" s="146" t="s">
        <v>20</v>
      </c>
      <c r="H810" s="146">
        <v>201603</v>
      </c>
      <c r="I810" s="147">
        <v>-1</v>
      </c>
      <c r="J810" s="144">
        <f t="shared" si="63"/>
        <v>8</v>
      </c>
      <c r="K810" s="148">
        <v>1.4833299999999999E-3</v>
      </c>
      <c r="L810" s="147">
        <f t="shared" si="64"/>
        <v>-0.01</v>
      </c>
      <c r="M810" s="147">
        <f t="shared" si="65"/>
        <v>-0.02</v>
      </c>
      <c r="N810" s="145"/>
    </row>
    <row r="811" spans="1:14">
      <c r="A811" s="145" t="s">
        <v>626</v>
      </c>
      <c r="B811" s="146" t="s">
        <v>2036</v>
      </c>
      <c r="C811" s="146" t="s">
        <v>2037</v>
      </c>
      <c r="D811" s="145" t="s">
        <v>2038</v>
      </c>
      <c r="E811" s="146" t="s">
        <v>160</v>
      </c>
      <c r="F811" s="145" t="s">
        <v>19</v>
      </c>
      <c r="G811" s="146" t="s">
        <v>20</v>
      </c>
      <c r="H811" s="146">
        <v>201604</v>
      </c>
      <c r="I811" s="147">
        <v>119473.49</v>
      </c>
      <c r="J811" s="144">
        <f t="shared" si="63"/>
        <v>7</v>
      </c>
      <c r="K811" s="148">
        <v>1.4833299999999999E-3</v>
      </c>
      <c r="L811" s="147">
        <f t="shared" si="64"/>
        <v>1240.53</v>
      </c>
      <c r="M811" s="147">
        <f t="shared" si="65"/>
        <v>2126.62</v>
      </c>
      <c r="N811" s="145"/>
    </row>
    <row r="812" spans="1:14">
      <c r="A812" s="145" t="s">
        <v>626</v>
      </c>
      <c r="B812" s="146" t="s">
        <v>1844</v>
      </c>
      <c r="C812" s="146" t="s">
        <v>1845</v>
      </c>
      <c r="D812" s="145" t="s">
        <v>1846</v>
      </c>
      <c r="E812" s="146" t="s">
        <v>160</v>
      </c>
      <c r="F812" s="145" t="s">
        <v>19</v>
      </c>
      <c r="G812" s="146" t="s">
        <v>20</v>
      </c>
      <c r="H812" s="146">
        <v>201604</v>
      </c>
      <c r="I812" s="147">
        <v>977.5</v>
      </c>
      <c r="J812" s="144">
        <f t="shared" si="63"/>
        <v>7</v>
      </c>
      <c r="K812" s="148">
        <v>1.4833299999999999E-3</v>
      </c>
      <c r="L812" s="147">
        <f t="shared" si="64"/>
        <v>10.15</v>
      </c>
      <c r="M812" s="147">
        <f t="shared" si="65"/>
        <v>17.399999999999999</v>
      </c>
      <c r="N812" s="145"/>
    </row>
    <row r="813" spans="1:14">
      <c r="A813" s="145" t="s">
        <v>626</v>
      </c>
      <c r="B813" s="146" t="s">
        <v>1847</v>
      </c>
      <c r="C813" s="146" t="s">
        <v>1848</v>
      </c>
      <c r="D813" s="145" t="s">
        <v>1849</v>
      </c>
      <c r="E813" s="146" t="s">
        <v>63</v>
      </c>
      <c r="F813" s="145" t="s">
        <v>19</v>
      </c>
      <c r="G813" s="146" t="s">
        <v>20</v>
      </c>
      <c r="H813" s="146">
        <v>201604</v>
      </c>
      <c r="I813" s="147">
        <v>6.73</v>
      </c>
      <c r="J813" s="144">
        <f t="shared" si="63"/>
        <v>7</v>
      </c>
      <c r="K813" s="148">
        <v>1.4833299999999999E-3</v>
      </c>
      <c r="L813" s="147">
        <f t="shared" si="64"/>
        <v>7.0000000000000007E-2</v>
      </c>
      <c r="M813" s="147">
        <f t="shared" si="65"/>
        <v>0.12</v>
      </c>
      <c r="N813" s="145"/>
    </row>
    <row r="814" spans="1:14">
      <c r="A814" s="145" t="s">
        <v>21</v>
      </c>
      <c r="B814" s="146" t="s">
        <v>1635</v>
      </c>
      <c r="C814" s="146" t="s">
        <v>1636</v>
      </c>
      <c r="D814" s="145" t="s">
        <v>1637</v>
      </c>
      <c r="E814" s="146" t="s">
        <v>360</v>
      </c>
      <c r="F814" s="145" t="s">
        <v>19</v>
      </c>
      <c r="G814" s="146" t="s">
        <v>20</v>
      </c>
      <c r="H814" s="146">
        <v>201604</v>
      </c>
      <c r="I814" s="147">
        <v>13.82</v>
      </c>
      <c r="J814" s="144">
        <f t="shared" si="63"/>
        <v>7</v>
      </c>
      <c r="K814" s="148">
        <v>1.4833299999999999E-3</v>
      </c>
      <c r="L814" s="147">
        <f t="shared" si="64"/>
        <v>0.14000000000000001</v>
      </c>
      <c r="M814" s="147">
        <f t="shared" si="65"/>
        <v>0.25</v>
      </c>
      <c r="N814" s="145"/>
    </row>
    <row r="815" spans="1:14">
      <c r="A815" s="145" t="s">
        <v>626</v>
      </c>
      <c r="B815" s="146" t="s">
        <v>2036</v>
      </c>
      <c r="C815" s="146" t="s">
        <v>2037</v>
      </c>
      <c r="D815" s="145" t="s">
        <v>2038</v>
      </c>
      <c r="E815" s="146" t="s">
        <v>160</v>
      </c>
      <c r="F815" s="145" t="s">
        <v>19</v>
      </c>
      <c r="G815" s="146" t="s">
        <v>20</v>
      </c>
      <c r="H815" s="146">
        <v>201605</v>
      </c>
      <c r="I815" s="147">
        <v>1408.9</v>
      </c>
      <c r="J815" s="144">
        <f t="shared" si="63"/>
        <v>6</v>
      </c>
      <c r="K815" s="148">
        <v>1.4833299999999999E-3</v>
      </c>
      <c r="L815" s="147">
        <f t="shared" si="64"/>
        <v>12.54</v>
      </c>
      <c r="M815" s="147">
        <f t="shared" si="65"/>
        <v>25.08</v>
      </c>
      <c r="N815" s="145"/>
    </row>
    <row r="816" spans="1:14">
      <c r="A816" s="145" t="s">
        <v>626</v>
      </c>
      <c r="B816" s="146" t="s">
        <v>1844</v>
      </c>
      <c r="C816" s="146" t="s">
        <v>1845</v>
      </c>
      <c r="D816" s="145" t="s">
        <v>1846</v>
      </c>
      <c r="E816" s="146" t="s">
        <v>160</v>
      </c>
      <c r="F816" s="145" t="s">
        <v>19</v>
      </c>
      <c r="G816" s="146" t="s">
        <v>20</v>
      </c>
      <c r="H816" s="146">
        <v>201605</v>
      </c>
      <c r="I816" s="147">
        <v>903.77</v>
      </c>
      <c r="J816" s="144">
        <f t="shared" si="63"/>
        <v>6</v>
      </c>
      <c r="K816" s="148">
        <v>1.4833299999999999E-3</v>
      </c>
      <c r="L816" s="147">
        <f t="shared" si="64"/>
        <v>8.0399999999999991</v>
      </c>
      <c r="M816" s="147">
        <f t="shared" si="65"/>
        <v>16.09</v>
      </c>
      <c r="N816" s="145"/>
    </row>
    <row r="817" spans="1:14">
      <c r="A817" s="145" t="s">
        <v>626</v>
      </c>
      <c r="B817" s="146" t="s">
        <v>1847</v>
      </c>
      <c r="C817" s="146" t="s">
        <v>1848</v>
      </c>
      <c r="D817" s="145" t="s">
        <v>1849</v>
      </c>
      <c r="E817" s="146" t="s">
        <v>63</v>
      </c>
      <c r="F817" s="145" t="s">
        <v>19</v>
      </c>
      <c r="G817" s="146" t="s">
        <v>20</v>
      </c>
      <c r="H817" s="146">
        <v>201605</v>
      </c>
      <c r="I817" s="147">
        <v>6.23</v>
      </c>
      <c r="J817" s="144">
        <f t="shared" si="63"/>
        <v>6</v>
      </c>
      <c r="K817" s="148">
        <v>1.4833299999999999E-3</v>
      </c>
      <c r="L817" s="147">
        <f t="shared" si="64"/>
        <v>0.06</v>
      </c>
      <c r="M817" s="147">
        <f t="shared" si="65"/>
        <v>0.11</v>
      </c>
      <c r="N817" s="145"/>
    </row>
    <row r="818" spans="1:14">
      <c r="A818" s="145" t="s">
        <v>21</v>
      </c>
      <c r="B818" s="146" t="s">
        <v>1635</v>
      </c>
      <c r="C818" s="146" t="s">
        <v>1636</v>
      </c>
      <c r="D818" s="145" t="s">
        <v>1637</v>
      </c>
      <c r="E818" s="146" t="s">
        <v>360</v>
      </c>
      <c r="F818" s="145" t="s">
        <v>19</v>
      </c>
      <c r="G818" s="146" t="s">
        <v>20</v>
      </c>
      <c r="H818" s="146">
        <v>201605</v>
      </c>
      <c r="I818" s="147">
        <v>9.98</v>
      </c>
      <c r="J818" s="144">
        <f t="shared" si="63"/>
        <v>6</v>
      </c>
      <c r="K818" s="148">
        <v>1.4833299999999999E-3</v>
      </c>
      <c r="L818" s="147">
        <f t="shared" si="64"/>
        <v>0.09</v>
      </c>
      <c r="M818" s="147">
        <f t="shared" si="65"/>
        <v>0.18</v>
      </c>
      <c r="N818" s="145"/>
    </row>
    <row r="819" spans="1:14">
      <c r="A819" s="145" t="s">
        <v>626</v>
      </c>
      <c r="B819" s="146" t="s">
        <v>2036</v>
      </c>
      <c r="C819" s="146" t="s">
        <v>2037</v>
      </c>
      <c r="D819" s="145" t="s">
        <v>2038</v>
      </c>
      <c r="E819" s="146" t="s">
        <v>160</v>
      </c>
      <c r="F819" s="145" t="s">
        <v>19</v>
      </c>
      <c r="G819" s="146" t="s">
        <v>20</v>
      </c>
      <c r="H819" s="146">
        <v>201606</v>
      </c>
      <c r="I819" s="147">
        <v>1013.65</v>
      </c>
      <c r="J819" s="144">
        <f t="shared" si="63"/>
        <v>5</v>
      </c>
      <c r="K819" s="148">
        <v>1.4833299999999999E-3</v>
      </c>
      <c r="L819" s="147">
        <f t="shared" si="64"/>
        <v>7.52</v>
      </c>
      <c r="M819" s="147">
        <f t="shared" si="65"/>
        <v>18.04</v>
      </c>
      <c r="N819" s="145"/>
    </row>
    <row r="820" spans="1:14">
      <c r="A820" s="145" t="s">
        <v>626</v>
      </c>
      <c r="B820" s="146" t="s">
        <v>1844</v>
      </c>
      <c r="C820" s="146" t="s">
        <v>1845</v>
      </c>
      <c r="D820" s="145" t="s">
        <v>1846</v>
      </c>
      <c r="E820" s="146" t="s">
        <v>160</v>
      </c>
      <c r="F820" s="145" t="s">
        <v>19</v>
      </c>
      <c r="G820" s="146" t="s">
        <v>20</v>
      </c>
      <c r="H820" s="146">
        <v>201606</v>
      </c>
      <c r="I820" s="147">
        <v>460.67</v>
      </c>
      <c r="J820" s="144">
        <f t="shared" si="63"/>
        <v>5</v>
      </c>
      <c r="K820" s="148">
        <v>1.4833299999999999E-3</v>
      </c>
      <c r="L820" s="147">
        <f t="shared" si="64"/>
        <v>3.42</v>
      </c>
      <c r="M820" s="147">
        <f t="shared" si="65"/>
        <v>8.1999999999999993</v>
      </c>
      <c r="N820" s="145"/>
    </row>
    <row r="821" spans="1:14">
      <c r="A821" s="145" t="s">
        <v>626</v>
      </c>
      <c r="B821" s="146" t="s">
        <v>1847</v>
      </c>
      <c r="C821" s="146" t="s">
        <v>1848</v>
      </c>
      <c r="D821" s="145" t="s">
        <v>1849</v>
      </c>
      <c r="E821" s="146" t="s">
        <v>63</v>
      </c>
      <c r="F821" s="145" t="s">
        <v>19</v>
      </c>
      <c r="G821" s="146" t="s">
        <v>20</v>
      </c>
      <c r="H821" s="146">
        <v>201606</v>
      </c>
      <c r="I821" s="147">
        <v>2.94</v>
      </c>
      <c r="J821" s="144">
        <f t="shared" si="63"/>
        <v>5</v>
      </c>
      <c r="K821" s="148">
        <v>1.4833299999999999E-3</v>
      </c>
      <c r="L821" s="147">
        <f t="shared" si="64"/>
        <v>0.02</v>
      </c>
      <c r="M821" s="147">
        <f t="shared" si="65"/>
        <v>0.05</v>
      </c>
      <c r="N821" s="145"/>
    </row>
    <row r="822" spans="1:14">
      <c r="A822" s="145" t="s">
        <v>21</v>
      </c>
      <c r="B822" s="146" t="s">
        <v>1635</v>
      </c>
      <c r="C822" s="146" t="s">
        <v>1636</v>
      </c>
      <c r="D822" s="145" t="s">
        <v>1637</v>
      </c>
      <c r="E822" s="146" t="s">
        <v>360</v>
      </c>
      <c r="F822" s="145" t="s">
        <v>19</v>
      </c>
      <c r="G822" s="146" t="s">
        <v>20</v>
      </c>
      <c r="H822" s="146">
        <v>201606</v>
      </c>
      <c r="I822" s="147">
        <v>6.07</v>
      </c>
      <c r="J822" s="144">
        <f t="shared" si="63"/>
        <v>5</v>
      </c>
      <c r="K822" s="148">
        <v>1.4833299999999999E-3</v>
      </c>
      <c r="L822" s="147">
        <f t="shared" si="64"/>
        <v>0.05</v>
      </c>
      <c r="M822" s="147">
        <f t="shared" si="65"/>
        <v>0.11</v>
      </c>
      <c r="N822" s="145"/>
    </row>
    <row r="823" spans="1:14">
      <c r="A823" s="151" t="s">
        <v>626</v>
      </c>
      <c r="B823" s="152" t="s">
        <v>1847</v>
      </c>
      <c r="C823" s="152" t="s">
        <v>1848</v>
      </c>
      <c r="D823" s="151" t="s">
        <v>1849</v>
      </c>
      <c r="E823" s="152" t="s">
        <v>63</v>
      </c>
      <c r="F823" s="151" t="s">
        <v>19</v>
      </c>
      <c r="G823" s="152" t="s">
        <v>20</v>
      </c>
      <c r="H823" s="153">
        <v>201607</v>
      </c>
      <c r="I823" s="154">
        <v>1.69</v>
      </c>
      <c r="J823" s="144">
        <f t="shared" si="63"/>
        <v>4</v>
      </c>
      <c r="K823" s="155">
        <v>1.4833299999999999E-3</v>
      </c>
      <c r="L823" s="154">
        <f t="shared" si="64"/>
        <v>0.01</v>
      </c>
      <c r="M823" s="154">
        <f t="shared" si="65"/>
        <v>0.03</v>
      </c>
      <c r="N823" s="145"/>
    </row>
    <row r="824" spans="1:14">
      <c r="A824" s="151" t="s">
        <v>21</v>
      </c>
      <c r="B824" s="152" t="s">
        <v>1635</v>
      </c>
      <c r="C824" s="152" t="s">
        <v>1636</v>
      </c>
      <c r="D824" s="151" t="s">
        <v>1637</v>
      </c>
      <c r="E824" s="152" t="s">
        <v>360</v>
      </c>
      <c r="F824" s="151" t="s">
        <v>19</v>
      </c>
      <c r="G824" s="152" t="s">
        <v>20</v>
      </c>
      <c r="H824" s="153">
        <v>201607</v>
      </c>
      <c r="I824" s="154">
        <v>3.48</v>
      </c>
      <c r="J824" s="144">
        <f t="shared" si="63"/>
        <v>4</v>
      </c>
      <c r="K824" s="155">
        <v>1.4833299999999999E-3</v>
      </c>
      <c r="L824" s="154">
        <f t="shared" si="64"/>
        <v>0.02</v>
      </c>
      <c r="M824" s="154">
        <f t="shared" si="65"/>
        <v>0.06</v>
      </c>
      <c r="N824" s="145"/>
    </row>
    <row r="825" spans="1:14">
      <c r="A825" s="151" t="s">
        <v>626</v>
      </c>
      <c r="B825" s="152" t="s">
        <v>1844</v>
      </c>
      <c r="C825" s="152" t="s">
        <v>1845</v>
      </c>
      <c r="D825" s="151" t="s">
        <v>1846</v>
      </c>
      <c r="E825" s="152" t="s">
        <v>160</v>
      </c>
      <c r="F825" s="151" t="s">
        <v>19</v>
      </c>
      <c r="G825" s="152" t="s">
        <v>20</v>
      </c>
      <c r="H825" s="153">
        <v>201607</v>
      </c>
      <c r="I825" s="154">
        <v>293.14999999999998</v>
      </c>
      <c r="J825" s="144">
        <f t="shared" si="63"/>
        <v>4</v>
      </c>
      <c r="K825" s="155">
        <v>1.4833299999999999E-3</v>
      </c>
      <c r="L825" s="154">
        <f t="shared" si="64"/>
        <v>1.74</v>
      </c>
      <c r="M825" s="154">
        <f t="shared" si="65"/>
        <v>5.22</v>
      </c>
      <c r="N825" s="145"/>
    </row>
    <row r="826" spans="1:14">
      <c r="A826" s="151" t="s">
        <v>626</v>
      </c>
      <c r="B826" s="152" t="s">
        <v>2036</v>
      </c>
      <c r="C826" s="152" t="s">
        <v>2037</v>
      </c>
      <c r="D826" s="151" t="s">
        <v>2038</v>
      </c>
      <c r="E826" s="152" t="s">
        <v>160</v>
      </c>
      <c r="F826" s="151" t="s">
        <v>19</v>
      </c>
      <c r="G826" s="152" t="s">
        <v>20</v>
      </c>
      <c r="H826" s="153">
        <v>201607</v>
      </c>
      <c r="I826" s="154">
        <v>1155.6600000000001</v>
      </c>
      <c r="J826" s="144">
        <f t="shared" si="63"/>
        <v>4</v>
      </c>
      <c r="K826" s="155">
        <v>1.4833299999999999E-3</v>
      </c>
      <c r="L826" s="154">
        <f t="shared" si="64"/>
        <v>6.86</v>
      </c>
      <c r="M826" s="154">
        <f t="shared" si="65"/>
        <v>20.57</v>
      </c>
      <c r="N826" s="145"/>
    </row>
    <row r="827" spans="1:14">
      <c r="A827" s="151"/>
      <c r="B827" s="152"/>
      <c r="C827" s="152"/>
      <c r="D827" s="151"/>
      <c r="E827" s="152"/>
      <c r="F827" s="151"/>
      <c r="G827" s="152"/>
      <c r="H827" s="153"/>
      <c r="I827" s="293">
        <f>SUM(I808:I826)</f>
        <v>125445.64</v>
      </c>
      <c r="J827" s="144"/>
      <c r="K827" s="155"/>
      <c r="L827" s="293">
        <f t="shared" ref="L827:M827" si="66">SUM(L808:L826)</f>
        <v>1287.7899999999997</v>
      </c>
      <c r="M827" s="293">
        <f t="shared" si="66"/>
        <v>2232.9300000000003</v>
      </c>
      <c r="N827" s="145"/>
    </row>
    <row r="828" spans="1:14">
      <c r="A828" s="151"/>
      <c r="B828" s="152"/>
      <c r="C828" s="152"/>
      <c r="D828" s="151"/>
      <c r="E828" s="152"/>
      <c r="F828" s="151"/>
      <c r="G828" s="152"/>
      <c r="H828" s="153"/>
      <c r="I828" s="154"/>
      <c r="J828" s="144"/>
      <c r="K828" s="155"/>
      <c r="L828" s="154"/>
      <c r="M828" s="154"/>
      <c r="N828" s="145"/>
    </row>
    <row r="829" spans="1:14">
      <c r="A829" s="145" t="s">
        <v>14</v>
      </c>
      <c r="B829" s="146" t="s">
        <v>1661</v>
      </c>
      <c r="C829" s="146" t="s">
        <v>1662</v>
      </c>
      <c r="D829" s="145" t="s">
        <v>1663</v>
      </c>
      <c r="E829" s="146" t="s">
        <v>284</v>
      </c>
      <c r="F829" s="145" t="s">
        <v>285</v>
      </c>
      <c r="G829" s="146" t="s">
        <v>20</v>
      </c>
      <c r="H829" s="146">
        <v>201603</v>
      </c>
      <c r="I829" s="147">
        <v>0.01</v>
      </c>
      <c r="J829" s="144">
        <f>HLOOKUP(H829,$Q$2:$Z$3,2)</f>
        <v>8</v>
      </c>
      <c r="K829" s="148">
        <v>2.23333E-3</v>
      </c>
      <c r="L829" s="147">
        <f>ROUND(I829*J829*K829,2)</f>
        <v>0</v>
      </c>
      <c r="M829" s="147">
        <f>ROUND(I829*K829*12,2)</f>
        <v>0</v>
      </c>
      <c r="N829" s="145"/>
    </row>
    <row r="830" spans="1:14">
      <c r="A830" s="145" t="s">
        <v>14</v>
      </c>
      <c r="B830" s="146" t="s">
        <v>1661</v>
      </c>
      <c r="C830" s="146" t="s">
        <v>1662</v>
      </c>
      <c r="D830" s="145" t="s">
        <v>1663</v>
      </c>
      <c r="E830" s="146" t="s">
        <v>284</v>
      </c>
      <c r="F830" s="145" t="s">
        <v>285</v>
      </c>
      <c r="G830" s="146" t="s">
        <v>20</v>
      </c>
      <c r="H830" s="146">
        <v>201604</v>
      </c>
      <c r="I830" s="147">
        <v>-0.01</v>
      </c>
      <c r="J830" s="144">
        <f>HLOOKUP(H830,$Q$2:$Z$3,2)</f>
        <v>7</v>
      </c>
      <c r="K830" s="148">
        <v>2.23333E-3</v>
      </c>
      <c r="L830" s="147">
        <f>ROUND(I830*J830*K830,2)</f>
        <v>0</v>
      </c>
      <c r="M830" s="147">
        <f>ROUND(I830*K830*12,2)</f>
        <v>0</v>
      </c>
      <c r="N830" s="145"/>
    </row>
    <row r="831" spans="1:14">
      <c r="A831" s="151" t="s">
        <v>14</v>
      </c>
      <c r="B831" s="152" t="s">
        <v>1661</v>
      </c>
      <c r="C831" s="152" t="s">
        <v>1662</v>
      </c>
      <c r="D831" s="151" t="s">
        <v>1663</v>
      </c>
      <c r="E831" s="152" t="s">
        <v>284</v>
      </c>
      <c r="F831" s="151" t="s">
        <v>285</v>
      </c>
      <c r="G831" s="152" t="s">
        <v>20</v>
      </c>
      <c r="H831" s="153">
        <v>201607</v>
      </c>
      <c r="I831" s="154">
        <v>0.01</v>
      </c>
      <c r="J831" s="144">
        <f>HLOOKUP(H831,$Q$2:$Z$3,2)</f>
        <v>4</v>
      </c>
      <c r="K831" s="155">
        <v>2.23333E-3</v>
      </c>
      <c r="L831" s="154">
        <f>ROUND(I831*J831*K831,2)</f>
        <v>0</v>
      </c>
      <c r="M831" s="154">
        <f>ROUND(I831*K831*12,2)</f>
        <v>0</v>
      </c>
      <c r="N831" s="145"/>
    </row>
    <row r="832" spans="1:14">
      <c r="A832" s="151"/>
      <c r="B832" s="152"/>
      <c r="C832" s="152"/>
      <c r="D832" s="151"/>
      <c r="E832" s="152"/>
      <c r="F832" s="151"/>
      <c r="G832" s="152"/>
      <c r="H832" s="153"/>
      <c r="I832" s="293">
        <f>SUM(I829:I831)</f>
        <v>0.01</v>
      </c>
      <c r="J832" s="144"/>
      <c r="K832" s="155"/>
      <c r="L832" s="293">
        <f t="shared" ref="L832:M832" si="67">SUM(L829:L831)</f>
        <v>0</v>
      </c>
      <c r="M832" s="293">
        <f t="shared" si="67"/>
        <v>0</v>
      </c>
      <c r="N832" s="145"/>
    </row>
    <row r="833" spans="1:23">
      <c r="A833" s="151"/>
      <c r="B833" s="152"/>
      <c r="C833" s="152"/>
      <c r="D833" s="151"/>
      <c r="E833" s="152"/>
      <c r="F833" s="151"/>
      <c r="G833" s="152"/>
      <c r="H833" s="153"/>
      <c r="I833" s="154"/>
      <c r="J833" s="144"/>
      <c r="K833" s="155"/>
      <c r="L833" s="154"/>
      <c r="M833" s="154"/>
      <c r="N833" s="145"/>
    </row>
    <row r="834" spans="1:23">
      <c r="A834" s="145" t="s">
        <v>14</v>
      </c>
      <c r="B834" s="146" t="s">
        <v>706</v>
      </c>
      <c r="C834" s="146" t="s">
        <v>707</v>
      </c>
      <c r="D834" s="145" t="s">
        <v>708</v>
      </c>
      <c r="E834" s="146" t="s">
        <v>709</v>
      </c>
      <c r="F834" s="145" t="s">
        <v>710</v>
      </c>
      <c r="G834" s="146" t="s">
        <v>20</v>
      </c>
      <c r="H834" s="146">
        <v>201603</v>
      </c>
      <c r="I834" s="147">
        <v>14.75</v>
      </c>
      <c r="J834" s="144">
        <f t="shared" ref="J834:J865" si="68">HLOOKUP(H834,$Q$2:$Z$3,2)</f>
        <v>8</v>
      </c>
      <c r="K834" s="148">
        <v>2.23333E-3</v>
      </c>
      <c r="L834" s="147">
        <f t="shared" ref="L834:L865" si="69">ROUND(I834*J834*K834,2)</f>
        <v>0.26</v>
      </c>
      <c r="M834" s="147">
        <f t="shared" ref="M834:M865" si="70">ROUND(I834*K834*12,2)</f>
        <v>0.4</v>
      </c>
      <c r="N834" s="145"/>
    </row>
    <row r="835" spans="1:23">
      <c r="A835" s="145" t="s">
        <v>14</v>
      </c>
      <c r="B835" s="146" t="s">
        <v>2026</v>
      </c>
      <c r="C835" s="146" t="s">
        <v>2027</v>
      </c>
      <c r="D835" s="145" t="s">
        <v>2028</v>
      </c>
      <c r="E835" s="146" t="s">
        <v>2029</v>
      </c>
      <c r="F835" s="145" t="s">
        <v>710</v>
      </c>
      <c r="G835" s="146" t="s">
        <v>20</v>
      </c>
      <c r="H835" s="146">
        <v>201604</v>
      </c>
      <c r="I835" s="147">
        <v>6840.49</v>
      </c>
      <c r="J835" s="144">
        <f t="shared" si="68"/>
        <v>7</v>
      </c>
      <c r="K835" s="148">
        <v>2.23333E-3</v>
      </c>
      <c r="L835" s="147">
        <f t="shared" si="69"/>
        <v>106.94</v>
      </c>
      <c r="M835" s="147">
        <f t="shared" si="70"/>
        <v>183.32</v>
      </c>
      <c r="N835" s="145"/>
    </row>
    <row r="836" spans="1:23">
      <c r="A836" s="145" t="s">
        <v>14</v>
      </c>
      <c r="B836" s="146" t="s">
        <v>1247</v>
      </c>
      <c r="C836" s="146" t="s">
        <v>1248</v>
      </c>
      <c r="D836" s="145" t="s">
        <v>708</v>
      </c>
      <c r="E836" s="146" t="s">
        <v>1249</v>
      </c>
      <c r="F836" s="145" t="s">
        <v>710</v>
      </c>
      <c r="G836" s="146" t="s">
        <v>20</v>
      </c>
      <c r="H836" s="146">
        <v>201604</v>
      </c>
      <c r="I836" s="147">
        <v>14.11</v>
      </c>
      <c r="J836" s="144">
        <f t="shared" si="68"/>
        <v>7</v>
      </c>
      <c r="K836" s="148">
        <v>2.23333E-3</v>
      </c>
      <c r="L836" s="147">
        <f t="shared" si="69"/>
        <v>0.22</v>
      </c>
      <c r="M836" s="147">
        <f t="shared" si="70"/>
        <v>0.38</v>
      </c>
      <c r="N836" s="145"/>
    </row>
    <row r="837" spans="1:23">
      <c r="A837" s="145" t="s">
        <v>14</v>
      </c>
      <c r="B837" s="146" t="s">
        <v>706</v>
      </c>
      <c r="C837" s="146" t="s">
        <v>707</v>
      </c>
      <c r="D837" s="145" t="s">
        <v>708</v>
      </c>
      <c r="E837" s="146" t="s">
        <v>709</v>
      </c>
      <c r="F837" s="145" t="s">
        <v>710</v>
      </c>
      <c r="G837" s="146" t="s">
        <v>20</v>
      </c>
      <c r="H837" s="146">
        <v>201604</v>
      </c>
      <c r="I837" s="147">
        <v>-33.71</v>
      </c>
      <c r="J837" s="144">
        <f t="shared" si="68"/>
        <v>7</v>
      </c>
      <c r="K837" s="148">
        <v>2.23333E-3</v>
      </c>
      <c r="L837" s="147">
        <f t="shared" si="69"/>
        <v>-0.53</v>
      </c>
      <c r="M837" s="147">
        <f t="shared" si="70"/>
        <v>-0.9</v>
      </c>
      <c r="N837" s="145"/>
    </row>
    <row r="838" spans="1:23">
      <c r="A838" s="145" t="s">
        <v>14</v>
      </c>
      <c r="B838" s="146" t="s">
        <v>2026</v>
      </c>
      <c r="C838" s="146" t="s">
        <v>2027</v>
      </c>
      <c r="D838" s="145" t="s">
        <v>2028</v>
      </c>
      <c r="E838" s="146" t="s">
        <v>2029</v>
      </c>
      <c r="F838" s="145" t="s">
        <v>710</v>
      </c>
      <c r="G838" s="146" t="s">
        <v>20</v>
      </c>
      <c r="H838" s="146">
        <v>201605</v>
      </c>
      <c r="I838" s="147">
        <v>109.83</v>
      </c>
      <c r="J838" s="144">
        <f t="shared" si="68"/>
        <v>6</v>
      </c>
      <c r="K838" s="148">
        <v>2.23333E-3</v>
      </c>
      <c r="L838" s="147">
        <f t="shared" si="69"/>
        <v>1.47</v>
      </c>
      <c r="M838" s="147">
        <f t="shared" si="70"/>
        <v>2.94</v>
      </c>
      <c r="N838" s="145"/>
    </row>
    <row r="839" spans="1:23">
      <c r="A839" s="145" t="s">
        <v>14</v>
      </c>
      <c r="B839" s="146" t="s">
        <v>1247</v>
      </c>
      <c r="C839" s="146" t="s">
        <v>1248</v>
      </c>
      <c r="D839" s="145" t="s">
        <v>708</v>
      </c>
      <c r="E839" s="146" t="s">
        <v>1249</v>
      </c>
      <c r="F839" s="145" t="s">
        <v>710</v>
      </c>
      <c r="G839" s="146" t="s">
        <v>20</v>
      </c>
      <c r="H839" s="146">
        <v>201605</v>
      </c>
      <c r="I839" s="147">
        <v>0.21</v>
      </c>
      <c r="J839" s="144">
        <f t="shared" si="68"/>
        <v>6</v>
      </c>
      <c r="K839" s="148">
        <v>2.23333E-3</v>
      </c>
      <c r="L839" s="147">
        <f t="shared" si="69"/>
        <v>0</v>
      </c>
      <c r="M839" s="147">
        <f t="shared" si="70"/>
        <v>0.01</v>
      </c>
      <c r="N839" s="145"/>
    </row>
    <row r="840" spans="1:23">
      <c r="A840" s="145" t="s">
        <v>14</v>
      </c>
      <c r="B840" s="146" t="s">
        <v>706</v>
      </c>
      <c r="C840" s="146" t="s">
        <v>707</v>
      </c>
      <c r="D840" s="145" t="s">
        <v>708</v>
      </c>
      <c r="E840" s="146" t="s">
        <v>709</v>
      </c>
      <c r="F840" s="145" t="s">
        <v>710</v>
      </c>
      <c r="G840" s="146" t="s">
        <v>20</v>
      </c>
      <c r="H840" s="146">
        <v>201605</v>
      </c>
      <c r="I840" s="147">
        <v>-25.11</v>
      </c>
      <c r="J840" s="144">
        <f t="shared" si="68"/>
        <v>6</v>
      </c>
      <c r="K840" s="148">
        <v>2.23333E-3</v>
      </c>
      <c r="L840" s="147">
        <f t="shared" si="69"/>
        <v>-0.34</v>
      </c>
      <c r="M840" s="147">
        <f t="shared" si="70"/>
        <v>-0.67</v>
      </c>
      <c r="N840" s="145"/>
    </row>
    <row r="841" spans="1:23">
      <c r="A841" s="145" t="s">
        <v>14</v>
      </c>
      <c r="B841" s="146" t="s">
        <v>2026</v>
      </c>
      <c r="C841" s="146" t="s">
        <v>2027</v>
      </c>
      <c r="D841" s="145" t="s">
        <v>2028</v>
      </c>
      <c r="E841" s="146" t="s">
        <v>2029</v>
      </c>
      <c r="F841" s="145" t="s">
        <v>710</v>
      </c>
      <c r="G841" s="146" t="s">
        <v>20</v>
      </c>
      <c r="H841" s="146">
        <v>201606</v>
      </c>
      <c r="I841" s="147">
        <v>62.43</v>
      </c>
      <c r="J841" s="144">
        <f t="shared" si="68"/>
        <v>5</v>
      </c>
      <c r="K841" s="148">
        <v>2.23333E-3</v>
      </c>
      <c r="L841" s="147">
        <f t="shared" si="69"/>
        <v>0.7</v>
      </c>
      <c r="M841" s="147">
        <f t="shared" si="70"/>
        <v>1.67</v>
      </c>
      <c r="N841" s="145"/>
    </row>
    <row r="842" spans="1:23">
      <c r="A842" s="145" t="s">
        <v>14</v>
      </c>
      <c r="B842" s="146" t="s">
        <v>1247</v>
      </c>
      <c r="C842" s="146" t="s">
        <v>1248</v>
      </c>
      <c r="D842" s="145" t="s">
        <v>708</v>
      </c>
      <c r="E842" s="146" t="s">
        <v>1249</v>
      </c>
      <c r="F842" s="145" t="s">
        <v>710</v>
      </c>
      <c r="G842" s="146" t="s">
        <v>20</v>
      </c>
      <c r="H842" s="146">
        <v>201606</v>
      </c>
      <c r="I842" s="147">
        <v>0.14000000000000001</v>
      </c>
      <c r="J842" s="144">
        <f t="shared" si="68"/>
        <v>5</v>
      </c>
      <c r="K842" s="148">
        <v>2.23333E-3</v>
      </c>
      <c r="L842" s="147">
        <f t="shared" si="69"/>
        <v>0</v>
      </c>
      <c r="M842" s="147">
        <f t="shared" si="70"/>
        <v>0</v>
      </c>
      <c r="N842" s="145"/>
    </row>
    <row r="843" spans="1:23">
      <c r="A843" s="145" t="s">
        <v>14</v>
      </c>
      <c r="B843" s="146" t="s">
        <v>706</v>
      </c>
      <c r="C843" s="146" t="s">
        <v>707</v>
      </c>
      <c r="D843" s="145" t="s">
        <v>708</v>
      </c>
      <c r="E843" s="146" t="s">
        <v>709</v>
      </c>
      <c r="F843" s="145" t="s">
        <v>710</v>
      </c>
      <c r="G843" s="146" t="s">
        <v>20</v>
      </c>
      <c r="H843" s="146">
        <v>201606</v>
      </c>
      <c r="I843" s="147">
        <v>-17.690000000000001</v>
      </c>
      <c r="J843" s="144">
        <f t="shared" si="68"/>
        <v>5</v>
      </c>
      <c r="K843" s="148">
        <v>2.23333E-3</v>
      </c>
      <c r="L843" s="147">
        <f t="shared" si="69"/>
        <v>-0.2</v>
      </c>
      <c r="M843" s="147">
        <f t="shared" si="70"/>
        <v>-0.47</v>
      </c>
      <c r="N843" s="145"/>
    </row>
    <row r="844" spans="1:23">
      <c r="A844" s="151" t="s">
        <v>14</v>
      </c>
      <c r="B844" s="152" t="s">
        <v>706</v>
      </c>
      <c r="C844" s="152" t="s">
        <v>707</v>
      </c>
      <c r="D844" s="151" t="s">
        <v>708</v>
      </c>
      <c r="E844" s="152" t="s">
        <v>709</v>
      </c>
      <c r="F844" s="151" t="s">
        <v>710</v>
      </c>
      <c r="G844" s="152" t="s">
        <v>20</v>
      </c>
      <c r="H844" s="153">
        <v>201607</v>
      </c>
      <c r="I844" s="154">
        <v>-16.47</v>
      </c>
      <c r="J844" s="144">
        <f t="shared" si="68"/>
        <v>4</v>
      </c>
      <c r="K844" s="155">
        <v>2.23333E-3</v>
      </c>
      <c r="L844" s="154">
        <f t="shared" si="69"/>
        <v>-0.15</v>
      </c>
      <c r="M844" s="154">
        <f t="shared" si="70"/>
        <v>-0.44</v>
      </c>
      <c r="N844" s="145"/>
      <c r="O844" s="156"/>
      <c r="P844" s="157"/>
      <c r="Q844" s="157"/>
      <c r="R844" s="158"/>
      <c r="S844" s="156"/>
      <c r="T844" s="159"/>
      <c r="U844" s="158"/>
      <c r="V844" s="158"/>
      <c r="W844" s="156"/>
    </row>
    <row r="845" spans="1:23">
      <c r="A845" s="151" t="s">
        <v>14</v>
      </c>
      <c r="B845" s="152" t="s">
        <v>1247</v>
      </c>
      <c r="C845" s="152" t="s">
        <v>1248</v>
      </c>
      <c r="D845" s="151" t="s">
        <v>708</v>
      </c>
      <c r="E845" s="152" t="s">
        <v>1249</v>
      </c>
      <c r="F845" s="151" t="s">
        <v>710</v>
      </c>
      <c r="G845" s="152" t="s">
        <v>20</v>
      </c>
      <c r="H845" s="153">
        <v>201607</v>
      </c>
      <c r="I845" s="154">
        <v>0.08</v>
      </c>
      <c r="J845" s="144">
        <f t="shared" si="68"/>
        <v>4</v>
      </c>
      <c r="K845" s="155">
        <v>2.23333E-3</v>
      </c>
      <c r="L845" s="154">
        <f t="shared" si="69"/>
        <v>0</v>
      </c>
      <c r="M845" s="154">
        <f t="shared" si="70"/>
        <v>0</v>
      </c>
      <c r="N845" s="145"/>
      <c r="O845" s="156"/>
      <c r="P845" s="157"/>
      <c r="Q845" s="157"/>
      <c r="R845" s="158"/>
      <c r="S845" s="156"/>
      <c r="T845" s="159"/>
      <c r="U845" s="158"/>
      <c r="V845" s="158"/>
      <c r="W845" s="156"/>
    </row>
    <row r="846" spans="1:23">
      <c r="A846" s="151" t="s">
        <v>14</v>
      </c>
      <c r="B846" s="152" t="s">
        <v>2026</v>
      </c>
      <c r="C846" s="152" t="s">
        <v>2027</v>
      </c>
      <c r="D846" s="151" t="s">
        <v>2028</v>
      </c>
      <c r="E846" s="152" t="s">
        <v>2029</v>
      </c>
      <c r="F846" s="151" t="s">
        <v>710</v>
      </c>
      <c r="G846" s="152" t="s">
        <v>20</v>
      </c>
      <c r="H846" s="153">
        <v>201607</v>
      </c>
      <c r="I846" s="154">
        <v>35.6</v>
      </c>
      <c r="J846" s="144">
        <f t="shared" si="68"/>
        <v>4</v>
      </c>
      <c r="K846" s="155">
        <v>2.23333E-3</v>
      </c>
      <c r="L846" s="154">
        <f t="shared" si="69"/>
        <v>0.32</v>
      </c>
      <c r="M846" s="154">
        <f t="shared" si="70"/>
        <v>0.95</v>
      </c>
      <c r="N846" s="145"/>
      <c r="O846" s="156"/>
      <c r="P846" s="157"/>
      <c r="Q846" s="157"/>
      <c r="R846" s="158"/>
      <c r="S846" s="156"/>
      <c r="T846" s="159"/>
      <c r="U846" s="158"/>
      <c r="V846" s="158"/>
      <c r="W846" s="156"/>
    </row>
    <row r="847" spans="1:23">
      <c r="A847" s="145" t="s">
        <v>14</v>
      </c>
      <c r="B847" s="146" t="s">
        <v>37</v>
      </c>
      <c r="C847" s="146" t="s">
        <v>38</v>
      </c>
      <c r="D847" s="145" t="s">
        <v>39</v>
      </c>
      <c r="E847" s="146" t="s">
        <v>40</v>
      </c>
      <c r="F847" s="145" t="s">
        <v>41</v>
      </c>
      <c r="G847" s="146" t="s">
        <v>20</v>
      </c>
      <c r="H847" s="146">
        <v>201603</v>
      </c>
      <c r="I847" s="147">
        <v>-1585.79</v>
      </c>
      <c r="J847" s="144">
        <f t="shared" si="68"/>
        <v>8</v>
      </c>
      <c r="K847" s="148">
        <v>2.23333E-3</v>
      </c>
      <c r="L847" s="147">
        <f t="shared" si="69"/>
        <v>-28.33</v>
      </c>
      <c r="M847" s="147">
        <f t="shared" si="70"/>
        <v>-42.5</v>
      </c>
      <c r="N847" s="145"/>
      <c r="O847" s="156"/>
      <c r="P847" s="157"/>
      <c r="Q847" s="162"/>
      <c r="R847" s="163"/>
      <c r="S847" s="156"/>
      <c r="T847" s="156"/>
      <c r="U847" s="156"/>
      <c r="V847" s="156"/>
      <c r="W847" s="156"/>
    </row>
    <row r="848" spans="1:23">
      <c r="A848" s="145" t="s">
        <v>14</v>
      </c>
      <c r="B848" s="146" t="s">
        <v>43</v>
      </c>
      <c r="C848" s="146" t="s">
        <v>44</v>
      </c>
      <c r="D848" s="145" t="s">
        <v>45</v>
      </c>
      <c r="E848" s="146" t="s">
        <v>46</v>
      </c>
      <c r="F848" s="145" t="s">
        <v>41</v>
      </c>
      <c r="G848" s="146" t="s">
        <v>20</v>
      </c>
      <c r="H848" s="146">
        <v>201603</v>
      </c>
      <c r="I848" s="147">
        <v>0.05</v>
      </c>
      <c r="J848" s="144">
        <f t="shared" si="68"/>
        <v>8</v>
      </c>
      <c r="K848" s="148">
        <v>2.23333E-3</v>
      </c>
      <c r="L848" s="147">
        <f t="shared" si="69"/>
        <v>0</v>
      </c>
      <c r="M848" s="147">
        <f t="shared" si="70"/>
        <v>0</v>
      </c>
      <c r="N848" s="145"/>
      <c r="O848" s="156"/>
      <c r="P848" s="156"/>
      <c r="Q848" s="156"/>
      <c r="R848" s="156"/>
      <c r="S848" s="156"/>
      <c r="T848" s="156"/>
      <c r="U848" s="156"/>
      <c r="V848" s="156"/>
      <c r="W848" s="156"/>
    </row>
    <row r="849" spans="1:23">
      <c r="A849" s="145" t="s">
        <v>14</v>
      </c>
      <c r="B849" s="146" t="s">
        <v>555</v>
      </c>
      <c r="C849" s="146" t="s">
        <v>556</v>
      </c>
      <c r="D849" s="145" t="s">
        <v>45</v>
      </c>
      <c r="E849" s="146" t="s">
        <v>557</v>
      </c>
      <c r="F849" s="145" t="s">
        <v>41</v>
      </c>
      <c r="G849" s="146" t="s">
        <v>20</v>
      </c>
      <c r="H849" s="146">
        <v>201603</v>
      </c>
      <c r="I849" s="147">
        <v>5.82</v>
      </c>
      <c r="J849" s="144">
        <f t="shared" si="68"/>
        <v>8</v>
      </c>
      <c r="K849" s="148">
        <v>2.23333E-3</v>
      </c>
      <c r="L849" s="147">
        <f t="shared" si="69"/>
        <v>0.1</v>
      </c>
      <c r="M849" s="147">
        <f t="shared" si="70"/>
        <v>0.16</v>
      </c>
      <c r="N849" s="145"/>
      <c r="O849" s="156"/>
      <c r="P849" s="157"/>
      <c r="Q849" s="157"/>
      <c r="R849" s="158"/>
      <c r="S849" s="156"/>
      <c r="T849" s="156"/>
      <c r="U849" s="156"/>
      <c r="V849" s="156"/>
      <c r="W849" s="156"/>
    </row>
    <row r="850" spans="1:23">
      <c r="A850" s="145" t="s">
        <v>14</v>
      </c>
      <c r="B850" s="146" t="s">
        <v>183</v>
      </c>
      <c r="C850" s="146" t="s">
        <v>184</v>
      </c>
      <c r="D850" s="145" t="s">
        <v>45</v>
      </c>
      <c r="E850" s="146" t="s">
        <v>185</v>
      </c>
      <c r="F850" s="145" t="s">
        <v>41</v>
      </c>
      <c r="G850" s="146" t="s">
        <v>20</v>
      </c>
      <c r="H850" s="146">
        <v>201603</v>
      </c>
      <c r="I850" s="147">
        <v>-66.13</v>
      </c>
      <c r="J850" s="144">
        <f t="shared" si="68"/>
        <v>8</v>
      </c>
      <c r="K850" s="148">
        <v>2.23333E-3</v>
      </c>
      <c r="L850" s="147">
        <f t="shared" si="69"/>
        <v>-1.18</v>
      </c>
      <c r="M850" s="147">
        <f t="shared" si="70"/>
        <v>-1.77</v>
      </c>
      <c r="N850" s="145"/>
      <c r="P850" s="164"/>
      <c r="Q850" s="164"/>
      <c r="R850" s="165"/>
    </row>
    <row r="851" spans="1:23">
      <c r="A851" s="145" t="s">
        <v>14</v>
      </c>
      <c r="B851" s="146" t="s">
        <v>37</v>
      </c>
      <c r="C851" s="146" t="s">
        <v>38</v>
      </c>
      <c r="D851" s="145" t="s">
        <v>39</v>
      </c>
      <c r="E851" s="146" t="s">
        <v>40</v>
      </c>
      <c r="F851" s="145" t="s">
        <v>41</v>
      </c>
      <c r="G851" s="146" t="s">
        <v>20</v>
      </c>
      <c r="H851" s="146">
        <v>201604</v>
      </c>
      <c r="I851" s="147">
        <v>19025.830000000002</v>
      </c>
      <c r="J851" s="144">
        <f t="shared" si="68"/>
        <v>7</v>
      </c>
      <c r="K851" s="148">
        <v>2.23333E-3</v>
      </c>
      <c r="L851" s="147">
        <f t="shared" si="69"/>
        <v>297.44</v>
      </c>
      <c r="M851" s="147">
        <f t="shared" si="70"/>
        <v>509.89</v>
      </c>
      <c r="N851" s="145"/>
      <c r="P851" s="164"/>
      <c r="Q851" s="164"/>
      <c r="R851" s="165"/>
    </row>
    <row r="852" spans="1:23">
      <c r="A852" s="145" t="s">
        <v>14</v>
      </c>
      <c r="B852" s="146" t="s">
        <v>43</v>
      </c>
      <c r="C852" s="146" t="s">
        <v>44</v>
      </c>
      <c r="D852" s="145" t="s">
        <v>45</v>
      </c>
      <c r="E852" s="146" t="s">
        <v>46</v>
      </c>
      <c r="F852" s="145" t="s">
        <v>41</v>
      </c>
      <c r="G852" s="146" t="s">
        <v>20</v>
      </c>
      <c r="H852" s="146">
        <v>201604</v>
      </c>
      <c r="I852" s="147">
        <v>115.84</v>
      </c>
      <c r="J852" s="144">
        <f t="shared" si="68"/>
        <v>7</v>
      </c>
      <c r="K852" s="148">
        <v>2.23333E-3</v>
      </c>
      <c r="L852" s="147">
        <f t="shared" si="69"/>
        <v>1.81</v>
      </c>
      <c r="M852" s="147">
        <f t="shared" si="70"/>
        <v>3.1</v>
      </c>
      <c r="N852" s="145"/>
      <c r="P852" s="164"/>
      <c r="Q852" s="164"/>
      <c r="R852" s="165"/>
    </row>
    <row r="853" spans="1:23">
      <c r="A853" s="145" t="s">
        <v>14</v>
      </c>
      <c r="B853" s="146" t="s">
        <v>555</v>
      </c>
      <c r="C853" s="146" t="s">
        <v>556</v>
      </c>
      <c r="D853" s="145" t="s">
        <v>45</v>
      </c>
      <c r="E853" s="146" t="s">
        <v>557</v>
      </c>
      <c r="F853" s="145" t="s">
        <v>41</v>
      </c>
      <c r="G853" s="146" t="s">
        <v>20</v>
      </c>
      <c r="H853" s="146">
        <v>201604</v>
      </c>
      <c r="I853" s="147">
        <v>-69.19</v>
      </c>
      <c r="J853" s="144">
        <f t="shared" si="68"/>
        <v>7</v>
      </c>
      <c r="K853" s="148">
        <v>2.23333E-3</v>
      </c>
      <c r="L853" s="147">
        <f t="shared" si="69"/>
        <v>-1.08</v>
      </c>
      <c r="M853" s="147">
        <f t="shared" si="70"/>
        <v>-1.85</v>
      </c>
      <c r="N853" s="145"/>
      <c r="P853" s="164"/>
      <c r="Q853" s="164"/>
      <c r="R853" s="165"/>
    </row>
    <row r="854" spans="1:23">
      <c r="A854" s="145" t="s">
        <v>14</v>
      </c>
      <c r="B854" s="146" t="s">
        <v>183</v>
      </c>
      <c r="C854" s="146" t="s">
        <v>184</v>
      </c>
      <c r="D854" s="145" t="s">
        <v>45</v>
      </c>
      <c r="E854" s="146" t="s">
        <v>185</v>
      </c>
      <c r="F854" s="145" t="s">
        <v>41</v>
      </c>
      <c r="G854" s="146" t="s">
        <v>20</v>
      </c>
      <c r="H854" s="146">
        <v>201604</v>
      </c>
      <c r="I854" s="147">
        <v>785.3</v>
      </c>
      <c r="J854" s="144">
        <f t="shared" si="68"/>
        <v>7</v>
      </c>
      <c r="K854" s="148">
        <v>2.23333E-3</v>
      </c>
      <c r="L854" s="147">
        <f t="shared" si="69"/>
        <v>12.28</v>
      </c>
      <c r="M854" s="147">
        <f t="shared" si="70"/>
        <v>21.05</v>
      </c>
      <c r="N854" s="145"/>
      <c r="P854" s="164"/>
      <c r="Q854" s="164"/>
      <c r="R854" s="165"/>
    </row>
    <row r="855" spans="1:23">
      <c r="A855" s="145" t="s">
        <v>14</v>
      </c>
      <c r="B855" s="146" t="s">
        <v>37</v>
      </c>
      <c r="C855" s="146" t="s">
        <v>38</v>
      </c>
      <c r="D855" s="145" t="s">
        <v>39</v>
      </c>
      <c r="E855" s="146" t="s">
        <v>40</v>
      </c>
      <c r="F855" s="145" t="s">
        <v>41</v>
      </c>
      <c r="G855" s="146" t="s">
        <v>20</v>
      </c>
      <c r="H855" s="146">
        <v>201605</v>
      </c>
      <c r="I855" s="147">
        <v>13470.27</v>
      </c>
      <c r="J855" s="144">
        <f t="shared" si="68"/>
        <v>6</v>
      </c>
      <c r="K855" s="148">
        <v>2.23333E-3</v>
      </c>
      <c r="L855" s="147">
        <f t="shared" si="69"/>
        <v>180.5</v>
      </c>
      <c r="M855" s="147">
        <f t="shared" si="70"/>
        <v>361</v>
      </c>
      <c r="N855" s="145"/>
      <c r="P855" s="164"/>
      <c r="Q855" s="164"/>
      <c r="R855" s="165"/>
    </row>
    <row r="856" spans="1:23">
      <c r="A856" s="145" t="s">
        <v>14</v>
      </c>
      <c r="B856" s="146" t="s">
        <v>43</v>
      </c>
      <c r="C856" s="146" t="s">
        <v>44</v>
      </c>
      <c r="D856" s="145" t="s">
        <v>45</v>
      </c>
      <c r="E856" s="146" t="s">
        <v>46</v>
      </c>
      <c r="F856" s="145" t="s">
        <v>41</v>
      </c>
      <c r="G856" s="146" t="s">
        <v>20</v>
      </c>
      <c r="H856" s="146">
        <v>201605</v>
      </c>
      <c r="I856" s="147">
        <v>82.36</v>
      </c>
      <c r="J856" s="144">
        <f t="shared" si="68"/>
        <v>6</v>
      </c>
      <c r="K856" s="148">
        <v>2.23333E-3</v>
      </c>
      <c r="L856" s="147">
        <f t="shared" si="69"/>
        <v>1.1000000000000001</v>
      </c>
      <c r="M856" s="147">
        <f t="shared" si="70"/>
        <v>2.21</v>
      </c>
      <c r="N856" s="145"/>
      <c r="P856" s="164"/>
      <c r="Q856" s="164"/>
      <c r="R856" s="165"/>
    </row>
    <row r="857" spans="1:23">
      <c r="A857" s="145" t="s">
        <v>14</v>
      </c>
      <c r="B857" s="146" t="s">
        <v>555</v>
      </c>
      <c r="C857" s="146" t="s">
        <v>556</v>
      </c>
      <c r="D857" s="145" t="s">
        <v>45</v>
      </c>
      <c r="E857" s="146" t="s">
        <v>557</v>
      </c>
      <c r="F857" s="145" t="s">
        <v>41</v>
      </c>
      <c r="G857" s="146" t="s">
        <v>20</v>
      </c>
      <c r="H857" s="146">
        <v>201605</v>
      </c>
      <c r="I857" s="147">
        <v>-49.65</v>
      </c>
      <c r="J857" s="144">
        <f t="shared" si="68"/>
        <v>6</v>
      </c>
      <c r="K857" s="148">
        <v>2.23333E-3</v>
      </c>
      <c r="L857" s="147">
        <f t="shared" si="69"/>
        <v>-0.67</v>
      </c>
      <c r="M857" s="147">
        <f t="shared" si="70"/>
        <v>-1.33</v>
      </c>
      <c r="N857" s="145"/>
      <c r="P857" s="164"/>
      <c r="Q857" s="164"/>
      <c r="R857" s="165"/>
    </row>
    <row r="858" spans="1:23">
      <c r="A858" s="145" t="s">
        <v>14</v>
      </c>
      <c r="B858" s="146" t="s">
        <v>183</v>
      </c>
      <c r="C858" s="146" t="s">
        <v>184</v>
      </c>
      <c r="D858" s="145" t="s">
        <v>45</v>
      </c>
      <c r="E858" s="146" t="s">
        <v>185</v>
      </c>
      <c r="F858" s="145" t="s">
        <v>41</v>
      </c>
      <c r="G858" s="146" t="s">
        <v>20</v>
      </c>
      <c r="H858" s="146">
        <v>201605</v>
      </c>
      <c r="I858" s="147">
        <v>563.53</v>
      </c>
      <c r="J858" s="144">
        <f t="shared" si="68"/>
        <v>6</v>
      </c>
      <c r="K858" s="148">
        <v>2.23333E-3</v>
      </c>
      <c r="L858" s="147">
        <f t="shared" si="69"/>
        <v>7.55</v>
      </c>
      <c r="M858" s="147">
        <f t="shared" si="70"/>
        <v>15.1</v>
      </c>
      <c r="N858" s="145"/>
      <c r="P858" s="164"/>
      <c r="Q858" s="164"/>
      <c r="R858" s="165"/>
    </row>
    <row r="859" spans="1:23">
      <c r="A859" s="145" t="s">
        <v>14</v>
      </c>
      <c r="B859" s="146" t="s">
        <v>37</v>
      </c>
      <c r="C859" s="146" t="s">
        <v>38</v>
      </c>
      <c r="D859" s="145" t="s">
        <v>39</v>
      </c>
      <c r="E859" s="146" t="s">
        <v>40</v>
      </c>
      <c r="F859" s="145" t="s">
        <v>41</v>
      </c>
      <c r="G859" s="146" t="s">
        <v>20</v>
      </c>
      <c r="H859" s="146">
        <v>201606</v>
      </c>
      <c r="I859" s="147">
        <v>8270.3799999999992</v>
      </c>
      <c r="J859" s="144">
        <f t="shared" si="68"/>
        <v>5</v>
      </c>
      <c r="K859" s="148">
        <v>2.23333E-3</v>
      </c>
      <c r="L859" s="147">
        <f t="shared" si="69"/>
        <v>92.35</v>
      </c>
      <c r="M859" s="147">
        <f t="shared" si="70"/>
        <v>221.65</v>
      </c>
      <c r="N859" s="145"/>
      <c r="P859" s="164"/>
      <c r="Q859" s="164"/>
      <c r="R859" s="165"/>
    </row>
    <row r="860" spans="1:23">
      <c r="A860" s="145" t="s">
        <v>14</v>
      </c>
      <c r="B860" s="146" t="s">
        <v>43</v>
      </c>
      <c r="C860" s="146" t="s">
        <v>44</v>
      </c>
      <c r="D860" s="145" t="s">
        <v>45</v>
      </c>
      <c r="E860" s="146" t="s">
        <v>46</v>
      </c>
      <c r="F860" s="145" t="s">
        <v>41</v>
      </c>
      <c r="G860" s="146" t="s">
        <v>20</v>
      </c>
      <c r="H860" s="146">
        <v>201606</v>
      </c>
      <c r="I860" s="147">
        <v>48.73</v>
      </c>
      <c r="J860" s="144">
        <f t="shared" si="68"/>
        <v>5</v>
      </c>
      <c r="K860" s="148">
        <v>2.23333E-3</v>
      </c>
      <c r="L860" s="147">
        <f t="shared" si="69"/>
        <v>0.54</v>
      </c>
      <c r="M860" s="147">
        <f t="shared" si="70"/>
        <v>1.31</v>
      </c>
      <c r="N860" s="145"/>
      <c r="P860" s="164"/>
      <c r="Q860" s="164"/>
      <c r="R860" s="165"/>
    </row>
    <row r="861" spans="1:23">
      <c r="A861" s="145" t="s">
        <v>14</v>
      </c>
      <c r="B861" s="146" t="s">
        <v>555</v>
      </c>
      <c r="C861" s="146" t="s">
        <v>556</v>
      </c>
      <c r="D861" s="145" t="s">
        <v>45</v>
      </c>
      <c r="E861" s="146" t="s">
        <v>557</v>
      </c>
      <c r="F861" s="145" t="s">
        <v>41</v>
      </c>
      <c r="G861" s="146" t="s">
        <v>20</v>
      </c>
      <c r="H861" s="146">
        <v>201606</v>
      </c>
      <c r="I861" s="147">
        <v>-30.52</v>
      </c>
      <c r="J861" s="144">
        <f t="shared" si="68"/>
        <v>5</v>
      </c>
      <c r="K861" s="148">
        <v>2.23333E-3</v>
      </c>
      <c r="L861" s="147">
        <f t="shared" si="69"/>
        <v>-0.34</v>
      </c>
      <c r="M861" s="147">
        <f t="shared" si="70"/>
        <v>-0.82</v>
      </c>
      <c r="N861" s="145"/>
      <c r="P861" s="164"/>
      <c r="Q861" s="164"/>
      <c r="R861" s="165"/>
    </row>
    <row r="862" spans="1:23">
      <c r="A862" s="145" t="s">
        <v>14</v>
      </c>
      <c r="B862" s="146" t="s">
        <v>183</v>
      </c>
      <c r="C862" s="146" t="s">
        <v>184</v>
      </c>
      <c r="D862" s="145" t="s">
        <v>45</v>
      </c>
      <c r="E862" s="146" t="s">
        <v>185</v>
      </c>
      <c r="F862" s="145" t="s">
        <v>41</v>
      </c>
      <c r="G862" s="146" t="s">
        <v>20</v>
      </c>
      <c r="H862" s="146">
        <v>201606</v>
      </c>
      <c r="I862" s="147">
        <v>346.39</v>
      </c>
      <c r="J862" s="144">
        <f t="shared" si="68"/>
        <v>5</v>
      </c>
      <c r="K862" s="148">
        <v>2.23333E-3</v>
      </c>
      <c r="L862" s="147">
        <f t="shared" si="69"/>
        <v>3.87</v>
      </c>
      <c r="M862" s="147">
        <f t="shared" si="70"/>
        <v>9.2799999999999994</v>
      </c>
      <c r="N862" s="145"/>
      <c r="P862" s="164"/>
      <c r="Q862" s="164"/>
      <c r="R862" s="165"/>
    </row>
    <row r="863" spans="1:23">
      <c r="A863" s="151" t="s">
        <v>14</v>
      </c>
      <c r="B863" s="152" t="s">
        <v>555</v>
      </c>
      <c r="C863" s="152" t="s">
        <v>556</v>
      </c>
      <c r="D863" s="151" t="s">
        <v>45</v>
      </c>
      <c r="E863" s="152" t="s">
        <v>557</v>
      </c>
      <c r="F863" s="151" t="s">
        <v>41</v>
      </c>
      <c r="G863" s="152" t="s">
        <v>20</v>
      </c>
      <c r="H863" s="153">
        <v>201607</v>
      </c>
      <c r="I863" s="154">
        <v>-17.399999999999999</v>
      </c>
      <c r="J863" s="144">
        <f t="shared" si="68"/>
        <v>4</v>
      </c>
      <c r="K863" s="155">
        <v>2.23333E-3</v>
      </c>
      <c r="L863" s="154">
        <f t="shared" si="69"/>
        <v>-0.16</v>
      </c>
      <c r="M863" s="154">
        <f t="shared" si="70"/>
        <v>-0.47</v>
      </c>
      <c r="N863" s="145"/>
      <c r="P863" s="164"/>
      <c r="Q863" s="164"/>
      <c r="R863" s="165"/>
    </row>
    <row r="864" spans="1:23">
      <c r="A864" s="151" t="s">
        <v>14</v>
      </c>
      <c r="B864" s="152" t="s">
        <v>43</v>
      </c>
      <c r="C864" s="152" t="s">
        <v>44</v>
      </c>
      <c r="D864" s="151" t="s">
        <v>45</v>
      </c>
      <c r="E864" s="152" t="s">
        <v>46</v>
      </c>
      <c r="F864" s="151" t="s">
        <v>41</v>
      </c>
      <c r="G864" s="152" t="s">
        <v>20</v>
      </c>
      <c r="H864" s="153">
        <v>201607</v>
      </c>
      <c r="I864" s="154">
        <v>22.56</v>
      </c>
      <c r="J864" s="144">
        <f t="shared" si="68"/>
        <v>4</v>
      </c>
      <c r="K864" s="155">
        <v>2.23333E-3</v>
      </c>
      <c r="L864" s="154">
        <f t="shared" si="69"/>
        <v>0.2</v>
      </c>
      <c r="M864" s="154">
        <f t="shared" si="70"/>
        <v>0.6</v>
      </c>
      <c r="N864" s="145"/>
      <c r="P864" s="164"/>
      <c r="Q864" s="164"/>
      <c r="R864" s="165"/>
    </row>
    <row r="865" spans="1:18">
      <c r="A865" s="151" t="s">
        <v>14</v>
      </c>
      <c r="B865" s="152" t="s">
        <v>183</v>
      </c>
      <c r="C865" s="152" t="s">
        <v>184</v>
      </c>
      <c r="D865" s="151" t="s">
        <v>45</v>
      </c>
      <c r="E865" s="152" t="s">
        <v>185</v>
      </c>
      <c r="F865" s="151" t="s">
        <v>41</v>
      </c>
      <c r="G865" s="152" t="s">
        <v>20</v>
      </c>
      <c r="H865" s="153">
        <v>201607</v>
      </c>
      <c r="I865" s="154">
        <v>773.8</v>
      </c>
      <c r="J865" s="144">
        <f t="shared" si="68"/>
        <v>4</v>
      </c>
      <c r="K865" s="155">
        <v>2.23333E-3</v>
      </c>
      <c r="L865" s="154">
        <f t="shared" si="69"/>
        <v>6.91</v>
      </c>
      <c r="M865" s="154">
        <f t="shared" si="70"/>
        <v>20.74</v>
      </c>
      <c r="N865" s="145"/>
      <c r="P865" s="164"/>
      <c r="Q865" s="164"/>
      <c r="R865" s="165"/>
    </row>
    <row r="866" spans="1:18">
      <c r="A866" s="161" t="s">
        <v>14</v>
      </c>
      <c r="B866" s="160" t="s">
        <v>37</v>
      </c>
      <c r="C866" s="160" t="s">
        <v>38</v>
      </c>
      <c r="D866" s="161" t="s">
        <v>39</v>
      </c>
      <c r="E866" s="160" t="s">
        <v>40</v>
      </c>
      <c r="F866" s="161" t="s">
        <v>41</v>
      </c>
      <c r="G866" s="160" t="s">
        <v>20</v>
      </c>
      <c r="H866" s="103">
        <v>201607</v>
      </c>
      <c r="I866" s="154">
        <v>4777.62</v>
      </c>
      <c r="J866" s="144">
        <f t="shared" ref="J866:J897" si="71">HLOOKUP(H866,$Q$2:$Z$3,2)</f>
        <v>4</v>
      </c>
      <c r="K866" s="155">
        <v>2.23333E-3</v>
      </c>
      <c r="L866" s="154">
        <f t="shared" ref="L866:L897" si="72">ROUND(I866*J866*K866,2)</f>
        <v>42.68</v>
      </c>
      <c r="M866" s="154">
        <f t="shared" ref="M866:M897" si="73">ROUND(I866*K866*12,2)</f>
        <v>128.04</v>
      </c>
      <c r="N866" s="145"/>
      <c r="P866" s="164"/>
      <c r="Q866" s="164"/>
      <c r="R866" s="165"/>
    </row>
    <row r="867" spans="1:18">
      <c r="A867" s="145" t="s">
        <v>14</v>
      </c>
      <c r="B867" s="146" t="s">
        <v>30</v>
      </c>
      <c r="C867" s="146" t="s">
        <v>31</v>
      </c>
      <c r="D867" s="145" t="s">
        <v>32</v>
      </c>
      <c r="E867" s="146" t="s">
        <v>33</v>
      </c>
      <c r="F867" s="145" t="s">
        <v>34</v>
      </c>
      <c r="G867" s="146" t="s">
        <v>20</v>
      </c>
      <c r="H867" s="146">
        <v>201603</v>
      </c>
      <c r="I867" s="147">
        <v>12857.86</v>
      </c>
      <c r="J867" s="144">
        <f t="shared" si="71"/>
        <v>8</v>
      </c>
      <c r="K867" s="148">
        <v>2.23333E-3</v>
      </c>
      <c r="L867" s="147">
        <f t="shared" si="72"/>
        <v>229.73</v>
      </c>
      <c r="M867" s="147">
        <f t="shared" si="73"/>
        <v>344.59</v>
      </c>
      <c r="N867" s="145"/>
      <c r="P867" s="164"/>
      <c r="Q867" s="164"/>
      <c r="R867" s="165"/>
    </row>
    <row r="868" spans="1:18">
      <c r="A868" s="145" t="s">
        <v>14</v>
      </c>
      <c r="B868" s="146" t="s">
        <v>30</v>
      </c>
      <c r="C868" s="146" t="s">
        <v>31</v>
      </c>
      <c r="D868" s="145" t="s">
        <v>32</v>
      </c>
      <c r="E868" s="146" t="s">
        <v>33</v>
      </c>
      <c r="F868" s="145" t="s">
        <v>34</v>
      </c>
      <c r="G868" s="146" t="s">
        <v>20</v>
      </c>
      <c r="H868" s="146">
        <v>201604</v>
      </c>
      <c r="I868" s="147">
        <v>5879.03</v>
      </c>
      <c r="J868" s="144">
        <f t="shared" si="71"/>
        <v>7</v>
      </c>
      <c r="K868" s="148">
        <v>2.23333E-3</v>
      </c>
      <c r="L868" s="147">
        <f t="shared" si="72"/>
        <v>91.91</v>
      </c>
      <c r="M868" s="147">
        <f t="shared" si="73"/>
        <v>157.56</v>
      </c>
      <c r="N868" s="145"/>
      <c r="P868" s="164"/>
      <c r="Q868" s="164"/>
      <c r="R868" s="165"/>
    </row>
    <row r="869" spans="1:18">
      <c r="A869" s="145" t="s">
        <v>14</v>
      </c>
      <c r="B869" s="146" t="s">
        <v>30</v>
      </c>
      <c r="C869" s="146" t="s">
        <v>31</v>
      </c>
      <c r="D869" s="145" t="s">
        <v>32</v>
      </c>
      <c r="E869" s="146" t="s">
        <v>33</v>
      </c>
      <c r="F869" s="145" t="s">
        <v>34</v>
      </c>
      <c r="G869" s="146" t="s">
        <v>20</v>
      </c>
      <c r="H869" s="146">
        <v>201605</v>
      </c>
      <c r="I869" s="147">
        <v>6706.62</v>
      </c>
      <c r="J869" s="144">
        <f t="shared" si="71"/>
        <v>6</v>
      </c>
      <c r="K869" s="148">
        <v>2.23333E-3</v>
      </c>
      <c r="L869" s="147">
        <f t="shared" si="72"/>
        <v>89.87</v>
      </c>
      <c r="M869" s="147">
        <f t="shared" si="73"/>
        <v>179.74</v>
      </c>
      <c r="N869" s="145"/>
      <c r="P869" s="164"/>
      <c r="Q869" s="164"/>
      <c r="R869" s="165"/>
    </row>
    <row r="870" spans="1:18">
      <c r="A870" s="145" t="s">
        <v>14</v>
      </c>
      <c r="B870" s="146" t="s">
        <v>30</v>
      </c>
      <c r="C870" s="146" t="s">
        <v>31</v>
      </c>
      <c r="D870" s="145" t="s">
        <v>32</v>
      </c>
      <c r="E870" s="146" t="s">
        <v>33</v>
      </c>
      <c r="F870" s="145" t="s">
        <v>34</v>
      </c>
      <c r="G870" s="146" t="s">
        <v>20</v>
      </c>
      <c r="H870" s="146">
        <v>201606</v>
      </c>
      <c r="I870" s="147">
        <v>2337.11</v>
      </c>
      <c r="J870" s="144">
        <f t="shared" si="71"/>
        <v>5</v>
      </c>
      <c r="K870" s="148">
        <v>2.23333E-3</v>
      </c>
      <c r="L870" s="147">
        <f t="shared" si="72"/>
        <v>26.1</v>
      </c>
      <c r="M870" s="147">
        <f t="shared" si="73"/>
        <v>62.63</v>
      </c>
      <c r="N870" s="145"/>
      <c r="P870" s="164"/>
      <c r="Q870" s="164"/>
      <c r="R870" s="165"/>
    </row>
    <row r="871" spans="1:18">
      <c r="A871" s="161" t="s">
        <v>14</v>
      </c>
      <c r="B871" s="160" t="s">
        <v>30</v>
      </c>
      <c r="C871" s="160" t="s">
        <v>31</v>
      </c>
      <c r="D871" s="161" t="s">
        <v>32</v>
      </c>
      <c r="E871" s="160" t="s">
        <v>33</v>
      </c>
      <c r="F871" s="161" t="s">
        <v>34</v>
      </c>
      <c r="G871" s="160" t="s">
        <v>20</v>
      </c>
      <c r="H871" s="103">
        <v>201607</v>
      </c>
      <c r="I871" s="154">
        <v>5282.02</v>
      </c>
      <c r="J871" s="144">
        <f t="shared" si="71"/>
        <v>4</v>
      </c>
      <c r="K871" s="155">
        <v>2.23333E-3</v>
      </c>
      <c r="L871" s="154">
        <f t="shared" si="72"/>
        <v>47.19</v>
      </c>
      <c r="M871" s="154">
        <f t="shared" si="73"/>
        <v>141.56</v>
      </c>
      <c r="N871" s="145"/>
      <c r="P871" s="164"/>
      <c r="Q871" s="164"/>
      <c r="R871" s="165"/>
    </row>
    <row r="872" spans="1:18">
      <c r="A872" s="145" t="s">
        <v>14</v>
      </c>
      <c r="B872" s="146" t="s">
        <v>191</v>
      </c>
      <c r="C872" s="146" t="s">
        <v>192</v>
      </c>
      <c r="D872" s="145" t="s">
        <v>193</v>
      </c>
      <c r="E872" s="146" t="s">
        <v>194</v>
      </c>
      <c r="F872" s="145" t="s">
        <v>115</v>
      </c>
      <c r="G872" s="146" t="s">
        <v>20</v>
      </c>
      <c r="H872" s="146">
        <v>201603</v>
      </c>
      <c r="I872" s="147">
        <v>15.21</v>
      </c>
      <c r="J872" s="144">
        <f t="shared" si="71"/>
        <v>8</v>
      </c>
      <c r="K872" s="148">
        <v>2.23333E-3</v>
      </c>
      <c r="L872" s="147">
        <f t="shared" si="72"/>
        <v>0.27</v>
      </c>
      <c r="M872" s="147">
        <f t="shared" si="73"/>
        <v>0.41</v>
      </c>
      <c r="N872" s="145"/>
      <c r="P872" s="164"/>
      <c r="Q872" s="164"/>
      <c r="R872" s="165"/>
    </row>
    <row r="873" spans="1:18">
      <c r="A873" s="145" t="s">
        <v>14</v>
      </c>
      <c r="B873" s="146" t="s">
        <v>267</v>
      </c>
      <c r="C873" s="146" t="s">
        <v>268</v>
      </c>
      <c r="D873" s="145" t="s">
        <v>269</v>
      </c>
      <c r="E873" s="146" t="s">
        <v>270</v>
      </c>
      <c r="F873" s="145" t="s">
        <v>115</v>
      </c>
      <c r="G873" s="146" t="s">
        <v>20</v>
      </c>
      <c r="H873" s="146">
        <v>201603</v>
      </c>
      <c r="I873" s="147">
        <v>-131.93</v>
      </c>
      <c r="J873" s="144">
        <f t="shared" si="71"/>
        <v>8</v>
      </c>
      <c r="K873" s="148">
        <v>2.23333E-3</v>
      </c>
      <c r="L873" s="147">
        <f t="shared" si="72"/>
        <v>-2.36</v>
      </c>
      <c r="M873" s="147">
        <f t="shared" si="73"/>
        <v>-3.54</v>
      </c>
      <c r="N873" s="145"/>
      <c r="P873" s="164"/>
      <c r="Q873" s="164"/>
      <c r="R873" s="165"/>
    </row>
    <row r="874" spans="1:18">
      <c r="A874" s="145" t="s">
        <v>14</v>
      </c>
      <c r="B874" s="146" t="s">
        <v>191</v>
      </c>
      <c r="C874" s="146" t="s">
        <v>192</v>
      </c>
      <c r="D874" s="145" t="s">
        <v>193</v>
      </c>
      <c r="E874" s="146" t="s">
        <v>194</v>
      </c>
      <c r="F874" s="145" t="s">
        <v>115</v>
      </c>
      <c r="G874" s="146" t="s">
        <v>20</v>
      </c>
      <c r="H874" s="146">
        <v>201604</v>
      </c>
      <c r="I874" s="147">
        <v>-47.63</v>
      </c>
      <c r="J874" s="144">
        <f t="shared" si="71"/>
        <v>7</v>
      </c>
      <c r="K874" s="148">
        <v>2.23333E-3</v>
      </c>
      <c r="L874" s="147">
        <f t="shared" si="72"/>
        <v>-0.74</v>
      </c>
      <c r="M874" s="147">
        <f t="shared" si="73"/>
        <v>-1.28</v>
      </c>
      <c r="N874" s="145"/>
      <c r="P874" s="164"/>
      <c r="Q874" s="164"/>
      <c r="R874" s="165"/>
    </row>
    <row r="875" spans="1:18">
      <c r="A875" s="145" t="s">
        <v>14</v>
      </c>
      <c r="B875" s="146" t="s">
        <v>267</v>
      </c>
      <c r="C875" s="146" t="s">
        <v>268</v>
      </c>
      <c r="D875" s="145" t="s">
        <v>269</v>
      </c>
      <c r="E875" s="146" t="s">
        <v>270</v>
      </c>
      <c r="F875" s="145" t="s">
        <v>115</v>
      </c>
      <c r="G875" s="146" t="s">
        <v>20</v>
      </c>
      <c r="H875" s="146">
        <v>201604</v>
      </c>
      <c r="I875" s="147">
        <v>7090.08</v>
      </c>
      <c r="J875" s="144">
        <f t="shared" si="71"/>
        <v>7</v>
      </c>
      <c r="K875" s="148">
        <v>2.23333E-3</v>
      </c>
      <c r="L875" s="147">
        <f t="shared" si="72"/>
        <v>110.84</v>
      </c>
      <c r="M875" s="147">
        <f t="shared" si="73"/>
        <v>190.01</v>
      </c>
      <c r="N875" s="145"/>
      <c r="P875" s="164"/>
      <c r="Q875" s="164"/>
      <c r="R875" s="165"/>
    </row>
    <row r="876" spans="1:18">
      <c r="A876" s="145" t="s">
        <v>14</v>
      </c>
      <c r="B876" s="146" t="s">
        <v>191</v>
      </c>
      <c r="C876" s="146" t="s">
        <v>192</v>
      </c>
      <c r="D876" s="145" t="s">
        <v>193</v>
      </c>
      <c r="E876" s="146" t="s">
        <v>194</v>
      </c>
      <c r="F876" s="145" t="s">
        <v>115</v>
      </c>
      <c r="G876" s="146" t="s">
        <v>20</v>
      </c>
      <c r="H876" s="146">
        <v>201605</v>
      </c>
      <c r="I876" s="147">
        <v>-35.020000000000003</v>
      </c>
      <c r="J876" s="144">
        <f t="shared" si="71"/>
        <v>6</v>
      </c>
      <c r="K876" s="148">
        <v>2.23333E-3</v>
      </c>
      <c r="L876" s="147">
        <f t="shared" si="72"/>
        <v>-0.47</v>
      </c>
      <c r="M876" s="147">
        <f t="shared" si="73"/>
        <v>-0.94</v>
      </c>
      <c r="N876" s="145"/>
      <c r="P876" s="164"/>
      <c r="Q876" s="164"/>
      <c r="R876" s="165"/>
    </row>
    <row r="877" spans="1:18">
      <c r="A877" s="145" t="s">
        <v>14</v>
      </c>
      <c r="B877" s="146" t="s">
        <v>267</v>
      </c>
      <c r="C877" s="146" t="s">
        <v>268</v>
      </c>
      <c r="D877" s="145" t="s">
        <v>269</v>
      </c>
      <c r="E877" s="146" t="s">
        <v>270</v>
      </c>
      <c r="F877" s="145" t="s">
        <v>115</v>
      </c>
      <c r="G877" s="146" t="s">
        <v>20</v>
      </c>
      <c r="H877" s="146">
        <v>201605</v>
      </c>
      <c r="I877" s="147">
        <v>-4209.45</v>
      </c>
      <c r="J877" s="144">
        <f t="shared" si="71"/>
        <v>6</v>
      </c>
      <c r="K877" s="148">
        <v>2.23333E-3</v>
      </c>
      <c r="L877" s="147">
        <f t="shared" si="72"/>
        <v>-56.41</v>
      </c>
      <c r="M877" s="147">
        <f t="shared" si="73"/>
        <v>-112.81</v>
      </c>
      <c r="N877" s="145"/>
      <c r="P877" s="164"/>
      <c r="Q877" s="164"/>
      <c r="R877" s="165"/>
    </row>
    <row r="878" spans="1:18">
      <c r="A878" s="145" t="s">
        <v>14</v>
      </c>
      <c r="B878" s="146" t="s">
        <v>191</v>
      </c>
      <c r="C878" s="146" t="s">
        <v>192</v>
      </c>
      <c r="D878" s="145" t="s">
        <v>193</v>
      </c>
      <c r="E878" s="146" t="s">
        <v>194</v>
      </c>
      <c r="F878" s="145" t="s">
        <v>115</v>
      </c>
      <c r="G878" s="146" t="s">
        <v>20</v>
      </c>
      <c r="H878" s="146">
        <v>201606</v>
      </c>
      <c r="I878" s="147">
        <v>-23.64</v>
      </c>
      <c r="J878" s="144">
        <f t="shared" si="71"/>
        <v>5</v>
      </c>
      <c r="K878" s="148">
        <v>2.23333E-3</v>
      </c>
      <c r="L878" s="147">
        <f t="shared" si="72"/>
        <v>-0.26</v>
      </c>
      <c r="M878" s="147">
        <f t="shared" si="73"/>
        <v>-0.63</v>
      </c>
      <c r="N878" s="145"/>
      <c r="P878" s="164"/>
      <c r="Q878" s="164"/>
      <c r="R878" s="165"/>
    </row>
    <row r="879" spans="1:18">
      <c r="A879" s="145" t="s">
        <v>14</v>
      </c>
      <c r="B879" s="146" t="s">
        <v>267</v>
      </c>
      <c r="C879" s="146" t="s">
        <v>268</v>
      </c>
      <c r="D879" s="145" t="s">
        <v>269</v>
      </c>
      <c r="E879" s="146" t="s">
        <v>270</v>
      </c>
      <c r="F879" s="145" t="s">
        <v>115</v>
      </c>
      <c r="G879" s="146" t="s">
        <v>20</v>
      </c>
      <c r="H879" s="146">
        <v>201606</v>
      </c>
      <c r="I879" s="147">
        <v>729.4</v>
      </c>
      <c r="J879" s="144">
        <f t="shared" si="71"/>
        <v>5</v>
      </c>
      <c r="K879" s="148">
        <v>2.23333E-3</v>
      </c>
      <c r="L879" s="147">
        <f t="shared" si="72"/>
        <v>8.14</v>
      </c>
      <c r="M879" s="147">
        <f t="shared" si="73"/>
        <v>19.55</v>
      </c>
      <c r="N879" s="145"/>
      <c r="P879" s="164"/>
      <c r="Q879" s="164"/>
      <c r="R879" s="165"/>
    </row>
    <row r="880" spans="1:18">
      <c r="A880" s="151" t="s">
        <v>14</v>
      </c>
      <c r="B880" s="152" t="s">
        <v>191</v>
      </c>
      <c r="C880" s="152" t="s">
        <v>192</v>
      </c>
      <c r="D880" s="151" t="s">
        <v>193</v>
      </c>
      <c r="E880" s="152" t="s">
        <v>194</v>
      </c>
      <c r="F880" s="151" t="s">
        <v>115</v>
      </c>
      <c r="G880" s="152" t="s">
        <v>20</v>
      </c>
      <c r="H880" s="153">
        <v>201607</v>
      </c>
      <c r="I880" s="154">
        <v>-19.489999999999998</v>
      </c>
      <c r="J880" s="144">
        <f t="shared" si="71"/>
        <v>4</v>
      </c>
      <c r="K880" s="155">
        <v>2.23333E-3</v>
      </c>
      <c r="L880" s="154">
        <f t="shared" si="72"/>
        <v>-0.17</v>
      </c>
      <c r="M880" s="154">
        <f t="shared" si="73"/>
        <v>-0.52</v>
      </c>
      <c r="N880" s="145"/>
      <c r="P880" s="164"/>
      <c r="Q880" s="164"/>
      <c r="R880" s="165"/>
    </row>
    <row r="881" spans="1:18">
      <c r="A881" s="151" t="s">
        <v>14</v>
      </c>
      <c r="B881" s="152" t="s">
        <v>267</v>
      </c>
      <c r="C881" s="152" t="s">
        <v>268</v>
      </c>
      <c r="D881" s="151" t="s">
        <v>269</v>
      </c>
      <c r="E881" s="152" t="s">
        <v>270</v>
      </c>
      <c r="F881" s="151" t="s">
        <v>115</v>
      </c>
      <c r="G881" s="152" t="s">
        <v>20</v>
      </c>
      <c r="H881" s="153">
        <v>201607</v>
      </c>
      <c r="I881" s="154">
        <v>419.76</v>
      </c>
      <c r="J881" s="144">
        <f t="shared" si="71"/>
        <v>4</v>
      </c>
      <c r="K881" s="155">
        <v>2.23333E-3</v>
      </c>
      <c r="L881" s="154">
        <f t="shared" si="72"/>
        <v>3.75</v>
      </c>
      <c r="M881" s="154">
        <f t="shared" si="73"/>
        <v>11.25</v>
      </c>
      <c r="N881" s="145"/>
      <c r="P881" s="164"/>
      <c r="Q881" s="164"/>
      <c r="R881" s="165"/>
    </row>
    <row r="882" spans="1:18">
      <c r="A882" s="145" t="s">
        <v>14</v>
      </c>
      <c r="B882" s="146" t="s">
        <v>325</v>
      </c>
      <c r="C882" s="146" t="s">
        <v>326</v>
      </c>
      <c r="D882" s="145" t="s">
        <v>327</v>
      </c>
      <c r="E882" s="146" t="s">
        <v>328</v>
      </c>
      <c r="F882" s="145" t="s">
        <v>58</v>
      </c>
      <c r="G882" s="146" t="s">
        <v>20</v>
      </c>
      <c r="H882" s="146">
        <v>201603</v>
      </c>
      <c r="I882" s="147">
        <v>2574.58</v>
      </c>
      <c r="J882" s="144">
        <f t="shared" si="71"/>
        <v>8</v>
      </c>
      <c r="K882" s="148">
        <v>2.23333E-3</v>
      </c>
      <c r="L882" s="147">
        <f t="shared" si="72"/>
        <v>46</v>
      </c>
      <c r="M882" s="147">
        <f t="shared" si="73"/>
        <v>69</v>
      </c>
      <c r="N882" s="145"/>
      <c r="P882" s="164"/>
      <c r="Q882" s="164"/>
      <c r="R882" s="165"/>
    </row>
    <row r="883" spans="1:18">
      <c r="A883" s="145" t="s">
        <v>14</v>
      </c>
      <c r="B883" s="146" t="s">
        <v>325</v>
      </c>
      <c r="C883" s="146" t="s">
        <v>326</v>
      </c>
      <c r="D883" s="145" t="s">
        <v>327</v>
      </c>
      <c r="E883" s="146" t="s">
        <v>328</v>
      </c>
      <c r="F883" s="145" t="s">
        <v>58</v>
      </c>
      <c r="G883" s="146" t="s">
        <v>20</v>
      </c>
      <c r="H883" s="146">
        <v>201604</v>
      </c>
      <c r="I883" s="147">
        <v>2880.19</v>
      </c>
      <c r="J883" s="144">
        <f t="shared" si="71"/>
        <v>7</v>
      </c>
      <c r="K883" s="148">
        <v>2.23333E-3</v>
      </c>
      <c r="L883" s="147">
        <f t="shared" si="72"/>
        <v>45.03</v>
      </c>
      <c r="M883" s="147">
        <f t="shared" si="73"/>
        <v>77.19</v>
      </c>
      <c r="N883" s="145"/>
      <c r="P883" s="164"/>
      <c r="Q883" s="164"/>
      <c r="R883" s="165"/>
    </row>
    <row r="884" spans="1:18">
      <c r="A884" s="145" t="s">
        <v>14</v>
      </c>
      <c r="B884" s="146" t="s">
        <v>325</v>
      </c>
      <c r="C884" s="146" t="s">
        <v>326</v>
      </c>
      <c r="D884" s="145" t="s">
        <v>327</v>
      </c>
      <c r="E884" s="146" t="s">
        <v>328</v>
      </c>
      <c r="F884" s="145" t="s">
        <v>58</v>
      </c>
      <c r="G884" s="146" t="s">
        <v>20</v>
      </c>
      <c r="H884" s="146">
        <v>201605</v>
      </c>
      <c r="I884" s="147">
        <v>428.66</v>
      </c>
      <c r="J884" s="144">
        <f t="shared" si="71"/>
        <v>6</v>
      </c>
      <c r="K884" s="148">
        <v>2.23333E-3</v>
      </c>
      <c r="L884" s="147">
        <f t="shared" si="72"/>
        <v>5.74</v>
      </c>
      <c r="M884" s="147">
        <f t="shared" si="73"/>
        <v>11.49</v>
      </c>
      <c r="N884" s="145"/>
      <c r="P884" s="164"/>
      <c r="Q884" s="164"/>
      <c r="R884" s="165"/>
    </row>
    <row r="885" spans="1:18">
      <c r="A885" s="145" t="s">
        <v>14</v>
      </c>
      <c r="B885" s="146" t="s">
        <v>325</v>
      </c>
      <c r="C885" s="146" t="s">
        <v>326</v>
      </c>
      <c r="D885" s="145" t="s">
        <v>327</v>
      </c>
      <c r="E885" s="146" t="s">
        <v>328</v>
      </c>
      <c r="F885" s="145" t="s">
        <v>58</v>
      </c>
      <c r="G885" s="146" t="s">
        <v>20</v>
      </c>
      <c r="H885" s="146">
        <v>201606</v>
      </c>
      <c r="I885" s="147">
        <v>152.69</v>
      </c>
      <c r="J885" s="144">
        <f t="shared" si="71"/>
        <v>5</v>
      </c>
      <c r="K885" s="148">
        <v>2.23333E-3</v>
      </c>
      <c r="L885" s="147">
        <f t="shared" si="72"/>
        <v>1.71</v>
      </c>
      <c r="M885" s="147">
        <f t="shared" si="73"/>
        <v>4.09</v>
      </c>
      <c r="N885" s="145"/>
      <c r="P885" s="164"/>
      <c r="Q885" s="164"/>
      <c r="R885" s="165"/>
    </row>
    <row r="886" spans="1:18">
      <c r="A886" s="151" t="s">
        <v>14</v>
      </c>
      <c r="B886" s="152" t="s">
        <v>325</v>
      </c>
      <c r="C886" s="152" t="s">
        <v>326</v>
      </c>
      <c r="D886" s="151" t="s">
        <v>327</v>
      </c>
      <c r="E886" s="152" t="s">
        <v>328</v>
      </c>
      <c r="F886" s="151" t="s">
        <v>58</v>
      </c>
      <c r="G886" s="152" t="s">
        <v>20</v>
      </c>
      <c r="H886" s="153">
        <v>201607</v>
      </c>
      <c r="I886" s="154">
        <v>202.13</v>
      </c>
      <c r="J886" s="144">
        <f t="shared" si="71"/>
        <v>4</v>
      </c>
      <c r="K886" s="155">
        <v>2.23333E-3</v>
      </c>
      <c r="L886" s="154">
        <f t="shared" si="72"/>
        <v>1.81</v>
      </c>
      <c r="M886" s="154">
        <f t="shared" si="73"/>
        <v>5.42</v>
      </c>
      <c r="N886" s="145"/>
      <c r="P886" s="164"/>
      <c r="Q886" s="164"/>
      <c r="R886" s="165"/>
    </row>
    <row r="887" spans="1:18">
      <c r="A887" s="145" t="s">
        <v>14</v>
      </c>
      <c r="B887" s="146" t="s">
        <v>481</v>
      </c>
      <c r="C887" s="146" t="s">
        <v>482</v>
      </c>
      <c r="D887" s="145" t="s">
        <v>483</v>
      </c>
      <c r="E887" s="146" t="s">
        <v>484</v>
      </c>
      <c r="F887" s="145" t="s">
        <v>190</v>
      </c>
      <c r="G887" s="146" t="s">
        <v>20</v>
      </c>
      <c r="H887" s="146">
        <v>201603</v>
      </c>
      <c r="I887" s="147">
        <v>-0.23</v>
      </c>
      <c r="J887" s="144">
        <f t="shared" si="71"/>
        <v>8</v>
      </c>
      <c r="K887" s="148">
        <v>2.23333E-3</v>
      </c>
      <c r="L887" s="147">
        <f t="shared" si="72"/>
        <v>0</v>
      </c>
      <c r="M887" s="147">
        <f t="shared" si="73"/>
        <v>-0.01</v>
      </c>
      <c r="N887" s="145"/>
      <c r="P887" s="164"/>
      <c r="Q887" s="164"/>
      <c r="R887" s="165"/>
    </row>
    <row r="888" spans="1:18">
      <c r="A888" s="145" t="s">
        <v>14</v>
      </c>
      <c r="B888" s="146" t="s">
        <v>236</v>
      </c>
      <c r="C888" s="146" t="s">
        <v>237</v>
      </c>
      <c r="D888" s="145" t="s">
        <v>188</v>
      </c>
      <c r="E888" s="146" t="s">
        <v>238</v>
      </c>
      <c r="F888" s="145" t="s">
        <v>190</v>
      </c>
      <c r="G888" s="146" t="s">
        <v>20</v>
      </c>
      <c r="H888" s="146">
        <v>201603</v>
      </c>
      <c r="I888" s="147">
        <v>65601.179999999993</v>
      </c>
      <c r="J888" s="144">
        <f t="shared" si="71"/>
        <v>8</v>
      </c>
      <c r="K888" s="148">
        <v>2.23333E-3</v>
      </c>
      <c r="L888" s="147">
        <f t="shared" si="72"/>
        <v>1172.07</v>
      </c>
      <c r="M888" s="147">
        <f t="shared" si="73"/>
        <v>1758.11</v>
      </c>
      <c r="N888" s="145"/>
      <c r="P888" s="164"/>
      <c r="Q888" s="164"/>
      <c r="R888" s="165"/>
    </row>
    <row r="889" spans="1:18">
      <c r="A889" s="145" t="s">
        <v>14</v>
      </c>
      <c r="B889" s="146" t="s">
        <v>481</v>
      </c>
      <c r="C889" s="146" t="s">
        <v>482</v>
      </c>
      <c r="D889" s="145" t="s">
        <v>483</v>
      </c>
      <c r="E889" s="146" t="s">
        <v>484</v>
      </c>
      <c r="F889" s="145" t="s">
        <v>190</v>
      </c>
      <c r="G889" s="146" t="s">
        <v>20</v>
      </c>
      <c r="H889" s="146">
        <v>201604</v>
      </c>
      <c r="I889" s="147">
        <v>5899.45</v>
      </c>
      <c r="J889" s="144">
        <f t="shared" si="71"/>
        <v>7</v>
      </c>
      <c r="K889" s="148">
        <v>2.23333E-3</v>
      </c>
      <c r="L889" s="147">
        <f t="shared" si="72"/>
        <v>92.23</v>
      </c>
      <c r="M889" s="147">
        <f t="shared" si="73"/>
        <v>158.11000000000001</v>
      </c>
      <c r="N889" s="145"/>
      <c r="P889" s="164"/>
      <c r="Q889" s="164"/>
      <c r="R889" s="165"/>
    </row>
    <row r="890" spans="1:18">
      <c r="A890" s="145" t="s">
        <v>14</v>
      </c>
      <c r="B890" s="146" t="s">
        <v>236</v>
      </c>
      <c r="C890" s="146" t="s">
        <v>237</v>
      </c>
      <c r="D890" s="145" t="s">
        <v>188</v>
      </c>
      <c r="E890" s="146" t="s">
        <v>238</v>
      </c>
      <c r="F890" s="145" t="s">
        <v>190</v>
      </c>
      <c r="G890" s="146" t="s">
        <v>20</v>
      </c>
      <c r="H890" s="146">
        <v>201604</v>
      </c>
      <c r="I890" s="147">
        <v>67018.759999999995</v>
      </c>
      <c r="J890" s="144">
        <f t="shared" si="71"/>
        <v>7</v>
      </c>
      <c r="K890" s="148">
        <v>2.23333E-3</v>
      </c>
      <c r="L890" s="147">
        <f t="shared" si="72"/>
        <v>1047.73</v>
      </c>
      <c r="M890" s="147">
        <f t="shared" si="73"/>
        <v>1796.1</v>
      </c>
      <c r="N890" s="145"/>
      <c r="P890" s="164"/>
      <c r="Q890" s="164"/>
      <c r="R890" s="165"/>
    </row>
    <row r="891" spans="1:18">
      <c r="A891" s="145" t="s">
        <v>14</v>
      </c>
      <c r="B891" s="146" t="s">
        <v>481</v>
      </c>
      <c r="C891" s="146" t="s">
        <v>482</v>
      </c>
      <c r="D891" s="145" t="s">
        <v>483</v>
      </c>
      <c r="E891" s="146" t="s">
        <v>484</v>
      </c>
      <c r="F891" s="145" t="s">
        <v>190</v>
      </c>
      <c r="G891" s="146" t="s">
        <v>20</v>
      </c>
      <c r="H891" s="146">
        <v>201605</v>
      </c>
      <c r="I891" s="147">
        <v>-1394</v>
      </c>
      <c r="J891" s="144">
        <f t="shared" si="71"/>
        <v>6</v>
      </c>
      <c r="K891" s="148">
        <v>2.23333E-3</v>
      </c>
      <c r="L891" s="147">
        <f t="shared" si="72"/>
        <v>-18.68</v>
      </c>
      <c r="M891" s="147">
        <f t="shared" si="73"/>
        <v>-37.36</v>
      </c>
      <c r="N891" s="145"/>
      <c r="P891" s="164"/>
      <c r="Q891" s="164"/>
      <c r="R891" s="165"/>
    </row>
    <row r="892" spans="1:18">
      <c r="A892" s="145" t="s">
        <v>14</v>
      </c>
      <c r="B892" s="146" t="s">
        <v>236</v>
      </c>
      <c r="C892" s="146" t="s">
        <v>237</v>
      </c>
      <c r="D892" s="145" t="s">
        <v>188</v>
      </c>
      <c r="E892" s="146" t="s">
        <v>238</v>
      </c>
      <c r="F892" s="145" t="s">
        <v>190</v>
      </c>
      <c r="G892" s="146" t="s">
        <v>20</v>
      </c>
      <c r="H892" s="146">
        <v>201605</v>
      </c>
      <c r="I892" s="147">
        <v>82683.45</v>
      </c>
      <c r="J892" s="144">
        <f t="shared" si="71"/>
        <v>6</v>
      </c>
      <c r="K892" s="148">
        <v>2.23333E-3</v>
      </c>
      <c r="L892" s="147">
        <f t="shared" si="72"/>
        <v>1107.96</v>
      </c>
      <c r="M892" s="147">
        <f t="shared" si="73"/>
        <v>2215.91</v>
      </c>
      <c r="N892" s="145"/>
      <c r="P892" s="164"/>
      <c r="Q892" s="164"/>
      <c r="R892" s="165"/>
    </row>
    <row r="893" spans="1:18">
      <c r="A893" s="145" t="s">
        <v>14</v>
      </c>
      <c r="B893" s="146" t="s">
        <v>481</v>
      </c>
      <c r="C893" s="146" t="s">
        <v>482</v>
      </c>
      <c r="D893" s="145" t="s">
        <v>483</v>
      </c>
      <c r="E893" s="146" t="s">
        <v>484</v>
      </c>
      <c r="F893" s="145" t="s">
        <v>190</v>
      </c>
      <c r="G893" s="146" t="s">
        <v>20</v>
      </c>
      <c r="H893" s="146">
        <v>201606</v>
      </c>
      <c r="I893" s="147">
        <v>-28.28</v>
      </c>
      <c r="J893" s="144">
        <f t="shared" si="71"/>
        <v>5</v>
      </c>
      <c r="K893" s="148">
        <v>2.23333E-3</v>
      </c>
      <c r="L893" s="147">
        <f t="shared" si="72"/>
        <v>-0.32</v>
      </c>
      <c r="M893" s="147">
        <f t="shared" si="73"/>
        <v>-0.76</v>
      </c>
      <c r="N893" s="145"/>
      <c r="P893" s="164"/>
      <c r="Q893" s="164"/>
      <c r="R893" s="165"/>
    </row>
    <row r="894" spans="1:18">
      <c r="A894" s="145" t="s">
        <v>14</v>
      </c>
      <c r="B894" s="146" t="s">
        <v>236</v>
      </c>
      <c r="C894" s="146" t="s">
        <v>237</v>
      </c>
      <c r="D894" s="145" t="s">
        <v>188</v>
      </c>
      <c r="E894" s="146" t="s">
        <v>238</v>
      </c>
      <c r="F894" s="145" t="s">
        <v>190</v>
      </c>
      <c r="G894" s="146" t="s">
        <v>20</v>
      </c>
      <c r="H894" s="146">
        <v>201606</v>
      </c>
      <c r="I894" s="147">
        <v>103837.23</v>
      </c>
      <c r="J894" s="144">
        <f t="shared" si="71"/>
        <v>5</v>
      </c>
      <c r="K894" s="148">
        <v>2.23333E-3</v>
      </c>
      <c r="L894" s="147">
        <f t="shared" si="72"/>
        <v>1159.51</v>
      </c>
      <c r="M894" s="147">
        <f t="shared" si="73"/>
        <v>2782.83</v>
      </c>
      <c r="N894" s="145"/>
      <c r="P894" s="164"/>
      <c r="Q894" s="164"/>
      <c r="R894" s="165"/>
    </row>
    <row r="895" spans="1:18">
      <c r="A895" s="151" t="s">
        <v>14</v>
      </c>
      <c r="B895" s="152" t="s">
        <v>481</v>
      </c>
      <c r="C895" s="152" t="s">
        <v>482</v>
      </c>
      <c r="D895" s="151" t="s">
        <v>483</v>
      </c>
      <c r="E895" s="152" t="s">
        <v>484</v>
      </c>
      <c r="F895" s="151" t="s">
        <v>190</v>
      </c>
      <c r="G895" s="152" t="s">
        <v>20</v>
      </c>
      <c r="H895" s="153">
        <v>201607</v>
      </c>
      <c r="I895" s="154">
        <v>1162.3</v>
      </c>
      <c r="J895" s="144">
        <f t="shared" si="71"/>
        <v>4</v>
      </c>
      <c r="K895" s="155">
        <v>2.23333E-3</v>
      </c>
      <c r="L895" s="154">
        <f t="shared" si="72"/>
        <v>10.38</v>
      </c>
      <c r="M895" s="154">
        <f t="shared" si="73"/>
        <v>31.15</v>
      </c>
      <c r="N895" s="145"/>
      <c r="P895" s="164"/>
      <c r="Q895" s="164"/>
      <c r="R895" s="165"/>
    </row>
    <row r="896" spans="1:18">
      <c r="A896" s="151" t="s">
        <v>14</v>
      </c>
      <c r="B896" s="152" t="s">
        <v>236</v>
      </c>
      <c r="C896" s="152" t="s">
        <v>237</v>
      </c>
      <c r="D896" s="151" t="s">
        <v>188</v>
      </c>
      <c r="E896" s="152" t="s">
        <v>238</v>
      </c>
      <c r="F896" s="151" t="s">
        <v>190</v>
      </c>
      <c r="G896" s="152" t="s">
        <v>20</v>
      </c>
      <c r="H896" s="153">
        <v>201607</v>
      </c>
      <c r="I896" s="154">
        <v>128340.31</v>
      </c>
      <c r="J896" s="144">
        <f t="shared" si="71"/>
        <v>4</v>
      </c>
      <c r="K896" s="155">
        <v>2.23333E-3</v>
      </c>
      <c r="L896" s="154">
        <f t="shared" si="72"/>
        <v>1146.51</v>
      </c>
      <c r="M896" s="154">
        <f t="shared" si="73"/>
        <v>3439.52</v>
      </c>
      <c r="N896" s="145"/>
      <c r="P896" s="164"/>
      <c r="Q896" s="164"/>
      <c r="R896" s="165"/>
    </row>
    <row r="897" spans="1:18">
      <c r="A897" s="145" t="s">
        <v>990</v>
      </c>
      <c r="B897" s="146" t="s">
        <v>991</v>
      </c>
      <c r="C897" s="146" t="s">
        <v>992</v>
      </c>
      <c r="D897" s="145" t="s">
        <v>993</v>
      </c>
      <c r="E897" s="146" t="s">
        <v>994</v>
      </c>
      <c r="F897" s="145" t="s">
        <v>995</v>
      </c>
      <c r="G897" s="146" t="s">
        <v>20</v>
      </c>
      <c r="H897" s="146">
        <v>201603</v>
      </c>
      <c r="I897" s="147">
        <v>-24.02</v>
      </c>
      <c r="J897" s="144">
        <f t="shared" si="71"/>
        <v>8</v>
      </c>
      <c r="K897" s="148">
        <v>2.3833299999999999E-3</v>
      </c>
      <c r="L897" s="147">
        <f t="shared" si="72"/>
        <v>-0.46</v>
      </c>
      <c r="M897" s="147">
        <f t="shared" si="73"/>
        <v>-0.69</v>
      </c>
      <c r="N897" s="145"/>
      <c r="P897" s="164"/>
      <c r="Q897" s="164"/>
      <c r="R897" s="165"/>
    </row>
    <row r="898" spans="1:18">
      <c r="A898" s="145" t="s">
        <v>990</v>
      </c>
      <c r="B898" s="146" t="s">
        <v>996</v>
      </c>
      <c r="C898" s="146" t="s">
        <v>997</v>
      </c>
      <c r="D898" s="145" t="s">
        <v>998</v>
      </c>
      <c r="E898" s="146" t="s">
        <v>999</v>
      </c>
      <c r="F898" s="145" t="s">
        <v>995</v>
      </c>
      <c r="G898" s="146" t="s">
        <v>20</v>
      </c>
      <c r="H898" s="146">
        <v>201603</v>
      </c>
      <c r="I898" s="147">
        <v>374.93</v>
      </c>
      <c r="J898" s="144">
        <f t="shared" ref="J898:J934" si="74">HLOOKUP(H898,$Q$2:$Z$3,2)</f>
        <v>8</v>
      </c>
      <c r="K898" s="148">
        <v>2.3833299999999999E-3</v>
      </c>
      <c r="L898" s="147">
        <f t="shared" ref="L898:L929" si="75">ROUND(I898*J898*K898,2)</f>
        <v>7.15</v>
      </c>
      <c r="M898" s="147">
        <f t="shared" ref="M898:M934" si="76">ROUND(I898*K898*12,2)</f>
        <v>10.72</v>
      </c>
      <c r="N898" s="145"/>
      <c r="P898" s="164"/>
      <c r="Q898" s="164"/>
      <c r="R898" s="165"/>
    </row>
    <row r="899" spans="1:18">
      <c r="A899" s="145" t="s">
        <v>990</v>
      </c>
      <c r="B899" s="146" t="s">
        <v>1010</v>
      </c>
      <c r="C899" s="146" t="s">
        <v>1011</v>
      </c>
      <c r="D899" s="145" t="s">
        <v>1012</v>
      </c>
      <c r="E899" s="146" t="s">
        <v>1013</v>
      </c>
      <c r="F899" s="145" t="s">
        <v>995</v>
      </c>
      <c r="G899" s="146" t="s">
        <v>20</v>
      </c>
      <c r="H899" s="146">
        <v>201603</v>
      </c>
      <c r="I899" s="147">
        <v>2229.89</v>
      </c>
      <c r="J899" s="144">
        <f t="shared" si="74"/>
        <v>8</v>
      </c>
      <c r="K899" s="148">
        <v>2.3833299999999999E-3</v>
      </c>
      <c r="L899" s="147">
        <f t="shared" si="75"/>
        <v>42.52</v>
      </c>
      <c r="M899" s="147">
        <f t="shared" si="76"/>
        <v>63.77</v>
      </c>
      <c r="N899" s="145"/>
      <c r="P899" s="164"/>
      <c r="Q899" s="164"/>
      <c r="R899" s="165"/>
    </row>
    <row r="900" spans="1:18">
      <c r="A900" s="145" t="s">
        <v>990</v>
      </c>
      <c r="B900" s="146" t="s">
        <v>1017</v>
      </c>
      <c r="C900" s="146" t="s">
        <v>1018</v>
      </c>
      <c r="D900" s="145" t="s">
        <v>993</v>
      </c>
      <c r="E900" s="146" t="s">
        <v>1019</v>
      </c>
      <c r="F900" s="145" t="s">
        <v>995</v>
      </c>
      <c r="G900" s="146" t="s">
        <v>20</v>
      </c>
      <c r="H900" s="146">
        <v>201603</v>
      </c>
      <c r="I900" s="147">
        <v>366.21</v>
      </c>
      <c r="J900" s="144">
        <f t="shared" si="74"/>
        <v>8</v>
      </c>
      <c r="K900" s="148">
        <v>2.3833299999999999E-3</v>
      </c>
      <c r="L900" s="147">
        <f t="shared" si="75"/>
        <v>6.98</v>
      </c>
      <c r="M900" s="147">
        <f t="shared" si="76"/>
        <v>10.47</v>
      </c>
      <c r="N900" s="145"/>
      <c r="P900" s="164"/>
      <c r="Q900" s="164"/>
      <c r="R900" s="165"/>
    </row>
    <row r="901" spans="1:18">
      <c r="A901" s="145" t="s">
        <v>990</v>
      </c>
      <c r="B901" s="146" t="s">
        <v>991</v>
      </c>
      <c r="C901" s="146" t="s">
        <v>992</v>
      </c>
      <c r="D901" s="145" t="s">
        <v>993</v>
      </c>
      <c r="E901" s="146" t="s">
        <v>994</v>
      </c>
      <c r="F901" s="145" t="s">
        <v>995</v>
      </c>
      <c r="G901" s="146" t="s">
        <v>20</v>
      </c>
      <c r="H901" s="146">
        <v>201604</v>
      </c>
      <c r="I901" s="147">
        <v>485.97</v>
      </c>
      <c r="J901" s="144">
        <f t="shared" si="74"/>
        <v>7</v>
      </c>
      <c r="K901" s="148">
        <v>2.3833299999999999E-3</v>
      </c>
      <c r="L901" s="147">
        <f t="shared" si="75"/>
        <v>8.11</v>
      </c>
      <c r="M901" s="147">
        <f t="shared" si="76"/>
        <v>13.9</v>
      </c>
      <c r="N901" s="145"/>
      <c r="P901" s="164"/>
      <c r="Q901" s="164"/>
      <c r="R901" s="165"/>
    </row>
    <row r="902" spans="1:18">
      <c r="A902" s="145" t="s">
        <v>990</v>
      </c>
      <c r="B902" s="146" t="s">
        <v>996</v>
      </c>
      <c r="C902" s="146" t="s">
        <v>997</v>
      </c>
      <c r="D902" s="145" t="s">
        <v>998</v>
      </c>
      <c r="E902" s="146" t="s">
        <v>999</v>
      </c>
      <c r="F902" s="145" t="s">
        <v>995</v>
      </c>
      <c r="G902" s="146" t="s">
        <v>20</v>
      </c>
      <c r="H902" s="146">
        <v>201604</v>
      </c>
      <c r="I902" s="147">
        <v>829.61</v>
      </c>
      <c r="J902" s="144">
        <f t="shared" si="74"/>
        <v>7</v>
      </c>
      <c r="K902" s="148">
        <v>2.3833299999999999E-3</v>
      </c>
      <c r="L902" s="147">
        <f t="shared" si="75"/>
        <v>13.84</v>
      </c>
      <c r="M902" s="147">
        <f t="shared" si="76"/>
        <v>23.73</v>
      </c>
      <c r="N902" s="145"/>
      <c r="P902" s="164"/>
      <c r="Q902" s="164"/>
      <c r="R902" s="165"/>
    </row>
    <row r="903" spans="1:18">
      <c r="A903" s="145" t="s">
        <v>990</v>
      </c>
      <c r="B903" s="146" t="s">
        <v>1010</v>
      </c>
      <c r="C903" s="146" t="s">
        <v>1011</v>
      </c>
      <c r="D903" s="145" t="s">
        <v>1012</v>
      </c>
      <c r="E903" s="146" t="s">
        <v>1013</v>
      </c>
      <c r="F903" s="145" t="s">
        <v>995</v>
      </c>
      <c r="G903" s="146" t="s">
        <v>20</v>
      </c>
      <c r="H903" s="146">
        <v>201604</v>
      </c>
      <c r="I903" s="147">
        <v>3195.5</v>
      </c>
      <c r="J903" s="144">
        <f t="shared" si="74"/>
        <v>7</v>
      </c>
      <c r="K903" s="148">
        <v>2.3833299999999999E-3</v>
      </c>
      <c r="L903" s="147">
        <f t="shared" si="75"/>
        <v>53.31</v>
      </c>
      <c r="M903" s="147">
        <f t="shared" si="76"/>
        <v>91.39</v>
      </c>
      <c r="N903" s="145"/>
      <c r="P903" s="164"/>
      <c r="Q903" s="164"/>
      <c r="R903" s="165"/>
    </row>
    <row r="904" spans="1:18">
      <c r="A904" s="145" t="s">
        <v>990</v>
      </c>
      <c r="B904" s="146" t="s">
        <v>1017</v>
      </c>
      <c r="C904" s="146" t="s">
        <v>1018</v>
      </c>
      <c r="D904" s="145" t="s">
        <v>993</v>
      </c>
      <c r="E904" s="146" t="s">
        <v>1019</v>
      </c>
      <c r="F904" s="145" t="s">
        <v>995</v>
      </c>
      <c r="G904" s="146" t="s">
        <v>20</v>
      </c>
      <c r="H904" s="146">
        <v>201604</v>
      </c>
      <c r="I904" s="147">
        <v>28.18</v>
      </c>
      <c r="J904" s="144">
        <f t="shared" si="74"/>
        <v>7</v>
      </c>
      <c r="K904" s="148">
        <v>2.3833299999999999E-3</v>
      </c>
      <c r="L904" s="147">
        <f t="shared" si="75"/>
        <v>0.47</v>
      </c>
      <c r="M904" s="147">
        <f t="shared" si="76"/>
        <v>0.81</v>
      </c>
      <c r="N904" s="145"/>
      <c r="P904" s="164"/>
      <c r="Q904" s="164"/>
      <c r="R904" s="165"/>
    </row>
    <row r="905" spans="1:18">
      <c r="A905" s="145" t="s">
        <v>990</v>
      </c>
      <c r="B905" s="146" t="s">
        <v>991</v>
      </c>
      <c r="C905" s="146" t="s">
        <v>992</v>
      </c>
      <c r="D905" s="145" t="s">
        <v>993</v>
      </c>
      <c r="E905" s="146" t="s">
        <v>994</v>
      </c>
      <c r="F905" s="145" t="s">
        <v>995</v>
      </c>
      <c r="G905" s="146" t="s">
        <v>20</v>
      </c>
      <c r="H905" s="146">
        <v>201605</v>
      </c>
      <c r="I905" s="147">
        <v>211.45</v>
      </c>
      <c r="J905" s="144">
        <f t="shared" si="74"/>
        <v>6</v>
      </c>
      <c r="K905" s="148">
        <v>2.3833299999999999E-3</v>
      </c>
      <c r="L905" s="147">
        <f t="shared" si="75"/>
        <v>3.02</v>
      </c>
      <c r="M905" s="147">
        <f t="shared" si="76"/>
        <v>6.05</v>
      </c>
      <c r="N905" s="145"/>
      <c r="P905" s="164"/>
      <c r="Q905" s="164"/>
      <c r="R905" s="165"/>
    </row>
    <row r="906" spans="1:18">
      <c r="A906" s="145" t="s">
        <v>990</v>
      </c>
      <c r="B906" s="146" t="s">
        <v>996</v>
      </c>
      <c r="C906" s="146" t="s">
        <v>997</v>
      </c>
      <c r="D906" s="145" t="s">
        <v>998</v>
      </c>
      <c r="E906" s="146" t="s">
        <v>999</v>
      </c>
      <c r="F906" s="145" t="s">
        <v>995</v>
      </c>
      <c r="G906" s="146" t="s">
        <v>20</v>
      </c>
      <c r="H906" s="146">
        <v>201605</v>
      </c>
      <c r="I906" s="147">
        <v>102.23</v>
      </c>
      <c r="J906" s="144">
        <f t="shared" si="74"/>
        <v>6</v>
      </c>
      <c r="K906" s="148">
        <v>2.3833299999999999E-3</v>
      </c>
      <c r="L906" s="147">
        <f t="shared" si="75"/>
        <v>1.46</v>
      </c>
      <c r="M906" s="147">
        <f t="shared" si="76"/>
        <v>2.92</v>
      </c>
      <c r="N906" s="145"/>
      <c r="P906" s="164"/>
      <c r="Q906" s="164"/>
      <c r="R906" s="165"/>
    </row>
    <row r="907" spans="1:18">
      <c r="A907" s="145" t="s">
        <v>990</v>
      </c>
      <c r="B907" s="146" t="s">
        <v>1010</v>
      </c>
      <c r="C907" s="146" t="s">
        <v>1011</v>
      </c>
      <c r="D907" s="145" t="s">
        <v>1012</v>
      </c>
      <c r="E907" s="146" t="s">
        <v>1013</v>
      </c>
      <c r="F907" s="145" t="s">
        <v>995</v>
      </c>
      <c r="G907" s="146" t="s">
        <v>20</v>
      </c>
      <c r="H907" s="146">
        <v>201605</v>
      </c>
      <c r="I907" s="147">
        <v>4131.16</v>
      </c>
      <c r="J907" s="144">
        <f t="shared" si="74"/>
        <v>6</v>
      </c>
      <c r="K907" s="148">
        <v>2.3833299999999999E-3</v>
      </c>
      <c r="L907" s="147">
        <f t="shared" si="75"/>
        <v>59.08</v>
      </c>
      <c r="M907" s="147">
        <f t="shared" si="76"/>
        <v>118.15</v>
      </c>
      <c r="N907" s="145"/>
      <c r="P907" s="164"/>
      <c r="Q907" s="164"/>
      <c r="R907" s="165"/>
    </row>
    <row r="908" spans="1:18">
      <c r="A908" s="145" t="s">
        <v>990</v>
      </c>
      <c r="B908" s="146" t="s">
        <v>1017</v>
      </c>
      <c r="C908" s="146" t="s">
        <v>1018</v>
      </c>
      <c r="D908" s="145" t="s">
        <v>993</v>
      </c>
      <c r="E908" s="146" t="s">
        <v>1019</v>
      </c>
      <c r="F908" s="145" t="s">
        <v>995</v>
      </c>
      <c r="G908" s="146" t="s">
        <v>20</v>
      </c>
      <c r="H908" s="146">
        <v>201605</v>
      </c>
      <c r="I908" s="147">
        <v>19.97</v>
      </c>
      <c r="J908" s="144">
        <f t="shared" si="74"/>
        <v>6</v>
      </c>
      <c r="K908" s="148">
        <v>2.3833299999999999E-3</v>
      </c>
      <c r="L908" s="147">
        <f t="shared" si="75"/>
        <v>0.28999999999999998</v>
      </c>
      <c r="M908" s="147">
        <f t="shared" si="76"/>
        <v>0.56999999999999995</v>
      </c>
      <c r="N908" s="145"/>
      <c r="P908" s="164"/>
      <c r="Q908" s="164"/>
      <c r="R908" s="165"/>
    </row>
    <row r="909" spans="1:18">
      <c r="A909" s="145" t="s">
        <v>990</v>
      </c>
      <c r="B909" s="146" t="s">
        <v>991</v>
      </c>
      <c r="C909" s="146" t="s">
        <v>992</v>
      </c>
      <c r="D909" s="145" t="s">
        <v>993</v>
      </c>
      <c r="E909" s="146" t="s">
        <v>994</v>
      </c>
      <c r="F909" s="145" t="s">
        <v>995</v>
      </c>
      <c r="G909" s="146" t="s">
        <v>20</v>
      </c>
      <c r="H909" s="146">
        <v>201606</v>
      </c>
      <c r="I909" s="147">
        <v>129.81</v>
      </c>
      <c r="J909" s="144">
        <f t="shared" si="74"/>
        <v>5</v>
      </c>
      <c r="K909" s="148">
        <v>2.3833299999999999E-3</v>
      </c>
      <c r="L909" s="147">
        <f t="shared" si="75"/>
        <v>1.55</v>
      </c>
      <c r="M909" s="147">
        <f t="shared" si="76"/>
        <v>3.71</v>
      </c>
      <c r="N909" s="145"/>
      <c r="P909" s="164"/>
      <c r="Q909" s="164"/>
      <c r="R909" s="165"/>
    </row>
    <row r="910" spans="1:18">
      <c r="A910" s="145" t="s">
        <v>990</v>
      </c>
      <c r="B910" s="146" t="s">
        <v>996</v>
      </c>
      <c r="C910" s="146" t="s">
        <v>997</v>
      </c>
      <c r="D910" s="145" t="s">
        <v>998</v>
      </c>
      <c r="E910" s="146" t="s">
        <v>999</v>
      </c>
      <c r="F910" s="145" t="s">
        <v>995</v>
      </c>
      <c r="G910" s="146" t="s">
        <v>20</v>
      </c>
      <c r="H910" s="146">
        <v>201606</v>
      </c>
      <c r="I910" s="147">
        <v>258.26</v>
      </c>
      <c r="J910" s="144">
        <f t="shared" si="74"/>
        <v>5</v>
      </c>
      <c r="K910" s="148">
        <v>2.3833299999999999E-3</v>
      </c>
      <c r="L910" s="147">
        <f t="shared" si="75"/>
        <v>3.08</v>
      </c>
      <c r="M910" s="147">
        <f t="shared" si="76"/>
        <v>7.39</v>
      </c>
      <c r="N910" s="145"/>
      <c r="P910" s="164"/>
      <c r="Q910" s="164"/>
      <c r="R910" s="165"/>
    </row>
    <row r="911" spans="1:18">
      <c r="A911" s="145" t="s">
        <v>990</v>
      </c>
      <c r="B911" s="146" t="s">
        <v>1010</v>
      </c>
      <c r="C911" s="146" t="s">
        <v>1011</v>
      </c>
      <c r="D911" s="145" t="s">
        <v>1012</v>
      </c>
      <c r="E911" s="146" t="s">
        <v>1013</v>
      </c>
      <c r="F911" s="145" t="s">
        <v>995</v>
      </c>
      <c r="G911" s="146" t="s">
        <v>20</v>
      </c>
      <c r="H911" s="146">
        <v>201606</v>
      </c>
      <c r="I911" s="147">
        <v>1553.35</v>
      </c>
      <c r="J911" s="144">
        <f t="shared" si="74"/>
        <v>5</v>
      </c>
      <c r="K911" s="148">
        <v>2.3833299999999999E-3</v>
      </c>
      <c r="L911" s="147">
        <f t="shared" si="75"/>
        <v>18.510000000000002</v>
      </c>
      <c r="M911" s="147">
        <f t="shared" si="76"/>
        <v>44.43</v>
      </c>
      <c r="N911" s="145"/>
      <c r="P911" s="164"/>
      <c r="Q911" s="164"/>
      <c r="R911" s="165"/>
    </row>
    <row r="912" spans="1:18">
      <c r="A912" s="145" t="s">
        <v>990</v>
      </c>
      <c r="B912" s="146" t="s">
        <v>1017</v>
      </c>
      <c r="C912" s="146" t="s">
        <v>1018</v>
      </c>
      <c r="D912" s="145" t="s">
        <v>993</v>
      </c>
      <c r="E912" s="146" t="s">
        <v>1019</v>
      </c>
      <c r="F912" s="145" t="s">
        <v>995</v>
      </c>
      <c r="G912" s="146" t="s">
        <v>20</v>
      </c>
      <c r="H912" s="146">
        <v>201606</v>
      </c>
      <c r="I912" s="147">
        <v>12.25</v>
      </c>
      <c r="J912" s="144">
        <f t="shared" si="74"/>
        <v>5</v>
      </c>
      <c r="K912" s="148">
        <v>2.3833299999999999E-3</v>
      </c>
      <c r="L912" s="147">
        <f t="shared" si="75"/>
        <v>0.15</v>
      </c>
      <c r="M912" s="147">
        <f t="shared" si="76"/>
        <v>0.35</v>
      </c>
      <c r="N912" s="145"/>
      <c r="P912" s="164"/>
      <c r="Q912" s="164"/>
      <c r="R912" s="165"/>
    </row>
    <row r="913" spans="1:18">
      <c r="A913" s="151" t="s">
        <v>990</v>
      </c>
      <c r="B913" s="152" t="s">
        <v>1017</v>
      </c>
      <c r="C913" s="152" t="s">
        <v>1018</v>
      </c>
      <c r="D913" s="151" t="s">
        <v>993</v>
      </c>
      <c r="E913" s="152" t="s">
        <v>1019</v>
      </c>
      <c r="F913" s="151" t="s">
        <v>995</v>
      </c>
      <c r="G913" s="152" t="s">
        <v>20</v>
      </c>
      <c r="H913" s="153">
        <v>201607</v>
      </c>
      <c r="I913" s="154">
        <v>6.97</v>
      </c>
      <c r="J913" s="144">
        <f t="shared" si="74"/>
        <v>4</v>
      </c>
      <c r="K913" s="155">
        <v>2.3833299999999999E-3</v>
      </c>
      <c r="L913" s="154">
        <f t="shared" si="75"/>
        <v>7.0000000000000007E-2</v>
      </c>
      <c r="M913" s="154">
        <f t="shared" si="76"/>
        <v>0.2</v>
      </c>
      <c r="N913" s="145"/>
      <c r="P913" s="164"/>
      <c r="Q913" s="164"/>
      <c r="R913" s="165"/>
    </row>
    <row r="914" spans="1:18">
      <c r="A914" s="151" t="s">
        <v>990</v>
      </c>
      <c r="B914" s="152" t="s">
        <v>991</v>
      </c>
      <c r="C914" s="152" t="s">
        <v>992</v>
      </c>
      <c r="D914" s="151" t="s">
        <v>993</v>
      </c>
      <c r="E914" s="152" t="s">
        <v>994</v>
      </c>
      <c r="F914" s="151" t="s">
        <v>995</v>
      </c>
      <c r="G914" s="152" t="s">
        <v>20</v>
      </c>
      <c r="H914" s="153">
        <v>201607</v>
      </c>
      <c r="I914" s="154">
        <v>212.03</v>
      </c>
      <c r="J914" s="144">
        <f t="shared" si="74"/>
        <v>4</v>
      </c>
      <c r="K914" s="155">
        <v>2.3833299999999999E-3</v>
      </c>
      <c r="L914" s="154">
        <f t="shared" si="75"/>
        <v>2.02</v>
      </c>
      <c r="M914" s="154">
        <f t="shared" si="76"/>
        <v>6.06</v>
      </c>
      <c r="N914" s="145"/>
      <c r="P914" s="164"/>
      <c r="Q914" s="164"/>
      <c r="R914" s="165"/>
    </row>
    <row r="915" spans="1:18">
      <c r="A915" s="151" t="s">
        <v>990</v>
      </c>
      <c r="B915" s="152" t="s">
        <v>1010</v>
      </c>
      <c r="C915" s="152" t="s">
        <v>1011</v>
      </c>
      <c r="D915" s="151" t="s">
        <v>1012</v>
      </c>
      <c r="E915" s="152" t="s">
        <v>1013</v>
      </c>
      <c r="F915" s="151" t="s">
        <v>995</v>
      </c>
      <c r="G915" s="152" t="s">
        <v>20</v>
      </c>
      <c r="H915" s="153">
        <v>201607</v>
      </c>
      <c r="I915" s="154">
        <v>1750.2</v>
      </c>
      <c r="J915" s="144">
        <f t="shared" si="74"/>
        <v>4</v>
      </c>
      <c r="K915" s="155">
        <v>2.3833299999999999E-3</v>
      </c>
      <c r="L915" s="154">
        <f t="shared" si="75"/>
        <v>16.690000000000001</v>
      </c>
      <c r="M915" s="154">
        <f t="shared" si="76"/>
        <v>50.06</v>
      </c>
      <c r="N915" s="145"/>
      <c r="P915" s="164"/>
      <c r="Q915" s="164"/>
      <c r="R915" s="165"/>
    </row>
    <row r="916" spans="1:18">
      <c r="A916" s="161" t="s">
        <v>990</v>
      </c>
      <c r="B916" s="160" t="s">
        <v>996</v>
      </c>
      <c r="C916" s="160" t="s">
        <v>997</v>
      </c>
      <c r="D916" s="161" t="s">
        <v>998</v>
      </c>
      <c r="E916" s="160" t="s">
        <v>999</v>
      </c>
      <c r="F916" s="161" t="s">
        <v>995</v>
      </c>
      <c r="G916" s="160" t="s">
        <v>20</v>
      </c>
      <c r="H916" s="103">
        <v>201607</v>
      </c>
      <c r="I916" s="154">
        <v>3201.34</v>
      </c>
      <c r="J916" s="144">
        <f t="shared" si="74"/>
        <v>4</v>
      </c>
      <c r="K916" s="155">
        <v>2.3833299999999999E-3</v>
      </c>
      <c r="L916" s="154">
        <f t="shared" si="75"/>
        <v>30.52</v>
      </c>
      <c r="M916" s="154">
        <f t="shared" si="76"/>
        <v>91.56</v>
      </c>
      <c r="N916" s="145"/>
      <c r="P916" s="164"/>
      <c r="Q916" s="164"/>
      <c r="R916" s="165"/>
    </row>
    <row r="917" spans="1:18">
      <c r="A917" s="145" t="s">
        <v>14</v>
      </c>
      <c r="B917" s="146" t="s">
        <v>107</v>
      </c>
      <c r="C917" s="146" t="s">
        <v>108</v>
      </c>
      <c r="D917" s="145" t="s">
        <v>109</v>
      </c>
      <c r="E917" s="146" t="s">
        <v>110</v>
      </c>
      <c r="F917" s="145" t="s">
        <v>52</v>
      </c>
      <c r="G917" s="146" t="s">
        <v>20</v>
      </c>
      <c r="H917" s="146">
        <v>201603</v>
      </c>
      <c r="I917" s="147">
        <v>-34.08</v>
      </c>
      <c r="J917" s="144">
        <f t="shared" si="74"/>
        <v>8</v>
      </c>
      <c r="K917" s="148">
        <v>2.23333E-3</v>
      </c>
      <c r="L917" s="147">
        <f t="shared" si="75"/>
        <v>-0.61</v>
      </c>
      <c r="M917" s="147">
        <f t="shared" si="76"/>
        <v>-0.91</v>
      </c>
      <c r="N917" s="145"/>
      <c r="P917" s="164"/>
      <c r="Q917" s="164"/>
      <c r="R917" s="165"/>
    </row>
    <row r="918" spans="1:18">
      <c r="A918" s="145" t="s">
        <v>14</v>
      </c>
      <c r="B918" s="146" t="s">
        <v>1676</v>
      </c>
      <c r="C918" s="146" t="s">
        <v>1677</v>
      </c>
      <c r="D918" s="145" t="s">
        <v>50</v>
      </c>
      <c r="E918" s="146" t="s">
        <v>1678</v>
      </c>
      <c r="F918" s="145" t="s">
        <v>52</v>
      </c>
      <c r="G918" s="146" t="s">
        <v>20</v>
      </c>
      <c r="H918" s="146">
        <v>201603</v>
      </c>
      <c r="I918" s="147">
        <v>-2.34</v>
      </c>
      <c r="J918" s="144">
        <f t="shared" si="74"/>
        <v>8</v>
      </c>
      <c r="K918" s="148">
        <v>2.23333E-3</v>
      </c>
      <c r="L918" s="147">
        <f t="shared" si="75"/>
        <v>-0.04</v>
      </c>
      <c r="M918" s="147">
        <f t="shared" si="76"/>
        <v>-0.06</v>
      </c>
      <c r="N918" s="145"/>
      <c r="P918" s="164"/>
      <c r="Q918" s="164"/>
      <c r="R918" s="165"/>
    </row>
    <row r="919" spans="1:18">
      <c r="A919" s="145" t="s">
        <v>14</v>
      </c>
      <c r="B919" s="146" t="s">
        <v>419</v>
      </c>
      <c r="C919" s="146" t="s">
        <v>420</v>
      </c>
      <c r="D919" s="145" t="s">
        <v>50</v>
      </c>
      <c r="E919" s="146" t="s">
        <v>421</v>
      </c>
      <c r="F919" s="145" t="s">
        <v>52</v>
      </c>
      <c r="G919" s="146" t="s">
        <v>20</v>
      </c>
      <c r="H919" s="146">
        <v>201603</v>
      </c>
      <c r="I919" s="147">
        <v>3118.93</v>
      </c>
      <c r="J919" s="144">
        <f t="shared" si="74"/>
        <v>8</v>
      </c>
      <c r="K919" s="148">
        <v>2.23333E-3</v>
      </c>
      <c r="L919" s="147">
        <f t="shared" si="75"/>
        <v>55.72</v>
      </c>
      <c r="M919" s="147">
        <f t="shared" si="76"/>
        <v>83.59</v>
      </c>
      <c r="N919" s="145"/>
      <c r="P919" s="164"/>
      <c r="Q919" s="164"/>
      <c r="R919" s="165"/>
    </row>
    <row r="920" spans="1:18">
      <c r="A920" s="145" t="s">
        <v>14</v>
      </c>
      <c r="B920" s="146" t="s">
        <v>107</v>
      </c>
      <c r="C920" s="146" t="s">
        <v>108</v>
      </c>
      <c r="D920" s="145" t="s">
        <v>109</v>
      </c>
      <c r="E920" s="146" t="s">
        <v>110</v>
      </c>
      <c r="F920" s="145" t="s">
        <v>52</v>
      </c>
      <c r="G920" s="146" t="s">
        <v>20</v>
      </c>
      <c r="H920" s="146">
        <v>201604</v>
      </c>
      <c r="I920" s="147">
        <v>6408.81</v>
      </c>
      <c r="J920" s="144">
        <f t="shared" si="74"/>
        <v>7</v>
      </c>
      <c r="K920" s="148">
        <v>2.23333E-3</v>
      </c>
      <c r="L920" s="147">
        <f t="shared" si="75"/>
        <v>100.19</v>
      </c>
      <c r="M920" s="147">
        <f t="shared" si="76"/>
        <v>171.76</v>
      </c>
      <c r="N920" s="145"/>
      <c r="P920" s="164"/>
      <c r="Q920" s="164"/>
      <c r="R920" s="165"/>
    </row>
    <row r="921" spans="1:18">
      <c r="A921" s="145" t="s">
        <v>14</v>
      </c>
      <c r="B921" s="146" t="s">
        <v>1676</v>
      </c>
      <c r="C921" s="146" t="s">
        <v>1677</v>
      </c>
      <c r="D921" s="145" t="s">
        <v>50</v>
      </c>
      <c r="E921" s="146" t="s">
        <v>1678</v>
      </c>
      <c r="F921" s="145" t="s">
        <v>52</v>
      </c>
      <c r="G921" s="146" t="s">
        <v>20</v>
      </c>
      <c r="H921" s="146">
        <v>201604</v>
      </c>
      <c r="I921" s="147">
        <v>27.71</v>
      </c>
      <c r="J921" s="144">
        <f t="shared" si="74"/>
        <v>7</v>
      </c>
      <c r="K921" s="148">
        <v>2.23333E-3</v>
      </c>
      <c r="L921" s="147">
        <f t="shared" si="75"/>
        <v>0.43</v>
      </c>
      <c r="M921" s="147">
        <f t="shared" si="76"/>
        <v>0.74</v>
      </c>
      <c r="N921" s="145"/>
      <c r="P921" s="164"/>
      <c r="Q921" s="164"/>
      <c r="R921" s="165"/>
    </row>
    <row r="922" spans="1:18">
      <c r="A922" s="145" t="s">
        <v>14</v>
      </c>
      <c r="B922" s="146" t="s">
        <v>419</v>
      </c>
      <c r="C922" s="146" t="s">
        <v>420</v>
      </c>
      <c r="D922" s="145" t="s">
        <v>50</v>
      </c>
      <c r="E922" s="146" t="s">
        <v>421</v>
      </c>
      <c r="F922" s="145" t="s">
        <v>52</v>
      </c>
      <c r="G922" s="146" t="s">
        <v>20</v>
      </c>
      <c r="H922" s="146">
        <v>201604</v>
      </c>
      <c r="I922" s="147">
        <v>1277.6099999999999</v>
      </c>
      <c r="J922" s="144">
        <f t="shared" si="74"/>
        <v>7</v>
      </c>
      <c r="K922" s="148">
        <v>2.23333E-3</v>
      </c>
      <c r="L922" s="147">
        <f t="shared" si="75"/>
        <v>19.97</v>
      </c>
      <c r="M922" s="147">
        <f t="shared" si="76"/>
        <v>34.24</v>
      </c>
      <c r="N922" s="145"/>
      <c r="P922" s="164"/>
      <c r="Q922" s="164"/>
      <c r="R922" s="165"/>
    </row>
    <row r="923" spans="1:18">
      <c r="A923" s="145" t="s">
        <v>14</v>
      </c>
      <c r="B923" s="146" t="s">
        <v>107</v>
      </c>
      <c r="C923" s="146" t="s">
        <v>108</v>
      </c>
      <c r="D923" s="145" t="s">
        <v>109</v>
      </c>
      <c r="E923" s="146" t="s">
        <v>110</v>
      </c>
      <c r="F923" s="145" t="s">
        <v>52</v>
      </c>
      <c r="G923" s="146" t="s">
        <v>20</v>
      </c>
      <c r="H923" s="146">
        <v>201605</v>
      </c>
      <c r="I923" s="147">
        <v>-429.66</v>
      </c>
      <c r="J923" s="144">
        <f t="shared" si="74"/>
        <v>6</v>
      </c>
      <c r="K923" s="148">
        <v>2.23333E-3</v>
      </c>
      <c r="L923" s="147">
        <f t="shared" si="75"/>
        <v>-5.76</v>
      </c>
      <c r="M923" s="147">
        <f t="shared" si="76"/>
        <v>-11.51</v>
      </c>
      <c r="N923" s="145"/>
      <c r="P923" s="164"/>
      <c r="Q923" s="164"/>
      <c r="R923" s="165"/>
    </row>
    <row r="924" spans="1:18">
      <c r="A924" s="145" t="s">
        <v>14</v>
      </c>
      <c r="B924" s="146" t="s">
        <v>1676</v>
      </c>
      <c r="C924" s="146" t="s">
        <v>1677</v>
      </c>
      <c r="D924" s="145" t="s">
        <v>50</v>
      </c>
      <c r="E924" s="146" t="s">
        <v>1678</v>
      </c>
      <c r="F924" s="145" t="s">
        <v>52</v>
      </c>
      <c r="G924" s="146" t="s">
        <v>20</v>
      </c>
      <c r="H924" s="146">
        <v>201605</v>
      </c>
      <c r="I924" s="147">
        <v>19.91</v>
      </c>
      <c r="J924" s="144">
        <f t="shared" si="74"/>
        <v>6</v>
      </c>
      <c r="K924" s="148">
        <v>2.23333E-3</v>
      </c>
      <c r="L924" s="147">
        <f t="shared" si="75"/>
        <v>0.27</v>
      </c>
      <c r="M924" s="147">
        <f t="shared" si="76"/>
        <v>0.53</v>
      </c>
      <c r="N924" s="145"/>
      <c r="P924" s="164"/>
      <c r="Q924" s="164"/>
      <c r="R924" s="165"/>
    </row>
    <row r="925" spans="1:18">
      <c r="A925" s="145" t="s">
        <v>14</v>
      </c>
      <c r="B925" s="146" t="s">
        <v>419</v>
      </c>
      <c r="C925" s="146" t="s">
        <v>420</v>
      </c>
      <c r="D925" s="145" t="s">
        <v>50</v>
      </c>
      <c r="E925" s="146" t="s">
        <v>421</v>
      </c>
      <c r="F925" s="145" t="s">
        <v>52</v>
      </c>
      <c r="G925" s="146" t="s">
        <v>20</v>
      </c>
      <c r="H925" s="146">
        <v>201605</v>
      </c>
      <c r="I925" s="147">
        <v>888.11</v>
      </c>
      <c r="J925" s="144">
        <f t="shared" si="74"/>
        <v>6</v>
      </c>
      <c r="K925" s="148">
        <v>2.23333E-3</v>
      </c>
      <c r="L925" s="147">
        <f t="shared" si="75"/>
        <v>11.9</v>
      </c>
      <c r="M925" s="147">
        <f t="shared" si="76"/>
        <v>23.8</v>
      </c>
      <c r="N925" s="145"/>
      <c r="P925" s="164"/>
      <c r="Q925" s="164"/>
      <c r="R925" s="165"/>
    </row>
    <row r="926" spans="1:18">
      <c r="A926" s="145" t="s">
        <v>14</v>
      </c>
      <c r="B926" s="146" t="s">
        <v>839</v>
      </c>
      <c r="C926" s="146" t="s">
        <v>840</v>
      </c>
      <c r="D926" s="145" t="s">
        <v>50</v>
      </c>
      <c r="E926" s="146" t="s">
        <v>841</v>
      </c>
      <c r="F926" s="145" t="s">
        <v>52</v>
      </c>
      <c r="G926" s="146" t="s">
        <v>20</v>
      </c>
      <c r="H926" s="146">
        <v>201605</v>
      </c>
      <c r="I926" s="147">
        <v>1019.88</v>
      </c>
      <c r="J926" s="144">
        <f t="shared" si="74"/>
        <v>6</v>
      </c>
      <c r="K926" s="148">
        <v>2.23333E-3</v>
      </c>
      <c r="L926" s="147">
        <f t="shared" si="75"/>
        <v>13.67</v>
      </c>
      <c r="M926" s="147">
        <f t="shared" si="76"/>
        <v>27.33</v>
      </c>
      <c r="N926" s="145"/>
      <c r="P926" s="164"/>
      <c r="Q926" s="164"/>
      <c r="R926" s="165"/>
    </row>
    <row r="927" spans="1:18">
      <c r="A927" s="145" t="s">
        <v>14</v>
      </c>
      <c r="B927" s="146" t="s">
        <v>107</v>
      </c>
      <c r="C927" s="146" t="s">
        <v>108</v>
      </c>
      <c r="D927" s="145" t="s">
        <v>109</v>
      </c>
      <c r="E927" s="146" t="s">
        <v>110</v>
      </c>
      <c r="F927" s="145" t="s">
        <v>52</v>
      </c>
      <c r="G927" s="146" t="s">
        <v>20</v>
      </c>
      <c r="H927" s="146">
        <v>201606</v>
      </c>
      <c r="I927" s="147">
        <v>314.33999999999997</v>
      </c>
      <c r="J927" s="144">
        <f t="shared" si="74"/>
        <v>5</v>
      </c>
      <c r="K927" s="148">
        <v>2.23333E-3</v>
      </c>
      <c r="L927" s="147">
        <f t="shared" si="75"/>
        <v>3.51</v>
      </c>
      <c r="M927" s="147">
        <f t="shared" si="76"/>
        <v>8.42</v>
      </c>
      <c r="N927" s="145"/>
      <c r="P927" s="164"/>
      <c r="Q927" s="164"/>
      <c r="R927" s="165"/>
    </row>
    <row r="928" spans="1:18">
      <c r="A928" s="145" t="s">
        <v>14</v>
      </c>
      <c r="B928" s="146" t="s">
        <v>1676</v>
      </c>
      <c r="C928" s="146" t="s">
        <v>1677</v>
      </c>
      <c r="D928" s="145" t="s">
        <v>50</v>
      </c>
      <c r="E928" s="146" t="s">
        <v>1678</v>
      </c>
      <c r="F928" s="145" t="s">
        <v>52</v>
      </c>
      <c r="G928" s="146" t="s">
        <v>20</v>
      </c>
      <c r="H928" s="146">
        <v>201606</v>
      </c>
      <c r="I928" s="147">
        <v>12.2</v>
      </c>
      <c r="J928" s="144">
        <f t="shared" si="74"/>
        <v>5</v>
      </c>
      <c r="K928" s="148">
        <v>2.23333E-3</v>
      </c>
      <c r="L928" s="147">
        <f t="shared" si="75"/>
        <v>0.14000000000000001</v>
      </c>
      <c r="M928" s="147">
        <f t="shared" si="76"/>
        <v>0.33</v>
      </c>
      <c r="N928" s="145"/>
      <c r="P928" s="164"/>
      <c r="Q928" s="164"/>
      <c r="R928" s="165"/>
    </row>
    <row r="929" spans="1:18">
      <c r="A929" s="145" t="s">
        <v>14</v>
      </c>
      <c r="B929" s="146" t="s">
        <v>419</v>
      </c>
      <c r="C929" s="146" t="s">
        <v>420</v>
      </c>
      <c r="D929" s="145" t="s">
        <v>50</v>
      </c>
      <c r="E929" s="146" t="s">
        <v>421</v>
      </c>
      <c r="F929" s="145" t="s">
        <v>52</v>
      </c>
      <c r="G929" s="146" t="s">
        <v>20</v>
      </c>
      <c r="H929" s="146">
        <v>201606</v>
      </c>
      <c r="I929" s="147">
        <v>1779.86</v>
      </c>
      <c r="J929" s="144">
        <f t="shared" si="74"/>
        <v>5</v>
      </c>
      <c r="K929" s="148">
        <v>2.23333E-3</v>
      </c>
      <c r="L929" s="147">
        <f t="shared" si="75"/>
        <v>19.88</v>
      </c>
      <c r="M929" s="147">
        <f t="shared" si="76"/>
        <v>47.7</v>
      </c>
      <c r="N929" s="145"/>
      <c r="P929" s="164"/>
      <c r="Q929" s="164"/>
      <c r="R929" s="165"/>
    </row>
    <row r="930" spans="1:18">
      <c r="A930" s="145" t="s">
        <v>14</v>
      </c>
      <c r="B930" s="146" t="s">
        <v>839</v>
      </c>
      <c r="C930" s="146" t="s">
        <v>840</v>
      </c>
      <c r="D930" s="145" t="s">
        <v>50</v>
      </c>
      <c r="E930" s="146" t="s">
        <v>841</v>
      </c>
      <c r="F930" s="145" t="s">
        <v>52</v>
      </c>
      <c r="G930" s="146" t="s">
        <v>20</v>
      </c>
      <c r="H930" s="146">
        <v>201606</v>
      </c>
      <c r="I930" s="147">
        <v>10.35</v>
      </c>
      <c r="J930" s="144">
        <f t="shared" si="74"/>
        <v>5</v>
      </c>
      <c r="K930" s="148">
        <v>2.23333E-3</v>
      </c>
      <c r="L930" s="147">
        <f t="shared" ref="L930:L934" si="77">ROUND(I930*J930*K930,2)</f>
        <v>0.12</v>
      </c>
      <c r="M930" s="147">
        <f t="shared" si="76"/>
        <v>0.28000000000000003</v>
      </c>
      <c r="N930" s="145"/>
      <c r="P930" s="164"/>
      <c r="Q930" s="164"/>
      <c r="R930" s="165"/>
    </row>
    <row r="931" spans="1:18">
      <c r="A931" s="151" t="s">
        <v>14</v>
      </c>
      <c r="B931" s="152" t="s">
        <v>839</v>
      </c>
      <c r="C931" s="152" t="s">
        <v>840</v>
      </c>
      <c r="D931" s="151" t="s">
        <v>50</v>
      </c>
      <c r="E931" s="152" t="s">
        <v>841</v>
      </c>
      <c r="F931" s="151" t="s">
        <v>52</v>
      </c>
      <c r="G931" s="152" t="s">
        <v>20</v>
      </c>
      <c r="H931" s="153">
        <v>201607</v>
      </c>
      <c r="I931" s="154">
        <v>5.24</v>
      </c>
      <c r="J931" s="144">
        <f t="shared" si="74"/>
        <v>4</v>
      </c>
      <c r="K931" s="155">
        <v>2.23333E-3</v>
      </c>
      <c r="L931" s="154">
        <f t="shared" si="77"/>
        <v>0.05</v>
      </c>
      <c r="M931" s="154">
        <f t="shared" si="76"/>
        <v>0.14000000000000001</v>
      </c>
      <c r="N931" s="145"/>
      <c r="P931" s="164"/>
      <c r="Q931" s="164"/>
      <c r="R931" s="165"/>
    </row>
    <row r="932" spans="1:18">
      <c r="A932" s="151" t="s">
        <v>14</v>
      </c>
      <c r="B932" s="152" t="s">
        <v>1676</v>
      </c>
      <c r="C932" s="152" t="s">
        <v>1677</v>
      </c>
      <c r="D932" s="151" t="s">
        <v>50</v>
      </c>
      <c r="E932" s="152" t="s">
        <v>1678</v>
      </c>
      <c r="F932" s="151" t="s">
        <v>52</v>
      </c>
      <c r="G932" s="152" t="s">
        <v>20</v>
      </c>
      <c r="H932" s="153">
        <v>201607</v>
      </c>
      <c r="I932" s="154">
        <v>6.99</v>
      </c>
      <c r="J932" s="144">
        <f t="shared" si="74"/>
        <v>4</v>
      </c>
      <c r="K932" s="155">
        <v>2.23333E-3</v>
      </c>
      <c r="L932" s="154">
        <f t="shared" si="77"/>
        <v>0.06</v>
      </c>
      <c r="M932" s="154">
        <f t="shared" si="76"/>
        <v>0.19</v>
      </c>
      <c r="N932" s="145"/>
      <c r="P932" s="164"/>
      <c r="Q932" s="164"/>
      <c r="R932" s="165"/>
    </row>
    <row r="933" spans="1:18">
      <c r="A933" s="151" t="s">
        <v>14</v>
      </c>
      <c r="B933" s="152" t="s">
        <v>107</v>
      </c>
      <c r="C933" s="152" t="s">
        <v>108</v>
      </c>
      <c r="D933" s="151" t="s">
        <v>109</v>
      </c>
      <c r="E933" s="152" t="s">
        <v>110</v>
      </c>
      <c r="F933" s="151" t="s">
        <v>52</v>
      </c>
      <c r="G933" s="152" t="s">
        <v>20</v>
      </c>
      <c r="H933" s="153">
        <v>201607</v>
      </c>
      <c r="I933" s="154">
        <v>170.06</v>
      </c>
      <c r="J933" s="144">
        <f t="shared" si="74"/>
        <v>4</v>
      </c>
      <c r="K933" s="155">
        <v>2.23333E-3</v>
      </c>
      <c r="L933" s="154">
        <f t="shared" si="77"/>
        <v>1.52</v>
      </c>
      <c r="M933" s="154">
        <f t="shared" si="76"/>
        <v>4.5599999999999996</v>
      </c>
      <c r="N933" s="145"/>
      <c r="P933" s="164"/>
      <c r="Q933" s="164"/>
      <c r="R933" s="165"/>
    </row>
    <row r="934" spans="1:18">
      <c r="A934" s="161" t="s">
        <v>14</v>
      </c>
      <c r="B934" s="160" t="s">
        <v>419</v>
      </c>
      <c r="C934" s="160" t="s">
        <v>420</v>
      </c>
      <c r="D934" s="161" t="s">
        <v>50</v>
      </c>
      <c r="E934" s="160" t="s">
        <v>421</v>
      </c>
      <c r="F934" s="161" t="s">
        <v>52</v>
      </c>
      <c r="G934" s="160" t="s">
        <v>20</v>
      </c>
      <c r="H934" s="103">
        <v>201607</v>
      </c>
      <c r="I934" s="154">
        <v>4397.18</v>
      </c>
      <c r="J934" s="144">
        <f t="shared" si="74"/>
        <v>4</v>
      </c>
      <c r="K934" s="155">
        <v>2.23333E-3</v>
      </c>
      <c r="L934" s="154">
        <f t="shared" si="77"/>
        <v>39.28</v>
      </c>
      <c r="M934" s="154">
        <f t="shared" si="76"/>
        <v>117.84</v>
      </c>
      <c r="N934" s="145"/>
      <c r="P934" s="164"/>
      <c r="Q934" s="164"/>
      <c r="R934" s="165"/>
    </row>
    <row r="935" spans="1:18">
      <c r="A935" s="161"/>
      <c r="B935" s="160"/>
      <c r="C935" s="160"/>
      <c r="D935" s="161"/>
      <c r="E935" s="160"/>
      <c r="F935" s="161"/>
      <c r="G935" s="160"/>
      <c r="H935" s="103"/>
      <c r="I935" s="293">
        <f>SUM(I834:I934)</f>
        <v>587729.20000000007</v>
      </c>
      <c r="J935" s="144"/>
      <c r="K935" s="155"/>
      <c r="L935" s="293">
        <f t="shared" ref="L935:M935" si="78">SUM(L834:L934)</f>
        <v>7617.9900000000034</v>
      </c>
      <c r="M935" s="293">
        <f t="shared" si="78"/>
        <v>15785.469999999994</v>
      </c>
      <c r="N935" s="145"/>
      <c r="P935" s="164"/>
      <c r="Q935" s="164"/>
      <c r="R935" s="165"/>
    </row>
    <row r="936" spans="1:18">
      <c r="A936" s="161"/>
      <c r="B936" s="160"/>
      <c r="C936" s="160"/>
      <c r="D936" s="161"/>
      <c r="E936" s="160"/>
      <c r="F936" s="161"/>
      <c r="G936" s="160"/>
      <c r="H936" s="103"/>
      <c r="I936" s="154"/>
      <c r="J936" s="144"/>
      <c r="K936" s="155"/>
      <c r="L936" s="154"/>
      <c r="M936" s="154"/>
      <c r="N936" s="145"/>
      <c r="P936" s="164"/>
      <c r="Q936" s="164"/>
      <c r="R936" s="165"/>
    </row>
    <row r="937" spans="1:18">
      <c r="A937" s="145" t="s">
        <v>127</v>
      </c>
      <c r="B937" s="146" t="s">
        <v>1130</v>
      </c>
      <c r="C937" s="146" t="s">
        <v>1131</v>
      </c>
      <c r="D937" s="145" t="s">
        <v>1132</v>
      </c>
      <c r="E937" s="146" t="s">
        <v>131</v>
      </c>
      <c r="F937" s="145" t="s">
        <v>1607</v>
      </c>
      <c r="G937" s="146" t="s">
        <v>20</v>
      </c>
      <c r="H937" s="146">
        <v>201604</v>
      </c>
      <c r="I937" s="147">
        <v>11544.71</v>
      </c>
      <c r="J937" s="144">
        <f t="shared" ref="J937:J948" si="79">HLOOKUP(H937,$Q$2:$Z$3,2)</f>
        <v>7</v>
      </c>
      <c r="K937" s="148">
        <v>2.3833299999999999E-3</v>
      </c>
      <c r="L937" s="147">
        <f t="shared" ref="L937:L948" si="80">ROUND(I937*J937*K937,2)</f>
        <v>192.6</v>
      </c>
      <c r="M937" s="147">
        <f t="shared" ref="M937:M948" si="81">ROUND(I937*K937*12,2)</f>
        <v>330.18</v>
      </c>
      <c r="N937" s="145"/>
      <c r="P937" s="164"/>
      <c r="Q937" s="164"/>
      <c r="R937" s="165"/>
    </row>
    <row r="938" spans="1:18">
      <c r="A938" s="145" t="s">
        <v>127</v>
      </c>
      <c r="B938" s="146" t="s">
        <v>1130</v>
      </c>
      <c r="C938" s="146" t="s">
        <v>1131</v>
      </c>
      <c r="D938" s="145" t="s">
        <v>1132</v>
      </c>
      <c r="E938" s="146" t="s">
        <v>131</v>
      </c>
      <c r="F938" s="145" t="s">
        <v>1607</v>
      </c>
      <c r="G938" s="146" t="s">
        <v>20</v>
      </c>
      <c r="H938" s="146">
        <v>201605</v>
      </c>
      <c r="I938" s="147">
        <v>7.0000000000000007E-2</v>
      </c>
      <c r="J938" s="144">
        <f t="shared" si="79"/>
        <v>6</v>
      </c>
      <c r="K938" s="148">
        <v>2.3833299999999999E-3</v>
      </c>
      <c r="L938" s="147">
        <f t="shared" si="80"/>
        <v>0</v>
      </c>
      <c r="M938" s="147">
        <f t="shared" si="81"/>
        <v>0</v>
      </c>
      <c r="N938" s="145"/>
      <c r="P938" s="164"/>
      <c r="Q938" s="164"/>
      <c r="R938" s="165"/>
    </row>
    <row r="939" spans="1:18">
      <c r="A939" s="145" t="s">
        <v>127</v>
      </c>
      <c r="B939" s="146" t="s">
        <v>1130</v>
      </c>
      <c r="C939" s="146" t="s">
        <v>1131</v>
      </c>
      <c r="D939" s="145" t="s">
        <v>1132</v>
      </c>
      <c r="E939" s="146" t="s">
        <v>131</v>
      </c>
      <c r="F939" s="145" t="s">
        <v>1607</v>
      </c>
      <c r="G939" s="146" t="s">
        <v>20</v>
      </c>
      <c r="H939" s="146">
        <v>201606</v>
      </c>
      <c r="I939" s="147">
        <v>0.04</v>
      </c>
      <c r="J939" s="144">
        <f t="shared" si="79"/>
        <v>5</v>
      </c>
      <c r="K939" s="148">
        <v>2.3833299999999999E-3</v>
      </c>
      <c r="L939" s="147">
        <f t="shared" si="80"/>
        <v>0</v>
      </c>
      <c r="M939" s="147">
        <f t="shared" si="81"/>
        <v>0</v>
      </c>
      <c r="N939" s="145"/>
      <c r="P939" s="164"/>
      <c r="Q939" s="164"/>
      <c r="R939" s="165"/>
    </row>
    <row r="940" spans="1:18">
      <c r="A940" s="151" t="s">
        <v>127</v>
      </c>
      <c r="B940" s="152" t="s">
        <v>1130</v>
      </c>
      <c r="C940" s="152" t="s">
        <v>1131</v>
      </c>
      <c r="D940" s="151" t="s">
        <v>1132</v>
      </c>
      <c r="E940" s="152" t="s">
        <v>131</v>
      </c>
      <c r="F940" s="151" t="s">
        <v>1607</v>
      </c>
      <c r="G940" s="152" t="s">
        <v>20</v>
      </c>
      <c r="H940" s="153">
        <v>201607</v>
      </c>
      <c r="I940" s="154">
        <v>0.03</v>
      </c>
      <c r="J940" s="144">
        <f t="shared" si="79"/>
        <v>4</v>
      </c>
      <c r="K940" s="155">
        <v>2.3833299999999999E-3</v>
      </c>
      <c r="L940" s="154">
        <f t="shared" si="80"/>
        <v>0</v>
      </c>
      <c r="M940" s="154">
        <f t="shared" si="81"/>
        <v>0</v>
      </c>
      <c r="N940" s="145"/>
      <c r="P940" s="164"/>
      <c r="Q940" s="164"/>
      <c r="R940" s="165"/>
    </row>
    <row r="941" spans="1:18">
      <c r="A941" s="145" t="s">
        <v>127</v>
      </c>
      <c r="B941" s="146" t="s">
        <v>1785</v>
      </c>
      <c r="C941" s="146" t="s">
        <v>1786</v>
      </c>
      <c r="D941" s="145" t="s">
        <v>1787</v>
      </c>
      <c r="E941" s="146" t="s">
        <v>1580</v>
      </c>
      <c r="F941" s="145" t="s">
        <v>217</v>
      </c>
      <c r="G941" s="146" t="s">
        <v>20</v>
      </c>
      <c r="H941" s="146">
        <v>201603</v>
      </c>
      <c r="I941" s="147">
        <v>-32.619999999999997</v>
      </c>
      <c r="J941" s="144">
        <f t="shared" si="79"/>
        <v>8</v>
      </c>
      <c r="K941" s="148">
        <v>2.3833299999999999E-3</v>
      </c>
      <c r="L941" s="147">
        <f t="shared" si="80"/>
        <v>-0.62</v>
      </c>
      <c r="M941" s="147">
        <f t="shared" si="81"/>
        <v>-0.93</v>
      </c>
      <c r="N941" s="145"/>
      <c r="P941" s="164"/>
      <c r="Q941" s="164"/>
      <c r="R941" s="165"/>
    </row>
    <row r="942" spans="1:18">
      <c r="A942" s="145" t="s">
        <v>990</v>
      </c>
      <c r="B942" s="146" t="s">
        <v>1581</v>
      </c>
      <c r="C942" s="146" t="s">
        <v>1584</v>
      </c>
      <c r="D942" s="145" t="s">
        <v>1583</v>
      </c>
      <c r="E942" s="146" t="s">
        <v>216</v>
      </c>
      <c r="F942" s="145" t="s">
        <v>217</v>
      </c>
      <c r="G942" s="146" t="s">
        <v>20</v>
      </c>
      <c r="H942" s="146">
        <v>201603</v>
      </c>
      <c r="I942" s="147">
        <v>-13.19</v>
      </c>
      <c r="J942" s="144">
        <f t="shared" si="79"/>
        <v>8</v>
      </c>
      <c r="K942" s="148">
        <v>2.3833299999999999E-3</v>
      </c>
      <c r="L942" s="147">
        <f t="shared" si="80"/>
        <v>-0.25</v>
      </c>
      <c r="M942" s="147">
        <f t="shared" si="81"/>
        <v>-0.38</v>
      </c>
      <c r="N942" s="145"/>
      <c r="P942" s="164"/>
      <c r="Q942" s="164"/>
      <c r="R942" s="165"/>
    </row>
    <row r="943" spans="1:18">
      <c r="A943" s="145" t="s">
        <v>127</v>
      </c>
      <c r="B943" s="146" t="s">
        <v>1581</v>
      </c>
      <c r="C943" s="146" t="s">
        <v>1584</v>
      </c>
      <c r="D943" s="145" t="s">
        <v>1583</v>
      </c>
      <c r="E943" s="146" t="s">
        <v>216</v>
      </c>
      <c r="F943" s="145" t="s">
        <v>217</v>
      </c>
      <c r="G943" s="146" t="s">
        <v>20</v>
      </c>
      <c r="H943" s="146">
        <v>201603</v>
      </c>
      <c r="I943" s="147">
        <v>13.19</v>
      </c>
      <c r="J943" s="144">
        <f t="shared" si="79"/>
        <v>8</v>
      </c>
      <c r="K943" s="148">
        <v>2.3833299999999999E-3</v>
      </c>
      <c r="L943" s="147">
        <f t="shared" si="80"/>
        <v>0.25</v>
      </c>
      <c r="M943" s="147">
        <f t="shared" si="81"/>
        <v>0.38</v>
      </c>
      <c r="N943" s="145"/>
      <c r="P943" s="164"/>
      <c r="Q943" s="164"/>
      <c r="R943" s="165"/>
    </row>
    <row r="944" spans="1:18">
      <c r="A944" s="145" t="s">
        <v>127</v>
      </c>
      <c r="B944" s="146" t="s">
        <v>1785</v>
      </c>
      <c r="C944" s="146" t="s">
        <v>1786</v>
      </c>
      <c r="D944" s="145" t="s">
        <v>1787</v>
      </c>
      <c r="E944" s="146" t="s">
        <v>1580</v>
      </c>
      <c r="F944" s="145" t="s">
        <v>217</v>
      </c>
      <c r="G944" s="146" t="s">
        <v>20</v>
      </c>
      <c r="H944" s="146">
        <v>201604</v>
      </c>
      <c r="I944" s="147">
        <v>105.33</v>
      </c>
      <c r="J944" s="144">
        <f t="shared" si="79"/>
        <v>7</v>
      </c>
      <c r="K944" s="148">
        <v>2.3833299999999999E-3</v>
      </c>
      <c r="L944" s="147">
        <f t="shared" si="80"/>
        <v>1.76</v>
      </c>
      <c r="M944" s="147">
        <f t="shared" si="81"/>
        <v>3.01</v>
      </c>
      <c r="N944" s="145"/>
      <c r="P944" s="164"/>
      <c r="Q944" s="164"/>
      <c r="R944" s="165"/>
    </row>
    <row r="945" spans="1:18">
      <c r="A945" s="145" t="s">
        <v>990</v>
      </c>
      <c r="B945" s="146" t="s">
        <v>1581</v>
      </c>
      <c r="C945" s="146" t="s">
        <v>1584</v>
      </c>
      <c r="D945" s="145" t="s">
        <v>1583</v>
      </c>
      <c r="E945" s="146" t="s">
        <v>216</v>
      </c>
      <c r="F945" s="145" t="s">
        <v>217</v>
      </c>
      <c r="G945" s="146" t="s">
        <v>20</v>
      </c>
      <c r="H945" s="146">
        <v>201604</v>
      </c>
      <c r="I945" s="147">
        <v>13.19</v>
      </c>
      <c r="J945" s="144">
        <f t="shared" si="79"/>
        <v>7</v>
      </c>
      <c r="K945" s="148">
        <v>2.3833299999999999E-3</v>
      </c>
      <c r="L945" s="147">
        <f t="shared" si="80"/>
        <v>0.22</v>
      </c>
      <c r="M945" s="147">
        <f t="shared" si="81"/>
        <v>0.38</v>
      </c>
      <c r="N945" s="145"/>
      <c r="P945" s="164"/>
      <c r="Q945" s="164"/>
      <c r="R945" s="165"/>
    </row>
    <row r="946" spans="1:18">
      <c r="A946" s="145" t="s">
        <v>127</v>
      </c>
      <c r="B946" s="146" t="s">
        <v>1785</v>
      </c>
      <c r="C946" s="146" t="s">
        <v>1786</v>
      </c>
      <c r="D946" s="145" t="s">
        <v>1787</v>
      </c>
      <c r="E946" s="146" t="s">
        <v>1580</v>
      </c>
      <c r="F946" s="145" t="s">
        <v>217</v>
      </c>
      <c r="G946" s="146" t="s">
        <v>20</v>
      </c>
      <c r="H946" s="146">
        <v>201605</v>
      </c>
      <c r="I946" s="147">
        <v>59.36</v>
      </c>
      <c r="J946" s="144">
        <f t="shared" si="79"/>
        <v>6</v>
      </c>
      <c r="K946" s="148">
        <v>2.3833299999999999E-3</v>
      </c>
      <c r="L946" s="147">
        <f t="shared" si="80"/>
        <v>0.85</v>
      </c>
      <c r="M946" s="147">
        <f t="shared" si="81"/>
        <v>1.7</v>
      </c>
      <c r="N946" s="145"/>
      <c r="P946" s="164"/>
      <c r="Q946" s="164"/>
      <c r="R946" s="165"/>
    </row>
    <row r="947" spans="1:18">
      <c r="A947" s="145" t="s">
        <v>127</v>
      </c>
      <c r="B947" s="146" t="s">
        <v>1785</v>
      </c>
      <c r="C947" s="146" t="s">
        <v>1786</v>
      </c>
      <c r="D947" s="145" t="s">
        <v>1787</v>
      </c>
      <c r="E947" s="146" t="s">
        <v>1580</v>
      </c>
      <c r="F947" s="145" t="s">
        <v>217</v>
      </c>
      <c r="G947" s="146" t="s">
        <v>20</v>
      </c>
      <c r="H947" s="146">
        <v>201606</v>
      </c>
      <c r="I947" s="147">
        <v>38.68</v>
      </c>
      <c r="J947" s="144">
        <f t="shared" si="79"/>
        <v>5</v>
      </c>
      <c r="K947" s="148">
        <v>2.3833299999999999E-3</v>
      </c>
      <c r="L947" s="147">
        <f t="shared" si="80"/>
        <v>0.46</v>
      </c>
      <c r="M947" s="147">
        <f t="shared" si="81"/>
        <v>1.1100000000000001</v>
      </c>
      <c r="N947" s="145"/>
      <c r="P947" s="164"/>
      <c r="Q947" s="164"/>
      <c r="R947" s="165"/>
    </row>
    <row r="948" spans="1:18">
      <c r="A948" s="151" t="s">
        <v>127</v>
      </c>
      <c r="B948" s="152" t="s">
        <v>1785</v>
      </c>
      <c r="C948" s="152" t="s">
        <v>1786</v>
      </c>
      <c r="D948" s="151" t="s">
        <v>1787</v>
      </c>
      <c r="E948" s="152" t="s">
        <v>1580</v>
      </c>
      <c r="F948" s="151" t="s">
        <v>217</v>
      </c>
      <c r="G948" s="152" t="s">
        <v>20</v>
      </c>
      <c r="H948" s="153">
        <v>201607</v>
      </c>
      <c r="I948" s="154">
        <v>34.659999999999997</v>
      </c>
      <c r="J948" s="144">
        <f t="shared" si="79"/>
        <v>4</v>
      </c>
      <c r="K948" s="155">
        <v>2.3833299999999999E-3</v>
      </c>
      <c r="L948" s="154">
        <f t="shared" si="80"/>
        <v>0.33</v>
      </c>
      <c r="M948" s="154">
        <f t="shared" si="81"/>
        <v>0.99</v>
      </c>
      <c r="N948" s="145"/>
      <c r="P948" s="164"/>
      <c r="Q948" s="164"/>
      <c r="R948" s="165"/>
    </row>
    <row r="949" spans="1:18">
      <c r="A949" s="151"/>
      <c r="B949" s="152"/>
      <c r="C949" s="152"/>
      <c r="D949" s="151"/>
      <c r="E949" s="152"/>
      <c r="F949" s="151"/>
      <c r="G949" s="152"/>
      <c r="H949" s="153"/>
      <c r="I949" s="293">
        <f>SUM(I937:I948)</f>
        <v>11763.45</v>
      </c>
      <c r="J949" s="144"/>
      <c r="K949" s="155"/>
      <c r="L949" s="293">
        <f t="shared" ref="L949:M949" si="82">SUM(L937:L948)</f>
        <v>195.6</v>
      </c>
      <c r="M949" s="293">
        <f t="shared" si="82"/>
        <v>336.44</v>
      </c>
      <c r="N949" s="145"/>
      <c r="P949" s="164"/>
      <c r="Q949" s="164"/>
      <c r="R949" s="165"/>
    </row>
    <row r="950" spans="1:18">
      <c r="A950" s="151"/>
      <c r="B950" s="152"/>
      <c r="C950" s="152"/>
      <c r="D950" s="151"/>
      <c r="E950" s="152"/>
      <c r="F950" s="151"/>
      <c r="G950" s="152"/>
      <c r="H950" s="153"/>
      <c r="I950" s="154"/>
      <c r="J950" s="144"/>
      <c r="K950" s="155"/>
      <c r="L950" s="154"/>
      <c r="M950" s="154"/>
      <c r="N950" s="145"/>
      <c r="P950" s="164"/>
      <c r="Q950" s="164"/>
      <c r="R950" s="165"/>
    </row>
    <row r="951" spans="1:18">
      <c r="A951" s="145" t="s">
        <v>21</v>
      </c>
      <c r="B951" s="146" t="s">
        <v>1767</v>
      </c>
      <c r="C951" s="146" t="s">
        <v>1768</v>
      </c>
      <c r="D951" s="145" t="s">
        <v>1769</v>
      </c>
      <c r="E951" s="146" t="s">
        <v>1413</v>
      </c>
      <c r="F951" s="145" t="s">
        <v>88</v>
      </c>
      <c r="G951" s="146" t="s">
        <v>20</v>
      </c>
      <c r="H951" s="146">
        <v>201603</v>
      </c>
      <c r="I951" s="147">
        <v>-431.87</v>
      </c>
      <c r="J951" s="144">
        <f t="shared" ref="J951:J982" si="83">HLOOKUP(H951,$Q$2:$Z$3,2)</f>
        <v>8</v>
      </c>
      <c r="K951" s="148">
        <v>1.4833299999999999E-3</v>
      </c>
      <c r="L951" s="147">
        <f t="shared" ref="L951:L982" si="84">ROUND(I951*J951*K951,2)</f>
        <v>-5.12</v>
      </c>
      <c r="M951" s="147">
        <f t="shared" ref="M951:M982" si="85">ROUND(I951*K951*12,2)</f>
        <v>-7.69</v>
      </c>
      <c r="N951" s="145"/>
      <c r="P951" s="164"/>
      <c r="Q951" s="164"/>
      <c r="R951" s="165"/>
    </row>
    <row r="952" spans="1:18">
      <c r="A952" s="145" t="s">
        <v>21</v>
      </c>
      <c r="B952" s="146" t="s">
        <v>1767</v>
      </c>
      <c r="C952" s="146" t="s">
        <v>1768</v>
      </c>
      <c r="D952" s="145" t="s">
        <v>1769</v>
      </c>
      <c r="E952" s="146" t="s">
        <v>1413</v>
      </c>
      <c r="F952" s="145" t="s">
        <v>88</v>
      </c>
      <c r="G952" s="146" t="s">
        <v>20</v>
      </c>
      <c r="H952" s="146">
        <v>201604</v>
      </c>
      <c r="I952" s="147">
        <v>313.20999999999998</v>
      </c>
      <c r="J952" s="144">
        <f t="shared" si="83"/>
        <v>7</v>
      </c>
      <c r="K952" s="148">
        <v>1.4833299999999999E-3</v>
      </c>
      <c r="L952" s="147">
        <f t="shared" si="84"/>
        <v>3.25</v>
      </c>
      <c r="M952" s="147">
        <f t="shared" si="85"/>
        <v>5.58</v>
      </c>
      <c r="N952" s="145"/>
      <c r="P952" s="164"/>
      <c r="Q952" s="164"/>
      <c r="R952" s="165"/>
    </row>
    <row r="953" spans="1:18">
      <c r="A953" s="145" t="s">
        <v>21</v>
      </c>
      <c r="B953" s="146" t="s">
        <v>1072</v>
      </c>
      <c r="C953" s="146" t="s">
        <v>1073</v>
      </c>
      <c r="D953" s="145" t="s">
        <v>1074</v>
      </c>
      <c r="E953" s="146" t="s">
        <v>857</v>
      </c>
      <c r="F953" s="145" t="s">
        <v>88</v>
      </c>
      <c r="G953" s="146" t="s">
        <v>20</v>
      </c>
      <c r="H953" s="146">
        <v>201604</v>
      </c>
      <c r="I953" s="147">
        <v>2114.7199999999998</v>
      </c>
      <c r="J953" s="144">
        <f t="shared" si="83"/>
        <v>7</v>
      </c>
      <c r="K953" s="148">
        <v>1.4833299999999999E-3</v>
      </c>
      <c r="L953" s="147">
        <f t="shared" si="84"/>
        <v>21.96</v>
      </c>
      <c r="M953" s="147">
        <f t="shared" si="85"/>
        <v>37.64</v>
      </c>
      <c r="N953" s="145"/>
      <c r="P953" s="164"/>
      <c r="Q953" s="164"/>
      <c r="R953" s="165"/>
    </row>
    <row r="954" spans="1:18">
      <c r="A954" s="145" t="s">
        <v>626</v>
      </c>
      <c r="B954" s="146" t="s">
        <v>1136</v>
      </c>
      <c r="C954" s="146" t="s">
        <v>1137</v>
      </c>
      <c r="D954" s="145" t="s">
        <v>1138</v>
      </c>
      <c r="E954" s="146" t="s">
        <v>962</v>
      </c>
      <c r="F954" s="145" t="s">
        <v>88</v>
      </c>
      <c r="G954" s="146" t="s">
        <v>20</v>
      </c>
      <c r="H954" s="146">
        <v>201604</v>
      </c>
      <c r="I954" s="147">
        <v>6070.61</v>
      </c>
      <c r="J954" s="144">
        <f t="shared" si="83"/>
        <v>7</v>
      </c>
      <c r="K954" s="148">
        <v>1.4833299999999999E-3</v>
      </c>
      <c r="L954" s="147">
        <f t="shared" si="84"/>
        <v>63.03</v>
      </c>
      <c r="M954" s="147">
        <f t="shared" si="85"/>
        <v>108.06</v>
      </c>
      <c r="N954" s="145"/>
      <c r="P954" s="164"/>
      <c r="Q954" s="164"/>
      <c r="R954" s="165"/>
    </row>
    <row r="955" spans="1:18">
      <c r="A955" s="145" t="s">
        <v>21</v>
      </c>
      <c r="B955" s="146" t="s">
        <v>1767</v>
      </c>
      <c r="C955" s="146" t="s">
        <v>1768</v>
      </c>
      <c r="D955" s="145" t="s">
        <v>1769</v>
      </c>
      <c r="E955" s="146" t="s">
        <v>1413</v>
      </c>
      <c r="F955" s="145" t="s">
        <v>88</v>
      </c>
      <c r="G955" s="146" t="s">
        <v>20</v>
      </c>
      <c r="H955" s="146">
        <v>201605</v>
      </c>
      <c r="I955" s="147">
        <v>268.66000000000003</v>
      </c>
      <c r="J955" s="144">
        <f t="shared" si="83"/>
        <v>6</v>
      </c>
      <c r="K955" s="148">
        <v>1.4833299999999999E-3</v>
      </c>
      <c r="L955" s="147">
        <f t="shared" si="84"/>
        <v>2.39</v>
      </c>
      <c r="M955" s="147">
        <f t="shared" si="85"/>
        <v>4.78</v>
      </c>
      <c r="N955" s="145"/>
      <c r="P955" s="164"/>
      <c r="Q955" s="164"/>
      <c r="R955" s="165"/>
    </row>
    <row r="956" spans="1:18">
      <c r="A956" s="145" t="s">
        <v>21</v>
      </c>
      <c r="B956" s="146" t="s">
        <v>1072</v>
      </c>
      <c r="C956" s="146" t="s">
        <v>1073</v>
      </c>
      <c r="D956" s="145" t="s">
        <v>1074</v>
      </c>
      <c r="E956" s="146" t="s">
        <v>857</v>
      </c>
      <c r="F956" s="145" t="s">
        <v>88</v>
      </c>
      <c r="G956" s="146" t="s">
        <v>20</v>
      </c>
      <c r="H956" s="146">
        <v>201605</v>
      </c>
      <c r="I956" s="147">
        <v>33.96</v>
      </c>
      <c r="J956" s="144">
        <f t="shared" si="83"/>
        <v>6</v>
      </c>
      <c r="K956" s="148">
        <v>1.4833299999999999E-3</v>
      </c>
      <c r="L956" s="147">
        <f t="shared" si="84"/>
        <v>0.3</v>
      </c>
      <c r="M956" s="147">
        <f t="shared" si="85"/>
        <v>0.6</v>
      </c>
      <c r="N956" s="145"/>
      <c r="P956" s="164"/>
      <c r="Q956" s="164"/>
      <c r="R956" s="165"/>
    </row>
    <row r="957" spans="1:18">
      <c r="A957" s="145" t="s">
        <v>626</v>
      </c>
      <c r="B957" s="146" t="s">
        <v>1136</v>
      </c>
      <c r="C957" s="146" t="s">
        <v>1137</v>
      </c>
      <c r="D957" s="145" t="s">
        <v>1138</v>
      </c>
      <c r="E957" s="146" t="s">
        <v>962</v>
      </c>
      <c r="F957" s="145" t="s">
        <v>88</v>
      </c>
      <c r="G957" s="146" t="s">
        <v>20</v>
      </c>
      <c r="H957" s="146">
        <v>201605</v>
      </c>
      <c r="I957" s="147">
        <v>13.43</v>
      </c>
      <c r="J957" s="144">
        <f t="shared" si="83"/>
        <v>6</v>
      </c>
      <c r="K957" s="148">
        <v>1.4833299999999999E-3</v>
      </c>
      <c r="L957" s="147">
        <f t="shared" si="84"/>
        <v>0.12</v>
      </c>
      <c r="M957" s="147">
        <f t="shared" si="85"/>
        <v>0.24</v>
      </c>
      <c r="N957" s="145"/>
      <c r="P957" s="164"/>
      <c r="Q957" s="164"/>
      <c r="R957" s="165"/>
    </row>
    <row r="958" spans="1:18">
      <c r="A958" s="145" t="s">
        <v>21</v>
      </c>
      <c r="B958" s="146" t="s">
        <v>1767</v>
      </c>
      <c r="C958" s="146" t="s">
        <v>1768</v>
      </c>
      <c r="D958" s="145" t="s">
        <v>1769</v>
      </c>
      <c r="E958" s="146" t="s">
        <v>1413</v>
      </c>
      <c r="F958" s="145" t="s">
        <v>88</v>
      </c>
      <c r="G958" s="146" t="s">
        <v>20</v>
      </c>
      <c r="H958" s="146">
        <v>201606</v>
      </c>
      <c r="I958" s="147">
        <v>200.76</v>
      </c>
      <c r="J958" s="144">
        <f t="shared" si="83"/>
        <v>5</v>
      </c>
      <c r="K958" s="148">
        <v>1.4833299999999999E-3</v>
      </c>
      <c r="L958" s="147">
        <f t="shared" si="84"/>
        <v>1.49</v>
      </c>
      <c r="M958" s="147">
        <f t="shared" si="85"/>
        <v>3.57</v>
      </c>
      <c r="N958" s="145"/>
      <c r="P958" s="164"/>
      <c r="Q958" s="164"/>
      <c r="R958" s="165"/>
    </row>
    <row r="959" spans="1:18">
      <c r="A959" s="145" t="s">
        <v>21</v>
      </c>
      <c r="B959" s="146" t="s">
        <v>1072</v>
      </c>
      <c r="C959" s="146" t="s">
        <v>1073</v>
      </c>
      <c r="D959" s="145" t="s">
        <v>1074</v>
      </c>
      <c r="E959" s="146" t="s">
        <v>857</v>
      </c>
      <c r="F959" s="145" t="s">
        <v>88</v>
      </c>
      <c r="G959" s="146" t="s">
        <v>20</v>
      </c>
      <c r="H959" s="146">
        <v>201606</v>
      </c>
      <c r="I959" s="147">
        <v>19.3</v>
      </c>
      <c r="J959" s="144">
        <f t="shared" si="83"/>
        <v>5</v>
      </c>
      <c r="K959" s="148">
        <v>1.4833299999999999E-3</v>
      </c>
      <c r="L959" s="147">
        <f t="shared" si="84"/>
        <v>0.14000000000000001</v>
      </c>
      <c r="M959" s="147">
        <f t="shared" si="85"/>
        <v>0.34</v>
      </c>
      <c r="N959" s="145"/>
      <c r="P959" s="164"/>
      <c r="Q959" s="164"/>
      <c r="R959" s="165"/>
    </row>
    <row r="960" spans="1:18">
      <c r="A960" s="145" t="s">
        <v>626</v>
      </c>
      <c r="B960" s="146" t="s">
        <v>1136</v>
      </c>
      <c r="C960" s="146" t="s">
        <v>1137</v>
      </c>
      <c r="D960" s="145" t="s">
        <v>1138</v>
      </c>
      <c r="E960" s="146" t="s">
        <v>962</v>
      </c>
      <c r="F960" s="145" t="s">
        <v>88</v>
      </c>
      <c r="G960" s="146" t="s">
        <v>20</v>
      </c>
      <c r="H960" s="146">
        <v>201606</v>
      </c>
      <c r="I960" s="147">
        <v>48.78</v>
      </c>
      <c r="J960" s="144">
        <f t="shared" si="83"/>
        <v>5</v>
      </c>
      <c r="K960" s="148">
        <v>1.4833299999999999E-3</v>
      </c>
      <c r="L960" s="147">
        <f t="shared" si="84"/>
        <v>0.36</v>
      </c>
      <c r="M960" s="147">
        <f t="shared" si="85"/>
        <v>0.87</v>
      </c>
      <c r="N960" s="145"/>
      <c r="P960" s="164"/>
      <c r="Q960" s="164"/>
      <c r="R960" s="165"/>
    </row>
    <row r="961" spans="1:18">
      <c r="A961" s="151" t="s">
        <v>21</v>
      </c>
      <c r="B961" s="152" t="s">
        <v>1072</v>
      </c>
      <c r="C961" s="152" t="s">
        <v>1073</v>
      </c>
      <c r="D961" s="151" t="s">
        <v>1074</v>
      </c>
      <c r="E961" s="152" t="s">
        <v>857</v>
      </c>
      <c r="F961" s="151" t="s">
        <v>88</v>
      </c>
      <c r="G961" s="152" t="s">
        <v>20</v>
      </c>
      <c r="H961" s="153">
        <v>201607</v>
      </c>
      <c r="I961" s="154">
        <v>11.02</v>
      </c>
      <c r="J961" s="144">
        <f t="shared" si="83"/>
        <v>4</v>
      </c>
      <c r="K961" s="155">
        <v>1.4833299999999999E-3</v>
      </c>
      <c r="L961" s="154">
        <f t="shared" si="84"/>
        <v>7.0000000000000007E-2</v>
      </c>
      <c r="M961" s="154">
        <f t="shared" si="85"/>
        <v>0.2</v>
      </c>
      <c r="N961" s="145"/>
      <c r="P961" s="164"/>
      <c r="Q961" s="164"/>
      <c r="R961" s="165"/>
    </row>
    <row r="962" spans="1:18">
      <c r="A962" s="151" t="s">
        <v>626</v>
      </c>
      <c r="B962" s="152" t="s">
        <v>1136</v>
      </c>
      <c r="C962" s="152" t="s">
        <v>1137</v>
      </c>
      <c r="D962" s="151" t="s">
        <v>1138</v>
      </c>
      <c r="E962" s="152" t="s">
        <v>962</v>
      </c>
      <c r="F962" s="151" t="s">
        <v>88</v>
      </c>
      <c r="G962" s="152" t="s">
        <v>20</v>
      </c>
      <c r="H962" s="153">
        <v>201607</v>
      </c>
      <c r="I962" s="154">
        <v>27.6</v>
      </c>
      <c r="J962" s="144">
        <f t="shared" si="83"/>
        <v>4</v>
      </c>
      <c r="K962" s="155">
        <v>1.4833299999999999E-3</v>
      </c>
      <c r="L962" s="154">
        <f t="shared" si="84"/>
        <v>0.16</v>
      </c>
      <c r="M962" s="154">
        <f t="shared" si="85"/>
        <v>0.49</v>
      </c>
      <c r="N962" s="145"/>
      <c r="P962" s="164"/>
      <c r="Q962" s="164"/>
      <c r="R962" s="165"/>
    </row>
    <row r="963" spans="1:18">
      <c r="A963" s="151" t="s">
        <v>21</v>
      </c>
      <c r="B963" s="152" t="s">
        <v>1767</v>
      </c>
      <c r="C963" s="152" t="s">
        <v>1768</v>
      </c>
      <c r="D963" s="151" t="s">
        <v>1769</v>
      </c>
      <c r="E963" s="152" t="s">
        <v>1413</v>
      </c>
      <c r="F963" s="151" t="s">
        <v>88</v>
      </c>
      <c r="G963" s="152" t="s">
        <v>20</v>
      </c>
      <c r="H963" s="153">
        <v>201607</v>
      </c>
      <c r="I963" s="154">
        <v>175.18</v>
      </c>
      <c r="J963" s="144">
        <f t="shared" si="83"/>
        <v>4</v>
      </c>
      <c r="K963" s="155">
        <v>1.4833299999999999E-3</v>
      </c>
      <c r="L963" s="154">
        <f t="shared" si="84"/>
        <v>1.04</v>
      </c>
      <c r="M963" s="154">
        <f t="shared" si="85"/>
        <v>3.12</v>
      </c>
      <c r="N963" s="145"/>
      <c r="P963" s="164"/>
      <c r="Q963" s="164"/>
      <c r="R963" s="165"/>
    </row>
    <row r="964" spans="1:18">
      <c r="A964" s="145" t="s">
        <v>626</v>
      </c>
      <c r="B964" s="146" t="s">
        <v>1776</v>
      </c>
      <c r="C964" s="146" t="s">
        <v>1777</v>
      </c>
      <c r="D964" s="145" t="s">
        <v>1778</v>
      </c>
      <c r="E964" s="146" t="s">
        <v>452</v>
      </c>
      <c r="F964" s="145" t="s">
        <v>398</v>
      </c>
      <c r="G964" s="146" t="s">
        <v>20</v>
      </c>
      <c r="H964" s="146">
        <v>201603</v>
      </c>
      <c r="I964" s="147">
        <v>-0.92</v>
      </c>
      <c r="J964" s="144">
        <f t="shared" si="83"/>
        <v>8</v>
      </c>
      <c r="K964" s="148">
        <v>1.4833299999999999E-3</v>
      </c>
      <c r="L964" s="147">
        <f t="shared" si="84"/>
        <v>-0.01</v>
      </c>
      <c r="M964" s="147">
        <f t="shared" si="85"/>
        <v>-0.02</v>
      </c>
      <c r="N964" s="145"/>
      <c r="P964" s="164"/>
      <c r="Q964" s="164"/>
      <c r="R964" s="165"/>
    </row>
    <row r="965" spans="1:18">
      <c r="A965" s="145" t="s">
        <v>626</v>
      </c>
      <c r="B965" s="146" t="s">
        <v>1776</v>
      </c>
      <c r="C965" s="146" t="s">
        <v>1777</v>
      </c>
      <c r="D965" s="145" t="s">
        <v>1778</v>
      </c>
      <c r="E965" s="146" t="s">
        <v>452</v>
      </c>
      <c r="F965" s="145" t="s">
        <v>398</v>
      </c>
      <c r="G965" s="146" t="s">
        <v>20</v>
      </c>
      <c r="H965" s="146">
        <v>201604</v>
      </c>
      <c r="I965" s="147">
        <v>6413.47</v>
      </c>
      <c r="J965" s="144">
        <f t="shared" si="83"/>
        <v>7</v>
      </c>
      <c r="K965" s="148">
        <v>1.4833299999999999E-3</v>
      </c>
      <c r="L965" s="147">
        <f t="shared" si="84"/>
        <v>66.59</v>
      </c>
      <c r="M965" s="147">
        <f t="shared" si="85"/>
        <v>114.16</v>
      </c>
      <c r="N965" s="145"/>
      <c r="P965" s="164"/>
      <c r="Q965" s="164"/>
      <c r="R965" s="165"/>
    </row>
    <row r="966" spans="1:18">
      <c r="A966" s="145" t="s">
        <v>626</v>
      </c>
      <c r="B966" s="146" t="s">
        <v>1776</v>
      </c>
      <c r="C966" s="146" t="s">
        <v>1777</v>
      </c>
      <c r="D966" s="145" t="s">
        <v>1778</v>
      </c>
      <c r="E966" s="146" t="s">
        <v>452</v>
      </c>
      <c r="F966" s="145" t="s">
        <v>398</v>
      </c>
      <c r="G966" s="146" t="s">
        <v>20</v>
      </c>
      <c r="H966" s="146">
        <v>201605</v>
      </c>
      <c r="I966" s="147">
        <v>229.73</v>
      </c>
      <c r="J966" s="144">
        <f t="shared" si="83"/>
        <v>6</v>
      </c>
      <c r="K966" s="148">
        <v>1.4833299999999999E-3</v>
      </c>
      <c r="L966" s="147">
        <f t="shared" si="84"/>
        <v>2.04</v>
      </c>
      <c r="M966" s="147">
        <f t="shared" si="85"/>
        <v>4.09</v>
      </c>
      <c r="N966" s="145"/>
      <c r="P966" s="164"/>
      <c r="Q966" s="164"/>
      <c r="R966" s="165"/>
    </row>
    <row r="967" spans="1:18">
      <c r="A967" s="145" t="s">
        <v>626</v>
      </c>
      <c r="B967" s="146" t="s">
        <v>1776</v>
      </c>
      <c r="C967" s="146" t="s">
        <v>1777</v>
      </c>
      <c r="D967" s="145" t="s">
        <v>1778</v>
      </c>
      <c r="E967" s="146" t="s">
        <v>452</v>
      </c>
      <c r="F967" s="145" t="s">
        <v>398</v>
      </c>
      <c r="G967" s="146" t="s">
        <v>20</v>
      </c>
      <c r="H967" s="146">
        <v>201606</v>
      </c>
      <c r="I967" s="147">
        <v>98.64</v>
      </c>
      <c r="J967" s="144">
        <f t="shared" si="83"/>
        <v>5</v>
      </c>
      <c r="K967" s="148">
        <v>1.4833299999999999E-3</v>
      </c>
      <c r="L967" s="147">
        <f t="shared" si="84"/>
        <v>0.73</v>
      </c>
      <c r="M967" s="147">
        <f t="shared" si="85"/>
        <v>1.76</v>
      </c>
      <c r="N967" s="145"/>
      <c r="P967" s="164"/>
      <c r="Q967" s="164"/>
      <c r="R967" s="165"/>
    </row>
    <row r="968" spans="1:18">
      <c r="A968" s="151" t="s">
        <v>626</v>
      </c>
      <c r="B968" s="152" t="s">
        <v>1776</v>
      </c>
      <c r="C968" s="152" t="s">
        <v>1777</v>
      </c>
      <c r="D968" s="151" t="s">
        <v>1778</v>
      </c>
      <c r="E968" s="152" t="s">
        <v>452</v>
      </c>
      <c r="F968" s="151" t="s">
        <v>398</v>
      </c>
      <c r="G968" s="152" t="s">
        <v>20</v>
      </c>
      <c r="H968" s="153">
        <v>201607</v>
      </c>
      <c r="I968" s="154">
        <v>51.98</v>
      </c>
      <c r="J968" s="144">
        <f t="shared" si="83"/>
        <v>4</v>
      </c>
      <c r="K968" s="155">
        <v>1.4833299999999999E-3</v>
      </c>
      <c r="L968" s="154">
        <f t="shared" si="84"/>
        <v>0.31</v>
      </c>
      <c r="M968" s="154">
        <f t="shared" si="85"/>
        <v>0.93</v>
      </c>
      <c r="N968" s="145"/>
      <c r="P968" s="164"/>
      <c r="Q968" s="164"/>
      <c r="R968" s="165"/>
    </row>
    <row r="969" spans="1:18">
      <c r="A969" s="145" t="s">
        <v>626</v>
      </c>
      <c r="B969" s="146" t="s">
        <v>1594</v>
      </c>
      <c r="C969" s="146" t="s">
        <v>1595</v>
      </c>
      <c r="D969" s="145" t="s">
        <v>1596</v>
      </c>
      <c r="E969" s="146" t="s">
        <v>87</v>
      </c>
      <c r="F969" s="145" t="s">
        <v>1603</v>
      </c>
      <c r="G969" s="146" t="s">
        <v>20</v>
      </c>
      <c r="H969" s="146">
        <v>201603</v>
      </c>
      <c r="I969" s="147">
        <v>-0.49</v>
      </c>
      <c r="J969" s="144">
        <f t="shared" si="83"/>
        <v>8</v>
      </c>
      <c r="K969" s="148">
        <v>1.4833299999999999E-3</v>
      </c>
      <c r="L969" s="147">
        <f t="shared" si="84"/>
        <v>-0.01</v>
      </c>
      <c r="M969" s="147">
        <f t="shared" si="85"/>
        <v>-0.01</v>
      </c>
      <c r="N969" s="145"/>
      <c r="P969" s="164"/>
      <c r="Q969" s="164"/>
      <c r="R969" s="165"/>
    </row>
    <row r="970" spans="1:18">
      <c r="A970" s="145" t="s">
        <v>21</v>
      </c>
      <c r="B970" s="146" t="s">
        <v>1664</v>
      </c>
      <c r="C970" s="146" t="s">
        <v>1665</v>
      </c>
      <c r="D970" s="145" t="s">
        <v>1666</v>
      </c>
      <c r="E970" s="146" t="s">
        <v>87</v>
      </c>
      <c r="F970" s="145" t="s">
        <v>1603</v>
      </c>
      <c r="G970" s="146" t="s">
        <v>20</v>
      </c>
      <c r="H970" s="146">
        <v>201603</v>
      </c>
      <c r="I970" s="147">
        <v>5.53</v>
      </c>
      <c r="J970" s="144">
        <f t="shared" si="83"/>
        <v>8</v>
      </c>
      <c r="K970" s="148">
        <v>1.4833299999999999E-3</v>
      </c>
      <c r="L970" s="147">
        <f t="shared" si="84"/>
        <v>7.0000000000000007E-2</v>
      </c>
      <c r="M970" s="147">
        <f t="shared" si="85"/>
        <v>0.1</v>
      </c>
      <c r="N970" s="145"/>
      <c r="P970" s="164"/>
      <c r="Q970" s="164"/>
      <c r="R970" s="165"/>
    </row>
    <row r="971" spans="1:18">
      <c r="A971" s="145" t="s">
        <v>21</v>
      </c>
      <c r="B971" s="146" t="s">
        <v>1820</v>
      </c>
      <c r="C971" s="146" t="s">
        <v>1821</v>
      </c>
      <c r="D971" s="145" t="s">
        <v>1822</v>
      </c>
      <c r="E971" s="146" t="s">
        <v>87</v>
      </c>
      <c r="F971" s="145" t="s">
        <v>1603</v>
      </c>
      <c r="G971" s="146" t="s">
        <v>20</v>
      </c>
      <c r="H971" s="146">
        <v>201603</v>
      </c>
      <c r="I971" s="147">
        <v>-435.23</v>
      </c>
      <c r="J971" s="144">
        <f t="shared" si="83"/>
        <v>8</v>
      </c>
      <c r="K971" s="148">
        <v>1.4833299999999999E-3</v>
      </c>
      <c r="L971" s="147">
        <f t="shared" si="84"/>
        <v>-5.16</v>
      </c>
      <c r="M971" s="147">
        <f t="shared" si="85"/>
        <v>-7.75</v>
      </c>
      <c r="N971" s="145"/>
      <c r="P971" s="164"/>
      <c r="Q971" s="164"/>
      <c r="R971" s="165"/>
    </row>
    <row r="972" spans="1:18">
      <c r="A972" s="145" t="s">
        <v>127</v>
      </c>
      <c r="B972" s="146" t="s">
        <v>1964</v>
      </c>
      <c r="C972" s="146" t="s">
        <v>1965</v>
      </c>
      <c r="D972" s="145" t="s">
        <v>1966</v>
      </c>
      <c r="E972" s="146" t="s">
        <v>87</v>
      </c>
      <c r="F972" s="145" t="s">
        <v>1603</v>
      </c>
      <c r="G972" s="146" t="s">
        <v>20</v>
      </c>
      <c r="H972" s="146">
        <v>201603</v>
      </c>
      <c r="I972" s="147">
        <v>-160.38999999999999</v>
      </c>
      <c r="J972" s="144">
        <f t="shared" si="83"/>
        <v>8</v>
      </c>
      <c r="K972" s="148">
        <v>2.3833299999999999E-3</v>
      </c>
      <c r="L972" s="147">
        <f t="shared" si="84"/>
        <v>-3.06</v>
      </c>
      <c r="M972" s="147">
        <f t="shared" si="85"/>
        <v>-4.59</v>
      </c>
      <c r="N972" s="145"/>
      <c r="P972" s="164"/>
      <c r="Q972" s="164"/>
      <c r="R972" s="165"/>
    </row>
    <row r="973" spans="1:18">
      <c r="A973" s="145" t="s">
        <v>626</v>
      </c>
      <c r="B973" s="146" t="s">
        <v>1782</v>
      </c>
      <c r="C973" s="146" t="s">
        <v>1783</v>
      </c>
      <c r="D973" s="145" t="s">
        <v>1784</v>
      </c>
      <c r="E973" s="146" t="s">
        <v>87</v>
      </c>
      <c r="F973" s="145" t="s">
        <v>1603</v>
      </c>
      <c r="G973" s="146" t="s">
        <v>20</v>
      </c>
      <c r="H973" s="146">
        <v>201603</v>
      </c>
      <c r="I973" s="147">
        <v>-33.72</v>
      </c>
      <c r="J973" s="144">
        <f t="shared" si="83"/>
        <v>8</v>
      </c>
      <c r="K973" s="148">
        <v>1.4833299999999999E-3</v>
      </c>
      <c r="L973" s="147">
        <f t="shared" si="84"/>
        <v>-0.4</v>
      </c>
      <c r="M973" s="147">
        <f t="shared" si="85"/>
        <v>-0.6</v>
      </c>
      <c r="N973" s="145"/>
      <c r="P973" s="164"/>
      <c r="Q973" s="164"/>
      <c r="R973" s="165"/>
    </row>
    <row r="974" spans="1:18">
      <c r="A974" s="145" t="s">
        <v>21</v>
      </c>
      <c r="B974" s="146" t="s">
        <v>1939</v>
      </c>
      <c r="C974" s="146" t="s">
        <v>1940</v>
      </c>
      <c r="D974" s="145" t="s">
        <v>1941</v>
      </c>
      <c r="E974" s="146" t="s">
        <v>87</v>
      </c>
      <c r="F974" s="145" t="s">
        <v>1603</v>
      </c>
      <c r="G974" s="146" t="s">
        <v>20</v>
      </c>
      <c r="H974" s="146">
        <v>201603</v>
      </c>
      <c r="I974" s="147">
        <v>5406.04</v>
      </c>
      <c r="J974" s="144">
        <f t="shared" si="83"/>
        <v>8</v>
      </c>
      <c r="K974" s="148">
        <v>1.4833299999999999E-3</v>
      </c>
      <c r="L974" s="147">
        <f t="shared" si="84"/>
        <v>64.150000000000006</v>
      </c>
      <c r="M974" s="147">
        <f t="shared" si="85"/>
        <v>96.23</v>
      </c>
      <c r="N974" s="145"/>
      <c r="P974" s="164"/>
      <c r="Q974" s="164"/>
      <c r="R974" s="165"/>
    </row>
    <row r="975" spans="1:18">
      <c r="A975" s="145" t="s">
        <v>21</v>
      </c>
      <c r="B975" s="146" t="s">
        <v>1973</v>
      </c>
      <c r="C975" s="146" t="s">
        <v>1974</v>
      </c>
      <c r="D975" s="145" t="s">
        <v>1975</v>
      </c>
      <c r="E975" s="146" t="s">
        <v>87</v>
      </c>
      <c r="F975" s="145" t="s">
        <v>1603</v>
      </c>
      <c r="G975" s="146" t="s">
        <v>20</v>
      </c>
      <c r="H975" s="146">
        <v>201603</v>
      </c>
      <c r="I975" s="147">
        <v>2399.7399999999998</v>
      </c>
      <c r="J975" s="144">
        <f t="shared" si="83"/>
        <v>8</v>
      </c>
      <c r="K975" s="148">
        <v>1.4833299999999999E-3</v>
      </c>
      <c r="L975" s="147">
        <f t="shared" si="84"/>
        <v>28.48</v>
      </c>
      <c r="M975" s="147">
        <f t="shared" si="85"/>
        <v>42.72</v>
      </c>
      <c r="N975" s="145"/>
      <c r="P975" s="164"/>
      <c r="Q975" s="164"/>
      <c r="R975" s="165"/>
    </row>
    <row r="976" spans="1:18">
      <c r="A976" s="145" t="s">
        <v>127</v>
      </c>
      <c r="B976" s="146" t="s">
        <v>1994</v>
      </c>
      <c r="C976" s="146" t="s">
        <v>1995</v>
      </c>
      <c r="D976" s="145" t="s">
        <v>1996</v>
      </c>
      <c r="E976" s="146" t="s">
        <v>87</v>
      </c>
      <c r="F976" s="145" t="s">
        <v>1603</v>
      </c>
      <c r="G976" s="146" t="s">
        <v>20</v>
      </c>
      <c r="H976" s="146">
        <v>201603</v>
      </c>
      <c r="I976" s="147">
        <v>-70.099999999999994</v>
      </c>
      <c r="J976" s="144">
        <f t="shared" si="83"/>
        <v>8</v>
      </c>
      <c r="K976" s="148">
        <v>2.3833299999999999E-3</v>
      </c>
      <c r="L976" s="147">
        <f t="shared" si="84"/>
        <v>-1.34</v>
      </c>
      <c r="M976" s="147">
        <f t="shared" si="85"/>
        <v>-2</v>
      </c>
      <c r="N976" s="145"/>
      <c r="P976" s="164"/>
      <c r="Q976" s="164"/>
      <c r="R976" s="165"/>
    </row>
    <row r="977" spans="1:18">
      <c r="A977" s="145" t="s">
        <v>626</v>
      </c>
      <c r="B977" s="146" t="s">
        <v>1681</v>
      </c>
      <c r="C977" s="146" t="s">
        <v>2005</v>
      </c>
      <c r="D977" s="145" t="s">
        <v>2006</v>
      </c>
      <c r="E977" s="146" t="s">
        <v>87</v>
      </c>
      <c r="F977" s="145" t="s">
        <v>1603</v>
      </c>
      <c r="G977" s="146" t="s">
        <v>20</v>
      </c>
      <c r="H977" s="146">
        <v>201603</v>
      </c>
      <c r="I977" s="147">
        <v>-199.96</v>
      </c>
      <c r="J977" s="144">
        <f t="shared" si="83"/>
        <v>8</v>
      </c>
      <c r="K977" s="148">
        <v>1.4833299999999999E-3</v>
      </c>
      <c r="L977" s="147">
        <f t="shared" si="84"/>
        <v>-2.37</v>
      </c>
      <c r="M977" s="147">
        <f t="shared" si="85"/>
        <v>-3.56</v>
      </c>
      <c r="N977" s="145"/>
      <c r="P977" s="164"/>
      <c r="Q977" s="164"/>
      <c r="R977" s="165"/>
    </row>
    <row r="978" spans="1:18">
      <c r="A978" s="145" t="s">
        <v>14</v>
      </c>
      <c r="B978" s="146" t="s">
        <v>1681</v>
      </c>
      <c r="C978" s="146" t="s">
        <v>2005</v>
      </c>
      <c r="D978" s="145" t="s">
        <v>2006</v>
      </c>
      <c r="E978" s="146" t="s">
        <v>87</v>
      </c>
      <c r="F978" s="145" t="s">
        <v>1603</v>
      </c>
      <c r="G978" s="146" t="s">
        <v>20</v>
      </c>
      <c r="H978" s="146">
        <v>201603</v>
      </c>
      <c r="I978" s="147">
        <v>-0.66</v>
      </c>
      <c r="J978" s="144">
        <f t="shared" si="83"/>
        <v>8</v>
      </c>
      <c r="K978" s="148">
        <v>2.23333E-3</v>
      </c>
      <c r="L978" s="147">
        <f t="shared" si="84"/>
        <v>-0.01</v>
      </c>
      <c r="M978" s="147">
        <f t="shared" si="85"/>
        <v>-0.02</v>
      </c>
      <c r="N978" s="145"/>
      <c r="P978" s="164"/>
      <c r="Q978" s="164"/>
      <c r="R978" s="165"/>
    </row>
    <row r="979" spans="1:18">
      <c r="A979" s="145" t="s">
        <v>21</v>
      </c>
      <c r="B979" s="146" t="s">
        <v>1681</v>
      </c>
      <c r="C979" s="146" t="s">
        <v>2017</v>
      </c>
      <c r="D979" s="145" t="s">
        <v>2018</v>
      </c>
      <c r="E979" s="146" t="s">
        <v>87</v>
      </c>
      <c r="F979" s="145" t="s">
        <v>1603</v>
      </c>
      <c r="G979" s="146" t="s">
        <v>20</v>
      </c>
      <c r="H979" s="146">
        <v>201603</v>
      </c>
      <c r="I979" s="147">
        <v>429.72</v>
      </c>
      <c r="J979" s="144">
        <f t="shared" si="83"/>
        <v>8</v>
      </c>
      <c r="K979" s="148">
        <v>1.4833299999999999E-3</v>
      </c>
      <c r="L979" s="147">
        <f t="shared" si="84"/>
        <v>5.0999999999999996</v>
      </c>
      <c r="M979" s="147">
        <f t="shared" si="85"/>
        <v>7.65</v>
      </c>
      <c r="N979" s="145"/>
      <c r="P979" s="164"/>
      <c r="Q979" s="164"/>
      <c r="R979" s="165"/>
    </row>
    <row r="980" spans="1:18">
      <c r="A980" s="145" t="s">
        <v>626</v>
      </c>
      <c r="B980" s="146" t="s">
        <v>1594</v>
      </c>
      <c r="C980" s="146" t="s">
        <v>1595</v>
      </c>
      <c r="D980" s="145" t="s">
        <v>1596</v>
      </c>
      <c r="E980" s="146" t="s">
        <v>87</v>
      </c>
      <c r="F980" s="145" t="s">
        <v>1603</v>
      </c>
      <c r="G980" s="146" t="s">
        <v>20</v>
      </c>
      <c r="H980" s="146">
        <v>201604</v>
      </c>
      <c r="I980" s="147">
        <v>8.61</v>
      </c>
      <c r="J980" s="144">
        <f t="shared" si="83"/>
        <v>7</v>
      </c>
      <c r="K980" s="148">
        <v>1.4833299999999999E-3</v>
      </c>
      <c r="L980" s="147">
        <f t="shared" si="84"/>
        <v>0.09</v>
      </c>
      <c r="M980" s="147">
        <f t="shared" si="85"/>
        <v>0.15</v>
      </c>
      <c r="N980" s="145"/>
      <c r="P980" s="164"/>
      <c r="Q980" s="164"/>
      <c r="R980" s="165"/>
    </row>
    <row r="981" spans="1:18">
      <c r="A981" s="145" t="s">
        <v>21</v>
      </c>
      <c r="B981" s="146" t="s">
        <v>1664</v>
      </c>
      <c r="C981" s="146" t="s">
        <v>1665</v>
      </c>
      <c r="D981" s="145" t="s">
        <v>1666</v>
      </c>
      <c r="E981" s="146" t="s">
        <v>87</v>
      </c>
      <c r="F981" s="145" t="s">
        <v>1603</v>
      </c>
      <c r="G981" s="146" t="s">
        <v>20</v>
      </c>
      <c r="H981" s="146">
        <v>201604</v>
      </c>
      <c r="I981" s="147">
        <v>-77.37</v>
      </c>
      <c r="J981" s="144">
        <f t="shared" si="83"/>
        <v>7</v>
      </c>
      <c r="K981" s="148">
        <v>1.4833299999999999E-3</v>
      </c>
      <c r="L981" s="147">
        <f t="shared" si="84"/>
        <v>-0.8</v>
      </c>
      <c r="M981" s="147">
        <f t="shared" si="85"/>
        <v>-1.38</v>
      </c>
      <c r="N981" s="145"/>
      <c r="P981" s="164"/>
      <c r="Q981" s="164"/>
      <c r="R981" s="165"/>
    </row>
    <row r="982" spans="1:18">
      <c r="A982" s="145" t="s">
        <v>21</v>
      </c>
      <c r="B982" s="146" t="s">
        <v>1820</v>
      </c>
      <c r="C982" s="146" t="s">
        <v>1821</v>
      </c>
      <c r="D982" s="145" t="s">
        <v>1822</v>
      </c>
      <c r="E982" s="146" t="s">
        <v>87</v>
      </c>
      <c r="F982" s="145" t="s">
        <v>1603</v>
      </c>
      <c r="G982" s="146" t="s">
        <v>20</v>
      </c>
      <c r="H982" s="146">
        <v>201604</v>
      </c>
      <c r="I982" s="147">
        <v>506.09</v>
      </c>
      <c r="J982" s="144">
        <f t="shared" si="83"/>
        <v>7</v>
      </c>
      <c r="K982" s="148">
        <v>1.4833299999999999E-3</v>
      </c>
      <c r="L982" s="147">
        <f t="shared" si="84"/>
        <v>5.25</v>
      </c>
      <c r="M982" s="147">
        <f t="shared" si="85"/>
        <v>9.01</v>
      </c>
      <c r="N982" s="145"/>
      <c r="P982" s="164"/>
      <c r="Q982" s="164"/>
      <c r="R982" s="165"/>
    </row>
    <row r="983" spans="1:18">
      <c r="A983" s="145" t="s">
        <v>127</v>
      </c>
      <c r="B983" s="146" t="s">
        <v>1964</v>
      </c>
      <c r="C983" s="146" t="s">
        <v>1965</v>
      </c>
      <c r="D983" s="145" t="s">
        <v>1966</v>
      </c>
      <c r="E983" s="146" t="s">
        <v>87</v>
      </c>
      <c r="F983" s="145" t="s">
        <v>1603</v>
      </c>
      <c r="G983" s="146" t="s">
        <v>20</v>
      </c>
      <c r="H983" s="146">
        <v>201604</v>
      </c>
      <c r="I983" s="147">
        <v>161.15</v>
      </c>
      <c r="J983" s="144">
        <f t="shared" ref="J983:J1014" si="86">HLOOKUP(H983,$Q$2:$Z$3,2)</f>
        <v>7</v>
      </c>
      <c r="K983" s="148">
        <v>2.3833299999999999E-3</v>
      </c>
      <c r="L983" s="147">
        <f t="shared" ref="L983:L1014" si="87">ROUND(I983*J983*K983,2)</f>
        <v>2.69</v>
      </c>
      <c r="M983" s="147">
        <f t="shared" ref="M983:M1014" si="88">ROUND(I983*K983*12,2)</f>
        <v>4.6100000000000003</v>
      </c>
      <c r="N983" s="145"/>
      <c r="P983" s="164"/>
      <c r="Q983" s="164"/>
      <c r="R983" s="165"/>
    </row>
    <row r="984" spans="1:18">
      <c r="A984" s="145" t="s">
        <v>626</v>
      </c>
      <c r="B984" s="146" t="s">
        <v>1782</v>
      </c>
      <c r="C984" s="146" t="s">
        <v>1783</v>
      </c>
      <c r="D984" s="145" t="s">
        <v>1784</v>
      </c>
      <c r="E984" s="146" t="s">
        <v>87</v>
      </c>
      <c r="F984" s="145" t="s">
        <v>1603</v>
      </c>
      <c r="G984" s="146" t="s">
        <v>20</v>
      </c>
      <c r="H984" s="146">
        <v>201604</v>
      </c>
      <c r="I984" s="147">
        <v>122.32</v>
      </c>
      <c r="J984" s="144">
        <f t="shared" si="86"/>
        <v>7</v>
      </c>
      <c r="K984" s="148">
        <v>1.4833299999999999E-3</v>
      </c>
      <c r="L984" s="147">
        <f t="shared" si="87"/>
        <v>1.27</v>
      </c>
      <c r="M984" s="147">
        <f t="shared" si="88"/>
        <v>2.1800000000000002</v>
      </c>
      <c r="N984" s="145"/>
      <c r="P984" s="164"/>
      <c r="Q984" s="164"/>
      <c r="R984" s="165"/>
    </row>
    <row r="985" spans="1:18">
      <c r="A985" s="145" t="s">
        <v>21</v>
      </c>
      <c r="B985" s="146" t="s">
        <v>1939</v>
      </c>
      <c r="C985" s="146" t="s">
        <v>1940</v>
      </c>
      <c r="D985" s="145" t="s">
        <v>1941</v>
      </c>
      <c r="E985" s="146" t="s">
        <v>87</v>
      </c>
      <c r="F985" s="145" t="s">
        <v>1603</v>
      </c>
      <c r="G985" s="146" t="s">
        <v>20</v>
      </c>
      <c r="H985" s="146">
        <v>201604</v>
      </c>
      <c r="I985" s="147">
        <v>2652.14</v>
      </c>
      <c r="J985" s="144">
        <f t="shared" si="86"/>
        <v>7</v>
      </c>
      <c r="K985" s="148">
        <v>1.4833299999999999E-3</v>
      </c>
      <c r="L985" s="147">
        <f t="shared" si="87"/>
        <v>27.54</v>
      </c>
      <c r="M985" s="147">
        <f t="shared" si="88"/>
        <v>47.21</v>
      </c>
      <c r="N985" s="145"/>
      <c r="P985" s="164"/>
      <c r="Q985" s="164"/>
      <c r="R985" s="165"/>
    </row>
    <row r="986" spans="1:18">
      <c r="A986" s="145" t="s">
        <v>21</v>
      </c>
      <c r="B986" s="146" t="s">
        <v>1973</v>
      </c>
      <c r="C986" s="146" t="s">
        <v>1974</v>
      </c>
      <c r="D986" s="145" t="s">
        <v>1975</v>
      </c>
      <c r="E986" s="146" t="s">
        <v>87</v>
      </c>
      <c r="F986" s="145" t="s">
        <v>1603</v>
      </c>
      <c r="G986" s="146" t="s">
        <v>20</v>
      </c>
      <c r="H986" s="146">
        <v>201604</v>
      </c>
      <c r="I986" s="147">
        <v>2493.0500000000002</v>
      </c>
      <c r="J986" s="144">
        <f t="shared" si="86"/>
        <v>7</v>
      </c>
      <c r="K986" s="148">
        <v>1.4833299999999999E-3</v>
      </c>
      <c r="L986" s="147">
        <f t="shared" si="87"/>
        <v>25.89</v>
      </c>
      <c r="M986" s="147">
        <f t="shared" si="88"/>
        <v>44.38</v>
      </c>
      <c r="N986" s="145"/>
      <c r="P986" s="164"/>
      <c r="Q986" s="164"/>
      <c r="R986" s="165"/>
    </row>
    <row r="987" spans="1:18">
      <c r="A987" s="145" t="s">
        <v>127</v>
      </c>
      <c r="B987" s="146" t="s">
        <v>1994</v>
      </c>
      <c r="C987" s="146" t="s">
        <v>1995</v>
      </c>
      <c r="D987" s="145" t="s">
        <v>1996</v>
      </c>
      <c r="E987" s="146" t="s">
        <v>87</v>
      </c>
      <c r="F987" s="145" t="s">
        <v>1603</v>
      </c>
      <c r="G987" s="146" t="s">
        <v>20</v>
      </c>
      <c r="H987" s="146">
        <v>201604</v>
      </c>
      <c r="I987" s="147">
        <v>1163.43</v>
      </c>
      <c r="J987" s="144">
        <f t="shared" si="86"/>
        <v>7</v>
      </c>
      <c r="K987" s="148">
        <v>2.3833299999999999E-3</v>
      </c>
      <c r="L987" s="147">
        <f t="shared" si="87"/>
        <v>19.41</v>
      </c>
      <c r="M987" s="147">
        <f t="shared" si="88"/>
        <v>33.270000000000003</v>
      </c>
      <c r="N987" s="145"/>
      <c r="P987" s="164"/>
      <c r="Q987" s="164"/>
      <c r="R987" s="165"/>
    </row>
    <row r="988" spans="1:18">
      <c r="A988" s="145" t="s">
        <v>14</v>
      </c>
      <c r="B988" s="146" t="s">
        <v>1681</v>
      </c>
      <c r="C988" s="146" t="s">
        <v>2005</v>
      </c>
      <c r="D988" s="145" t="s">
        <v>2006</v>
      </c>
      <c r="E988" s="146" t="s">
        <v>87</v>
      </c>
      <c r="F988" s="145" t="s">
        <v>1603</v>
      </c>
      <c r="G988" s="146" t="s">
        <v>20</v>
      </c>
      <c r="H988" s="146">
        <v>201604</v>
      </c>
      <c r="I988" s="147">
        <v>4.99</v>
      </c>
      <c r="J988" s="144">
        <f t="shared" si="86"/>
        <v>7</v>
      </c>
      <c r="K988" s="148">
        <v>2.23333E-3</v>
      </c>
      <c r="L988" s="147">
        <f t="shared" si="87"/>
        <v>0.08</v>
      </c>
      <c r="M988" s="147">
        <f t="shared" si="88"/>
        <v>0.13</v>
      </c>
      <c r="N988" s="145"/>
      <c r="P988" s="164"/>
      <c r="Q988" s="164"/>
      <c r="R988" s="165"/>
    </row>
    <row r="989" spans="1:18">
      <c r="A989" s="145" t="s">
        <v>626</v>
      </c>
      <c r="B989" s="146" t="s">
        <v>1681</v>
      </c>
      <c r="C989" s="146" t="s">
        <v>2005</v>
      </c>
      <c r="D989" s="145" t="s">
        <v>2006</v>
      </c>
      <c r="E989" s="146" t="s">
        <v>87</v>
      </c>
      <c r="F989" s="145" t="s">
        <v>1603</v>
      </c>
      <c r="G989" s="146" t="s">
        <v>20</v>
      </c>
      <c r="H989" s="146">
        <v>201604</v>
      </c>
      <c r="I989" s="147">
        <v>1540.36</v>
      </c>
      <c r="J989" s="144">
        <f t="shared" si="86"/>
        <v>7</v>
      </c>
      <c r="K989" s="148">
        <v>1.4833299999999999E-3</v>
      </c>
      <c r="L989" s="147">
        <f t="shared" si="87"/>
        <v>15.99</v>
      </c>
      <c r="M989" s="147">
        <f t="shared" si="88"/>
        <v>27.42</v>
      </c>
      <c r="N989" s="150"/>
      <c r="P989" s="164"/>
      <c r="Q989" s="164"/>
      <c r="R989" s="165"/>
    </row>
    <row r="990" spans="1:18">
      <c r="A990" s="145" t="s">
        <v>21</v>
      </c>
      <c r="B990" s="146" t="s">
        <v>1681</v>
      </c>
      <c r="C990" s="146" t="s">
        <v>2017</v>
      </c>
      <c r="D990" s="145" t="s">
        <v>2018</v>
      </c>
      <c r="E990" s="146" t="s">
        <v>87</v>
      </c>
      <c r="F990" s="145" t="s">
        <v>1603</v>
      </c>
      <c r="G990" s="146" t="s">
        <v>20</v>
      </c>
      <c r="H990" s="146">
        <v>201604</v>
      </c>
      <c r="I990" s="147">
        <v>801.92</v>
      </c>
      <c r="J990" s="144">
        <f t="shared" si="86"/>
        <v>7</v>
      </c>
      <c r="K990" s="148">
        <v>1.4833299999999999E-3</v>
      </c>
      <c r="L990" s="147">
        <f t="shared" si="87"/>
        <v>8.33</v>
      </c>
      <c r="M990" s="147">
        <f t="shared" si="88"/>
        <v>14.27</v>
      </c>
      <c r="N990" s="145"/>
      <c r="P990" s="164"/>
      <c r="Q990" s="164"/>
      <c r="R990" s="165"/>
    </row>
    <row r="991" spans="1:18">
      <c r="A991" s="145" t="s">
        <v>626</v>
      </c>
      <c r="B991" s="146" t="s">
        <v>1594</v>
      </c>
      <c r="C991" s="146" t="s">
        <v>1595</v>
      </c>
      <c r="D991" s="145" t="s">
        <v>1596</v>
      </c>
      <c r="E991" s="146" t="s">
        <v>87</v>
      </c>
      <c r="F991" s="145" t="s">
        <v>1603</v>
      </c>
      <c r="G991" s="146" t="s">
        <v>20</v>
      </c>
      <c r="H991" s="146">
        <v>201605</v>
      </c>
      <c r="I991" s="147">
        <v>4.5599999999999996</v>
      </c>
      <c r="J991" s="144">
        <f t="shared" si="86"/>
        <v>6</v>
      </c>
      <c r="K991" s="148">
        <v>1.4833299999999999E-3</v>
      </c>
      <c r="L991" s="147">
        <f t="shared" si="87"/>
        <v>0.04</v>
      </c>
      <c r="M991" s="147">
        <f t="shared" si="88"/>
        <v>0.08</v>
      </c>
      <c r="N991" s="145"/>
      <c r="P991" s="164"/>
      <c r="Q991" s="164"/>
      <c r="R991" s="165"/>
    </row>
    <row r="992" spans="1:18">
      <c r="A992" s="145" t="s">
        <v>21</v>
      </c>
      <c r="B992" s="146" t="s">
        <v>1664</v>
      </c>
      <c r="C992" s="146" t="s">
        <v>1665</v>
      </c>
      <c r="D992" s="145" t="s">
        <v>1666</v>
      </c>
      <c r="E992" s="146" t="s">
        <v>87</v>
      </c>
      <c r="F992" s="145" t="s">
        <v>1603</v>
      </c>
      <c r="G992" s="146" t="s">
        <v>20</v>
      </c>
      <c r="H992" s="146">
        <v>201605</v>
      </c>
      <c r="I992" s="147">
        <v>484.7</v>
      </c>
      <c r="J992" s="144">
        <f t="shared" si="86"/>
        <v>6</v>
      </c>
      <c r="K992" s="148">
        <v>1.4833299999999999E-3</v>
      </c>
      <c r="L992" s="147">
        <f t="shared" si="87"/>
        <v>4.3099999999999996</v>
      </c>
      <c r="M992" s="147">
        <f t="shared" si="88"/>
        <v>8.6300000000000008</v>
      </c>
      <c r="N992" s="145"/>
      <c r="P992" s="164"/>
      <c r="Q992" s="164"/>
      <c r="R992" s="165"/>
    </row>
    <row r="993" spans="1:18">
      <c r="A993" s="145" t="s">
        <v>21</v>
      </c>
      <c r="B993" s="146" t="s">
        <v>1820</v>
      </c>
      <c r="C993" s="146" t="s">
        <v>1821</v>
      </c>
      <c r="D993" s="145" t="s">
        <v>1822</v>
      </c>
      <c r="E993" s="146" t="s">
        <v>87</v>
      </c>
      <c r="F993" s="145" t="s">
        <v>1603</v>
      </c>
      <c r="G993" s="146" t="s">
        <v>20</v>
      </c>
      <c r="H993" s="146">
        <v>201605</v>
      </c>
      <c r="I993" s="147">
        <v>404.43</v>
      </c>
      <c r="J993" s="144">
        <f t="shared" si="86"/>
        <v>6</v>
      </c>
      <c r="K993" s="148">
        <v>1.4833299999999999E-3</v>
      </c>
      <c r="L993" s="147">
        <f t="shared" si="87"/>
        <v>3.6</v>
      </c>
      <c r="M993" s="147">
        <f t="shared" si="88"/>
        <v>7.2</v>
      </c>
      <c r="N993" s="145"/>
      <c r="P993" s="164"/>
      <c r="Q993" s="164"/>
      <c r="R993" s="165"/>
    </row>
    <row r="994" spans="1:18">
      <c r="A994" s="145" t="s">
        <v>127</v>
      </c>
      <c r="B994" s="146" t="s">
        <v>1964</v>
      </c>
      <c r="C994" s="146" t="s">
        <v>1965</v>
      </c>
      <c r="D994" s="145" t="s">
        <v>1966</v>
      </c>
      <c r="E994" s="146" t="s">
        <v>87</v>
      </c>
      <c r="F994" s="145" t="s">
        <v>1603</v>
      </c>
      <c r="G994" s="146" t="s">
        <v>20</v>
      </c>
      <c r="H994" s="146">
        <v>201605</v>
      </c>
      <c r="I994" s="147">
        <v>132.21</v>
      </c>
      <c r="J994" s="144">
        <f t="shared" si="86"/>
        <v>6</v>
      </c>
      <c r="K994" s="148">
        <v>2.3833299999999999E-3</v>
      </c>
      <c r="L994" s="147">
        <f t="shared" si="87"/>
        <v>1.89</v>
      </c>
      <c r="M994" s="147">
        <f t="shared" si="88"/>
        <v>3.78</v>
      </c>
      <c r="N994" s="145"/>
      <c r="P994" s="164"/>
      <c r="Q994" s="164"/>
      <c r="R994" s="165"/>
    </row>
    <row r="995" spans="1:18">
      <c r="A995" s="145" t="s">
        <v>626</v>
      </c>
      <c r="B995" s="146" t="s">
        <v>1782</v>
      </c>
      <c r="C995" s="146" t="s">
        <v>1783</v>
      </c>
      <c r="D995" s="145" t="s">
        <v>1784</v>
      </c>
      <c r="E995" s="146" t="s">
        <v>87</v>
      </c>
      <c r="F995" s="145" t="s">
        <v>1603</v>
      </c>
      <c r="G995" s="146" t="s">
        <v>20</v>
      </c>
      <c r="H995" s="146">
        <v>201605</v>
      </c>
      <c r="I995" s="147">
        <v>-49214.95</v>
      </c>
      <c r="J995" s="144">
        <f t="shared" si="86"/>
        <v>6</v>
      </c>
      <c r="K995" s="148">
        <v>1.4833299999999999E-3</v>
      </c>
      <c r="L995" s="147">
        <f t="shared" si="87"/>
        <v>-438.01</v>
      </c>
      <c r="M995" s="147">
        <f t="shared" si="88"/>
        <v>-876.02</v>
      </c>
      <c r="N995" s="145"/>
      <c r="P995" s="164"/>
      <c r="Q995" s="164"/>
      <c r="R995" s="165"/>
    </row>
    <row r="996" spans="1:18">
      <c r="A996" s="145" t="s">
        <v>21</v>
      </c>
      <c r="B996" s="146" t="s">
        <v>1782</v>
      </c>
      <c r="C996" s="146" t="s">
        <v>1783</v>
      </c>
      <c r="D996" s="145" t="s">
        <v>1784</v>
      </c>
      <c r="E996" s="146" t="s">
        <v>87</v>
      </c>
      <c r="F996" s="145" t="s">
        <v>1603</v>
      </c>
      <c r="G996" s="146" t="s">
        <v>20</v>
      </c>
      <c r="H996" s="146">
        <v>201605</v>
      </c>
      <c r="I996" s="147">
        <v>58496.31</v>
      </c>
      <c r="J996" s="144">
        <f t="shared" si="86"/>
        <v>6</v>
      </c>
      <c r="K996" s="148">
        <v>1.4833299999999999E-3</v>
      </c>
      <c r="L996" s="147">
        <f t="shared" si="87"/>
        <v>520.62</v>
      </c>
      <c r="M996" s="147">
        <f t="shared" si="88"/>
        <v>1041.23</v>
      </c>
      <c r="N996" s="145"/>
      <c r="P996" s="164"/>
      <c r="Q996" s="164"/>
      <c r="R996" s="165"/>
    </row>
    <row r="997" spans="1:18">
      <c r="A997" s="145" t="s">
        <v>21</v>
      </c>
      <c r="B997" s="146" t="s">
        <v>1939</v>
      </c>
      <c r="C997" s="146" t="s">
        <v>1940</v>
      </c>
      <c r="D997" s="145" t="s">
        <v>1941</v>
      </c>
      <c r="E997" s="146" t="s">
        <v>87</v>
      </c>
      <c r="F997" s="145" t="s">
        <v>1603</v>
      </c>
      <c r="G997" s="146" t="s">
        <v>20</v>
      </c>
      <c r="H997" s="146">
        <v>201605</v>
      </c>
      <c r="I997" s="147">
        <v>3810.01</v>
      </c>
      <c r="J997" s="144">
        <f t="shared" si="86"/>
        <v>6</v>
      </c>
      <c r="K997" s="148">
        <v>1.4833299999999999E-3</v>
      </c>
      <c r="L997" s="147">
        <f t="shared" si="87"/>
        <v>33.909999999999997</v>
      </c>
      <c r="M997" s="147">
        <f t="shared" si="88"/>
        <v>67.819999999999993</v>
      </c>
      <c r="N997" s="145"/>
      <c r="P997" s="164"/>
      <c r="Q997" s="164"/>
      <c r="R997" s="165"/>
    </row>
    <row r="998" spans="1:18">
      <c r="A998" s="145" t="s">
        <v>21</v>
      </c>
      <c r="B998" s="146" t="s">
        <v>1973</v>
      </c>
      <c r="C998" s="146" t="s">
        <v>1974</v>
      </c>
      <c r="D998" s="145" t="s">
        <v>1975</v>
      </c>
      <c r="E998" s="146" t="s">
        <v>87</v>
      </c>
      <c r="F998" s="145" t="s">
        <v>1603</v>
      </c>
      <c r="G998" s="146" t="s">
        <v>20</v>
      </c>
      <c r="H998" s="146">
        <v>201605</v>
      </c>
      <c r="I998" s="147">
        <v>1186.47</v>
      </c>
      <c r="J998" s="144">
        <f t="shared" si="86"/>
        <v>6</v>
      </c>
      <c r="K998" s="148">
        <v>1.4833299999999999E-3</v>
      </c>
      <c r="L998" s="147">
        <f t="shared" si="87"/>
        <v>10.56</v>
      </c>
      <c r="M998" s="147">
        <f t="shared" si="88"/>
        <v>21.12</v>
      </c>
      <c r="N998" s="145"/>
      <c r="P998" s="164"/>
      <c r="Q998" s="164"/>
      <c r="R998" s="165"/>
    </row>
    <row r="999" spans="1:18">
      <c r="A999" s="145" t="s">
        <v>127</v>
      </c>
      <c r="B999" s="146" t="s">
        <v>1994</v>
      </c>
      <c r="C999" s="146" t="s">
        <v>1995</v>
      </c>
      <c r="D999" s="145" t="s">
        <v>1996</v>
      </c>
      <c r="E999" s="146" t="s">
        <v>87</v>
      </c>
      <c r="F999" s="145" t="s">
        <v>1603</v>
      </c>
      <c r="G999" s="146" t="s">
        <v>20</v>
      </c>
      <c r="H999" s="146">
        <v>201605</v>
      </c>
      <c r="I999" s="147">
        <v>853.59</v>
      </c>
      <c r="J999" s="144">
        <f t="shared" si="86"/>
        <v>6</v>
      </c>
      <c r="K999" s="148">
        <v>2.3833299999999999E-3</v>
      </c>
      <c r="L999" s="147">
        <f t="shared" si="87"/>
        <v>12.21</v>
      </c>
      <c r="M999" s="147">
        <f t="shared" si="88"/>
        <v>24.41</v>
      </c>
      <c r="N999" s="145"/>
      <c r="P999" s="164"/>
      <c r="Q999" s="164"/>
      <c r="R999" s="165"/>
    </row>
    <row r="1000" spans="1:18">
      <c r="A1000" s="145" t="s">
        <v>14</v>
      </c>
      <c r="B1000" s="146" t="s">
        <v>1681</v>
      </c>
      <c r="C1000" s="146" t="s">
        <v>2005</v>
      </c>
      <c r="D1000" s="145" t="s">
        <v>2006</v>
      </c>
      <c r="E1000" s="146" t="s">
        <v>87</v>
      </c>
      <c r="F1000" s="145" t="s">
        <v>1603</v>
      </c>
      <c r="G1000" s="146" t="s">
        <v>20</v>
      </c>
      <c r="H1000" s="146">
        <v>201605</v>
      </c>
      <c r="I1000" s="147">
        <v>3.81</v>
      </c>
      <c r="J1000" s="144">
        <f t="shared" si="86"/>
        <v>6</v>
      </c>
      <c r="K1000" s="148">
        <v>2.23333E-3</v>
      </c>
      <c r="L1000" s="147">
        <f t="shared" si="87"/>
        <v>0.05</v>
      </c>
      <c r="M1000" s="147">
        <f t="shared" si="88"/>
        <v>0.1</v>
      </c>
      <c r="N1000" s="145"/>
      <c r="P1000" s="164"/>
      <c r="Q1000" s="164"/>
      <c r="R1000" s="165"/>
    </row>
    <row r="1001" spans="1:18">
      <c r="A1001" s="145" t="s">
        <v>626</v>
      </c>
      <c r="B1001" s="146" t="s">
        <v>1681</v>
      </c>
      <c r="C1001" s="146" t="s">
        <v>2005</v>
      </c>
      <c r="D1001" s="145" t="s">
        <v>2006</v>
      </c>
      <c r="E1001" s="146" t="s">
        <v>87</v>
      </c>
      <c r="F1001" s="145" t="s">
        <v>1603</v>
      </c>
      <c r="G1001" s="146" t="s">
        <v>20</v>
      </c>
      <c r="H1001" s="146">
        <v>201605</v>
      </c>
      <c r="I1001" s="147">
        <v>1174.97</v>
      </c>
      <c r="J1001" s="144">
        <f t="shared" si="86"/>
        <v>6</v>
      </c>
      <c r="K1001" s="148">
        <v>1.4833299999999999E-3</v>
      </c>
      <c r="L1001" s="147">
        <f t="shared" si="87"/>
        <v>10.46</v>
      </c>
      <c r="M1001" s="147">
        <f t="shared" si="88"/>
        <v>20.91</v>
      </c>
      <c r="N1001" s="145"/>
      <c r="P1001" s="164"/>
      <c r="Q1001" s="164"/>
      <c r="R1001" s="165"/>
    </row>
    <row r="1002" spans="1:18">
      <c r="A1002" s="145" t="s">
        <v>21</v>
      </c>
      <c r="B1002" s="146" t="s">
        <v>1681</v>
      </c>
      <c r="C1002" s="146" t="s">
        <v>2017</v>
      </c>
      <c r="D1002" s="145" t="s">
        <v>2018</v>
      </c>
      <c r="E1002" s="146" t="s">
        <v>87</v>
      </c>
      <c r="F1002" s="145" t="s">
        <v>1603</v>
      </c>
      <c r="G1002" s="146" t="s">
        <v>20</v>
      </c>
      <c r="H1002" s="146">
        <v>201605</v>
      </c>
      <c r="I1002" s="147">
        <v>3688.99</v>
      </c>
      <c r="J1002" s="144">
        <f t="shared" si="86"/>
        <v>6</v>
      </c>
      <c r="K1002" s="148">
        <v>1.4833299999999999E-3</v>
      </c>
      <c r="L1002" s="147">
        <f t="shared" si="87"/>
        <v>32.83</v>
      </c>
      <c r="M1002" s="147">
        <f t="shared" si="88"/>
        <v>65.66</v>
      </c>
      <c r="N1002" s="145"/>
      <c r="P1002" s="164"/>
      <c r="Q1002" s="164"/>
      <c r="R1002" s="165"/>
    </row>
    <row r="1003" spans="1:18">
      <c r="A1003" s="145" t="s">
        <v>626</v>
      </c>
      <c r="B1003" s="146" t="s">
        <v>1594</v>
      </c>
      <c r="C1003" s="146" t="s">
        <v>1595</v>
      </c>
      <c r="D1003" s="145" t="s">
        <v>1596</v>
      </c>
      <c r="E1003" s="146" t="s">
        <v>87</v>
      </c>
      <c r="F1003" s="145" t="s">
        <v>1603</v>
      </c>
      <c r="G1003" s="146" t="s">
        <v>20</v>
      </c>
      <c r="H1003" s="146">
        <v>201606</v>
      </c>
      <c r="I1003" s="147">
        <v>2.81</v>
      </c>
      <c r="J1003" s="144">
        <f t="shared" si="86"/>
        <v>5</v>
      </c>
      <c r="K1003" s="148">
        <v>1.4833299999999999E-3</v>
      </c>
      <c r="L1003" s="147">
        <f t="shared" si="87"/>
        <v>0.02</v>
      </c>
      <c r="M1003" s="147">
        <f t="shared" si="88"/>
        <v>0.05</v>
      </c>
      <c r="N1003" s="145"/>
      <c r="P1003" s="164"/>
      <c r="Q1003" s="164"/>
      <c r="R1003" s="165"/>
    </row>
    <row r="1004" spans="1:18">
      <c r="A1004" s="145" t="s">
        <v>21</v>
      </c>
      <c r="B1004" s="146" t="s">
        <v>1664</v>
      </c>
      <c r="C1004" s="146" t="s">
        <v>1665</v>
      </c>
      <c r="D1004" s="145" t="s">
        <v>1666</v>
      </c>
      <c r="E1004" s="146" t="s">
        <v>87</v>
      </c>
      <c r="F1004" s="145" t="s">
        <v>1603</v>
      </c>
      <c r="G1004" s="146" t="s">
        <v>20</v>
      </c>
      <c r="H1004" s="146">
        <v>201606</v>
      </c>
      <c r="I1004" s="147">
        <v>-38.57</v>
      </c>
      <c r="J1004" s="144">
        <f t="shared" si="86"/>
        <v>5</v>
      </c>
      <c r="K1004" s="148">
        <v>1.4833299999999999E-3</v>
      </c>
      <c r="L1004" s="147">
        <f t="shared" si="87"/>
        <v>-0.28999999999999998</v>
      </c>
      <c r="M1004" s="147">
        <f t="shared" si="88"/>
        <v>-0.69</v>
      </c>
      <c r="N1004" s="145"/>
      <c r="P1004" s="164"/>
      <c r="Q1004" s="164"/>
      <c r="R1004" s="165"/>
    </row>
    <row r="1005" spans="1:18">
      <c r="A1005" s="145" t="s">
        <v>21</v>
      </c>
      <c r="B1005" s="146" t="s">
        <v>1820</v>
      </c>
      <c r="C1005" s="146" t="s">
        <v>1821</v>
      </c>
      <c r="D1005" s="145" t="s">
        <v>1822</v>
      </c>
      <c r="E1005" s="146" t="s">
        <v>87</v>
      </c>
      <c r="F1005" s="145" t="s">
        <v>1603</v>
      </c>
      <c r="G1005" s="146" t="s">
        <v>20</v>
      </c>
      <c r="H1005" s="146">
        <v>201606</v>
      </c>
      <c r="I1005" s="147">
        <v>280.17</v>
      </c>
      <c r="J1005" s="144">
        <f t="shared" si="86"/>
        <v>5</v>
      </c>
      <c r="K1005" s="148">
        <v>1.4833299999999999E-3</v>
      </c>
      <c r="L1005" s="147">
        <f t="shared" si="87"/>
        <v>2.08</v>
      </c>
      <c r="M1005" s="147">
        <f t="shared" si="88"/>
        <v>4.99</v>
      </c>
      <c r="N1005" s="145"/>
      <c r="P1005" s="164"/>
      <c r="Q1005" s="164"/>
      <c r="R1005" s="165"/>
    </row>
    <row r="1006" spans="1:18">
      <c r="A1006" s="145" t="s">
        <v>127</v>
      </c>
      <c r="B1006" s="146" t="s">
        <v>1964</v>
      </c>
      <c r="C1006" s="146" t="s">
        <v>1965</v>
      </c>
      <c r="D1006" s="145" t="s">
        <v>1966</v>
      </c>
      <c r="E1006" s="146" t="s">
        <v>87</v>
      </c>
      <c r="F1006" s="145" t="s">
        <v>1603</v>
      </c>
      <c r="G1006" s="146" t="s">
        <v>20</v>
      </c>
      <c r="H1006" s="146">
        <v>201606</v>
      </c>
      <c r="I1006" s="147">
        <v>93.91</v>
      </c>
      <c r="J1006" s="144">
        <f t="shared" si="86"/>
        <v>5</v>
      </c>
      <c r="K1006" s="148">
        <v>2.3833299999999999E-3</v>
      </c>
      <c r="L1006" s="147">
        <f t="shared" si="87"/>
        <v>1.1200000000000001</v>
      </c>
      <c r="M1006" s="147">
        <f t="shared" si="88"/>
        <v>2.69</v>
      </c>
      <c r="N1006" s="145"/>
      <c r="P1006" s="164"/>
      <c r="Q1006" s="164"/>
      <c r="R1006" s="165"/>
    </row>
    <row r="1007" spans="1:18">
      <c r="A1007" s="145" t="s">
        <v>626</v>
      </c>
      <c r="B1007" s="146" t="s">
        <v>1782</v>
      </c>
      <c r="C1007" s="146" t="s">
        <v>1783</v>
      </c>
      <c r="D1007" s="145" t="s">
        <v>1784</v>
      </c>
      <c r="E1007" s="146" t="s">
        <v>87</v>
      </c>
      <c r="F1007" s="145" t="s">
        <v>1603</v>
      </c>
      <c r="G1007" s="146" t="s">
        <v>20</v>
      </c>
      <c r="H1007" s="146">
        <v>201606</v>
      </c>
      <c r="I1007" s="147">
        <v>826.37</v>
      </c>
      <c r="J1007" s="144">
        <f t="shared" si="86"/>
        <v>5</v>
      </c>
      <c r="K1007" s="148">
        <v>1.4833299999999999E-3</v>
      </c>
      <c r="L1007" s="147">
        <f t="shared" si="87"/>
        <v>6.13</v>
      </c>
      <c r="M1007" s="147">
        <f t="shared" si="88"/>
        <v>14.71</v>
      </c>
      <c r="N1007" s="145"/>
      <c r="P1007" s="164"/>
      <c r="Q1007" s="164"/>
      <c r="R1007" s="165"/>
    </row>
    <row r="1008" spans="1:18">
      <c r="A1008" s="145" t="s">
        <v>21</v>
      </c>
      <c r="B1008" s="146" t="s">
        <v>1782</v>
      </c>
      <c r="C1008" s="146" t="s">
        <v>1783</v>
      </c>
      <c r="D1008" s="145" t="s">
        <v>1784</v>
      </c>
      <c r="E1008" s="146" t="s">
        <v>87</v>
      </c>
      <c r="F1008" s="145" t="s">
        <v>1603</v>
      </c>
      <c r="G1008" s="146" t="s">
        <v>20</v>
      </c>
      <c r="H1008" s="146">
        <v>201606</v>
      </c>
      <c r="I1008" s="147">
        <v>833.84</v>
      </c>
      <c r="J1008" s="144">
        <f t="shared" si="86"/>
        <v>5</v>
      </c>
      <c r="K1008" s="148">
        <v>1.4833299999999999E-3</v>
      </c>
      <c r="L1008" s="147">
        <f t="shared" si="87"/>
        <v>6.18</v>
      </c>
      <c r="M1008" s="147">
        <f t="shared" si="88"/>
        <v>14.84</v>
      </c>
      <c r="N1008" s="145"/>
      <c r="P1008" s="164"/>
      <c r="Q1008" s="164"/>
      <c r="R1008" s="165"/>
    </row>
    <row r="1009" spans="1:18">
      <c r="A1009" s="145" t="s">
        <v>21</v>
      </c>
      <c r="B1009" s="146" t="s">
        <v>1939</v>
      </c>
      <c r="C1009" s="146" t="s">
        <v>1940</v>
      </c>
      <c r="D1009" s="145" t="s">
        <v>1941</v>
      </c>
      <c r="E1009" s="146" t="s">
        <v>87</v>
      </c>
      <c r="F1009" s="145" t="s">
        <v>1603</v>
      </c>
      <c r="G1009" s="146" t="s">
        <v>20</v>
      </c>
      <c r="H1009" s="146">
        <v>201606</v>
      </c>
      <c r="I1009" s="147">
        <v>1580.23</v>
      </c>
      <c r="J1009" s="144">
        <f t="shared" si="86"/>
        <v>5</v>
      </c>
      <c r="K1009" s="148">
        <v>1.4833299999999999E-3</v>
      </c>
      <c r="L1009" s="147">
        <f t="shared" si="87"/>
        <v>11.72</v>
      </c>
      <c r="M1009" s="147">
        <f t="shared" si="88"/>
        <v>28.13</v>
      </c>
      <c r="N1009" s="145"/>
      <c r="P1009" s="164"/>
      <c r="Q1009" s="164"/>
      <c r="R1009" s="165"/>
    </row>
    <row r="1010" spans="1:18">
      <c r="A1010" s="145" t="s">
        <v>21</v>
      </c>
      <c r="B1010" s="146" t="s">
        <v>1973</v>
      </c>
      <c r="C1010" s="146" t="s">
        <v>1974</v>
      </c>
      <c r="D1010" s="145" t="s">
        <v>1975</v>
      </c>
      <c r="E1010" s="146" t="s">
        <v>87</v>
      </c>
      <c r="F1010" s="145" t="s">
        <v>1603</v>
      </c>
      <c r="G1010" s="146" t="s">
        <v>20</v>
      </c>
      <c r="H1010" s="146">
        <v>201606</v>
      </c>
      <c r="I1010" s="147">
        <v>787.45</v>
      </c>
      <c r="J1010" s="144">
        <f t="shared" si="86"/>
        <v>5</v>
      </c>
      <c r="K1010" s="148">
        <v>1.4833299999999999E-3</v>
      </c>
      <c r="L1010" s="147">
        <f t="shared" si="87"/>
        <v>5.84</v>
      </c>
      <c r="M1010" s="147">
        <f t="shared" si="88"/>
        <v>14.02</v>
      </c>
      <c r="N1010" s="145"/>
      <c r="P1010" s="164"/>
      <c r="Q1010" s="164"/>
      <c r="R1010" s="165"/>
    </row>
    <row r="1011" spans="1:18">
      <c r="A1011" s="145" t="s">
        <v>127</v>
      </c>
      <c r="B1011" s="146" t="s">
        <v>1994</v>
      </c>
      <c r="C1011" s="146" t="s">
        <v>1995</v>
      </c>
      <c r="D1011" s="145" t="s">
        <v>1996</v>
      </c>
      <c r="E1011" s="146" t="s">
        <v>87</v>
      </c>
      <c r="F1011" s="145" t="s">
        <v>1603</v>
      </c>
      <c r="G1011" s="146" t="s">
        <v>20</v>
      </c>
      <c r="H1011" s="146">
        <v>201606</v>
      </c>
      <c r="I1011" s="147">
        <v>539.20000000000005</v>
      </c>
      <c r="J1011" s="144">
        <f t="shared" si="86"/>
        <v>5</v>
      </c>
      <c r="K1011" s="148">
        <v>2.3833299999999999E-3</v>
      </c>
      <c r="L1011" s="147">
        <f t="shared" si="87"/>
        <v>6.43</v>
      </c>
      <c r="M1011" s="147">
        <f t="shared" si="88"/>
        <v>15.42</v>
      </c>
      <c r="N1011" s="145"/>
      <c r="P1011" s="164"/>
      <c r="Q1011" s="164"/>
      <c r="R1011" s="165"/>
    </row>
    <row r="1012" spans="1:18">
      <c r="A1012" s="145" t="s">
        <v>14</v>
      </c>
      <c r="B1012" s="146" t="s">
        <v>1681</v>
      </c>
      <c r="C1012" s="146" t="s">
        <v>2005</v>
      </c>
      <c r="D1012" s="145" t="s">
        <v>2006</v>
      </c>
      <c r="E1012" s="146" t="s">
        <v>87</v>
      </c>
      <c r="F1012" s="145" t="s">
        <v>1603</v>
      </c>
      <c r="G1012" s="146" t="s">
        <v>20</v>
      </c>
      <c r="H1012" s="146">
        <v>201606</v>
      </c>
      <c r="I1012" s="147">
        <v>2.46</v>
      </c>
      <c r="J1012" s="144">
        <f t="shared" si="86"/>
        <v>5</v>
      </c>
      <c r="K1012" s="148">
        <v>2.23333E-3</v>
      </c>
      <c r="L1012" s="147">
        <f t="shared" si="87"/>
        <v>0.03</v>
      </c>
      <c r="M1012" s="147">
        <f t="shared" si="88"/>
        <v>7.0000000000000007E-2</v>
      </c>
      <c r="N1012" s="145"/>
      <c r="P1012" s="164"/>
      <c r="Q1012" s="164"/>
      <c r="R1012" s="165"/>
    </row>
    <row r="1013" spans="1:18">
      <c r="A1013" s="145" t="s">
        <v>626</v>
      </c>
      <c r="B1013" s="146" t="s">
        <v>1681</v>
      </c>
      <c r="C1013" s="146" t="s">
        <v>2005</v>
      </c>
      <c r="D1013" s="145" t="s">
        <v>2006</v>
      </c>
      <c r="E1013" s="146" t="s">
        <v>87</v>
      </c>
      <c r="F1013" s="145" t="s">
        <v>1603</v>
      </c>
      <c r="G1013" s="146" t="s">
        <v>20</v>
      </c>
      <c r="H1013" s="146">
        <v>201606</v>
      </c>
      <c r="I1013" s="147">
        <v>761.88</v>
      </c>
      <c r="J1013" s="144">
        <f t="shared" si="86"/>
        <v>5</v>
      </c>
      <c r="K1013" s="148">
        <v>1.4833299999999999E-3</v>
      </c>
      <c r="L1013" s="147">
        <f t="shared" si="87"/>
        <v>5.65</v>
      </c>
      <c r="M1013" s="147">
        <f t="shared" si="88"/>
        <v>13.56</v>
      </c>
      <c r="N1013" s="145"/>
      <c r="P1013" s="164"/>
      <c r="Q1013" s="164"/>
      <c r="R1013" s="165"/>
    </row>
    <row r="1014" spans="1:18">
      <c r="A1014" s="145" t="s">
        <v>21</v>
      </c>
      <c r="B1014" s="146" t="s">
        <v>1681</v>
      </c>
      <c r="C1014" s="146" t="s">
        <v>2017</v>
      </c>
      <c r="D1014" s="145" t="s">
        <v>2018</v>
      </c>
      <c r="E1014" s="146" t="s">
        <v>87</v>
      </c>
      <c r="F1014" s="145" t="s">
        <v>1603</v>
      </c>
      <c r="G1014" s="146" t="s">
        <v>20</v>
      </c>
      <c r="H1014" s="146">
        <v>201606</v>
      </c>
      <c r="I1014" s="147">
        <v>63.07</v>
      </c>
      <c r="J1014" s="144">
        <f t="shared" si="86"/>
        <v>5</v>
      </c>
      <c r="K1014" s="148">
        <v>1.4833299999999999E-3</v>
      </c>
      <c r="L1014" s="147">
        <f t="shared" si="87"/>
        <v>0.47</v>
      </c>
      <c r="M1014" s="147">
        <f t="shared" si="88"/>
        <v>1.1200000000000001</v>
      </c>
      <c r="N1014" s="145"/>
      <c r="P1014" s="164"/>
      <c r="Q1014" s="164"/>
      <c r="R1014" s="165"/>
    </row>
    <row r="1015" spans="1:18">
      <c r="A1015" s="151" t="s">
        <v>21</v>
      </c>
      <c r="B1015" s="152" t="s">
        <v>1664</v>
      </c>
      <c r="C1015" s="152" t="s">
        <v>1665</v>
      </c>
      <c r="D1015" s="151" t="s">
        <v>1666</v>
      </c>
      <c r="E1015" s="152" t="s">
        <v>87</v>
      </c>
      <c r="F1015" s="151" t="s">
        <v>1603</v>
      </c>
      <c r="G1015" s="152" t="s">
        <v>20</v>
      </c>
      <c r="H1015" s="153">
        <v>201607</v>
      </c>
      <c r="I1015" s="154">
        <v>-32374.87</v>
      </c>
      <c r="J1015" s="144">
        <f t="shared" ref="J1015:J1046" si="89">HLOOKUP(H1015,$Q$2:$Z$3,2)</f>
        <v>4</v>
      </c>
      <c r="K1015" s="155">
        <v>1.4833299999999999E-3</v>
      </c>
      <c r="L1015" s="154">
        <f t="shared" ref="L1015:L1046" si="90">ROUND(I1015*J1015*K1015,2)</f>
        <v>-192.09</v>
      </c>
      <c r="M1015" s="154">
        <f t="shared" ref="M1015:M1046" si="91">ROUND(I1015*K1015*12,2)</f>
        <v>-576.27</v>
      </c>
      <c r="N1015" s="145"/>
      <c r="P1015" s="164"/>
      <c r="Q1015" s="164"/>
      <c r="R1015" s="165"/>
    </row>
    <row r="1016" spans="1:18">
      <c r="A1016" s="151" t="s">
        <v>626</v>
      </c>
      <c r="B1016" s="152" t="s">
        <v>1345</v>
      </c>
      <c r="C1016" s="160" t="s">
        <v>1346</v>
      </c>
      <c r="D1016" s="161" t="s">
        <v>1347</v>
      </c>
      <c r="E1016" s="160" t="s">
        <v>87</v>
      </c>
      <c r="F1016" s="161" t="s">
        <v>1603</v>
      </c>
      <c r="G1016" s="160" t="s">
        <v>20</v>
      </c>
      <c r="H1016" s="103">
        <v>201607</v>
      </c>
      <c r="I1016" s="154">
        <v>-29859.58</v>
      </c>
      <c r="J1016" s="144">
        <f t="shared" si="89"/>
        <v>4</v>
      </c>
      <c r="K1016" s="155">
        <v>1.4833299999999999E-3</v>
      </c>
      <c r="L1016" s="154">
        <f t="shared" si="90"/>
        <v>-177.17</v>
      </c>
      <c r="M1016" s="154">
        <f t="shared" si="91"/>
        <v>-531.5</v>
      </c>
      <c r="N1016" s="145"/>
      <c r="P1016" s="164"/>
      <c r="Q1016" s="164"/>
      <c r="R1016" s="165"/>
    </row>
    <row r="1017" spans="1:18">
      <c r="A1017" s="151" t="s">
        <v>626</v>
      </c>
      <c r="B1017" s="152" t="s">
        <v>1594</v>
      </c>
      <c r="C1017" s="152" t="s">
        <v>1595</v>
      </c>
      <c r="D1017" s="151" t="s">
        <v>1596</v>
      </c>
      <c r="E1017" s="152" t="s">
        <v>87</v>
      </c>
      <c r="F1017" s="151" t="s">
        <v>1603</v>
      </c>
      <c r="G1017" s="152" t="s">
        <v>20</v>
      </c>
      <c r="H1017" s="153">
        <v>201607</v>
      </c>
      <c r="I1017" s="154">
        <v>1.58</v>
      </c>
      <c r="J1017" s="144">
        <f t="shared" si="89"/>
        <v>4</v>
      </c>
      <c r="K1017" s="155">
        <v>1.4833299999999999E-3</v>
      </c>
      <c r="L1017" s="154">
        <f t="shared" si="90"/>
        <v>0.01</v>
      </c>
      <c r="M1017" s="154">
        <f t="shared" si="91"/>
        <v>0.03</v>
      </c>
      <c r="N1017" s="145"/>
      <c r="P1017" s="164"/>
      <c r="Q1017" s="164"/>
      <c r="R1017" s="165"/>
    </row>
    <row r="1018" spans="1:18">
      <c r="A1018" s="151" t="s">
        <v>14</v>
      </c>
      <c r="B1018" s="160" t="s">
        <v>1681</v>
      </c>
      <c r="C1018" s="152" t="s">
        <v>2005</v>
      </c>
      <c r="D1018" s="151" t="s">
        <v>2006</v>
      </c>
      <c r="E1018" s="152" t="s">
        <v>87</v>
      </c>
      <c r="F1018" s="151" t="s">
        <v>1603</v>
      </c>
      <c r="G1018" s="152" t="s">
        <v>20</v>
      </c>
      <c r="H1018" s="150">
        <v>201607</v>
      </c>
      <c r="I1018" s="154">
        <v>1.7</v>
      </c>
      <c r="J1018" s="144">
        <f t="shared" si="89"/>
        <v>4</v>
      </c>
      <c r="K1018" s="155">
        <v>2.23333E-3</v>
      </c>
      <c r="L1018" s="154">
        <f t="shared" si="90"/>
        <v>0.02</v>
      </c>
      <c r="M1018" s="154">
        <f t="shared" si="91"/>
        <v>0.05</v>
      </c>
      <c r="N1018" s="145"/>
      <c r="P1018" s="164"/>
      <c r="Q1018" s="164"/>
      <c r="R1018" s="165"/>
    </row>
    <row r="1019" spans="1:18">
      <c r="A1019" s="151" t="s">
        <v>127</v>
      </c>
      <c r="B1019" s="152" t="s">
        <v>1964</v>
      </c>
      <c r="C1019" s="152" t="s">
        <v>1965</v>
      </c>
      <c r="D1019" s="151" t="s">
        <v>1966</v>
      </c>
      <c r="E1019" s="152" t="s">
        <v>87</v>
      </c>
      <c r="F1019" s="151" t="s">
        <v>1603</v>
      </c>
      <c r="G1019" s="152" t="s">
        <v>20</v>
      </c>
      <c r="H1019" s="153">
        <v>201607</v>
      </c>
      <c r="I1019" s="154">
        <v>75.7</v>
      </c>
      <c r="J1019" s="144">
        <f t="shared" si="89"/>
        <v>4</v>
      </c>
      <c r="K1019" s="155">
        <v>2.3833299999999999E-3</v>
      </c>
      <c r="L1019" s="154">
        <f t="shared" si="90"/>
        <v>0.72</v>
      </c>
      <c r="M1019" s="154">
        <f t="shared" si="91"/>
        <v>2.17</v>
      </c>
      <c r="N1019" s="145"/>
      <c r="P1019" s="164"/>
      <c r="Q1019" s="164"/>
      <c r="R1019" s="165"/>
    </row>
    <row r="1020" spans="1:18">
      <c r="A1020" s="151" t="s">
        <v>626</v>
      </c>
      <c r="B1020" s="152" t="s">
        <v>1782</v>
      </c>
      <c r="C1020" s="152" t="s">
        <v>1783</v>
      </c>
      <c r="D1020" s="151" t="s">
        <v>1784</v>
      </c>
      <c r="E1020" s="152" t="s">
        <v>87</v>
      </c>
      <c r="F1020" s="151" t="s">
        <v>1603</v>
      </c>
      <c r="G1020" s="152" t="s">
        <v>20</v>
      </c>
      <c r="H1020" s="153">
        <v>201607</v>
      </c>
      <c r="I1020" s="154">
        <v>115.32</v>
      </c>
      <c r="J1020" s="144">
        <f t="shared" si="89"/>
        <v>4</v>
      </c>
      <c r="K1020" s="155">
        <v>1.4833299999999999E-3</v>
      </c>
      <c r="L1020" s="154">
        <f t="shared" si="90"/>
        <v>0.68</v>
      </c>
      <c r="M1020" s="154">
        <f t="shared" si="91"/>
        <v>2.0499999999999998</v>
      </c>
      <c r="N1020" s="145"/>
      <c r="P1020" s="164"/>
      <c r="Q1020" s="164"/>
      <c r="R1020" s="165"/>
    </row>
    <row r="1021" spans="1:18">
      <c r="A1021" s="151" t="s">
        <v>21</v>
      </c>
      <c r="B1021" s="152" t="s">
        <v>1782</v>
      </c>
      <c r="C1021" s="152" t="s">
        <v>1783</v>
      </c>
      <c r="D1021" s="151" t="s">
        <v>1784</v>
      </c>
      <c r="E1021" s="152" t="s">
        <v>87</v>
      </c>
      <c r="F1021" s="151" t="s">
        <v>1603</v>
      </c>
      <c r="G1021" s="152" t="s">
        <v>20</v>
      </c>
      <c r="H1021" s="153">
        <v>201607</v>
      </c>
      <c r="I1021" s="154">
        <v>116.42</v>
      </c>
      <c r="J1021" s="144">
        <f t="shared" si="89"/>
        <v>4</v>
      </c>
      <c r="K1021" s="155">
        <v>1.4833299999999999E-3</v>
      </c>
      <c r="L1021" s="154">
        <f t="shared" si="90"/>
        <v>0.69</v>
      </c>
      <c r="M1021" s="154">
        <f t="shared" si="91"/>
        <v>2.0699999999999998</v>
      </c>
      <c r="N1021" s="145"/>
      <c r="P1021" s="164"/>
      <c r="Q1021" s="164"/>
      <c r="R1021" s="165"/>
    </row>
    <row r="1022" spans="1:18">
      <c r="A1022" s="151" t="s">
        <v>21</v>
      </c>
      <c r="B1022" s="160" t="s">
        <v>1681</v>
      </c>
      <c r="C1022" s="152" t="s">
        <v>2017</v>
      </c>
      <c r="D1022" s="151" t="s">
        <v>2018</v>
      </c>
      <c r="E1022" s="152" t="s">
        <v>87</v>
      </c>
      <c r="F1022" s="151" t="s">
        <v>1603</v>
      </c>
      <c r="G1022" s="152" t="s">
        <v>20</v>
      </c>
      <c r="H1022" s="153">
        <v>201607</v>
      </c>
      <c r="I1022" s="154">
        <v>174.62</v>
      </c>
      <c r="J1022" s="144">
        <f t="shared" si="89"/>
        <v>4</v>
      </c>
      <c r="K1022" s="155">
        <v>1.4833299999999999E-3</v>
      </c>
      <c r="L1022" s="154">
        <f t="shared" si="90"/>
        <v>1.04</v>
      </c>
      <c r="M1022" s="154">
        <f t="shared" si="91"/>
        <v>3.11</v>
      </c>
      <c r="N1022" s="145"/>
      <c r="P1022" s="164"/>
      <c r="Q1022" s="164"/>
      <c r="R1022" s="165"/>
    </row>
    <row r="1023" spans="1:18">
      <c r="A1023" s="151" t="s">
        <v>21</v>
      </c>
      <c r="B1023" s="152" t="s">
        <v>1820</v>
      </c>
      <c r="C1023" s="152" t="s">
        <v>1821</v>
      </c>
      <c r="D1023" s="151" t="s">
        <v>1822</v>
      </c>
      <c r="E1023" s="152" t="s">
        <v>87</v>
      </c>
      <c r="F1023" s="151" t="s">
        <v>1603</v>
      </c>
      <c r="G1023" s="152" t="s">
        <v>20</v>
      </c>
      <c r="H1023" s="153">
        <v>201607</v>
      </c>
      <c r="I1023" s="154">
        <v>216.07</v>
      </c>
      <c r="J1023" s="144">
        <f t="shared" si="89"/>
        <v>4</v>
      </c>
      <c r="K1023" s="155">
        <v>1.4833299999999999E-3</v>
      </c>
      <c r="L1023" s="154">
        <f t="shared" si="90"/>
        <v>1.28</v>
      </c>
      <c r="M1023" s="154">
        <f t="shared" si="91"/>
        <v>3.85</v>
      </c>
      <c r="N1023" s="145"/>
      <c r="P1023" s="164"/>
      <c r="Q1023" s="164"/>
      <c r="R1023" s="165"/>
    </row>
    <row r="1024" spans="1:18">
      <c r="A1024" s="151" t="s">
        <v>127</v>
      </c>
      <c r="B1024" s="152" t="s">
        <v>1994</v>
      </c>
      <c r="C1024" s="152" t="s">
        <v>1995</v>
      </c>
      <c r="D1024" s="151" t="s">
        <v>1996</v>
      </c>
      <c r="E1024" s="152" t="s">
        <v>87</v>
      </c>
      <c r="F1024" s="151" t="s">
        <v>1603</v>
      </c>
      <c r="G1024" s="152" t="s">
        <v>20</v>
      </c>
      <c r="H1024" s="153">
        <v>201607</v>
      </c>
      <c r="I1024" s="154">
        <v>333.1</v>
      </c>
      <c r="J1024" s="144">
        <f t="shared" si="89"/>
        <v>4</v>
      </c>
      <c r="K1024" s="155">
        <v>2.3833299999999999E-3</v>
      </c>
      <c r="L1024" s="154">
        <f t="shared" si="90"/>
        <v>3.18</v>
      </c>
      <c r="M1024" s="154">
        <f t="shared" si="91"/>
        <v>9.5299999999999994</v>
      </c>
      <c r="N1024" s="145"/>
      <c r="P1024" s="164"/>
      <c r="Q1024" s="164"/>
      <c r="R1024" s="165"/>
    </row>
    <row r="1025" spans="1:18">
      <c r="A1025" s="151" t="s">
        <v>626</v>
      </c>
      <c r="B1025" s="160" t="s">
        <v>1681</v>
      </c>
      <c r="C1025" s="152" t="s">
        <v>2005</v>
      </c>
      <c r="D1025" s="151" t="s">
        <v>2006</v>
      </c>
      <c r="E1025" s="152" t="s">
        <v>87</v>
      </c>
      <c r="F1025" s="151" t="s">
        <v>1603</v>
      </c>
      <c r="G1025" s="152" t="s">
        <v>20</v>
      </c>
      <c r="H1025" s="153">
        <v>201607</v>
      </c>
      <c r="I1025" s="154">
        <v>522.54</v>
      </c>
      <c r="J1025" s="144">
        <f t="shared" si="89"/>
        <v>4</v>
      </c>
      <c r="K1025" s="155">
        <v>1.4833299999999999E-3</v>
      </c>
      <c r="L1025" s="154">
        <f t="shared" si="90"/>
        <v>3.1</v>
      </c>
      <c r="M1025" s="154">
        <f t="shared" si="91"/>
        <v>9.3000000000000007</v>
      </c>
      <c r="N1025" s="145"/>
      <c r="P1025" s="164"/>
      <c r="Q1025" s="164"/>
      <c r="R1025" s="165"/>
    </row>
    <row r="1026" spans="1:18">
      <c r="A1026" s="151" t="s">
        <v>21</v>
      </c>
      <c r="B1026" s="152" t="s">
        <v>1973</v>
      </c>
      <c r="C1026" s="152" t="s">
        <v>1974</v>
      </c>
      <c r="D1026" s="151" t="s">
        <v>1975</v>
      </c>
      <c r="E1026" s="152" t="s">
        <v>87</v>
      </c>
      <c r="F1026" s="151" t="s">
        <v>1603</v>
      </c>
      <c r="G1026" s="152" t="s">
        <v>20</v>
      </c>
      <c r="H1026" s="153">
        <v>201607</v>
      </c>
      <c r="I1026" s="154">
        <v>556.54999999999995</v>
      </c>
      <c r="J1026" s="144">
        <f t="shared" si="89"/>
        <v>4</v>
      </c>
      <c r="K1026" s="155">
        <v>1.4833299999999999E-3</v>
      </c>
      <c r="L1026" s="154">
        <f t="shared" si="90"/>
        <v>3.3</v>
      </c>
      <c r="M1026" s="154">
        <f t="shared" si="91"/>
        <v>9.91</v>
      </c>
      <c r="N1026" s="145"/>
      <c r="P1026" s="164"/>
      <c r="Q1026" s="164"/>
      <c r="R1026" s="165"/>
    </row>
    <row r="1027" spans="1:18">
      <c r="A1027" s="151" t="s">
        <v>21</v>
      </c>
      <c r="B1027" s="152" t="s">
        <v>1939</v>
      </c>
      <c r="C1027" s="152" t="s">
        <v>1940</v>
      </c>
      <c r="D1027" s="151" t="s">
        <v>1941</v>
      </c>
      <c r="E1027" s="152" t="s">
        <v>87</v>
      </c>
      <c r="F1027" s="151" t="s">
        <v>1603</v>
      </c>
      <c r="G1027" s="152" t="s">
        <v>20</v>
      </c>
      <c r="H1027" s="153">
        <v>201607</v>
      </c>
      <c r="I1027" s="154">
        <v>1070.08</v>
      </c>
      <c r="J1027" s="144">
        <f t="shared" si="89"/>
        <v>4</v>
      </c>
      <c r="K1027" s="155">
        <v>1.4833299999999999E-3</v>
      </c>
      <c r="L1027" s="154">
        <f t="shared" si="90"/>
        <v>6.35</v>
      </c>
      <c r="M1027" s="154">
        <f t="shared" si="91"/>
        <v>19.05</v>
      </c>
      <c r="N1027" s="145"/>
      <c r="P1027" s="164"/>
      <c r="Q1027" s="164"/>
      <c r="R1027" s="165"/>
    </row>
    <row r="1028" spans="1:18">
      <c r="A1028" s="161" t="s">
        <v>626</v>
      </c>
      <c r="B1028" s="160" t="s">
        <v>1681</v>
      </c>
      <c r="C1028" s="160" t="s">
        <v>2113</v>
      </c>
      <c r="D1028" s="161" t="s">
        <v>2114</v>
      </c>
      <c r="E1028" s="160" t="s">
        <v>87</v>
      </c>
      <c r="F1028" s="161" t="s">
        <v>1603</v>
      </c>
      <c r="G1028" s="160" t="s">
        <v>20</v>
      </c>
      <c r="H1028" s="103">
        <v>201607</v>
      </c>
      <c r="I1028" s="154">
        <v>11039.77</v>
      </c>
      <c r="J1028" s="144">
        <f t="shared" si="89"/>
        <v>4</v>
      </c>
      <c r="K1028" s="155">
        <v>1.4833299999999999E-3</v>
      </c>
      <c r="L1028" s="154">
        <f t="shared" si="90"/>
        <v>65.5</v>
      </c>
      <c r="M1028" s="154">
        <f t="shared" si="91"/>
        <v>196.51</v>
      </c>
      <c r="N1028" s="145"/>
      <c r="P1028" s="164"/>
      <c r="Q1028" s="164"/>
      <c r="R1028" s="165"/>
    </row>
    <row r="1029" spans="1:18">
      <c r="A1029" s="145" t="s">
        <v>626</v>
      </c>
      <c r="B1029" s="146" t="s">
        <v>1855</v>
      </c>
      <c r="C1029" s="146" t="s">
        <v>1856</v>
      </c>
      <c r="D1029" s="145" t="s">
        <v>1857</v>
      </c>
      <c r="E1029" s="146" t="s">
        <v>209</v>
      </c>
      <c r="F1029" s="145" t="s">
        <v>1612</v>
      </c>
      <c r="G1029" s="146" t="s">
        <v>20</v>
      </c>
      <c r="H1029" s="146">
        <v>201603</v>
      </c>
      <c r="I1029" s="147">
        <v>3691.43</v>
      </c>
      <c r="J1029" s="144">
        <f t="shared" si="89"/>
        <v>8</v>
      </c>
      <c r="K1029" s="148">
        <v>1.4833299999999999E-3</v>
      </c>
      <c r="L1029" s="147">
        <f t="shared" si="90"/>
        <v>43.8</v>
      </c>
      <c r="M1029" s="147">
        <f t="shared" si="91"/>
        <v>65.709999999999994</v>
      </c>
      <c r="N1029" s="145"/>
      <c r="P1029" s="164"/>
      <c r="Q1029" s="164"/>
      <c r="R1029" s="165"/>
    </row>
    <row r="1030" spans="1:18">
      <c r="A1030" s="145" t="s">
        <v>127</v>
      </c>
      <c r="B1030" s="146" t="s">
        <v>1032</v>
      </c>
      <c r="C1030" s="146" t="s">
        <v>1033</v>
      </c>
      <c r="D1030" s="145" t="s">
        <v>1034</v>
      </c>
      <c r="E1030" s="146" t="s">
        <v>209</v>
      </c>
      <c r="F1030" s="145" t="s">
        <v>1612</v>
      </c>
      <c r="G1030" s="146" t="s">
        <v>20</v>
      </c>
      <c r="H1030" s="146">
        <v>201603</v>
      </c>
      <c r="I1030" s="147">
        <v>4107.96</v>
      </c>
      <c r="J1030" s="144">
        <f t="shared" si="89"/>
        <v>8</v>
      </c>
      <c r="K1030" s="148">
        <v>2.3833299999999999E-3</v>
      </c>
      <c r="L1030" s="147">
        <f t="shared" si="90"/>
        <v>78.319999999999993</v>
      </c>
      <c r="M1030" s="147">
        <f t="shared" si="91"/>
        <v>117.49</v>
      </c>
      <c r="N1030" s="145"/>
      <c r="P1030" s="164"/>
      <c r="Q1030" s="164"/>
      <c r="R1030" s="165"/>
    </row>
    <row r="1031" spans="1:18">
      <c r="A1031" s="145" t="s">
        <v>626</v>
      </c>
      <c r="B1031" s="146" t="s">
        <v>1855</v>
      </c>
      <c r="C1031" s="146" t="s">
        <v>1856</v>
      </c>
      <c r="D1031" s="145" t="s">
        <v>1857</v>
      </c>
      <c r="E1031" s="146" t="s">
        <v>209</v>
      </c>
      <c r="F1031" s="145" t="s">
        <v>1612</v>
      </c>
      <c r="G1031" s="146" t="s">
        <v>20</v>
      </c>
      <c r="H1031" s="146">
        <v>201604</v>
      </c>
      <c r="I1031" s="147">
        <v>3583.64</v>
      </c>
      <c r="J1031" s="144">
        <f t="shared" si="89"/>
        <v>7</v>
      </c>
      <c r="K1031" s="148">
        <v>1.4833299999999999E-3</v>
      </c>
      <c r="L1031" s="147">
        <f t="shared" si="90"/>
        <v>37.21</v>
      </c>
      <c r="M1031" s="147">
        <f t="shared" si="91"/>
        <v>63.79</v>
      </c>
      <c r="N1031" s="145"/>
      <c r="P1031" s="164"/>
      <c r="Q1031" s="164"/>
      <c r="R1031" s="165"/>
    </row>
    <row r="1032" spans="1:18">
      <c r="A1032" s="145" t="s">
        <v>127</v>
      </c>
      <c r="B1032" s="146" t="s">
        <v>1032</v>
      </c>
      <c r="C1032" s="146" t="s">
        <v>1033</v>
      </c>
      <c r="D1032" s="145" t="s">
        <v>1034</v>
      </c>
      <c r="E1032" s="146" t="s">
        <v>209</v>
      </c>
      <c r="F1032" s="145" t="s">
        <v>1612</v>
      </c>
      <c r="G1032" s="146" t="s">
        <v>20</v>
      </c>
      <c r="H1032" s="146">
        <v>201604</v>
      </c>
      <c r="I1032" s="147">
        <v>1093.03</v>
      </c>
      <c r="J1032" s="144">
        <f t="shared" si="89"/>
        <v>7</v>
      </c>
      <c r="K1032" s="148">
        <v>2.3833299999999999E-3</v>
      </c>
      <c r="L1032" s="147">
        <f t="shared" si="90"/>
        <v>18.239999999999998</v>
      </c>
      <c r="M1032" s="147">
        <f t="shared" si="91"/>
        <v>31.26</v>
      </c>
      <c r="N1032" s="145"/>
      <c r="P1032" s="164"/>
      <c r="Q1032" s="164"/>
      <c r="R1032" s="165"/>
    </row>
    <row r="1033" spans="1:18">
      <c r="A1033" s="145" t="s">
        <v>127</v>
      </c>
      <c r="B1033" s="146" t="s">
        <v>1773</v>
      </c>
      <c r="C1033" s="146" t="s">
        <v>1774</v>
      </c>
      <c r="D1033" s="145" t="s">
        <v>1775</v>
      </c>
      <c r="E1033" s="146" t="s">
        <v>209</v>
      </c>
      <c r="F1033" s="145" t="s">
        <v>1612</v>
      </c>
      <c r="G1033" s="146" t="s">
        <v>20</v>
      </c>
      <c r="H1033" s="146">
        <v>201604</v>
      </c>
      <c r="I1033" s="147">
        <v>13826.22</v>
      </c>
      <c r="J1033" s="144">
        <f t="shared" si="89"/>
        <v>7</v>
      </c>
      <c r="K1033" s="148">
        <v>2.3833299999999999E-3</v>
      </c>
      <c r="L1033" s="147">
        <f t="shared" si="90"/>
        <v>230.67</v>
      </c>
      <c r="M1033" s="147">
        <f t="shared" si="91"/>
        <v>395.43</v>
      </c>
      <c r="N1033" s="145"/>
      <c r="P1033" s="164"/>
      <c r="Q1033" s="164"/>
      <c r="R1033" s="165"/>
    </row>
    <row r="1034" spans="1:18">
      <c r="A1034" s="145" t="s">
        <v>626</v>
      </c>
      <c r="B1034" s="146" t="s">
        <v>1658</v>
      </c>
      <c r="C1034" s="146" t="s">
        <v>1659</v>
      </c>
      <c r="D1034" s="145" t="s">
        <v>1660</v>
      </c>
      <c r="E1034" s="146" t="s">
        <v>209</v>
      </c>
      <c r="F1034" s="145" t="s">
        <v>1612</v>
      </c>
      <c r="G1034" s="146" t="s">
        <v>20</v>
      </c>
      <c r="H1034" s="146">
        <v>201604</v>
      </c>
      <c r="I1034" s="147">
        <v>-10.64</v>
      </c>
      <c r="J1034" s="144">
        <f t="shared" si="89"/>
        <v>7</v>
      </c>
      <c r="K1034" s="148">
        <v>1.4833299999999999E-3</v>
      </c>
      <c r="L1034" s="147">
        <f t="shared" si="90"/>
        <v>-0.11</v>
      </c>
      <c r="M1034" s="147">
        <f t="shared" si="91"/>
        <v>-0.19</v>
      </c>
      <c r="N1034" s="145"/>
      <c r="P1034" s="164"/>
      <c r="Q1034" s="164"/>
      <c r="R1034" s="165"/>
    </row>
    <row r="1035" spans="1:18">
      <c r="A1035" s="145" t="s">
        <v>21</v>
      </c>
      <c r="B1035" s="146" t="s">
        <v>1667</v>
      </c>
      <c r="C1035" s="146" t="s">
        <v>1668</v>
      </c>
      <c r="D1035" s="145" t="s">
        <v>1651</v>
      </c>
      <c r="E1035" s="146" t="s">
        <v>209</v>
      </c>
      <c r="F1035" s="145" t="s">
        <v>1612</v>
      </c>
      <c r="G1035" s="146" t="s">
        <v>20</v>
      </c>
      <c r="H1035" s="146">
        <v>201604</v>
      </c>
      <c r="I1035" s="147">
        <v>2691.95</v>
      </c>
      <c r="J1035" s="144">
        <f t="shared" si="89"/>
        <v>7</v>
      </c>
      <c r="K1035" s="148">
        <v>1.4833299999999999E-3</v>
      </c>
      <c r="L1035" s="147">
        <f t="shared" si="90"/>
        <v>27.95</v>
      </c>
      <c r="M1035" s="147">
        <f t="shared" si="91"/>
        <v>47.92</v>
      </c>
      <c r="N1035" s="145"/>
      <c r="P1035" s="164"/>
      <c r="Q1035" s="164"/>
      <c r="R1035" s="165"/>
    </row>
    <row r="1036" spans="1:18">
      <c r="A1036" s="145" t="s">
        <v>626</v>
      </c>
      <c r="B1036" s="146" t="s">
        <v>1681</v>
      </c>
      <c r="C1036" s="146" t="s">
        <v>2065</v>
      </c>
      <c r="D1036" s="145" t="s">
        <v>2066</v>
      </c>
      <c r="E1036" s="146" t="s">
        <v>209</v>
      </c>
      <c r="F1036" s="145" t="s">
        <v>1612</v>
      </c>
      <c r="G1036" s="146" t="s">
        <v>20</v>
      </c>
      <c r="H1036" s="146">
        <v>201604</v>
      </c>
      <c r="I1036" s="147">
        <v>53122.34</v>
      </c>
      <c r="J1036" s="144">
        <f t="shared" si="89"/>
        <v>7</v>
      </c>
      <c r="K1036" s="148">
        <v>1.4833299999999999E-3</v>
      </c>
      <c r="L1036" s="147">
        <f t="shared" si="90"/>
        <v>551.59</v>
      </c>
      <c r="M1036" s="147">
        <f t="shared" si="91"/>
        <v>945.58</v>
      </c>
      <c r="N1036" s="145"/>
      <c r="P1036" s="164"/>
      <c r="Q1036" s="164"/>
      <c r="R1036" s="165"/>
    </row>
    <row r="1037" spans="1:18">
      <c r="A1037" s="145" t="s">
        <v>626</v>
      </c>
      <c r="B1037" s="146" t="s">
        <v>1681</v>
      </c>
      <c r="C1037" s="146" t="s">
        <v>2093</v>
      </c>
      <c r="D1037" s="145" t="s">
        <v>2094</v>
      </c>
      <c r="E1037" s="146" t="s">
        <v>209</v>
      </c>
      <c r="F1037" s="145" t="s">
        <v>1612</v>
      </c>
      <c r="G1037" s="146" t="s">
        <v>20</v>
      </c>
      <c r="H1037" s="146">
        <v>201604</v>
      </c>
      <c r="I1037" s="147">
        <v>24940.37</v>
      </c>
      <c r="J1037" s="144">
        <f t="shared" si="89"/>
        <v>7</v>
      </c>
      <c r="K1037" s="148">
        <v>1.4833299999999999E-3</v>
      </c>
      <c r="L1037" s="147">
        <f t="shared" si="90"/>
        <v>258.95999999999998</v>
      </c>
      <c r="M1037" s="147">
        <f t="shared" si="91"/>
        <v>443.94</v>
      </c>
      <c r="N1037" s="145"/>
      <c r="P1037" s="164"/>
      <c r="Q1037" s="164"/>
      <c r="R1037" s="165"/>
    </row>
    <row r="1038" spans="1:18">
      <c r="A1038" s="145" t="s">
        <v>626</v>
      </c>
      <c r="B1038" s="146" t="s">
        <v>1855</v>
      </c>
      <c r="C1038" s="146" t="s">
        <v>1856</v>
      </c>
      <c r="D1038" s="145" t="s">
        <v>1857</v>
      </c>
      <c r="E1038" s="146" t="s">
        <v>209</v>
      </c>
      <c r="F1038" s="145" t="s">
        <v>1612</v>
      </c>
      <c r="G1038" s="146" t="s">
        <v>20</v>
      </c>
      <c r="H1038" s="146">
        <v>201605</v>
      </c>
      <c r="I1038" s="147">
        <v>2702.91</v>
      </c>
      <c r="J1038" s="144">
        <f t="shared" si="89"/>
        <v>6</v>
      </c>
      <c r="K1038" s="148">
        <v>1.4833299999999999E-3</v>
      </c>
      <c r="L1038" s="147">
        <f t="shared" si="90"/>
        <v>24.06</v>
      </c>
      <c r="M1038" s="147">
        <f t="shared" si="91"/>
        <v>48.11</v>
      </c>
      <c r="N1038" s="145"/>
      <c r="P1038" s="164"/>
      <c r="Q1038" s="164"/>
      <c r="R1038" s="165"/>
    </row>
    <row r="1039" spans="1:18">
      <c r="A1039" s="145" t="s">
        <v>127</v>
      </c>
      <c r="B1039" s="146" t="s">
        <v>1032</v>
      </c>
      <c r="C1039" s="146" t="s">
        <v>1033</v>
      </c>
      <c r="D1039" s="145" t="s">
        <v>1034</v>
      </c>
      <c r="E1039" s="146" t="s">
        <v>209</v>
      </c>
      <c r="F1039" s="145" t="s">
        <v>1612</v>
      </c>
      <c r="G1039" s="146" t="s">
        <v>20</v>
      </c>
      <c r="H1039" s="146">
        <v>201605</v>
      </c>
      <c r="I1039" s="147">
        <v>196.51</v>
      </c>
      <c r="J1039" s="144">
        <f t="shared" si="89"/>
        <v>6</v>
      </c>
      <c r="K1039" s="148">
        <v>2.3833299999999999E-3</v>
      </c>
      <c r="L1039" s="147">
        <f t="shared" si="90"/>
        <v>2.81</v>
      </c>
      <c r="M1039" s="147">
        <f t="shared" si="91"/>
        <v>5.62</v>
      </c>
      <c r="N1039" s="145"/>
      <c r="P1039" s="164"/>
      <c r="Q1039" s="164"/>
      <c r="R1039" s="165"/>
    </row>
    <row r="1040" spans="1:18">
      <c r="A1040" s="145" t="s">
        <v>127</v>
      </c>
      <c r="B1040" s="146" t="s">
        <v>1773</v>
      </c>
      <c r="C1040" s="146" t="s">
        <v>1774</v>
      </c>
      <c r="D1040" s="145" t="s">
        <v>1775</v>
      </c>
      <c r="E1040" s="146" t="s">
        <v>209</v>
      </c>
      <c r="F1040" s="145" t="s">
        <v>1612</v>
      </c>
      <c r="G1040" s="146" t="s">
        <v>20</v>
      </c>
      <c r="H1040" s="146">
        <v>201605</v>
      </c>
      <c r="I1040" s="147">
        <v>-24.53</v>
      </c>
      <c r="J1040" s="144">
        <f t="shared" si="89"/>
        <v>6</v>
      </c>
      <c r="K1040" s="148">
        <v>2.3833299999999999E-3</v>
      </c>
      <c r="L1040" s="147">
        <f t="shared" si="90"/>
        <v>-0.35</v>
      </c>
      <c r="M1040" s="147">
        <f t="shared" si="91"/>
        <v>-0.7</v>
      </c>
      <c r="N1040" s="145"/>
      <c r="P1040" s="164"/>
      <c r="Q1040" s="164"/>
      <c r="R1040" s="165"/>
    </row>
    <row r="1041" spans="1:18">
      <c r="A1041" s="145" t="s">
        <v>626</v>
      </c>
      <c r="B1041" s="146" t="s">
        <v>1681</v>
      </c>
      <c r="C1041" s="146" t="s">
        <v>2065</v>
      </c>
      <c r="D1041" s="145" t="s">
        <v>2066</v>
      </c>
      <c r="E1041" s="146" t="s">
        <v>209</v>
      </c>
      <c r="F1041" s="145" t="s">
        <v>1612</v>
      </c>
      <c r="G1041" s="146" t="s">
        <v>20</v>
      </c>
      <c r="H1041" s="146">
        <v>201605</v>
      </c>
      <c r="I1041" s="147">
        <v>651.53</v>
      </c>
      <c r="J1041" s="144">
        <f t="shared" si="89"/>
        <v>6</v>
      </c>
      <c r="K1041" s="148">
        <v>1.4833299999999999E-3</v>
      </c>
      <c r="L1041" s="147">
        <f t="shared" si="90"/>
        <v>5.8</v>
      </c>
      <c r="M1041" s="147">
        <f t="shared" si="91"/>
        <v>11.6</v>
      </c>
      <c r="N1041" s="145"/>
      <c r="P1041" s="164"/>
      <c r="Q1041" s="164"/>
      <c r="R1041" s="165"/>
    </row>
    <row r="1042" spans="1:18">
      <c r="A1042" s="145" t="s">
        <v>626</v>
      </c>
      <c r="B1042" s="146" t="s">
        <v>1681</v>
      </c>
      <c r="C1042" s="146" t="s">
        <v>2093</v>
      </c>
      <c r="D1042" s="145" t="s">
        <v>2094</v>
      </c>
      <c r="E1042" s="146" t="s">
        <v>209</v>
      </c>
      <c r="F1042" s="145" t="s">
        <v>1612</v>
      </c>
      <c r="G1042" s="146" t="s">
        <v>20</v>
      </c>
      <c r="H1042" s="146">
        <v>201605</v>
      </c>
      <c r="I1042" s="147">
        <v>949.56</v>
      </c>
      <c r="J1042" s="144">
        <f t="shared" si="89"/>
        <v>6</v>
      </c>
      <c r="K1042" s="148">
        <v>1.4833299999999999E-3</v>
      </c>
      <c r="L1042" s="147">
        <f t="shared" si="90"/>
        <v>8.4499999999999993</v>
      </c>
      <c r="M1042" s="147">
        <f t="shared" si="91"/>
        <v>16.899999999999999</v>
      </c>
      <c r="N1042" s="145"/>
      <c r="P1042" s="164"/>
      <c r="Q1042" s="164"/>
      <c r="R1042" s="165"/>
    </row>
    <row r="1043" spans="1:18">
      <c r="A1043" s="145" t="s">
        <v>626</v>
      </c>
      <c r="B1043" s="146" t="s">
        <v>1855</v>
      </c>
      <c r="C1043" s="146" t="s">
        <v>1856</v>
      </c>
      <c r="D1043" s="145" t="s">
        <v>1857</v>
      </c>
      <c r="E1043" s="146" t="s">
        <v>209</v>
      </c>
      <c r="F1043" s="145" t="s">
        <v>1612</v>
      </c>
      <c r="G1043" s="146" t="s">
        <v>20</v>
      </c>
      <c r="H1043" s="146">
        <v>201606</v>
      </c>
      <c r="I1043" s="147">
        <v>1744.96</v>
      </c>
      <c r="J1043" s="144">
        <f t="shared" si="89"/>
        <v>5</v>
      </c>
      <c r="K1043" s="148">
        <v>1.4833299999999999E-3</v>
      </c>
      <c r="L1043" s="147">
        <f t="shared" si="90"/>
        <v>12.94</v>
      </c>
      <c r="M1043" s="147">
        <f t="shared" si="91"/>
        <v>31.06</v>
      </c>
      <c r="N1043" s="145"/>
      <c r="P1043" s="164"/>
      <c r="Q1043" s="164"/>
      <c r="R1043" s="165"/>
    </row>
    <row r="1044" spans="1:18">
      <c r="A1044" s="145" t="s">
        <v>127</v>
      </c>
      <c r="B1044" s="146" t="s">
        <v>1032</v>
      </c>
      <c r="C1044" s="146" t="s">
        <v>1033</v>
      </c>
      <c r="D1044" s="145" t="s">
        <v>1034</v>
      </c>
      <c r="E1044" s="146" t="s">
        <v>209</v>
      </c>
      <c r="F1044" s="145" t="s">
        <v>1612</v>
      </c>
      <c r="G1044" s="146" t="s">
        <v>20</v>
      </c>
      <c r="H1044" s="146">
        <v>201606</v>
      </c>
      <c r="I1044" s="147">
        <v>120.14</v>
      </c>
      <c r="J1044" s="144">
        <f t="shared" si="89"/>
        <v>5</v>
      </c>
      <c r="K1044" s="148">
        <v>2.3833299999999999E-3</v>
      </c>
      <c r="L1044" s="147">
        <f t="shared" si="90"/>
        <v>1.43</v>
      </c>
      <c r="M1044" s="147">
        <f t="shared" si="91"/>
        <v>3.44</v>
      </c>
      <c r="N1044" s="145"/>
      <c r="P1044" s="164"/>
      <c r="Q1044" s="164"/>
      <c r="R1044" s="165"/>
    </row>
    <row r="1045" spans="1:18">
      <c r="A1045" s="145" t="s">
        <v>127</v>
      </c>
      <c r="B1045" s="146" t="s">
        <v>1773</v>
      </c>
      <c r="C1045" s="146" t="s">
        <v>1774</v>
      </c>
      <c r="D1045" s="145" t="s">
        <v>1775</v>
      </c>
      <c r="E1045" s="146" t="s">
        <v>209</v>
      </c>
      <c r="F1045" s="145" t="s">
        <v>1612</v>
      </c>
      <c r="G1045" s="146" t="s">
        <v>20</v>
      </c>
      <c r="H1045" s="146">
        <v>201606</v>
      </c>
      <c r="I1045" s="147">
        <v>-18.079999999999998</v>
      </c>
      <c r="J1045" s="144">
        <f t="shared" si="89"/>
        <v>5</v>
      </c>
      <c r="K1045" s="148">
        <v>2.3833299999999999E-3</v>
      </c>
      <c r="L1045" s="147">
        <f t="shared" si="90"/>
        <v>-0.22</v>
      </c>
      <c r="M1045" s="147">
        <f t="shared" si="91"/>
        <v>-0.52</v>
      </c>
      <c r="N1045" s="145"/>
      <c r="P1045" s="164"/>
      <c r="Q1045" s="164"/>
      <c r="R1045" s="165"/>
    </row>
    <row r="1046" spans="1:18">
      <c r="A1046" s="145" t="s">
        <v>626</v>
      </c>
      <c r="B1046" s="146" t="s">
        <v>1681</v>
      </c>
      <c r="C1046" s="146" t="s">
        <v>2065</v>
      </c>
      <c r="D1046" s="145" t="s">
        <v>2066</v>
      </c>
      <c r="E1046" s="146" t="s">
        <v>209</v>
      </c>
      <c r="F1046" s="145" t="s">
        <v>1612</v>
      </c>
      <c r="G1046" s="146" t="s">
        <v>20</v>
      </c>
      <c r="H1046" s="146">
        <v>201606</v>
      </c>
      <c r="I1046" s="147">
        <v>398.43</v>
      </c>
      <c r="J1046" s="144">
        <f t="shared" si="89"/>
        <v>5</v>
      </c>
      <c r="K1046" s="148">
        <v>1.4833299999999999E-3</v>
      </c>
      <c r="L1046" s="147">
        <f t="shared" si="90"/>
        <v>2.96</v>
      </c>
      <c r="M1046" s="147">
        <f t="shared" si="91"/>
        <v>7.09</v>
      </c>
      <c r="N1046" s="145"/>
      <c r="P1046" s="164"/>
      <c r="Q1046" s="164"/>
      <c r="R1046" s="165"/>
    </row>
    <row r="1047" spans="1:18">
      <c r="A1047" s="145" t="s">
        <v>626</v>
      </c>
      <c r="B1047" s="146" t="s">
        <v>1681</v>
      </c>
      <c r="C1047" s="146" t="s">
        <v>2093</v>
      </c>
      <c r="D1047" s="145" t="s">
        <v>2094</v>
      </c>
      <c r="E1047" s="146" t="s">
        <v>209</v>
      </c>
      <c r="F1047" s="145" t="s">
        <v>1612</v>
      </c>
      <c r="G1047" s="146" t="s">
        <v>20</v>
      </c>
      <c r="H1047" s="146">
        <v>201606</v>
      </c>
      <c r="I1047" s="147">
        <v>665.26</v>
      </c>
      <c r="J1047" s="144">
        <f t="shared" ref="J1047:J1078" si="92">HLOOKUP(H1047,$Q$2:$Z$3,2)</f>
        <v>5</v>
      </c>
      <c r="K1047" s="148">
        <v>1.4833299999999999E-3</v>
      </c>
      <c r="L1047" s="147">
        <f t="shared" ref="L1047:L1078" si="93">ROUND(I1047*J1047*K1047,2)</f>
        <v>4.93</v>
      </c>
      <c r="M1047" s="147">
        <f t="shared" ref="M1047:M1078" si="94">ROUND(I1047*K1047*12,2)</f>
        <v>11.84</v>
      </c>
      <c r="N1047" s="145"/>
      <c r="P1047" s="164"/>
      <c r="Q1047" s="164"/>
      <c r="R1047" s="165"/>
    </row>
    <row r="1048" spans="1:18">
      <c r="A1048" s="145" t="s">
        <v>21</v>
      </c>
      <c r="B1048" s="146" t="s">
        <v>1681</v>
      </c>
      <c r="C1048" s="146" t="s">
        <v>2107</v>
      </c>
      <c r="D1048" s="145" t="s">
        <v>2108</v>
      </c>
      <c r="E1048" s="146" t="s">
        <v>209</v>
      </c>
      <c r="F1048" s="145" t="s">
        <v>1612</v>
      </c>
      <c r="G1048" s="146" t="s">
        <v>20</v>
      </c>
      <c r="H1048" s="146">
        <v>201606</v>
      </c>
      <c r="I1048" s="147">
        <v>11613.05</v>
      </c>
      <c r="J1048" s="144">
        <f t="shared" si="92"/>
        <v>5</v>
      </c>
      <c r="K1048" s="148">
        <v>1.4833299999999999E-3</v>
      </c>
      <c r="L1048" s="147">
        <f t="shared" si="93"/>
        <v>86.13</v>
      </c>
      <c r="M1048" s="147">
        <f t="shared" si="94"/>
        <v>206.71</v>
      </c>
      <c r="N1048" s="145"/>
      <c r="P1048" s="164"/>
      <c r="Q1048" s="164"/>
      <c r="R1048" s="165"/>
    </row>
    <row r="1049" spans="1:18">
      <c r="A1049" s="151" t="s">
        <v>127</v>
      </c>
      <c r="B1049" s="152" t="s">
        <v>1773</v>
      </c>
      <c r="C1049" s="152" t="s">
        <v>1774</v>
      </c>
      <c r="D1049" s="151" t="s">
        <v>1775</v>
      </c>
      <c r="E1049" s="152" t="s">
        <v>209</v>
      </c>
      <c r="F1049" s="151" t="s">
        <v>1612</v>
      </c>
      <c r="G1049" s="152" t="s">
        <v>20</v>
      </c>
      <c r="H1049" s="153">
        <v>201607</v>
      </c>
      <c r="I1049" s="154">
        <v>-17.2</v>
      </c>
      <c r="J1049" s="144">
        <f t="shared" si="92"/>
        <v>4</v>
      </c>
      <c r="K1049" s="155">
        <v>2.3833299999999999E-3</v>
      </c>
      <c r="L1049" s="154">
        <f t="shared" si="93"/>
        <v>-0.16</v>
      </c>
      <c r="M1049" s="154">
        <f t="shared" si="94"/>
        <v>-0.49</v>
      </c>
      <c r="N1049" s="145"/>
      <c r="P1049" s="164"/>
      <c r="Q1049" s="164"/>
      <c r="R1049" s="165"/>
    </row>
    <row r="1050" spans="1:18">
      <c r="A1050" s="151" t="s">
        <v>127</v>
      </c>
      <c r="B1050" s="152" t="s">
        <v>1032</v>
      </c>
      <c r="C1050" s="152" t="s">
        <v>1033</v>
      </c>
      <c r="D1050" s="151" t="s">
        <v>1034</v>
      </c>
      <c r="E1050" s="152" t="s">
        <v>209</v>
      </c>
      <c r="F1050" s="151" t="s">
        <v>1612</v>
      </c>
      <c r="G1050" s="152" t="s">
        <v>20</v>
      </c>
      <c r="H1050" s="153">
        <v>201607</v>
      </c>
      <c r="I1050" s="154">
        <v>68.58</v>
      </c>
      <c r="J1050" s="144">
        <f t="shared" si="92"/>
        <v>4</v>
      </c>
      <c r="K1050" s="155">
        <v>2.3833299999999999E-3</v>
      </c>
      <c r="L1050" s="154">
        <f t="shared" si="93"/>
        <v>0.65</v>
      </c>
      <c r="M1050" s="154">
        <f t="shared" si="94"/>
        <v>1.96</v>
      </c>
      <c r="N1050" s="145"/>
      <c r="P1050" s="164"/>
      <c r="Q1050" s="164"/>
      <c r="R1050" s="165"/>
    </row>
    <row r="1051" spans="1:18">
      <c r="A1051" s="151" t="s">
        <v>14</v>
      </c>
      <c r="B1051" s="160" t="s">
        <v>1681</v>
      </c>
      <c r="C1051" s="152" t="s">
        <v>2065</v>
      </c>
      <c r="D1051" s="151" t="s">
        <v>2066</v>
      </c>
      <c r="E1051" s="152" t="s">
        <v>209</v>
      </c>
      <c r="F1051" s="151" t="s">
        <v>1612</v>
      </c>
      <c r="G1051" s="152" t="s">
        <v>20</v>
      </c>
      <c r="H1051" s="150">
        <v>201607</v>
      </c>
      <c r="I1051" s="154">
        <v>88.36</v>
      </c>
      <c r="J1051" s="144">
        <f t="shared" si="92"/>
        <v>4</v>
      </c>
      <c r="K1051" s="155">
        <v>2.23333E-3</v>
      </c>
      <c r="L1051" s="154">
        <f t="shared" si="93"/>
        <v>0.79</v>
      </c>
      <c r="M1051" s="154">
        <f t="shared" si="94"/>
        <v>2.37</v>
      </c>
      <c r="N1051" s="145"/>
      <c r="P1051" s="164"/>
      <c r="Q1051" s="164"/>
      <c r="R1051" s="165"/>
    </row>
    <row r="1052" spans="1:18">
      <c r="A1052" s="151" t="s">
        <v>626</v>
      </c>
      <c r="B1052" s="160" t="s">
        <v>1681</v>
      </c>
      <c r="C1052" s="152" t="s">
        <v>2093</v>
      </c>
      <c r="D1052" s="151" t="s">
        <v>2094</v>
      </c>
      <c r="E1052" s="152" t="s">
        <v>209</v>
      </c>
      <c r="F1052" s="151" t="s">
        <v>1612</v>
      </c>
      <c r="G1052" s="152" t="s">
        <v>20</v>
      </c>
      <c r="H1052" s="153">
        <v>201607</v>
      </c>
      <c r="I1052" s="154">
        <v>573.89</v>
      </c>
      <c r="J1052" s="144">
        <f t="shared" si="92"/>
        <v>4</v>
      </c>
      <c r="K1052" s="155">
        <v>1.4833299999999999E-3</v>
      </c>
      <c r="L1052" s="154">
        <f t="shared" si="93"/>
        <v>3.41</v>
      </c>
      <c r="M1052" s="154">
        <f t="shared" si="94"/>
        <v>10.220000000000001</v>
      </c>
      <c r="N1052" s="145"/>
      <c r="P1052" s="164"/>
      <c r="Q1052" s="164"/>
      <c r="R1052" s="165"/>
    </row>
    <row r="1053" spans="1:18">
      <c r="A1053" s="151" t="s">
        <v>626</v>
      </c>
      <c r="B1053" s="152" t="s">
        <v>1855</v>
      </c>
      <c r="C1053" s="152" t="s">
        <v>1856</v>
      </c>
      <c r="D1053" s="151" t="s">
        <v>1857</v>
      </c>
      <c r="E1053" s="152" t="s">
        <v>209</v>
      </c>
      <c r="F1053" s="151" t="s">
        <v>1612</v>
      </c>
      <c r="G1053" s="152" t="s">
        <v>20</v>
      </c>
      <c r="H1053" s="153">
        <v>201607</v>
      </c>
      <c r="I1053" s="154">
        <v>1195.46</v>
      </c>
      <c r="J1053" s="144">
        <f t="shared" si="92"/>
        <v>4</v>
      </c>
      <c r="K1053" s="155">
        <v>1.4833299999999999E-3</v>
      </c>
      <c r="L1053" s="154">
        <f t="shared" si="93"/>
        <v>7.09</v>
      </c>
      <c r="M1053" s="154">
        <f t="shared" si="94"/>
        <v>21.28</v>
      </c>
      <c r="N1053" s="145"/>
      <c r="P1053" s="164"/>
      <c r="Q1053" s="164"/>
      <c r="R1053" s="165"/>
    </row>
    <row r="1054" spans="1:18">
      <c r="A1054" s="161" t="s">
        <v>626</v>
      </c>
      <c r="B1054" s="160" t="s">
        <v>1681</v>
      </c>
      <c r="C1054" s="160" t="s">
        <v>2065</v>
      </c>
      <c r="D1054" s="161" t="s">
        <v>2066</v>
      </c>
      <c r="E1054" s="160" t="s">
        <v>209</v>
      </c>
      <c r="F1054" s="161" t="s">
        <v>1612</v>
      </c>
      <c r="G1054" s="160" t="s">
        <v>20</v>
      </c>
      <c r="H1054" s="103">
        <v>201607</v>
      </c>
      <c r="I1054" s="154">
        <v>3413.85</v>
      </c>
      <c r="J1054" s="144">
        <f t="shared" si="92"/>
        <v>4</v>
      </c>
      <c r="K1054" s="155">
        <v>1.4833299999999999E-3</v>
      </c>
      <c r="L1054" s="154">
        <f t="shared" si="93"/>
        <v>20.260000000000002</v>
      </c>
      <c r="M1054" s="154">
        <f t="shared" si="94"/>
        <v>60.77</v>
      </c>
      <c r="N1054" s="145"/>
      <c r="P1054" s="164"/>
      <c r="Q1054" s="164"/>
      <c r="R1054" s="165"/>
    </row>
    <row r="1055" spans="1:18">
      <c r="A1055" s="161" t="s">
        <v>21</v>
      </c>
      <c r="B1055" s="160" t="s">
        <v>1681</v>
      </c>
      <c r="C1055" s="160" t="s">
        <v>2107</v>
      </c>
      <c r="D1055" s="161" t="s">
        <v>2108</v>
      </c>
      <c r="E1055" s="160" t="s">
        <v>209</v>
      </c>
      <c r="F1055" s="161" t="s">
        <v>1612</v>
      </c>
      <c r="G1055" s="160" t="s">
        <v>20</v>
      </c>
      <c r="H1055" s="103">
        <v>201607</v>
      </c>
      <c r="I1055" s="154">
        <v>10312.030000000001</v>
      </c>
      <c r="J1055" s="144">
        <f t="shared" si="92"/>
        <v>4</v>
      </c>
      <c r="K1055" s="155">
        <v>1.4833299999999999E-3</v>
      </c>
      <c r="L1055" s="154">
        <f t="shared" si="93"/>
        <v>61.18</v>
      </c>
      <c r="M1055" s="154">
        <f t="shared" si="94"/>
        <v>183.55</v>
      </c>
      <c r="N1055" s="145"/>
      <c r="P1055" s="164"/>
      <c r="Q1055" s="164"/>
      <c r="R1055" s="165"/>
    </row>
    <row r="1056" spans="1:18">
      <c r="A1056" s="145" t="s">
        <v>626</v>
      </c>
      <c r="B1056" s="146" t="s">
        <v>1148</v>
      </c>
      <c r="C1056" s="146" t="s">
        <v>1149</v>
      </c>
      <c r="D1056" s="145" t="s">
        <v>1150</v>
      </c>
      <c r="E1056" s="146" t="s">
        <v>93</v>
      </c>
      <c r="F1056" s="145" t="s">
        <v>1601</v>
      </c>
      <c r="G1056" s="146" t="s">
        <v>20</v>
      </c>
      <c r="H1056" s="146">
        <v>201603</v>
      </c>
      <c r="I1056" s="147">
        <v>0.45</v>
      </c>
      <c r="J1056" s="144">
        <f t="shared" si="92"/>
        <v>8</v>
      </c>
      <c r="K1056" s="148">
        <v>1.4833299999999999E-3</v>
      </c>
      <c r="L1056" s="147">
        <f t="shared" si="93"/>
        <v>0.01</v>
      </c>
      <c r="M1056" s="147">
        <f t="shared" si="94"/>
        <v>0.01</v>
      </c>
      <c r="N1056" s="145"/>
      <c r="P1056" s="164"/>
      <c r="Q1056" s="164"/>
      <c r="R1056" s="165"/>
    </row>
    <row r="1057" spans="1:18">
      <c r="A1057" s="145" t="s">
        <v>626</v>
      </c>
      <c r="B1057" s="146" t="s">
        <v>1770</v>
      </c>
      <c r="C1057" s="146" t="s">
        <v>1771</v>
      </c>
      <c r="D1057" s="145" t="s">
        <v>1772</v>
      </c>
      <c r="E1057" s="146" t="s">
        <v>93</v>
      </c>
      <c r="F1057" s="145" t="s">
        <v>1601</v>
      </c>
      <c r="G1057" s="146" t="s">
        <v>20</v>
      </c>
      <c r="H1057" s="146">
        <v>201603</v>
      </c>
      <c r="I1057" s="147">
        <v>-1.58</v>
      </c>
      <c r="J1057" s="144">
        <f t="shared" si="92"/>
        <v>8</v>
      </c>
      <c r="K1057" s="148">
        <v>1.4833299999999999E-3</v>
      </c>
      <c r="L1057" s="147">
        <f t="shared" si="93"/>
        <v>-0.02</v>
      </c>
      <c r="M1057" s="147">
        <f t="shared" si="94"/>
        <v>-0.03</v>
      </c>
      <c r="N1057" s="145"/>
      <c r="P1057" s="164"/>
      <c r="Q1057" s="164"/>
      <c r="R1057" s="165"/>
    </row>
    <row r="1058" spans="1:18">
      <c r="A1058" s="145" t="s">
        <v>626</v>
      </c>
      <c r="B1058" s="146" t="s">
        <v>1970</v>
      </c>
      <c r="C1058" s="146" t="s">
        <v>1971</v>
      </c>
      <c r="D1058" s="145" t="s">
        <v>1972</v>
      </c>
      <c r="E1058" s="146" t="s">
        <v>93</v>
      </c>
      <c r="F1058" s="145" t="s">
        <v>1601</v>
      </c>
      <c r="G1058" s="146" t="s">
        <v>20</v>
      </c>
      <c r="H1058" s="146">
        <v>201603</v>
      </c>
      <c r="I1058" s="147">
        <v>84314.26</v>
      </c>
      <c r="J1058" s="144">
        <f t="shared" si="92"/>
        <v>8</v>
      </c>
      <c r="K1058" s="148">
        <v>1.4833299999999999E-3</v>
      </c>
      <c r="L1058" s="147">
        <f t="shared" si="93"/>
        <v>1000.53</v>
      </c>
      <c r="M1058" s="147">
        <f t="shared" si="94"/>
        <v>1500.79</v>
      </c>
      <c r="N1058" s="145"/>
      <c r="P1058" s="164"/>
      <c r="Q1058" s="164"/>
      <c r="R1058" s="165"/>
    </row>
    <row r="1059" spans="1:18">
      <c r="A1059" s="145" t="s">
        <v>626</v>
      </c>
      <c r="B1059" s="146" t="s">
        <v>1945</v>
      </c>
      <c r="C1059" s="146" t="s">
        <v>1946</v>
      </c>
      <c r="D1059" s="145" t="s">
        <v>1947</v>
      </c>
      <c r="E1059" s="146" t="s">
        <v>93</v>
      </c>
      <c r="F1059" s="145" t="s">
        <v>1601</v>
      </c>
      <c r="G1059" s="146" t="s">
        <v>20</v>
      </c>
      <c r="H1059" s="146">
        <v>201603</v>
      </c>
      <c r="I1059" s="147">
        <v>-244.6</v>
      </c>
      <c r="J1059" s="144">
        <f t="shared" si="92"/>
        <v>8</v>
      </c>
      <c r="K1059" s="148">
        <v>1.4833299999999999E-3</v>
      </c>
      <c r="L1059" s="147">
        <f t="shared" si="93"/>
        <v>-2.9</v>
      </c>
      <c r="M1059" s="147">
        <f t="shared" si="94"/>
        <v>-4.3499999999999996</v>
      </c>
      <c r="N1059" s="145"/>
      <c r="P1059" s="164"/>
      <c r="Q1059" s="164"/>
      <c r="R1059" s="165"/>
    </row>
    <row r="1060" spans="1:18">
      <c r="A1060" s="145" t="s">
        <v>626</v>
      </c>
      <c r="B1060" s="146" t="s">
        <v>1148</v>
      </c>
      <c r="C1060" s="146" t="s">
        <v>1149</v>
      </c>
      <c r="D1060" s="145" t="s">
        <v>1150</v>
      </c>
      <c r="E1060" s="146" t="s">
        <v>93</v>
      </c>
      <c r="F1060" s="145" t="s">
        <v>1601</v>
      </c>
      <c r="G1060" s="146" t="s">
        <v>20</v>
      </c>
      <c r="H1060" s="146">
        <v>201604</v>
      </c>
      <c r="I1060" s="147">
        <v>-0.42</v>
      </c>
      <c r="J1060" s="144">
        <f t="shared" si="92"/>
        <v>7</v>
      </c>
      <c r="K1060" s="148">
        <v>1.4833299999999999E-3</v>
      </c>
      <c r="L1060" s="147">
        <f t="shared" si="93"/>
        <v>0</v>
      </c>
      <c r="M1060" s="147">
        <f t="shared" si="94"/>
        <v>-0.01</v>
      </c>
      <c r="N1060" s="145"/>
      <c r="P1060" s="164"/>
      <c r="Q1060" s="164"/>
      <c r="R1060" s="165"/>
    </row>
    <row r="1061" spans="1:18">
      <c r="A1061" s="145" t="s">
        <v>626</v>
      </c>
      <c r="B1061" s="146" t="s">
        <v>1770</v>
      </c>
      <c r="C1061" s="146" t="s">
        <v>1771</v>
      </c>
      <c r="D1061" s="145" t="s">
        <v>1772</v>
      </c>
      <c r="E1061" s="146" t="s">
        <v>93</v>
      </c>
      <c r="F1061" s="145" t="s">
        <v>1601</v>
      </c>
      <c r="G1061" s="146" t="s">
        <v>20</v>
      </c>
      <c r="H1061" s="146">
        <v>201604</v>
      </c>
      <c r="I1061" s="147">
        <v>23.85</v>
      </c>
      <c r="J1061" s="144">
        <f t="shared" si="92"/>
        <v>7</v>
      </c>
      <c r="K1061" s="148">
        <v>1.4833299999999999E-3</v>
      </c>
      <c r="L1061" s="147">
        <f t="shared" si="93"/>
        <v>0.25</v>
      </c>
      <c r="M1061" s="147">
        <f t="shared" si="94"/>
        <v>0.42</v>
      </c>
      <c r="N1061" s="145"/>
      <c r="P1061" s="164"/>
      <c r="Q1061" s="164"/>
      <c r="R1061" s="165"/>
    </row>
    <row r="1062" spans="1:18">
      <c r="A1062" s="145" t="s">
        <v>626</v>
      </c>
      <c r="B1062" s="146" t="s">
        <v>1970</v>
      </c>
      <c r="C1062" s="146" t="s">
        <v>1971</v>
      </c>
      <c r="D1062" s="145" t="s">
        <v>1972</v>
      </c>
      <c r="E1062" s="146" t="s">
        <v>93</v>
      </c>
      <c r="F1062" s="145" t="s">
        <v>1601</v>
      </c>
      <c r="G1062" s="146" t="s">
        <v>20</v>
      </c>
      <c r="H1062" s="146">
        <v>201604</v>
      </c>
      <c r="I1062" s="147">
        <v>50007.199999999997</v>
      </c>
      <c r="J1062" s="144">
        <f t="shared" si="92"/>
        <v>7</v>
      </c>
      <c r="K1062" s="148">
        <v>1.4833299999999999E-3</v>
      </c>
      <c r="L1062" s="147">
        <f t="shared" si="93"/>
        <v>519.24</v>
      </c>
      <c r="M1062" s="147">
        <f t="shared" si="94"/>
        <v>890.13</v>
      </c>
      <c r="N1062" s="145"/>
      <c r="P1062" s="164"/>
      <c r="Q1062" s="164"/>
      <c r="R1062" s="165"/>
    </row>
    <row r="1063" spans="1:18">
      <c r="A1063" s="145" t="s">
        <v>626</v>
      </c>
      <c r="B1063" s="146" t="s">
        <v>1945</v>
      </c>
      <c r="C1063" s="146" t="s">
        <v>1946</v>
      </c>
      <c r="D1063" s="145" t="s">
        <v>1947</v>
      </c>
      <c r="E1063" s="146" t="s">
        <v>93</v>
      </c>
      <c r="F1063" s="145" t="s">
        <v>1601</v>
      </c>
      <c r="G1063" s="146" t="s">
        <v>20</v>
      </c>
      <c r="H1063" s="146">
        <v>201604</v>
      </c>
      <c r="I1063" s="147">
        <v>5992.43</v>
      </c>
      <c r="J1063" s="144">
        <f t="shared" si="92"/>
        <v>7</v>
      </c>
      <c r="K1063" s="148">
        <v>1.4833299999999999E-3</v>
      </c>
      <c r="L1063" s="147">
        <f t="shared" si="93"/>
        <v>62.22</v>
      </c>
      <c r="M1063" s="147">
        <f t="shared" si="94"/>
        <v>106.67</v>
      </c>
      <c r="N1063" s="145"/>
      <c r="P1063" s="164"/>
      <c r="Q1063" s="164"/>
      <c r="R1063" s="165"/>
    </row>
    <row r="1064" spans="1:18">
      <c r="A1064" s="145" t="s">
        <v>626</v>
      </c>
      <c r="B1064" s="146" t="s">
        <v>1681</v>
      </c>
      <c r="C1064" s="146" t="s">
        <v>2067</v>
      </c>
      <c r="D1064" s="145" t="s">
        <v>2068</v>
      </c>
      <c r="E1064" s="146" t="s">
        <v>93</v>
      </c>
      <c r="F1064" s="145" t="s">
        <v>1601</v>
      </c>
      <c r="G1064" s="146" t="s">
        <v>20</v>
      </c>
      <c r="H1064" s="146">
        <v>201604</v>
      </c>
      <c r="I1064" s="147">
        <v>1104.58</v>
      </c>
      <c r="J1064" s="144">
        <f t="shared" si="92"/>
        <v>7</v>
      </c>
      <c r="K1064" s="148">
        <v>1.4833299999999999E-3</v>
      </c>
      <c r="L1064" s="147">
        <f t="shared" si="93"/>
        <v>11.47</v>
      </c>
      <c r="M1064" s="147">
        <f t="shared" si="94"/>
        <v>19.66</v>
      </c>
      <c r="N1064" s="145"/>
      <c r="P1064" s="164"/>
      <c r="Q1064" s="164"/>
      <c r="R1064" s="165"/>
    </row>
    <row r="1065" spans="1:18">
      <c r="A1065" s="145" t="s">
        <v>14</v>
      </c>
      <c r="B1065" s="146" t="s">
        <v>1681</v>
      </c>
      <c r="C1065" s="146" t="s">
        <v>2091</v>
      </c>
      <c r="D1065" s="145" t="s">
        <v>2092</v>
      </c>
      <c r="E1065" s="146" t="s">
        <v>93</v>
      </c>
      <c r="F1065" s="145" t="s">
        <v>1601</v>
      </c>
      <c r="G1065" s="146" t="s">
        <v>20</v>
      </c>
      <c r="H1065" s="146">
        <v>201604</v>
      </c>
      <c r="I1065" s="147">
        <v>2763.22</v>
      </c>
      <c r="J1065" s="144">
        <f t="shared" si="92"/>
        <v>7</v>
      </c>
      <c r="K1065" s="148">
        <v>2.23333E-3</v>
      </c>
      <c r="L1065" s="147">
        <f t="shared" si="93"/>
        <v>43.2</v>
      </c>
      <c r="M1065" s="147">
        <f t="shared" si="94"/>
        <v>74.05</v>
      </c>
      <c r="N1065" s="145"/>
      <c r="P1065" s="164"/>
      <c r="Q1065" s="164"/>
      <c r="R1065" s="165"/>
    </row>
    <row r="1066" spans="1:18">
      <c r="A1066" s="145" t="s">
        <v>626</v>
      </c>
      <c r="B1066" s="146" t="s">
        <v>1148</v>
      </c>
      <c r="C1066" s="146" t="s">
        <v>1149</v>
      </c>
      <c r="D1066" s="145" t="s">
        <v>1150</v>
      </c>
      <c r="E1066" s="146" t="s">
        <v>93</v>
      </c>
      <c r="F1066" s="145" t="s">
        <v>1601</v>
      </c>
      <c r="G1066" s="146" t="s">
        <v>20</v>
      </c>
      <c r="H1066" s="146">
        <v>201605</v>
      </c>
      <c r="I1066" s="147">
        <v>-0.28000000000000003</v>
      </c>
      <c r="J1066" s="144">
        <f t="shared" si="92"/>
        <v>6</v>
      </c>
      <c r="K1066" s="148">
        <v>1.4833299999999999E-3</v>
      </c>
      <c r="L1066" s="147">
        <f t="shared" si="93"/>
        <v>0</v>
      </c>
      <c r="M1066" s="147">
        <f t="shared" si="94"/>
        <v>0</v>
      </c>
      <c r="N1066" s="145"/>
      <c r="P1066" s="164"/>
      <c r="Q1066" s="164"/>
      <c r="R1066" s="165"/>
    </row>
    <row r="1067" spans="1:18">
      <c r="A1067" s="145" t="s">
        <v>626</v>
      </c>
      <c r="B1067" s="146" t="s">
        <v>1770</v>
      </c>
      <c r="C1067" s="146" t="s">
        <v>1771</v>
      </c>
      <c r="D1067" s="145" t="s">
        <v>1772</v>
      </c>
      <c r="E1067" s="146" t="s">
        <v>93</v>
      </c>
      <c r="F1067" s="145" t="s">
        <v>1601</v>
      </c>
      <c r="G1067" s="146" t="s">
        <v>20</v>
      </c>
      <c r="H1067" s="146">
        <v>201605</v>
      </c>
      <c r="I1067" s="147">
        <v>28.46</v>
      </c>
      <c r="J1067" s="144">
        <f t="shared" si="92"/>
        <v>6</v>
      </c>
      <c r="K1067" s="148">
        <v>1.4833299999999999E-3</v>
      </c>
      <c r="L1067" s="147">
        <f t="shared" si="93"/>
        <v>0.25</v>
      </c>
      <c r="M1067" s="147">
        <f t="shared" si="94"/>
        <v>0.51</v>
      </c>
      <c r="N1067" s="145"/>
      <c r="P1067" s="164"/>
      <c r="Q1067" s="164"/>
      <c r="R1067" s="165"/>
    </row>
    <row r="1068" spans="1:18">
      <c r="A1068" s="145" t="s">
        <v>626</v>
      </c>
      <c r="B1068" s="146" t="s">
        <v>1970</v>
      </c>
      <c r="C1068" s="146" t="s">
        <v>1971</v>
      </c>
      <c r="D1068" s="145" t="s">
        <v>1972</v>
      </c>
      <c r="E1068" s="146" t="s">
        <v>93</v>
      </c>
      <c r="F1068" s="145" t="s">
        <v>1601</v>
      </c>
      <c r="G1068" s="146" t="s">
        <v>20</v>
      </c>
      <c r="H1068" s="146">
        <v>201605</v>
      </c>
      <c r="I1068" s="147">
        <v>14283.06</v>
      </c>
      <c r="J1068" s="144">
        <f t="shared" si="92"/>
        <v>6</v>
      </c>
      <c r="K1068" s="148">
        <v>1.4833299999999999E-3</v>
      </c>
      <c r="L1068" s="147">
        <f t="shared" si="93"/>
        <v>127.12</v>
      </c>
      <c r="M1068" s="147">
        <f t="shared" si="94"/>
        <v>254.24</v>
      </c>
      <c r="N1068" s="145"/>
      <c r="P1068" s="164"/>
      <c r="Q1068" s="164"/>
      <c r="R1068" s="165"/>
    </row>
    <row r="1069" spans="1:18">
      <c r="A1069" s="145" t="s">
        <v>626</v>
      </c>
      <c r="B1069" s="146" t="s">
        <v>1945</v>
      </c>
      <c r="C1069" s="146" t="s">
        <v>1946</v>
      </c>
      <c r="D1069" s="145" t="s">
        <v>1947</v>
      </c>
      <c r="E1069" s="146" t="s">
        <v>93</v>
      </c>
      <c r="F1069" s="145" t="s">
        <v>1601</v>
      </c>
      <c r="G1069" s="146" t="s">
        <v>20</v>
      </c>
      <c r="H1069" s="146">
        <v>201605</v>
      </c>
      <c r="I1069" s="147">
        <v>6802.07</v>
      </c>
      <c r="J1069" s="144">
        <f t="shared" si="92"/>
        <v>6</v>
      </c>
      <c r="K1069" s="148">
        <v>1.4833299999999999E-3</v>
      </c>
      <c r="L1069" s="147">
        <f t="shared" si="93"/>
        <v>60.54</v>
      </c>
      <c r="M1069" s="147">
        <f t="shared" si="94"/>
        <v>121.08</v>
      </c>
      <c r="N1069" s="145"/>
      <c r="P1069" s="164"/>
      <c r="Q1069" s="164"/>
      <c r="R1069" s="165"/>
    </row>
    <row r="1070" spans="1:18">
      <c r="A1070" s="145" t="s">
        <v>626</v>
      </c>
      <c r="B1070" s="146" t="s">
        <v>1681</v>
      </c>
      <c r="C1070" s="146" t="s">
        <v>2067</v>
      </c>
      <c r="D1070" s="145" t="s">
        <v>2068</v>
      </c>
      <c r="E1070" s="146" t="s">
        <v>93</v>
      </c>
      <c r="F1070" s="145" t="s">
        <v>1601</v>
      </c>
      <c r="G1070" s="146" t="s">
        <v>20</v>
      </c>
      <c r="H1070" s="146">
        <v>201605</v>
      </c>
      <c r="I1070" s="147">
        <v>13.86</v>
      </c>
      <c r="J1070" s="144">
        <f t="shared" si="92"/>
        <v>6</v>
      </c>
      <c r="K1070" s="148">
        <v>1.4833299999999999E-3</v>
      </c>
      <c r="L1070" s="147">
        <f t="shared" si="93"/>
        <v>0.12</v>
      </c>
      <c r="M1070" s="147">
        <f t="shared" si="94"/>
        <v>0.25</v>
      </c>
      <c r="N1070" s="145"/>
      <c r="P1070" s="164"/>
      <c r="Q1070" s="164"/>
      <c r="R1070" s="165"/>
    </row>
    <row r="1071" spans="1:18">
      <c r="A1071" s="145" t="s">
        <v>14</v>
      </c>
      <c r="B1071" s="146" t="s">
        <v>1681</v>
      </c>
      <c r="C1071" s="146" t="s">
        <v>2091</v>
      </c>
      <c r="D1071" s="145" t="s">
        <v>2092</v>
      </c>
      <c r="E1071" s="146" t="s">
        <v>93</v>
      </c>
      <c r="F1071" s="145" t="s">
        <v>1601</v>
      </c>
      <c r="G1071" s="146" t="s">
        <v>20</v>
      </c>
      <c r="H1071" s="146">
        <v>201605</v>
      </c>
      <c r="I1071" s="147">
        <v>116.94</v>
      </c>
      <c r="J1071" s="144">
        <f t="shared" si="92"/>
        <v>6</v>
      </c>
      <c r="K1071" s="148">
        <v>2.23333E-3</v>
      </c>
      <c r="L1071" s="147">
        <f t="shared" si="93"/>
        <v>1.57</v>
      </c>
      <c r="M1071" s="147">
        <f t="shared" si="94"/>
        <v>3.13</v>
      </c>
      <c r="N1071" s="145"/>
      <c r="P1071" s="164"/>
      <c r="Q1071" s="164"/>
      <c r="R1071" s="165"/>
    </row>
    <row r="1072" spans="1:18">
      <c r="A1072" s="145" t="s">
        <v>626</v>
      </c>
      <c r="B1072" s="146" t="s">
        <v>1148</v>
      </c>
      <c r="C1072" s="146" t="s">
        <v>1149</v>
      </c>
      <c r="D1072" s="145" t="s">
        <v>1150</v>
      </c>
      <c r="E1072" s="146" t="s">
        <v>93</v>
      </c>
      <c r="F1072" s="145" t="s">
        <v>1601</v>
      </c>
      <c r="G1072" s="146" t="s">
        <v>20</v>
      </c>
      <c r="H1072" s="146">
        <v>201606</v>
      </c>
      <c r="I1072" s="147">
        <v>-0.2</v>
      </c>
      <c r="J1072" s="144">
        <f t="shared" si="92"/>
        <v>5</v>
      </c>
      <c r="K1072" s="148">
        <v>1.4833299999999999E-3</v>
      </c>
      <c r="L1072" s="147">
        <f t="shared" si="93"/>
        <v>0</v>
      </c>
      <c r="M1072" s="147">
        <f t="shared" si="94"/>
        <v>0</v>
      </c>
      <c r="N1072" s="145"/>
      <c r="P1072" s="164"/>
      <c r="Q1072" s="164"/>
      <c r="R1072" s="165"/>
    </row>
    <row r="1073" spans="1:18">
      <c r="A1073" s="145" t="s">
        <v>626</v>
      </c>
      <c r="B1073" s="146" t="s">
        <v>1770</v>
      </c>
      <c r="C1073" s="146" t="s">
        <v>1771</v>
      </c>
      <c r="D1073" s="145" t="s">
        <v>1772</v>
      </c>
      <c r="E1073" s="146" t="s">
        <v>93</v>
      </c>
      <c r="F1073" s="145" t="s">
        <v>1601</v>
      </c>
      <c r="G1073" s="146" t="s">
        <v>20</v>
      </c>
      <c r="H1073" s="146">
        <v>201606</v>
      </c>
      <c r="I1073" s="147">
        <v>10.41</v>
      </c>
      <c r="J1073" s="144">
        <f t="shared" si="92"/>
        <v>5</v>
      </c>
      <c r="K1073" s="148">
        <v>1.4833299999999999E-3</v>
      </c>
      <c r="L1073" s="147">
        <f t="shared" si="93"/>
        <v>0.08</v>
      </c>
      <c r="M1073" s="147">
        <f t="shared" si="94"/>
        <v>0.19</v>
      </c>
      <c r="N1073" s="145"/>
      <c r="P1073" s="164"/>
      <c r="Q1073" s="164"/>
      <c r="R1073" s="165"/>
    </row>
    <row r="1074" spans="1:18">
      <c r="A1074" s="145" t="s">
        <v>626</v>
      </c>
      <c r="B1074" s="146" t="s">
        <v>1970</v>
      </c>
      <c r="C1074" s="146" t="s">
        <v>1971</v>
      </c>
      <c r="D1074" s="145" t="s">
        <v>1972</v>
      </c>
      <c r="E1074" s="146" t="s">
        <v>93</v>
      </c>
      <c r="F1074" s="145" t="s">
        <v>1601</v>
      </c>
      <c r="G1074" s="146" t="s">
        <v>20</v>
      </c>
      <c r="H1074" s="146">
        <v>201606</v>
      </c>
      <c r="I1074" s="147">
        <v>10848.9</v>
      </c>
      <c r="J1074" s="144">
        <f t="shared" si="92"/>
        <v>5</v>
      </c>
      <c r="K1074" s="148">
        <v>1.4833299999999999E-3</v>
      </c>
      <c r="L1074" s="147">
        <f t="shared" si="93"/>
        <v>80.459999999999994</v>
      </c>
      <c r="M1074" s="147">
        <f t="shared" si="94"/>
        <v>193.11</v>
      </c>
      <c r="N1074" s="145"/>
      <c r="P1074" s="164"/>
      <c r="Q1074" s="164"/>
      <c r="R1074" s="165"/>
    </row>
    <row r="1075" spans="1:18">
      <c r="A1075" s="145" t="s">
        <v>626</v>
      </c>
      <c r="B1075" s="146" t="s">
        <v>1945</v>
      </c>
      <c r="C1075" s="146" t="s">
        <v>1946</v>
      </c>
      <c r="D1075" s="145" t="s">
        <v>1947</v>
      </c>
      <c r="E1075" s="146" t="s">
        <v>93</v>
      </c>
      <c r="F1075" s="145" t="s">
        <v>1601</v>
      </c>
      <c r="G1075" s="146" t="s">
        <v>20</v>
      </c>
      <c r="H1075" s="146">
        <v>201606</v>
      </c>
      <c r="I1075" s="147">
        <v>1551.8</v>
      </c>
      <c r="J1075" s="144">
        <f t="shared" si="92"/>
        <v>5</v>
      </c>
      <c r="K1075" s="148">
        <v>1.4833299999999999E-3</v>
      </c>
      <c r="L1075" s="147">
        <f t="shared" si="93"/>
        <v>11.51</v>
      </c>
      <c r="M1075" s="147">
        <f t="shared" si="94"/>
        <v>27.62</v>
      </c>
      <c r="N1075" s="145"/>
      <c r="P1075" s="164"/>
      <c r="Q1075" s="164"/>
      <c r="R1075" s="165"/>
    </row>
    <row r="1076" spans="1:18">
      <c r="A1076" s="145" t="s">
        <v>626</v>
      </c>
      <c r="B1076" s="146" t="s">
        <v>1681</v>
      </c>
      <c r="C1076" s="146" t="s">
        <v>2067</v>
      </c>
      <c r="D1076" s="145" t="s">
        <v>2068</v>
      </c>
      <c r="E1076" s="146" t="s">
        <v>93</v>
      </c>
      <c r="F1076" s="145" t="s">
        <v>1601</v>
      </c>
      <c r="G1076" s="146" t="s">
        <v>20</v>
      </c>
      <c r="H1076" s="146">
        <v>201606</v>
      </c>
      <c r="I1076" s="147">
        <v>8.48</v>
      </c>
      <c r="J1076" s="144">
        <f t="shared" si="92"/>
        <v>5</v>
      </c>
      <c r="K1076" s="148">
        <v>1.4833299999999999E-3</v>
      </c>
      <c r="L1076" s="147">
        <f t="shared" si="93"/>
        <v>0.06</v>
      </c>
      <c r="M1076" s="147">
        <f t="shared" si="94"/>
        <v>0.15</v>
      </c>
      <c r="N1076" s="145"/>
      <c r="P1076" s="164"/>
      <c r="Q1076" s="164"/>
      <c r="R1076" s="165"/>
    </row>
    <row r="1077" spans="1:18">
      <c r="A1077" s="145" t="s">
        <v>14</v>
      </c>
      <c r="B1077" s="146" t="s">
        <v>1681</v>
      </c>
      <c r="C1077" s="146" t="s">
        <v>2091</v>
      </c>
      <c r="D1077" s="145" t="s">
        <v>2092</v>
      </c>
      <c r="E1077" s="146" t="s">
        <v>93</v>
      </c>
      <c r="F1077" s="145" t="s">
        <v>1601</v>
      </c>
      <c r="G1077" s="146" t="s">
        <v>20</v>
      </c>
      <c r="H1077" s="146">
        <v>201606</v>
      </c>
      <c r="I1077" s="147">
        <v>64.14</v>
      </c>
      <c r="J1077" s="144">
        <f t="shared" si="92"/>
        <v>5</v>
      </c>
      <c r="K1077" s="148">
        <v>2.23333E-3</v>
      </c>
      <c r="L1077" s="147">
        <f t="shared" si="93"/>
        <v>0.72</v>
      </c>
      <c r="M1077" s="147">
        <f t="shared" si="94"/>
        <v>1.72</v>
      </c>
      <c r="N1077" s="145"/>
      <c r="P1077" s="164"/>
      <c r="Q1077" s="164"/>
      <c r="R1077" s="165"/>
    </row>
    <row r="1078" spans="1:18">
      <c r="A1078" s="145" t="s">
        <v>626</v>
      </c>
      <c r="B1078" s="146" t="s">
        <v>1681</v>
      </c>
      <c r="C1078" s="146" t="s">
        <v>2103</v>
      </c>
      <c r="D1078" s="145" t="s">
        <v>2104</v>
      </c>
      <c r="E1078" s="146" t="s">
        <v>93</v>
      </c>
      <c r="F1078" s="145" t="s">
        <v>1601</v>
      </c>
      <c r="G1078" s="146" t="s">
        <v>20</v>
      </c>
      <c r="H1078" s="146">
        <v>201606</v>
      </c>
      <c r="I1078" s="147">
        <v>492.61</v>
      </c>
      <c r="J1078" s="144">
        <f t="shared" si="92"/>
        <v>5</v>
      </c>
      <c r="K1078" s="148">
        <v>1.4833299999999999E-3</v>
      </c>
      <c r="L1078" s="147">
        <f t="shared" si="93"/>
        <v>3.65</v>
      </c>
      <c r="M1078" s="147">
        <f t="shared" si="94"/>
        <v>8.77</v>
      </c>
      <c r="N1078" s="145"/>
      <c r="P1078" s="164"/>
      <c r="Q1078" s="164"/>
      <c r="R1078" s="165"/>
    </row>
    <row r="1079" spans="1:18">
      <c r="A1079" s="151" t="s">
        <v>626</v>
      </c>
      <c r="B1079" s="152" t="s">
        <v>1148</v>
      </c>
      <c r="C1079" s="152" t="s">
        <v>1149</v>
      </c>
      <c r="D1079" s="151" t="s">
        <v>1150</v>
      </c>
      <c r="E1079" s="152" t="s">
        <v>93</v>
      </c>
      <c r="F1079" s="151" t="s">
        <v>1601</v>
      </c>
      <c r="G1079" s="152" t="s">
        <v>20</v>
      </c>
      <c r="H1079" s="153">
        <v>201607</v>
      </c>
      <c r="I1079" s="154">
        <v>-0.12</v>
      </c>
      <c r="J1079" s="144">
        <f t="shared" ref="J1079:J1085" si="95">HLOOKUP(H1079,$Q$2:$Z$3,2)</f>
        <v>4</v>
      </c>
      <c r="K1079" s="155">
        <v>1.4833299999999999E-3</v>
      </c>
      <c r="L1079" s="154">
        <f t="shared" ref="L1079:L1085" si="96">ROUND(I1079*J1079*K1079,2)</f>
        <v>0</v>
      </c>
      <c r="M1079" s="154">
        <f t="shared" ref="M1079:M1085" si="97">ROUND(I1079*K1079*12,2)</f>
        <v>0</v>
      </c>
      <c r="N1079" s="145"/>
      <c r="P1079" s="164"/>
      <c r="Q1079" s="164"/>
      <c r="R1079" s="165"/>
    </row>
    <row r="1080" spans="1:18">
      <c r="A1080" s="151" t="s">
        <v>626</v>
      </c>
      <c r="B1080" s="160" t="s">
        <v>1681</v>
      </c>
      <c r="C1080" s="152" t="s">
        <v>2067</v>
      </c>
      <c r="D1080" s="151" t="s">
        <v>2068</v>
      </c>
      <c r="E1080" s="152" t="s">
        <v>93</v>
      </c>
      <c r="F1080" s="151" t="s">
        <v>1601</v>
      </c>
      <c r="G1080" s="152" t="s">
        <v>20</v>
      </c>
      <c r="H1080" s="153">
        <v>201607</v>
      </c>
      <c r="I1080" s="154">
        <v>4.8499999999999996</v>
      </c>
      <c r="J1080" s="144">
        <f t="shared" si="95"/>
        <v>4</v>
      </c>
      <c r="K1080" s="155">
        <v>1.4833299999999999E-3</v>
      </c>
      <c r="L1080" s="154">
        <f t="shared" si="96"/>
        <v>0.03</v>
      </c>
      <c r="M1080" s="154">
        <f t="shared" si="97"/>
        <v>0.09</v>
      </c>
      <c r="N1080" s="145"/>
      <c r="P1080" s="164"/>
      <c r="Q1080" s="164"/>
      <c r="R1080" s="165"/>
    </row>
    <row r="1081" spans="1:18">
      <c r="A1081" s="151" t="s">
        <v>626</v>
      </c>
      <c r="B1081" s="152" t="s">
        <v>1770</v>
      </c>
      <c r="C1081" s="152" t="s">
        <v>1771</v>
      </c>
      <c r="D1081" s="151" t="s">
        <v>1772</v>
      </c>
      <c r="E1081" s="152" t="s">
        <v>93</v>
      </c>
      <c r="F1081" s="151" t="s">
        <v>1601</v>
      </c>
      <c r="G1081" s="152" t="s">
        <v>20</v>
      </c>
      <c r="H1081" s="153">
        <v>201607</v>
      </c>
      <c r="I1081" s="154">
        <v>5.8</v>
      </c>
      <c r="J1081" s="144">
        <f t="shared" si="95"/>
        <v>4</v>
      </c>
      <c r="K1081" s="155">
        <v>1.4833299999999999E-3</v>
      </c>
      <c r="L1081" s="154">
        <f t="shared" si="96"/>
        <v>0.03</v>
      </c>
      <c r="M1081" s="154">
        <f t="shared" si="97"/>
        <v>0.1</v>
      </c>
      <c r="N1081" s="145"/>
      <c r="P1081" s="164"/>
      <c r="Q1081" s="164"/>
      <c r="R1081" s="165"/>
    </row>
    <row r="1082" spans="1:18">
      <c r="A1082" s="151" t="s">
        <v>14</v>
      </c>
      <c r="B1082" s="160" t="s">
        <v>1681</v>
      </c>
      <c r="C1082" s="152" t="s">
        <v>2091</v>
      </c>
      <c r="D1082" s="151" t="s">
        <v>2092</v>
      </c>
      <c r="E1082" s="152" t="s">
        <v>93</v>
      </c>
      <c r="F1082" s="151" t="s">
        <v>1601</v>
      </c>
      <c r="G1082" s="152" t="s">
        <v>20</v>
      </c>
      <c r="H1082" s="150">
        <v>201607</v>
      </c>
      <c r="I1082" s="154">
        <v>54.89</v>
      </c>
      <c r="J1082" s="144">
        <f t="shared" si="95"/>
        <v>4</v>
      </c>
      <c r="K1082" s="155">
        <v>2.23333E-3</v>
      </c>
      <c r="L1082" s="154">
        <f t="shared" si="96"/>
        <v>0.49</v>
      </c>
      <c r="M1082" s="154">
        <f t="shared" si="97"/>
        <v>1.47</v>
      </c>
      <c r="N1082" s="145"/>
      <c r="P1082" s="164"/>
      <c r="Q1082" s="164"/>
      <c r="R1082" s="165"/>
    </row>
    <row r="1083" spans="1:18">
      <c r="A1083" s="151" t="s">
        <v>626</v>
      </c>
      <c r="B1083" s="160" t="s">
        <v>1681</v>
      </c>
      <c r="C1083" s="152" t="s">
        <v>2103</v>
      </c>
      <c r="D1083" s="151" t="s">
        <v>2104</v>
      </c>
      <c r="E1083" s="152" t="s">
        <v>93</v>
      </c>
      <c r="F1083" s="151" t="s">
        <v>1601</v>
      </c>
      <c r="G1083" s="152" t="s">
        <v>20</v>
      </c>
      <c r="H1083" s="153">
        <v>201607</v>
      </c>
      <c r="I1083" s="154">
        <v>832.75</v>
      </c>
      <c r="J1083" s="144">
        <f t="shared" si="95"/>
        <v>4</v>
      </c>
      <c r="K1083" s="155">
        <v>1.4833299999999999E-3</v>
      </c>
      <c r="L1083" s="154">
        <f t="shared" si="96"/>
        <v>4.9400000000000004</v>
      </c>
      <c r="M1083" s="154">
        <f t="shared" si="97"/>
        <v>14.82</v>
      </c>
      <c r="N1083" s="145"/>
      <c r="P1083" s="164"/>
      <c r="Q1083" s="164"/>
      <c r="R1083" s="165"/>
    </row>
    <row r="1084" spans="1:18">
      <c r="A1084" s="161" t="s">
        <v>626</v>
      </c>
      <c r="B1084" s="160" t="s">
        <v>1970</v>
      </c>
      <c r="C1084" s="160" t="s">
        <v>1971</v>
      </c>
      <c r="D1084" s="161" t="s">
        <v>1972</v>
      </c>
      <c r="E1084" s="160" t="s">
        <v>93</v>
      </c>
      <c r="F1084" s="161" t="s">
        <v>1601</v>
      </c>
      <c r="G1084" s="160" t="s">
        <v>20</v>
      </c>
      <c r="H1084" s="103">
        <v>201607</v>
      </c>
      <c r="I1084" s="154">
        <v>8833.7900000000009</v>
      </c>
      <c r="J1084" s="144">
        <f t="shared" si="95"/>
        <v>4</v>
      </c>
      <c r="K1084" s="155">
        <v>1.4833299999999999E-3</v>
      </c>
      <c r="L1084" s="154">
        <f t="shared" si="96"/>
        <v>52.41</v>
      </c>
      <c r="M1084" s="154">
        <f t="shared" si="97"/>
        <v>157.24</v>
      </c>
      <c r="N1084" s="145"/>
      <c r="P1084" s="164"/>
      <c r="Q1084" s="164"/>
      <c r="R1084" s="165"/>
    </row>
    <row r="1085" spans="1:18">
      <c r="A1085" s="161" t="s">
        <v>626</v>
      </c>
      <c r="B1085" s="160" t="s">
        <v>1945</v>
      </c>
      <c r="C1085" s="160" t="s">
        <v>1946</v>
      </c>
      <c r="D1085" s="161" t="s">
        <v>1947</v>
      </c>
      <c r="E1085" s="160" t="s">
        <v>93</v>
      </c>
      <c r="F1085" s="161" t="s">
        <v>1601</v>
      </c>
      <c r="G1085" s="160" t="s">
        <v>20</v>
      </c>
      <c r="H1085" s="103">
        <v>201607</v>
      </c>
      <c r="I1085" s="154">
        <v>12745.18</v>
      </c>
      <c r="J1085" s="144">
        <f t="shared" si="95"/>
        <v>4</v>
      </c>
      <c r="K1085" s="155">
        <v>1.4833299999999999E-3</v>
      </c>
      <c r="L1085" s="154">
        <f t="shared" si="96"/>
        <v>75.62</v>
      </c>
      <c r="M1085" s="154">
        <f t="shared" si="97"/>
        <v>226.86</v>
      </c>
      <c r="N1085" s="145"/>
      <c r="P1085" s="164"/>
      <c r="Q1085" s="164"/>
      <c r="R1085" s="165"/>
    </row>
    <row r="1086" spans="1:18">
      <c r="I1086" s="294">
        <f>SUM(I951:I1085)</f>
        <v>353460.13999999978</v>
      </c>
      <c r="K1086" s="166"/>
      <c r="L1086" s="294">
        <f t="shared" ref="L1086:M1086" si="98">SUM(L951:L1085)</f>
        <v>3846.89</v>
      </c>
      <c r="M1086" s="294">
        <f t="shared" si="98"/>
        <v>6562.2599999999993</v>
      </c>
    </row>
    <row r="1087" spans="1:18">
      <c r="I1087" s="295"/>
      <c r="K1087" s="166"/>
    </row>
    <row r="1088" spans="1:18" ht="17.25">
      <c r="I1088" s="296">
        <f>+I10+I57+I575+I601+I618+I787+I794+I806+I827+I832+I935+I949+I1086</f>
        <v>11291271.33</v>
      </c>
      <c r="K1088" s="166"/>
      <c r="L1088" s="296">
        <f t="shared" ref="L1088:M1088" si="99">+L10+L57+L575+L601+L618+L787+L794+L806+L827+L832+L935+L949+L1086</f>
        <v>117543.74999999999</v>
      </c>
      <c r="M1088" s="296">
        <f t="shared" si="99"/>
        <v>232168.81999999998</v>
      </c>
    </row>
    <row r="1089" spans="9:13">
      <c r="K1089" s="166"/>
    </row>
    <row r="1090" spans="9:13" ht="12.75">
      <c r="I1090" s="167"/>
      <c r="L1090" s="167"/>
      <c r="M1090" s="167"/>
    </row>
  </sheetData>
  <sortState ref="A5:N1061">
    <sortCondition ref="F5:F1061"/>
    <sortCondition ref="H5:H1061"/>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
  <sheetViews>
    <sheetView zoomScale="85" zoomScaleNormal="85" workbookViewId="0">
      <pane ySplit="4" topLeftCell="A91" activePane="bottomLeft" state="frozen"/>
      <selection activeCell="D251" sqref="D251"/>
      <selection pane="bottomLeft" activeCell="D251" sqref="D251"/>
    </sheetView>
  </sheetViews>
  <sheetFormatPr defaultRowHeight="15"/>
  <cols>
    <col min="1" max="1" width="37.42578125" style="194" customWidth="1"/>
    <col min="2" max="2" width="13.28515625" style="195" customWidth="1"/>
    <col min="3" max="3" width="14.7109375" style="195" customWidth="1"/>
    <col min="4" max="4" width="38.28515625" style="194" customWidth="1"/>
    <col min="5" max="5" width="10" style="195" customWidth="1"/>
    <col min="6" max="6" width="38.28515625" style="194" customWidth="1"/>
    <col min="7" max="7" width="13.5703125" style="195" customWidth="1"/>
    <col min="8" max="8" width="10.140625" style="195" customWidth="1"/>
    <col min="9" max="9" width="14" style="199" customWidth="1"/>
    <col min="10" max="10" width="9.140625" style="198"/>
    <col min="11" max="11" width="15.85546875" customWidth="1"/>
    <col min="12" max="12" width="16.140625" customWidth="1"/>
    <col min="13" max="13" width="14.28515625" customWidth="1"/>
  </cols>
  <sheetData>
    <row r="1" spans="1:13">
      <c r="A1" s="170" t="s">
        <v>0</v>
      </c>
      <c r="B1" s="171"/>
      <c r="C1" s="171"/>
      <c r="D1" s="172"/>
      <c r="E1" s="173"/>
      <c r="F1" s="174"/>
      <c r="G1" s="171"/>
      <c r="H1" s="171"/>
      <c r="I1" s="175"/>
      <c r="J1" s="176"/>
      <c r="K1" s="177"/>
      <c r="L1" s="176"/>
      <c r="M1" s="176"/>
    </row>
    <row r="2" spans="1:13">
      <c r="A2" s="170" t="s">
        <v>2122</v>
      </c>
      <c r="B2" s="171"/>
      <c r="C2" s="171"/>
      <c r="D2" s="174"/>
      <c r="E2" s="171"/>
      <c r="F2" s="174"/>
      <c r="G2" s="171"/>
      <c r="H2" s="171"/>
      <c r="I2" s="175"/>
      <c r="J2" s="176"/>
      <c r="K2" s="176"/>
      <c r="L2" s="176"/>
      <c r="M2" s="176"/>
    </row>
    <row r="3" spans="1:13">
      <c r="A3" s="174"/>
      <c r="B3" s="171"/>
      <c r="C3" s="171"/>
      <c r="D3" s="174"/>
      <c r="E3" s="171"/>
      <c r="F3" s="174"/>
      <c r="G3" s="171"/>
      <c r="H3" s="171"/>
      <c r="I3" s="175"/>
      <c r="J3" s="176"/>
      <c r="K3" s="176"/>
      <c r="L3" s="176"/>
      <c r="M3" s="176"/>
    </row>
    <row r="4" spans="1:13" ht="48.75" customHeight="1">
      <c r="A4" s="178" t="s">
        <v>6</v>
      </c>
      <c r="B4" s="179" t="s">
        <v>7</v>
      </c>
      <c r="C4" s="179" t="s">
        <v>8</v>
      </c>
      <c r="D4" s="178" t="s">
        <v>9</v>
      </c>
      <c r="E4" s="179" t="s">
        <v>10</v>
      </c>
      <c r="F4" s="178" t="s">
        <v>11</v>
      </c>
      <c r="G4" s="180" t="s">
        <v>12</v>
      </c>
      <c r="H4" s="179" t="s">
        <v>1</v>
      </c>
      <c r="I4" s="181" t="s">
        <v>2123</v>
      </c>
      <c r="J4" s="182" t="s">
        <v>2020</v>
      </c>
      <c r="K4" s="182" t="s">
        <v>2021</v>
      </c>
      <c r="L4" s="182" t="s">
        <v>2022</v>
      </c>
      <c r="M4" s="182" t="s">
        <v>2023</v>
      </c>
    </row>
    <row r="5" spans="1:13">
      <c r="A5" s="183" t="s">
        <v>127</v>
      </c>
      <c r="B5" s="111" t="s">
        <v>2124</v>
      </c>
      <c r="C5" s="111" t="s">
        <v>2125</v>
      </c>
      <c r="D5" s="183" t="s">
        <v>2126</v>
      </c>
      <c r="E5" s="111" t="s">
        <v>1580</v>
      </c>
      <c r="F5" s="183" t="s">
        <v>217</v>
      </c>
      <c r="G5" s="111" t="s">
        <v>2127</v>
      </c>
      <c r="H5" s="111">
        <v>201605</v>
      </c>
      <c r="I5" s="184">
        <v>-2983.24</v>
      </c>
      <c r="J5" s="185">
        <v>0</v>
      </c>
      <c r="K5" s="186">
        <v>2.3833299999999999E-3</v>
      </c>
      <c r="L5" s="184">
        <f t="shared" ref="L5:L68" si="0">ROUND(I5*J5*K5,2)</f>
        <v>0</v>
      </c>
      <c r="M5" s="184">
        <f t="shared" ref="M5:M68" si="1">ROUND(I5*K5*12,2)</f>
        <v>-85.32</v>
      </c>
    </row>
    <row r="6" spans="1:13">
      <c r="A6" s="183" t="s">
        <v>21</v>
      </c>
      <c r="B6" s="111" t="s">
        <v>2046</v>
      </c>
      <c r="C6" s="111" t="s">
        <v>2045</v>
      </c>
      <c r="D6" s="183" t="s">
        <v>2047</v>
      </c>
      <c r="E6" s="111" t="s">
        <v>75</v>
      </c>
      <c r="F6" s="183" t="s">
        <v>1602</v>
      </c>
      <c r="G6" s="111" t="s">
        <v>2127</v>
      </c>
      <c r="H6" s="111">
        <v>201604</v>
      </c>
      <c r="I6" s="184">
        <v>-31425.88</v>
      </c>
      <c r="J6" s="185">
        <v>0</v>
      </c>
      <c r="K6" s="186">
        <v>1.4833299999999999E-3</v>
      </c>
      <c r="L6" s="184">
        <f t="shared" si="0"/>
        <v>0</v>
      </c>
      <c r="M6" s="184">
        <f t="shared" si="1"/>
        <v>-559.38</v>
      </c>
    </row>
    <row r="7" spans="1:13">
      <c r="A7" s="183" t="s">
        <v>626</v>
      </c>
      <c r="B7" s="111" t="s">
        <v>2046</v>
      </c>
      <c r="C7" s="111" t="s">
        <v>2045</v>
      </c>
      <c r="D7" s="183" t="s">
        <v>2047</v>
      </c>
      <c r="E7" s="111" t="s">
        <v>75</v>
      </c>
      <c r="F7" s="183" t="s">
        <v>1602</v>
      </c>
      <c r="G7" s="111" t="s">
        <v>2127</v>
      </c>
      <c r="H7" s="111">
        <v>201604</v>
      </c>
      <c r="I7" s="184">
        <v>-3521.85</v>
      </c>
      <c r="J7" s="185">
        <v>0</v>
      </c>
      <c r="K7" s="186">
        <v>1.4833299999999999E-3</v>
      </c>
      <c r="L7" s="184">
        <f t="shared" si="0"/>
        <v>0</v>
      </c>
      <c r="M7" s="184">
        <f t="shared" si="1"/>
        <v>-62.69</v>
      </c>
    </row>
    <row r="8" spans="1:13">
      <c r="A8" s="183" t="s">
        <v>626</v>
      </c>
      <c r="B8" s="111" t="s">
        <v>1659</v>
      </c>
      <c r="C8" s="111" t="s">
        <v>1658</v>
      </c>
      <c r="D8" s="183" t="s">
        <v>1660</v>
      </c>
      <c r="E8" s="111" t="s">
        <v>209</v>
      </c>
      <c r="F8" s="183" t="s">
        <v>1612</v>
      </c>
      <c r="G8" s="111" t="s">
        <v>2127</v>
      </c>
      <c r="H8" s="111">
        <v>201604</v>
      </c>
      <c r="I8" s="184">
        <v>-1886.76</v>
      </c>
      <c r="J8" s="185">
        <v>0</v>
      </c>
      <c r="K8" s="186">
        <v>1.4833299999999999E-3</v>
      </c>
      <c r="L8" s="184">
        <f t="shared" si="0"/>
        <v>0</v>
      </c>
      <c r="M8" s="184">
        <f t="shared" si="1"/>
        <v>-33.58</v>
      </c>
    </row>
    <row r="9" spans="1:13">
      <c r="A9" s="183" t="s">
        <v>21</v>
      </c>
      <c r="B9" s="111" t="s">
        <v>1968</v>
      </c>
      <c r="C9" s="111" t="s">
        <v>1967</v>
      </c>
      <c r="D9" s="187" t="s">
        <v>1969</v>
      </c>
      <c r="E9" s="111" t="s">
        <v>544</v>
      </c>
      <c r="F9" s="183" t="s">
        <v>26</v>
      </c>
      <c r="G9" s="111" t="s">
        <v>2127</v>
      </c>
      <c r="H9" s="111">
        <v>201604</v>
      </c>
      <c r="I9" s="184">
        <v>-666.9</v>
      </c>
      <c r="J9" s="185">
        <v>0</v>
      </c>
      <c r="K9" s="186">
        <v>1.4833299999999999E-3</v>
      </c>
      <c r="L9" s="184">
        <f t="shared" si="0"/>
        <v>0</v>
      </c>
      <c r="M9" s="184">
        <f t="shared" si="1"/>
        <v>-11.87</v>
      </c>
    </row>
    <row r="10" spans="1:13">
      <c r="A10" s="183" t="s">
        <v>626</v>
      </c>
      <c r="B10" s="111" t="s">
        <v>1968</v>
      </c>
      <c r="C10" s="111" t="s">
        <v>1967</v>
      </c>
      <c r="D10" s="183" t="s">
        <v>1969</v>
      </c>
      <c r="E10" s="111" t="s">
        <v>544</v>
      </c>
      <c r="F10" s="183" t="s">
        <v>26</v>
      </c>
      <c r="G10" s="111" t="s">
        <v>2127</v>
      </c>
      <c r="H10" s="111">
        <v>201604</v>
      </c>
      <c r="I10" s="184">
        <v>-264.14</v>
      </c>
      <c r="J10" s="185">
        <v>0</v>
      </c>
      <c r="K10" s="186">
        <v>1.4833299999999999E-3</v>
      </c>
      <c r="L10" s="184">
        <f t="shared" si="0"/>
        <v>0</v>
      </c>
      <c r="M10" s="184">
        <f t="shared" si="1"/>
        <v>-4.7</v>
      </c>
    </row>
    <row r="11" spans="1:13">
      <c r="A11" s="183" t="s">
        <v>21</v>
      </c>
      <c r="B11" s="111" t="s">
        <v>1954</v>
      </c>
      <c r="C11" s="111" t="s">
        <v>1953</v>
      </c>
      <c r="D11" s="183" t="s">
        <v>1955</v>
      </c>
      <c r="E11" s="111" t="s">
        <v>75</v>
      </c>
      <c r="F11" s="183" t="s">
        <v>1602</v>
      </c>
      <c r="G11" s="111" t="s">
        <v>2127</v>
      </c>
      <c r="H11" s="111">
        <v>201603</v>
      </c>
      <c r="I11" s="184">
        <v>-785.02</v>
      </c>
      <c r="J11" s="185">
        <v>0</v>
      </c>
      <c r="K11" s="186">
        <v>1.4833299999999999E-3</v>
      </c>
      <c r="L11" s="184">
        <f t="shared" si="0"/>
        <v>0</v>
      </c>
      <c r="M11" s="184">
        <f t="shared" si="1"/>
        <v>-13.97</v>
      </c>
    </row>
    <row r="12" spans="1:13">
      <c r="A12" s="183" t="s">
        <v>21</v>
      </c>
      <c r="B12" s="111" t="s">
        <v>1988</v>
      </c>
      <c r="C12" s="111" t="s">
        <v>1987</v>
      </c>
      <c r="D12" s="183" t="s">
        <v>1338</v>
      </c>
      <c r="E12" s="111" t="s">
        <v>75</v>
      </c>
      <c r="F12" s="183" t="s">
        <v>1602</v>
      </c>
      <c r="G12" s="111" t="s">
        <v>2127</v>
      </c>
      <c r="H12" s="111">
        <v>201603</v>
      </c>
      <c r="I12" s="184">
        <v>-2446.5</v>
      </c>
      <c r="J12" s="185">
        <v>0</v>
      </c>
      <c r="K12" s="186">
        <v>1.4833299999999999E-3</v>
      </c>
      <c r="L12" s="184">
        <f t="shared" si="0"/>
        <v>0</v>
      </c>
      <c r="M12" s="184">
        <f t="shared" si="1"/>
        <v>-43.55</v>
      </c>
    </row>
    <row r="13" spans="1:13">
      <c r="A13" s="183" t="s">
        <v>21</v>
      </c>
      <c r="B13" s="111" t="s">
        <v>1990</v>
      </c>
      <c r="C13" s="111" t="s">
        <v>1989</v>
      </c>
      <c r="D13" s="183" t="s">
        <v>1495</v>
      </c>
      <c r="E13" s="111" t="s">
        <v>75</v>
      </c>
      <c r="F13" s="183" t="s">
        <v>1602</v>
      </c>
      <c r="G13" s="111" t="s">
        <v>2127</v>
      </c>
      <c r="H13" s="111">
        <v>201605</v>
      </c>
      <c r="I13" s="184">
        <v>-976.26</v>
      </c>
      <c r="J13" s="185">
        <v>0</v>
      </c>
      <c r="K13" s="186">
        <v>1.4833299999999999E-3</v>
      </c>
      <c r="L13" s="184">
        <f t="shared" si="0"/>
        <v>0</v>
      </c>
      <c r="M13" s="184">
        <f t="shared" si="1"/>
        <v>-17.38</v>
      </c>
    </row>
    <row r="14" spans="1:13">
      <c r="A14" s="183" t="s">
        <v>21</v>
      </c>
      <c r="B14" s="111" t="s">
        <v>1908</v>
      </c>
      <c r="C14" s="111" t="s">
        <v>1907</v>
      </c>
      <c r="D14" s="183" t="s">
        <v>1909</v>
      </c>
      <c r="E14" s="111" t="s">
        <v>75</v>
      </c>
      <c r="F14" s="183" t="s">
        <v>1602</v>
      </c>
      <c r="G14" s="111" t="s">
        <v>2127</v>
      </c>
      <c r="H14" s="111">
        <v>201603</v>
      </c>
      <c r="I14" s="184">
        <v>-827.1</v>
      </c>
      <c r="J14" s="185">
        <v>0</v>
      </c>
      <c r="K14" s="186">
        <v>1.4833299999999999E-3</v>
      </c>
      <c r="L14" s="184">
        <f t="shared" si="0"/>
        <v>0</v>
      </c>
      <c r="M14" s="184">
        <f t="shared" si="1"/>
        <v>-14.72</v>
      </c>
    </row>
    <row r="15" spans="1:13">
      <c r="A15" s="183" t="s">
        <v>21</v>
      </c>
      <c r="B15" s="111" t="s">
        <v>1917</v>
      </c>
      <c r="C15" s="111" t="s">
        <v>1916</v>
      </c>
      <c r="D15" s="183" t="s">
        <v>1273</v>
      </c>
      <c r="E15" s="111" t="s">
        <v>75</v>
      </c>
      <c r="F15" s="183" t="s">
        <v>1602</v>
      </c>
      <c r="G15" s="111" t="s">
        <v>2127</v>
      </c>
      <c r="H15" s="111">
        <v>201603</v>
      </c>
      <c r="I15" s="184">
        <v>-9404.7000000000007</v>
      </c>
      <c r="J15" s="185">
        <v>0</v>
      </c>
      <c r="K15" s="186">
        <v>1.4833299999999999E-3</v>
      </c>
      <c r="L15" s="184">
        <f t="shared" si="0"/>
        <v>0</v>
      </c>
      <c r="M15" s="184">
        <f t="shared" si="1"/>
        <v>-167.4</v>
      </c>
    </row>
    <row r="16" spans="1:13">
      <c r="A16" s="183" t="s">
        <v>626</v>
      </c>
      <c r="B16" s="111" t="s">
        <v>1917</v>
      </c>
      <c r="C16" s="111" t="s">
        <v>1916</v>
      </c>
      <c r="D16" s="183" t="s">
        <v>1273</v>
      </c>
      <c r="E16" s="111" t="s">
        <v>75</v>
      </c>
      <c r="F16" s="183" t="s">
        <v>1602</v>
      </c>
      <c r="G16" s="111" t="s">
        <v>2127</v>
      </c>
      <c r="H16" s="111">
        <v>201603</v>
      </c>
      <c r="I16" s="184">
        <v>-609.38</v>
      </c>
      <c r="J16" s="185">
        <v>0</v>
      </c>
      <c r="K16" s="186">
        <v>1.4833299999999999E-3</v>
      </c>
      <c r="L16" s="184">
        <f t="shared" si="0"/>
        <v>0</v>
      </c>
      <c r="M16" s="184">
        <f t="shared" si="1"/>
        <v>-10.85</v>
      </c>
    </row>
    <row r="17" spans="1:13">
      <c r="A17" s="183" t="s">
        <v>14</v>
      </c>
      <c r="B17" s="111" t="s">
        <v>196</v>
      </c>
      <c r="C17" s="111" t="s">
        <v>195</v>
      </c>
      <c r="D17" s="183" t="s">
        <v>1674</v>
      </c>
      <c r="E17" s="111" t="s">
        <v>198</v>
      </c>
      <c r="F17" s="183" t="s">
        <v>1610</v>
      </c>
      <c r="G17" s="111" t="s">
        <v>2127</v>
      </c>
      <c r="H17" s="111">
        <v>201603</v>
      </c>
      <c r="I17" s="184">
        <v>-5617.79</v>
      </c>
      <c r="J17" s="185">
        <v>0</v>
      </c>
      <c r="K17" s="186">
        <v>2.23333E-3</v>
      </c>
      <c r="L17" s="184">
        <f t="shared" si="0"/>
        <v>0</v>
      </c>
      <c r="M17" s="184">
        <f t="shared" si="1"/>
        <v>-150.56</v>
      </c>
    </row>
    <row r="18" spans="1:13">
      <c r="A18" s="183" t="s">
        <v>1942</v>
      </c>
      <c r="B18" s="111" t="s">
        <v>196</v>
      </c>
      <c r="C18" s="111" t="s">
        <v>195</v>
      </c>
      <c r="D18" s="183" t="s">
        <v>1674</v>
      </c>
      <c r="E18" s="111" t="s">
        <v>198</v>
      </c>
      <c r="F18" s="183" t="s">
        <v>1610</v>
      </c>
      <c r="G18" s="111" t="s">
        <v>2127</v>
      </c>
      <c r="H18" s="111">
        <v>201603</v>
      </c>
      <c r="I18" s="184">
        <v>-1777.91</v>
      </c>
      <c r="J18" s="185">
        <v>0</v>
      </c>
      <c r="K18" s="186">
        <v>2.23333E-3</v>
      </c>
      <c r="L18" s="184">
        <f t="shared" si="0"/>
        <v>0</v>
      </c>
      <c r="M18" s="184">
        <f t="shared" si="1"/>
        <v>-47.65</v>
      </c>
    </row>
    <row r="19" spans="1:13">
      <c r="A19" s="183" t="s">
        <v>14</v>
      </c>
      <c r="B19" s="111" t="s">
        <v>196</v>
      </c>
      <c r="C19" s="111" t="s">
        <v>195</v>
      </c>
      <c r="D19" s="183" t="s">
        <v>1674</v>
      </c>
      <c r="E19" s="111" t="s">
        <v>198</v>
      </c>
      <c r="F19" s="183" t="s">
        <v>1610</v>
      </c>
      <c r="G19" s="111" t="s">
        <v>2127</v>
      </c>
      <c r="H19" s="111">
        <v>201604</v>
      </c>
      <c r="I19" s="184">
        <v>-6417.84</v>
      </c>
      <c r="J19" s="185">
        <v>0</v>
      </c>
      <c r="K19" s="186">
        <v>2.23333E-3</v>
      </c>
      <c r="L19" s="184">
        <f t="shared" si="0"/>
        <v>0</v>
      </c>
      <c r="M19" s="184">
        <f t="shared" si="1"/>
        <v>-172</v>
      </c>
    </row>
    <row r="20" spans="1:13">
      <c r="A20" s="183" t="s">
        <v>1942</v>
      </c>
      <c r="B20" s="111" t="s">
        <v>196</v>
      </c>
      <c r="C20" s="111" t="s">
        <v>195</v>
      </c>
      <c r="D20" s="183" t="s">
        <v>1674</v>
      </c>
      <c r="E20" s="111" t="s">
        <v>198</v>
      </c>
      <c r="F20" s="183" t="s">
        <v>1610</v>
      </c>
      <c r="G20" s="111" t="s">
        <v>2127</v>
      </c>
      <c r="H20" s="111">
        <v>201604</v>
      </c>
      <c r="I20" s="184">
        <v>-3579.29</v>
      </c>
      <c r="J20" s="185">
        <v>0</v>
      </c>
      <c r="K20" s="186">
        <v>2.23333E-3</v>
      </c>
      <c r="L20" s="184">
        <f t="shared" si="0"/>
        <v>0</v>
      </c>
      <c r="M20" s="184">
        <f t="shared" si="1"/>
        <v>-95.92</v>
      </c>
    </row>
    <row r="21" spans="1:13">
      <c r="A21" s="183" t="s">
        <v>14</v>
      </c>
      <c r="B21" s="111" t="s">
        <v>196</v>
      </c>
      <c r="C21" s="111" t="s">
        <v>195</v>
      </c>
      <c r="D21" s="183" t="s">
        <v>1674</v>
      </c>
      <c r="E21" s="111" t="s">
        <v>198</v>
      </c>
      <c r="F21" s="183" t="s">
        <v>1610</v>
      </c>
      <c r="G21" s="111" t="s">
        <v>2127</v>
      </c>
      <c r="H21" s="111">
        <v>201605</v>
      </c>
      <c r="I21" s="184">
        <v>-14956.19</v>
      </c>
      <c r="J21" s="185">
        <v>0</v>
      </c>
      <c r="K21" s="186">
        <v>2.23333E-3</v>
      </c>
      <c r="L21" s="184">
        <f t="shared" si="0"/>
        <v>0</v>
      </c>
      <c r="M21" s="184">
        <f t="shared" si="1"/>
        <v>-400.83</v>
      </c>
    </row>
    <row r="22" spans="1:13">
      <c r="A22" s="183" t="s">
        <v>1942</v>
      </c>
      <c r="B22" s="111" t="s">
        <v>196</v>
      </c>
      <c r="C22" s="111" t="s">
        <v>195</v>
      </c>
      <c r="D22" s="183" t="s">
        <v>1674</v>
      </c>
      <c r="E22" s="111" t="s">
        <v>198</v>
      </c>
      <c r="F22" s="183" t="s">
        <v>1610</v>
      </c>
      <c r="G22" s="111" t="s">
        <v>2127</v>
      </c>
      <c r="H22" s="111">
        <v>201605</v>
      </c>
      <c r="I22" s="184">
        <v>-12127.44</v>
      </c>
      <c r="J22" s="185">
        <v>0</v>
      </c>
      <c r="K22" s="186">
        <v>2.23333E-3</v>
      </c>
      <c r="L22" s="184">
        <f t="shared" si="0"/>
        <v>0</v>
      </c>
      <c r="M22" s="184">
        <f t="shared" si="1"/>
        <v>-325.01</v>
      </c>
    </row>
    <row r="23" spans="1:13">
      <c r="A23" s="183" t="s">
        <v>14</v>
      </c>
      <c r="B23" s="111" t="s">
        <v>196</v>
      </c>
      <c r="C23" s="111" t="s">
        <v>195</v>
      </c>
      <c r="D23" s="183" t="s">
        <v>1674</v>
      </c>
      <c r="E23" s="111" t="s">
        <v>198</v>
      </c>
      <c r="F23" s="183" t="s">
        <v>1610</v>
      </c>
      <c r="G23" s="111" t="s">
        <v>2127</v>
      </c>
      <c r="H23" s="111">
        <v>201606</v>
      </c>
      <c r="I23" s="184">
        <v>-9933.6299999999992</v>
      </c>
      <c r="J23" s="185">
        <v>0</v>
      </c>
      <c r="K23" s="186">
        <v>2.23333E-3</v>
      </c>
      <c r="L23" s="184">
        <f t="shared" si="0"/>
        <v>0</v>
      </c>
      <c r="M23" s="184">
        <f t="shared" si="1"/>
        <v>-266.22000000000003</v>
      </c>
    </row>
    <row r="24" spans="1:13">
      <c r="A24" s="183" t="s">
        <v>1942</v>
      </c>
      <c r="B24" s="111" t="s">
        <v>196</v>
      </c>
      <c r="C24" s="111" t="s">
        <v>195</v>
      </c>
      <c r="D24" s="183" t="s">
        <v>1674</v>
      </c>
      <c r="E24" s="111" t="s">
        <v>198</v>
      </c>
      <c r="F24" s="183" t="s">
        <v>1610</v>
      </c>
      <c r="G24" s="111" t="s">
        <v>2127</v>
      </c>
      <c r="H24" s="111">
        <v>201606</v>
      </c>
      <c r="I24" s="184">
        <v>-3659.21</v>
      </c>
      <c r="J24" s="185">
        <v>0</v>
      </c>
      <c r="K24" s="186">
        <v>2.23333E-3</v>
      </c>
      <c r="L24" s="184">
        <f t="shared" si="0"/>
        <v>0</v>
      </c>
      <c r="M24" s="184">
        <f t="shared" si="1"/>
        <v>-98.07</v>
      </c>
    </row>
    <row r="25" spans="1:13">
      <c r="A25" s="183" t="s">
        <v>21</v>
      </c>
      <c r="B25" s="111" t="s">
        <v>2128</v>
      </c>
      <c r="C25" s="111" t="s">
        <v>2129</v>
      </c>
      <c r="D25" s="183" t="s">
        <v>2130</v>
      </c>
      <c r="E25" s="111" t="s">
        <v>280</v>
      </c>
      <c r="F25" s="183" t="s">
        <v>26</v>
      </c>
      <c r="G25" s="111" t="s">
        <v>2127</v>
      </c>
      <c r="H25" s="111">
        <v>201604</v>
      </c>
      <c r="I25" s="184">
        <v>-396.9</v>
      </c>
      <c r="J25" s="185">
        <v>0</v>
      </c>
      <c r="K25" s="186">
        <v>1.4833299999999999E-3</v>
      </c>
      <c r="L25" s="184">
        <f t="shared" si="0"/>
        <v>0</v>
      </c>
      <c r="M25" s="184">
        <f t="shared" si="1"/>
        <v>-7.06</v>
      </c>
    </row>
    <row r="26" spans="1:13">
      <c r="A26" s="183" t="s">
        <v>554</v>
      </c>
      <c r="B26" s="111" t="s">
        <v>2128</v>
      </c>
      <c r="C26" s="111" t="s">
        <v>2129</v>
      </c>
      <c r="D26" s="183" t="s">
        <v>2130</v>
      </c>
      <c r="E26" s="111" t="s">
        <v>280</v>
      </c>
      <c r="F26" s="183" t="s">
        <v>26</v>
      </c>
      <c r="G26" s="111" t="s">
        <v>2127</v>
      </c>
      <c r="H26" s="111">
        <v>201604</v>
      </c>
      <c r="I26" s="184">
        <v>-0.25</v>
      </c>
      <c r="J26" s="185">
        <v>0</v>
      </c>
      <c r="K26" s="186">
        <v>1.4833299999999999E-3</v>
      </c>
      <c r="L26" s="184">
        <f t="shared" si="0"/>
        <v>0</v>
      </c>
      <c r="M26" s="184">
        <f t="shared" si="1"/>
        <v>0</v>
      </c>
    </row>
    <row r="27" spans="1:13">
      <c r="A27" s="183" t="s">
        <v>626</v>
      </c>
      <c r="B27" s="111" t="s">
        <v>1737</v>
      </c>
      <c r="C27" s="111" t="s">
        <v>1736</v>
      </c>
      <c r="D27" s="183" t="s">
        <v>1738</v>
      </c>
      <c r="E27" s="111" t="s">
        <v>164</v>
      </c>
      <c r="F27" s="183" t="s">
        <v>1600</v>
      </c>
      <c r="G27" s="111" t="s">
        <v>2127</v>
      </c>
      <c r="H27" s="111">
        <v>201605</v>
      </c>
      <c r="I27" s="184">
        <v>-4011.6</v>
      </c>
      <c r="J27" s="185">
        <v>0</v>
      </c>
      <c r="K27" s="186">
        <v>1.4833299999999999E-3</v>
      </c>
      <c r="L27" s="184">
        <f t="shared" si="0"/>
        <v>0</v>
      </c>
      <c r="M27" s="184">
        <f t="shared" si="1"/>
        <v>-71.41</v>
      </c>
    </row>
    <row r="28" spans="1:13">
      <c r="A28" s="183" t="s">
        <v>21</v>
      </c>
      <c r="B28" s="111" t="s">
        <v>2040</v>
      </c>
      <c r="C28" s="111" t="s">
        <v>2039</v>
      </c>
      <c r="D28" s="183" t="s">
        <v>2041</v>
      </c>
      <c r="E28" s="111" t="s">
        <v>497</v>
      </c>
      <c r="F28" s="183" t="s">
        <v>26</v>
      </c>
      <c r="G28" s="111" t="s">
        <v>2127</v>
      </c>
      <c r="H28" s="111">
        <v>201605</v>
      </c>
      <c r="I28" s="184">
        <v>-3647.47</v>
      </c>
      <c r="J28" s="185">
        <v>0</v>
      </c>
      <c r="K28" s="186">
        <v>1.4833299999999999E-3</v>
      </c>
      <c r="L28" s="184">
        <f t="shared" si="0"/>
        <v>0</v>
      </c>
      <c r="M28" s="184">
        <f t="shared" si="1"/>
        <v>-64.92</v>
      </c>
    </row>
    <row r="29" spans="1:13">
      <c r="A29" s="183" t="s">
        <v>626</v>
      </c>
      <c r="B29" s="111" t="s">
        <v>2040</v>
      </c>
      <c r="C29" s="111" t="s">
        <v>2039</v>
      </c>
      <c r="D29" s="183" t="s">
        <v>2041</v>
      </c>
      <c r="E29" s="111" t="s">
        <v>497</v>
      </c>
      <c r="F29" s="183" t="s">
        <v>26</v>
      </c>
      <c r="G29" s="111" t="s">
        <v>2127</v>
      </c>
      <c r="H29" s="111">
        <v>201605</v>
      </c>
      <c r="I29" s="184">
        <v>-134.62</v>
      </c>
      <c r="J29" s="185">
        <v>0</v>
      </c>
      <c r="K29" s="186">
        <v>1.4833299999999999E-3</v>
      </c>
      <c r="L29" s="184">
        <f t="shared" si="0"/>
        <v>0</v>
      </c>
      <c r="M29" s="184">
        <f t="shared" si="1"/>
        <v>-2.4</v>
      </c>
    </row>
    <row r="30" spans="1:13">
      <c r="A30" s="183" t="s">
        <v>626</v>
      </c>
      <c r="B30" s="111" t="s">
        <v>2034</v>
      </c>
      <c r="C30" s="111" t="s">
        <v>2033</v>
      </c>
      <c r="D30" s="183" t="s">
        <v>2035</v>
      </c>
      <c r="E30" s="111" t="s">
        <v>497</v>
      </c>
      <c r="F30" s="183" t="s">
        <v>26</v>
      </c>
      <c r="G30" s="111" t="s">
        <v>2127</v>
      </c>
      <c r="H30" s="111">
        <v>201606</v>
      </c>
      <c r="I30" s="184">
        <v>-2839.27</v>
      </c>
      <c r="J30" s="185">
        <v>0</v>
      </c>
      <c r="K30" s="186">
        <v>1.4833299999999999E-3</v>
      </c>
      <c r="L30" s="184">
        <f t="shared" si="0"/>
        <v>0</v>
      </c>
      <c r="M30" s="184">
        <f t="shared" si="1"/>
        <v>-50.54</v>
      </c>
    </row>
    <row r="31" spans="1:13">
      <c r="A31" s="183" t="s">
        <v>21</v>
      </c>
      <c r="B31" s="111" t="s">
        <v>2034</v>
      </c>
      <c r="C31" s="111" t="s">
        <v>2033</v>
      </c>
      <c r="D31" s="183" t="s">
        <v>2035</v>
      </c>
      <c r="E31" s="111" t="s">
        <v>497</v>
      </c>
      <c r="F31" s="183" t="s">
        <v>26</v>
      </c>
      <c r="G31" s="111" t="s">
        <v>2127</v>
      </c>
      <c r="H31" s="111">
        <v>201606</v>
      </c>
      <c r="I31" s="184">
        <v>-968.03</v>
      </c>
      <c r="J31" s="185">
        <v>0</v>
      </c>
      <c r="K31" s="186">
        <v>1.4833299999999999E-3</v>
      </c>
      <c r="L31" s="184">
        <f t="shared" si="0"/>
        <v>0</v>
      </c>
      <c r="M31" s="184">
        <f t="shared" si="1"/>
        <v>-17.23</v>
      </c>
    </row>
    <row r="32" spans="1:13">
      <c r="A32" s="183" t="s">
        <v>626</v>
      </c>
      <c r="B32" s="111" t="s">
        <v>2037</v>
      </c>
      <c r="C32" s="111" t="s">
        <v>2036</v>
      </c>
      <c r="D32" s="183" t="s">
        <v>2038</v>
      </c>
      <c r="E32" s="111" t="s">
        <v>160</v>
      </c>
      <c r="F32" s="183" t="s">
        <v>19</v>
      </c>
      <c r="G32" s="111" t="s">
        <v>2127</v>
      </c>
      <c r="H32" s="111">
        <v>201604</v>
      </c>
      <c r="I32" s="184">
        <v>-19383.79</v>
      </c>
      <c r="J32" s="185">
        <v>0</v>
      </c>
      <c r="K32" s="186">
        <v>1.4833299999999999E-3</v>
      </c>
      <c r="L32" s="184">
        <f t="shared" si="0"/>
        <v>0</v>
      </c>
      <c r="M32" s="184">
        <f t="shared" si="1"/>
        <v>-345.03</v>
      </c>
    </row>
    <row r="33" spans="1:13">
      <c r="A33" s="183" t="s">
        <v>21</v>
      </c>
      <c r="B33" s="111" t="s">
        <v>2037</v>
      </c>
      <c r="C33" s="111" t="s">
        <v>2036</v>
      </c>
      <c r="D33" s="183" t="s">
        <v>2038</v>
      </c>
      <c r="E33" s="111" t="s">
        <v>160</v>
      </c>
      <c r="F33" s="183" t="s">
        <v>19</v>
      </c>
      <c r="G33" s="111" t="s">
        <v>2127</v>
      </c>
      <c r="H33" s="111">
        <v>201604</v>
      </c>
      <c r="I33" s="184">
        <v>-1985.68</v>
      </c>
      <c r="J33" s="185">
        <v>0</v>
      </c>
      <c r="K33" s="186">
        <v>1.4833299999999999E-3</v>
      </c>
      <c r="L33" s="184">
        <f t="shared" si="0"/>
        <v>0</v>
      </c>
      <c r="M33" s="184">
        <f t="shared" si="1"/>
        <v>-35.35</v>
      </c>
    </row>
    <row r="34" spans="1:13">
      <c r="A34" s="183" t="s">
        <v>21</v>
      </c>
      <c r="B34" s="111" t="s">
        <v>1992</v>
      </c>
      <c r="C34" s="111" t="s">
        <v>1991</v>
      </c>
      <c r="D34" s="183" t="s">
        <v>1993</v>
      </c>
      <c r="E34" s="111" t="s">
        <v>497</v>
      </c>
      <c r="F34" s="183" t="s">
        <v>26</v>
      </c>
      <c r="G34" s="111" t="s">
        <v>2127</v>
      </c>
      <c r="H34" s="111">
        <v>201604</v>
      </c>
      <c r="I34" s="184">
        <v>-4702.07</v>
      </c>
      <c r="J34" s="185">
        <v>0</v>
      </c>
      <c r="K34" s="186">
        <v>1.4833299999999999E-3</v>
      </c>
      <c r="L34" s="184">
        <f t="shared" si="0"/>
        <v>0</v>
      </c>
      <c r="M34" s="184">
        <f t="shared" si="1"/>
        <v>-83.7</v>
      </c>
    </row>
    <row r="35" spans="1:13">
      <c r="A35" s="183" t="s">
        <v>626</v>
      </c>
      <c r="B35" s="111" t="s">
        <v>1992</v>
      </c>
      <c r="C35" s="111" t="s">
        <v>1991</v>
      </c>
      <c r="D35" s="183" t="s">
        <v>1993</v>
      </c>
      <c r="E35" s="111" t="s">
        <v>497</v>
      </c>
      <c r="F35" s="183" t="s">
        <v>26</v>
      </c>
      <c r="G35" s="111" t="s">
        <v>2127</v>
      </c>
      <c r="H35" s="111">
        <v>201604</v>
      </c>
      <c r="I35" s="184">
        <v>-1087.05</v>
      </c>
      <c r="J35" s="185">
        <v>0</v>
      </c>
      <c r="K35" s="186">
        <v>1.4833299999999999E-3</v>
      </c>
      <c r="L35" s="184">
        <f t="shared" si="0"/>
        <v>0</v>
      </c>
      <c r="M35" s="184">
        <f t="shared" si="1"/>
        <v>-19.350000000000001</v>
      </c>
    </row>
    <row r="36" spans="1:13">
      <c r="A36" s="183" t="s">
        <v>626</v>
      </c>
      <c r="B36" s="111" t="s">
        <v>2031</v>
      </c>
      <c r="C36" s="111" t="s">
        <v>2030</v>
      </c>
      <c r="D36" s="183" t="s">
        <v>2032</v>
      </c>
      <c r="E36" s="111" t="s">
        <v>497</v>
      </c>
      <c r="F36" s="183" t="s">
        <v>26</v>
      </c>
      <c r="G36" s="111" t="s">
        <v>2127</v>
      </c>
      <c r="H36" s="111">
        <v>201605</v>
      </c>
      <c r="I36" s="184">
        <v>-2918.2</v>
      </c>
      <c r="J36" s="185">
        <v>0</v>
      </c>
      <c r="K36" s="186">
        <v>1.4833299999999999E-3</v>
      </c>
      <c r="L36" s="184">
        <f t="shared" si="0"/>
        <v>0</v>
      </c>
      <c r="M36" s="184">
        <f t="shared" si="1"/>
        <v>-51.94</v>
      </c>
    </row>
    <row r="37" spans="1:13">
      <c r="A37" s="183" t="s">
        <v>21</v>
      </c>
      <c r="B37" s="111" t="s">
        <v>2031</v>
      </c>
      <c r="C37" s="111" t="s">
        <v>2030</v>
      </c>
      <c r="D37" s="183" t="s">
        <v>2032</v>
      </c>
      <c r="E37" s="111" t="s">
        <v>497</v>
      </c>
      <c r="F37" s="183" t="s">
        <v>26</v>
      </c>
      <c r="G37" s="111" t="s">
        <v>2127</v>
      </c>
      <c r="H37" s="111">
        <v>201605</v>
      </c>
      <c r="I37" s="184">
        <v>-26.12</v>
      </c>
      <c r="J37" s="185">
        <v>0</v>
      </c>
      <c r="K37" s="186">
        <v>1.4833299999999999E-3</v>
      </c>
      <c r="L37" s="184">
        <f t="shared" si="0"/>
        <v>0</v>
      </c>
      <c r="M37" s="184">
        <f t="shared" si="1"/>
        <v>-0.46</v>
      </c>
    </row>
    <row r="38" spans="1:13">
      <c r="A38" s="183" t="s">
        <v>14</v>
      </c>
      <c r="B38" s="111" t="s">
        <v>293</v>
      </c>
      <c r="C38" s="111" t="s">
        <v>292</v>
      </c>
      <c r="D38" s="183" t="s">
        <v>1679</v>
      </c>
      <c r="E38" s="111" t="s">
        <v>294</v>
      </c>
      <c r="F38" s="183" t="s">
        <v>1613</v>
      </c>
      <c r="G38" s="111" t="s">
        <v>2127</v>
      </c>
      <c r="H38" s="111">
        <v>201603</v>
      </c>
      <c r="I38" s="184">
        <v>-3495.23</v>
      </c>
      <c r="J38" s="185">
        <v>0</v>
      </c>
      <c r="K38" s="186">
        <v>2.23333E-3</v>
      </c>
      <c r="L38" s="184">
        <f t="shared" si="0"/>
        <v>0</v>
      </c>
      <c r="M38" s="184">
        <f t="shared" si="1"/>
        <v>-93.67</v>
      </c>
    </row>
    <row r="39" spans="1:13">
      <c r="A39" s="183" t="s">
        <v>1942</v>
      </c>
      <c r="B39" s="111" t="s">
        <v>293</v>
      </c>
      <c r="C39" s="111" t="s">
        <v>292</v>
      </c>
      <c r="D39" s="183" t="s">
        <v>1679</v>
      </c>
      <c r="E39" s="111" t="s">
        <v>294</v>
      </c>
      <c r="F39" s="183" t="s">
        <v>1613</v>
      </c>
      <c r="G39" s="111" t="s">
        <v>2127</v>
      </c>
      <c r="H39" s="111">
        <v>201603</v>
      </c>
      <c r="I39" s="184">
        <v>-19.75</v>
      </c>
      <c r="J39" s="185">
        <v>0</v>
      </c>
      <c r="K39" s="186">
        <v>2.23333E-3</v>
      </c>
      <c r="L39" s="184">
        <f t="shared" si="0"/>
        <v>0</v>
      </c>
      <c r="M39" s="184">
        <f t="shared" si="1"/>
        <v>-0.53</v>
      </c>
    </row>
    <row r="40" spans="1:13">
      <c r="A40" s="183" t="s">
        <v>14</v>
      </c>
      <c r="B40" s="111" t="s">
        <v>293</v>
      </c>
      <c r="C40" s="111" t="s">
        <v>292</v>
      </c>
      <c r="D40" s="183" t="s">
        <v>1679</v>
      </c>
      <c r="E40" s="111" t="s">
        <v>294</v>
      </c>
      <c r="F40" s="183" t="s">
        <v>1613</v>
      </c>
      <c r="G40" s="111" t="s">
        <v>2127</v>
      </c>
      <c r="H40" s="111">
        <v>201604</v>
      </c>
      <c r="I40" s="184">
        <v>-3923.3</v>
      </c>
      <c r="J40" s="185">
        <v>0</v>
      </c>
      <c r="K40" s="186">
        <v>2.23333E-3</v>
      </c>
      <c r="L40" s="184">
        <f t="shared" si="0"/>
        <v>0</v>
      </c>
      <c r="M40" s="184">
        <f t="shared" si="1"/>
        <v>-105.14</v>
      </c>
    </row>
    <row r="41" spans="1:13">
      <c r="A41" s="183" t="s">
        <v>1942</v>
      </c>
      <c r="B41" s="111" t="s">
        <v>293</v>
      </c>
      <c r="C41" s="111" t="s">
        <v>292</v>
      </c>
      <c r="D41" s="183" t="s">
        <v>1679</v>
      </c>
      <c r="E41" s="111" t="s">
        <v>294</v>
      </c>
      <c r="F41" s="183" t="s">
        <v>1613</v>
      </c>
      <c r="G41" s="111" t="s">
        <v>2127</v>
      </c>
      <c r="H41" s="111">
        <v>201604</v>
      </c>
      <c r="I41" s="184">
        <v>-773.65</v>
      </c>
      <c r="J41" s="185">
        <v>0</v>
      </c>
      <c r="K41" s="186">
        <v>2.23333E-3</v>
      </c>
      <c r="L41" s="184">
        <f t="shared" si="0"/>
        <v>0</v>
      </c>
      <c r="M41" s="184">
        <f t="shared" si="1"/>
        <v>-20.73</v>
      </c>
    </row>
    <row r="42" spans="1:13">
      <c r="A42" s="183" t="s">
        <v>14</v>
      </c>
      <c r="B42" s="111" t="s">
        <v>293</v>
      </c>
      <c r="C42" s="111" t="s">
        <v>292</v>
      </c>
      <c r="D42" s="183" t="s">
        <v>1679</v>
      </c>
      <c r="E42" s="111" t="s">
        <v>294</v>
      </c>
      <c r="F42" s="183" t="s">
        <v>1613</v>
      </c>
      <c r="G42" s="111" t="s">
        <v>2127</v>
      </c>
      <c r="H42" s="111">
        <v>201605</v>
      </c>
      <c r="I42" s="184">
        <v>-3150.98</v>
      </c>
      <c r="J42" s="185">
        <v>0</v>
      </c>
      <c r="K42" s="186">
        <v>2.23333E-3</v>
      </c>
      <c r="L42" s="184">
        <f t="shared" si="0"/>
        <v>0</v>
      </c>
      <c r="M42" s="184">
        <f t="shared" si="1"/>
        <v>-84.45</v>
      </c>
    </row>
    <row r="43" spans="1:13">
      <c r="A43" s="183" t="s">
        <v>1942</v>
      </c>
      <c r="B43" s="111" t="s">
        <v>293</v>
      </c>
      <c r="C43" s="111" t="s">
        <v>292</v>
      </c>
      <c r="D43" s="183" t="s">
        <v>1679</v>
      </c>
      <c r="E43" s="111" t="s">
        <v>294</v>
      </c>
      <c r="F43" s="183" t="s">
        <v>1613</v>
      </c>
      <c r="G43" s="111" t="s">
        <v>2127</v>
      </c>
      <c r="H43" s="111">
        <v>201605</v>
      </c>
      <c r="I43" s="184">
        <v>-313</v>
      </c>
      <c r="J43" s="185">
        <v>0</v>
      </c>
      <c r="K43" s="186">
        <v>2.23333E-3</v>
      </c>
      <c r="L43" s="184">
        <f t="shared" si="0"/>
        <v>0</v>
      </c>
      <c r="M43" s="184">
        <f t="shared" si="1"/>
        <v>-8.39</v>
      </c>
    </row>
    <row r="44" spans="1:13">
      <c r="A44" s="183" t="s">
        <v>1942</v>
      </c>
      <c r="B44" s="111" t="s">
        <v>293</v>
      </c>
      <c r="C44" s="111" t="s">
        <v>292</v>
      </c>
      <c r="D44" s="183" t="s">
        <v>1679</v>
      </c>
      <c r="E44" s="111" t="s">
        <v>294</v>
      </c>
      <c r="F44" s="183" t="s">
        <v>1613</v>
      </c>
      <c r="G44" s="111" t="s">
        <v>2127</v>
      </c>
      <c r="H44" s="111">
        <v>201606</v>
      </c>
      <c r="I44" s="184">
        <v>-886.93</v>
      </c>
      <c r="J44" s="185">
        <v>0</v>
      </c>
      <c r="K44" s="186">
        <v>2.23333E-3</v>
      </c>
      <c r="L44" s="184">
        <f t="shared" si="0"/>
        <v>0</v>
      </c>
      <c r="M44" s="184">
        <f t="shared" si="1"/>
        <v>-23.77</v>
      </c>
    </row>
    <row r="45" spans="1:13">
      <c r="A45" s="183" t="s">
        <v>14</v>
      </c>
      <c r="B45" s="111" t="s">
        <v>293</v>
      </c>
      <c r="C45" s="111" t="s">
        <v>292</v>
      </c>
      <c r="D45" s="183" t="s">
        <v>1679</v>
      </c>
      <c r="E45" s="111" t="s">
        <v>294</v>
      </c>
      <c r="F45" s="183" t="s">
        <v>1613</v>
      </c>
      <c r="G45" s="111" t="s">
        <v>2127</v>
      </c>
      <c r="H45" s="111">
        <v>201606</v>
      </c>
      <c r="I45" s="184">
        <v>-863.62</v>
      </c>
      <c r="J45" s="185">
        <v>0</v>
      </c>
      <c r="K45" s="186">
        <v>2.23333E-3</v>
      </c>
      <c r="L45" s="184">
        <f t="shared" si="0"/>
        <v>0</v>
      </c>
      <c r="M45" s="184">
        <f t="shared" si="1"/>
        <v>-23.14</v>
      </c>
    </row>
    <row r="46" spans="1:13">
      <c r="A46" s="183" t="s">
        <v>21</v>
      </c>
      <c r="B46" s="111" t="s">
        <v>1827</v>
      </c>
      <c r="C46" s="111" t="s">
        <v>1826</v>
      </c>
      <c r="D46" s="183" t="s">
        <v>1828</v>
      </c>
      <c r="E46" s="111" t="s">
        <v>25</v>
      </c>
      <c r="F46" s="183" t="s">
        <v>26</v>
      </c>
      <c r="G46" s="111" t="s">
        <v>2127</v>
      </c>
      <c r="H46" s="111">
        <v>201604</v>
      </c>
      <c r="I46" s="184">
        <v>-2628.03</v>
      </c>
      <c r="J46" s="185">
        <v>0</v>
      </c>
      <c r="K46" s="186">
        <v>1.4833299999999999E-3</v>
      </c>
      <c r="L46" s="184">
        <f t="shared" si="0"/>
        <v>0</v>
      </c>
      <c r="M46" s="184">
        <f t="shared" si="1"/>
        <v>-46.78</v>
      </c>
    </row>
    <row r="47" spans="1:13">
      <c r="A47" s="183" t="s">
        <v>14</v>
      </c>
      <c r="B47" s="111" t="s">
        <v>201</v>
      </c>
      <c r="C47" s="111" t="s">
        <v>200</v>
      </c>
      <c r="D47" s="183" t="s">
        <v>1675</v>
      </c>
      <c r="E47" s="111" t="s">
        <v>202</v>
      </c>
      <c r="F47" s="183" t="s">
        <v>1611</v>
      </c>
      <c r="G47" s="111" t="s">
        <v>2127</v>
      </c>
      <c r="H47" s="111">
        <v>201603</v>
      </c>
      <c r="I47" s="184">
        <v>-21091.58</v>
      </c>
      <c r="J47" s="185">
        <v>0</v>
      </c>
      <c r="K47" s="186">
        <v>2.23333E-3</v>
      </c>
      <c r="L47" s="184">
        <f t="shared" si="0"/>
        <v>0</v>
      </c>
      <c r="M47" s="184">
        <f t="shared" si="1"/>
        <v>-565.25</v>
      </c>
    </row>
    <row r="48" spans="1:13">
      <c r="A48" s="183" t="s">
        <v>1942</v>
      </c>
      <c r="B48" s="111" t="s">
        <v>201</v>
      </c>
      <c r="C48" s="111" t="s">
        <v>200</v>
      </c>
      <c r="D48" s="183" t="s">
        <v>1675</v>
      </c>
      <c r="E48" s="111" t="s">
        <v>202</v>
      </c>
      <c r="F48" s="183" t="s">
        <v>1611</v>
      </c>
      <c r="G48" s="111" t="s">
        <v>2127</v>
      </c>
      <c r="H48" s="111">
        <v>201603</v>
      </c>
      <c r="I48" s="184">
        <v>-5323.16</v>
      </c>
      <c r="J48" s="185">
        <v>0</v>
      </c>
      <c r="K48" s="186">
        <v>2.23333E-3</v>
      </c>
      <c r="L48" s="184">
        <f t="shared" si="0"/>
        <v>0</v>
      </c>
      <c r="M48" s="184">
        <f t="shared" si="1"/>
        <v>-142.66</v>
      </c>
    </row>
    <row r="49" spans="1:13">
      <c r="A49" s="183" t="s">
        <v>14</v>
      </c>
      <c r="B49" s="111" t="s">
        <v>201</v>
      </c>
      <c r="C49" s="111" t="s">
        <v>200</v>
      </c>
      <c r="D49" s="183" t="s">
        <v>1675</v>
      </c>
      <c r="E49" s="111" t="s">
        <v>202</v>
      </c>
      <c r="F49" s="183" t="s">
        <v>1611</v>
      </c>
      <c r="G49" s="111" t="s">
        <v>2127</v>
      </c>
      <c r="H49" s="111">
        <v>201604</v>
      </c>
      <c r="I49" s="184">
        <v>-810.9</v>
      </c>
      <c r="J49" s="185">
        <v>0</v>
      </c>
      <c r="K49" s="186">
        <v>2.23333E-3</v>
      </c>
      <c r="L49" s="184">
        <f t="shared" si="0"/>
        <v>0</v>
      </c>
      <c r="M49" s="184">
        <f t="shared" si="1"/>
        <v>-21.73</v>
      </c>
    </row>
    <row r="50" spans="1:13">
      <c r="A50" s="183" t="s">
        <v>1942</v>
      </c>
      <c r="B50" s="111" t="s">
        <v>201</v>
      </c>
      <c r="C50" s="111" t="s">
        <v>200</v>
      </c>
      <c r="D50" s="183" t="s">
        <v>1675</v>
      </c>
      <c r="E50" s="111" t="s">
        <v>202</v>
      </c>
      <c r="F50" s="183" t="s">
        <v>1611</v>
      </c>
      <c r="G50" s="111" t="s">
        <v>2127</v>
      </c>
      <c r="H50" s="111">
        <v>201604</v>
      </c>
      <c r="I50" s="184">
        <v>-6.51</v>
      </c>
      <c r="J50" s="185">
        <v>0</v>
      </c>
      <c r="K50" s="186">
        <v>2.23333E-3</v>
      </c>
      <c r="L50" s="184">
        <f t="shared" si="0"/>
        <v>0</v>
      </c>
      <c r="M50" s="184">
        <f t="shared" si="1"/>
        <v>-0.17</v>
      </c>
    </row>
    <row r="51" spans="1:13">
      <c r="A51" s="183" t="s">
        <v>14</v>
      </c>
      <c r="B51" s="111" t="s">
        <v>201</v>
      </c>
      <c r="C51" s="111" t="s">
        <v>200</v>
      </c>
      <c r="D51" s="183" t="s">
        <v>1675</v>
      </c>
      <c r="E51" s="111" t="s">
        <v>202</v>
      </c>
      <c r="F51" s="183" t="s">
        <v>1611</v>
      </c>
      <c r="G51" s="111" t="s">
        <v>2127</v>
      </c>
      <c r="H51" s="111">
        <v>201605</v>
      </c>
      <c r="I51" s="184">
        <v>-4358.4399999999996</v>
      </c>
      <c r="J51" s="185">
        <v>0</v>
      </c>
      <c r="K51" s="186">
        <v>2.23333E-3</v>
      </c>
      <c r="L51" s="184">
        <f t="shared" si="0"/>
        <v>0</v>
      </c>
      <c r="M51" s="184">
        <f t="shared" si="1"/>
        <v>-116.81</v>
      </c>
    </row>
    <row r="52" spans="1:13">
      <c r="A52" s="183" t="s">
        <v>1942</v>
      </c>
      <c r="B52" s="111" t="s">
        <v>201</v>
      </c>
      <c r="C52" s="111" t="s">
        <v>200</v>
      </c>
      <c r="D52" s="183" t="s">
        <v>1675</v>
      </c>
      <c r="E52" s="111" t="s">
        <v>202</v>
      </c>
      <c r="F52" s="183" t="s">
        <v>1611</v>
      </c>
      <c r="G52" s="111" t="s">
        <v>2127</v>
      </c>
      <c r="H52" s="111">
        <v>201605</v>
      </c>
      <c r="I52" s="184">
        <v>-488.19</v>
      </c>
      <c r="J52" s="185">
        <v>0</v>
      </c>
      <c r="K52" s="186">
        <v>2.23333E-3</v>
      </c>
      <c r="L52" s="184">
        <f t="shared" si="0"/>
        <v>0</v>
      </c>
      <c r="M52" s="184">
        <f t="shared" si="1"/>
        <v>-13.08</v>
      </c>
    </row>
    <row r="53" spans="1:13">
      <c r="A53" s="183" t="s">
        <v>1942</v>
      </c>
      <c r="B53" s="111" t="s">
        <v>201</v>
      </c>
      <c r="C53" s="111" t="s">
        <v>200</v>
      </c>
      <c r="D53" s="183" t="s">
        <v>1675</v>
      </c>
      <c r="E53" s="111" t="s">
        <v>202</v>
      </c>
      <c r="F53" s="183" t="s">
        <v>1611</v>
      </c>
      <c r="G53" s="111" t="s">
        <v>2127</v>
      </c>
      <c r="H53" s="111">
        <v>201606</v>
      </c>
      <c r="I53" s="184">
        <v>-1977.68</v>
      </c>
      <c r="J53" s="185">
        <v>0</v>
      </c>
      <c r="K53" s="186">
        <v>2.23333E-3</v>
      </c>
      <c r="L53" s="184">
        <f t="shared" si="0"/>
        <v>0</v>
      </c>
      <c r="M53" s="184">
        <f t="shared" si="1"/>
        <v>-53</v>
      </c>
    </row>
    <row r="54" spans="1:13">
      <c r="A54" s="183" t="s">
        <v>14</v>
      </c>
      <c r="B54" s="111" t="s">
        <v>201</v>
      </c>
      <c r="C54" s="111" t="s">
        <v>200</v>
      </c>
      <c r="D54" s="183" t="s">
        <v>1675</v>
      </c>
      <c r="E54" s="111" t="s">
        <v>202</v>
      </c>
      <c r="F54" s="183" t="s">
        <v>1611</v>
      </c>
      <c r="G54" s="111" t="s">
        <v>2127</v>
      </c>
      <c r="H54" s="111">
        <v>201606</v>
      </c>
      <c r="I54" s="184">
        <v>-1600.67</v>
      </c>
      <c r="J54" s="185">
        <v>0</v>
      </c>
      <c r="K54" s="186">
        <v>2.23333E-3</v>
      </c>
      <c r="L54" s="184">
        <f t="shared" si="0"/>
        <v>0</v>
      </c>
      <c r="M54" s="184">
        <f t="shared" si="1"/>
        <v>-42.9</v>
      </c>
    </row>
    <row r="55" spans="1:13">
      <c r="A55" s="183" t="s">
        <v>21</v>
      </c>
      <c r="B55" s="111" t="s">
        <v>1801</v>
      </c>
      <c r="C55" s="111" t="s">
        <v>1800</v>
      </c>
      <c r="D55" s="183" t="s">
        <v>1802</v>
      </c>
      <c r="E55" s="111" t="s">
        <v>75</v>
      </c>
      <c r="F55" s="183" t="s">
        <v>1602</v>
      </c>
      <c r="G55" s="111" t="s">
        <v>2127</v>
      </c>
      <c r="H55" s="111">
        <v>201603</v>
      </c>
      <c r="I55" s="184">
        <v>-7132.72</v>
      </c>
      <c r="J55" s="185">
        <v>0</v>
      </c>
      <c r="K55" s="186">
        <v>1.4833299999999999E-3</v>
      </c>
      <c r="L55" s="184">
        <f t="shared" si="0"/>
        <v>0</v>
      </c>
      <c r="M55" s="184">
        <f t="shared" si="1"/>
        <v>-126.96</v>
      </c>
    </row>
    <row r="56" spans="1:13">
      <c r="A56" s="183" t="s">
        <v>21</v>
      </c>
      <c r="B56" s="111" t="s">
        <v>2049</v>
      </c>
      <c r="C56" s="111" t="s">
        <v>2048</v>
      </c>
      <c r="D56" s="183" t="s">
        <v>2050</v>
      </c>
      <c r="E56" s="111" t="s">
        <v>75</v>
      </c>
      <c r="F56" s="183" t="s">
        <v>1602</v>
      </c>
      <c r="G56" s="111" t="s">
        <v>2127</v>
      </c>
      <c r="H56" s="111">
        <v>201606</v>
      </c>
      <c r="I56" s="184">
        <v>-1884.2</v>
      </c>
      <c r="J56" s="185">
        <v>0</v>
      </c>
      <c r="K56" s="186">
        <v>1.4833299999999999E-3</v>
      </c>
      <c r="L56" s="184">
        <f t="shared" si="0"/>
        <v>0</v>
      </c>
      <c r="M56" s="184">
        <f t="shared" si="1"/>
        <v>-33.54</v>
      </c>
    </row>
    <row r="57" spans="1:13">
      <c r="A57" s="183" t="s">
        <v>21</v>
      </c>
      <c r="B57" s="111" t="s">
        <v>1810</v>
      </c>
      <c r="C57" s="111" t="s">
        <v>1809</v>
      </c>
      <c r="D57" s="187" t="s">
        <v>1323</v>
      </c>
      <c r="E57" s="111" t="s">
        <v>75</v>
      </c>
      <c r="F57" s="183" t="s">
        <v>1602</v>
      </c>
      <c r="G57" s="111" t="s">
        <v>2127</v>
      </c>
      <c r="H57" s="111">
        <v>201604</v>
      </c>
      <c r="I57" s="184">
        <v>-5092.8100000000004</v>
      </c>
      <c r="J57" s="185">
        <v>0</v>
      </c>
      <c r="K57" s="186">
        <v>1.4833299999999999E-3</v>
      </c>
      <c r="L57" s="184">
        <f t="shared" si="0"/>
        <v>0</v>
      </c>
      <c r="M57" s="184">
        <f t="shared" si="1"/>
        <v>-90.65</v>
      </c>
    </row>
    <row r="58" spans="1:13">
      <c r="A58" s="183" t="s">
        <v>21</v>
      </c>
      <c r="B58" s="111" t="s">
        <v>1982</v>
      </c>
      <c r="C58" s="111" t="s">
        <v>1981</v>
      </c>
      <c r="D58" s="183" t="s">
        <v>1983</v>
      </c>
      <c r="E58" s="111" t="s">
        <v>75</v>
      </c>
      <c r="F58" s="183" t="s">
        <v>1602</v>
      </c>
      <c r="G58" s="111" t="s">
        <v>2127</v>
      </c>
      <c r="H58" s="111">
        <v>201605</v>
      </c>
      <c r="I58" s="184">
        <v>-15564.19</v>
      </c>
      <c r="J58" s="185">
        <v>0</v>
      </c>
      <c r="K58" s="186">
        <v>1.4833299999999999E-3</v>
      </c>
      <c r="L58" s="184">
        <f t="shared" si="0"/>
        <v>0</v>
      </c>
      <c r="M58" s="184">
        <f t="shared" si="1"/>
        <v>-277.04000000000002</v>
      </c>
    </row>
    <row r="59" spans="1:13">
      <c r="A59" s="183" t="s">
        <v>626</v>
      </c>
      <c r="B59" s="111" t="s">
        <v>1982</v>
      </c>
      <c r="C59" s="111" t="s">
        <v>1981</v>
      </c>
      <c r="D59" s="183" t="s">
        <v>1983</v>
      </c>
      <c r="E59" s="111" t="s">
        <v>75</v>
      </c>
      <c r="F59" s="183" t="s">
        <v>1602</v>
      </c>
      <c r="G59" s="111" t="s">
        <v>2127</v>
      </c>
      <c r="H59" s="111">
        <v>201605</v>
      </c>
      <c r="I59" s="184">
        <v>-1190.48</v>
      </c>
      <c r="J59" s="185">
        <v>0</v>
      </c>
      <c r="K59" s="186">
        <v>1.4833299999999999E-3</v>
      </c>
      <c r="L59" s="184">
        <f t="shared" si="0"/>
        <v>0</v>
      </c>
      <c r="M59" s="184">
        <f t="shared" si="1"/>
        <v>-21.19</v>
      </c>
    </row>
    <row r="60" spans="1:13">
      <c r="A60" s="183" t="s">
        <v>21</v>
      </c>
      <c r="B60" s="111" t="s">
        <v>1668</v>
      </c>
      <c r="C60" s="111" t="s">
        <v>1667</v>
      </c>
      <c r="D60" s="183" t="s">
        <v>1651</v>
      </c>
      <c r="E60" s="111" t="s">
        <v>209</v>
      </c>
      <c r="F60" s="183" t="s">
        <v>1612</v>
      </c>
      <c r="G60" s="111" t="s">
        <v>2127</v>
      </c>
      <c r="H60" s="111">
        <v>201603</v>
      </c>
      <c r="I60" s="184">
        <v>-45.04</v>
      </c>
      <c r="J60" s="185">
        <v>0</v>
      </c>
      <c r="K60" s="186">
        <v>1.4833299999999999E-3</v>
      </c>
      <c r="L60" s="184">
        <f t="shared" si="0"/>
        <v>0</v>
      </c>
      <c r="M60" s="184">
        <f t="shared" si="1"/>
        <v>-0.8</v>
      </c>
    </row>
    <row r="61" spans="1:13">
      <c r="A61" s="183" t="s">
        <v>21</v>
      </c>
      <c r="B61" s="111" t="s">
        <v>1896</v>
      </c>
      <c r="C61" s="111" t="s">
        <v>1895</v>
      </c>
      <c r="D61" s="183" t="s">
        <v>1897</v>
      </c>
      <c r="E61" s="111" t="s">
        <v>79</v>
      </c>
      <c r="F61" s="183" t="s">
        <v>26</v>
      </c>
      <c r="G61" s="111" t="s">
        <v>2127</v>
      </c>
      <c r="H61" s="111">
        <v>201604</v>
      </c>
      <c r="I61" s="184">
        <v>-5505.91</v>
      </c>
      <c r="J61" s="185">
        <v>0</v>
      </c>
      <c r="K61" s="186">
        <v>1.4833299999999999E-3</v>
      </c>
      <c r="L61" s="184">
        <f t="shared" si="0"/>
        <v>0</v>
      </c>
      <c r="M61" s="184">
        <f t="shared" si="1"/>
        <v>-98</v>
      </c>
    </row>
    <row r="62" spans="1:13">
      <c r="A62" s="183" t="s">
        <v>21</v>
      </c>
      <c r="B62" s="111" t="s">
        <v>1665</v>
      </c>
      <c r="C62" s="111" t="s">
        <v>1664</v>
      </c>
      <c r="D62" s="183" t="s">
        <v>1666</v>
      </c>
      <c r="E62" s="111" t="s">
        <v>87</v>
      </c>
      <c r="F62" s="183" t="s">
        <v>1603</v>
      </c>
      <c r="G62" s="111" t="s">
        <v>2127</v>
      </c>
      <c r="H62" s="111">
        <v>201605</v>
      </c>
      <c r="I62" s="184">
        <v>-3235.55</v>
      </c>
      <c r="J62" s="185">
        <v>0</v>
      </c>
      <c r="K62" s="186">
        <v>1.4833299999999999E-3</v>
      </c>
      <c r="L62" s="184">
        <f t="shared" si="0"/>
        <v>0</v>
      </c>
      <c r="M62" s="184">
        <f t="shared" si="1"/>
        <v>-57.59</v>
      </c>
    </row>
    <row r="63" spans="1:13">
      <c r="A63" s="183" t="s">
        <v>1942</v>
      </c>
      <c r="B63" s="111" t="s">
        <v>1682</v>
      </c>
      <c r="C63" s="118" t="s">
        <v>1681</v>
      </c>
      <c r="D63" s="183" t="s">
        <v>1683</v>
      </c>
      <c r="E63" s="111" t="s">
        <v>198</v>
      </c>
      <c r="F63" s="183" t="s">
        <v>1610</v>
      </c>
      <c r="G63" s="111" t="s">
        <v>2127</v>
      </c>
      <c r="H63" s="111">
        <v>201603</v>
      </c>
      <c r="I63" s="184">
        <v>-30.31</v>
      </c>
      <c r="J63" s="185">
        <v>0</v>
      </c>
      <c r="K63" s="186">
        <v>2.23333E-3</v>
      </c>
      <c r="L63" s="184">
        <f t="shared" si="0"/>
        <v>0</v>
      </c>
      <c r="M63" s="184">
        <f t="shared" si="1"/>
        <v>-0.81</v>
      </c>
    </row>
    <row r="64" spans="1:13">
      <c r="A64" s="183" t="s">
        <v>1942</v>
      </c>
      <c r="B64" s="111" t="s">
        <v>1682</v>
      </c>
      <c r="C64" s="118" t="s">
        <v>1681</v>
      </c>
      <c r="D64" s="187" t="s">
        <v>1683</v>
      </c>
      <c r="E64" s="111" t="s">
        <v>198</v>
      </c>
      <c r="F64" s="183" t="s">
        <v>1610</v>
      </c>
      <c r="G64" s="111" t="s">
        <v>2127</v>
      </c>
      <c r="H64" s="111">
        <v>201604</v>
      </c>
      <c r="I64" s="184">
        <v>-1489.34</v>
      </c>
      <c r="J64" s="185">
        <v>0</v>
      </c>
      <c r="K64" s="186">
        <v>2.23333E-3</v>
      </c>
      <c r="L64" s="184">
        <f t="shared" si="0"/>
        <v>0</v>
      </c>
      <c r="M64" s="184">
        <f t="shared" si="1"/>
        <v>-39.909999999999997</v>
      </c>
    </row>
    <row r="65" spans="1:13">
      <c r="A65" s="183" t="s">
        <v>1942</v>
      </c>
      <c r="B65" s="111" t="s">
        <v>1682</v>
      </c>
      <c r="C65" s="118" t="s">
        <v>1681</v>
      </c>
      <c r="D65" s="183" t="s">
        <v>1683</v>
      </c>
      <c r="E65" s="111" t="s">
        <v>198</v>
      </c>
      <c r="F65" s="183" t="s">
        <v>1610</v>
      </c>
      <c r="G65" s="111" t="s">
        <v>2127</v>
      </c>
      <c r="H65" s="111">
        <v>201606</v>
      </c>
      <c r="I65" s="184">
        <v>-39.340000000000003</v>
      </c>
      <c r="J65" s="185">
        <v>0</v>
      </c>
      <c r="K65" s="186">
        <v>2.23333E-3</v>
      </c>
      <c r="L65" s="184">
        <f t="shared" si="0"/>
        <v>0</v>
      </c>
      <c r="M65" s="184">
        <f t="shared" si="1"/>
        <v>-1.05</v>
      </c>
    </row>
    <row r="66" spans="1:13">
      <c r="A66" s="183" t="s">
        <v>1942</v>
      </c>
      <c r="B66" s="111" t="s">
        <v>1943</v>
      </c>
      <c r="C66" s="118" t="s">
        <v>1681</v>
      </c>
      <c r="D66" s="187" t="s">
        <v>1944</v>
      </c>
      <c r="E66" s="111" t="s">
        <v>202</v>
      </c>
      <c r="F66" s="183" t="s">
        <v>1611</v>
      </c>
      <c r="G66" s="111" t="s">
        <v>2127</v>
      </c>
      <c r="H66" s="111">
        <v>201604</v>
      </c>
      <c r="I66" s="184">
        <v>-142.53</v>
      </c>
      <c r="J66" s="185">
        <v>0</v>
      </c>
      <c r="K66" s="186">
        <v>2.23333E-3</v>
      </c>
      <c r="L66" s="184">
        <f t="shared" si="0"/>
        <v>0</v>
      </c>
      <c r="M66" s="184">
        <f t="shared" si="1"/>
        <v>-3.82</v>
      </c>
    </row>
    <row r="67" spans="1:13">
      <c r="A67" s="183" t="s">
        <v>14</v>
      </c>
      <c r="B67" s="111" t="s">
        <v>1976</v>
      </c>
      <c r="C67" s="118" t="s">
        <v>1681</v>
      </c>
      <c r="D67" s="183" t="s">
        <v>1977</v>
      </c>
      <c r="E67" s="111" t="s">
        <v>294</v>
      </c>
      <c r="F67" s="183" t="s">
        <v>1613</v>
      </c>
      <c r="G67" s="111" t="s">
        <v>2127</v>
      </c>
      <c r="H67" s="111">
        <v>201604</v>
      </c>
      <c r="I67" s="184">
        <v>-879.45</v>
      </c>
      <c r="J67" s="185">
        <v>0</v>
      </c>
      <c r="K67" s="186">
        <v>2.23333E-3</v>
      </c>
      <c r="L67" s="184">
        <f t="shared" si="0"/>
        <v>0</v>
      </c>
      <c r="M67" s="184">
        <f t="shared" si="1"/>
        <v>-23.57</v>
      </c>
    </row>
    <row r="68" spans="1:13">
      <c r="A68" s="188" t="s">
        <v>1942</v>
      </c>
      <c r="B68" s="111" t="s">
        <v>1976</v>
      </c>
      <c r="C68" s="118" t="s">
        <v>1681</v>
      </c>
      <c r="D68" s="187" t="s">
        <v>1977</v>
      </c>
      <c r="E68" s="111" t="s">
        <v>294</v>
      </c>
      <c r="F68" s="183" t="s">
        <v>1613</v>
      </c>
      <c r="G68" s="111" t="s">
        <v>2127</v>
      </c>
      <c r="H68" s="111">
        <v>201605</v>
      </c>
      <c r="I68" s="184">
        <v>-655.27</v>
      </c>
      <c r="J68" s="185">
        <v>0</v>
      </c>
      <c r="K68" s="186">
        <v>2.23333E-3</v>
      </c>
      <c r="L68" s="184">
        <f t="shared" si="0"/>
        <v>0</v>
      </c>
      <c r="M68" s="184">
        <f t="shared" si="1"/>
        <v>-17.559999999999999</v>
      </c>
    </row>
    <row r="69" spans="1:13">
      <c r="A69" s="183" t="s">
        <v>14</v>
      </c>
      <c r="B69" s="111" t="s">
        <v>1976</v>
      </c>
      <c r="C69" s="118" t="s">
        <v>1681</v>
      </c>
      <c r="D69" s="183" t="s">
        <v>1977</v>
      </c>
      <c r="E69" s="111" t="s">
        <v>294</v>
      </c>
      <c r="F69" s="183" t="s">
        <v>1613</v>
      </c>
      <c r="G69" s="111" t="s">
        <v>2127</v>
      </c>
      <c r="H69" s="111">
        <v>201606</v>
      </c>
      <c r="I69" s="184">
        <v>-18.43</v>
      </c>
      <c r="J69" s="185">
        <v>0</v>
      </c>
      <c r="K69" s="186">
        <v>2.23333E-3</v>
      </c>
      <c r="L69" s="184">
        <f t="shared" ref="L69:L104" si="2">ROUND(I69*J69*K69,2)</f>
        <v>0</v>
      </c>
      <c r="M69" s="184">
        <f t="shared" ref="M69:M104" si="3">ROUND(I69*K69*12,2)</f>
        <v>-0.49</v>
      </c>
    </row>
    <row r="70" spans="1:13">
      <c r="A70" s="183" t="s">
        <v>14</v>
      </c>
      <c r="B70" s="111" t="s">
        <v>2131</v>
      </c>
      <c r="C70" s="118" t="s">
        <v>1681</v>
      </c>
      <c r="D70" s="183" t="s">
        <v>2132</v>
      </c>
      <c r="E70" s="111" t="s">
        <v>198</v>
      </c>
      <c r="F70" s="183" t="s">
        <v>1610</v>
      </c>
      <c r="G70" s="111" t="s">
        <v>2127</v>
      </c>
      <c r="H70" s="111">
        <v>201603</v>
      </c>
      <c r="I70" s="184">
        <v>-39848.97</v>
      </c>
      <c r="J70" s="185">
        <v>0</v>
      </c>
      <c r="K70" s="186">
        <v>2.23333E-3</v>
      </c>
      <c r="L70" s="184">
        <f t="shared" si="2"/>
        <v>0</v>
      </c>
      <c r="M70" s="184">
        <f t="shared" si="3"/>
        <v>-1067.95</v>
      </c>
    </row>
    <row r="71" spans="1:13">
      <c r="A71" s="183" t="s">
        <v>1942</v>
      </c>
      <c r="B71" s="111" t="s">
        <v>2131</v>
      </c>
      <c r="C71" s="118" t="s">
        <v>1681</v>
      </c>
      <c r="D71" s="183" t="s">
        <v>2132</v>
      </c>
      <c r="E71" s="111" t="s">
        <v>198</v>
      </c>
      <c r="F71" s="183" t="s">
        <v>1610</v>
      </c>
      <c r="G71" s="111" t="s">
        <v>2127</v>
      </c>
      <c r="H71" s="111">
        <v>201603</v>
      </c>
      <c r="I71" s="184">
        <v>-6056.31</v>
      </c>
      <c r="J71" s="185">
        <v>0</v>
      </c>
      <c r="K71" s="186">
        <v>2.23333E-3</v>
      </c>
      <c r="L71" s="184">
        <f t="shared" si="2"/>
        <v>0</v>
      </c>
      <c r="M71" s="184">
        <f t="shared" si="3"/>
        <v>-162.31</v>
      </c>
    </row>
    <row r="72" spans="1:13">
      <c r="A72" s="183" t="s">
        <v>14</v>
      </c>
      <c r="B72" s="111" t="s">
        <v>2131</v>
      </c>
      <c r="C72" s="118" t="s">
        <v>1681</v>
      </c>
      <c r="D72" s="183" t="s">
        <v>2132</v>
      </c>
      <c r="E72" s="111" t="s">
        <v>198</v>
      </c>
      <c r="F72" s="183" t="s">
        <v>1610</v>
      </c>
      <c r="G72" s="111" t="s">
        <v>2127</v>
      </c>
      <c r="H72" s="111">
        <v>201604</v>
      </c>
      <c r="I72" s="184">
        <v>-26145.7</v>
      </c>
      <c r="J72" s="185">
        <v>0</v>
      </c>
      <c r="K72" s="186">
        <v>2.23333E-3</v>
      </c>
      <c r="L72" s="184">
        <f t="shared" si="2"/>
        <v>0</v>
      </c>
      <c r="M72" s="184">
        <f t="shared" si="3"/>
        <v>-700.7</v>
      </c>
    </row>
    <row r="73" spans="1:13">
      <c r="A73" s="183" t="s">
        <v>1942</v>
      </c>
      <c r="B73" s="111" t="s">
        <v>2131</v>
      </c>
      <c r="C73" s="118" t="s">
        <v>1681</v>
      </c>
      <c r="D73" s="183" t="s">
        <v>2132</v>
      </c>
      <c r="E73" s="111" t="s">
        <v>198</v>
      </c>
      <c r="F73" s="183" t="s">
        <v>1610</v>
      </c>
      <c r="G73" s="111" t="s">
        <v>2127</v>
      </c>
      <c r="H73" s="111">
        <v>201604</v>
      </c>
      <c r="I73" s="184">
        <v>-2537.8200000000002</v>
      </c>
      <c r="J73" s="185">
        <v>0</v>
      </c>
      <c r="K73" s="186">
        <v>2.23333E-3</v>
      </c>
      <c r="L73" s="184">
        <f t="shared" si="2"/>
        <v>0</v>
      </c>
      <c r="M73" s="184">
        <f t="shared" si="3"/>
        <v>-68.010000000000005</v>
      </c>
    </row>
    <row r="74" spans="1:13">
      <c r="A74" s="183" t="s">
        <v>14</v>
      </c>
      <c r="B74" s="111" t="s">
        <v>2131</v>
      </c>
      <c r="C74" s="118" t="s">
        <v>1681</v>
      </c>
      <c r="D74" s="183" t="s">
        <v>2132</v>
      </c>
      <c r="E74" s="111" t="s">
        <v>198</v>
      </c>
      <c r="F74" s="183" t="s">
        <v>1610</v>
      </c>
      <c r="G74" s="111" t="s">
        <v>2127</v>
      </c>
      <c r="H74" s="111">
        <v>201605</v>
      </c>
      <c r="I74" s="184">
        <v>-45783.81</v>
      </c>
      <c r="J74" s="185">
        <v>0</v>
      </c>
      <c r="K74" s="186">
        <v>2.23333E-3</v>
      </c>
      <c r="L74" s="184">
        <f t="shared" si="2"/>
        <v>0</v>
      </c>
      <c r="M74" s="184">
        <f t="shared" si="3"/>
        <v>-1227</v>
      </c>
    </row>
    <row r="75" spans="1:13">
      <c r="A75" s="183" t="s">
        <v>1942</v>
      </c>
      <c r="B75" s="111" t="s">
        <v>2131</v>
      </c>
      <c r="C75" s="118" t="s">
        <v>1681</v>
      </c>
      <c r="D75" s="183" t="s">
        <v>2132</v>
      </c>
      <c r="E75" s="111" t="s">
        <v>198</v>
      </c>
      <c r="F75" s="183" t="s">
        <v>1610</v>
      </c>
      <c r="G75" s="111" t="s">
        <v>2127</v>
      </c>
      <c r="H75" s="111">
        <v>201605</v>
      </c>
      <c r="I75" s="184">
        <v>-4041.13</v>
      </c>
      <c r="J75" s="185">
        <v>0</v>
      </c>
      <c r="K75" s="186">
        <v>2.23333E-3</v>
      </c>
      <c r="L75" s="184">
        <f t="shared" si="2"/>
        <v>0</v>
      </c>
      <c r="M75" s="184">
        <f t="shared" si="3"/>
        <v>-108.3</v>
      </c>
    </row>
    <row r="76" spans="1:13">
      <c r="A76" s="183" t="s">
        <v>14</v>
      </c>
      <c r="B76" s="111" t="s">
        <v>2131</v>
      </c>
      <c r="C76" s="118" t="s">
        <v>1681</v>
      </c>
      <c r="D76" s="183" t="s">
        <v>2132</v>
      </c>
      <c r="E76" s="111" t="s">
        <v>198</v>
      </c>
      <c r="F76" s="183" t="s">
        <v>1610</v>
      </c>
      <c r="G76" s="111" t="s">
        <v>2127</v>
      </c>
      <c r="H76" s="111">
        <v>201606</v>
      </c>
      <c r="I76" s="184">
        <v>-35244.35</v>
      </c>
      <c r="J76" s="185">
        <v>0</v>
      </c>
      <c r="K76" s="186">
        <v>2.23333E-3</v>
      </c>
      <c r="L76" s="184">
        <f t="shared" si="2"/>
        <v>0</v>
      </c>
      <c r="M76" s="184">
        <f t="shared" si="3"/>
        <v>-944.55</v>
      </c>
    </row>
    <row r="77" spans="1:13">
      <c r="A77" s="183" t="s">
        <v>1942</v>
      </c>
      <c r="B77" s="111" t="s">
        <v>2131</v>
      </c>
      <c r="C77" s="118" t="s">
        <v>1681</v>
      </c>
      <c r="D77" s="183" t="s">
        <v>2132</v>
      </c>
      <c r="E77" s="111" t="s">
        <v>198</v>
      </c>
      <c r="F77" s="183" t="s">
        <v>1610</v>
      </c>
      <c r="G77" s="111" t="s">
        <v>2127</v>
      </c>
      <c r="H77" s="111">
        <v>201606</v>
      </c>
      <c r="I77" s="184">
        <v>-120.41</v>
      </c>
      <c r="J77" s="185">
        <v>0</v>
      </c>
      <c r="K77" s="186">
        <v>2.23333E-3</v>
      </c>
      <c r="L77" s="184">
        <f t="shared" si="2"/>
        <v>0</v>
      </c>
      <c r="M77" s="184">
        <f t="shared" si="3"/>
        <v>-3.23</v>
      </c>
    </row>
    <row r="78" spans="1:13">
      <c r="A78" s="183" t="s">
        <v>14</v>
      </c>
      <c r="B78" s="111" t="s">
        <v>2133</v>
      </c>
      <c r="C78" s="118" t="s">
        <v>1681</v>
      </c>
      <c r="D78" s="183" t="s">
        <v>2134</v>
      </c>
      <c r="E78" s="111" t="s">
        <v>202</v>
      </c>
      <c r="F78" s="183" t="s">
        <v>1611</v>
      </c>
      <c r="G78" s="111" t="s">
        <v>2127</v>
      </c>
      <c r="H78" s="111">
        <v>201603</v>
      </c>
      <c r="I78" s="184">
        <v>-27125.29</v>
      </c>
      <c r="J78" s="185">
        <v>0</v>
      </c>
      <c r="K78" s="186">
        <v>2.23333E-3</v>
      </c>
      <c r="L78" s="184">
        <f t="shared" si="2"/>
        <v>0</v>
      </c>
      <c r="M78" s="184">
        <f t="shared" si="3"/>
        <v>-726.96</v>
      </c>
    </row>
    <row r="79" spans="1:13">
      <c r="A79" s="183" t="s">
        <v>1942</v>
      </c>
      <c r="B79" s="111" t="s">
        <v>2133</v>
      </c>
      <c r="C79" s="118" t="s">
        <v>1681</v>
      </c>
      <c r="D79" s="183" t="s">
        <v>2134</v>
      </c>
      <c r="E79" s="111" t="s">
        <v>202</v>
      </c>
      <c r="F79" s="183" t="s">
        <v>1611</v>
      </c>
      <c r="G79" s="111" t="s">
        <v>2127</v>
      </c>
      <c r="H79" s="111">
        <v>201603</v>
      </c>
      <c r="I79" s="184">
        <v>-123.02</v>
      </c>
      <c r="J79" s="185">
        <v>0</v>
      </c>
      <c r="K79" s="186">
        <v>2.23333E-3</v>
      </c>
      <c r="L79" s="184">
        <f t="shared" si="2"/>
        <v>0</v>
      </c>
      <c r="M79" s="184">
        <f t="shared" si="3"/>
        <v>-3.3</v>
      </c>
    </row>
    <row r="80" spans="1:13">
      <c r="A80" s="183" t="s">
        <v>14</v>
      </c>
      <c r="B80" s="111" t="s">
        <v>2133</v>
      </c>
      <c r="C80" s="118" t="s">
        <v>1681</v>
      </c>
      <c r="D80" s="183" t="s">
        <v>2134</v>
      </c>
      <c r="E80" s="111" t="s">
        <v>202</v>
      </c>
      <c r="F80" s="183" t="s">
        <v>1611</v>
      </c>
      <c r="G80" s="111" t="s">
        <v>2127</v>
      </c>
      <c r="H80" s="111">
        <v>201604</v>
      </c>
      <c r="I80" s="184">
        <v>-8459.19</v>
      </c>
      <c r="J80" s="185">
        <v>0</v>
      </c>
      <c r="K80" s="186">
        <v>2.23333E-3</v>
      </c>
      <c r="L80" s="184">
        <f t="shared" si="2"/>
        <v>0</v>
      </c>
      <c r="M80" s="184">
        <f t="shared" si="3"/>
        <v>-226.71</v>
      </c>
    </row>
    <row r="81" spans="1:13">
      <c r="A81" s="183" t="s">
        <v>14</v>
      </c>
      <c r="B81" s="111" t="s">
        <v>2133</v>
      </c>
      <c r="C81" s="118" t="s">
        <v>1681</v>
      </c>
      <c r="D81" s="183" t="s">
        <v>2134</v>
      </c>
      <c r="E81" s="111" t="s">
        <v>202</v>
      </c>
      <c r="F81" s="183" t="s">
        <v>1611</v>
      </c>
      <c r="G81" s="111" t="s">
        <v>2127</v>
      </c>
      <c r="H81" s="111">
        <v>201605</v>
      </c>
      <c r="I81" s="184">
        <v>-24681.78</v>
      </c>
      <c r="J81" s="185">
        <v>0</v>
      </c>
      <c r="K81" s="186">
        <v>2.23333E-3</v>
      </c>
      <c r="L81" s="184">
        <f t="shared" si="2"/>
        <v>0</v>
      </c>
      <c r="M81" s="184">
        <f t="shared" si="3"/>
        <v>-661.47</v>
      </c>
    </row>
    <row r="82" spans="1:13">
      <c r="A82" s="183" t="s">
        <v>14</v>
      </c>
      <c r="B82" s="111" t="s">
        <v>2133</v>
      </c>
      <c r="C82" s="118" t="s">
        <v>1681</v>
      </c>
      <c r="D82" s="183" t="s">
        <v>2134</v>
      </c>
      <c r="E82" s="111" t="s">
        <v>202</v>
      </c>
      <c r="F82" s="183" t="s">
        <v>1611</v>
      </c>
      <c r="G82" s="111" t="s">
        <v>2127</v>
      </c>
      <c r="H82" s="111">
        <v>201606</v>
      </c>
      <c r="I82" s="184">
        <v>-20788.89</v>
      </c>
      <c r="J82" s="185">
        <v>0</v>
      </c>
      <c r="K82" s="186">
        <v>2.23333E-3</v>
      </c>
      <c r="L82" s="184">
        <f t="shared" si="2"/>
        <v>0</v>
      </c>
      <c r="M82" s="184">
        <f t="shared" si="3"/>
        <v>-557.14</v>
      </c>
    </row>
    <row r="83" spans="1:13">
      <c r="A83" s="183" t="s">
        <v>1942</v>
      </c>
      <c r="B83" s="111" t="s">
        <v>2133</v>
      </c>
      <c r="C83" s="118" t="s">
        <v>1681</v>
      </c>
      <c r="D83" s="183" t="s">
        <v>2134</v>
      </c>
      <c r="E83" s="111" t="s">
        <v>202</v>
      </c>
      <c r="F83" s="183" t="s">
        <v>1611</v>
      </c>
      <c r="G83" s="111" t="s">
        <v>2127</v>
      </c>
      <c r="H83" s="111">
        <v>201606</v>
      </c>
      <c r="I83" s="184">
        <v>-9.36</v>
      </c>
      <c r="J83" s="185">
        <v>0</v>
      </c>
      <c r="K83" s="186">
        <v>2.23333E-3</v>
      </c>
      <c r="L83" s="184">
        <f t="shared" si="2"/>
        <v>0</v>
      </c>
      <c r="M83" s="184">
        <f t="shared" si="3"/>
        <v>-0.25</v>
      </c>
    </row>
    <row r="84" spans="1:13">
      <c r="A84" s="183" t="s">
        <v>14</v>
      </c>
      <c r="B84" s="111" t="s">
        <v>2135</v>
      </c>
      <c r="C84" s="118" t="s">
        <v>1681</v>
      </c>
      <c r="D84" s="183" t="s">
        <v>2136</v>
      </c>
      <c r="E84" s="111" t="s">
        <v>294</v>
      </c>
      <c r="F84" s="183" t="s">
        <v>1613</v>
      </c>
      <c r="G84" s="111" t="s">
        <v>2127</v>
      </c>
      <c r="H84" s="111">
        <v>201603</v>
      </c>
      <c r="I84" s="184">
        <v>-10777.64</v>
      </c>
      <c r="J84" s="185">
        <v>0</v>
      </c>
      <c r="K84" s="186">
        <v>2.23333E-3</v>
      </c>
      <c r="L84" s="184">
        <f t="shared" si="2"/>
        <v>0</v>
      </c>
      <c r="M84" s="184">
        <f t="shared" si="3"/>
        <v>-288.83999999999997</v>
      </c>
    </row>
    <row r="85" spans="1:13">
      <c r="A85" s="183" t="s">
        <v>1942</v>
      </c>
      <c r="B85" s="111" t="s">
        <v>2135</v>
      </c>
      <c r="C85" s="118" t="s">
        <v>1681</v>
      </c>
      <c r="D85" s="183" t="s">
        <v>2136</v>
      </c>
      <c r="E85" s="111" t="s">
        <v>294</v>
      </c>
      <c r="F85" s="183" t="s">
        <v>1613</v>
      </c>
      <c r="G85" s="111" t="s">
        <v>2127</v>
      </c>
      <c r="H85" s="111">
        <v>201603</v>
      </c>
      <c r="I85" s="184">
        <v>-427.51</v>
      </c>
      <c r="J85" s="185">
        <v>0</v>
      </c>
      <c r="K85" s="186">
        <v>2.23333E-3</v>
      </c>
      <c r="L85" s="184">
        <f t="shared" si="2"/>
        <v>0</v>
      </c>
      <c r="M85" s="184">
        <f t="shared" si="3"/>
        <v>-11.46</v>
      </c>
    </row>
    <row r="86" spans="1:13">
      <c r="A86" s="183" t="s">
        <v>14</v>
      </c>
      <c r="B86" s="111" t="s">
        <v>2135</v>
      </c>
      <c r="C86" s="118" t="s">
        <v>1681</v>
      </c>
      <c r="D86" s="183" t="s">
        <v>2136</v>
      </c>
      <c r="E86" s="111" t="s">
        <v>294</v>
      </c>
      <c r="F86" s="183" t="s">
        <v>1613</v>
      </c>
      <c r="G86" s="111" t="s">
        <v>2127</v>
      </c>
      <c r="H86" s="111">
        <v>201604</v>
      </c>
      <c r="I86" s="184">
        <v>-28788.09</v>
      </c>
      <c r="J86" s="185">
        <v>0</v>
      </c>
      <c r="K86" s="186">
        <v>2.23333E-3</v>
      </c>
      <c r="L86" s="184">
        <f t="shared" si="2"/>
        <v>0</v>
      </c>
      <c r="M86" s="184">
        <f t="shared" si="3"/>
        <v>-771.52</v>
      </c>
    </row>
    <row r="87" spans="1:13">
      <c r="A87" s="183" t="s">
        <v>1942</v>
      </c>
      <c r="B87" s="111" t="s">
        <v>2135</v>
      </c>
      <c r="C87" s="118" t="s">
        <v>1681</v>
      </c>
      <c r="D87" s="183" t="s">
        <v>2136</v>
      </c>
      <c r="E87" s="111" t="s">
        <v>294</v>
      </c>
      <c r="F87" s="183" t="s">
        <v>1613</v>
      </c>
      <c r="G87" s="111" t="s">
        <v>2127</v>
      </c>
      <c r="H87" s="111">
        <v>201604</v>
      </c>
      <c r="I87" s="184">
        <v>-414.06</v>
      </c>
      <c r="J87" s="185">
        <v>0</v>
      </c>
      <c r="K87" s="186">
        <v>2.23333E-3</v>
      </c>
      <c r="L87" s="184">
        <f t="shared" si="2"/>
        <v>0</v>
      </c>
      <c r="M87" s="184">
        <f t="shared" si="3"/>
        <v>-11.1</v>
      </c>
    </row>
    <row r="88" spans="1:13">
      <c r="A88" s="183" t="s">
        <v>14</v>
      </c>
      <c r="B88" s="111" t="s">
        <v>2135</v>
      </c>
      <c r="C88" s="118" t="s">
        <v>1681</v>
      </c>
      <c r="D88" s="183" t="s">
        <v>2136</v>
      </c>
      <c r="E88" s="111" t="s">
        <v>294</v>
      </c>
      <c r="F88" s="183" t="s">
        <v>1613</v>
      </c>
      <c r="G88" s="111" t="s">
        <v>2127</v>
      </c>
      <c r="H88" s="111">
        <v>201605</v>
      </c>
      <c r="I88" s="184">
        <v>-15559.12</v>
      </c>
      <c r="J88" s="185">
        <v>0</v>
      </c>
      <c r="K88" s="186">
        <v>2.23333E-3</v>
      </c>
      <c r="L88" s="184">
        <f t="shared" si="2"/>
        <v>0</v>
      </c>
      <c r="M88" s="184">
        <f t="shared" si="3"/>
        <v>-416.98</v>
      </c>
    </row>
    <row r="89" spans="1:13">
      <c r="A89" s="183" t="s">
        <v>1942</v>
      </c>
      <c r="B89" s="111" t="s">
        <v>2135</v>
      </c>
      <c r="C89" s="118" t="s">
        <v>1681</v>
      </c>
      <c r="D89" s="183" t="s">
        <v>2136</v>
      </c>
      <c r="E89" s="111" t="s">
        <v>294</v>
      </c>
      <c r="F89" s="183" t="s">
        <v>1613</v>
      </c>
      <c r="G89" s="111" t="s">
        <v>2127</v>
      </c>
      <c r="H89" s="111">
        <v>201605</v>
      </c>
      <c r="I89" s="184">
        <v>-2694.68</v>
      </c>
      <c r="J89" s="185">
        <v>0</v>
      </c>
      <c r="K89" s="186">
        <v>2.23333E-3</v>
      </c>
      <c r="L89" s="184">
        <f t="shared" si="2"/>
        <v>0</v>
      </c>
      <c r="M89" s="184">
        <f t="shared" si="3"/>
        <v>-72.22</v>
      </c>
    </row>
    <row r="90" spans="1:13">
      <c r="A90" s="183" t="s">
        <v>14</v>
      </c>
      <c r="B90" s="111" t="s">
        <v>2135</v>
      </c>
      <c r="C90" s="118" t="s">
        <v>1681</v>
      </c>
      <c r="D90" s="183" t="s">
        <v>2136</v>
      </c>
      <c r="E90" s="111" t="s">
        <v>294</v>
      </c>
      <c r="F90" s="183" t="s">
        <v>1613</v>
      </c>
      <c r="G90" s="111" t="s">
        <v>2127</v>
      </c>
      <c r="H90" s="111">
        <v>201606</v>
      </c>
      <c r="I90" s="184">
        <v>-16744.560000000001</v>
      </c>
      <c r="J90" s="185">
        <v>0</v>
      </c>
      <c r="K90" s="186">
        <v>2.23333E-3</v>
      </c>
      <c r="L90" s="184">
        <f t="shared" si="2"/>
        <v>0</v>
      </c>
      <c r="M90" s="184">
        <f t="shared" si="3"/>
        <v>-448.75</v>
      </c>
    </row>
    <row r="91" spans="1:13">
      <c r="A91" s="183" t="s">
        <v>1942</v>
      </c>
      <c r="B91" s="111" t="s">
        <v>2135</v>
      </c>
      <c r="C91" s="118" t="s">
        <v>1681</v>
      </c>
      <c r="D91" s="183" t="s">
        <v>2136</v>
      </c>
      <c r="E91" s="111" t="s">
        <v>294</v>
      </c>
      <c r="F91" s="183" t="s">
        <v>1613</v>
      </c>
      <c r="G91" s="111" t="s">
        <v>2127</v>
      </c>
      <c r="H91" s="111">
        <v>201606</v>
      </c>
      <c r="I91" s="184">
        <v>-10.79</v>
      </c>
      <c r="J91" s="185">
        <v>0</v>
      </c>
      <c r="K91" s="186">
        <v>2.23333E-3</v>
      </c>
      <c r="L91" s="184">
        <f t="shared" si="2"/>
        <v>0</v>
      </c>
      <c r="M91" s="184">
        <f t="shared" si="3"/>
        <v>-0.28999999999999998</v>
      </c>
    </row>
    <row r="92" spans="1:13">
      <c r="A92" s="187" t="s">
        <v>626</v>
      </c>
      <c r="B92" s="111" t="s">
        <v>2065</v>
      </c>
      <c r="C92" s="118" t="s">
        <v>1681</v>
      </c>
      <c r="D92" s="187" t="s">
        <v>2066</v>
      </c>
      <c r="E92" s="189" t="s">
        <v>209</v>
      </c>
      <c r="F92" s="187" t="s">
        <v>1612</v>
      </c>
      <c r="G92" s="189" t="s">
        <v>2127</v>
      </c>
      <c r="H92" s="189">
        <v>201607</v>
      </c>
      <c r="I92" s="184">
        <v>-23528.66</v>
      </c>
      <c r="J92" s="185">
        <v>0</v>
      </c>
      <c r="K92" s="186">
        <v>1.4833299999999999E-3</v>
      </c>
      <c r="L92" s="184">
        <f t="shared" si="2"/>
        <v>0</v>
      </c>
      <c r="M92" s="184">
        <f t="shared" si="3"/>
        <v>-418.81</v>
      </c>
    </row>
    <row r="93" spans="1:13">
      <c r="A93" s="187" t="s">
        <v>14</v>
      </c>
      <c r="B93" s="111" t="s">
        <v>2131</v>
      </c>
      <c r="C93" s="118" t="s">
        <v>1681</v>
      </c>
      <c r="D93" s="187" t="s">
        <v>2132</v>
      </c>
      <c r="E93" s="189" t="s">
        <v>198</v>
      </c>
      <c r="F93" s="187" t="s">
        <v>1610</v>
      </c>
      <c r="G93" s="189" t="s">
        <v>2127</v>
      </c>
      <c r="H93" s="189">
        <v>201607</v>
      </c>
      <c r="I93" s="184">
        <v>-17192.78</v>
      </c>
      <c r="J93" s="185">
        <v>0</v>
      </c>
      <c r="K93" s="186">
        <v>2.23333E-3</v>
      </c>
      <c r="L93" s="184">
        <f t="shared" si="2"/>
        <v>0</v>
      </c>
      <c r="M93" s="184">
        <f t="shared" si="3"/>
        <v>-460.77</v>
      </c>
    </row>
    <row r="94" spans="1:13">
      <c r="A94" s="187" t="s">
        <v>14</v>
      </c>
      <c r="B94" s="111" t="s">
        <v>2133</v>
      </c>
      <c r="C94" s="118" t="s">
        <v>1681</v>
      </c>
      <c r="D94" s="187" t="s">
        <v>2134</v>
      </c>
      <c r="E94" s="189" t="s">
        <v>202</v>
      </c>
      <c r="F94" s="187" t="s">
        <v>1611</v>
      </c>
      <c r="G94" s="189" t="s">
        <v>2127</v>
      </c>
      <c r="H94" s="189">
        <v>201607</v>
      </c>
      <c r="I94" s="184">
        <v>-15339.3</v>
      </c>
      <c r="J94" s="185">
        <v>0</v>
      </c>
      <c r="K94" s="186">
        <v>2.23333E-3</v>
      </c>
      <c r="L94" s="184">
        <f t="shared" si="2"/>
        <v>0</v>
      </c>
      <c r="M94" s="184">
        <f t="shared" si="3"/>
        <v>-411.09</v>
      </c>
    </row>
    <row r="95" spans="1:13">
      <c r="A95" s="187" t="s">
        <v>14</v>
      </c>
      <c r="B95" s="111" t="s">
        <v>2135</v>
      </c>
      <c r="C95" s="118" t="s">
        <v>1681</v>
      </c>
      <c r="D95" s="187" t="s">
        <v>2136</v>
      </c>
      <c r="E95" s="189" t="s">
        <v>294</v>
      </c>
      <c r="F95" s="187" t="s">
        <v>1613</v>
      </c>
      <c r="G95" s="189" t="s">
        <v>2127</v>
      </c>
      <c r="H95" s="189">
        <v>201607</v>
      </c>
      <c r="I95" s="184">
        <v>-14731.92</v>
      </c>
      <c r="J95" s="185">
        <v>0</v>
      </c>
      <c r="K95" s="186">
        <v>2.23333E-3</v>
      </c>
      <c r="L95" s="184">
        <f t="shared" si="2"/>
        <v>0</v>
      </c>
      <c r="M95" s="184">
        <f t="shared" si="3"/>
        <v>-394.81</v>
      </c>
    </row>
    <row r="96" spans="1:13">
      <c r="A96" s="187" t="s">
        <v>14</v>
      </c>
      <c r="B96" s="111" t="s">
        <v>293</v>
      </c>
      <c r="C96" s="189" t="s">
        <v>292</v>
      </c>
      <c r="D96" s="187" t="s">
        <v>1679</v>
      </c>
      <c r="E96" s="189" t="s">
        <v>294</v>
      </c>
      <c r="F96" s="187" t="s">
        <v>1613</v>
      </c>
      <c r="G96" s="189" t="s">
        <v>2127</v>
      </c>
      <c r="H96" s="189">
        <v>201607</v>
      </c>
      <c r="I96" s="184">
        <v>-9159.32</v>
      </c>
      <c r="J96" s="185">
        <v>0</v>
      </c>
      <c r="K96" s="186">
        <v>2.23333E-3</v>
      </c>
      <c r="L96" s="184">
        <f t="shared" si="2"/>
        <v>0</v>
      </c>
      <c r="M96" s="184">
        <f t="shared" si="3"/>
        <v>-245.47</v>
      </c>
    </row>
    <row r="97" spans="1:13">
      <c r="A97" s="187" t="s">
        <v>14</v>
      </c>
      <c r="B97" s="111" t="s">
        <v>196</v>
      </c>
      <c r="C97" s="189" t="s">
        <v>195</v>
      </c>
      <c r="D97" s="187" t="s">
        <v>1674</v>
      </c>
      <c r="E97" s="189" t="s">
        <v>198</v>
      </c>
      <c r="F97" s="187" t="s">
        <v>1610</v>
      </c>
      <c r="G97" s="189" t="s">
        <v>2127</v>
      </c>
      <c r="H97" s="189">
        <v>201607</v>
      </c>
      <c r="I97" s="184">
        <v>-9135.92</v>
      </c>
      <c r="J97" s="185">
        <v>0</v>
      </c>
      <c r="K97" s="186">
        <v>2.23333E-3</v>
      </c>
      <c r="L97" s="184">
        <f t="shared" si="2"/>
        <v>0</v>
      </c>
      <c r="M97" s="184">
        <f t="shared" si="3"/>
        <v>-244.84</v>
      </c>
    </row>
    <row r="98" spans="1:13">
      <c r="A98" s="187" t="s">
        <v>1942</v>
      </c>
      <c r="B98" s="111" t="s">
        <v>196</v>
      </c>
      <c r="C98" s="189" t="s">
        <v>195</v>
      </c>
      <c r="D98" s="187" t="s">
        <v>1674</v>
      </c>
      <c r="E98" s="189" t="s">
        <v>198</v>
      </c>
      <c r="F98" s="187" t="s">
        <v>1610</v>
      </c>
      <c r="G98" s="189" t="s">
        <v>2127</v>
      </c>
      <c r="H98" s="189">
        <v>201607</v>
      </c>
      <c r="I98" s="184">
        <v>-7035.55</v>
      </c>
      <c r="J98" s="185">
        <v>0</v>
      </c>
      <c r="K98" s="186">
        <v>2.23333E-3</v>
      </c>
      <c r="L98" s="184">
        <f t="shared" si="2"/>
        <v>0</v>
      </c>
      <c r="M98" s="184">
        <f t="shared" si="3"/>
        <v>-188.55</v>
      </c>
    </row>
    <row r="99" spans="1:13">
      <c r="A99" s="187" t="s">
        <v>14</v>
      </c>
      <c r="B99" s="111" t="s">
        <v>2065</v>
      </c>
      <c r="C99" s="118" t="s">
        <v>1681</v>
      </c>
      <c r="D99" s="187" t="s">
        <v>2066</v>
      </c>
      <c r="E99" s="189" t="s">
        <v>209</v>
      </c>
      <c r="F99" s="187" t="s">
        <v>1612</v>
      </c>
      <c r="G99" s="189" t="s">
        <v>2127</v>
      </c>
      <c r="H99" s="189">
        <v>201607</v>
      </c>
      <c r="I99" s="184">
        <v>-2142.9499999999998</v>
      </c>
      <c r="J99" s="185">
        <v>0</v>
      </c>
      <c r="K99" s="186">
        <v>2.23333E-3</v>
      </c>
      <c r="L99" s="184">
        <f t="shared" si="2"/>
        <v>0</v>
      </c>
      <c r="M99" s="184">
        <f t="shared" si="3"/>
        <v>-57.43</v>
      </c>
    </row>
    <row r="100" spans="1:13">
      <c r="A100" s="187" t="s">
        <v>1942</v>
      </c>
      <c r="B100" s="111" t="s">
        <v>2133</v>
      </c>
      <c r="C100" s="118" t="s">
        <v>1681</v>
      </c>
      <c r="D100" s="187" t="s">
        <v>2134</v>
      </c>
      <c r="E100" s="189" t="s">
        <v>202</v>
      </c>
      <c r="F100" s="187" t="s">
        <v>1611</v>
      </c>
      <c r="G100" s="189" t="s">
        <v>2127</v>
      </c>
      <c r="H100" s="189">
        <v>201607</v>
      </c>
      <c r="I100" s="184">
        <v>-306.77</v>
      </c>
      <c r="J100" s="185">
        <v>0</v>
      </c>
      <c r="K100" s="186">
        <v>2.23333E-3</v>
      </c>
      <c r="L100" s="184">
        <f t="shared" si="2"/>
        <v>0</v>
      </c>
      <c r="M100" s="184">
        <f t="shared" si="3"/>
        <v>-8.2200000000000006</v>
      </c>
    </row>
    <row r="101" spans="1:13">
      <c r="A101" s="187" t="s">
        <v>1942</v>
      </c>
      <c r="B101" s="111" t="s">
        <v>293</v>
      </c>
      <c r="C101" s="189" t="s">
        <v>292</v>
      </c>
      <c r="D101" s="187" t="s">
        <v>1679</v>
      </c>
      <c r="E101" s="189" t="s">
        <v>294</v>
      </c>
      <c r="F101" s="187" t="s">
        <v>1613</v>
      </c>
      <c r="G101" s="189" t="s">
        <v>2127</v>
      </c>
      <c r="H101" s="189">
        <v>201607</v>
      </c>
      <c r="I101" s="184">
        <v>-193.19</v>
      </c>
      <c r="J101" s="185">
        <v>0</v>
      </c>
      <c r="K101" s="186">
        <v>2.23333E-3</v>
      </c>
      <c r="L101" s="184">
        <f t="shared" si="2"/>
        <v>0</v>
      </c>
      <c r="M101" s="184">
        <f t="shared" si="3"/>
        <v>-5.18</v>
      </c>
    </row>
    <row r="102" spans="1:13">
      <c r="A102" s="187" t="s">
        <v>1942</v>
      </c>
      <c r="B102" s="111" t="s">
        <v>2131</v>
      </c>
      <c r="C102" s="118" t="s">
        <v>1681</v>
      </c>
      <c r="D102" s="187" t="s">
        <v>2132</v>
      </c>
      <c r="E102" s="189" t="s">
        <v>198</v>
      </c>
      <c r="F102" s="187" t="s">
        <v>1610</v>
      </c>
      <c r="G102" s="189" t="s">
        <v>2127</v>
      </c>
      <c r="H102" s="189">
        <v>201607</v>
      </c>
      <c r="I102" s="184">
        <v>-166.38</v>
      </c>
      <c r="J102" s="185">
        <v>0</v>
      </c>
      <c r="K102" s="186">
        <v>2.23333E-3</v>
      </c>
      <c r="L102" s="184">
        <f t="shared" si="2"/>
        <v>0</v>
      </c>
      <c r="M102" s="184">
        <f t="shared" si="3"/>
        <v>-4.46</v>
      </c>
    </row>
    <row r="103" spans="1:13">
      <c r="A103" s="187" t="s">
        <v>21</v>
      </c>
      <c r="B103" s="111" t="s">
        <v>2052</v>
      </c>
      <c r="C103" s="189" t="s">
        <v>2051</v>
      </c>
      <c r="D103" s="187" t="s">
        <v>2053</v>
      </c>
      <c r="E103" s="189" t="s">
        <v>75</v>
      </c>
      <c r="F103" s="187" t="s">
        <v>1602</v>
      </c>
      <c r="G103" s="189" t="s">
        <v>2127</v>
      </c>
      <c r="H103" s="189">
        <v>201607</v>
      </c>
      <c r="I103" s="184">
        <v>-146.9</v>
      </c>
      <c r="J103" s="185">
        <v>0</v>
      </c>
      <c r="K103" s="186">
        <v>1.4833299999999999E-3</v>
      </c>
      <c r="L103" s="184">
        <f t="shared" si="2"/>
        <v>0</v>
      </c>
      <c r="M103" s="184">
        <f t="shared" si="3"/>
        <v>-2.61</v>
      </c>
    </row>
    <row r="104" spans="1:13">
      <c r="A104" s="187" t="s">
        <v>1942</v>
      </c>
      <c r="B104" s="111" t="s">
        <v>2135</v>
      </c>
      <c r="C104" s="118" t="s">
        <v>1681</v>
      </c>
      <c r="D104" s="187" t="s">
        <v>2136</v>
      </c>
      <c r="E104" s="189" t="s">
        <v>294</v>
      </c>
      <c r="F104" s="187" t="s">
        <v>1613</v>
      </c>
      <c r="G104" s="189" t="s">
        <v>2127</v>
      </c>
      <c r="H104" s="189">
        <v>201607</v>
      </c>
      <c r="I104" s="184">
        <v>-10.78</v>
      </c>
      <c r="J104" s="185">
        <v>0</v>
      </c>
      <c r="K104" s="186">
        <v>2.23333E-3</v>
      </c>
      <c r="L104" s="184">
        <f t="shared" si="2"/>
        <v>0</v>
      </c>
      <c r="M104" s="184">
        <f t="shared" si="3"/>
        <v>-0.28999999999999998</v>
      </c>
    </row>
    <row r="105" spans="1:13">
      <c r="A105" s="183"/>
      <c r="B105" s="111"/>
      <c r="C105" s="111"/>
      <c r="D105" s="183"/>
      <c r="E105" s="111"/>
      <c r="F105" s="183"/>
      <c r="G105" s="111"/>
      <c r="H105" s="111"/>
      <c r="I105" s="184"/>
      <c r="J105" s="190"/>
      <c r="K105" s="191"/>
      <c r="L105" s="191"/>
      <c r="M105" s="191"/>
    </row>
    <row r="106" spans="1:13">
      <c r="A106" s="192"/>
      <c r="B106" s="189"/>
      <c r="C106" s="189"/>
      <c r="D106" s="187"/>
      <c r="E106" s="189"/>
      <c r="F106" s="187"/>
      <c r="G106" s="189"/>
      <c r="H106" s="189"/>
      <c r="I106" s="193"/>
      <c r="J106" s="190"/>
      <c r="K106" s="191"/>
      <c r="L106" s="191"/>
      <c r="M106" s="191"/>
    </row>
    <row r="108" spans="1:13" ht="15.75" thickBot="1">
      <c r="H108" s="196" t="s">
        <v>2137</v>
      </c>
      <c r="I108" s="197">
        <f>SUM(I5:I107)</f>
        <v>-666058.17000000039</v>
      </c>
      <c r="M108" s="197">
        <f>SUM(M5:M107)</f>
        <v>-16407.809999999994</v>
      </c>
    </row>
    <row r="109" spans="1:13" ht="15.75" thickTop="1"/>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2"/>
  <sheetViews>
    <sheetView topLeftCell="A217" zoomScale="85" zoomScaleNormal="85" workbookViewId="0">
      <selection activeCell="A303" sqref="A303:XFD306"/>
    </sheetView>
  </sheetViews>
  <sheetFormatPr defaultColWidth="9.140625" defaultRowHeight="15"/>
  <cols>
    <col min="1" max="1" width="12.140625" style="400" customWidth="1"/>
    <col min="2" max="2" width="13.140625" style="400" hidden="1" customWidth="1"/>
    <col min="3" max="3" width="44.7109375" style="401" customWidth="1"/>
    <col min="4" max="4" width="86.140625" style="241" customWidth="1"/>
    <col min="5" max="5" width="9.42578125" style="400" hidden="1" customWidth="1"/>
    <col min="6" max="6" width="33" style="203" customWidth="1"/>
    <col min="7" max="7" width="14.7109375" style="165" hidden="1" customWidth="1"/>
    <col min="8" max="8" width="24.28515625" style="203" customWidth="1"/>
    <col min="9" max="9" width="22.140625" style="203" customWidth="1"/>
    <col min="10" max="16384" width="9.140625" style="203"/>
  </cols>
  <sheetData>
    <row r="1" spans="1:9" ht="15.75">
      <c r="A1" s="385" t="s">
        <v>0</v>
      </c>
      <c r="B1" s="386"/>
      <c r="C1" s="387"/>
      <c r="D1" s="388"/>
      <c r="E1" s="386"/>
      <c r="F1" s="389"/>
      <c r="G1" s="136"/>
    </row>
    <row r="2" spans="1:9">
      <c r="A2" s="202" t="s">
        <v>2483</v>
      </c>
      <c r="B2" s="386"/>
      <c r="C2" s="387"/>
      <c r="D2" s="389"/>
      <c r="E2" s="386"/>
      <c r="F2" s="389"/>
      <c r="G2" s="136"/>
      <c r="H2" s="241"/>
    </row>
    <row r="3" spans="1:9">
      <c r="A3" s="390" t="s">
        <v>2120</v>
      </c>
      <c r="B3" s="386"/>
      <c r="C3" s="387"/>
      <c r="D3" s="389"/>
      <c r="E3" s="386"/>
      <c r="F3" s="389"/>
      <c r="G3" s="136"/>
    </row>
    <row r="4" spans="1:9" s="394" customFormat="1" ht="35.25" customHeight="1">
      <c r="A4" s="391" t="s">
        <v>8</v>
      </c>
      <c r="B4" s="391" t="s">
        <v>7</v>
      </c>
      <c r="C4" s="392" t="s">
        <v>9</v>
      </c>
      <c r="D4" s="393" t="s">
        <v>2121</v>
      </c>
      <c r="E4" s="391" t="s">
        <v>10</v>
      </c>
      <c r="F4" s="393" t="s">
        <v>11</v>
      </c>
      <c r="G4" s="141" t="s">
        <v>13</v>
      </c>
      <c r="H4" s="413" t="s">
        <v>2244</v>
      </c>
      <c r="I4" s="413" t="s">
        <v>2245</v>
      </c>
    </row>
    <row r="5" spans="1:9" s="399" customFormat="1" ht="26.25">
      <c r="A5" s="395" t="str">
        <f>'[3]ISRS Addns Nov and Dec 2016'!C7</f>
        <v>003969</v>
      </c>
      <c r="B5" s="395" t="str">
        <f>'[3]ISRS Addns Nov and Dec 2016'!B7</f>
        <v>20401050325</v>
      </c>
      <c r="C5" s="396" t="str">
        <f>'[3]ISRS Addns Nov and Dec 2016'!D7</f>
        <v>ENCAPSULATION CAST IRON JOINTS</v>
      </c>
      <c r="D5" s="397" t="s">
        <v>2485</v>
      </c>
      <c r="E5" s="395" t="str">
        <f>'[3]ISRS Addns Nov and Dec 2016'!E7</f>
        <v>F0524</v>
      </c>
      <c r="F5" s="396" t="str">
        <f>'[3]ISRS Addns Nov and Dec 2016'!F7</f>
        <v>BWO CI Joint Encapsulation ISRS (N)</v>
      </c>
      <c r="G5" s="398">
        <f>'[3]ISRS Addns Nov and Dec 2016'!I7</f>
        <v>244437.36</v>
      </c>
      <c r="H5" s="304" t="s">
        <v>2247</v>
      </c>
      <c r="I5" s="304" t="s">
        <v>2249</v>
      </c>
    </row>
    <row r="6" spans="1:9" s="399" customFormat="1" ht="26.25">
      <c r="A6" s="395" t="str">
        <f>'[3]ISRS Addns Nov and Dec 2016'!C8</f>
        <v>003969</v>
      </c>
      <c r="B6" s="395" t="str">
        <f>'[3]ISRS Addns Nov and Dec 2016'!B8</f>
        <v>20401050325</v>
      </c>
      <c r="C6" s="396" t="str">
        <f>'[3]ISRS Addns Nov and Dec 2016'!D8</f>
        <v>BWO-Encapsulation Cast Iron Joints</v>
      </c>
      <c r="D6" s="397" t="s">
        <v>2485</v>
      </c>
      <c r="E6" s="395" t="str">
        <f>'[3]ISRS Addns Nov and Dec 2016'!E8</f>
        <v>F0524</v>
      </c>
      <c r="F6" s="396" t="str">
        <f>'[3]ISRS Addns Nov and Dec 2016'!F8</f>
        <v>BWO CI Joint Encapsulation ISRS (N)</v>
      </c>
      <c r="G6" s="398">
        <f>'[3]ISRS Addns Nov and Dec 2016'!I8</f>
        <v>93849.82</v>
      </c>
      <c r="H6" s="304" t="s">
        <v>2247</v>
      </c>
      <c r="I6" s="304" t="s">
        <v>2249</v>
      </c>
    </row>
    <row r="7" spans="1:9" s="399" customFormat="1">
      <c r="A7" s="395" t="str">
        <f>'[3]ISRS Addns Nov and Dec 2016'!C9</f>
        <v>004152</v>
      </c>
      <c r="B7" s="395" t="str">
        <f>'[3]ISRS Addns Nov and Dec 2016'!B9</f>
        <v>20401050301</v>
      </c>
      <c r="C7" s="396" t="str">
        <f>'[3]ISRS Addns Nov and Dec 2016'!D9</f>
        <v>BWO-Repl Svc w/ Pls (North Reg)</v>
      </c>
      <c r="D7" s="397" t="s">
        <v>2486</v>
      </c>
      <c r="E7" s="395" t="str">
        <f>'[3]ISRS Addns Nov and Dec 2016'!E9</f>
        <v>F0608</v>
      </c>
      <c r="F7" s="396" t="str">
        <f>'[3]ISRS Addns Nov and Dec 2016'!F9</f>
        <v>BWO Service Line Repl - ISRS (N)</v>
      </c>
      <c r="G7" s="398">
        <f>'[3]ISRS Addns Nov and Dec 2016'!I9</f>
        <v>487210.4</v>
      </c>
      <c r="H7" s="304" t="s">
        <v>2247</v>
      </c>
      <c r="I7" s="304" t="s">
        <v>2249</v>
      </c>
    </row>
    <row r="8" spans="1:9" s="399" customFormat="1">
      <c r="A8" s="395" t="str">
        <f>'[3]ISRS Addns Nov and Dec 2016'!C10</f>
        <v>004152</v>
      </c>
      <c r="B8" s="395" t="str">
        <f>'[3]ISRS Addns Nov and Dec 2016'!B10</f>
        <v>20401050301</v>
      </c>
      <c r="C8" s="396" t="str">
        <f>'[3]ISRS Addns Nov and Dec 2016'!D10</f>
        <v>BWO-Repl Svc w/ Pls (North Reg)</v>
      </c>
      <c r="D8" s="397" t="s">
        <v>2486</v>
      </c>
      <c r="E8" s="395" t="str">
        <f>'[3]ISRS Addns Nov and Dec 2016'!E10</f>
        <v>F0608</v>
      </c>
      <c r="F8" s="396" t="str">
        <f>'[3]ISRS Addns Nov and Dec 2016'!F10</f>
        <v>BWO Service Line Repl - ISRS (N)</v>
      </c>
      <c r="G8" s="398">
        <f>'[3]ISRS Addns Nov and Dec 2016'!I10</f>
        <v>359592.56</v>
      </c>
      <c r="H8" s="304" t="s">
        <v>2247</v>
      </c>
      <c r="I8" s="304" t="s">
        <v>2249</v>
      </c>
    </row>
    <row r="9" spans="1:9" s="399" customFormat="1">
      <c r="A9" s="395" t="str">
        <f>'[3]ISRS Addns Nov and Dec 2016'!C17</f>
        <v>004417</v>
      </c>
      <c r="B9" s="395" t="str">
        <f>'[3]ISRS Addns Nov and Dec 2016'!B17</f>
        <v>21201050301</v>
      </c>
      <c r="C9" s="396" t="str">
        <f>'[3]ISRS Addns Nov and Dec 2016'!D17</f>
        <v>BWO-REPLACE SERVICE</v>
      </c>
      <c r="D9" s="397" t="s">
        <v>2490</v>
      </c>
      <c r="E9" s="395" t="str">
        <f>'[3]ISRS Addns Nov and Dec 2016'!E17</f>
        <v>F0608</v>
      </c>
      <c r="F9" s="396" t="str">
        <f>'[3]ISRS Addns Nov and Dec 2016'!F17</f>
        <v>BWO Service Line Repl - ISRS (N)</v>
      </c>
      <c r="G9" s="398">
        <f>'[3]ISRS Addns Nov and Dec 2016'!I17</f>
        <v>800</v>
      </c>
      <c r="H9" s="304" t="s">
        <v>2247</v>
      </c>
      <c r="I9" s="304" t="s">
        <v>2249</v>
      </c>
    </row>
    <row r="10" spans="1:9" s="399" customFormat="1" ht="30">
      <c r="A10" s="395" t="str">
        <f>'[3]ISRS Addns Nov and Dec 2016'!C47</f>
        <v>009217</v>
      </c>
      <c r="B10" s="395" t="str">
        <f>'[3]ISRS Addns Nov and Dec 2016'!B47</f>
        <v>N/A</v>
      </c>
      <c r="C10" s="396" t="str">
        <f>'[3]ISRS Addns Nov and Dec 2016'!D47</f>
        <v>BWO-Replace Svc w/ Steel (North)</v>
      </c>
      <c r="D10" s="397" t="s">
        <v>2507</v>
      </c>
      <c r="E10" s="395" t="str">
        <f>'[3]ISRS Addns Nov and Dec 2016'!E47</f>
        <v>F0608</v>
      </c>
      <c r="F10" s="396" t="str">
        <f>'[3]ISRS Addns Nov and Dec 2016'!F47</f>
        <v>BWO Service Line Repl - ISRS (N)</v>
      </c>
      <c r="G10" s="398">
        <f>'[3]ISRS Addns Nov and Dec 2016'!I47</f>
        <v>469.24</v>
      </c>
      <c r="H10" s="304" t="s">
        <v>2247</v>
      </c>
      <c r="I10" s="304" t="s">
        <v>2249</v>
      </c>
    </row>
    <row r="11" spans="1:9" s="399" customFormat="1">
      <c r="A11" s="395" t="str">
        <f>'[3]ISRS Addns Nov and Dec 2016'!C11</f>
        <v>004153</v>
      </c>
      <c r="B11" s="395" t="str">
        <f>'[3]ISRS Addns Nov and Dec 2016'!B11</f>
        <v>20901050301</v>
      </c>
      <c r="C11" s="396" t="str">
        <f>'[3]ISRS Addns Nov and Dec 2016'!D11</f>
        <v>BWO-Repl Svc w/ Pls (South Reg)</v>
      </c>
      <c r="D11" s="397" t="s">
        <v>2487</v>
      </c>
      <c r="E11" s="395" t="str">
        <f>'[3]ISRS Addns Nov and Dec 2016'!E11</f>
        <v>F0513</v>
      </c>
      <c r="F11" s="396" t="str">
        <f>'[3]ISRS Addns Nov and Dec 2016'!F11</f>
        <v>BWO Service Line Repl - ISRS (S)</v>
      </c>
      <c r="G11" s="398">
        <f>'[3]ISRS Addns Nov and Dec 2016'!I11</f>
        <v>68282.350000000006</v>
      </c>
      <c r="H11" s="304" t="s">
        <v>2247</v>
      </c>
      <c r="I11" s="304" t="s">
        <v>2249</v>
      </c>
    </row>
    <row r="12" spans="1:9" s="399" customFormat="1">
      <c r="A12" s="395" t="str">
        <f>'[3]ISRS Addns Nov and Dec 2016'!C12</f>
        <v>004153</v>
      </c>
      <c r="B12" s="395" t="str">
        <f>'[3]ISRS Addns Nov and Dec 2016'!B12</f>
        <v>20901050301</v>
      </c>
      <c r="C12" s="396" t="str">
        <f>'[3]ISRS Addns Nov and Dec 2016'!D12</f>
        <v>BWO-Repl Svc w/ Pls (South Reg)</v>
      </c>
      <c r="D12" s="397" t="s">
        <v>2487</v>
      </c>
      <c r="E12" s="395" t="str">
        <f>'[3]ISRS Addns Nov and Dec 2016'!E12</f>
        <v>F0513</v>
      </c>
      <c r="F12" s="396" t="str">
        <f>'[3]ISRS Addns Nov and Dec 2016'!F12</f>
        <v>BWO Service Line Repl - ISRS (S)</v>
      </c>
      <c r="G12" s="398">
        <f>'[3]ISRS Addns Nov and Dec 2016'!I12</f>
        <v>138136.6</v>
      </c>
      <c r="H12" s="304" t="s">
        <v>2247</v>
      </c>
      <c r="I12" s="304" t="s">
        <v>2249</v>
      </c>
    </row>
    <row r="13" spans="1:9" s="399" customFormat="1" ht="30">
      <c r="A13" s="395" t="str">
        <f>'[3]ISRS Addns Nov and Dec 2016'!C48</f>
        <v>009218</v>
      </c>
      <c r="B13" s="395" t="str">
        <f>'[3]ISRS Addns Nov and Dec 2016'!B48</f>
        <v>N/A</v>
      </c>
      <c r="C13" s="396" t="str">
        <f>'[3]ISRS Addns Nov and Dec 2016'!D48</f>
        <v>BWO-Replace Svc w/ Steel (South)</v>
      </c>
      <c r="D13" s="397" t="s">
        <v>2508</v>
      </c>
      <c r="E13" s="395" t="str">
        <f>'[3]ISRS Addns Nov and Dec 2016'!E48</f>
        <v>F0513</v>
      </c>
      <c r="F13" s="396" t="str">
        <f>'[3]ISRS Addns Nov and Dec 2016'!F48</f>
        <v>BWO Service Line Repl - ISRS (S)</v>
      </c>
      <c r="G13" s="398">
        <f>'[3]ISRS Addns Nov and Dec 2016'!I48</f>
        <v>-41.15</v>
      </c>
      <c r="H13" s="304" t="s">
        <v>2247</v>
      </c>
      <c r="I13" s="304" t="s">
        <v>2249</v>
      </c>
    </row>
    <row r="14" spans="1:9" s="399" customFormat="1" ht="30">
      <c r="A14" s="395" t="str">
        <f>'[3]ISRS Addns Nov and Dec 2016'!C49</f>
        <v>009218</v>
      </c>
      <c r="B14" s="395" t="str">
        <f>'[3]ISRS Addns Nov and Dec 2016'!B49</f>
        <v>N/A</v>
      </c>
      <c r="C14" s="396" t="str">
        <f>'[3]ISRS Addns Nov and Dec 2016'!D49</f>
        <v>BWO-Replace Svc w/ Steel (South)</v>
      </c>
      <c r="D14" s="397" t="s">
        <v>2508</v>
      </c>
      <c r="E14" s="395" t="str">
        <f>'[3]ISRS Addns Nov and Dec 2016'!E49</f>
        <v>F0513</v>
      </c>
      <c r="F14" s="396" t="str">
        <f>'[3]ISRS Addns Nov and Dec 2016'!F49</f>
        <v>BWO Service Line Repl - ISRS (S)</v>
      </c>
      <c r="G14" s="398">
        <f>'[3]ISRS Addns Nov and Dec 2016'!I49</f>
        <v>273.69</v>
      </c>
      <c r="H14" s="304" t="s">
        <v>2247</v>
      </c>
      <c r="I14" s="304" t="s">
        <v>2249</v>
      </c>
    </row>
    <row r="15" spans="1:9" s="399" customFormat="1">
      <c r="A15" s="395" t="str">
        <f>'[3]ISRS Addns Nov and Dec 2016'!C18</f>
        <v>004501</v>
      </c>
      <c r="B15" s="395" t="str">
        <f>'[3]ISRS Addns Nov and Dec 2016'!B18</f>
        <v>20801050301</v>
      </c>
      <c r="C15" s="396" t="str">
        <f>'[3]ISRS Addns Nov and Dec 2016'!D18</f>
        <v>BWO-Repl Svc w/ Pls (SW Reg)</v>
      </c>
      <c r="D15" s="397" t="s">
        <v>2491</v>
      </c>
      <c r="E15" s="395" t="str">
        <f>'[3]ISRS Addns Nov and Dec 2016'!E18</f>
        <v>F0659</v>
      </c>
      <c r="F15" s="396" t="str">
        <f>'[3]ISRS Addns Nov and Dec 2016'!F18</f>
        <v>BWO Service Line Repl - ISRS (SW)</v>
      </c>
      <c r="G15" s="398">
        <f>'[3]ISRS Addns Nov and Dec 2016'!I18</f>
        <v>50506.33</v>
      </c>
      <c r="H15" s="304" t="s">
        <v>2247</v>
      </c>
      <c r="I15" s="304" t="s">
        <v>2249</v>
      </c>
    </row>
    <row r="16" spans="1:9" s="399" customFormat="1">
      <c r="A16" s="395" t="str">
        <f>'[3]ISRS Addns Nov and Dec 2016'!C19</f>
        <v>004501</v>
      </c>
      <c r="B16" s="395" t="str">
        <f>'[3]ISRS Addns Nov and Dec 2016'!B19</f>
        <v>20801050301</v>
      </c>
      <c r="C16" s="396" t="str">
        <f>'[3]ISRS Addns Nov and Dec 2016'!D19</f>
        <v>BWO-Repl Svc w/ Pls (SW Reg)</v>
      </c>
      <c r="D16" s="397" t="s">
        <v>2491</v>
      </c>
      <c r="E16" s="395" t="str">
        <f>'[3]ISRS Addns Nov and Dec 2016'!E19</f>
        <v>F0659</v>
      </c>
      <c r="F16" s="396" t="str">
        <f>'[3]ISRS Addns Nov and Dec 2016'!F19</f>
        <v>BWO Service Line Repl - ISRS (SW)</v>
      </c>
      <c r="G16" s="398">
        <f>'[3]ISRS Addns Nov and Dec 2016'!I19</f>
        <v>24886.94</v>
      </c>
      <c r="H16" s="304" t="s">
        <v>2247</v>
      </c>
      <c r="I16" s="304" t="s">
        <v>2249</v>
      </c>
    </row>
    <row r="17" spans="1:9" s="399" customFormat="1">
      <c r="A17" s="395" t="str">
        <f>'[3]ISRS Addns Nov and Dec 2016'!C50</f>
        <v>009219</v>
      </c>
      <c r="B17" s="395" t="str">
        <f>'[3]ISRS Addns Nov and Dec 2016'!B50</f>
        <v>N/A</v>
      </c>
      <c r="C17" s="396" t="str">
        <f>'[3]ISRS Addns Nov and Dec 2016'!D50</f>
        <v>BWO-Replace Svc w/ Steel (Southwest</v>
      </c>
      <c r="D17" s="397" t="s">
        <v>2509</v>
      </c>
      <c r="E17" s="395" t="str">
        <f>'[3]ISRS Addns Nov and Dec 2016'!E50</f>
        <v>F0659</v>
      </c>
      <c r="F17" s="396" t="str">
        <f>'[3]ISRS Addns Nov and Dec 2016'!F50</f>
        <v>BWO Service Line Repl - ISRS (SW)</v>
      </c>
      <c r="G17" s="398">
        <f>'[3]ISRS Addns Nov and Dec 2016'!I50</f>
        <v>6674.56</v>
      </c>
      <c r="H17" s="304" t="s">
        <v>2247</v>
      </c>
      <c r="I17" s="304" t="s">
        <v>2249</v>
      </c>
    </row>
    <row r="18" spans="1:9" s="399" customFormat="1" ht="30">
      <c r="A18" s="395" t="str">
        <f>'[3]ISRS Addns Nov and Dec 2016'!C24</f>
        <v>007052</v>
      </c>
      <c r="B18" s="395" t="str">
        <f>'[3]ISRS Addns Nov and Dec 2016'!B24</f>
        <v>N/A</v>
      </c>
      <c r="C18" s="396" t="str">
        <f>'[3]ISRS Addns Nov and Dec 2016'!D24</f>
        <v>BWO Main Installed Mtce-North Reg</v>
      </c>
      <c r="D18" s="397" t="s">
        <v>2494</v>
      </c>
      <c r="E18" s="395" t="str">
        <f>'[3]ISRS Addns Nov and Dec 2016'!E24</f>
        <v>F0599</v>
      </c>
      <c r="F18" s="396" t="str">
        <f>'[3]ISRS Addns Nov and Dec 2016'!F24</f>
        <v>Main Replacement - ISRS (N)</v>
      </c>
      <c r="G18" s="398">
        <f>'[3]ISRS Addns Nov and Dec 2016'!I24</f>
        <v>471.84</v>
      </c>
      <c r="H18" s="304" t="s">
        <v>2247</v>
      </c>
      <c r="I18" s="304" t="s">
        <v>2248</v>
      </c>
    </row>
    <row r="19" spans="1:9" s="399" customFormat="1" ht="30">
      <c r="A19" s="395" t="str">
        <f>'[3]ISRS Addns Nov and Dec 2016'!C25</f>
        <v>007052</v>
      </c>
      <c r="B19" s="395" t="str">
        <f>'[3]ISRS Addns Nov and Dec 2016'!B25</f>
        <v>N/A</v>
      </c>
      <c r="C19" s="396" t="str">
        <f>'[3]ISRS Addns Nov and Dec 2016'!D25</f>
        <v>BWO Main Installed Mtce-North Reg</v>
      </c>
      <c r="D19" s="397" t="s">
        <v>2494</v>
      </c>
      <c r="E19" s="395" t="str">
        <f>'[3]ISRS Addns Nov and Dec 2016'!E25</f>
        <v>F0599</v>
      </c>
      <c r="F19" s="396" t="str">
        <f>'[3]ISRS Addns Nov and Dec 2016'!F25</f>
        <v>Main Replacement - ISRS (N)</v>
      </c>
      <c r="G19" s="398">
        <f>'[3]ISRS Addns Nov and Dec 2016'!I25</f>
        <v>8031.33</v>
      </c>
      <c r="H19" s="304" t="s">
        <v>2247</v>
      </c>
      <c r="I19" s="304" t="s">
        <v>2248</v>
      </c>
    </row>
    <row r="20" spans="1:9" s="399" customFormat="1" ht="30">
      <c r="A20" s="395" t="str">
        <f>'[3]ISRS Addns Nov and Dec 2016'!C68</f>
        <v>800031</v>
      </c>
      <c r="B20" s="395" t="str">
        <f>'[3]ISRS Addns Nov and Dec 2016'!B68</f>
        <v>N/A</v>
      </c>
      <c r="C20" s="396" t="str">
        <f>'[3]ISRS Addns Nov and Dec 2016'!D68</f>
        <v>AOR - 2021 Elmwood</v>
      </c>
      <c r="D20" s="397" t="s">
        <v>2516</v>
      </c>
      <c r="E20" s="395" t="str">
        <f>'[3]ISRS Addns Nov and Dec 2016'!E68</f>
        <v>F0599</v>
      </c>
      <c r="F20" s="396" t="str">
        <f>'[3]ISRS Addns Nov and Dec 2016'!F68</f>
        <v>Main Replacement - ISRS (N)</v>
      </c>
      <c r="G20" s="398">
        <f>'[3]ISRS Addns Nov and Dec 2016'!I68</f>
        <v>1138.8699999999999</v>
      </c>
      <c r="H20" s="304" t="s">
        <v>2247</v>
      </c>
      <c r="I20" s="304" t="s">
        <v>2248</v>
      </c>
    </row>
    <row r="21" spans="1:9" s="399" customFormat="1" ht="30">
      <c r="A21" s="395" t="str">
        <f>'[3]ISRS Addns Nov and Dec 2016'!C69</f>
        <v>800031</v>
      </c>
      <c r="B21" s="395" t="str">
        <f>'[3]ISRS Addns Nov and Dec 2016'!B69</f>
        <v>N/A</v>
      </c>
      <c r="C21" s="396" t="str">
        <f>'[3]ISRS Addns Nov and Dec 2016'!D69</f>
        <v>AOR - 2021 Elmwood</v>
      </c>
      <c r="D21" s="397" t="s">
        <v>2516</v>
      </c>
      <c r="E21" s="395" t="str">
        <f>'[3]ISRS Addns Nov and Dec 2016'!E69</f>
        <v>F0599</v>
      </c>
      <c r="F21" s="396" t="str">
        <f>'[3]ISRS Addns Nov and Dec 2016'!F69</f>
        <v>Main Replacement - ISRS (N)</v>
      </c>
      <c r="G21" s="398">
        <f>'[3]ISRS Addns Nov and Dec 2016'!I69</f>
        <v>23447.360000000001</v>
      </c>
      <c r="H21" s="304" t="s">
        <v>2247</v>
      </c>
      <c r="I21" s="304" t="s">
        <v>2248</v>
      </c>
    </row>
    <row r="22" spans="1:9" s="399" customFormat="1" ht="30">
      <c r="A22" s="395" t="str">
        <f>'[3]ISRS Addns Nov and Dec 2016'!C70</f>
        <v>800031</v>
      </c>
      <c r="B22" s="395" t="str">
        <f>'[3]ISRS Addns Nov and Dec 2016'!B70</f>
        <v>N/A</v>
      </c>
      <c r="C22" s="396" t="str">
        <f>'[3]ISRS Addns Nov and Dec 2016'!D70</f>
        <v>AOR - 2021 Elmwood</v>
      </c>
      <c r="D22" s="397" t="s">
        <v>2516</v>
      </c>
      <c r="E22" s="395" t="str">
        <f>'[3]ISRS Addns Nov and Dec 2016'!E70</f>
        <v>F0599</v>
      </c>
      <c r="F22" s="396" t="str">
        <f>'[3]ISRS Addns Nov and Dec 2016'!F70</f>
        <v>Main Replacement - ISRS (N)</v>
      </c>
      <c r="G22" s="398">
        <f>'[3]ISRS Addns Nov and Dec 2016'!I70</f>
        <v>1128.8499999999999</v>
      </c>
      <c r="H22" s="304" t="s">
        <v>2247</v>
      </c>
      <c r="I22" s="304" t="s">
        <v>2248</v>
      </c>
    </row>
    <row r="23" spans="1:9" s="399" customFormat="1" ht="45">
      <c r="A23" s="395" t="str">
        <f>'[3]ISRS Addns Nov and Dec 2016'!C77</f>
        <v>800039</v>
      </c>
      <c r="B23" s="395" t="str">
        <f>'[3]ISRS Addns Nov and Dec 2016'!B77</f>
        <v>N/A</v>
      </c>
      <c r="C23" s="396" t="str">
        <f>'[3]ISRS Addns Nov and Dec 2016'!D77</f>
        <v>Pickett Rd and 29th St - Main Repla</v>
      </c>
      <c r="D23" s="397" t="s">
        <v>2519</v>
      </c>
      <c r="E23" s="395" t="str">
        <f>'[3]ISRS Addns Nov and Dec 2016'!E77</f>
        <v>F0599</v>
      </c>
      <c r="F23" s="396" t="str">
        <f>'[3]ISRS Addns Nov and Dec 2016'!F77</f>
        <v>Main Replacement - ISRS (N)</v>
      </c>
      <c r="G23" s="398">
        <f>'[3]ISRS Addns Nov and Dec 2016'!I77</f>
        <v>0.06</v>
      </c>
      <c r="H23" s="304" t="s">
        <v>2247</v>
      </c>
      <c r="I23" s="304" t="s">
        <v>2248</v>
      </c>
    </row>
    <row r="24" spans="1:9" s="399" customFormat="1" ht="45">
      <c r="A24" s="395" t="str">
        <f>'[3]ISRS Addns Nov and Dec 2016'!C78</f>
        <v>800039</v>
      </c>
      <c r="B24" s="395" t="str">
        <f>'[3]ISRS Addns Nov and Dec 2016'!B78</f>
        <v>N/A</v>
      </c>
      <c r="C24" s="396" t="str">
        <f>'[3]ISRS Addns Nov and Dec 2016'!D78</f>
        <v>Pickett Rd and 29th St - Main Repla</v>
      </c>
      <c r="D24" s="397" t="s">
        <v>2519</v>
      </c>
      <c r="E24" s="395" t="str">
        <f>'[3]ISRS Addns Nov and Dec 2016'!E78</f>
        <v>F0599</v>
      </c>
      <c r="F24" s="396" t="str">
        <f>'[3]ISRS Addns Nov and Dec 2016'!F78</f>
        <v>Main Replacement - ISRS (N)</v>
      </c>
      <c r="G24" s="398">
        <f>'[3]ISRS Addns Nov and Dec 2016'!I78</f>
        <v>118.87</v>
      </c>
      <c r="H24" s="304" t="s">
        <v>2247</v>
      </c>
      <c r="I24" s="304" t="s">
        <v>2248</v>
      </c>
    </row>
    <row r="25" spans="1:9" s="399" customFormat="1" ht="45">
      <c r="A25" s="395" t="str">
        <f>'[3]ISRS Addns Nov and Dec 2016'!C79</f>
        <v>800039</v>
      </c>
      <c r="B25" s="395" t="str">
        <f>'[3]ISRS Addns Nov and Dec 2016'!B79</f>
        <v>N/A</v>
      </c>
      <c r="C25" s="396" t="str">
        <f>'[3]ISRS Addns Nov and Dec 2016'!D79</f>
        <v>Pickett Rd and 29th St - Main Repla</v>
      </c>
      <c r="D25" s="397" t="s">
        <v>2519</v>
      </c>
      <c r="E25" s="395" t="str">
        <f>'[3]ISRS Addns Nov and Dec 2016'!E79</f>
        <v>F0599</v>
      </c>
      <c r="F25" s="396" t="str">
        <f>'[3]ISRS Addns Nov and Dec 2016'!F79</f>
        <v>Main Replacement - ISRS (N)</v>
      </c>
      <c r="G25" s="398">
        <f>'[3]ISRS Addns Nov and Dec 2016'!I79</f>
        <v>50.94</v>
      </c>
      <c r="H25" s="304" t="s">
        <v>2247</v>
      </c>
      <c r="I25" s="304" t="s">
        <v>2248</v>
      </c>
    </row>
    <row r="26" spans="1:9" s="399" customFormat="1" ht="45">
      <c r="A26" s="395" t="str">
        <f>'[3]ISRS Addns Nov and Dec 2016'!C80</f>
        <v>800039</v>
      </c>
      <c r="B26" s="395" t="str">
        <f>'[3]ISRS Addns Nov and Dec 2016'!B80</f>
        <v>N/A</v>
      </c>
      <c r="C26" s="396" t="str">
        <f>'[3]ISRS Addns Nov and Dec 2016'!D80</f>
        <v>Pickett Rd and 29th St - Main Repla</v>
      </c>
      <c r="D26" s="397" t="s">
        <v>2519</v>
      </c>
      <c r="E26" s="395" t="str">
        <f>'[3]ISRS Addns Nov and Dec 2016'!E80</f>
        <v>F0599</v>
      </c>
      <c r="F26" s="396" t="str">
        <f>'[3]ISRS Addns Nov and Dec 2016'!F80</f>
        <v>Main Replacement - ISRS (N)</v>
      </c>
      <c r="G26" s="398">
        <f>'[3]ISRS Addns Nov and Dec 2016'!I80</f>
        <v>-0.01</v>
      </c>
      <c r="H26" s="304" t="s">
        <v>2247</v>
      </c>
      <c r="I26" s="304" t="s">
        <v>2248</v>
      </c>
    </row>
    <row r="27" spans="1:9" s="399" customFormat="1" ht="45">
      <c r="A27" s="395" t="str">
        <f>'[3]ISRS Addns Nov and Dec 2016'!C81</f>
        <v>800039</v>
      </c>
      <c r="B27" s="395" t="str">
        <f>'[3]ISRS Addns Nov and Dec 2016'!B81</f>
        <v>N/A</v>
      </c>
      <c r="C27" s="396" t="str">
        <f>'[3]ISRS Addns Nov and Dec 2016'!D81</f>
        <v>Pickett Rd and 29th St - Main Repla</v>
      </c>
      <c r="D27" s="397" t="s">
        <v>2519</v>
      </c>
      <c r="E27" s="395" t="str">
        <f>'[3]ISRS Addns Nov and Dec 2016'!E81</f>
        <v>F0599</v>
      </c>
      <c r="F27" s="396" t="str">
        <f>'[3]ISRS Addns Nov and Dec 2016'!F81</f>
        <v>Main Replacement - ISRS (N)</v>
      </c>
      <c r="G27" s="398">
        <f>'[3]ISRS Addns Nov and Dec 2016'!I81</f>
        <v>-13.77</v>
      </c>
      <c r="H27" s="304" t="s">
        <v>2247</v>
      </c>
      <c r="I27" s="304" t="s">
        <v>2248</v>
      </c>
    </row>
    <row r="28" spans="1:9" s="399" customFormat="1" ht="45">
      <c r="A28" s="395" t="str">
        <f>'[3]ISRS Addns Nov and Dec 2016'!C82</f>
        <v>800039</v>
      </c>
      <c r="B28" s="395" t="str">
        <f>'[3]ISRS Addns Nov and Dec 2016'!B82</f>
        <v>N/A</v>
      </c>
      <c r="C28" s="396" t="str">
        <f>'[3]ISRS Addns Nov and Dec 2016'!D82</f>
        <v>Pickett Rd and 29th St - Main Repla</v>
      </c>
      <c r="D28" s="397" t="s">
        <v>2519</v>
      </c>
      <c r="E28" s="395" t="str">
        <f>'[3]ISRS Addns Nov and Dec 2016'!E82</f>
        <v>F0599</v>
      </c>
      <c r="F28" s="396" t="str">
        <f>'[3]ISRS Addns Nov and Dec 2016'!F82</f>
        <v>Main Replacement - ISRS (N)</v>
      </c>
      <c r="G28" s="398">
        <f>'[3]ISRS Addns Nov and Dec 2016'!I82</f>
        <v>-5.89</v>
      </c>
      <c r="H28" s="304" t="s">
        <v>2247</v>
      </c>
      <c r="I28" s="304" t="s">
        <v>2248</v>
      </c>
    </row>
    <row r="29" spans="1:9" s="399" customFormat="1" ht="60">
      <c r="A29" s="395" t="str">
        <f>'[3]ISRS Addns Nov and Dec 2016'!C83</f>
        <v>800041</v>
      </c>
      <c r="B29" s="395" t="str">
        <f>'[3]ISRS Addns Nov and Dec 2016'!B83</f>
        <v>N/A</v>
      </c>
      <c r="C29" s="396" t="str">
        <f>'[3]ISRS Addns Nov and Dec 2016'!D83</f>
        <v>Liberty Header - Phase 4 IUI</v>
      </c>
      <c r="D29" s="397" t="s">
        <v>2520</v>
      </c>
      <c r="E29" s="395" t="str">
        <f>'[3]ISRS Addns Nov and Dec 2016'!E83</f>
        <v>F0599</v>
      </c>
      <c r="F29" s="396" t="str">
        <f>'[3]ISRS Addns Nov and Dec 2016'!F83</f>
        <v>Main Replacement - ISRS (N)</v>
      </c>
      <c r="G29" s="398">
        <f>'[3]ISRS Addns Nov and Dec 2016'!I83</f>
        <v>4048.93</v>
      </c>
      <c r="H29" s="304" t="s">
        <v>2247</v>
      </c>
      <c r="I29" s="304" t="s">
        <v>2248</v>
      </c>
    </row>
    <row r="30" spans="1:9" s="399" customFormat="1" ht="60">
      <c r="A30" s="395" t="str">
        <f>'[3]ISRS Addns Nov and Dec 2016'!C84</f>
        <v>800041</v>
      </c>
      <c r="B30" s="395" t="str">
        <f>'[3]ISRS Addns Nov and Dec 2016'!B84</f>
        <v>N/A</v>
      </c>
      <c r="C30" s="396" t="str">
        <f>'[3]ISRS Addns Nov and Dec 2016'!D84</f>
        <v>Liberty Header - Phase 4 IUI</v>
      </c>
      <c r="D30" s="397" t="s">
        <v>2520</v>
      </c>
      <c r="E30" s="395" t="str">
        <f>'[3]ISRS Addns Nov and Dec 2016'!E84</f>
        <v>F0599</v>
      </c>
      <c r="F30" s="396" t="str">
        <f>'[3]ISRS Addns Nov and Dec 2016'!F84</f>
        <v>Main Replacement - ISRS (N)</v>
      </c>
      <c r="G30" s="398">
        <f>'[3]ISRS Addns Nov and Dec 2016'!I84</f>
        <v>1529.02</v>
      </c>
      <c r="H30" s="304" t="s">
        <v>2247</v>
      </c>
      <c r="I30" s="304" t="s">
        <v>2248</v>
      </c>
    </row>
    <row r="31" spans="1:9" s="399" customFormat="1" ht="60">
      <c r="A31" s="395" t="str">
        <f>'[3]ISRS Addns Nov and Dec 2016'!C85</f>
        <v>800045</v>
      </c>
      <c r="B31" s="395" t="str">
        <f>'[3]ISRS Addns Nov and Dec 2016'!B85</f>
        <v>N/A</v>
      </c>
      <c r="C31" s="396" t="str">
        <f>'[3]ISRS Addns Nov and Dec 2016'!D85</f>
        <v>Liberty - Grid Phase A</v>
      </c>
      <c r="D31" s="397" t="s">
        <v>2521</v>
      </c>
      <c r="E31" s="395" t="str">
        <f>'[3]ISRS Addns Nov and Dec 2016'!E85</f>
        <v>F0599</v>
      </c>
      <c r="F31" s="396" t="str">
        <f>'[3]ISRS Addns Nov and Dec 2016'!F85</f>
        <v>Main Replacement - ISRS (N)</v>
      </c>
      <c r="G31" s="398">
        <f>'[3]ISRS Addns Nov and Dec 2016'!I85</f>
        <v>-11961.6</v>
      </c>
      <c r="H31" s="304" t="s">
        <v>2247</v>
      </c>
      <c r="I31" s="304" t="s">
        <v>2248</v>
      </c>
    </row>
    <row r="32" spans="1:9" s="399" customFormat="1" ht="60">
      <c r="A32" s="395" t="str">
        <f>'[3]ISRS Addns Nov and Dec 2016'!C86</f>
        <v>800045</v>
      </c>
      <c r="B32" s="395" t="str">
        <f>'[3]ISRS Addns Nov and Dec 2016'!B86</f>
        <v>N/A</v>
      </c>
      <c r="C32" s="396" t="str">
        <f>'[3]ISRS Addns Nov and Dec 2016'!D86</f>
        <v>Liberty - Grid Phase A</v>
      </c>
      <c r="D32" s="397" t="s">
        <v>2521</v>
      </c>
      <c r="E32" s="395" t="str">
        <f>'[3]ISRS Addns Nov and Dec 2016'!E86</f>
        <v>F0599</v>
      </c>
      <c r="F32" s="396" t="str">
        <f>'[3]ISRS Addns Nov and Dec 2016'!F86</f>
        <v>Main Replacement - ISRS (N)</v>
      </c>
      <c r="G32" s="398">
        <f>'[3]ISRS Addns Nov and Dec 2016'!I86</f>
        <v>-49.55</v>
      </c>
      <c r="H32" s="304" t="s">
        <v>2247</v>
      </c>
      <c r="I32" s="304" t="s">
        <v>2248</v>
      </c>
    </row>
    <row r="33" spans="1:9" s="399" customFormat="1" ht="60">
      <c r="A33" s="395" t="str">
        <f>'[3]ISRS Addns Nov and Dec 2016'!C87</f>
        <v>800045</v>
      </c>
      <c r="B33" s="395" t="str">
        <f>'[3]ISRS Addns Nov and Dec 2016'!B87</f>
        <v>N/A</v>
      </c>
      <c r="C33" s="396" t="str">
        <f>'[3]ISRS Addns Nov and Dec 2016'!D87</f>
        <v>Liberty - Grid Phase A</v>
      </c>
      <c r="D33" s="397" t="s">
        <v>2521</v>
      </c>
      <c r="E33" s="395" t="str">
        <f>'[3]ISRS Addns Nov and Dec 2016'!E87</f>
        <v>F0599</v>
      </c>
      <c r="F33" s="396" t="str">
        <f>'[3]ISRS Addns Nov and Dec 2016'!F87</f>
        <v>Main Replacement - ISRS (N)</v>
      </c>
      <c r="G33" s="398">
        <f>'[3]ISRS Addns Nov and Dec 2016'!I87</f>
        <v>9142.4699999999993</v>
      </c>
      <c r="H33" s="304" t="s">
        <v>2247</v>
      </c>
      <c r="I33" s="304" t="s">
        <v>2248</v>
      </c>
    </row>
    <row r="34" spans="1:9" s="399" customFormat="1" ht="60">
      <c r="A34" s="395" t="str">
        <f>'[3]ISRS Addns Nov and Dec 2016'!C88</f>
        <v>800045</v>
      </c>
      <c r="B34" s="395" t="str">
        <f>'[3]ISRS Addns Nov and Dec 2016'!B88</f>
        <v>N/A</v>
      </c>
      <c r="C34" s="396" t="str">
        <f>'[3]ISRS Addns Nov and Dec 2016'!D88</f>
        <v>Liberty - Grid Phase A</v>
      </c>
      <c r="D34" s="397" t="s">
        <v>2521</v>
      </c>
      <c r="E34" s="395" t="str">
        <f>'[3]ISRS Addns Nov and Dec 2016'!E88</f>
        <v>F0599</v>
      </c>
      <c r="F34" s="396" t="str">
        <f>'[3]ISRS Addns Nov and Dec 2016'!F88</f>
        <v>Main Replacement - ISRS (N)</v>
      </c>
      <c r="G34" s="398">
        <f>'[3]ISRS Addns Nov and Dec 2016'!I88</f>
        <v>37.880000000000003</v>
      </c>
      <c r="H34" s="304" t="s">
        <v>2247</v>
      </c>
      <c r="I34" s="304" t="s">
        <v>2248</v>
      </c>
    </row>
    <row r="35" spans="1:9" s="399" customFormat="1" ht="75">
      <c r="A35" s="395" t="str">
        <f>'[3]ISRS Addns Nov and Dec 2016'!C89</f>
        <v>800046</v>
      </c>
      <c r="B35" s="395" t="str">
        <f>'[3]ISRS Addns Nov and Dec 2016'!B89</f>
        <v>N/A</v>
      </c>
      <c r="C35" s="396" t="str">
        <f>'[3]ISRS Addns Nov and Dec 2016'!D89</f>
        <v>Liberty - Grid Phase B</v>
      </c>
      <c r="D35" s="397" t="s">
        <v>2522</v>
      </c>
      <c r="E35" s="395" t="str">
        <f>'[3]ISRS Addns Nov and Dec 2016'!E89</f>
        <v>F0599</v>
      </c>
      <c r="F35" s="396" t="str">
        <f>'[3]ISRS Addns Nov and Dec 2016'!F89</f>
        <v>Main Replacement - ISRS (N)</v>
      </c>
      <c r="G35" s="398">
        <f>'[3]ISRS Addns Nov and Dec 2016'!I89</f>
        <v>27197.14</v>
      </c>
      <c r="H35" s="304" t="s">
        <v>2247</v>
      </c>
      <c r="I35" s="304" t="s">
        <v>2248</v>
      </c>
    </row>
    <row r="36" spans="1:9" s="399" customFormat="1" ht="75">
      <c r="A36" s="395" t="str">
        <f>'[3]ISRS Addns Nov and Dec 2016'!C90</f>
        <v>800046</v>
      </c>
      <c r="B36" s="395" t="str">
        <f>'[3]ISRS Addns Nov and Dec 2016'!B90</f>
        <v>N/A</v>
      </c>
      <c r="C36" s="396" t="str">
        <f>'[3]ISRS Addns Nov and Dec 2016'!D90</f>
        <v>Liberty - Grid Phase B</v>
      </c>
      <c r="D36" s="397" t="s">
        <v>2522</v>
      </c>
      <c r="E36" s="395" t="str">
        <f>'[3]ISRS Addns Nov and Dec 2016'!E90</f>
        <v>F0599</v>
      </c>
      <c r="F36" s="396" t="str">
        <f>'[3]ISRS Addns Nov and Dec 2016'!F90</f>
        <v>Main Replacement - ISRS (N)</v>
      </c>
      <c r="G36" s="398">
        <f>'[3]ISRS Addns Nov and Dec 2016'!I90</f>
        <v>203.06</v>
      </c>
      <c r="H36" s="304" t="s">
        <v>2247</v>
      </c>
      <c r="I36" s="304" t="s">
        <v>2248</v>
      </c>
    </row>
    <row r="37" spans="1:9" s="399" customFormat="1" ht="75">
      <c r="A37" s="395" t="str">
        <f>'[3]ISRS Addns Nov and Dec 2016'!C91</f>
        <v>800046</v>
      </c>
      <c r="B37" s="395" t="str">
        <f>'[3]ISRS Addns Nov and Dec 2016'!B91</f>
        <v>N/A</v>
      </c>
      <c r="C37" s="396" t="str">
        <f>'[3]ISRS Addns Nov and Dec 2016'!D91</f>
        <v>Liberty - Grid Phase B</v>
      </c>
      <c r="D37" s="397" t="s">
        <v>2522</v>
      </c>
      <c r="E37" s="395" t="str">
        <f>'[3]ISRS Addns Nov and Dec 2016'!E91</f>
        <v>F0599</v>
      </c>
      <c r="F37" s="396" t="str">
        <f>'[3]ISRS Addns Nov and Dec 2016'!F91</f>
        <v>Main Replacement - ISRS (N)</v>
      </c>
      <c r="G37" s="398">
        <f>'[3]ISRS Addns Nov and Dec 2016'!I91</f>
        <v>687.79</v>
      </c>
      <c r="H37" s="304" t="s">
        <v>2247</v>
      </c>
      <c r="I37" s="304" t="s">
        <v>2248</v>
      </c>
    </row>
    <row r="38" spans="1:9" s="399" customFormat="1" ht="75">
      <c r="A38" s="395" t="str">
        <f>'[3]ISRS Addns Nov and Dec 2016'!C92</f>
        <v>800046</v>
      </c>
      <c r="B38" s="395" t="str">
        <f>'[3]ISRS Addns Nov and Dec 2016'!B92</f>
        <v>N/A</v>
      </c>
      <c r="C38" s="396" t="str">
        <f>'[3]ISRS Addns Nov and Dec 2016'!D92</f>
        <v>Liberty - Grid Phase B</v>
      </c>
      <c r="D38" s="397" t="s">
        <v>2522</v>
      </c>
      <c r="E38" s="395" t="str">
        <f>'[3]ISRS Addns Nov and Dec 2016'!E92</f>
        <v>F0599</v>
      </c>
      <c r="F38" s="396" t="str">
        <f>'[3]ISRS Addns Nov and Dec 2016'!F92</f>
        <v>Main Replacement - ISRS (N)</v>
      </c>
      <c r="G38" s="398">
        <f>'[3]ISRS Addns Nov and Dec 2016'!I92</f>
        <v>5.14</v>
      </c>
      <c r="H38" s="304" t="s">
        <v>2247</v>
      </c>
      <c r="I38" s="304" t="s">
        <v>2248</v>
      </c>
    </row>
    <row r="39" spans="1:9" s="399" customFormat="1" ht="60">
      <c r="A39" s="395" t="str">
        <f>'[3]ISRS Addns Nov and Dec 2016'!C117</f>
        <v>800078</v>
      </c>
      <c r="B39" s="395" t="str">
        <f>'[3]ISRS Addns Nov and Dec 2016'!B117</f>
        <v>N/A</v>
      </c>
      <c r="C39" s="396" t="str">
        <f>'[3]ISRS Addns Nov and Dec 2016'!D117</f>
        <v>Liberty Header - Phase 1</v>
      </c>
      <c r="D39" s="397" t="s">
        <v>2530</v>
      </c>
      <c r="E39" s="395" t="str">
        <f>'[3]ISRS Addns Nov and Dec 2016'!E117</f>
        <v>F0599</v>
      </c>
      <c r="F39" s="396" t="str">
        <f>'[3]ISRS Addns Nov and Dec 2016'!F117</f>
        <v>Main Replacement - ISRS (N)</v>
      </c>
      <c r="G39" s="398">
        <f>'[3]ISRS Addns Nov and Dec 2016'!I117</f>
        <v>-432.84</v>
      </c>
      <c r="H39" s="304" t="s">
        <v>2247</v>
      </c>
      <c r="I39" s="304" t="s">
        <v>2248</v>
      </c>
    </row>
    <row r="40" spans="1:9" s="399" customFormat="1" ht="60">
      <c r="A40" s="395" t="str">
        <f>'[3]ISRS Addns Nov and Dec 2016'!C118</f>
        <v>800078</v>
      </c>
      <c r="B40" s="395" t="str">
        <f>'[3]ISRS Addns Nov and Dec 2016'!B118</f>
        <v>N/A</v>
      </c>
      <c r="C40" s="396" t="str">
        <f>'[3]ISRS Addns Nov and Dec 2016'!D118</f>
        <v>Liberty Header - Phase 1</v>
      </c>
      <c r="D40" s="397" t="s">
        <v>2530</v>
      </c>
      <c r="E40" s="395" t="str">
        <f>'[3]ISRS Addns Nov and Dec 2016'!E118</f>
        <v>F0599</v>
      </c>
      <c r="F40" s="396" t="str">
        <f>'[3]ISRS Addns Nov and Dec 2016'!F118</f>
        <v>Main Replacement - ISRS (N)</v>
      </c>
      <c r="G40" s="398">
        <f>'[3]ISRS Addns Nov and Dec 2016'!I118</f>
        <v>333.5</v>
      </c>
      <c r="H40" s="304" t="s">
        <v>2247</v>
      </c>
      <c r="I40" s="304" t="s">
        <v>2248</v>
      </c>
    </row>
    <row r="41" spans="1:9" s="399" customFormat="1" ht="60">
      <c r="A41" s="395" t="str">
        <f>'[3]ISRS Addns Nov and Dec 2016'!C161</f>
        <v>800135</v>
      </c>
      <c r="B41" s="395" t="str">
        <f>'[3]ISRS Addns Nov and Dec 2016'!B161</f>
        <v>N/A</v>
      </c>
      <c r="C41" s="396" t="str">
        <f>'[3]ISRS Addns Nov and Dec 2016'!D161</f>
        <v>St. Joe's South Phase 1A - MGE</v>
      </c>
      <c r="D41" s="397" t="s">
        <v>2542</v>
      </c>
      <c r="E41" s="395" t="str">
        <f>'[3]ISRS Addns Nov and Dec 2016'!E161</f>
        <v>F0599</v>
      </c>
      <c r="F41" s="396" t="str">
        <f>'[3]ISRS Addns Nov and Dec 2016'!F161</f>
        <v>Main Replacement - ISRS (N)</v>
      </c>
      <c r="G41" s="398">
        <f>'[3]ISRS Addns Nov and Dec 2016'!I161</f>
        <v>1714.93</v>
      </c>
      <c r="H41" s="304" t="s">
        <v>2247</v>
      </c>
      <c r="I41" s="304" t="s">
        <v>2248</v>
      </c>
    </row>
    <row r="42" spans="1:9" s="399" customFormat="1" ht="60">
      <c r="A42" s="395" t="str">
        <f>'[3]ISRS Addns Nov and Dec 2016'!C162</f>
        <v>800135</v>
      </c>
      <c r="B42" s="395" t="str">
        <f>'[3]ISRS Addns Nov and Dec 2016'!B162</f>
        <v>N/A</v>
      </c>
      <c r="C42" s="396" t="str">
        <f>'[3]ISRS Addns Nov and Dec 2016'!D162</f>
        <v>St. Joe's South Phase 1A - MGE</v>
      </c>
      <c r="D42" s="397" t="s">
        <v>2542</v>
      </c>
      <c r="E42" s="395" t="str">
        <f>'[3]ISRS Addns Nov and Dec 2016'!E162</f>
        <v>F0599</v>
      </c>
      <c r="F42" s="396" t="str">
        <f>'[3]ISRS Addns Nov and Dec 2016'!F162</f>
        <v>Main Replacement - ISRS (N)</v>
      </c>
      <c r="G42" s="398">
        <f>'[3]ISRS Addns Nov and Dec 2016'!I162</f>
        <v>26.13</v>
      </c>
      <c r="H42" s="304" t="s">
        <v>2247</v>
      </c>
      <c r="I42" s="304" t="s">
        <v>2248</v>
      </c>
    </row>
    <row r="43" spans="1:9" s="399" customFormat="1" ht="45">
      <c r="A43" s="395" t="str">
        <f>'[3]ISRS Addns Nov and Dec 2016'!C163</f>
        <v>800136</v>
      </c>
      <c r="B43" s="395" t="str">
        <f>'[3]ISRS Addns Nov and Dec 2016'!B163</f>
        <v>N/A</v>
      </c>
      <c r="C43" s="396" t="str">
        <f>'[3]ISRS Addns Nov and Dec 2016'!D163</f>
        <v>FY16 Strat Grid-St. Joe's South 1B</v>
      </c>
      <c r="D43" s="397" t="s">
        <v>2543</v>
      </c>
      <c r="E43" s="395" t="str">
        <f>'[3]ISRS Addns Nov and Dec 2016'!E163</f>
        <v>F0599</v>
      </c>
      <c r="F43" s="396" t="str">
        <f>'[3]ISRS Addns Nov and Dec 2016'!F163</f>
        <v>Main Replacement - ISRS (N)</v>
      </c>
      <c r="G43" s="398">
        <f>'[3]ISRS Addns Nov and Dec 2016'!I163</f>
        <v>881.62</v>
      </c>
      <c r="H43" s="304" t="s">
        <v>2247</v>
      </c>
      <c r="I43" s="304" t="s">
        <v>2248</v>
      </c>
    </row>
    <row r="44" spans="1:9" s="399" customFormat="1" ht="45">
      <c r="A44" s="395" t="str">
        <f>'[3]ISRS Addns Nov and Dec 2016'!C164</f>
        <v>800136</v>
      </c>
      <c r="B44" s="395" t="str">
        <f>'[3]ISRS Addns Nov and Dec 2016'!B164</f>
        <v>N/A</v>
      </c>
      <c r="C44" s="396" t="str">
        <f>'[3]ISRS Addns Nov and Dec 2016'!D164</f>
        <v>FY16 Strat Grid-St. Joe's South 1B</v>
      </c>
      <c r="D44" s="397" t="s">
        <v>2543</v>
      </c>
      <c r="E44" s="395" t="str">
        <f>'[3]ISRS Addns Nov and Dec 2016'!E164</f>
        <v>F0599</v>
      </c>
      <c r="F44" s="396" t="str">
        <f>'[3]ISRS Addns Nov and Dec 2016'!F164</f>
        <v>Main Replacement - ISRS (N)</v>
      </c>
      <c r="G44" s="398">
        <f>'[3]ISRS Addns Nov and Dec 2016'!I164</f>
        <v>24.67</v>
      </c>
      <c r="H44" s="304" t="s">
        <v>2247</v>
      </c>
      <c r="I44" s="304" t="s">
        <v>2248</v>
      </c>
    </row>
    <row r="45" spans="1:9" s="399" customFormat="1" ht="45">
      <c r="A45" s="395" t="str">
        <f>'[3]ISRS Addns Nov and Dec 2016'!C165</f>
        <v>800136</v>
      </c>
      <c r="B45" s="395" t="str">
        <f>'[3]ISRS Addns Nov and Dec 2016'!B165</f>
        <v>N/A</v>
      </c>
      <c r="C45" s="396" t="str">
        <f>'[3]ISRS Addns Nov and Dec 2016'!D165</f>
        <v>FY16 Strat Grid-St. Joe's South 1B</v>
      </c>
      <c r="D45" s="397" t="s">
        <v>2543</v>
      </c>
      <c r="E45" s="395" t="str">
        <f>'[3]ISRS Addns Nov and Dec 2016'!E165</f>
        <v>F0599</v>
      </c>
      <c r="F45" s="396" t="str">
        <f>'[3]ISRS Addns Nov and Dec 2016'!F165</f>
        <v>Main Replacement - ISRS (N)</v>
      </c>
      <c r="G45" s="398">
        <f>'[3]ISRS Addns Nov and Dec 2016'!I165</f>
        <v>-174.17</v>
      </c>
      <c r="H45" s="304" t="s">
        <v>2247</v>
      </c>
      <c r="I45" s="304" t="s">
        <v>2248</v>
      </c>
    </row>
    <row r="46" spans="1:9" s="399" customFormat="1" ht="45">
      <c r="A46" s="395" t="str">
        <f>'[3]ISRS Addns Nov and Dec 2016'!C166</f>
        <v>800136</v>
      </c>
      <c r="B46" s="395" t="str">
        <f>'[3]ISRS Addns Nov and Dec 2016'!B166</f>
        <v>N/A</v>
      </c>
      <c r="C46" s="396" t="str">
        <f>'[3]ISRS Addns Nov and Dec 2016'!D166</f>
        <v>FY16 Strat Grid-St. Joe's South 1B</v>
      </c>
      <c r="D46" s="397" t="s">
        <v>2543</v>
      </c>
      <c r="E46" s="395" t="str">
        <f>'[3]ISRS Addns Nov and Dec 2016'!E166</f>
        <v>F0599</v>
      </c>
      <c r="F46" s="396" t="str">
        <f>'[3]ISRS Addns Nov and Dec 2016'!F166</f>
        <v>Main Replacement - ISRS (N)</v>
      </c>
      <c r="G46" s="398">
        <f>'[3]ISRS Addns Nov and Dec 2016'!I166</f>
        <v>-4.87</v>
      </c>
      <c r="H46" s="304" t="s">
        <v>2247</v>
      </c>
      <c r="I46" s="304" t="s">
        <v>2248</v>
      </c>
    </row>
    <row r="47" spans="1:9" s="399" customFormat="1" ht="75">
      <c r="A47" s="395" t="str">
        <f>'[3]ISRS Addns Nov and Dec 2016'!C167</f>
        <v>800137</v>
      </c>
      <c r="B47" s="395" t="str">
        <f>'[3]ISRS Addns Nov and Dec 2016'!B167</f>
        <v>N/A</v>
      </c>
      <c r="C47" s="396" t="str">
        <f>'[3]ISRS Addns Nov and Dec 2016'!D167</f>
        <v>St. Joe's South Phase 1C - MGE</v>
      </c>
      <c r="D47" s="397" t="s">
        <v>2544</v>
      </c>
      <c r="E47" s="395" t="str">
        <f>'[3]ISRS Addns Nov and Dec 2016'!E167</f>
        <v>F0599</v>
      </c>
      <c r="F47" s="396" t="str">
        <f>'[3]ISRS Addns Nov and Dec 2016'!F167</f>
        <v>Main Replacement - ISRS (N)</v>
      </c>
      <c r="G47" s="398">
        <f>'[3]ISRS Addns Nov and Dec 2016'!I167</f>
        <v>41699.64</v>
      </c>
      <c r="H47" s="304" t="s">
        <v>2247</v>
      </c>
      <c r="I47" s="304" t="s">
        <v>2248</v>
      </c>
    </row>
    <row r="48" spans="1:9" s="399" customFormat="1" ht="75">
      <c r="A48" s="395" t="str">
        <f>'[3]ISRS Addns Nov and Dec 2016'!C168</f>
        <v>800137</v>
      </c>
      <c r="B48" s="395" t="str">
        <f>'[3]ISRS Addns Nov and Dec 2016'!B168</f>
        <v>N/A</v>
      </c>
      <c r="C48" s="396" t="str">
        <f>'[3]ISRS Addns Nov and Dec 2016'!D168</f>
        <v>St. Joe's South Phase 1C - MGE</v>
      </c>
      <c r="D48" s="397" t="s">
        <v>2544</v>
      </c>
      <c r="E48" s="395" t="str">
        <f>'[3]ISRS Addns Nov and Dec 2016'!E168</f>
        <v>F0599</v>
      </c>
      <c r="F48" s="396" t="str">
        <f>'[3]ISRS Addns Nov and Dec 2016'!F168</f>
        <v>Main Replacement - ISRS (N)</v>
      </c>
      <c r="G48" s="398">
        <f>'[3]ISRS Addns Nov and Dec 2016'!I168</f>
        <v>367.67</v>
      </c>
      <c r="H48" s="304" t="s">
        <v>2247</v>
      </c>
      <c r="I48" s="304" t="s">
        <v>2248</v>
      </c>
    </row>
    <row r="49" spans="1:9" s="399" customFormat="1" ht="75">
      <c r="A49" s="395" t="str">
        <f>'[3]ISRS Addns Nov and Dec 2016'!C169</f>
        <v>800137</v>
      </c>
      <c r="B49" s="395" t="str">
        <f>'[3]ISRS Addns Nov and Dec 2016'!B169</f>
        <v>N/A</v>
      </c>
      <c r="C49" s="396" t="str">
        <f>'[3]ISRS Addns Nov and Dec 2016'!D169</f>
        <v>St. Joe's South Phase 1C - MGE</v>
      </c>
      <c r="D49" s="397" t="s">
        <v>2544</v>
      </c>
      <c r="E49" s="395" t="str">
        <f>'[3]ISRS Addns Nov and Dec 2016'!E169</f>
        <v>F0599</v>
      </c>
      <c r="F49" s="396" t="str">
        <f>'[3]ISRS Addns Nov and Dec 2016'!F169</f>
        <v>Main Replacement - ISRS (N)</v>
      </c>
      <c r="G49" s="398">
        <f>'[3]ISRS Addns Nov and Dec 2016'!I169</f>
        <v>885.68</v>
      </c>
      <c r="H49" s="304" t="s">
        <v>2247</v>
      </c>
      <c r="I49" s="304" t="s">
        <v>2248</v>
      </c>
    </row>
    <row r="50" spans="1:9" s="399" customFormat="1" ht="75">
      <c r="A50" s="395" t="str">
        <f>'[3]ISRS Addns Nov and Dec 2016'!C170</f>
        <v>800137</v>
      </c>
      <c r="B50" s="395" t="str">
        <f>'[3]ISRS Addns Nov and Dec 2016'!B170</f>
        <v>N/A</v>
      </c>
      <c r="C50" s="396" t="str">
        <f>'[3]ISRS Addns Nov and Dec 2016'!D170</f>
        <v>St. Joe's South Phase 1C - MGE</v>
      </c>
      <c r="D50" s="397" t="s">
        <v>2544</v>
      </c>
      <c r="E50" s="395" t="str">
        <f>'[3]ISRS Addns Nov and Dec 2016'!E170</f>
        <v>F0599</v>
      </c>
      <c r="F50" s="396" t="str">
        <f>'[3]ISRS Addns Nov and Dec 2016'!F170</f>
        <v>Main Replacement - ISRS (N)</v>
      </c>
      <c r="G50" s="398">
        <f>'[3]ISRS Addns Nov and Dec 2016'!I170</f>
        <v>7.81</v>
      </c>
      <c r="H50" s="304" t="s">
        <v>2247</v>
      </c>
      <c r="I50" s="304" t="s">
        <v>2248</v>
      </c>
    </row>
    <row r="51" spans="1:9" s="399" customFormat="1" ht="120">
      <c r="A51" s="395" t="str">
        <f>'[3]ISRS Addns Nov and Dec 2016'!C171</f>
        <v>800138</v>
      </c>
      <c r="B51" s="395" t="str">
        <f>'[3]ISRS Addns Nov and Dec 2016'!B171</f>
        <v>N/A</v>
      </c>
      <c r="C51" s="396" t="str">
        <f>'[3]ISRS Addns Nov and Dec 2016'!D171</f>
        <v>St. Joe's South Phase 1D - MGE</v>
      </c>
      <c r="D51" s="397" t="s">
        <v>2545</v>
      </c>
      <c r="E51" s="395" t="str">
        <f>'[3]ISRS Addns Nov and Dec 2016'!E171</f>
        <v>F0599</v>
      </c>
      <c r="F51" s="396" t="str">
        <f>'[3]ISRS Addns Nov and Dec 2016'!F171</f>
        <v>Main Replacement - ISRS (N)</v>
      </c>
      <c r="G51" s="398">
        <f>'[3]ISRS Addns Nov and Dec 2016'!I171</f>
        <v>-5895.54</v>
      </c>
      <c r="H51" s="304" t="s">
        <v>2247</v>
      </c>
      <c r="I51" s="304" t="s">
        <v>2248</v>
      </c>
    </row>
    <row r="52" spans="1:9" s="399" customFormat="1" ht="120">
      <c r="A52" s="395" t="str">
        <f>'[3]ISRS Addns Nov and Dec 2016'!C172</f>
        <v>800138</v>
      </c>
      <c r="B52" s="395" t="str">
        <f>'[3]ISRS Addns Nov and Dec 2016'!B172</f>
        <v>N/A</v>
      </c>
      <c r="C52" s="396" t="str">
        <f>'[3]ISRS Addns Nov and Dec 2016'!D172</f>
        <v>St. Joe's South Phase 1D - MGE</v>
      </c>
      <c r="D52" s="397" t="s">
        <v>2545</v>
      </c>
      <c r="E52" s="395" t="str">
        <f>'[3]ISRS Addns Nov and Dec 2016'!E172</f>
        <v>F0599</v>
      </c>
      <c r="F52" s="396" t="str">
        <f>'[3]ISRS Addns Nov and Dec 2016'!F172</f>
        <v>Main Replacement - ISRS (N)</v>
      </c>
      <c r="G52" s="398">
        <f>'[3]ISRS Addns Nov and Dec 2016'!I172</f>
        <v>-73.12</v>
      </c>
      <c r="H52" s="304" t="s">
        <v>2247</v>
      </c>
      <c r="I52" s="304" t="s">
        <v>2248</v>
      </c>
    </row>
    <row r="53" spans="1:9" s="399" customFormat="1" ht="120">
      <c r="A53" s="395" t="str">
        <f>'[3]ISRS Addns Nov and Dec 2016'!C173</f>
        <v>800138</v>
      </c>
      <c r="B53" s="395" t="str">
        <f>'[3]ISRS Addns Nov and Dec 2016'!B173</f>
        <v>N/A</v>
      </c>
      <c r="C53" s="396" t="str">
        <f>'[3]ISRS Addns Nov and Dec 2016'!D173</f>
        <v>St. Joe's South Phase 1D - MGE</v>
      </c>
      <c r="D53" s="397" t="s">
        <v>2545</v>
      </c>
      <c r="E53" s="395" t="str">
        <f>'[3]ISRS Addns Nov and Dec 2016'!E173</f>
        <v>F0599</v>
      </c>
      <c r="F53" s="396" t="str">
        <f>'[3]ISRS Addns Nov and Dec 2016'!F173</f>
        <v>Main Replacement - ISRS (N)</v>
      </c>
      <c r="G53" s="398">
        <f>'[3]ISRS Addns Nov and Dec 2016'!I173</f>
        <v>5276.87</v>
      </c>
      <c r="H53" s="304" t="s">
        <v>2247</v>
      </c>
      <c r="I53" s="304" t="s">
        <v>2248</v>
      </c>
    </row>
    <row r="54" spans="1:9" s="399" customFormat="1" ht="120">
      <c r="A54" s="395" t="str">
        <f>'[3]ISRS Addns Nov and Dec 2016'!C174</f>
        <v>800138</v>
      </c>
      <c r="B54" s="395" t="str">
        <f>'[3]ISRS Addns Nov and Dec 2016'!B174</f>
        <v>N/A</v>
      </c>
      <c r="C54" s="396" t="str">
        <f>'[3]ISRS Addns Nov and Dec 2016'!D174</f>
        <v>St. Joe's South Phase 1D - MGE</v>
      </c>
      <c r="D54" s="397" t="s">
        <v>2545</v>
      </c>
      <c r="E54" s="395" t="str">
        <f>'[3]ISRS Addns Nov and Dec 2016'!E174</f>
        <v>F0599</v>
      </c>
      <c r="F54" s="396" t="str">
        <f>'[3]ISRS Addns Nov and Dec 2016'!F174</f>
        <v>Main Replacement - ISRS (N)</v>
      </c>
      <c r="G54" s="398">
        <f>'[3]ISRS Addns Nov and Dec 2016'!I174</f>
        <v>65.47</v>
      </c>
      <c r="H54" s="304" t="s">
        <v>2247</v>
      </c>
      <c r="I54" s="304" t="s">
        <v>2248</v>
      </c>
    </row>
    <row r="55" spans="1:9" s="399" customFormat="1" ht="30">
      <c r="A55" s="395" t="str">
        <f>'[3]ISRS Addns Nov and Dec 2016'!C175</f>
        <v>800142</v>
      </c>
      <c r="B55" s="395" t="str">
        <f>'[3]ISRS Addns Nov and Dec 2016'!B175</f>
        <v>N/A</v>
      </c>
      <c r="C55" s="396" t="str">
        <f>'[3]ISRS Addns Nov and Dec 2016'!D175</f>
        <v>Hwy 71 and Gregory Grid Replace PhB</v>
      </c>
      <c r="D55" s="397" t="s">
        <v>2546</v>
      </c>
      <c r="E55" s="395" t="str">
        <f>'[3]ISRS Addns Nov and Dec 2016'!E175</f>
        <v>F0599</v>
      </c>
      <c r="F55" s="396" t="str">
        <f>'[3]ISRS Addns Nov and Dec 2016'!F175</f>
        <v>Main Replacement - ISRS (N)</v>
      </c>
      <c r="G55" s="398">
        <f>'[3]ISRS Addns Nov and Dec 2016'!I175</f>
        <v>-328.15</v>
      </c>
      <c r="H55" s="304" t="s">
        <v>2247</v>
      </c>
      <c r="I55" s="304" t="s">
        <v>2248</v>
      </c>
    </row>
    <row r="56" spans="1:9" s="399" customFormat="1" ht="30">
      <c r="A56" s="395" t="str">
        <f>'[3]ISRS Addns Nov and Dec 2016'!C176</f>
        <v>800142</v>
      </c>
      <c r="B56" s="395" t="str">
        <f>'[3]ISRS Addns Nov and Dec 2016'!B176</f>
        <v>N/A</v>
      </c>
      <c r="C56" s="396" t="str">
        <f>'[3]ISRS Addns Nov and Dec 2016'!D176</f>
        <v>Hwy 71 and Gregory Grid Replace PhB</v>
      </c>
      <c r="D56" s="397" t="s">
        <v>2546</v>
      </c>
      <c r="E56" s="395" t="str">
        <f>'[3]ISRS Addns Nov and Dec 2016'!E176</f>
        <v>F0599</v>
      </c>
      <c r="F56" s="396" t="str">
        <f>'[3]ISRS Addns Nov and Dec 2016'!F176</f>
        <v>Main Replacement - ISRS (N)</v>
      </c>
      <c r="G56" s="398">
        <f>'[3]ISRS Addns Nov and Dec 2016'!I176</f>
        <v>-88.27</v>
      </c>
      <c r="H56" s="304" t="s">
        <v>2247</v>
      </c>
      <c r="I56" s="304" t="s">
        <v>2248</v>
      </c>
    </row>
    <row r="57" spans="1:9" s="399" customFormat="1" ht="30">
      <c r="A57" s="395" t="str">
        <f>'[3]ISRS Addns Nov and Dec 2016'!C177</f>
        <v>800142</v>
      </c>
      <c r="B57" s="395" t="str">
        <f>'[3]ISRS Addns Nov and Dec 2016'!B177</f>
        <v>N/A</v>
      </c>
      <c r="C57" s="396" t="str">
        <f>'[3]ISRS Addns Nov and Dec 2016'!D177</f>
        <v>Hwy 71 and Gregory Grid Replace PhB</v>
      </c>
      <c r="D57" s="397" t="s">
        <v>2546</v>
      </c>
      <c r="E57" s="395" t="str">
        <f>'[3]ISRS Addns Nov and Dec 2016'!E177</f>
        <v>F0599</v>
      </c>
      <c r="F57" s="396" t="str">
        <f>'[3]ISRS Addns Nov and Dec 2016'!F177</f>
        <v>Main Replacement - ISRS (N)</v>
      </c>
      <c r="G57" s="398">
        <f>'[3]ISRS Addns Nov and Dec 2016'!I177</f>
        <v>503.46</v>
      </c>
      <c r="H57" s="304" t="s">
        <v>2247</v>
      </c>
      <c r="I57" s="304" t="s">
        <v>2248</v>
      </c>
    </row>
    <row r="58" spans="1:9" s="399" customFormat="1" ht="30">
      <c r="A58" s="395" t="str">
        <f>'[3]ISRS Addns Nov and Dec 2016'!C178</f>
        <v>800142</v>
      </c>
      <c r="B58" s="395" t="str">
        <f>'[3]ISRS Addns Nov and Dec 2016'!B178</f>
        <v>N/A</v>
      </c>
      <c r="C58" s="396" t="str">
        <f>'[3]ISRS Addns Nov and Dec 2016'!D178</f>
        <v>Hwy 71 and Gregory Grid Replace PhB</v>
      </c>
      <c r="D58" s="397" t="s">
        <v>2546</v>
      </c>
      <c r="E58" s="395" t="str">
        <f>'[3]ISRS Addns Nov and Dec 2016'!E178</f>
        <v>F0599</v>
      </c>
      <c r="F58" s="396" t="str">
        <f>'[3]ISRS Addns Nov and Dec 2016'!F178</f>
        <v>Main Replacement - ISRS (N)</v>
      </c>
      <c r="G58" s="398">
        <f>'[3]ISRS Addns Nov and Dec 2016'!I178</f>
        <v>135.44999999999999</v>
      </c>
      <c r="H58" s="304" t="s">
        <v>2247</v>
      </c>
      <c r="I58" s="304" t="s">
        <v>2248</v>
      </c>
    </row>
    <row r="59" spans="1:9" s="399" customFormat="1" ht="45">
      <c r="A59" s="395" t="str">
        <f>'[3]ISRS Addns Nov and Dec 2016'!C179</f>
        <v>800143</v>
      </c>
      <c r="B59" s="395" t="str">
        <f>'[3]ISRS Addns Nov and Dec 2016'!B179</f>
        <v>N/A</v>
      </c>
      <c r="C59" s="396" t="str">
        <f>'[3]ISRS Addns Nov and Dec 2016'!D179</f>
        <v>Hwy 71 &amp; Gregory Grid Replace PhC</v>
      </c>
      <c r="D59" s="397" t="s">
        <v>2547</v>
      </c>
      <c r="E59" s="395" t="str">
        <f>'[3]ISRS Addns Nov and Dec 2016'!E179</f>
        <v>F0599</v>
      </c>
      <c r="F59" s="396" t="str">
        <f>'[3]ISRS Addns Nov and Dec 2016'!F179</f>
        <v>Main Replacement - ISRS (N)</v>
      </c>
      <c r="G59" s="398">
        <f>'[3]ISRS Addns Nov and Dec 2016'!I179</f>
        <v>-78.709999999999994</v>
      </c>
      <c r="H59" s="304" t="s">
        <v>2247</v>
      </c>
      <c r="I59" s="304" t="s">
        <v>2248</v>
      </c>
    </row>
    <row r="60" spans="1:9" s="399" customFormat="1" ht="45">
      <c r="A60" s="395" t="str">
        <f>'[3]ISRS Addns Nov and Dec 2016'!C180</f>
        <v>800143</v>
      </c>
      <c r="B60" s="395" t="str">
        <f>'[3]ISRS Addns Nov and Dec 2016'!B180</f>
        <v>N/A</v>
      </c>
      <c r="C60" s="396" t="str">
        <f>'[3]ISRS Addns Nov and Dec 2016'!D180</f>
        <v>Hwy 71 &amp; Gregory Grid Replace PhC</v>
      </c>
      <c r="D60" s="397" t="s">
        <v>2547</v>
      </c>
      <c r="E60" s="395" t="str">
        <f>'[3]ISRS Addns Nov and Dec 2016'!E180</f>
        <v>F0599</v>
      </c>
      <c r="F60" s="396" t="str">
        <f>'[3]ISRS Addns Nov and Dec 2016'!F180</f>
        <v>Main Replacement - ISRS (N)</v>
      </c>
      <c r="G60" s="398">
        <f>'[3]ISRS Addns Nov and Dec 2016'!I180</f>
        <v>-11.4</v>
      </c>
      <c r="H60" s="304" t="s">
        <v>2247</v>
      </c>
      <c r="I60" s="304" t="s">
        <v>2248</v>
      </c>
    </row>
    <row r="61" spans="1:9" s="399" customFormat="1" ht="45">
      <c r="A61" s="395" t="str">
        <f>'[3]ISRS Addns Nov and Dec 2016'!C181</f>
        <v>800143</v>
      </c>
      <c r="B61" s="395" t="str">
        <f>'[3]ISRS Addns Nov and Dec 2016'!B181</f>
        <v>N/A</v>
      </c>
      <c r="C61" s="396" t="str">
        <f>'[3]ISRS Addns Nov and Dec 2016'!D181</f>
        <v>Hwy 71 &amp; Gregory Grid Replace PhC</v>
      </c>
      <c r="D61" s="397" t="s">
        <v>2547</v>
      </c>
      <c r="E61" s="395" t="str">
        <f>'[3]ISRS Addns Nov and Dec 2016'!E181</f>
        <v>F0599</v>
      </c>
      <c r="F61" s="396" t="str">
        <f>'[3]ISRS Addns Nov and Dec 2016'!F181</f>
        <v>Main Replacement - ISRS (N)</v>
      </c>
      <c r="G61" s="398">
        <f>'[3]ISRS Addns Nov and Dec 2016'!I181</f>
        <v>48.08</v>
      </c>
      <c r="H61" s="304" t="s">
        <v>2247</v>
      </c>
      <c r="I61" s="304" t="s">
        <v>2248</v>
      </c>
    </row>
    <row r="62" spans="1:9" s="399" customFormat="1" ht="45">
      <c r="A62" s="395" t="str">
        <f>'[3]ISRS Addns Nov and Dec 2016'!C182</f>
        <v>800143</v>
      </c>
      <c r="B62" s="395" t="str">
        <f>'[3]ISRS Addns Nov and Dec 2016'!B182</f>
        <v>N/A</v>
      </c>
      <c r="C62" s="396" t="str">
        <f>'[3]ISRS Addns Nov and Dec 2016'!D182</f>
        <v>Hwy 71 &amp; Gregory Grid Replace PhC</v>
      </c>
      <c r="D62" s="397" t="s">
        <v>2547</v>
      </c>
      <c r="E62" s="395" t="str">
        <f>'[3]ISRS Addns Nov and Dec 2016'!E182</f>
        <v>F0599</v>
      </c>
      <c r="F62" s="396" t="str">
        <f>'[3]ISRS Addns Nov and Dec 2016'!F182</f>
        <v>Main Replacement - ISRS (N)</v>
      </c>
      <c r="G62" s="398">
        <f>'[3]ISRS Addns Nov and Dec 2016'!I182</f>
        <v>6.98</v>
      </c>
      <c r="H62" s="304" t="s">
        <v>2247</v>
      </c>
      <c r="I62" s="304" t="s">
        <v>2248</v>
      </c>
    </row>
    <row r="63" spans="1:9" s="399" customFormat="1" ht="60">
      <c r="A63" s="395" t="str">
        <f>'[3]ISRS Addns Nov and Dec 2016'!C185</f>
        <v>800145</v>
      </c>
      <c r="B63" s="395" t="str">
        <f>'[3]ISRS Addns Nov and Dec 2016'!B185</f>
        <v>N/A</v>
      </c>
      <c r="C63" s="396" t="str">
        <f>'[3]ISRS Addns Nov and Dec 2016'!D185</f>
        <v>Repl w 4271F 4P- 71 &amp; Gregory Ph E</v>
      </c>
      <c r="D63" s="397" t="s">
        <v>2549</v>
      </c>
      <c r="E63" s="395" t="str">
        <f>'[3]ISRS Addns Nov and Dec 2016'!E185</f>
        <v>F0599</v>
      </c>
      <c r="F63" s="396" t="str">
        <f>'[3]ISRS Addns Nov and Dec 2016'!F185</f>
        <v>Main Replacement - ISRS (N)</v>
      </c>
      <c r="G63" s="398">
        <f>'[3]ISRS Addns Nov and Dec 2016'!I185</f>
        <v>152.84</v>
      </c>
      <c r="H63" s="304" t="s">
        <v>2247</v>
      </c>
      <c r="I63" s="304" t="s">
        <v>2248</v>
      </c>
    </row>
    <row r="64" spans="1:9" s="399" customFormat="1" ht="60">
      <c r="A64" s="395" t="str">
        <f>'[3]ISRS Addns Nov and Dec 2016'!C186</f>
        <v>800145</v>
      </c>
      <c r="B64" s="395" t="str">
        <f>'[3]ISRS Addns Nov and Dec 2016'!B186</f>
        <v>N/A</v>
      </c>
      <c r="C64" s="396" t="str">
        <f>'[3]ISRS Addns Nov and Dec 2016'!D186</f>
        <v>Repl w 4271F 4P- 71 &amp; Gregory Ph E</v>
      </c>
      <c r="D64" s="397" t="s">
        <v>2549</v>
      </c>
      <c r="E64" s="395" t="str">
        <f>'[3]ISRS Addns Nov and Dec 2016'!E186</f>
        <v>F0599</v>
      </c>
      <c r="F64" s="396" t="str">
        <f>'[3]ISRS Addns Nov and Dec 2016'!F186</f>
        <v>Main Replacement - ISRS (N)</v>
      </c>
      <c r="G64" s="398">
        <f>'[3]ISRS Addns Nov and Dec 2016'!I186</f>
        <v>0.43</v>
      </c>
      <c r="H64" s="304" t="s">
        <v>2247</v>
      </c>
      <c r="I64" s="304" t="s">
        <v>2248</v>
      </c>
    </row>
    <row r="65" spans="1:9" s="399" customFormat="1" ht="60">
      <c r="A65" s="395" t="str">
        <f>'[3]ISRS Addns Nov and Dec 2016'!C187</f>
        <v>800145</v>
      </c>
      <c r="B65" s="395" t="str">
        <f>'[3]ISRS Addns Nov and Dec 2016'!B187</f>
        <v>N/A</v>
      </c>
      <c r="C65" s="396" t="str">
        <f>'[3]ISRS Addns Nov and Dec 2016'!D187</f>
        <v>Repl w 4271F 4P- 71 &amp; Gregory Ph E</v>
      </c>
      <c r="D65" s="397" t="s">
        <v>2549</v>
      </c>
      <c r="E65" s="395" t="str">
        <f>'[3]ISRS Addns Nov and Dec 2016'!E187</f>
        <v>F0599</v>
      </c>
      <c r="F65" s="396" t="str">
        <f>'[3]ISRS Addns Nov and Dec 2016'!F187</f>
        <v>Main Replacement - ISRS (N)</v>
      </c>
      <c r="G65" s="398">
        <f>'[3]ISRS Addns Nov and Dec 2016'!I187</f>
        <v>34.85</v>
      </c>
      <c r="H65" s="304" t="s">
        <v>2247</v>
      </c>
      <c r="I65" s="304" t="s">
        <v>2248</v>
      </c>
    </row>
    <row r="66" spans="1:9" s="399" customFormat="1" ht="60">
      <c r="A66" s="395" t="str">
        <f>'[3]ISRS Addns Nov and Dec 2016'!C188</f>
        <v>800145</v>
      </c>
      <c r="B66" s="395" t="str">
        <f>'[3]ISRS Addns Nov and Dec 2016'!B188</f>
        <v>N/A</v>
      </c>
      <c r="C66" s="396" t="str">
        <f>'[3]ISRS Addns Nov and Dec 2016'!D188</f>
        <v>Repl w 4271F 4P- 71 &amp; Gregory Ph E</v>
      </c>
      <c r="D66" s="397" t="s">
        <v>2549</v>
      </c>
      <c r="E66" s="395" t="str">
        <f>'[3]ISRS Addns Nov and Dec 2016'!E188</f>
        <v>F0599</v>
      </c>
      <c r="F66" s="396" t="str">
        <f>'[3]ISRS Addns Nov and Dec 2016'!F188</f>
        <v>Main Replacement - ISRS (N)</v>
      </c>
      <c r="G66" s="398">
        <f>'[3]ISRS Addns Nov and Dec 2016'!I188</f>
        <v>43.04</v>
      </c>
      <c r="H66" s="304" t="s">
        <v>2247</v>
      </c>
      <c r="I66" s="304" t="s">
        <v>2248</v>
      </c>
    </row>
    <row r="67" spans="1:9" s="399" customFormat="1" ht="60">
      <c r="A67" s="395" t="str">
        <f>'[3]ISRS Addns Nov and Dec 2016'!C189</f>
        <v>800145</v>
      </c>
      <c r="B67" s="395" t="str">
        <f>'[3]ISRS Addns Nov and Dec 2016'!B189</f>
        <v>N/A</v>
      </c>
      <c r="C67" s="396" t="str">
        <f>'[3]ISRS Addns Nov and Dec 2016'!D189</f>
        <v>Repl w 4271F 4P- 71 &amp; Gregory Ph E</v>
      </c>
      <c r="D67" s="397" t="s">
        <v>2549</v>
      </c>
      <c r="E67" s="395" t="str">
        <f>'[3]ISRS Addns Nov and Dec 2016'!E189</f>
        <v>F0599</v>
      </c>
      <c r="F67" s="396" t="str">
        <f>'[3]ISRS Addns Nov and Dec 2016'!F189</f>
        <v>Main Replacement - ISRS (N)</v>
      </c>
      <c r="G67" s="398">
        <f>'[3]ISRS Addns Nov and Dec 2016'!I189</f>
        <v>0.12</v>
      </c>
      <c r="H67" s="304" t="s">
        <v>2247</v>
      </c>
      <c r="I67" s="304" t="s">
        <v>2248</v>
      </c>
    </row>
    <row r="68" spans="1:9" s="399" customFormat="1" ht="60">
      <c r="A68" s="395" t="str">
        <f>'[3]ISRS Addns Nov and Dec 2016'!C190</f>
        <v>800145</v>
      </c>
      <c r="B68" s="395" t="str">
        <f>'[3]ISRS Addns Nov and Dec 2016'!B190</f>
        <v>N/A</v>
      </c>
      <c r="C68" s="396" t="str">
        <f>'[3]ISRS Addns Nov and Dec 2016'!D190</f>
        <v>Repl w 4271F 4P- 71 &amp; Gregory Ph E</v>
      </c>
      <c r="D68" s="397" t="s">
        <v>2549</v>
      </c>
      <c r="E68" s="395" t="str">
        <f>'[3]ISRS Addns Nov and Dec 2016'!E190</f>
        <v>F0599</v>
      </c>
      <c r="F68" s="396" t="str">
        <f>'[3]ISRS Addns Nov and Dec 2016'!F190</f>
        <v>Main Replacement - ISRS (N)</v>
      </c>
      <c r="G68" s="398">
        <f>'[3]ISRS Addns Nov and Dec 2016'!I190</f>
        <v>9.82</v>
      </c>
      <c r="H68" s="304" t="s">
        <v>2247</v>
      </c>
      <c r="I68" s="304" t="s">
        <v>2248</v>
      </c>
    </row>
    <row r="69" spans="1:9" s="399" customFormat="1" ht="60">
      <c r="A69" s="395" t="str">
        <f>'[3]ISRS Addns Nov and Dec 2016'!C191</f>
        <v>800146</v>
      </c>
      <c r="B69" s="395" t="str">
        <f>'[3]ISRS Addns Nov and Dec 2016'!B191</f>
        <v>N/A</v>
      </c>
      <c r="C69" s="396" t="str">
        <f>'[3]ISRS Addns Nov and Dec 2016'!D191</f>
        <v>Repl w/ 4506F 2P Hwy71 &amp; Gregory-F</v>
      </c>
      <c r="D69" s="397" t="s">
        <v>2550</v>
      </c>
      <c r="E69" s="395" t="str">
        <f>'[3]ISRS Addns Nov and Dec 2016'!E191</f>
        <v>F0599</v>
      </c>
      <c r="F69" s="396" t="str">
        <f>'[3]ISRS Addns Nov and Dec 2016'!F191</f>
        <v>Main Replacement - ISRS (N)</v>
      </c>
      <c r="G69" s="398">
        <f>'[3]ISRS Addns Nov and Dec 2016'!I191</f>
        <v>-380.09</v>
      </c>
      <c r="H69" s="304" t="s">
        <v>2247</v>
      </c>
      <c r="I69" s="304" t="s">
        <v>2248</v>
      </c>
    </row>
    <row r="70" spans="1:9" s="399" customFormat="1" ht="60">
      <c r="A70" s="395" t="str">
        <f>'[3]ISRS Addns Nov and Dec 2016'!C192</f>
        <v>800146</v>
      </c>
      <c r="B70" s="395" t="str">
        <f>'[3]ISRS Addns Nov and Dec 2016'!B192</f>
        <v>N/A</v>
      </c>
      <c r="C70" s="396" t="str">
        <f>'[3]ISRS Addns Nov and Dec 2016'!D192</f>
        <v>Repl w/ 4506F 2P Hwy71 &amp; Gregory-F</v>
      </c>
      <c r="D70" s="397" t="s">
        <v>2550</v>
      </c>
      <c r="E70" s="395" t="str">
        <f>'[3]ISRS Addns Nov and Dec 2016'!E192</f>
        <v>F0599</v>
      </c>
      <c r="F70" s="396" t="str">
        <f>'[3]ISRS Addns Nov and Dec 2016'!F192</f>
        <v>Main Replacement - ISRS (N)</v>
      </c>
      <c r="G70" s="398">
        <f>'[3]ISRS Addns Nov and Dec 2016'!I192</f>
        <v>-1.19</v>
      </c>
      <c r="H70" s="304" t="s">
        <v>2247</v>
      </c>
      <c r="I70" s="304" t="s">
        <v>2248</v>
      </c>
    </row>
    <row r="71" spans="1:9" s="399" customFormat="1" ht="60">
      <c r="A71" s="395" t="str">
        <f>'[3]ISRS Addns Nov and Dec 2016'!C193</f>
        <v>800146</v>
      </c>
      <c r="B71" s="395" t="str">
        <f>'[3]ISRS Addns Nov and Dec 2016'!B193</f>
        <v>N/A</v>
      </c>
      <c r="C71" s="396" t="str">
        <f>'[3]ISRS Addns Nov and Dec 2016'!D193</f>
        <v>Repl w/ 4506F 2P Hwy71 &amp; Gregory-F</v>
      </c>
      <c r="D71" s="397" t="s">
        <v>2550</v>
      </c>
      <c r="E71" s="395" t="str">
        <f>'[3]ISRS Addns Nov and Dec 2016'!E193</f>
        <v>F0599</v>
      </c>
      <c r="F71" s="396" t="str">
        <f>'[3]ISRS Addns Nov and Dec 2016'!F193</f>
        <v>Main Replacement - ISRS (N)</v>
      </c>
      <c r="G71" s="398">
        <f>'[3]ISRS Addns Nov and Dec 2016'!I193</f>
        <v>-44.86</v>
      </c>
      <c r="H71" s="304" t="s">
        <v>2247</v>
      </c>
      <c r="I71" s="304" t="s">
        <v>2248</v>
      </c>
    </row>
    <row r="72" spans="1:9" s="399" customFormat="1" ht="60">
      <c r="A72" s="395" t="str">
        <f>'[3]ISRS Addns Nov and Dec 2016'!C194</f>
        <v>800146</v>
      </c>
      <c r="B72" s="395" t="str">
        <f>'[3]ISRS Addns Nov and Dec 2016'!B194</f>
        <v>N/A</v>
      </c>
      <c r="C72" s="396" t="str">
        <f>'[3]ISRS Addns Nov and Dec 2016'!D194</f>
        <v>Repl w/ 4506F 2P Hwy71 &amp; Gregory-F</v>
      </c>
      <c r="D72" s="397" t="s">
        <v>2550</v>
      </c>
      <c r="E72" s="395" t="str">
        <f>'[3]ISRS Addns Nov and Dec 2016'!E194</f>
        <v>F0599</v>
      </c>
      <c r="F72" s="396" t="str">
        <f>'[3]ISRS Addns Nov and Dec 2016'!F194</f>
        <v>Main Replacement - ISRS (N)</v>
      </c>
      <c r="G72" s="398">
        <f>'[3]ISRS Addns Nov and Dec 2016'!I194</f>
        <v>22221.61</v>
      </c>
      <c r="H72" s="304" t="s">
        <v>2247</v>
      </c>
      <c r="I72" s="304" t="s">
        <v>2248</v>
      </c>
    </row>
    <row r="73" spans="1:9" s="399" customFormat="1" ht="60">
      <c r="A73" s="395" t="str">
        <f>'[3]ISRS Addns Nov and Dec 2016'!C195</f>
        <v>800146</v>
      </c>
      <c r="B73" s="395" t="str">
        <f>'[3]ISRS Addns Nov and Dec 2016'!B195</f>
        <v>N/A</v>
      </c>
      <c r="C73" s="396" t="str">
        <f>'[3]ISRS Addns Nov and Dec 2016'!D195</f>
        <v>Repl w/ 4506F 2P Hwy71 &amp; Gregory-F</v>
      </c>
      <c r="D73" s="397" t="s">
        <v>2550</v>
      </c>
      <c r="E73" s="395" t="str">
        <f>'[3]ISRS Addns Nov and Dec 2016'!E195</f>
        <v>F0599</v>
      </c>
      <c r="F73" s="396" t="str">
        <f>'[3]ISRS Addns Nov and Dec 2016'!F195</f>
        <v>Main Replacement - ISRS (N)</v>
      </c>
      <c r="G73" s="398">
        <f>'[3]ISRS Addns Nov and Dec 2016'!I195</f>
        <v>69.010000000000005</v>
      </c>
      <c r="H73" s="304" t="s">
        <v>2247</v>
      </c>
      <c r="I73" s="304" t="s">
        <v>2248</v>
      </c>
    </row>
    <row r="74" spans="1:9" s="399" customFormat="1" ht="60">
      <c r="A74" s="395" t="str">
        <f>'[3]ISRS Addns Nov and Dec 2016'!C196</f>
        <v>800146</v>
      </c>
      <c r="B74" s="395" t="str">
        <f>'[3]ISRS Addns Nov and Dec 2016'!B196</f>
        <v>N/A</v>
      </c>
      <c r="C74" s="396" t="str">
        <f>'[3]ISRS Addns Nov and Dec 2016'!D196</f>
        <v>Repl w/ 4506F 2P Hwy71 &amp; Gregory-F</v>
      </c>
      <c r="D74" s="397" t="s">
        <v>2550</v>
      </c>
      <c r="E74" s="395" t="str">
        <f>'[3]ISRS Addns Nov and Dec 2016'!E196</f>
        <v>F0599</v>
      </c>
      <c r="F74" s="396" t="str">
        <f>'[3]ISRS Addns Nov and Dec 2016'!F196</f>
        <v>Main Replacement - ISRS (N)</v>
      </c>
      <c r="G74" s="398">
        <f>'[3]ISRS Addns Nov and Dec 2016'!I196</f>
        <v>2622.83</v>
      </c>
      <c r="H74" s="304" t="s">
        <v>2247</v>
      </c>
      <c r="I74" s="304" t="s">
        <v>2248</v>
      </c>
    </row>
    <row r="75" spans="1:9" s="399" customFormat="1">
      <c r="A75" s="395" t="str">
        <f>'[3]ISRS Addns Nov and Dec 2016'!C212</f>
        <v>800196</v>
      </c>
      <c r="B75" s="395" t="str">
        <f>'[3]ISRS Addns Nov and Dec 2016'!B212</f>
        <v>N/A</v>
      </c>
      <c r="C75" s="396" t="str">
        <f>'[3]ISRS Addns Nov and Dec 2016'!D212</f>
        <v>AOR - 2939 Brooklyn Ave</v>
      </c>
      <c r="D75" s="397" t="s">
        <v>2556</v>
      </c>
      <c r="E75" s="395" t="str">
        <f>'[3]ISRS Addns Nov and Dec 2016'!E212</f>
        <v>F0599</v>
      </c>
      <c r="F75" s="396" t="str">
        <f>'[3]ISRS Addns Nov and Dec 2016'!F212</f>
        <v>Main Replacement - ISRS (N)</v>
      </c>
      <c r="G75" s="398">
        <f>'[3]ISRS Addns Nov and Dec 2016'!I212</f>
        <v>-2081.13</v>
      </c>
      <c r="H75" s="304" t="s">
        <v>2247</v>
      </c>
      <c r="I75" s="304" t="s">
        <v>2248</v>
      </c>
    </row>
    <row r="76" spans="1:9" s="399" customFormat="1" ht="30">
      <c r="A76" s="395" t="str">
        <f>'[3]ISRS Addns Nov and Dec 2016'!C213</f>
        <v>800228</v>
      </c>
      <c r="B76" s="395" t="str">
        <f>'[3]ISRS Addns Nov and Dec 2016'!B213</f>
        <v>N/A</v>
      </c>
      <c r="C76" s="396" t="str">
        <f>'[3]ISRS Addns Nov and Dec 2016'!D213</f>
        <v>31st and College Replacement - IUI</v>
      </c>
      <c r="D76" s="397" t="s">
        <v>2557</v>
      </c>
      <c r="E76" s="395" t="str">
        <f>'[3]ISRS Addns Nov and Dec 2016'!E213</f>
        <v>F0599</v>
      </c>
      <c r="F76" s="396" t="str">
        <f>'[3]ISRS Addns Nov and Dec 2016'!F213</f>
        <v>Main Replacement - ISRS (N)</v>
      </c>
      <c r="G76" s="398">
        <f>'[3]ISRS Addns Nov and Dec 2016'!I213</f>
        <v>16441.93</v>
      </c>
      <c r="H76" s="304" t="s">
        <v>2247</v>
      </c>
      <c r="I76" s="304" t="s">
        <v>2248</v>
      </c>
    </row>
    <row r="77" spans="1:9" s="399" customFormat="1" ht="30">
      <c r="A77" s="395" t="str">
        <f>'[3]ISRS Addns Nov and Dec 2016'!C214</f>
        <v>800228</v>
      </c>
      <c r="B77" s="395" t="str">
        <f>'[3]ISRS Addns Nov and Dec 2016'!B214</f>
        <v>N/A</v>
      </c>
      <c r="C77" s="396" t="str">
        <f>'[3]ISRS Addns Nov and Dec 2016'!D214</f>
        <v>31st and College Replacement - IUI</v>
      </c>
      <c r="D77" s="397" t="s">
        <v>2557</v>
      </c>
      <c r="E77" s="395" t="str">
        <f>'[3]ISRS Addns Nov and Dec 2016'!E214</f>
        <v>F0599</v>
      </c>
      <c r="F77" s="396" t="str">
        <f>'[3]ISRS Addns Nov and Dec 2016'!F214</f>
        <v>Main Replacement - ISRS (N)</v>
      </c>
      <c r="G77" s="398">
        <f>'[3]ISRS Addns Nov and Dec 2016'!I214</f>
        <v>1476.09</v>
      </c>
      <c r="H77" s="304" t="s">
        <v>2247</v>
      </c>
      <c r="I77" s="304" t="s">
        <v>2248</v>
      </c>
    </row>
    <row r="78" spans="1:9" s="399" customFormat="1" ht="45">
      <c r="A78" s="395" t="str">
        <f>'[3]ISRS Addns Nov and Dec 2016'!C217</f>
        <v>800242</v>
      </c>
      <c r="B78" s="395" t="str">
        <f>'[3]ISRS Addns Nov and Dec 2016'!B217</f>
        <v>N/A</v>
      </c>
      <c r="C78" s="396" t="str">
        <f>'[3]ISRS Addns Nov and Dec 2016'!D217</f>
        <v>Cast Iron Abandonment 55th &amp; Jackso</v>
      </c>
      <c r="D78" s="397" t="s">
        <v>2559</v>
      </c>
      <c r="E78" s="395" t="str">
        <f>'[3]ISRS Addns Nov and Dec 2016'!E217</f>
        <v>F0599</v>
      </c>
      <c r="F78" s="396" t="str">
        <f>'[3]ISRS Addns Nov and Dec 2016'!F217</f>
        <v>Main Replacement - ISRS (N)</v>
      </c>
      <c r="G78" s="398">
        <f>'[3]ISRS Addns Nov and Dec 2016'!I217</f>
        <v>-46.74</v>
      </c>
      <c r="H78" s="304" t="s">
        <v>2247</v>
      </c>
      <c r="I78" s="304" t="s">
        <v>2248</v>
      </c>
    </row>
    <row r="79" spans="1:9" s="399" customFormat="1" ht="45">
      <c r="A79" s="395" t="str">
        <f>'[3]ISRS Addns Nov and Dec 2016'!C218</f>
        <v>800242</v>
      </c>
      <c r="B79" s="395" t="str">
        <f>'[3]ISRS Addns Nov and Dec 2016'!B218</f>
        <v>N/A</v>
      </c>
      <c r="C79" s="396" t="str">
        <f>'[3]ISRS Addns Nov and Dec 2016'!D218</f>
        <v>Cast Iron Abandonment 55th &amp; Jackso</v>
      </c>
      <c r="D79" s="397" t="s">
        <v>2559</v>
      </c>
      <c r="E79" s="395" t="str">
        <f>'[3]ISRS Addns Nov and Dec 2016'!E218</f>
        <v>F0599</v>
      </c>
      <c r="F79" s="396" t="str">
        <f>'[3]ISRS Addns Nov and Dec 2016'!F218</f>
        <v>Main Replacement - ISRS (N)</v>
      </c>
      <c r="G79" s="398">
        <f>'[3]ISRS Addns Nov and Dec 2016'!I218</f>
        <v>-5.33</v>
      </c>
      <c r="H79" s="304" t="s">
        <v>2247</v>
      </c>
      <c r="I79" s="304" t="s">
        <v>2248</v>
      </c>
    </row>
    <row r="80" spans="1:9" s="399" customFormat="1" ht="45">
      <c r="A80" s="395" t="str">
        <f>'[3]ISRS Addns Nov and Dec 2016'!C230</f>
        <v>800272</v>
      </c>
      <c r="B80" s="395" t="str">
        <f>'[3]ISRS Addns Nov and Dec 2016'!B230</f>
        <v>N/A</v>
      </c>
      <c r="C80" s="396" t="str">
        <f>'[3]ISRS Addns Nov and Dec 2016'!D230</f>
        <v>AOR - 20th and McGee St Replacement</v>
      </c>
      <c r="D80" s="397" t="s">
        <v>2563</v>
      </c>
      <c r="E80" s="395" t="str">
        <f>'[3]ISRS Addns Nov and Dec 2016'!E230</f>
        <v>F0599</v>
      </c>
      <c r="F80" s="396" t="str">
        <f>'[3]ISRS Addns Nov and Dec 2016'!F230</f>
        <v>Main Replacement - ISRS (N)</v>
      </c>
      <c r="G80" s="398">
        <f>'[3]ISRS Addns Nov and Dec 2016'!I230</f>
        <v>13307.55</v>
      </c>
      <c r="H80" s="304" t="s">
        <v>2247</v>
      </c>
      <c r="I80" s="304" t="s">
        <v>2248</v>
      </c>
    </row>
    <row r="81" spans="1:9" s="399" customFormat="1" ht="45">
      <c r="A81" s="395" t="str">
        <f>'[3]ISRS Addns Nov and Dec 2016'!C231</f>
        <v>800272</v>
      </c>
      <c r="B81" s="395" t="str">
        <f>'[3]ISRS Addns Nov and Dec 2016'!B231</f>
        <v>N/A</v>
      </c>
      <c r="C81" s="396" t="str">
        <f>'[3]ISRS Addns Nov and Dec 2016'!D231</f>
        <v>AOR - 20th and McGee St Replacement</v>
      </c>
      <c r="D81" s="397" t="s">
        <v>2563</v>
      </c>
      <c r="E81" s="395" t="str">
        <f>'[3]ISRS Addns Nov and Dec 2016'!E231</f>
        <v>F0599</v>
      </c>
      <c r="F81" s="396" t="str">
        <f>'[3]ISRS Addns Nov and Dec 2016'!F231</f>
        <v>Main Replacement - ISRS (N)</v>
      </c>
      <c r="G81" s="398">
        <f>'[3]ISRS Addns Nov and Dec 2016'!I231</f>
        <v>1005.42</v>
      </c>
      <c r="H81" s="304" t="s">
        <v>2247</v>
      </c>
      <c r="I81" s="304" t="s">
        <v>2248</v>
      </c>
    </row>
    <row r="82" spans="1:9" s="399" customFormat="1">
      <c r="A82" s="395" t="str">
        <f>'[3]ISRS Addns Nov and Dec 2016'!C232</f>
        <v>800347</v>
      </c>
      <c r="B82" s="395" t="str">
        <f>'[3]ISRS Addns Nov and Dec 2016'!B232</f>
        <v>N/A</v>
      </c>
      <c r="C82" s="396" t="str">
        <f>'[3]ISRS Addns Nov and Dec 2016'!D232</f>
        <v>AOR 3211 Cypress Ave Replacement -</v>
      </c>
      <c r="D82" s="397" t="s">
        <v>2564</v>
      </c>
      <c r="E82" s="395" t="str">
        <f>'[3]ISRS Addns Nov and Dec 2016'!E232</f>
        <v>F0599</v>
      </c>
      <c r="F82" s="396" t="str">
        <f>'[3]ISRS Addns Nov and Dec 2016'!F232</f>
        <v>Main Replacement - ISRS (N)</v>
      </c>
      <c r="G82" s="398">
        <f>'[3]ISRS Addns Nov and Dec 2016'!I232</f>
        <v>742.14</v>
      </c>
      <c r="H82" s="304" t="s">
        <v>2247</v>
      </c>
      <c r="I82" s="304" t="s">
        <v>2248</v>
      </c>
    </row>
    <row r="83" spans="1:9" s="399" customFormat="1" ht="45">
      <c r="A83" s="395" t="str">
        <f>'[3]ISRS Addns Nov and Dec 2016'!C262</f>
        <v>800551</v>
      </c>
      <c r="B83" s="395" t="str">
        <f>'[3]ISRS Addns Nov and Dec 2016'!B262</f>
        <v>N/A</v>
      </c>
      <c r="C83" s="396" t="str">
        <f>'[3]ISRS Addns Nov and Dec 2016'!D262</f>
        <v>Repl w/ 2962F 2P 58th and Olive</v>
      </c>
      <c r="D83" s="397" t="s">
        <v>2577</v>
      </c>
      <c r="E83" s="395" t="str">
        <f>'[3]ISRS Addns Nov and Dec 2016'!E262</f>
        <v>F0599</v>
      </c>
      <c r="F83" s="396" t="str">
        <f>'[3]ISRS Addns Nov and Dec 2016'!F262</f>
        <v>Main Replacement - ISRS (N)</v>
      </c>
      <c r="G83" s="398">
        <f>'[3]ISRS Addns Nov and Dec 2016'!I262</f>
        <v>32673.68</v>
      </c>
      <c r="H83" s="304" t="s">
        <v>2247</v>
      </c>
      <c r="I83" s="304" t="s">
        <v>2248</v>
      </c>
    </row>
    <row r="84" spans="1:9" s="399" customFormat="1" ht="45">
      <c r="A84" s="395" t="str">
        <f>'[3]ISRS Addns Nov and Dec 2016'!C263</f>
        <v>800551</v>
      </c>
      <c r="B84" s="395" t="str">
        <f>'[3]ISRS Addns Nov and Dec 2016'!B263</f>
        <v>N/A</v>
      </c>
      <c r="C84" s="396" t="str">
        <f>'[3]ISRS Addns Nov and Dec 2016'!D263</f>
        <v>Repl w/ 2962F 2P 58th and Olive</v>
      </c>
      <c r="D84" s="397" t="s">
        <v>2577</v>
      </c>
      <c r="E84" s="395" t="str">
        <f>'[3]ISRS Addns Nov and Dec 2016'!E263</f>
        <v>F0599</v>
      </c>
      <c r="F84" s="396" t="str">
        <f>'[3]ISRS Addns Nov and Dec 2016'!F263</f>
        <v>Main Replacement - ISRS (N)</v>
      </c>
      <c r="G84" s="398">
        <f>'[3]ISRS Addns Nov and Dec 2016'!I263</f>
        <v>70.87</v>
      </c>
      <c r="H84" s="304" t="s">
        <v>2247</v>
      </c>
      <c r="I84" s="304" t="s">
        <v>2248</v>
      </c>
    </row>
    <row r="85" spans="1:9" s="399" customFormat="1" ht="45">
      <c r="A85" s="395" t="str">
        <f>'[3]ISRS Addns Nov and Dec 2016'!C264</f>
        <v>800551</v>
      </c>
      <c r="B85" s="395" t="str">
        <f>'[3]ISRS Addns Nov and Dec 2016'!B264</f>
        <v>N/A</v>
      </c>
      <c r="C85" s="396" t="str">
        <f>'[3]ISRS Addns Nov and Dec 2016'!D264</f>
        <v>Repl w/ 2962F 2P 58th and Olive</v>
      </c>
      <c r="D85" s="397" t="s">
        <v>2577</v>
      </c>
      <c r="E85" s="395" t="str">
        <f>'[3]ISRS Addns Nov and Dec 2016'!E264</f>
        <v>F0599</v>
      </c>
      <c r="F85" s="396" t="str">
        <f>'[3]ISRS Addns Nov and Dec 2016'!F264</f>
        <v>Main Replacement - ISRS (N)</v>
      </c>
      <c r="G85" s="398">
        <f>'[3]ISRS Addns Nov and Dec 2016'!I264</f>
        <v>2081.54</v>
      </c>
      <c r="H85" s="304" t="s">
        <v>2247</v>
      </c>
      <c r="I85" s="304" t="s">
        <v>2248</v>
      </c>
    </row>
    <row r="86" spans="1:9" s="399" customFormat="1" ht="45">
      <c r="A86" s="395" t="str">
        <f>'[3]ISRS Addns Nov and Dec 2016'!C265</f>
        <v>800551</v>
      </c>
      <c r="B86" s="395" t="str">
        <f>'[3]ISRS Addns Nov and Dec 2016'!B265</f>
        <v>N/A</v>
      </c>
      <c r="C86" s="396" t="str">
        <f>'[3]ISRS Addns Nov and Dec 2016'!D265</f>
        <v>Repl w/ 2962F 2P 58th and Olive</v>
      </c>
      <c r="D86" s="397" t="s">
        <v>2577</v>
      </c>
      <c r="E86" s="395" t="str">
        <f>'[3]ISRS Addns Nov and Dec 2016'!E265</f>
        <v>F0599</v>
      </c>
      <c r="F86" s="396" t="str">
        <f>'[3]ISRS Addns Nov and Dec 2016'!F265</f>
        <v>Main Replacement - ISRS (N)</v>
      </c>
      <c r="G86" s="398">
        <f>'[3]ISRS Addns Nov and Dec 2016'!I265</f>
        <v>4.5199999999999996</v>
      </c>
      <c r="H86" s="304" t="s">
        <v>2247</v>
      </c>
      <c r="I86" s="304" t="s">
        <v>2248</v>
      </c>
    </row>
    <row r="87" spans="1:9" s="399" customFormat="1" ht="45">
      <c r="A87" s="395" t="str">
        <f>'[3]ISRS Addns Nov and Dec 2016'!C272</f>
        <v>800569</v>
      </c>
      <c r="B87" s="395" t="str">
        <f>'[3]ISRS Addns Nov and Dec 2016'!B272</f>
        <v>N/A</v>
      </c>
      <c r="C87" s="396" t="str">
        <f>'[3]ISRS Addns Nov and Dec 2016'!D272</f>
        <v>Repl w/ 30F 4P Troost AOR</v>
      </c>
      <c r="D87" s="397" t="s">
        <v>2580</v>
      </c>
      <c r="E87" s="395" t="str">
        <f>'[3]ISRS Addns Nov and Dec 2016'!E272</f>
        <v>F0599</v>
      </c>
      <c r="F87" s="396" t="str">
        <f>'[3]ISRS Addns Nov and Dec 2016'!F272</f>
        <v>Main Replacement - ISRS (N)</v>
      </c>
      <c r="G87" s="398">
        <f>'[3]ISRS Addns Nov and Dec 2016'!I272</f>
        <v>-230.15</v>
      </c>
      <c r="H87" s="304" t="s">
        <v>2247</v>
      </c>
      <c r="I87" s="304" t="s">
        <v>2248</v>
      </c>
    </row>
    <row r="88" spans="1:9" s="399" customFormat="1" ht="45">
      <c r="A88" s="395" t="str">
        <f>'[3]ISRS Addns Nov and Dec 2016'!C273</f>
        <v>800569</v>
      </c>
      <c r="B88" s="395" t="str">
        <f>'[3]ISRS Addns Nov and Dec 2016'!B273</f>
        <v>N/A</v>
      </c>
      <c r="C88" s="396" t="str">
        <f>'[3]ISRS Addns Nov and Dec 2016'!D273</f>
        <v>Repl w/ 30F 4P Troost AOR</v>
      </c>
      <c r="D88" s="397" t="s">
        <v>2580</v>
      </c>
      <c r="E88" s="395" t="str">
        <f>'[3]ISRS Addns Nov and Dec 2016'!E273</f>
        <v>F0599</v>
      </c>
      <c r="F88" s="396" t="str">
        <f>'[3]ISRS Addns Nov and Dec 2016'!F273</f>
        <v>Main Replacement - ISRS (N)</v>
      </c>
      <c r="G88" s="398">
        <f>'[3]ISRS Addns Nov and Dec 2016'!I273</f>
        <v>133.13999999999999</v>
      </c>
      <c r="H88" s="304" t="s">
        <v>2247</v>
      </c>
      <c r="I88" s="304" t="s">
        <v>2248</v>
      </c>
    </row>
    <row r="89" spans="1:9" s="399" customFormat="1" ht="45">
      <c r="A89" s="395" t="str">
        <f>'[3]ISRS Addns Nov and Dec 2016'!C279</f>
        <v>800648</v>
      </c>
      <c r="B89" s="395" t="str">
        <f>'[3]ISRS Addns Nov and Dec 2016'!B279</f>
        <v>N/A</v>
      </c>
      <c r="C89" s="396" t="str">
        <f>'[3]ISRS Addns Nov and Dec 2016'!D279</f>
        <v>Repl w/ 947F 4P 53rd Ter &amp; Ditman</v>
      </c>
      <c r="D89" s="397" t="s">
        <v>2584</v>
      </c>
      <c r="E89" s="395" t="str">
        <f>'[3]ISRS Addns Nov and Dec 2016'!E279</f>
        <v>F0599</v>
      </c>
      <c r="F89" s="396" t="str">
        <f>'[3]ISRS Addns Nov and Dec 2016'!F279</f>
        <v>Main Replacement - ISRS (N)</v>
      </c>
      <c r="G89" s="398">
        <f>'[3]ISRS Addns Nov and Dec 2016'!I279</f>
        <v>-36.35</v>
      </c>
      <c r="H89" s="304" t="s">
        <v>2247</v>
      </c>
      <c r="I89" s="304" t="s">
        <v>2248</v>
      </c>
    </row>
    <row r="90" spans="1:9" s="399" customFormat="1" ht="45">
      <c r="A90" s="395" t="str">
        <f>'[3]ISRS Addns Nov and Dec 2016'!C280</f>
        <v>800648</v>
      </c>
      <c r="B90" s="395" t="str">
        <f>'[3]ISRS Addns Nov and Dec 2016'!B280</f>
        <v>N/A</v>
      </c>
      <c r="C90" s="396" t="str">
        <f>'[3]ISRS Addns Nov and Dec 2016'!D280</f>
        <v>Repl w/ 947F 4P 53rd Ter &amp; Ditman</v>
      </c>
      <c r="D90" s="397" t="s">
        <v>2584</v>
      </c>
      <c r="E90" s="395" t="str">
        <f>'[3]ISRS Addns Nov and Dec 2016'!E280</f>
        <v>F0599</v>
      </c>
      <c r="F90" s="396" t="str">
        <f>'[3]ISRS Addns Nov and Dec 2016'!F280</f>
        <v>Main Replacement - ISRS (N)</v>
      </c>
      <c r="G90" s="398">
        <f>'[3]ISRS Addns Nov and Dec 2016'!I280</f>
        <v>21.13</v>
      </c>
      <c r="H90" s="304" t="s">
        <v>2247</v>
      </c>
      <c r="I90" s="304" t="s">
        <v>2248</v>
      </c>
    </row>
    <row r="91" spans="1:9" s="399" customFormat="1" ht="60">
      <c r="A91" s="395" t="str">
        <f>'[3]ISRS Addns Nov and Dec 2016'!C287</f>
        <v>800766</v>
      </c>
      <c r="B91" s="395" t="str">
        <f>'[3]ISRS Addns Nov and Dec 2016'!B287</f>
        <v>N/A</v>
      </c>
      <c r="C91" s="396" t="str">
        <f>'[3]ISRS Addns Nov and Dec 2016'!D287</f>
        <v>Repl w 30F 4P Indiana &amp; 12th  AOR</v>
      </c>
      <c r="D91" s="397" t="s">
        <v>2588</v>
      </c>
      <c r="E91" s="395" t="str">
        <f>'[3]ISRS Addns Nov and Dec 2016'!E287</f>
        <v>F0599</v>
      </c>
      <c r="F91" s="396" t="str">
        <f>'[3]ISRS Addns Nov and Dec 2016'!F287</f>
        <v>Main Replacement - ISRS (N)</v>
      </c>
      <c r="G91" s="398">
        <f>'[3]ISRS Addns Nov and Dec 2016'!I287</f>
        <v>25529.48</v>
      </c>
      <c r="H91" s="304" t="s">
        <v>2247</v>
      </c>
      <c r="I91" s="304" t="s">
        <v>2248</v>
      </c>
    </row>
    <row r="92" spans="1:9" s="399" customFormat="1" ht="30">
      <c r="A92" s="395" t="str">
        <f>'[3]ISRS Addns Nov and Dec 2016'!C26</f>
        <v>007053</v>
      </c>
      <c r="B92" s="395" t="str">
        <f>'[3]ISRS Addns Nov and Dec 2016'!B26</f>
        <v>N/A</v>
      </c>
      <c r="C92" s="396" t="str">
        <f>'[3]ISRS Addns Nov and Dec 2016'!D26</f>
        <v>BWO Mains Installed Mtce -South Reg</v>
      </c>
      <c r="D92" s="397" t="s">
        <v>2495</v>
      </c>
      <c r="E92" s="395" t="str">
        <f>'[3]ISRS Addns Nov and Dec 2016'!E26</f>
        <v>F0604</v>
      </c>
      <c r="F92" s="396" t="str">
        <f>'[3]ISRS Addns Nov and Dec 2016'!F26</f>
        <v>Main Replacement - ISRS (S)</v>
      </c>
      <c r="G92" s="398">
        <f>'[3]ISRS Addns Nov and Dec 2016'!I26</f>
        <v>-5185.78</v>
      </c>
      <c r="H92" s="304" t="s">
        <v>2247</v>
      </c>
      <c r="I92" s="304" t="s">
        <v>2248</v>
      </c>
    </row>
    <row r="93" spans="1:9" s="399" customFormat="1" ht="30">
      <c r="A93" s="395" t="str">
        <f>'[3]ISRS Addns Nov and Dec 2016'!C27</f>
        <v>007053</v>
      </c>
      <c r="B93" s="395" t="str">
        <f>'[3]ISRS Addns Nov and Dec 2016'!B27</f>
        <v>N/A</v>
      </c>
      <c r="C93" s="396" t="str">
        <f>'[3]ISRS Addns Nov and Dec 2016'!D27</f>
        <v>BWO Mains Installed Mtce -South Reg</v>
      </c>
      <c r="D93" s="397" t="s">
        <v>2495</v>
      </c>
      <c r="E93" s="395" t="str">
        <f>'[3]ISRS Addns Nov and Dec 2016'!E27</f>
        <v>F0604</v>
      </c>
      <c r="F93" s="396" t="str">
        <f>'[3]ISRS Addns Nov and Dec 2016'!F27</f>
        <v>Main Replacement - ISRS (S)</v>
      </c>
      <c r="G93" s="398">
        <f>'[3]ISRS Addns Nov and Dec 2016'!I27</f>
        <v>11047.11</v>
      </c>
      <c r="H93" s="304" t="s">
        <v>2247</v>
      </c>
      <c r="I93" s="304" t="s">
        <v>2248</v>
      </c>
    </row>
    <row r="94" spans="1:9" s="399" customFormat="1" ht="30">
      <c r="A94" s="395" t="str">
        <f>'[3]ISRS Addns Nov and Dec 2016'!C28</f>
        <v>007054</v>
      </c>
      <c r="B94" s="395" t="str">
        <f>'[3]ISRS Addns Nov and Dec 2016'!B28</f>
        <v>N/A</v>
      </c>
      <c r="C94" s="396" t="str">
        <f>'[3]ISRS Addns Nov and Dec 2016'!D28</f>
        <v>BWO Mains Installed Mtce-Southwest</v>
      </c>
      <c r="D94" s="397" t="s">
        <v>2496</v>
      </c>
      <c r="E94" s="395" t="str">
        <f>'[3]ISRS Addns Nov and Dec 2016'!E28</f>
        <v>F0604</v>
      </c>
      <c r="F94" s="396" t="str">
        <f>'[3]ISRS Addns Nov and Dec 2016'!F28</f>
        <v>Main Replacement - ISRS (S)</v>
      </c>
      <c r="G94" s="398">
        <f>'[3]ISRS Addns Nov and Dec 2016'!I28</f>
        <v>-6874.34</v>
      </c>
      <c r="H94" s="304" t="s">
        <v>2247</v>
      </c>
      <c r="I94" s="304" t="s">
        <v>2248</v>
      </c>
    </row>
    <row r="95" spans="1:9" s="399" customFormat="1" ht="30">
      <c r="A95" s="395" t="str">
        <f>'[3]ISRS Addns Nov and Dec 2016'!C29</f>
        <v>007054</v>
      </c>
      <c r="B95" s="395" t="str">
        <f>'[3]ISRS Addns Nov and Dec 2016'!B29</f>
        <v>N/A</v>
      </c>
      <c r="C95" s="396" t="str">
        <f>'[3]ISRS Addns Nov and Dec 2016'!D29</f>
        <v>BWO Mains Installed Mtce-Southwest</v>
      </c>
      <c r="D95" s="397" t="s">
        <v>2496</v>
      </c>
      <c r="E95" s="395" t="str">
        <f>'[3]ISRS Addns Nov and Dec 2016'!E29</f>
        <v>F0604</v>
      </c>
      <c r="F95" s="396" t="str">
        <f>'[3]ISRS Addns Nov and Dec 2016'!F29</f>
        <v>Main Replacement - ISRS (S)</v>
      </c>
      <c r="G95" s="398">
        <f>'[3]ISRS Addns Nov and Dec 2016'!I29</f>
        <v>3487.62</v>
      </c>
      <c r="H95" s="304" t="s">
        <v>2247</v>
      </c>
      <c r="I95" s="304" t="s">
        <v>2248</v>
      </c>
    </row>
    <row r="96" spans="1:9" s="399" customFormat="1" ht="150">
      <c r="A96" s="395" t="str">
        <f>'[3]ISRS Addns Nov and Dec 2016'!C36</f>
        <v>008406</v>
      </c>
      <c r="B96" s="395" t="str">
        <f>'[3]ISRS Addns Nov and Dec 2016'!B36</f>
        <v>20901155079</v>
      </c>
      <c r="C96" s="396" t="str">
        <f>'[3]ISRS Addns Nov and Dec 2016'!D36</f>
        <v>Lees Summit Rd 85th - Gregory</v>
      </c>
      <c r="D96" s="397" t="s">
        <v>2500</v>
      </c>
      <c r="E96" s="395" t="str">
        <f>'[3]ISRS Addns Nov and Dec 2016'!E36</f>
        <v>F0604</v>
      </c>
      <c r="F96" s="396" t="str">
        <f>'[3]ISRS Addns Nov and Dec 2016'!F36</f>
        <v>Main Replacement - ISRS (S)</v>
      </c>
      <c r="G96" s="398">
        <f>'[3]ISRS Addns Nov and Dec 2016'!I36</f>
        <v>43089</v>
      </c>
      <c r="H96" s="304" t="s">
        <v>2247</v>
      </c>
      <c r="I96" s="304" t="s">
        <v>2248</v>
      </c>
    </row>
    <row r="97" spans="1:9" s="399" customFormat="1" ht="60">
      <c r="A97" s="395" t="str">
        <f>'[3]ISRS Addns Nov and Dec 2016'!C37</f>
        <v>008683</v>
      </c>
      <c r="B97" s="395" t="str">
        <f>'[3]ISRS Addns Nov and Dec 2016'!B37</f>
        <v>20305155158</v>
      </c>
      <c r="C97" s="396" t="str">
        <f>'[3]ISRS Addns Nov and Dec 2016'!D37</f>
        <v>Replace 4in &amp; 6in pbs and p</v>
      </c>
      <c r="D97" s="397" t="s">
        <v>2501</v>
      </c>
      <c r="E97" s="395" t="str">
        <f>'[3]ISRS Addns Nov and Dec 2016'!E37</f>
        <v>F0604</v>
      </c>
      <c r="F97" s="396" t="str">
        <f>'[3]ISRS Addns Nov and Dec 2016'!F37</f>
        <v>Main Replacement - ISRS (S)</v>
      </c>
      <c r="G97" s="398">
        <f>'[3]ISRS Addns Nov and Dec 2016'!I37</f>
        <v>637.71</v>
      </c>
      <c r="H97" s="304" t="s">
        <v>2247</v>
      </c>
      <c r="I97" s="304" t="s">
        <v>2248</v>
      </c>
    </row>
    <row r="98" spans="1:9" s="399" customFormat="1" ht="75">
      <c r="A98" s="395" t="str">
        <f>'[3]ISRS Addns Nov and Dec 2016'!C38</f>
        <v>008761</v>
      </c>
      <c r="B98" s="395" t="str">
        <f>'[3]ISRS Addns Nov and Dec 2016'!B38</f>
        <v>20201155405</v>
      </c>
      <c r="C98" s="396" t="str">
        <f>'[3]ISRS Addns Nov and Dec 2016'!D38</f>
        <v>Replace  2in &amp; 4in PBS Main</v>
      </c>
      <c r="D98" s="397" t="s">
        <v>2502</v>
      </c>
      <c r="E98" s="395" t="str">
        <f>'[3]ISRS Addns Nov and Dec 2016'!E38</f>
        <v>F0604</v>
      </c>
      <c r="F98" s="396" t="str">
        <f>'[3]ISRS Addns Nov and Dec 2016'!F38</f>
        <v>Main Replacement - ISRS (S)</v>
      </c>
      <c r="G98" s="398">
        <f>'[3]ISRS Addns Nov and Dec 2016'!I38</f>
        <v>-50.58</v>
      </c>
      <c r="H98" s="304" t="s">
        <v>2247</v>
      </c>
      <c r="I98" s="304" t="s">
        <v>2248</v>
      </c>
    </row>
    <row r="99" spans="1:9" s="399" customFormat="1" ht="60">
      <c r="A99" s="395" t="str">
        <f>'[3]ISRS Addns Nov and Dec 2016'!C43</f>
        <v>008906</v>
      </c>
      <c r="B99" s="395" t="str">
        <f>'[3]ISRS Addns Nov and Dec 2016'!B43</f>
        <v>20902155399</v>
      </c>
      <c r="C99" s="396" t="str">
        <f>'[3]ISRS Addns Nov and Dec 2016'!D43</f>
        <v>Replace 10in and 6in pbs ma</v>
      </c>
      <c r="D99" s="397" t="s">
        <v>2505</v>
      </c>
      <c r="E99" s="395" t="str">
        <f>'[3]ISRS Addns Nov and Dec 2016'!E43</f>
        <v>F0604</v>
      </c>
      <c r="F99" s="396" t="str">
        <f>'[3]ISRS Addns Nov and Dec 2016'!F43</f>
        <v>Main Replacement - ISRS (S)</v>
      </c>
      <c r="G99" s="398">
        <f>'[3]ISRS Addns Nov and Dec 2016'!I43</f>
        <v>-25.18</v>
      </c>
      <c r="H99" s="304" t="s">
        <v>2247</v>
      </c>
      <c r="I99" s="304" t="s">
        <v>2248</v>
      </c>
    </row>
    <row r="100" spans="1:9" s="399" customFormat="1" ht="60">
      <c r="A100" s="395" t="str">
        <f>'[3]ISRS Addns Nov and Dec 2016'!C44</f>
        <v>008906</v>
      </c>
      <c r="B100" s="395" t="str">
        <f>'[3]ISRS Addns Nov and Dec 2016'!B44</f>
        <v>20902155399</v>
      </c>
      <c r="C100" s="396" t="str">
        <f>'[3]ISRS Addns Nov and Dec 2016'!D44</f>
        <v>Replace 10in and 6in pbs ma</v>
      </c>
      <c r="D100" s="397" t="s">
        <v>2505</v>
      </c>
      <c r="E100" s="395" t="str">
        <f>'[3]ISRS Addns Nov and Dec 2016'!E44</f>
        <v>F0604</v>
      </c>
      <c r="F100" s="396" t="str">
        <f>'[3]ISRS Addns Nov and Dec 2016'!F44</f>
        <v>Main Replacement - ISRS (S)</v>
      </c>
      <c r="G100" s="398">
        <f>'[3]ISRS Addns Nov and Dec 2016'!I44</f>
        <v>0.76</v>
      </c>
      <c r="H100" s="304" t="s">
        <v>2247</v>
      </c>
      <c r="I100" s="304" t="s">
        <v>2248</v>
      </c>
    </row>
    <row r="101" spans="1:9" s="399" customFormat="1" ht="150">
      <c r="A101" s="395" t="str">
        <f>'[3]ISRS Addns Nov and Dec 2016'!C51</f>
        <v>009224</v>
      </c>
      <c r="B101" s="395" t="str">
        <f>'[3]ISRS Addns Nov and Dec 2016'!B51</f>
        <v>20910155472</v>
      </c>
      <c r="C101" s="396" t="str">
        <f>'[3]ISRS Addns Nov and Dec 2016'!D51</f>
        <v>Replace 2 PCS/PE &amp; 4in PCS/PE</v>
      </c>
      <c r="D101" s="397" t="s">
        <v>2510</v>
      </c>
      <c r="E101" s="395" t="str">
        <f>'[3]ISRS Addns Nov and Dec 2016'!E51</f>
        <v>F0604</v>
      </c>
      <c r="F101" s="396" t="str">
        <f>'[3]ISRS Addns Nov and Dec 2016'!F51</f>
        <v>Main Replacement - ISRS (S)</v>
      </c>
      <c r="G101" s="398">
        <f>'[3]ISRS Addns Nov and Dec 2016'!I51</f>
        <v>24336.87</v>
      </c>
      <c r="H101" s="304" t="s">
        <v>2247</v>
      </c>
      <c r="I101" s="304" t="s">
        <v>2248</v>
      </c>
    </row>
    <row r="102" spans="1:9" s="399" customFormat="1" ht="150">
      <c r="A102" s="395" t="str">
        <f>'[3]ISRS Addns Nov and Dec 2016'!C52</f>
        <v>009224</v>
      </c>
      <c r="B102" s="395" t="str">
        <f>'[3]ISRS Addns Nov and Dec 2016'!B52</f>
        <v>20910155472</v>
      </c>
      <c r="C102" s="396" t="str">
        <f>'[3]ISRS Addns Nov and Dec 2016'!D52</f>
        <v>Replace 2 PCS/PE &amp; 4in PCS/PE</v>
      </c>
      <c r="D102" s="397" t="s">
        <v>2510</v>
      </c>
      <c r="E102" s="395" t="str">
        <f>'[3]ISRS Addns Nov and Dec 2016'!E52</f>
        <v>F0604</v>
      </c>
      <c r="F102" s="396" t="str">
        <f>'[3]ISRS Addns Nov and Dec 2016'!F52</f>
        <v>Main Replacement - ISRS (S)</v>
      </c>
      <c r="G102" s="398">
        <f>'[3]ISRS Addns Nov and Dec 2016'!I52</f>
        <v>-24336.87</v>
      </c>
      <c r="H102" s="304" t="s">
        <v>2247</v>
      </c>
      <c r="I102" s="304" t="s">
        <v>2248</v>
      </c>
    </row>
    <row r="103" spans="1:9" s="399" customFormat="1" ht="30">
      <c r="A103" s="395" t="str">
        <f>'[3]ISRS Addns Nov and Dec 2016'!C63</f>
        <v>800027</v>
      </c>
      <c r="B103" s="395" t="str">
        <f>'[3]ISRS Addns Nov and Dec 2016'!B63</f>
        <v>N/A</v>
      </c>
      <c r="C103" s="396" t="str">
        <f>'[3]ISRS Addns Nov and Dec 2016'!D63</f>
        <v>CP15-02 Replace 2" pbs main</v>
      </c>
      <c r="D103" s="397" t="s">
        <v>2514</v>
      </c>
      <c r="E103" s="395" t="str">
        <f>'[3]ISRS Addns Nov and Dec 2016'!E63</f>
        <v>F0604</v>
      </c>
      <c r="F103" s="396" t="str">
        <f>'[3]ISRS Addns Nov and Dec 2016'!F63</f>
        <v>Main Replacement - ISRS (S)</v>
      </c>
      <c r="G103" s="398">
        <f>'[3]ISRS Addns Nov and Dec 2016'!I63</f>
        <v>-14555.55</v>
      </c>
      <c r="H103" s="304" t="s">
        <v>2247</v>
      </c>
      <c r="I103" s="304" t="s">
        <v>2248</v>
      </c>
    </row>
    <row r="104" spans="1:9" s="399" customFormat="1" ht="30">
      <c r="A104" s="395" t="str">
        <f>'[3]ISRS Addns Nov and Dec 2016'!C64</f>
        <v>800027</v>
      </c>
      <c r="B104" s="395" t="str">
        <f>'[3]ISRS Addns Nov and Dec 2016'!B64</f>
        <v>N/A</v>
      </c>
      <c r="C104" s="396" t="str">
        <f>'[3]ISRS Addns Nov and Dec 2016'!D64</f>
        <v>CP15-02 Replace 2" pbs main</v>
      </c>
      <c r="D104" s="397" t="s">
        <v>2514</v>
      </c>
      <c r="E104" s="395" t="str">
        <f>'[3]ISRS Addns Nov and Dec 2016'!E64</f>
        <v>F0604</v>
      </c>
      <c r="F104" s="396" t="str">
        <f>'[3]ISRS Addns Nov and Dec 2016'!F64</f>
        <v>Main Replacement - ISRS (S)</v>
      </c>
      <c r="G104" s="398">
        <f>'[3]ISRS Addns Nov and Dec 2016'!I64</f>
        <v>-60.89</v>
      </c>
      <c r="H104" s="304" t="s">
        <v>2247</v>
      </c>
      <c r="I104" s="304" t="s">
        <v>2248</v>
      </c>
    </row>
    <row r="105" spans="1:9" s="399" customFormat="1" ht="30">
      <c r="A105" s="395" t="str">
        <f>'[3]ISRS Addns Nov and Dec 2016'!C65</f>
        <v>800027</v>
      </c>
      <c r="B105" s="395" t="str">
        <f>'[3]ISRS Addns Nov and Dec 2016'!B65</f>
        <v>N/A</v>
      </c>
      <c r="C105" s="396" t="str">
        <f>'[3]ISRS Addns Nov and Dec 2016'!D65</f>
        <v>CP15-02 Replace 2" pbs main</v>
      </c>
      <c r="D105" s="397" t="s">
        <v>2514</v>
      </c>
      <c r="E105" s="395" t="str">
        <f>'[3]ISRS Addns Nov and Dec 2016'!E65</f>
        <v>F0604</v>
      </c>
      <c r="F105" s="396" t="str">
        <f>'[3]ISRS Addns Nov and Dec 2016'!F65</f>
        <v>Main Replacement - ISRS (S)</v>
      </c>
      <c r="G105" s="398">
        <f>'[3]ISRS Addns Nov and Dec 2016'!I65</f>
        <v>-1861.63</v>
      </c>
      <c r="H105" s="304" t="s">
        <v>2247</v>
      </c>
      <c r="I105" s="304" t="s">
        <v>2248</v>
      </c>
    </row>
    <row r="106" spans="1:9" s="399" customFormat="1" ht="195">
      <c r="A106" s="395" t="str">
        <f>'[3]ISRS Addns Nov and Dec 2016'!C97</f>
        <v>800068</v>
      </c>
      <c r="B106" s="395" t="str">
        <f>'[3]ISRS Addns Nov and Dec 2016'!B97</f>
        <v>N/A</v>
      </c>
      <c r="C106" s="396" t="str">
        <f>'[3]ISRS Addns Nov and Dec 2016'!D97</f>
        <v>Tipton Bare Steel Replace-Grid PhA</v>
      </c>
      <c r="D106" s="397" t="s">
        <v>2524</v>
      </c>
      <c r="E106" s="395" t="str">
        <f>'[3]ISRS Addns Nov and Dec 2016'!E97</f>
        <v>F0604</v>
      </c>
      <c r="F106" s="396" t="str">
        <f>'[3]ISRS Addns Nov and Dec 2016'!F97</f>
        <v>Main Replacement - ISRS (S)</v>
      </c>
      <c r="G106" s="398">
        <f>'[3]ISRS Addns Nov and Dec 2016'!I97</f>
        <v>283.68</v>
      </c>
      <c r="H106" s="304" t="s">
        <v>2247</v>
      </c>
      <c r="I106" s="304" t="s">
        <v>2248</v>
      </c>
    </row>
    <row r="107" spans="1:9" s="399" customFormat="1" ht="195">
      <c r="A107" s="395" t="str">
        <f>'[3]ISRS Addns Nov and Dec 2016'!C98</f>
        <v>800068</v>
      </c>
      <c r="B107" s="395" t="str">
        <f>'[3]ISRS Addns Nov and Dec 2016'!B98</f>
        <v>N/A</v>
      </c>
      <c r="C107" s="396" t="str">
        <f>'[3]ISRS Addns Nov and Dec 2016'!D98</f>
        <v>Tipton Bare Steel Replace-Grid PhA</v>
      </c>
      <c r="D107" s="397" t="s">
        <v>2524</v>
      </c>
      <c r="E107" s="395" t="str">
        <f>'[3]ISRS Addns Nov and Dec 2016'!E98</f>
        <v>F0604</v>
      </c>
      <c r="F107" s="396" t="str">
        <f>'[3]ISRS Addns Nov and Dec 2016'!F98</f>
        <v>Main Replacement - ISRS (S)</v>
      </c>
      <c r="G107" s="398">
        <f>'[3]ISRS Addns Nov and Dec 2016'!I98</f>
        <v>0.01</v>
      </c>
      <c r="H107" s="304" t="s">
        <v>2247</v>
      </c>
      <c r="I107" s="304" t="s">
        <v>2248</v>
      </c>
    </row>
    <row r="108" spans="1:9" s="399" customFormat="1" ht="195">
      <c r="A108" s="395" t="str">
        <f>'[3]ISRS Addns Nov and Dec 2016'!C99</f>
        <v>800068</v>
      </c>
      <c r="B108" s="395" t="str">
        <f>'[3]ISRS Addns Nov and Dec 2016'!B99</f>
        <v>N/A</v>
      </c>
      <c r="C108" s="396" t="str">
        <f>'[3]ISRS Addns Nov and Dec 2016'!D99</f>
        <v>Tipton Bare Steel Replace-Grid PhA</v>
      </c>
      <c r="D108" s="397" t="s">
        <v>2524</v>
      </c>
      <c r="E108" s="395" t="str">
        <f>'[3]ISRS Addns Nov and Dec 2016'!E99</f>
        <v>F0604</v>
      </c>
      <c r="F108" s="396" t="str">
        <f>'[3]ISRS Addns Nov and Dec 2016'!F99</f>
        <v>Main Replacement - ISRS (S)</v>
      </c>
      <c r="G108" s="398">
        <f>'[3]ISRS Addns Nov and Dec 2016'!I99</f>
        <v>1943.6</v>
      </c>
      <c r="H108" s="304" t="s">
        <v>2247</v>
      </c>
      <c r="I108" s="304" t="s">
        <v>2248</v>
      </c>
    </row>
    <row r="109" spans="1:9" s="399" customFormat="1" ht="195">
      <c r="A109" s="395" t="str">
        <f>'[3]ISRS Addns Nov and Dec 2016'!C100</f>
        <v>800068</v>
      </c>
      <c r="B109" s="395" t="str">
        <f>'[3]ISRS Addns Nov and Dec 2016'!B100</f>
        <v>N/A</v>
      </c>
      <c r="C109" s="396" t="str">
        <f>'[3]ISRS Addns Nov and Dec 2016'!D100</f>
        <v>Tipton Bare Steel Replace-Grid PhA</v>
      </c>
      <c r="D109" s="397" t="s">
        <v>2524</v>
      </c>
      <c r="E109" s="395" t="str">
        <f>'[3]ISRS Addns Nov and Dec 2016'!E100</f>
        <v>F0604</v>
      </c>
      <c r="F109" s="396" t="str">
        <f>'[3]ISRS Addns Nov and Dec 2016'!F100</f>
        <v>Main Replacement - ISRS (S)</v>
      </c>
      <c r="G109" s="398">
        <f>'[3]ISRS Addns Nov and Dec 2016'!I100</f>
        <v>7.0000000000000007E-2</v>
      </c>
      <c r="H109" s="304" t="s">
        <v>2247</v>
      </c>
      <c r="I109" s="304" t="s">
        <v>2248</v>
      </c>
    </row>
    <row r="110" spans="1:9" s="399" customFormat="1" ht="45">
      <c r="A110" s="395" t="str">
        <f>'[3]ISRS Addns Nov and Dec 2016'!C101</f>
        <v>800069</v>
      </c>
      <c r="B110" s="395" t="str">
        <f>'[3]ISRS Addns Nov and Dec 2016'!B101</f>
        <v>N/A</v>
      </c>
      <c r="C110" s="396" t="str">
        <f>'[3]ISRS Addns Nov and Dec 2016'!D101</f>
        <v>Tipton Grid Phase C - Bare steel re</v>
      </c>
      <c r="D110" s="397" t="s">
        <v>2525</v>
      </c>
      <c r="E110" s="395" t="str">
        <f>'[3]ISRS Addns Nov and Dec 2016'!E101</f>
        <v>F0604</v>
      </c>
      <c r="F110" s="396" t="str">
        <f>'[3]ISRS Addns Nov and Dec 2016'!F101</f>
        <v>Main Replacement - ISRS (S)</v>
      </c>
      <c r="G110" s="398">
        <f>'[3]ISRS Addns Nov and Dec 2016'!I101</f>
        <v>-56.2</v>
      </c>
      <c r="H110" s="304" t="s">
        <v>2247</v>
      </c>
      <c r="I110" s="304" t="s">
        <v>2248</v>
      </c>
    </row>
    <row r="111" spans="1:9" s="399" customFormat="1" ht="45">
      <c r="A111" s="395" t="str">
        <f>'[3]ISRS Addns Nov and Dec 2016'!C102</f>
        <v>800069</v>
      </c>
      <c r="B111" s="395" t="str">
        <f>'[3]ISRS Addns Nov and Dec 2016'!B102</f>
        <v>N/A</v>
      </c>
      <c r="C111" s="396" t="str">
        <f>'[3]ISRS Addns Nov and Dec 2016'!D102</f>
        <v>Tipton Grid Phase C - Bare steel re</v>
      </c>
      <c r="D111" s="397" t="s">
        <v>2525</v>
      </c>
      <c r="E111" s="395" t="str">
        <f>'[3]ISRS Addns Nov and Dec 2016'!E102</f>
        <v>F0604</v>
      </c>
      <c r="F111" s="396" t="str">
        <f>'[3]ISRS Addns Nov and Dec 2016'!F102</f>
        <v>Main Replacement - ISRS (S)</v>
      </c>
      <c r="G111" s="398">
        <f>'[3]ISRS Addns Nov and Dec 2016'!I102</f>
        <v>-0.01</v>
      </c>
      <c r="H111" s="304" t="s">
        <v>2247</v>
      </c>
      <c r="I111" s="304" t="s">
        <v>2248</v>
      </c>
    </row>
    <row r="112" spans="1:9" s="399" customFormat="1" ht="45">
      <c r="A112" s="395" t="str">
        <f>'[3]ISRS Addns Nov and Dec 2016'!C103</f>
        <v>800069</v>
      </c>
      <c r="B112" s="395" t="str">
        <f>'[3]ISRS Addns Nov and Dec 2016'!B103</f>
        <v>N/A</v>
      </c>
      <c r="C112" s="396" t="str">
        <f>'[3]ISRS Addns Nov and Dec 2016'!D103</f>
        <v>Tipton Grid Phase C - Bare steel re</v>
      </c>
      <c r="D112" s="397" t="s">
        <v>2525</v>
      </c>
      <c r="E112" s="395" t="str">
        <f>'[3]ISRS Addns Nov and Dec 2016'!E103</f>
        <v>F0604</v>
      </c>
      <c r="F112" s="396" t="str">
        <f>'[3]ISRS Addns Nov and Dec 2016'!F103</f>
        <v>Main Replacement - ISRS (S)</v>
      </c>
      <c r="G112" s="398">
        <f>'[3]ISRS Addns Nov and Dec 2016'!I103</f>
        <v>4788.9799999999996</v>
      </c>
      <c r="H112" s="304" t="s">
        <v>2247</v>
      </c>
      <c r="I112" s="304" t="s">
        <v>2248</v>
      </c>
    </row>
    <row r="113" spans="1:9" s="399" customFormat="1" ht="45">
      <c r="A113" s="395" t="str">
        <f>'[3]ISRS Addns Nov and Dec 2016'!C104</f>
        <v>800069</v>
      </c>
      <c r="B113" s="395" t="str">
        <f>'[3]ISRS Addns Nov and Dec 2016'!B104</f>
        <v>N/A</v>
      </c>
      <c r="C113" s="396" t="str">
        <f>'[3]ISRS Addns Nov and Dec 2016'!D104</f>
        <v>Tipton Grid Phase C - Bare steel re</v>
      </c>
      <c r="D113" s="397" t="s">
        <v>2525</v>
      </c>
      <c r="E113" s="395" t="str">
        <f>'[3]ISRS Addns Nov and Dec 2016'!E104</f>
        <v>F0604</v>
      </c>
      <c r="F113" s="396" t="str">
        <f>'[3]ISRS Addns Nov and Dec 2016'!F104</f>
        <v>Main Replacement - ISRS (S)</v>
      </c>
      <c r="G113" s="398">
        <f>'[3]ISRS Addns Nov and Dec 2016'!I104</f>
        <v>1.1200000000000001</v>
      </c>
      <c r="H113" s="304" t="s">
        <v>2247</v>
      </c>
      <c r="I113" s="304" t="s">
        <v>2248</v>
      </c>
    </row>
    <row r="114" spans="1:9" s="399" customFormat="1" ht="60">
      <c r="A114" s="395" t="str">
        <f>'[3]ISRS Addns Nov and Dec 2016'!C105</f>
        <v>800070</v>
      </c>
      <c r="B114" s="395" t="str">
        <f>'[3]ISRS Addns Nov and Dec 2016'!B105</f>
        <v>N/A</v>
      </c>
      <c r="C114" s="396" t="str">
        <f>'[3]ISRS Addns Nov and Dec 2016'!D105</f>
        <v>Tipton Grid Phase D - Bare steel re</v>
      </c>
      <c r="D114" s="397" t="s">
        <v>2526</v>
      </c>
      <c r="E114" s="395" t="str">
        <f>'[3]ISRS Addns Nov and Dec 2016'!E105</f>
        <v>F0604</v>
      </c>
      <c r="F114" s="396" t="str">
        <f>'[3]ISRS Addns Nov and Dec 2016'!F105</f>
        <v>Main Replacement - ISRS (S)</v>
      </c>
      <c r="G114" s="398">
        <f>'[3]ISRS Addns Nov and Dec 2016'!I105</f>
        <v>721.06</v>
      </c>
      <c r="H114" s="304" t="s">
        <v>2247</v>
      </c>
      <c r="I114" s="304" t="s">
        <v>2248</v>
      </c>
    </row>
    <row r="115" spans="1:9" s="399" customFormat="1" ht="60">
      <c r="A115" s="395" t="str">
        <f>'[3]ISRS Addns Nov and Dec 2016'!C106</f>
        <v>800070</v>
      </c>
      <c r="B115" s="395" t="str">
        <f>'[3]ISRS Addns Nov and Dec 2016'!B106</f>
        <v>N/A</v>
      </c>
      <c r="C115" s="396" t="str">
        <f>'[3]ISRS Addns Nov and Dec 2016'!D106</f>
        <v>Tipton Grid Phase D - Bare steel re</v>
      </c>
      <c r="D115" s="397" t="s">
        <v>2526</v>
      </c>
      <c r="E115" s="395" t="str">
        <f>'[3]ISRS Addns Nov and Dec 2016'!E106</f>
        <v>F0604</v>
      </c>
      <c r="F115" s="396" t="str">
        <f>'[3]ISRS Addns Nov and Dec 2016'!F106</f>
        <v>Main Replacement - ISRS (S)</v>
      </c>
      <c r="G115" s="398">
        <f>'[3]ISRS Addns Nov and Dec 2016'!I106</f>
        <v>-520.87</v>
      </c>
      <c r="H115" s="304" t="s">
        <v>2247</v>
      </c>
      <c r="I115" s="304" t="s">
        <v>2248</v>
      </c>
    </row>
    <row r="116" spans="1:9" s="399" customFormat="1" ht="75">
      <c r="A116" s="395" t="str">
        <f>'[3]ISRS Addns Nov and Dec 2016'!C107</f>
        <v>800072</v>
      </c>
      <c r="B116" s="395" t="str">
        <f>'[3]ISRS Addns Nov and Dec 2016'!B107</f>
        <v>N/A</v>
      </c>
      <c r="C116" s="396" t="str">
        <f>'[3]ISRS Addns Nov and Dec 2016'!D107</f>
        <v>Tipton Grid Phase B - Bare steel re</v>
      </c>
      <c r="D116" s="397" t="s">
        <v>2527</v>
      </c>
      <c r="E116" s="395" t="str">
        <f>'[3]ISRS Addns Nov and Dec 2016'!E107</f>
        <v>F0604</v>
      </c>
      <c r="F116" s="396" t="str">
        <f>'[3]ISRS Addns Nov and Dec 2016'!F107</f>
        <v>Main Replacement - ISRS (S)</v>
      </c>
      <c r="G116" s="398">
        <f>'[3]ISRS Addns Nov and Dec 2016'!I107</f>
        <v>-153.71</v>
      </c>
      <c r="H116" s="304" t="s">
        <v>2247</v>
      </c>
      <c r="I116" s="304" t="s">
        <v>2248</v>
      </c>
    </row>
    <row r="117" spans="1:9" s="399" customFormat="1" ht="75">
      <c r="A117" s="395" t="str">
        <f>'[3]ISRS Addns Nov and Dec 2016'!C108</f>
        <v>800072</v>
      </c>
      <c r="B117" s="395" t="str">
        <f>'[3]ISRS Addns Nov and Dec 2016'!B108</f>
        <v>N/A</v>
      </c>
      <c r="C117" s="396" t="str">
        <f>'[3]ISRS Addns Nov and Dec 2016'!D108</f>
        <v>Tipton Grid Phase B - Bare steel re</v>
      </c>
      <c r="D117" s="397" t="s">
        <v>2527</v>
      </c>
      <c r="E117" s="395" t="str">
        <f>'[3]ISRS Addns Nov and Dec 2016'!E108</f>
        <v>F0604</v>
      </c>
      <c r="F117" s="396" t="str">
        <f>'[3]ISRS Addns Nov and Dec 2016'!F108</f>
        <v>Main Replacement - ISRS (S)</v>
      </c>
      <c r="G117" s="398">
        <f>'[3]ISRS Addns Nov and Dec 2016'!I108</f>
        <v>-7.0000000000000007E-2</v>
      </c>
      <c r="H117" s="304" t="s">
        <v>2247</v>
      </c>
      <c r="I117" s="304" t="s">
        <v>2248</v>
      </c>
    </row>
    <row r="118" spans="1:9" s="399" customFormat="1" ht="75">
      <c r="A118" s="395" t="str">
        <f>'[3]ISRS Addns Nov and Dec 2016'!C109</f>
        <v>800072</v>
      </c>
      <c r="B118" s="395" t="str">
        <f>'[3]ISRS Addns Nov and Dec 2016'!B109</f>
        <v>N/A</v>
      </c>
      <c r="C118" s="396" t="str">
        <f>'[3]ISRS Addns Nov and Dec 2016'!D109</f>
        <v>Tipton Grid Phase B - Bare steel re</v>
      </c>
      <c r="D118" s="397" t="s">
        <v>2527</v>
      </c>
      <c r="E118" s="395" t="str">
        <f>'[3]ISRS Addns Nov and Dec 2016'!E109</f>
        <v>F0604</v>
      </c>
      <c r="F118" s="396" t="str">
        <f>'[3]ISRS Addns Nov and Dec 2016'!F109</f>
        <v>Main Replacement - ISRS (S)</v>
      </c>
      <c r="G118" s="398">
        <f>'[3]ISRS Addns Nov and Dec 2016'!I109</f>
        <v>5751.91</v>
      </c>
      <c r="H118" s="304" t="s">
        <v>2247</v>
      </c>
      <c r="I118" s="304" t="s">
        <v>2248</v>
      </c>
    </row>
    <row r="119" spans="1:9" s="399" customFormat="1" ht="75">
      <c r="A119" s="395" t="str">
        <f>'[3]ISRS Addns Nov and Dec 2016'!C110</f>
        <v>800072</v>
      </c>
      <c r="B119" s="395" t="str">
        <f>'[3]ISRS Addns Nov and Dec 2016'!B110</f>
        <v>N/A</v>
      </c>
      <c r="C119" s="396" t="str">
        <f>'[3]ISRS Addns Nov and Dec 2016'!D110</f>
        <v>Tipton Grid Phase B - Bare steel re</v>
      </c>
      <c r="D119" s="397" t="s">
        <v>2527</v>
      </c>
      <c r="E119" s="395" t="str">
        <f>'[3]ISRS Addns Nov and Dec 2016'!E110</f>
        <v>F0604</v>
      </c>
      <c r="F119" s="396" t="str">
        <f>'[3]ISRS Addns Nov and Dec 2016'!F110</f>
        <v>Main Replacement - ISRS (S)</v>
      </c>
      <c r="G119" s="398">
        <f>'[3]ISRS Addns Nov and Dec 2016'!I110</f>
        <v>2.2599999999999998</v>
      </c>
      <c r="H119" s="304" t="s">
        <v>2247</v>
      </c>
      <c r="I119" s="304" t="s">
        <v>2248</v>
      </c>
    </row>
    <row r="120" spans="1:9" s="399" customFormat="1" ht="45">
      <c r="A120" s="395" t="str">
        <f>'[3]ISRS Addns Nov and Dec 2016'!C111</f>
        <v>800073</v>
      </c>
      <c r="B120" s="395" t="str">
        <f>'[3]ISRS Addns Nov and Dec 2016'!B111</f>
        <v>N/A</v>
      </c>
      <c r="C120" s="396" t="str">
        <f>'[3]ISRS Addns Nov and Dec 2016'!D111</f>
        <v>Tipton Grid Phase F - Bare steel re</v>
      </c>
      <c r="D120" s="397" t="s">
        <v>2528</v>
      </c>
      <c r="E120" s="395" t="str">
        <f>'[3]ISRS Addns Nov and Dec 2016'!E111</f>
        <v>F0604</v>
      </c>
      <c r="F120" s="396" t="str">
        <f>'[3]ISRS Addns Nov and Dec 2016'!F111</f>
        <v>Main Replacement - ISRS (S)</v>
      </c>
      <c r="G120" s="398">
        <f>'[3]ISRS Addns Nov and Dec 2016'!I111</f>
        <v>5599.15</v>
      </c>
      <c r="H120" s="304" t="s">
        <v>2247</v>
      </c>
      <c r="I120" s="304" t="s">
        <v>2248</v>
      </c>
    </row>
    <row r="121" spans="1:9" s="399" customFormat="1" ht="45">
      <c r="A121" s="395" t="str">
        <f>'[3]ISRS Addns Nov and Dec 2016'!C112</f>
        <v>800073</v>
      </c>
      <c r="B121" s="395" t="str">
        <f>'[3]ISRS Addns Nov and Dec 2016'!B112</f>
        <v>N/A</v>
      </c>
      <c r="C121" s="396" t="str">
        <f>'[3]ISRS Addns Nov and Dec 2016'!D112</f>
        <v>Tipton Grid Phase F - Bare steel re</v>
      </c>
      <c r="D121" s="397" t="s">
        <v>2528</v>
      </c>
      <c r="E121" s="395" t="str">
        <f>'[3]ISRS Addns Nov and Dec 2016'!E112</f>
        <v>F0604</v>
      </c>
      <c r="F121" s="396" t="str">
        <f>'[3]ISRS Addns Nov and Dec 2016'!F112</f>
        <v>Main Replacement - ISRS (S)</v>
      </c>
      <c r="G121" s="398">
        <f>'[3]ISRS Addns Nov and Dec 2016'!I112</f>
        <v>22859.34</v>
      </c>
      <c r="H121" s="304" t="s">
        <v>2247</v>
      </c>
      <c r="I121" s="304" t="s">
        <v>2248</v>
      </c>
    </row>
    <row r="122" spans="1:9" s="399" customFormat="1" ht="45">
      <c r="A122" s="395" t="str">
        <f>'[3]ISRS Addns Nov and Dec 2016'!C113</f>
        <v>800075</v>
      </c>
      <c r="B122" s="395" t="str">
        <f>'[3]ISRS Addns Nov and Dec 2016'!B113</f>
        <v>N/A</v>
      </c>
      <c r="C122" s="396" t="str">
        <f>'[3]ISRS Addns Nov and Dec 2016'!D113</f>
        <v>Tipton Grid Phase E - Bare steel re</v>
      </c>
      <c r="D122" s="397" t="s">
        <v>2529</v>
      </c>
      <c r="E122" s="395" t="str">
        <f>'[3]ISRS Addns Nov and Dec 2016'!E113</f>
        <v>F0604</v>
      </c>
      <c r="F122" s="396" t="str">
        <f>'[3]ISRS Addns Nov and Dec 2016'!F113</f>
        <v>Main Replacement - ISRS (S)</v>
      </c>
      <c r="G122" s="398">
        <f>'[3]ISRS Addns Nov and Dec 2016'!I113</f>
        <v>-12.31</v>
      </c>
      <c r="H122" s="304" t="s">
        <v>2247</v>
      </c>
      <c r="I122" s="304" t="s">
        <v>2248</v>
      </c>
    </row>
    <row r="123" spans="1:9" s="399" customFormat="1" ht="45">
      <c r="A123" s="395" t="str">
        <f>'[3]ISRS Addns Nov and Dec 2016'!C114</f>
        <v>800075</v>
      </c>
      <c r="B123" s="395" t="str">
        <f>'[3]ISRS Addns Nov and Dec 2016'!B114</f>
        <v>N/A</v>
      </c>
      <c r="C123" s="396" t="str">
        <f>'[3]ISRS Addns Nov and Dec 2016'!D114</f>
        <v>Tipton Grid Phase E - Bare steel re</v>
      </c>
      <c r="D123" s="397" t="s">
        <v>2529</v>
      </c>
      <c r="E123" s="395" t="str">
        <f>'[3]ISRS Addns Nov and Dec 2016'!E114</f>
        <v>F0604</v>
      </c>
      <c r="F123" s="396" t="str">
        <f>'[3]ISRS Addns Nov and Dec 2016'!F114</f>
        <v>Main Replacement - ISRS (S)</v>
      </c>
      <c r="G123" s="398">
        <f>'[3]ISRS Addns Nov and Dec 2016'!I114</f>
        <v>-0.02</v>
      </c>
      <c r="H123" s="304" t="s">
        <v>2247</v>
      </c>
      <c r="I123" s="304" t="s">
        <v>2248</v>
      </c>
    </row>
    <row r="124" spans="1:9" s="399" customFormat="1" ht="45">
      <c r="A124" s="395" t="str">
        <f>'[3]ISRS Addns Nov and Dec 2016'!C115</f>
        <v>800075</v>
      </c>
      <c r="B124" s="395" t="str">
        <f>'[3]ISRS Addns Nov and Dec 2016'!B115</f>
        <v>N/A</v>
      </c>
      <c r="C124" s="396" t="str">
        <f>'[3]ISRS Addns Nov and Dec 2016'!D115</f>
        <v>Tipton Grid Phase E - Bare steel re</v>
      </c>
      <c r="D124" s="397" t="s">
        <v>2529</v>
      </c>
      <c r="E124" s="395" t="str">
        <f>'[3]ISRS Addns Nov and Dec 2016'!E115</f>
        <v>F0604</v>
      </c>
      <c r="F124" s="396" t="str">
        <f>'[3]ISRS Addns Nov and Dec 2016'!F115</f>
        <v>Main Replacement - ISRS (S)</v>
      </c>
      <c r="G124" s="398">
        <f>'[3]ISRS Addns Nov and Dec 2016'!I115</f>
        <v>12721.13</v>
      </c>
      <c r="H124" s="304" t="s">
        <v>2247</v>
      </c>
      <c r="I124" s="304" t="s">
        <v>2248</v>
      </c>
    </row>
    <row r="125" spans="1:9" s="399" customFormat="1" ht="45">
      <c r="A125" s="395" t="str">
        <f>'[3]ISRS Addns Nov and Dec 2016'!C116</f>
        <v>800075</v>
      </c>
      <c r="B125" s="395" t="str">
        <f>'[3]ISRS Addns Nov and Dec 2016'!B116</f>
        <v>N/A</v>
      </c>
      <c r="C125" s="396" t="str">
        <f>'[3]ISRS Addns Nov and Dec 2016'!D116</f>
        <v>Tipton Grid Phase E - Bare steel re</v>
      </c>
      <c r="D125" s="397" t="s">
        <v>2529</v>
      </c>
      <c r="E125" s="395" t="str">
        <f>'[3]ISRS Addns Nov and Dec 2016'!E116</f>
        <v>F0604</v>
      </c>
      <c r="F125" s="396" t="str">
        <f>'[3]ISRS Addns Nov and Dec 2016'!F116</f>
        <v>Main Replacement - ISRS (S)</v>
      </c>
      <c r="G125" s="398">
        <f>'[3]ISRS Addns Nov and Dec 2016'!I116</f>
        <v>20.71</v>
      </c>
      <c r="H125" s="304" t="s">
        <v>2247</v>
      </c>
      <c r="I125" s="304" t="s">
        <v>2248</v>
      </c>
    </row>
    <row r="126" spans="1:9" s="399" customFormat="1" ht="75">
      <c r="A126" s="395" t="str">
        <f>'[3]ISRS Addns Nov and Dec 2016'!C119</f>
        <v>800083</v>
      </c>
      <c r="B126" s="395" t="str">
        <f>'[3]ISRS Addns Nov and Dec 2016'!B119</f>
        <v>N/A</v>
      </c>
      <c r="C126" s="396" t="str">
        <f>'[3]ISRS Addns Nov and Dec 2016'!D119</f>
        <v>Holden Grid Phase 2I</v>
      </c>
      <c r="D126" s="397" t="s">
        <v>2531</v>
      </c>
      <c r="E126" s="395" t="str">
        <f>'[3]ISRS Addns Nov and Dec 2016'!E119</f>
        <v>F0604</v>
      </c>
      <c r="F126" s="396" t="str">
        <f>'[3]ISRS Addns Nov and Dec 2016'!F119</f>
        <v>Main Replacement - ISRS (S)</v>
      </c>
      <c r="G126" s="398">
        <f>'[3]ISRS Addns Nov and Dec 2016'!I119</f>
        <v>1058.54</v>
      </c>
      <c r="H126" s="304" t="s">
        <v>2247</v>
      </c>
      <c r="I126" s="304" t="s">
        <v>2248</v>
      </c>
    </row>
    <row r="127" spans="1:9" s="399" customFormat="1" ht="75">
      <c r="A127" s="395" t="str">
        <f>'[3]ISRS Addns Nov and Dec 2016'!C120</f>
        <v>800083</v>
      </c>
      <c r="B127" s="395" t="str">
        <f>'[3]ISRS Addns Nov and Dec 2016'!B120</f>
        <v>N/A</v>
      </c>
      <c r="C127" s="396" t="str">
        <f>'[3]ISRS Addns Nov and Dec 2016'!D120</f>
        <v>Holden Grid Phase 2I</v>
      </c>
      <c r="D127" s="397" t="s">
        <v>2531</v>
      </c>
      <c r="E127" s="395" t="str">
        <f>'[3]ISRS Addns Nov and Dec 2016'!E120</f>
        <v>F0604</v>
      </c>
      <c r="F127" s="396" t="str">
        <f>'[3]ISRS Addns Nov and Dec 2016'!F120</f>
        <v>Main Replacement - ISRS (S)</v>
      </c>
      <c r="G127" s="398">
        <f>'[3]ISRS Addns Nov and Dec 2016'!I120</f>
        <v>11.92</v>
      </c>
      <c r="H127" s="304" t="s">
        <v>2247</v>
      </c>
      <c r="I127" s="304" t="s">
        <v>2248</v>
      </c>
    </row>
    <row r="128" spans="1:9" s="399" customFormat="1" ht="75">
      <c r="A128" s="395" t="str">
        <f>'[3]ISRS Addns Nov and Dec 2016'!C121</f>
        <v>800083</v>
      </c>
      <c r="B128" s="395" t="str">
        <f>'[3]ISRS Addns Nov and Dec 2016'!B121</f>
        <v>N/A</v>
      </c>
      <c r="C128" s="396" t="str">
        <f>'[3]ISRS Addns Nov and Dec 2016'!D121</f>
        <v>Holden Grid Phase 2I</v>
      </c>
      <c r="D128" s="397" t="s">
        <v>2531</v>
      </c>
      <c r="E128" s="395" t="str">
        <f>'[3]ISRS Addns Nov and Dec 2016'!E121</f>
        <v>F0604</v>
      </c>
      <c r="F128" s="396" t="str">
        <f>'[3]ISRS Addns Nov and Dec 2016'!F121</f>
        <v>Main Replacement - ISRS (S)</v>
      </c>
      <c r="G128" s="398">
        <f>'[3]ISRS Addns Nov and Dec 2016'!I121</f>
        <v>1925.7</v>
      </c>
      <c r="H128" s="304" t="s">
        <v>2247</v>
      </c>
      <c r="I128" s="304" t="s">
        <v>2248</v>
      </c>
    </row>
    <row r="129" spans="1:9" s="399" customFormat="1" ht="75">
      <c r="A129" s="395" t="str">
        <f>'[3]ISRS Addns Nov and Dec 2016'!C122</f>
        <v>800083</v>
      </c>
      <c r="B129" s="395" t="str">
        <f>'[3]ISRS Addns Nov and Dec 2016'!B122</f>
        <v>N/A</v>
      </c>
      <c r="C129" s="396" t="str">
        <f>'[3]ISRS Addns Nov and Dec 2016'!D122</f>
        <v>Holden Grid Phase 2I</v>
      </c>
      <c r="D129" s="397" t="s">
        <v>2531</v>
      </c>
      <c r="E129" s="395" t="str">
        <f>'[3]ISRS Addns Nov and Dec 2016'!E122</f>
        <v>F0604</v>
      </c>
      <c r="F129" s="396" t="str">
        <f>'[3]ISRS Addns Nov and Dec 2016'!F122</f>
        <v>Main Replacement - ISRS (S)</v>
      </c>
      <c r="G129" s="398">
        <f>'[3]ISRS Addns Nov and Dec 2016'!I122</f>
        <v>21.7</v>
      </c>
      <c r="H129" s="304" t="s">
        <v>2247</v>
      </c>
      <c r="I129" s="304" t="s">
        <v>2248</v>
      </c>
    </row>
    <row r="130" spans="1:9" s="399" customFormat="1" ht="75">
      <c r="A130" s="395" t="str">
        <f>'[3]ISRS Addns Nov and Dec 2016'!C123</f>
        <v>800084</v>
      </c>
      <c r="B130" s="395" t="str">
        <f>'[3]ISRS Addns Nov and Dec 2016'!B123</f>
        <v>N/A</v>
      </c>
      <c r="C130" s="396" t="str">
        <f>'[3]ISRS Addns Nov and Dec 2016'!D123</f>
        <v>Holden Grid Phase 2H</v>
      </c>
      <c r="D130" s="397" t="s">
        <v>2532</v>
      </c>
      <c r="E130" s="395" t="str">
        <f>'[3]ISRS Addns Nov and Dec 2016'!E123</f>
        <v>F0604</v>
      </c>
      <c r="F130" s="396" t="str">
        <f>'[3]ISRS Addns Nov and Dec 2016'!F123</f>
        <v>Main Replacement - ISRS (S)</v>
      </c>
      <c r="G130" s="398">
        <f>'[3]ISRS Addns Nov and Dec 2016'!I123</f>
        <v>11804.01</v>
      </c>
      <c r="H130" s="304" t="s">
        <v>2247</v>
      </c>
      <c r="I130" s="304" t="s">
        <v>2248</v>
      </c>
    </row>
    <row r="131" spans="1:9" s="399" customFormat="1" ht="75">
      <c r="A131" s="395" t="str">
        <f>'[3]ISRS Addns Nov and Dec 2016'!C124</f>
        <v>800084</v>
      </c>
      <c r="B131" s="395" t="str">
        <f>'[3]ISRS Addns Nov and Dec 2016'!B124</f>
        <v>N/A</v>
      </c>
      <c r="C131" s="396" t="str">
        <f>'[3]ISRS Addns Nov and Dec 2016'!D124</f>
        <v>Holden Grid Phase 2H</v>
      </c>
      <c r="D131" s="397" t="s">
        <v>2532</v>
      </c>
      <c r="E131" s="395" t="str">
        <f>'[3]ISRS Addns Nov and Dec 2016'!E124</f>
        <v>F0604</v>
      </c>
      <c r="F131" s="396" t="str">
        <f>'[3]ISRS Addns Nov and Dec 2016'!F124</f>
        <v>Main Replacement - ISRS (S)</v>
      </c>
      <c r="G131" s="398">
        <f>'[3]ISRS Addns Nov and Dec 2016'!I124</f>
        <v>153.94999999999999</v>
      </c>
      <c r="H131" s="304" t="s">
        <v>2247</v>
      </c>
      <c r="I131" s="304" t="s">
        <v>2248</v>
      </c>
    </row>
    <row r="132" spans="1:9" s="399" customFormat="1" ht="75">
      <c r="A132" s="395" t="str">
        <f>'[3]ISRS Addns Nov and Dec 2016'!C125</f>
        <v>800084</v>
      </c>
      <c r="B132" s="395" t="str">
        <f>'[3]ISRS Addns Nov and Dec 2016'!B125</f>
        <v>N/A</v>
      </c>
      <c r="C132" s="396" t="str">
        <f>'[3]ISRS Addns Nov and Dec 2016'!D125</f>
        <v>Holden Grid Phase 2H</v>
      </c>
      <c r="D132" s="397" t="s">
        <v>2532</v>
      </c>
      <c r="E132" s="395" t="str">
        <f>'[3]ISRS Addns Nov and Dec 2016'!E125</f>
        <v>F0604</v>
      </c>
      <c r="F132" s="396" t="str">
        <f>'[3]ISRS Addns Nov and Dec 2016'!F125</f>
        <v>Main Replacement - ISRS (S)</v>
      </c>
      <c r="G132" s="398">
        <f>'[3]ISRS Addns Nov and Dec 2016'!I125</f>
        <v>1129.0899999999999</v>
      </c>
      <c r="H132" s="304" t="s">
        <v>2247</v>
      </c>
      <c r="I132" s="304" t="s">
        <v>2248</v>
      </c>
    </row>
    <row r="133" spans="1:9" s="399" customFormat="1" ht="75">
      <c r="A133" s="395" t="str">
        <f>'[3]ISRS Addns Nov and Dec 2016'!C126</f>
        <v>800084</v>
      </c>
      <c r="B133" s="395" t="str">
        <f>'[3]ISRS Addns Nov and Dec 2016'!B126</f>
        <v>N/A</v>
      </c>
      <c r="C133" s="396" t="str">
        <f>'[3]ISRS Addns Nov and Dec 2016'!D126</f>
        <v>Holden Grid Phase 2H</v>
      </c>
      <c r="D133" s="397" t="s">
        <v>2532</v>
      </c>
      <c r="E133" s="395" t="str">
        <f>'[3]ISRS Addns Nov and Dec 2016'!E126</f>
        <v>F0604</v>
      </c>
      <c r="F133" s="396" t="str">
        <f>'[3]ISRS Addns Nov and Dec 2016'!F126</f>
        <v>Main Replacement - ISRS (S)</v>
      </c>
      <c r="G133" s="398">
        <f>'[3]ISRS Addns Nov and Dec 2016'!I126</f>
        <v>14.72</v>
      </c>
      <c r="H133" s="304" t="s">
        <v>2247</v>
      </c>
      <c r="I133" s="304" t="s">
        <v>2248</v>
      </c>
    </row>
    <row r="134" spans="1:9" s="399" customFormat="1" ht="90">
      <c r="A134" s="395" t="str">
        <f>'[3]ISRS Addns Nov and Dec 2016'!C127</f>
        <v>800085</v>
      </c>
      <c r="B134" s="395" t="str">
        <f>'[3]ISRS Addns Nov and Dec 2016'!B127</f>
        <v>N/A</v>
      </c>
      <c r="C134" s="396" t="str">
        <f>'[3]ISRS Addns Nov and Dec 2016'!D127</f>
        <v>Holden Grid Phase 2G</v>
      </c>
      <c r="D134" s="397" t="s">
        <v>2533</v>
      </c>
      <c r="E134" s="395" t="str">
        <f>'[3]ISRS Addns Nov and Dec 2016'!E127</f>
        <v>F0604</v>
      </c>
      <c r="F134" s="396" t="str">
        <f>'[3]ISRS Addns Nov and Dec 2016'!F127</f>
        <v>Main Replacement - ISRS (S)</v>
      </c>
      <c r="G134" s="398">
        <f>'[3]ISRS Addns Nov and Dec 2016'!I127</f>
        <v>15917.24</v>
      </c>
      <c r="H134" s="304" t="s">
        <v>2247</v>
      </c>
      <c r="I134" s="304" t="s">
        <v>2248</v>
      </c>
    </row>
    <row r="135" spans="1:9" s="399" customFormat="1" ht="90">
      <c r="A135" s="395" t="str">
        <f>'[3]ISRS Addns Nov and Dec 2016'!C128</f>
        <v>800085</v>
      </c>
      <c r="B135" s="395" t="str">
        <f>'[3]ISRS Addns Nov and Dec 2016'!B128</f>
        <v>N/A</v>
      </c>
      <c r="C135" s="396" t="str">
        <f>'[3]ISRS Addns Nov and Dec 2016'!D128</f>
        <v>Holden Grid Phase 2G</v>
      </c>
      <c r="D135" s="397" t="s">
        <v>2533</v>
      </c>
      <c r="E135" s="395" t="str">
        <f>'[3]ISRS Addns Nov and Dec 2016'!E128</f>
        <v>F0604</v>
      </c>
      <c r="F135" s="396" t="str">
        <f>'[3]ISRS Addns Nov and Dec 2016'!F128</f>
        <v>Main Replacement - ISRS (S)</v>
      </c>
      <c r="G135" s="398">
        <f>'[3]ISRS Addns Nov and Dec 2016'!I128</f>
        <v>272.72000000000003</v>
      </c>
      <c r="H135" s="304" t="s">
        <v>2247</v>
      </c>
      <c r="I135" s="304" t="s">
        <v>2248</v>
      </c>
    </row>
    <row r="136" spans="1:9" s="399" customFormat="1" ht="90">
      <c r="A136" s="395" t="str">
        <f>'[3]ISRS Addns Nov and Dec 2016'!C129</f>
        <v>800085</v>
      </c>
      <c r="B136" s="395" t="str">
        <f>'[3]ISRS Addns Nov and Dec 2016'!B129</f>
        <v>N/A</v>
      </c>
      <c r="C136" s="396" t="str">
        <f>'[3]ISRS Addns Nov and Dec 2016'!D129</f>
        <v>Holden Grid Phase 2G</v>
      </c>
      <c r="D136" s="397" t="s">
        <v>2533</v>
      </c>
      <c r="E136" s="395" t="str">
        <f>'[3]ISRS Addns Nov and Dec 2016'!E129</f>
        <v>F0604</v>
      </c>
      <c r="F136" s="396" t="str">
        <f>'[3]ISRS Addns Nov and Dec 2016'!F129</f>
        <v>Main Replacement - ISRS (S)</v>
      </c>
      <c r="G136" s="398">
        <f>'[3]ISRS Addns Nov and Dec 2016'!I129</f>
        <v>526.04999999999995</v>
      </c>
      <c r="H136" s="304" t="s">
        <v>2247</v>
      </c>
      <c r="I136" s="304" t="s">
        <v>2248</v>
      </c>
    </row>
    <row r="137" spans="1:9" s="399" customFormat="1" ht="90">
      <c r="A137" s="395" t="str">
        <f>'[3]ISRS Addns Nov and Dec 2016'!C130</f>
        <v>800085</v>
      </c>
      <c r="B137" s="395" t="str">
        <f>'[3]ISRS Addns Nov and Dec 2016'!B130</f>
        <v>N/A</v>
      </c>
      <c r="C137" s="396" t="str">
        <f>'[3]ISRS Addns Nov and Dec 2016'!D130</f>
        <v>Holden Grid Phase 2G</v>
      </c>
      <c r="D137" s="397" t="s">
        <v>2533</v>
      </c>
      <c r="E137" s="395" t="str">
        <f>'[3]ISRS Addns Nov and Dec 2016'!E130</f>
        <v>F0604</v>
      </c>
      <c r="F137" s="396" t="str">
        <f>'[3]ISRS Addns Nov and Dec 2016'!F130</f>
        <v>Main Replacement - ISRS (S)</v>
      </c>
      <c r="G137" s="398">
        <f>'[3]ISRS Addns Nov and Dec 2016'!I130</f>
        <v>9.01</v>
      </c>
      <c r="H137" s="304" t="s">
        <v>2247</v>
      </c>
      <c r="I137" s="304" t="s">
        <v>2248</v>
      </c>
    </row>
    <row r="138" spans="1:9" s="399" customFormat="1" ht="135">
      <c r="A138" s="395" t="str">
        <f>'[3]ISRS Addns Nov and Dec 2016'!C131</f>
        <v>800086</v>
      </c>
      <c r="B138" s="395" t="str">
        <f>'[3]ISRS Addns Nov and Dec 2016'!B131</f>
        <v>N/A</v>
      </c>
      <c r="C138" s="396" t="str">
        <f>'[3]ISRS Addns Nov and Dec 2016'!D131</f>
        <v>Holden Grid Phase 2F</v>
      </c>
      <c r="D138" s="397" t="s">
        <v>2534</v>
      </c>
      <c r="E138" s="395" t="str">
        <f>'[3]ISRS Addns Nov and Dec 2016'!E131</f>
        <v>F0604</v>
      </c>
      <c r="F138" s="396" t="str">
        <f>'[3]ISRS Addns Nov and Dec 2016'!F131</f>
        <v>Main Replacement - ISRS (S)</v>
      </c>
      <c r="G138" s="398">
        <f>'[3]ISRS Addns Nov and Dec 2016'!I131</f>
        <v>10838.4</v>
      </c>
      <c r="H138" s="304" t="s">
        <v>2247</v>
      </c>
      <c r="I138" s="304" t="s">
        <v>2248</v>
      </c>
    </row>
    <row r="139" spans="1:9" s="399" customFormat="1" ht="135">
      <c r="A139" s="395" t="str">
        <f>'[3]ISRS Addns Nov and Dec 2016'!C132</f>
        <v>800086</v>
      </c>
      <c r="B139" s="395" t="str">
        <f>'[3]ISRS Addns Nov and Dec 2016'!B132</f>
        <v>N/A</v>
      </c>
      <c r="C139" s="396" t="str">
        <f>'[3]ISRS Addns Nov and Dec 2016'!D132</f>
        <v>Holden Grid Phase 2F</v>
      </c>
      <c r="D139" s="397" t="s">
        <v>2534</v>
      </c>
      <c r="E139" s="395" t="str">
        <f>'[3]ISRS Addns Nov and Dec 2016'!E132</f>
        <v>F0604</v>
      </c>
      <c r="F139" s="396" t="str">
        <f>'[3]ISRS Addns Nov and Dec 2016'!F132</f>
        <v>Main Replacement - ISRS (S)</v>
      </c>
      <c r="G139" s="398">
        <f>'[3]ISRS Addns Nov and Dec 2016'!I132</f>
        <v>111.35</v>
      </c>
      <c r="H139" s="304" t="s">
        <v>2247</v>
      </c>
      <c r="I139" s="304" t="s">
        <v>2248</v>
      </c>
    </row>
    <row r="140" spans="1:9" s="399" customFormat="1" ht="135">
      <c r="A140" s="395" t="str">
        <f>'[3]ISRS Addns Nov and Dec 2016'!C133</f>
        <v>800086</v>
      </c>
      <c r="B140" s="395" t="str">
        <f>'[3]ISRS Addns Nov and Dec 2016'!B133</f>
        <v>N/A</v>
      </c>
      <c r="C140" s="396" t="str">
        <f>'[3]ISRS Addns Nov and Dec 2016'!D133</f>
        <v>Holden Grid Phase 2F</v>
      </c>
      <c r="D140" s="397" t="s">
        <v>2534</v>
      </c>
      <c r="E140" s="395" t="str">
        <f>'[3]ISRS Addns Nov and Dec 2016'!E133</f>
        <v>F0604</v>
      </c>
      <c r="F140" s="396" t="str">
        <f>'[3]ISRS Addns Nov and Dec 2016'!F133</f>
        <v>Main Replacement - ISRS (S)</v>
      </c>
      <c r="G140" s="398">
        <f>'[3]ISRS Addns Nov and Dec 2016'!I133</f>
        <v>1112.7</v>
      </c>
      <c r="H140" s="304" t="s">
        <v>2247</v>
      </c>
      <c r="I140" s="304" t="s">
        <v>2248</v>
      </c>
    </row>
    <row r="141" spans="1:9" s="399" customFormat="1" ht="135">
      <c r="A141" s="395" t="str">
        <f>'[3]ISRS Addns Nov and Dec 2016'!C134</f>
        <v>800086</v>
      </c>
      <c r="B141" s="395" t="str">
        <f>'[3]ISRS Addns Nov and Dec 2016'!B134</f>
        <v>N/A</v>
      </c>
      <c r="C141" s="396" t="str">
        <f>'[3]ISRS Addns Nov and Dec 2016'!D134</f>
        <v>Holden Grid Phase 2F</v>
      </c>
      <c r="D141" s="397" t="s">
        <v>2534</v>
      </c>
      <c r="E141" s="395" t="str">
        <f>'[3]ISRS Addns Nov and Dec 2016'!E134</f>
        <v>F0604</v>
      </c>
      <c r="F141" s="396" t="str">
        <f>'[3]ISRS Addns Nov and Dec 2016'!F134</f>
        <v>Main Replacement - ISRS (S)</v>
      </c>
      <c r="G141" s="398">
        <f>'[3]ISRS Addns Nov and Dec 2016'!I134</f>
        <v>11.43</v>
      </c>
      <c r="H141" s="304" t="s">
        <v>2247</v>
      </c>
      <c r="I141" s="304" t="s">
        <v>2248</v>
      </c>
    </row>
    <row r="142" spans="1:9" s="399" customFormat="1" ht="60">
      <c r="A142" s="395" t="str">
        <f>'[3]ISRS Addns Nov and Dec 2016'!C135</f>
        <v>800087</v>
      </c>
      <c r="B142" s="395" t="str">
        <f>'[3]ISRS Addns Nov and Dec 2016'!B135</f>
        <v>N/A</v>
      </c>
      <c r="C142" s="396" t="str">
        <f>'[3]ISRS Addns Nov and Dec 2016'!D135</f>
        <v>Holden Grid Phase 2E</v>
      </c>
      <c r="D142" s="397" t="s">
        <v>2535</v>
      </c>
      <c r="E142" s="395" t="str">
        <f>'[3]ISRS Addns Nov and Dec 2016'!E135</f>
        <v>F0604</v>
      </c>
      <c r="F142" s="396" t="str">
        <f>'[3]ISRS Addns Nov and Dec 2016'!F135</f>
        <v>Main Replacement - ISRS (S)</v>
      </c>
      <c r="G142" s="398">
        <f>'[3]ISRS Addns Nov and Dec 2016'!I135</f>
        <v>-0.19</v>
      </c>
      <c r="H142" s="304" t="s">
        <v>2247</v>
      </c>
      <c r="I142" s="304" t="s">
        <v>2248</v>
      </c>
    </row>
    <row r="143" spans="1:9" s="399" customFormat="1" ht="60">
      <c r="A143" s="395" t="str">
        <f>'[3]ISRS Addns Nov and Dec 2016'!C136</f>
        <v>800087</v>
      </c>
      <c r="B143" s="395" t="str">
        <f>'[3]ISRS Addns Nov and Dec 2016'!B136</f>
        <v>N/A</v>
      </c>
      <c r="C143" s="396" t="str">
        <f>'[3]ISRS Addns Nov and Dec 2016'!D136</f>
        <v>Holden Grid Phase 2E</v>
      </c>
      <c r="D143" s="397" t="s">
        <v>2535</v>
      </c>
      <c r="E143" s="395" t="str">
        <f>'[3]ISRS Addns Nov and Dec 2016'!E136</f>
        <v>F0604</v>
      </c>
      <c r="F143" s="396" t="str">
        <f>'[3]ISRS Addns Nov and Dec 2016'!F136</f>
        <v>Main Replacement - ISRS (S)</v>
      </c>
      <c r="G143" s="398">
        <f>'[3]ISRS Addns Nov and Dec 2016'!I136</f>
        <v>-1080.55</v>
      </c>
      <c r="H143" s="304" t="s">
        <v>2247</v>
      </c>
      <c r="I143" s="304" t="s">
        <v>2248</v>
      </c>
    </row>
    <row r="144" spans="1:9" s="399" customFormat="1" ht="60">
      <c r="A144" s="395" t="str">
        <f>'[3]ISRS Addns Nov and Dec 2016'!C137</f>
        <v>800087</v>
      </c>
      <c r="B144" s="395" t="str">
        <f>'[3]ISRS Addns Nov and Dec 2016'!B137</f>
        <v>N/A</v>
      </c>
      <c r="C144" s="396" t="str">
        <f>'[3]ISRS Addns Nov and Dec 2016'!D137</f>
        <v>Holden Grid Phase 2E</v>
      </c>
      <c r="D144" s="397" t="s">
        <v>2535</v>
      </c>
      <c r="E144" s="395" t="str">
        <f>'[3]ISRS Addns Nov and Dec 2016'!E137</f>
        <v>F0604</v>
      </c>
      <c r="F144" s="396" t="str">
        <f>'[3]ISRS Addns Nov and Dec 2016'!F137</f>
        <v>Main Replacement - ISRS (S)</v>
      </c>
      <c r="G144" s="398">
        <f>'[3]ISRS Addns Nov and Dec 2016'!I137</f>
        <v>-1.39</v>
      </c>
      <c r="H144" s="304" t="s">
        <v>2247</v>
      </c>
      <c r="I144" s="304" t="s">
        <v>2248</v>
      </c>
    </row>
    <row r="145" spans="1:9" s="399" customFormat="1" ht="60">
      <c r="A145" s="395" t="str">
        <f>'[3]ISRS Addns Nov and Dec 2016'!C138</f>
        <v>800087</v>
      </c>
      <c r="B145" s="395" t="str">
        <f>'[3]ISRS Addns Nov and Dec 2016'!B138</f>
        <v>N/A</v>
      </c>
      <c r="C145" s="396" t="str">
        <f>'[3]ISRS Addns Nov and Dec 2016'!D138</f>
        <v>Holden Grid Phase 2E</v>
      </c>
      <c r="D145" s="397" t="s">
        <v>2535</v>
      </c>
      <c r="E145" s="395" t="str">
        <f>'[3]ISRS Addns Nov and Dec 2016'!E138</f>
        <v>F0604</v>
      </c>
      <c r="F145" s="396" t="str">
        <f>'[3]ISRS Addns Nov and Dec 2016'!F138</f>
        <v>Main Replacement - ISRS (S)</v>
      </c>
      <c r="G145" s="398">
        <f>'[3]ISRS Addns Nov and Dec 2016'!I138</f>
        <v>0.09</v>
      </c>
      <c r="H145" s="304" t="s">
        <v>2247</v>
      </c>
      <c r="I145" s="304" t="s">
        <v>2248</v>
      </c>
    </row>
    <row r="146" spans="1:9" s="399" customFormat="1" ht="60">
      <c r="A146" s="395" t="str">
        <f>'[3]ISRS Addns Nov and Dec 2016'!C139</f>
        <v>800087</v>
      </c>
      <c r="B146" s="395" t="str">
        <f>'[3]ISRS Addns Nov and Dec 2016'!B139</f>
        <v>N/A</v>
      </c>
      <c r="C146" s="396" t="str">
        <f>'[3]ISRS Addns Nov and Dec 2016'!D139</f>
        <v>Holden Grid Phase 2E</v>
      </c>
      <c r="D146" s="397" t="s">
        <v>2535</v>
      </c>
      <c r="E146" s="395" t="str">
        <f>'[3]ISRS Addns Nov and Dec 2016'!E139</f>
        <v>F0604</v>
      </c>
      <c r="F146" s="396" t="str">
        <f>'[3]ISRS Addns Nov and Dec 2016'!F139</f>
        <v>Main Replacement - ISRS (S)</v>
      </c>
      <c r="G146" s="398">
        <f>'[3]ISRS Addns Nov and Dec 2016'!I139</f>
        <v>640.67999999999995</v>
      </c>
      <c r="H146" s="304" t="s">
        <v>2247</v>
      </c>
      <c r="I146" s="304" t="s">
        <v>2248</v>
      </c>
    </row>
    <row r="147" spans="1:9" s="399" customFormat="1" ht="60">
      <c r="A147" s="395" t="str">
        <f>'[3]ISRS Addns Nov and Dec 2016'!C140</f>
        <v>800087</v>
      </c>
      <c r="B147" s="395" t="str">
        <f>'[3]ISRS Addns Nov and Dec 2016'!B140</f>
        <v>N/A</v>
      </c>
      <c r="C147" s="396" t="str">
        <f>'[3]ISRS Addns Nov and Dec 2016'!D140</f>
        <v>Holden Grid Phase 2E</v>
      </c>
      <c r="D147" s="397" t="s">
        <v>2535</v>
      </c>
      <c r="E147" s="395" t="str">
        <f>'[3]ISRS Addns Nov and Dec 2016'!E140</f>
        <v>F0604</v>
      </c>
      <c r="F147" s="396" t="str">
        <f>'[3]ISRS Addns Nov and Dec 2016'!F140</f>
        <v>Main Replacement - ISRS (S)</v>
      </c>
      <c r="G147" s="398">
        <f>'[3]ISRS Addns Nov and Dec 2016'!I140</f>
        <v>0.84</v>
      </c>
      <c r="H147" s="304" t="s">
        <v>2247</v>
      </c>
      <c r="I147" s="304" t="s">
        <v>2248</v>
      </c>
    </row>
    <row r="148" spans="1:9" s="399" customFormat="1" ht="60">
      <c r="A148" s="395" t="str">
        <f>'[3]ISRS Addns Nov and Dec 2016'!C141</f>
        <v>800088</v>
      </c>
      <c r="B148" s="395" t="str">
        <f>'[3]ISRS Addns Nov and Dec 2016'!B141</f>
        <v>N/A</v>
      </c>
      <c r="C148" s="396" t="str">
        <f>'[3]ISRS Addns Nov and Dec 2016'!D141</f>
        <v>Holden Grid Phase 2D</v>
      </c>
      <c r="D148" s="397" t="s">
        <v>2536</v>
      </c>
      <c r="E148" s="395" t="str">
        <f>'[3]ISRS Addns Nov and Dec 2016'!E141</f>
        <v>F0604</v>
      </c>
      <c r="F148" s="396" t="str">
        <f>'[3]ISRS Addns Nov and Dec 2016'!F141</f>
        <v>Main Replacement - ISRS (S)</v>
      </c>
      <c r="G148" s="398">
        <f>'[3]ISRS Addns Nov and Dec 2016'!I141</f>
        <v>0.84</v>
      </c>
      <c r="H148" s="304" t="s">
        <v>2247</v>
      </c>
      <c r="I148" s="304" t="s">
        <v>2248</v>
      </c>
    </row>
    <row r="149" spans="1:9" s="399" customFormat="1" ht="60">
      <c r="A149" s="395" t="str">
        <f>'[3]ISRS Addns Nov and Dec 2016'!C142</f>
        <v>800088</v>
      </c>
      <c r="B149" s="395" t="str">
        <f>'[3]ISRS Addns Nov and Dec 2016'!B142</f>
        <v>N/A</v>
      </c>
      <c r="C149" s="396" t="str">
        <f>'[3]ISRS Addns Nov and Dec 2016'!D142</f>
        <v>Holden Grid Phase 2D</v>
      </c>
      <c r="D149" s="397" t="s">
        <v>2536</v>
      </c>
      <c r="E149" s="395" t="str">
        <f>'[3]ISRS Addns Nov and Dec 2016'!E142</f>
        <v>F0604</v>
      </c>
      <c r="F149" s="396" t="str">
        <f>'[3]ISRS Addns Nov and Dec 2016'!F142</f>
        <v>Main Replacement - ISRS (S)</v>
      </c>
      <c r="G149" s="398">
        <f>'[3]ISRS Addns Nov and Dec 2016'!I142</f>
        <v>8962.92</v>
      </c>
      <c r="H149" s="304" t="s">
        <v>2247</v>
      </c>
      <c r="I149" s="304" t="s">
        <v>2248</v>
      </c>
    </row>
    <row r="150" spans="1:9" s="399" customFormat="1" ht="60">
      <c r="A150" s="395" t="str">
        <f>'[3]ISRS Addns Nov and Dec 2016'!C143</f>
        <v>800088</v>
      </c>
      <c r="B150" s="395" t="str">
        <f>'[3]ISRS Addns Nov and Dec 2016'!B143</f>
        <v>N/A</v>
      </c>
      <c r="C150" s="396" t="str">
        <f>'[3]ISRS Addns Nov and Dec 2016'!D143</f>
        <v>Holden Grid Phase 2D</v>
      </c>
      <c r="D150" s="397" t="s">
        <v>2536</v>
      </c>
      <c r="E150" s="395" t="str">
        <f>'[3]ISRS Addns Nov and Dec 2016'!E143</f>
        <v>F0604</v>
      </c>
      <c r="F150" s="396" t="str">
        <f>'[3]ISRS Addns Nov and Dec 2016'!F143</f>
        <v>Main Replacement - ISRS (S)</v>
      </c>
      <c r="G150" s="398">
        <f>'[3]ISRS Addns Nov and Dec 2016'!I143</f>
        <v>14.77</v>
      </c>
      <c r="H150" s="304" t="s">
        <v>2247</v>
      </c>
      <c r="I150" s="304" t="s">
        <v>2248</v>
      </c>
    </row>
    <row r="151" spans="1:9" s="399" customFormat="1" ht="60">
      <c r="A151" s="395" t="str">
        <f>'[3]ISRS Addns Nov and Dec 2016'!C144</f>
        <v>800088</v>
      </c>
      <c r="B151" s="395" t="str">
        <f>'[3]ISRS Addns Nov and Dec 2016'!B144</f>
        <v>N/A</v>
      </c>
      <c r="C151" s="396" t="str">
        <f>'[3]ISRS Addns Nov and Dec 2016'!D144</f>
        <v>Holden Grid Phase 2D</v>
      </c>
      <c r="D151" s="397" t="s">
        <v>2536</v>
      </c>
      <c r="E151" s="395" t="str">
        <f>'[3]ISRS Addns Nov and Dec 2016'!E144</f>
        <v>F0604</v>
      </c>
      <c r="F151" s="396" t="str">
        <f>'[3]ISRS Addns Nov and Dec 2016'!F144</f>
        <v>Main Replacement - ISRS (S)</v>
      </c>
      <c r="G151" s="398">
        <f>'[3]ISRS Addns Nov and Dec 2016'!I144</f>
        <v>0.09</v>
      </c>
      <c r="H151" s="304" t="s">
        <v>2247</v>
      </c>
      <c r="I151" s="304" t="s">
        <v>2248</v>
      </c>
    </row>
    <row r="152" spans="1:9" s="399" customFormat="1" ht="60">
      <c r="A152" s="395" t="str">
        <f>'[3]ISRS Addns Nov and Dec 2016'!C145</f>
        <v>800088</v>
      </c>
      <c r="B152" s="395" t="str">
        <f>'[3]ISRS Addns Nov and Dec 2016'!B145</f>
        <v>N/A</v>
      </c>
      <c r="C152" s="396" t="str">
        <f>'[3]ISRS Addns Nov and Dec 2016'!D145</f>
        <v>Holden Grid Phase 2D</v>
      </c>
      <c r="D152" s="397" t="s">
        <v>2536</v>
      </c>
      <c r="E152" s="395" t="str">
        <f>'[3]ISRS Addns Nov and Dec 2016'!E145</f>
        <v>F0604</v>
      </c>
      <c r="F152" s="396" t="str">
        <f>'[3]ISRS Addns Nov and Dec 2016'!F145</f>
        <v>Main Replacement - ISRS (S)</v>
      </c>
      <c r="G152" s="398">
        <f>'[3]ISRS Addns Nov and Dec 2016'!I145</f>
        <v>1080.8699999999999</v>
      </c>
      <c r="H152" s="304" t="s">
        <v>2247</v>
      </c>
      <c r="I152" s="304" t="s">
        <v>2248</v>
      </c>
    </row>
    <row r="153" spans="1:9" s="399" customFormat="1" ht="60">
      <c r="A153" s="395" t="str">
        <f>'[3]ISRS Addns Nov and Dec 2016'!C146</f>
        <v>800088</v>
      </c>
      <c r="B153" s="395" t="str">
        <f>'[3]ISRS Addns Nov and Dec 2016'!B146</f>
        <v>N/A</v>
      </c>
      <c r="C153" s="396" t="str">
        <f>'[3]ISRS Addns Nov and Dec 2016'!D146</f>
        <v>Holden Grid Phase 2D</v>
      </c>
      <c r="D153" s="397" t="s">
        <v>2536</v>
      </c>
      <c r="E153" s="395" t="str">
        <f>'[3]ISRS Addns Nov and Dec 2016'!E146</f>
        <v>F0604</v>
      </c>
      <c r="F153" s="396" t="str">
        <f>'[3]ISRS Addns Nov and Dec 2016'!F146</f>
        <v>Main Replacement - ISRS (S)</v>
      </c>
      <c r="G153" s="398">
        <f>'[3]ISRS Addns Nov and Dec 2016'!I146</f>
        <v>1.78</v>
      </c>
      <c r="H153" s="304" t="s">
        <v>2247</v>
      </c>
      <c r="I153" s="304" t="s">
        <v>2248</v>
      </c>
    </row>
    <row r="154" spans="1:9" s="399" customFormat="1" ht="45">
      <c r="A154" s="395" t="str">
        <f>'[3]ISRS Addns Nov and Dec 2016'!C147</f>
        <v>800089</v>
      </c>
      <c r="B154" s="395" t="str">
        <f>'[3]ISRS Addns Nov and Dec 2016'!B147</f>
        <v>N/A</v>
      </c>
      <c r="C154" s="396" t="str">
        <f>'[3]ISRS Addns Nov and Dec 2016'!D147</f>
        <v>Holden Grid Phase 2C</v>
      </c>
      <c r="D154" s="397" t="s">
        <v>2537</v>
      </c>
      <c r="E154" s="395" t="str">
        <f>'[3]ISRS Addns Nov and Dec 2016'!E147</f>
        <v>F0604</v>
      </c>
      <c r="F154" s="396" t="str">
        <f>'[3]ISRS Addns Nov and Dec 2016'!F147</f>
        <v>Main Replacement - ISRS (S)</v>
      </c>
      <c r="G154" s="398">
        <f>'[3]ISRS Addns Nov and Dec 2016'!I147</f>
        <v>5834.44</v>
      </c>
      <c r="H154" s="304" t="s">
        <v>2247</v>
      </c>
      <c r="I154" s="304" t="s">
        <v>2248</v>
      </c>
    </row>
    <row r="155" spans="1:9" s="399" customFormat="1" ht="45">
      <c r="A155" s="395" t="str">
        <f>'[3]ISRS Addns Nov and Dec 2016'!C148</f>
        <v>800089</v>
      </c>
      <c r="B155" s="395" t="str">
        <f>'[3]ISRS Addns Nov and Dec 2016'!B148</f>
        <v>N/A</v>
      </c>
      <c r="C155" s="396" t="str">
        <f>'[3]ISRS Addns Nov and Dec 2016'!D148</f>
        <v>Holden Grid Phase 2C</v>
      </c>
      <c r="D155" s="397" t="s">
        <v>2537</v>
      </c>
      <c r="E155" s="395" t="str">
        <f>'[3]ISRS Addns Nov and Dec 2016'!E148</f>
        <v>F0604</v>
      </c>
      <c r="F155" s="396" t="str">
        <f>'[3]ISRS Addns Nov and Dec 2016'!F148</f>
        <v>Main Replacement - ISRS (S)</v>
      </c>
      <c r="G155" s="398">
        <f>'[3]ISRS Addns Nov and Dec 2016'!I148</f>
        <v>0.51</v>
      </c>
      <c r="H155" s="304" t="s">
        <v>2247</v>
      </c>
      <c r="I155" s="304" t="s">
        <v>2248</v>
      </c>
    </row>
    <row r="156" spans="1:9" s="399" customFormat="1" ht="45">
      <c r="A156" s="395" t="str">
        <f>'[3]ISRS Addns Nov and Dec 2016'!C149</f>
        <v>800089</v>
      </c>
      <c r="B156" s="395" t="str">
        <f>'[3]ISRS Addns Nov and Dec 2016'!B149</f>
        <v>N/A</v>
      </c>
      <c r="C156" s="396" t="str">
        <f>'[3]ISRS Addns Nov and Dec 2016'!D149</f>
        <v>Holden Grid Phase 2C</v>
      </c>
      <c r="D156" s="397" t="s">
        <v>2537</v>
      </c>
      <c r="E156" s="395" t="str">
        <f>'[3]ISRS Addns Nov and Dec 2016'!E149</f>
        <v>F0604</v>
      </c>
      <c r="F156" s="396" t="str">
        <f>'[3]ISRS Addns Nov and Dec 2016'!F149</f>
        <v>Main Replacement - ISRS (S)</v>
      </c>
      <c r="G156" s="398">
        <f>'[3]ISRS Addns Nov and Dec 2016'!I149</f>
        <v>274.27999999999997</v>
      </c>
      <c r="H156" s="304" t="s">
        <v>2247</v>
      </c>
      <c r="I156" s="304" t="s">
        <v>2248</v>
      </c>
    </row>
    <row r="157" spans="1:9" s="399" customFormat="1" ht="45">
      <c r="A157" s="395" t="str">
        <f>'[3]ISRS Addns Nov and Dec 2016'!C150</f>
        <v>800089</v>
      </c>
      <c r="B157" s="395" t="str">
        <f>'[3]ISRS Addns Nov and Dec 2016'!B150</f>
        <v>N/A</v>
      </c>
      <c r="C157" s="396" t="str">
        <f>'[3]ISRS Addns Nov and Dec 2016'!D150</f>
        <v>Holden Grid Phase 2C</v>
      </c>
      <c r="D157" s="397" t="s">
        <v>2537</v>
      </c>
      <c r="E157" s="395" t="str">
        <f>'[3]ISRS Addns Nov and Dec 2016'!E150</f>
        <v>F0604</v>
      </c>
      <c r="F157" s="396" t="str">
        <f>'[3]ISRS Addns Nov and Dec 2016'!F150</f>
        <v>Main Replacement - ISRS (S)</v>
      </c>
      <c r="G157" s="398">
        <f>'[3]ISRS Addns Nov and Dec 2016'!I150</f>
        <v>0.03</v>
      </c>
      <c r="H157" s="304" t="s">
        <v>2247</v>
      </c>
      <c r="I157" s="304" t="s">
        <v>2248</v>
      </c>
    </row>
    <row r="158" spans="1:9" s="399" customFormat="1" ht="45">
      <c r="A158" s="395" t="str">
        <f>'[3]ISRS Addns Nov and Dec 2016'!C151</f>
        <v>800104</v>
      </c>
      <c r="B158" s="395" t="str">
        <f>'[3]ISRS Addns Nov and Dec 2016'!B151</f>
        <v>N/A</v>
      </c>
      <c r="C158" s="396" t="str">
        <f>'[3]ISRS Addns Nov and Dec 2016'!D151</f>
        <v>Centerview Grid Replacement Phase 1</v>
      </c>
      <c r="D158" s="397" t="s">
        <v>2538</v>
      </c>
      <c r="E158" s="395" t="str">
        <f>'[3]ISRS Addns Nov and Dec 2016'!E151</f>
        <v>F0604</v>
      </c>
      <c r="F158" s="396" t="str">
        <f>'[3]ISRS Addns Nov and Dec 2016'!F151</f>
        <v>Main Replacement - ISRS (S)</v>
      </c>
      <c r="G158" s="398">
        <f>'[3]ISRS Addns Nov and Dec 2016'!I151</f>
        <v>20.51</v>
      </c>
      <c r="H158" s="304" t="s">
        <v>2247</v>
      </c>
      <c r="I158" s="304" t="s">
        <v>2248</v>
      </c>
    </row>
    <row r="159" spans="1:9" s="399" customFormat="1" ht="45">
      <c r="A159" s="395" t="str">
        <f>'[3]ISRS Addns Nov and Dec 2016'!C152</f>
        <v>800104</v>
      </c>
      <c r="B159" s="395" t="str">
        <f>'[3]ISRS Addns Nov and Dec 2016'!B152</f>
        <v>N/A</v>
      </c>
      <c r="C159" s="396" t="str">
        <f>'[3]ISRS Addns Nov and Dec 2016'!D152</f>
        <v>Centerview Grid Replacement Phase 1</v>
      </c>
      <c r="D159" s="397" t="s">
        <v>2538</v>
      </c>
      <c r="E159" s="395" t="str">
        <f>'[3]ISRS Addns Nov and Dec 2016'!E152</f>
        <v>F0604</v>
      </c>
      <c r="F159" s="396" t="str">
        <f>'[3]ISRS Addns Nov and Dec 2016'!F152</f>
        <v>Main Replacement - ISRS (S)</v>
      </c>
      <c r="G159" s="398">
        <f>'[3]ISRS Addns Nov and Dec 2016'!I152</f>
        <v>-15.14</v>
      </c>
      <c r="H159" s="304" t="s">
        <v>2247</v>
      </c>
      <c r="I159" s="304" t="s">
        <v>2248</v>
      </c>
    </row>
    <row r="160" spans="1:9" s="399" customFormat="1" ht="75">
      <c r="A160" s="395" t="str">
        <f>'[3]ISRS Addns Nov and Dec 2016'!C219</f>
        <v>800249</v>
      </c>
      <c r="B160" s="395" t="str">
        <f>'[3]ISRS Addns Nov and Dec 2016'!B219</f>
        <v>N/A</v>
      </c>
      <c r="C160" s="396" t="str">
        <f>'[3]ISRS Addns Nov and Dec 2016'!D219</f>
        <v>Replace 2" Main-Savage &amp; Pacific</v>
      </c>
      <c r="D160" s="397" t="s">
        <v>2560</v>
      </c>
      <c r="E160" s="395" t="str">
        <f>'[3]ISRS Addns Nov and Dec 2016'!E219</f>
        <v>F0604</v>
      </c>
      <c r="F160" s="396" t="str">
        <f>'[3]ISRS Addns Nov and Dec 2016'!F219</f>
        <v>Main Replacement - ISRS (S)</v>
      </c>
      <c r="G160" s="398">
        <f>'[3]ISRS Addns Nov and Dec 2016'!I219</f>
        <v>109.44</v>
      </c>
      <c r="H160" s="304" t="s">
        <v>2247</v>
      </c>
      <c r="I160" s="304" t="s">
        <v>2248</v>
      </c>
    </row>
    <row r="161" spans="1:9" s="399" customFormat="1" ht="120">
      <c r="A161" s="395" t="str">
        <f>'[3]ISRS Addns Nov and Dec 2016'!C220</f>
        <v>800254</v>
      </c>
      <c r="B161" s="395" t="str">
        <f>'[3]ISRS Addns Nov and Dec 2016'!B220</f>
        <v>N/A</v>
      </c>
      <c r="C161" s="396" t="str">
        <f>'[3]ISRS Addns Nov and Dec 2016'!D220</f>
        <v>Pleasant Hill Main Replacement- Pha</v>
      </c>
      <c r="D161" s="397" t="s">
        <v>2561</v>
      </c>
      <c r="E161" s="395" t="str">
        <f>'[3]ISRS Addns Nov and Dec 2016'!E220</f>
        <v>F0604</v>
      </c>
      <c r="F161" s="396" t="str">
        <f>'[3]ISRS Addns Nov and Dec 2016'!F220</f>
        <v>Main Replacement - ISRS (S)</v>
      </c>
      <c r="G161" s="398">
        <f>'[3]ISRS Addns Nov and Dec 2016'!I220</f>
        <v>-0.48</v>
      </c>
      <c r="H161" s="304" t="s">
        <v>2247</v>
      </c>
      <c r="I161" s="304" t="s">
        <v>2248</v>
      </c>
    </row>
    <row r="162" spans="1:9" s="399" customFormat="1" ht="120">
      <c r="A162" s="395" t="str">
        <f>'[3]ISRS Addns Nov and Dec 2016'!C221</f>
        <v>800254</v>
      </c>
      <c r="B162" s="395" t="str">
        <f>'[3]ISRS Addns Nov and Dec 2016'!B221</f>
        <v>N/A</v>
      </c>
      <c r="C162" s="396" t="str">
        <f>'[3]ISRS Addns Nov and Dec 2016'!D221</f>
        <v>Pleasant Hill Main Replacement- Pha</v>
      </c>
      <c r="D162" s="397" t="s">
        <v>2561</v>
      </c>
      <c r="E162" s="395" t="str">
        <f>'[3]ISRS Addns Nov and Dec 2016'!E221</f>
        <v>F0604</v>
      </c>
      <c r="F162" s="396" t="str">
        <f>'[3]ISRS Addns Nov and Dec 2016'!F221</f>
        <v>Main Replacement - ISRS (S)</v>
      </c>
      <c r="G162" s="398">
        <f>'[3]ISRS Addns Nov and Dec 2016'!I221</f>
        <v>-6498.03</v>
      </c>
      <c r="H162" s="304" t="s">
        <v>2247</v>
      </c>
      <c r="I162" s="304" t="s">
        <v>2248</v>
      </c>
    </row>
    <row r="163" spans="1:9" s="399" customFormat="1" ht="120">
      <c r="A163" s="395" t="str">
        <f>'[3]ISRS Addns Nov and Dec 2016'!C222</f>
        <v>800254</v>
      </c>
      <c r="B163" s="395" t="str">
        <f>'[3]ISRS Addns Nov and Dec 2016'!B222</f>
        <v>N/A</v>
      </c>
      <c r="C163" s="396" t="str">
        <f>'[3]ISRS Addns Nov and Dec 2016'!D222</f>
        <v>Pleasant Hill Main Replacement- Pha</v>
      </c>
      <c r="D163" s="397" t="s">
        <v>2561</v>
      </c>
      <c r="E163" s="395" t="str">
        <f>'[3]ISRS Addns Nov and Dec 2016'!E222</f>
        <v>F0604</v>
      </c>
      <c r="F163" s="396" t="str">
        <f>'[3]ISRS Addns Nov and Dec 2016'!F222</f>
        <v>Main Replacement - ISRS (S)</v>
      </c>
      <c r="G163" s="398">
        <f>'[3]ISRS Addns Nov and Dec 2016'!I222</f>
        <v>-3.62</v>
      </c>
      <c r="H163" s="304" t="s">
        <v>2247</v>
      </c>
      <c r="I163" s="304" t="s">
        <v>2248</v>
      </c>
    </row>
    <row r="164" spans="1:9" s="399" customFormat="1" ht="120">
      <c r="A164" s="395" t="str">
        <f>'[3]ISRS Addns Nov and Dec 2016'!C223</f>
        <v>800254</v>
      </c>
      <c r="B164" s="395" t="str">
        <f>'[3]ISRS Addns Nov and Dec 2016'!B223</f>
        <v>N/A</v>
      </c>
      <c r="C164" s="396" t="str">
        <f>'[3]ISRS Addns Nov and Dec 2016'!D223</f>
        <v>Pleasant Hill Main Replacement- Pha</v>
      </c>
      <c r="D164" s="397" t="s">
        <v>2561</v>
      </c>
      <c r="E164" s="395" t="str">
        <f>'[3]ISRS Addns Nov and Dec 2016'!E223</f>
        <v>F0604</v>
      </c>
      <c r="F164" s="396" t="str">
        <f>'[3]ISRS Addns Nov and Dec 2016'!F223</f>
        <v>Main Replacement - ISRS (S)</v>
      </c>
      <c r="G164" s="398">
        <f>'[3]ISRS Addns Nov and Dec 2016'!I223</f>
        <v>1.38</v>
      </c>
      <c r="H164" s="304" t="s">
        <v>2247</v>
      </c>
      <c r="I164" s="304" t="s">
        <v>2248</v>
      </c>
    </row>
    <row r="165" spans="1:9" s="399" customFormat="1" ht="120">
      <c r="A165" s="395" t="str">
        <f>'[3]ISRS Addns Nov and Dec 2016'!C224</f>
        <v>800254</v>
      </c>
      <c r="B165" s="395" t="str">
        <f>'[3]ISRS Addns Nov and Dec 2016'!B224</f>
        <v>N/A</v>
      </c>
      <c r="C165" s="396" t="str">
        <f>'[3]ISRS Addns Nov and Dec 2016'!D224</f>
        <v>Pleasant Hill Main Replacement- Pha</v>
      </c>
      <c r="D165" s="397" t="s">
        <v>2561</v>
      </c>
      <c r="E165" s="395" t="str">
        <f>'[3]ISRS Addns Nov and Dec 2016'!E224</f>
        <v>F0604</v>
      </c>
      <c r="F165" s="396" t="str">
        <f>'[3]ISRS Addns Nov and Dec 2016'!F224</f>
        <v>Main Replacement - ISRS (S)</v>
      </c>
      <c r="G165" s="398">
        <f>'[3]ISRS Addns Nov and Dec 2016'!I224</f>
        <v>19109.57</v>
      </c>
      <c r="H165" s="304" t="s">
        <v>2247</v>
      </c>
      <c r="I165" s="304" t="s">
        <v>2248</v>
      </c>
    </row>
    <row r="166" spans="1:9" s="399" customFormat="1" ht="120">
      <c r="A166" s="395" t="str">
        <f>'[3]ISRS Addns Nov and Dec 2016'!C225</f>
        <v>800254</v>
      </c>
      <c r="B166" s="395" t="str">
        <f>'[3]ISRS Addns Nov and Dec 2016'!B225</f>
        <v>N/A</v>
      </c>
      <c r="C166" s="396" t="str">
        <f>'[3]ISRS Addns Nov and Dec 2016'!D225</f>
        <v>Pleasant Hill Main Replacement- Pha</v>
      </c>
      <c r="D166" s="397" t="s">
        <v>2561</v>
      </c>
      <c r="E166" s="395" t="str">
        <f>'[3]ISRS Addns Nov and Dec 2016'!E225</f>
        <v>F0604</v>
      </c>
      <c r="F166" s="396" t="str">
        <f>'[3]ISRS Addns Nov and Dec 2016'!F225</f>
        <v>Main Replacement - ISRS (S)</v>
      </c>
      <c r="G166" s="398">
        <f>'[3]ISRS Addns Nov and Dec 2016'!I225</f>
        <v>10.69</v>
      </c>
      <c r="H166" s="304" t="s">
        <v>2247</v>
      </c>
      <c r="I166" s="304" t="s">
        <v>2248</v>
      </c>
    </row>
    <row r="167" spans="1:9" s="399" customFormat="1" ht="90">
      <c r="A167" s="395" t="str">
        <f>'[3]ISRS Addns Nov and Dec 2016'!C226</f>
        <v>800255</v>
      </c>
      <c r="B167" s="395" t="str">
        <f>'[3]ISRS Addns Nov and Dec 2016'!B226</f>
        <v>N/A</v>
      </c>
      <c r="C167" s="396" t="str">
        <f>'[3]ISRS Addns Nov and Dec 2016'!D226</f>
        <v>Pleasant Hill Main Replace-Phase 2</v>
      </c>
      <c r="D167" s="397" t="s">
        <v>2562</v>
      </c>
      <c r="E167" s="395" t="str">
        <f>'[3]ISRS Addns Nov and Dec 2016'!E226</f>
        <v>F0604</v>
      </c>
      <c r="F167" s="396" t="str">
        <f>'[3]ISRS Addns Nov and Dec 2016'!F226</f>
        <v>Main Replacement - ISRS (S)</v>
      </c>
      <c r="G167" s="398">
        <f>'[3]ISRS Addns Nov and Dec 2016'!I226</f>
        <v>20147.21</v>
      </c>
      <c r="H167" s="304" t="s">
        <v>2247</v>
      </c>
      <c r="I167" s="304" t="s">
        <v>2248</v>
      </c>
    </row>
    <row r="168" spans="1:9" s="399" customFormat="1" ht="90">
      <c r="A168" s="395" t="str">
        <f>'[3]ISRS Addns Nov and Dec 2016'!C227</f>
        <v>800255</v>
      </c>
      <c r="B168" s="395" t="str">
        <f>'[3]ISRS Addns Nov and Dec 2016'!B227</f>
        <v>N/A</v>
      </c>
      <c r="C168" s="396" t="str">
        <f>'[3]ISRS Addns Nov and Dec 2016'!D227</f>
        <v>Pleasant Hill Main Replace-Phase 2</v>
      </c>
      <c r="D168" s="397" t="s">
        <v>2562</v>
      </c>
      <c r="E168" s="395" t="str">
        <f>'[3]ISRS Addns Nov and Dec 2016'!E227</f>
        <v>F0604</v>
      </c>
      <c r="F168" s="396" t="str">
        <f>'[3]ISRS Addns Nov and Dec 2016'!F227</f>
        <v>Main Replacement - ISRS (S)</v>
      </c>
      <c r="G168" s="398">
        <f>'[3]ISRS Addns Nov and Dec 2016'!I227</f>
        <v>845.84</v>
      </c>
      <c r="H168" s="304" t="s">
        <v>2247</v>
      </c>
      <c r="I168" s="304" t="s">
        <v>2248</v>
      </c>
    </row>
    <row r="169" spans="1:9" s="399" customFormat="1" ht="90">
      <c r="A169" s="395" t="str">
        <f>'[3]ISRS Addns Nov and Dec 2016'!C228</f>
        <v>800255</v>
      </c>
      <c r="B169" s="395" t="str">
        <f>'[3]ISRS Addns Nov and Dec 2016'!B228</f>
        <v>N/A</v>
      </c>
      <c r="C169" s="396" t="str">
        <f>'[3]ISRS Addns Nov and Dec 2016'!D228</f>
        <v>Pleasant Hill Main Replace-Phase 2</v>
      </c>
      <c r="D169" s="397" t="s">
        <v>2562</v>
      </c>
      <c r="E169" s="395" t="str">
        <f>'[3]ISRS Addns Nov and Dec 2016'!E228</f>
        <v>F0604</v>
      </c>
      <c r="F169" s="396" t="str">
        <f>'[3]ISRS Addns Nov and Dec 2016'!F228</f>
        <v>Main Replacement - ISRS (S)</v>
      </c>
      <c r="G169" s="398">
        <f>'[3]ISRS Addns Nov and Dec 2016'!I228</f>
        <v>527.91</v>
      </c>
      <c r="H169" s="304" t="s">
        <v>2247</v>
      </c>
      <c r="I169" s="304" t="s">
        <v>2248</v>
      </c>
    </row>
    <row r="170" spans="1:9" s="399" customFormat="1" ht="90">
      <c r="A170" s="395" t="str">
        <f>'[3]ISRS Addns Nov and Dec 2016'!C229</f>
        <v>800255</v>
      </c>
      <c r="B170" s="395" t="str">
        <f>'[3]ISRS Addns Nov and Dec 2016'!B229</f>
        <v>N/A</v>
      </c>
      <c r="C170" s="396" t="str">
        <f>'[3]ISRS Addns Nov and Dec 2016'!D229</f>
        <v>Pleasant Hill Main Replace-Phase 2</v>
      </c>
      <c r="D170" s="397" t="s">
        <v>2562</v>
      </c>
      <c r="E170" s="395" t="str">
        <f>'[3]ISRS Addns Nov and Dec 2016'!E229</f>
        <v>F0604</v>
      </c>
      <c r="F170" s="396" t="str">
        <f>'[3]ISRS Addns Nov and Dec 2016'!F229</f>
        <v>Main Replacement - ISRS (S)</v>
      </c>
      <c r="G170" s="398">
        <f>'[3]ISRS Addns Nov and Dec 2016'!I229</f>
        <v>22.17</v>
      </c>
      <c r="H170" s="304" t="s">
        <v>2247</v>
      </c>
      <c r="I170" s="304" t="s">
        <v>2248</v>
      </c>
    </row>
    <row r="171" spans="1:9" s="399" customFormat="1" ht="30">
      <c r="A171" s="395" t="str">
        <f>'[3]ISRS Addns Nov and Dec 2016'!C253</f>
        <v>800428</v>
      </c>
      <c r="B171" s="395" t="str">
        <f>'[3]ISRS Addns Nov and Dec 2016'!B253</f>
        <v>N/A</v>
      </c>
      <c r="C171" s="396" t="str">
        <f>'[3]ISRS Addns Nov and Dec 2016'!D253</f>
        <v>Aber and MorrelRepl Bare Steel Main</v>
      </c>
      <c r="D171" s="397" t="s">
        <v>2574</v>
      </c>
      <c r="E171" s="395" t="str">
        <f>'[3]ISRS Addns Nov and Dec 2016'!E253</f>
        <v>F0604</v>
      </c>
      <c r="F171" s="396" t="str">
        <f>'[3]ISRS Addns Nov and Dec 2016'!F253</f>
        <v>Main Replacement - ISRS (S)</v>
      </c>
      <c r="G171" s="398">
        <f>'[3]ISRS Addns Nov and Dec 2016'!I253</f>
        <v>-4007.6</v>
      </c>
      <c r="H171" s="304" t="s">
        <v>2247</v>
      </c>
      <c r="I171" s="304" t="s">
        <v>2248</v>
      </c>
    </row>
    <row r="172" spans="1:9" s="399" customFormat="1" ht="60">
      <c r="A172" s="395" t="str">
        <f>'[3]ISRS Addns Nov and Dec 2016'!C254</f>
        <v>800430</v>
      </c>
      <c r="B172" s="395" t="str">
        <f>'[3]ISRS Addns Nov and Dec 2016'!B254</f>
        <v>N/A</v>
      </c>
      <c r="C172" s="396" t="str">
        <f>'[3]ISRS Addns Nov and Dec 2016'!D254</f>
        <v>Repl w 4625F 2-4P TCLea&amp;Rogers Ph1</v>
      </c>
      <c r="D172" s="397" t="s">
        <v>2575</v>
      </c>
      <c r="E172" s="395" t="str">
        <f>'[3]ISRS Addns Nov and Dec 2016'!E254</f>
        <v>F0604</v>
      </c>
      <c r="F172" s="396" t="str">
        <f>'[3]ISRS Addns Nov and Dec 2016'!F254</f>
        <v>Main Replacement - ISRS (S)</v>
      </c>
      <c r="G172" s="398">
        <f>'[3]ISRS Addns Nov and Dec 2016'!I254</f>
        <v>-248.73</v>
      </c>
      <c r="H172" s="304" t="s">
        <v>2247</v>
      </c>
      <c r="I172" s="304" t="s">
        <v>2248</v>
      </c>
    </row>
    <row r="173" spans="1:9" s="399" customFormat="1" ht="60">
      <c r="A173" s="395" t="str">
        <f>'[3]ISRS Addns Nov and Dec 2016'!C255</f>
        <v>800430</v>
      </c>
      <c r="B173" s="395" t="str">
        <f>'[3]ISRS Addns Nov and Dec 2016'!B255</f>
        <v>N/A</v>
      </c>
      <c r="C173" s="396" t="str">
        <f>'[3]ISRS Addns Nov and Dec 2016'!D255</f>
        <v>Repl w 4625F 2-4P TCLea&amp;Rogers Ph1</v>
      </c>
      <c r="D173" s="397" t="s">
        <v>2575</v>
      </c>
      <c r="E173" s="395" t="str">
        <f>'[3]ISRS Addns Nov and Dec 2016'!E255</f>
        <v>F0604</v>
      </c>
      <c r="F173" s="396" t="str">
        <f>'[3]ISRS Addns Nov and Dec 2016'!F255</f>
        <v>Main Replacement - ISRS (S)</v>
      </c>
      <c r="G173" s="398">
        <f>'[3]ISRS Addns Nov and Dec 2016'!I255</f>
        <v>-5.86</v>
      </c>
      <c r="H173" s="304" t="s">
        <v>2247</v>
      </c>
      <c r="I173" s="304" t="s">
        <v>2248</v>
      </c>
    </row>
    <row r="174" spans="1:9" s="399" customFormat="1" ht="60">
      <c r="A174" s="395" t="str">
        <f>'[3]ISRS Addns Nov and Dec 2016'!C256</f>
        <v>800430</v>
      </c>
      <c r="B174" s="395" t="str">
        <f>'[3]ISRS Addns Nov and Dec 2016'!B256</f>
        <v>N/A</v>
      </c>
      <c r="C174" s="396" t="str">
        <f>'[3]ISRS Addns Nov and Dec 2016'!D256</f>
        <v>Repl w 4625F 2-4P TCLea&amp;Rogers Ph1</v>
      </c>
      <c r="D174" s="397" t="s">
        <v>2575</v>
      </c>
      <c r="E174" s="395" t="str">
        <f>'[3]ISRS Addns Nov and Dec 2016'!E256</f>
        <v>F0604</v>
      </c>
      <c r="F174" s="396" t="str">
        <f>'[3]ISRS Addns Nov and Dec 2016'!F256</f>
        <v>Main Replacement - ISRS (S)</v>
      </c>
      <c r="G174" s="398">
        <f>'[3]ISRS Addns Nov and Dec 2016'!I256</f>
        <v>150.94</v>
      </c>
      <c r="H174" s="304" t="s">
        <v>2247</v>
      </c>
      <c r="I174" s="304" t="s">
        <v>2248</v>
      </c>
    </row>
    <row r="175" spans="1:9" s="399" customFormat="1" ht="60">
      <c r="A175" s="395" t="str">
        <f>'[3]ISRS Addns Nov and Dec 2016'!C257</f>
        <v>800430</v>
      </c>
      <c r="B175" s="395" t="str">
        <f>'[3]ISRS Addns Nov and Dec 2016'!B257</f>
        <v>N/A</v>
      </c>
      <c r="C175" s="396" t="str">
        <f>'[3]ISRS Addns Nov and Dec 2016'!D257</f>
        <v>Repl w 4625F 2-4P TCLea&amp;Rogers Ph1</v>
      </c>
      <c r="D175" s="397" t="s">
        <v>2575</v>
      </c>
      <c r="E175" s="395" t="str">
        <f>'[3]ISRS Addns Nov and Dec 2016'!E257</f>
        <v>F0604</v>
      </c>
      <c r="F175" s="396" t="str">
        <f>'[3]ISRS Addns Nov and Dec 2016'!F257</f>
        <v>Main Replacement - ISRS (S)</v>
      </c>
      <c r="G175" s="398">
        <f>'[3]ISRS Addns Nov and Dec 2016'!I257</f>
        <v>3.56</v>
      </c>
      <c r="H175" s="304" t="s">
        <v>2247</v>
      </c>
      <c r="I175" s="304" t="s">
        <v>2248</v>
      </c>
    </row>
    <row r="176" spans="1:9" s="399" customFormat="1" ht="45">
      <c r="A176" s="395" t="str">
        <f>'[3]ISRS Addns Nov and Dec 2016'!C258</f>
        <v>800543</v>
      </c>
      <c r="B176" s="395" t="str">
        <f>'[3]ISRS Addns Nov and Dec 2016'!B258</f>
        <v>N/A</v>
      </c>
      <c r="C176" s="396" t="str">
        <f>'[3]ISRS Addns Nov and Dec 2016'!D258</f>
        <v>Repl w/ 4265F 2P TC Lea &amp;RogersPh2</v>
      </c>
      <c r="D176" s="397" t="s">
        <v>2576</v>
      </c>
      <c r="E176" s="395" t="str">
        <f>'[3]ISRS Addns Nov and Dec 2016'!E258</f>
        <v>F0604</v>
      </c>
      <c r="F176" s="396" t="str">
        <f>'[3]ISRS Addns Nov and Dec 2016'!F258</f>
        <v>Main Replacement - ISRS (S)</v>
      </c>
      <c r="G176" s="398">
        <f>'[3]ISRS Addns Nov and Dec 2016'!I258</f>
        <v>1070.44</v>
      </c>
      <c r="H176" s="304" t="s">
        <v>2247</v>
      </c>
      <c r="I176" s="304" t="s">
        <v>2248</v>
      </c>
    </row>
    <row r="177" spans="1:9" s="399" customFormat="1" ht="45">
      <c r="A177" s="395" t="str">
        <f>'[3]ISRS Addns Nov and Dec 2016'!C259</f>
        <v>800543</v>
      </c>
      <c r="B177" s="395" t="str">
        <f>'[3]ISRS Addns Nov and Dec 2016'!B259</f>
        <v>N/A</v>
      </c>
      <c r="C177" s="396" t="str">
        <f>'[3]ISRS Addns Nov and Dec 2016'!D259</f>
        <v>Repl w/ 4265F 2P TC Lea &amp;RogersPh2</v>
      </c>
      <c r="D177" s="397" t="s">
        <v>2576</v>
      </c>
      <c r="E177" s="395" t="str">
        <f>'[3]ISRS Addns Nov and Dec 2016'!E259</f>
        <v>F0604</v>
      </c>
      <c r="F177" s="396" t="str">
        <f>'[3]ISRS Addns Nov and Dec 2016'!F259</f>
        <v>Main Replacement - ISRS (S)</v>
      </c>
      <c r="G177" s="398">
        <f>'[3]ISRS Addns Nov and Dec 2016'!I259</f>
        <v>11.24</v>
      </c>
      <c r="H177" s="304" t="s">
        <v>2247</v>
      </c>
      <c r="I177" s="304" t="s">
        <v>2248</v>
      </c>
    </row>
    <row r="178" spans="1:9" s="399" customFormat="1" ht="45">
      <c r="A178" s="395" t="str">
        <f>'[3]ISRS Addns Nov and Dec 2016'!C260</f>
        <v>800543</v>
      </c>
      <c r="B178" s="395" t="str">
        <f>'[3]ISRS Addns Nov and Dec 2016'!B260</f>
        <v>N/A</v>
      </c>
      <c r="C178" s="396" t="str">
        <f>'[3]ISRS Addns Nov and Dec 2016'!D260</f>
        <v>Repl w/ 4265F 2P TC Lea &amp;RogersPh2</v>
      </c>
      <c r="D178" s="397" t="s">
        <v>2576</v>
      </c>
      <c r="E178" s="395" t="str">
        <f>'[3]ISRS Addns Nov and Dec 2016'!E260</f>
        <v>F0604</v>
      </c>
      <c r="F178" s="396" t="str">
        <f>'[3]ISRS Addns Nov and Dec 2016'!F260</f>
        <v>Main Replacement - ISRS (S)</v>
      </c>
      <c r="G178" s="398">
        <f>'[3]ISRS Addns Nov and Dec 2016'!I260</f>
        <v>340.08</v>
      </c>
      <c r="H178" s="304" t="s">
        <v>2247</v>
      </c>
      <c r="I178" s="304" t="s">
        <v>2248</v>
      </c>
    </row>
    <row r="179" spans="1:9" s="399" customFormat="1" ht="45">
      <c r="A179" s="395" t="str">
        <f>'[3]ISRS Addns Nov and Dec 2016'!C261</f>
        <v>800543</v>
      </c>
      <c r="B179" s="395" t="str">
        <f>'[3]ISRS Addns Nov and Dec 2016'!B261</f>
        <v>N/A</v>
      </c>
      <c r="C179" s="396" t="str">
        <f>'[3]ISRS Addns Nov and Dec 2016'!D261</f>
        <v>Repl w/ 4265F 2P TC Lea &amp;RogersPh2</v>
      </c>
      <c r="D179" s="397" t="s">
        <v>2576</v>
      </c>
      <c r="E179" s="395" t="str">
        <f>'[3]ISRS Addns Nov and Dec 2016'!E261</f>
        <v>F0604</v>
      </c>
      <c r="F179" s="396" t="str">
        <f>'[3]ISRS Addns Nov and Dec 2016'!F261</f>
        <v>Main Replacement - ISRS (S)</v>
      </c>
      <c r="G179" s="398">
        <f>'[3]ISRS Addns Nov and Dec 2016'!I261</f>
        <v>3.56</v>
      </c>
      <c r="H179" s="304" t="s">
        <v>2247</v>
      </c>
      <c r="I179" s="304" t="s">
        <v>2248</v>
      </c>
    </row>
    <row r="180" spans="1:9" s="399" customFormat="1" ht="75">
      <c r="A180" s="395" t="str">
        <f>'[3]ISRS Addns Nov and Dec 2016'!C266</f>
        <v>800557</v>
      </c>
      <c r="B180" s="395" t="str">
        <f>'[3]ISRS Addns Nov and Dec 2016'!B266</f>
        <v>N/A</v>
      </c>
      <c r="C180" s="396" t="str">
        <f>'[3]ISRS Addns Nov and Dec 2016'!D266</f>
        <v>Repl 4185F 8S Colbern Feeder Main</v>
      </c>
      <c r="D180" s="397" t="s">
        <v>2578</v>
      </c>
      <c r="E180" s="395" t="str">
        <f>'[3]ISRS Addns Nov and Dec 2016'!E266</f>
        <v>F0604</v>
      </c>
      <c r="F180" s="396" t="str">
        <f>'[3]ISRS Addns Nov and Dec 2016'!F266</f>
        <v>Main Replacement - ISRS (S)</v>
      </c>
      <c r="G180" s="398">
        <f>'[3]ISRS Addns Nov and Dec 2016'!I266</f>
        <v>-85.8</v>
      </c>
      <c r="H180" s="304" t="s">
        <v>2247</v>
      </c>
      <c r="I180" s="304" t="s">
        <v>2248</v>
      </c>
    </row>
    <row r="181" spans="1:9" s="399" customFormat="1" ht="75">
      <c r="A181" s="395" t="str">
        <f>'[3]ISRS Addns Nov and Dec 2016'!C267</f>
        <v>800557</v>
      </c>
      <c r="B181" s="395" t="str">
        <f>'[3]ISRS Addns Nov and Dec 2016'!B267</f>
        <v>N/A</v>
      </c>
      <c r="C181" s="396" t="str">
        <f>'[3]ISRS Addns Nov and Dec 2016'!D267</f>
        <v>Repl 4185F 8S Colbern Feeder Main</v>
      </c>
      <c r="D181" s="397" t="s">
        <v>2578</v>
      </c>
      <c r="E181" s="395" t="str">
        <f>'[3]ISRS Addns Nov and Dec 2016'!E267</f>
        <v>F0604</v>
      </c>
      <c r="F181" s="396" t="str">
        <f>'[3]ISRS Addns Nov and Dec 2016'!F267</f>
        <v>Main Replacement - ISRS (S)</v>
      </c>
      <c r="G181" s="398">
        <f>'[3]ISRS Addns Nov and Dec 2016'!I267</f>
        <v>-0.33</v>
      </c>
      <c r="H181" s="304" t="s">
        <v>2247</v>
      </c>
      <c r="I181" s="304" t="s">
        <v>2248</v>
      </c>
    </row>
    <row r="182" spans="1:9" s="399" customFormat="1" ht="75">
      <c r="A182" s="395" t="str">
        <f>'[3]ISRS Addns Nov and Dec 2016'!C268</f>
        <v>800557</v>
      </c>
      <c r="B182" s="395" t="str">
        <f>'[3]ISRS Addns Nov and Dec 2016'!B268</f>
        <v>N/A</v>
      </c>
      <c r="C182" s="396" t="str">
        <f>'[3]ISRS Addns Nov and Dec 2016'!D268</f>
        <v>Repl 4185F 8S Colbern Feeder Main</v>
      </c>
      <c r="D182" s="397" t="s">
        <v>2578</v>
      </c>
      <c r="E182" s="395" t="str">
        <f>'[3]ISRS Addns Nov and Dec 2016'!E268</f>
        <v>F0604</v>
      </c>
      <c r="F182" s="396" t="str">
        <f>'[3]ISRS Addns Nov and Dec 2016'!F268</f>
        <v>Main Replacement - ISRS (S)</v>
      </c>
      <c r="G182" s="398">
        <f>'[3]ISRS Addns Nov and Dec 2016'!I268</f>
        <v>79.400000000000006</v>
      </c>
      <c r="H182" s="304" t="s">
        <v>2247</v>
      </c>
      <c r="I182" s="304" t="s">
        <v>2248</v>
      </c>
    </row>
    <row r="183" spans="1:9" s="399" customFormat="1" ht="75">
      <c r="A183" s="395" t="str">
        <f>'[3]ISRS Addns Nov and Dec 2016'!C269</f>
        <v>800557</v>
      </c>
      <c r="B183" s="395" t="str">
        <f>'[3]ISRS Addns Nov and Dec 2016'!B269</f>
        <v>N/A</v>
      </c>
      <c r="C183" s="396" t="str">
        <f>'[3]ISRS Addns Nov and Dec 2016'!D269</f>
        <v>Repl 4185F 8S Colbern Feeder Main</v>
      </c>
      <c r="D183" s="397" t="s">
        <v>2578</v>
      </c>
      <c r="E183" s="395" t="str">
        <f>'[3]ISRS Addns Nov and Dec 2016'!E269</f>
        <v>F0604</v>
      </c>
      <c r="F183" s="396" t="str">
        <f>'[3]ISRS Addns Nov and Dec 2016'!F269</f>
        <v>Main Replacement - ISRS (S)</v>
      </c>
      <c r="G183" s="398">
        <f>'[3]ISRS Addns Nov and Dec 2016'!I269</f>
        <v>0.3</v>
      </c>
      <c r="H183" s="304" t="s">
        <v>2247</v>
      </c>
      <c r="I183" s="304" t="s">
        <v>2248</v>
      </c>
    </row>
    <row r="184" spans="1:9" s="399" customFormat="1" ht="60">
      <c r="A184" s="395" t="str">
        <f>'[3]ISRS Addns Nov and Dec 2016'!C277</f>
        <v>800622</v>
      </c>
      <c r="B184" s="395" t="str">
        <f>'[3]ISRS Addns Nov and Dec 2016'!B277</f>
        <v>N/A</v>
      </c>
      <c r="C184" s="396" t="str">
        <f>'[3]ISRS Addns Nov and Dec 2016'!D277</f>
        <v>Repl w/ 5785F 2P 29th &amp; Northern</v>
      </c>
      <c r="D184" s="397" t="s">
        <v>2583</v>
      </c>
      <c r="E184" s="395" t="str">
        <f>'[3]ISRS Addns Nov and Dec 2016'!E277</f>
        <v>F0604</v>
      </c>
      <c r="F184" s="396" t="str">
        <f>'[3]ISRS Addns Nov and Dec 2016'!F277</f>
        <v>Main Replacement - ISRS (S)</v>
      </c>
      <c r="G184" s="398">
        <f>'[3]ISRS Addns Nov and Dec 2016'!I277</f>
        <v>254401.45</v>
      </c>
      <c r="H184" s="304" t="s">
        <v>2247</v>
      </c>
      <c r="I184" s="304" t="s">
        <v>2248</v>
      </c>
    </row>
    <row r="185" spans="1:9" s="399" customFormat="1" ht="60">
      <c r="A185" s="395" t="str">
        <f>'[3]ISRS Addns Nov and Dec 2016'!C278</f>
        <v>800622</v>
      </c>
      <c r="B185" s="395" t="str">
        <f>'[3]ISRS Addns Nov and Dec 2016'!B278</f>
        <v>N/A</v>
      </c>
      <c r="C185" s="396" t="str">
        <f>'[3]ISRS Addns Nov and Dec 2016'!D278</f>
        <v>Repl w/ 5785F 2P 29th &amp; Northern</v>
      </c>
      <c r="D185" s="397" t="s">
        <v>2583</v>
      </c>
      <c r="E185" s="395" t="str">
        <f>'[3]ISRS Addns Nov and Dec 2016'!E278</f>
        <v>F0604</v>
      </c>
      <c r="F185" s="396" t="str">
        <f>'[3]ISRS Addns Nov and Dec 2016'!F278</f>
        <v>Main Replacement - ISRS (S)</v>
      </c>
      <c r="G185" s="398">
        <f>'[3]ISRS Addns Nov and Dec 2016'!I278</f>
        <v>168434.91</v>
      </c>
      <c r="H185" s="304" t="s">
        <v>2247</v>
      </c>
      <c r="I185" s="304" t="s">
        <v>2248</v>
      </c>
    </row>
    <row r="186" spans="1:9" s="399" customFormat="1" ht="45">
      <c r="A186" s="395" t="str">
        <f>'[3]ISRS Addns Nov and Dec 2016'!C285</f>
        <v>800724</v>
      </c>
      <c r="B186" s="395" t="str">
        <f>'[3]ISRS Addns Nov and Dec 2016'!B285</f>
        <v>N/A</v>
      </c>
      <c r="C186" s="396" t="str">
        <f>'[3]ISRS Addns Nov and Dec 2016'!D285</f>
        <v>Repl w 2490F 2-4P 60th Terr &amp; Elm</v>
      </c>
      <c r="D186" s="397" t="s">
        <v>2587</v>
      </c>
      <c r="E186" s="395" t="str">
        <f>'[3]ISRS Addns Nov and Dec 2016'!E285</f>
        <v>F0604</v>
      </c>
      <c r="F186" s="396" t="str">
        <f>'[3]ISRS Addns Nov and Dec 2016'!F285</f>
        <v>Main Replacement - ISRS (S)</v>
      </c>
      <c r="G186" s="398">
        <f>'[3]ISRS Addns Nov and Dec 2016'!I285</f>
        <v>61311.21</v>
      </c>
      <c r="H186" s="304" t="s">
        <v>2247</v>
      </c>
      <c r="I186" s="304" t="s">
        <v>2248</v>
      </c>
    </row>
    <row r="187" spans="1:9" s="399" customFormat="1" ht="45">
      <c r="A187" s="395" t="str">
        <f>'[3]ISRS Addns Nov and Dec 2016'!C286</f>
        <v>800724</v>
      </c>
      <c r="B187" s="395" t="str">
        <f>'[3]ISRS Addns Nov and Dec 2016'!B286</f>
        <v>N/A</v>
      </c>
      <c r="C187" s="396" t="str">
        <f>'[3]ISRS Addns Nov and Dec 2016'!D286</f>
        <v>Repl w 2490F 2-4P 60th Terr &amp; Elm</v>
      </c>
      <c r="D187" s="397" t="s">
        <v>2587</v>
      </c>
      <c r="E187" s="395" t="str">
        <f>'[3]ISRS Addns Nov and Dec 2016'!E286</f>
        <v>F0604</v>
      </c>
      <c r="F187" s="396" t="str">
        <f>'[3]ISRS Addns Nov and Dec 2016'!F286</f>
        <v>Main Replacement - ISRS (S)</v>
      </c>
      <c r="G187" s="398">
        <f>'[3]ISRS Addns Nov and Dec 2016'!I286</f>
        <v>33859.339999999997</v>
      </c>
      <c r="H187" s="304" t="s">
        <v>2247</v>
      </c>
      <c r="I187" s="304" t="s">
        <v>2248</v>
      </c>
    </row>
    <row r="188" spans="1:9" s="399" customFormat="1" ht="60">
      <c r="A188" s="395" t="str">
        <f>'[3]ISRS Addns Nov and Dec 2016'!C75</f>
        <v>800038</v>
      </c>
      <c r="B188" s="395" t="str">
        <f>'[3]ISRS Addns Nov and Dec 2016'!B75</f>
        <v>N/A</v>
      </c>
      <c r="C188" s="396" t="str">
        <f>'[3]ISRS Addns Nov and Dec 2016'!D75</f>
        <v>Main Replacemen due to CPs/Iso Stee</v>
      </c>
      <c r="D188" s="397" t="s">
        <v>2518</v>
      </c>
      <c r="E188" s="395" t="str">
        <f>'[3]ISRS Addns Nov and Dec 2016'!E75</f>
        <v>F0572</v>
      </c>
      <c r="F188" s="396" t="str">
        <f>'[3]ISRS Addns Nov and Dec 2016'!F75</f>
        <v>Main Replacement - ISRS (SW)</v>
      </c>
      <c r="G188" s="398">
        <f>'[3]ISRS Addns Nov and Dec 2016'!I75</f>
        <v>-3331.29</v>
      </c>
      <c r="H188" s="304" t="s">
        <v>2247</v>
      </c>
      <c r="I188" s="304" t="s">
        <v>2248</v>
      </c>
    </row>
    <row r="189" spans="1:9" s="399" customFormat="1" ht="60">
      <c r="A189" s="395" t="str">
        <f>'[3]ISRS Addns Nov and Dec 2016'!C76</f>
        <v>800038</v>
      </c>
      <c r="B189" s="395" t="str">
        <f>'[3]ISRS Addns Nov and Dec 2016'!B76</f>
        <v>N/A</v>
      </c>
      <c r="C189" s="396" t="str">
        <f>'[3]ISRS Addns Nov and Dec 2016'!D76</f>
        <v>Main Replacemen due to CPs/Iso Stee</v>
      </c>
      <c r="D189" s="397" t="s">
        <v>2518</v>
      </c>
      <c r="E189" s="395" t="str">
        <f>'[3]ISRS Addns Nov and Dec 2016'!E76</f>
        <v>F0572</v>
      </c>
      <c r="F189" s="396" t="str">
        <f>'[3]ISRS Addns Nov and Dec 2016'!F76</f>
        <v>Main Replacement - ISRS (SW)</v>
      </c>
      <c r="G189" s="398">
        <f>'[3]ISRS Addns Nov and Dec 2016'!I76</f>
        <v>133.21</v>
      </c>
      <c r="H189" s="304" t="s">
        <v>2247</v>
      </c>
      <c r="I189" s="304" t="s">
        <v>2248</v>
      </c>
    </row>
    <row r="190" spans="1:9" s="399" customFormat="1" ht="60">
      <c r="A190" s="395" t="str">
        <f>'[3]ISRS Addns Nov and Dec 2016'!C93</f>
        <v>800064</v>
      </c>
      <c r="B190" s="395" t="str">
        <f>'[3]ISRS Addns Nov and Dec 2016'!B93</f>
        <v>N/A</v>
      </c>
      <c r="C190" s="396" t="str">
        <f>'[3]ISRS Addns Nov and Dec 2016'!D93</f>
        <v>Repl w/ 3152F 2-4P 48th &amp; Rangeline</v>
      </c>
      <c r="D190" s="397" t="s">
        <v>2523</v>
      </c>
      <c r="E190" s="395" t="str">
        <f>'[3]ISRS Addns Nov and Dec 2016'!E93</f>
        <v>F0572</v>
      </c>
      <c r="F190" s="396" t="str">
        <f>'[3]ISRS Addns Nov and Dec 2016'!F93</f>
        <v>Main Replacement - ISRS (SW)</v>
      </c>
      <c r="G190" s="398">
        <f>'[3]ISRS Addns Nov and Dec 2016'!I93</f>
        <v>-104.26</v>
      </c>
      <c r="H190" s="304" t="s">
        <v>2247</v>
      </c>
      <c r="I190" s="304" t="s">
        <v>2248</v>
      </c>
    </row>
    <row r="191" spans="1:9" s="399" customFormat="1" ht="60">
      <c r="A191" s="395" t="str">
        <f>'[3]ISRS Addns Nov and Dec 2016'!C94</f>
        <v>800064</v>
      </c>
      <c r="B191" s="395" t="str">
        <f>'[3]ISRS Addns Nov and Dec 2016'!B94</f>
        <v>N/A</v>
      </c>
      <c r="C191" s="396" t="str">
        <f>'[3]ISRS Addns Nov and Dec 2016'!D94</f>
        <v>Repl w/ 3152F 2-4P 48th &amp; Rangeline</v>
      </c>
      <c r="D191" s="397" t="s">
        <v>2523</v>
      </c>
      <c r="E191" s="395" t="str">
        <f>'[3]ISRS Addns Nov and Dec 2016'!E94</f>
        <v>F0572</v>
      </c>
      <c r="F191" s="396" t="str">
        <f>'[3]ISRS Addns Nov and Dec 2016'!F94</f>
        <v>Main Replacement - ISRS (SW)</v>
      </c>
      <c r="G191" s="398">
        <f>'[3]ISRS Addns Nov and Dec 2016'!I94</f>
        <v>-1.56</v>
      </c>
      <c r="H191" s="304" t="s">
        <v>2247</v>
      </c>
      <c r="I191" s="304" t="s">
        <v>2248</v>
      </c>
    </row>
    <row r="192" spans="1:9" s="399" customFormat="1" ht="60">
      <c r="A192" s="395" t="str">
        <f>'[3]ISRS Addns Nov and Dec 2016'!C95</f>
        <v>800064</v>
      </c>
      <c r="B192" s="395" t="str">
        <f>'[3]ISRS Addns Nov and Dec 2016'!B95</f>
        <v>N/A</v>
      </c>
      <c r="C192" s="396" t="str">
        <f>'[3]ISRS Addns Nov and Dec 2016'!D95</f>
        <v>Repl w/ 3152F 2-4P 48th &amp; Rangeline</v>
      </c>
      <c r="D192" s="397" t="s">
        <v>2523</v>
      </c>
      <c r="E192" s="395" t="str">
        <f>'[3]ISRS Addns Nov and Dec 2016'!E95</f>
        <v>F0572</v>
      </c>
      <c r="F192" s="396" t="str">
        <f>'[3]ISRS Addns Nov and Dec 2016'!F95</f>
        <v>Main Replacement - ISRS (SW)</v>
      </c>
      <c r="G192" s="398">
        <f>'[3]ISRS Addns Nov and Dec 2016'!I95</f>
        <v>10.210000000000001</v>
      </c>
      <c r="H192" s="304" t="s">
        <v>2247</v>
      </c>
      <c r="I192" s="304" t="s">
        <v>2248</v>
      </c>
    </row>
    <row r="193" spans="1:9" s="399" customFormat="1" ht="60">
      <c r="A193" s="395" t="str">
        <f>'[3]ISRS Addns Nov and Dec 2016'!C96</f>
        <v>800064</v>
      </c>
      <c r="B193" s="395" t="str">
        <f>'[3]ISRS Addns Nov and Dec 2016'!B96</f>
        <v>N/A</v>
      </c>
      <c r="C193" s="396" t="str">
        <f>'[3]ISRS Addns Nov and Dec 2016'!D96</f>
        <v>Repl w/ 3152F 2-4P 48th &amp; Rangeline</v>
      </c>
      <c r="D193" s="397" t="s">
        <v>2523</v>
      </c>
      <c r="E193" s="395" t="str">
        <f>'[3]ISRS Addns Nov and Dec 2016'!E96</f>
        <v>F0572</v>
      </c>
      <c r="F193" s="396" t="str">
        <f>'[3]ISRS Addns Nov and Dec 2016'!F96</f>
        <v>Main Replacement - ISRS (SW)</v>
      </c>
      <c r="G193" s="398">
        <f>'[3]ISRS Addns Nov and Dec 2016'!I96</f>
        <v>0.14000000000000001</v>
      </c>
      <c r="H193" s="304" t="s">
        <v>2247</v>
      </c>
      <c r="I193" s="304" t="s">
        <v>2248</v>
      </c>
    </row>
    <row r="194" spans="1:9" s="399" customFormat="1" ht="45">
      <c r="A194" s="395" t="str">
        <f>'[3]ISRS Addns Nov and Dec 2016'!C153</f>
        <v>800114</v>
      </c>
      <c r="B194" s="395" t="str">
        <f>'[3]ISRS Addns Nov and Dec 2016'!B153</f>
        <v>N/A</v>
      </c>
      <c r="C194" s="396" t="str">
        <f>'[3]ISRS Addns Nov and Dec 2016'!D153</f>
        <v>Webb City Ph1A Grid Bare Steel Rep</v>
      </c>
      <c r="D194" s="397" t="s">
        <v>2539</v>
      </c>
      <c r="E194" s="395" t="str">
        <f>'[3]ISRS Addns Nov and Dec 2016'!E153</f>
        <v>F0572</v>
      </c>
      <c r="F194" s="396" t="str">
        <f>'[3]ISRS Addns Nov and Dec 2016'!F153</f>
        <v>Main Replacement - ISRS (SW)</v>
      </c>
      <c r="G194" s="398">
        <f>'[3]ISRS Addns Nov and Dec 2016'!I153</f>
        <v>-744.49</v>
      </c>
      <c r="H194" s="304" t="s">
        <v>2247</v>
      </c>
      <c r="I194" s="304" t="s">
        <v>2248</v>
      </c>
    </row>
    <row r="195" spans="1:9" s="399" customFormat="1" ht="45">
      <c r="A195" s="395" t="str">
        <f>'[3]ISRS Addns Nov and Dec 2016'!C154</f>
        <v>800114</v>
      </c>
      <c r="B195" s="395" t="str">
        <f>'[3]ISRS Addns Nov and Dec 2016'!B154</f>
        <v>N/A</v>
      </c>
      <c r="C195" s="396" t="str">
        <f>'[3]ISRS Addns Nov and Dec 2016'!D154</f>
        <v>Webb City Ph1A Grid Bare Steel Rep</v>
      </c>
      <c r="D195" s="397" t="s">
        <v>2539</v>
      </c>
      <c r="E195" s="395" t="str">
        <f>'[3]ISRS Addns Nov and Dec 2016'!E154</f>
        <v>F0572</v>
      </c>
      <c r="F195" s="396" t="str">
        <f>'[3]ISRS Addns Nov and Dec 2016'!F154</f>
        <v>Main Replacement - ISRS (SW)</v>
      </c>
      <c r="G195" s="398">
        <f>'[3]ISRS Addns Nov and Dec 2016'!I154</f>
        <v>744.49</v>
      </c>
      <c r="H195" s="304" t="s">
        <v>2247</v>
      </c>
      <c r="I195" s="304" t="s">
        <v>2248</v>
      </c>
    </row>
    <row r="196" spans="1:9" s="399" customFormat="1" ht="75">
      <c r="A196" s="395" t="str">
        <f>'[3]ISRS Addns Nov and Dec 2016'!C155</f>
        <v>800115</v>
      </c>
      <c r="B196" s="395" t="str">
        <f>'[3]ISRS Addns Nov and Dec 2016'!B155</f>
        <v>N/A</v>
      </c>
      <c r="C196" s="396" t="str">
        <f>'[3]ISRS Addns Nov and Dec 2016'!D155</f>
        <v>Webb City Phase 1B Grid Bare Steel</v>
      </c>
      <c r="D196" s="397" t="s">
        <v>2540</v>
      </c>
      <c r="E196" s="395" t="str">
        <f>'[3]ISRS Addns Nov and Dec 2016'!E155</f>
        <v>F0572</v>
      </c>
      <c r="F196" s="396" t="str">
        <f>'[3]ISRS Addns Nov and Dec 2016'!F155</f>
        <v>Main Replacement - ISRS (SW)</v>
      </c>
      <c r="G196" s="398">
        <f>'[3]ISRS Addns Nov and Dec 2016'!I155</f>
        <v>-14.24</v>
      </c>
      <c r="H196" s="304" t="s">
        <v>2247</v>
      </c>
      <c r="I196" s="304" t="s">
        <v>2248</v>
      </c>
    </row>
    <row r="197" spans="1:9" s="399" customFormat="1" ht="75">
      <c r="A197" s="395" t="str">
        <f>'[3]ISRS Addns Nov and Dec 2016'!C156</f>
        <v>800115</v>
      </c>
      <c r="B197" s="395" t="str">
        <f>'[3]ISRS Addns Nov and Dec 2016'!B156</f>
        <v>N/A</v>
      </c>
      <c r="C197" s="396" t="str">
        <f>'[3]ISRS Addns Nov and Dec 2016'!D156</f>
        <v>Webb City Phase 1B Grid Bare Steel</v>
      </c>
      <c r="D197" s="397" t="s">
        <v>2540</v>
      </c>
      <c r="E197" s="395" t="str">
        <f>'[3]ISRS Addns Nov and Dec 2016'!E156</f>
        <v>F0572</v>
      </c>
      <c r="F197" s="396" t="str">
        <f>'[3]ISRS Addns Nov and Dec 2016'!F156</f>
        <v>Main Replacement - ISRS (SW)</v>
      </c>
      <c r="G197" s="398">
        <f>'[3]ISRS Addns Nov and Dec 2016'!I156</f>
        <v>-0.26</v>
      </c>
      <c r="H197" s="304" t="s">
        <v>2247</v>
      </c>
      <c r="I197" s="304" t="s">
        <v>2248</v>
      </c>
    </row>
    <row r="198" spans="1:9" s="399" customFormat="1" ht="75">
      <c r="A198" s="395" t="str">
        <f>'[3]ISRS Addns Nov and Dec 2016'!C157</f>
        <v>800115</v>
      </c>
      <c r="B198" s="395" t="str">
        <f>'[3]ISRS Addns Nov and Dec 2016'!B157</f>
        <v>N/A</v>
      </c>
      <c r="C198" s="396" t="str">
        <f>'[3]ISRS Addns Nov and Dec 2016'!D157</f>
        <v>Webb City Phase 1B Grid Bare Steel</v>
      </c>
      <c r="D198" s="397" t="s">
        <v>2540</v>
      </c>
      <c r="E198" s="395" t="str">
        <f>'[3]ISRS Addns Nov and Dec 2016'!E157</f>
        <v>F0572</v>
      </c>
      <c r="F198" s="396" t="str">
        <f>'[3]ISRS Addns Nov and Dec 2016'!F157</f>
        <v>Main Replacement - ISRS (SW)</v>
      </c>
      <c r="G198" s="398">
        <f>'[3]ISRS Addns Nov and Dec 2016'!I157</f>
        <v>7196.27</v>
      </c>
      <c r="H198" s="304" t="s">
        <v>2247</v>
      </c>
      <c r="I198" s="304" t="s">
        <v>2248</v>
      </c>
    </row>
    <row r="199" spans="1:9" s="399" customFormat="1" ht="75">
      <c r="A199" s="395" t="str">
        <f>'[3]ISRS Addns Nov and Dec 2016'!C158</f>
        <v>800115</v>
      </c>
      <c r="B199" s="395" t="str">
        <f>'[3]ISRS Addns Nov and Dec 2016'!B158</f>
        <v>N/A</v>
      </c>
      <c r="C199" s="396" t="str">
        <f>'[3]ISRS Addns Nov and Dec 2016'!D158</f>
        <v>Webb City Phase 1B Grid Bare Steel</v>
      </c>
      <c r="D199" s="397" t="s">
        <v>2540</v>
      </c>
      <c r="E199" s="395" t="str">
        <f>'[3]ISRS Addns Nov and Dec 2016'!E158</f>
        <v>F0572</v>
      </c>
      <c r="F199" s="396" t="str">
        <f>'[3]ISRS Addns Nov and Dec 2016'!F158</f>
        <v>Main Replacement - ISRS (SW)</v>
      </c>
      <c r="G199" s="398">
        <f>'[3]ISRS Addns Nov and Dec 2016'!I158</f>
        <v>-7185.14</v>
      </c>
      <c r="H199" s="304" t="s">
        <v>2247</v>
      </c>
      <c r="I199" s="304" t="s">
        <v>2248</v>
      </c>
    </row>
    <row r="200" spans="1:9" s="399" customFormat="1" ht="90">
      <c r="A200" s="395" t="str">
        <f>'[3]ISRS Addns Nov and Dec 2016'!C159</f>
        <v>800116</v>
      </c>
      <c r="B200" s="395" t="str">
        <f>'[3]ISRS Addns Nov and Dec 2016'!B159</f>
        <v>N/A</v>
      </c>
      <c r="C200" s="396" t="str">
        <f>'[3]ISRS Addns Nov and Dec 2016'!D159</f>
        <v>Webb City Phase 1C Grid Bare Steel</v>
      </c>
      <c r="D200" s="397" t="s">
        <v>2541</v>
      </c>
      <c r="E200" s="395" t="str">
        <f>'[3]ISRS Addns Nov and Dec 2016'!E159</f>
        <v>F0572</v>
      </c>
      <c r="F200" s="396" t="str">
        <f>'[3]ISRS Addns Nov and Dec 2016'!F159</f>
        <v>Main Replacement - ISRS (SW)</v>
      </c>
      <c r="G200" s="398">
        <f>'[3]ISRS Addns Nov and Dec 2016'!I159</f>
        <v>677.12</v>
      </c>
      <c r="H200" s="304" t="s">
        <v>2247</v>
      </c>
      <c r="I200" s="304" t="s">
        <v>2248</v>
      </c>
    </row>
    <row r="201" spans="1:9" s="399" customFormat="1" ht="90">
      <c r="A201" s="395" t="str">
        <f>'[3]ISRS Addns Nov and Dec 2016'!C160</f>
        <v>800116</v>
      </c>
      <c r="B201" s="395" t="str">
        <f>'[3]ISRS Addns Nov and Dec 2016'!B160</f>
        <v>N/A</v>
      </c>
      <c r="C201" s="396" t="str">
        <f>'[3]ISRS Addns Nov and Dec 2016'!D160</f>
        <v>Webb City Phase 1C Grid Bare Steel</v>
      </c>
      <c r="D201" s="397" t="s">
        <v>2541</v>
      </c>
      <c r="E201" s="395" t="str">
        <f>'[3]ISRS Addns Nov and Dec 2016'!E160</f>
        <v>F0572</v>
      </c>
      <c r="F201" s="396" t="str">
        <f>'[3]ISRS Addns Nov and Dec 2016'!F160</f>
        <v>Main Replacement - ISRS (SW)</v>
      </c>
      <c r="G201" s="398">
        <f>'[3]ISRS Addns Nov and Dec 2016'!I160</f>
        <v>-677.12</v>
      </c>
      <c r="H201" s="304" t="s">
        <v>2247</v>
      </c>
      <c r="I201" s="304" t="s">
        <v>2248</v>
      </c>
    </row>
    <row r="202" spans="1:9" s="399" customFormat="1" ht="90">
      <c r="A202" s="395" t="str">
        <f>'[3]ISRS Addns Nov and Dec 2016'!C197</f>
        <v>800163</v>
      </c>
      <c r="B202" s="395" t="str">
        <f>'[3]ISRS Addns Nov and Dec 2016'!B197</f>
        <v>N/A</v>
      </c>
      <c r="C202" s="396" t="str">
        <f>'[3]ISRS Addns Nov and Dec 2016'!D197</f>
        <v>Webb City Phase 1D Bare Steel Repla</v>
      </c>
      <c r="D202" s="397" t="s">
        <v>2551</v>
      </c>
      <c r="E202" s="395" t="str">
        <f>'[3]ISRS Addns Nov and Dec 2016'!E197</f>
        <v>F0572</v>
      </c>
      <c r="F202" s="396" t="str">
        <f>'[3]ISRS Addns Nov and Dec 2016'!F197</f>
        <v>Main Replacement - ISRS (SW)</v>
      </c>
      <c r="G202" s="398">
        <f>'[3]ISRS Addns Nov and Dec 2016'!I197</f>
        <v>967.16</v>
      </c>
      <c r="H202" s="304" t="s">
        <v>2247</v>
      </c>
      <c r="I202" s="304" t="s">
        <v>2248</v>
      </c>
    </row>
    <row r="203" spans="1:9" s="399" customFormat="1" ht="90">
      <c r="A203" s="395" t="str">
        <f>'[3]ISRS Addns Nov and Dec 2016'!C198</f>
        <v>800163</v>
      </c>
      <c r="B203" s="395" t="str">
        <f>'[3]ISRS Addns Nov and Dec 2016'!B198</f>
        <v>N/A</v>
      </c>
      <c r="C203" s="396" t="str">
        <f>'[3]ISRS Addns Nov and Dec 2016'!D198</f>
        <v>Webb City Phase 1D Bare Steel Repla</v>
      </c>
      <c r="D203" s="397" t="s">
        <v>2551</v>
      </c>
      <c r="E203" s="395" t="str">
        <f>'[3]ISRS Addns Nov and Dec 2016'!E198</f>
        <v>F0572</v>
      </c>
      <c r="F203" s="396" t="str">
        <f>'[3]ISRS Addns Nov and Dec 2016'!F198</f>
        <v>Main Replacement - ISRS (SW)</v>
      </c>
      <c r="G203" s="398">
        <f>'[3]ISRS Addns Nov and Dec 2016'!I198</f>
        <v>200.25</v>
      </c>
      <c r="H203" s="304" t="s">
        <v>2247</v>
      </c>
      <c r="I203" s="304" t="s">
        <v>2248</v>
      </c>
    </row>
    <row r="204" spans="1:9" s="399" customFormat="1" ht="90">
      <c r="A204" s="395" t="str">
        <f>'[3]ISRS Addns Nov and Dec 2016'!C199</f>
        <v>800163</v>
      </c>
      <c r="B204" s="395" t="str">
        <f>'[3]ISRS Addns Nov and Dec 2016'!B199</f>
        <v>N/A</v>
      </c>
      <c r="C204" s="396" t="str">
        <f>'[3]ISRS Addns Nov and Dec 2016'!D199</f>
        <v>Webb City Phase 1D Bare Steel Repla</v>
      </c>
      <c r="D204" s="397" t="s">
        <v>2551</v>
      </c>
      <c r="E204" s="395" t="str">
        <f>'[3]ISRS Addns Nov and Dec 2016'!E199</f>
        <v>F0572</v>
      </c>
      <c r="F204" s="396" t="str">
        <f>'[3]ISRS Addns Nov and Dec 2016'!F199</f>
        <v>Main Replacement - ISRS (SW)</v>
      </c>
      <c r="G204" s="398">
        <f>'[3]ISRS Addns Nov and Dec 2016'!I199</f>
        <v>1028.3499999999999</v>
      </c>
      <c r="H204" s="304" t="s">
        <v>2247</v>
      </c>
      <c r="I204" s="304" t="s">
        <v>2248</v>
      </c>
    </row>
    <row r="205" spans="1:9" s="399" customFormat="1" ht="90">
      <c r="A205" s="395" t="str">
        <f>'[3]ISRS Addns Nov and Dec 2016'!C200</f>
        <v>800163</v>
      </c>
      <c r="B205" s="395" t="str">
        <f>'[3]ISRS Addns Nov and Dec 2016'!B200</f>
        <v>N/A</v>
      </c>
      <c r="C205" s="396" t="str">
        <f>'[3]ISRS Addns Nov and Dec 2016'!D200</f>
        <v>Webb City Phase 1D Bare Steel Repla</v>
      </c>
      <c r="D205" s="397" t="s">
        <v>2551</v>
      </c>
      <c r="E205" s="395" t="str">
        <f>'[3]ISRS Addns Nov and Dec 2016'!E200</f>
        <v>F0572</v>
      </c>
      <c r="F205" s="396" t="str">
        <f>'[3]ISRS Addns Nov and Dec 2016'!F200</f>
        <v>Main Replacement - ISRS (SW)</v>
      </c>
      <c r="G205" s="398">
        <f>'[3]ISRS Addns Nov and Dec 2016'!I200</f>
        <v>212.94</v>
      </c>
      <c r="H205" s="304" t="s">
        <v>2247</v>
      </c>
      <c r="I205" s="304" t="s">
        <v>2248</v>
      </c>
    </row>
    <row r="206" spans="1:9" s="399" customFormat="1" ht="75">
      <c r="A206" s="395" t="str">
        <f>'[3]ISRS Addns Nov and Dec 2016'!C201</f>
        <v>800178</v>
      </c>
      <c r="B206" s="395" t="str">
        <f>'[3]ISRS Addns Nov and Dec 2016'!B201</f>
        <v>N/A</v>
      </c>
      <c r="C206" s="396" t="str">
        <f>'[3]ISRS Addns Nov and Dec 2016'!D201</f>
        <v>Webb City Phase 1E Grid Repl</v>
      </c>
      <c r="D206" s="397" t="s">
        <v>2552</v>
      </c>
      <c r="E206" s="395" t="str">
        <f>'[3]ISRS Addns Nov and Dec 2016'!E201</f>
        <v>F0572</v>
      </c>
      <c r="F206" s="396" t="str">
        <f>'[3]ISRS Addns Nov and Dec 2016'!F201</f>
        <v>Main Replacement - ISRS (SW)</v>
      </c>
      <c r="G206" s="398">
        <f>'[3]ISRS Addns Nov and Dec 2016'!I201</f>
        <v>1034.31</v>
      </c>
      <c r="H206" s="304" t="s">
        <v>2247</v>
      </c>
      <c r="I206" s="304" t="s">
        <v>2248</v>
      </c>
    </row>
    <row r="207" spans="1:9" s="399" customFormat="1" ht="75">
      <c r="A207" s="395" t="str">
        <f>'[3]ISRS Addns Nov and Dec 2016'!C202</f>
        <v>800178</v>
      </c>
      <c r="B207" s="395" t="str">
        <f>'[3]ISRS Addns Nov and Dec 2016'!B202</f>
        <v>N/A</v>
      </c>
      <c r="C207" s="396" t="str">
        <f>'[3]ISRS Addns Nov and Dec 2016'!D202</f>
        <v>Webb City Phase 1E Grid Repl</v>
      </c>
      <c r="D207" s="397" t="s">
        <v>2552</v>
      </c>
      <c r="E207" s="395" t="str">
        <f>'[3]ISRS Addns Nov and Dec 2016'!E202</f>
        <v>F0572</v>
      </c>
      <c r="F207" s="396" t="str">
        <f>'[3]ISRS Addns Nov and Dec 2016'!F202</f>
        <v>Main Replacement - ISRS (SW)</v>
      </c>
      <c r="G207" s="398">
        <f>'[3]ISRS Addns Nov and Dec 2016'!I202</f>
        <v>27.82</v>
      </c>
      <c r="H207" s="304" t="s">
        <v>2247</v>
      </c>
      <c r="I207" s="304" t="s">
        <v>2248</v>
      </c>
    </row>
    <row r="208" spans="1:9" s="399" customFormat="1" ht="75">
      <c r="A208" s="395" t="str">
        <f>'[3]ISRS Addns Nov and Dec 2016'!C203</f>
        <v>800178</v>
      </c>
      <c r="B208" s="395" t="str">
        <f>'[3]ISRS Addns Nov and Dec 2016'!B203</f>
        <v>N/A</v>
      </c>
      <c r="C208" s="396" t="str">
        <f>'[3]ISRS Addns Nov and Dec 2016'!D203</f>
        <v>Webb City Phase 1E Grid Repl</v>
      </c>
      <c r="D208" s="397" t="s">
        <v>2552</v>
      </c>
      <c r="E208" s="395" t="str">
        <f>'[3]ISRS Addns Nov and Dec 2016'!E203</f>
        <v>F0572</v>
      </c>
      <c r="F208" s="396" t="str">
        <f>'[3]ISRS Addns Nov and Dec 2016'!F203</f>
        <v>Main Replacement - ISRS (SW)</v>
      </c>
      <c r="G208" s="398">
        <f>'[3]ISRS Addns Nov and Dec 2016'!I203</f>
        <v>-1727.22</v>
      </c>
      <c r="H208" s="304" t="s">
        <v>2247</v>
      </c>
      <c r="I208" s="304" t="s">
        <v>2248</v>
      </c>
    </row>
    <row r="209" spans="1:9" s="399" customFormat="1" ht="75">
      <c r="A209" s="395" t="str">
        <f>'[3]ISRS Addns Nov and Dec 2016'!C204</f>
        <v>800178</v>
      </c>
      <c r="B209" s="395" t="str">
        <f>'[3]ISRS Addns Nov and Dec 2016'!B204</f>
        <v>N/A</v>
      </c>
      <c r="C209" s="396" t="str">
        <f>'[3]ISRS Addns Nov and Dec 2016'!D204</f>
        <v>Webb City Phase 1E Grid Repl</v>
      </c>
      <c r="D209" s="397" t="s">
        <v>2552</v>
      </c>
      <c r="E209" s="395" t="str">
        <f>'[3]ISRS Addns Nov and Dec 2016'!E204</f>
        <v>F0572</v>
      </c>
      <c r="F209" s="396" t="str">
        <f>'[3]ISRS Addns Nov and Dec 2016'!F204</f>
        <v>Main Replacement - ISRS (SW)</v>
      </c>
      <c r="G209" s="398">
        <f>'[3]ISRS Addns Nov and Dec 2016'!I204</f>
        <v>-46.47</v>
      </c>
      <c r="H209" s="304" t="s">
        <v>2247</v>
      </c>
      <c r="I209" s="304" t="s">
        <v>2248</v>
      </c>
    </row>
    <row r="210" spans="1:9" s="399" customFormat="1" ht="90">
      <c r="A210" s="395" t="str">
        <f>'[3]ISRS Addns Nov and Dec 2016'!C205</f>
        <v>800179</v>
      </c>
      <c r="B210" s="395" t="str">
        <f>'[3]ISRS Addns Nov and Dec 2016'!B205</f>
        <v>N/A</v>
      </c>
      <c r="C210" s="396" t="str">
        <f>'[3]ISRS Addns Nov and Dec 2016'!D205</f>
        <v>Webb City Phase 1F Grid Repl</v>
      </c>
      <c r="D210" s="397" t="s">
        <v>2553</v>
      </c>
      <c r="E210" s="395" t="str">
        <f>'[3]ISRS Addns Nov and Dec 2016'!E205</f>
        <v>F0572</v>
      </c>
      <c r="F210" s="396" t="str">
        <f>'[3]ISRS Addns Nov and Dec 2016'!F205</f>
        <v>Main Replacement - ISRS (SW)</v>
      </c>
      <c r="G210" s="398">
        <f>'[3]ISRS Addns Nov and Dec 2016'!I205</f>
        <v>14167.82</v>
      </c>
      <c r="H210" s="304" t="s">
        <v>2247</v>
      </c>
      <c r="I210" s="304" t="s">
        <v>2248</v>
      </c>
    </row>
    <row r="211" spans="1:9" s="399" customFormat="1" ht="90">
      <c r="A211" s="395" t="str">
        <f>'[3]ISRS Addns Nov and Dec 2016'!C206</f>
        <v>800179</v>
      </c>
      <c r="B211" s="395" t="str">
        <f>'[3]ISRS Addns Nov and Dec 2016'!B206</f>
        <v>N/A</v>
      </c>
      <c r="C211" s="396" t="str">
        <f>'[3]ISRS Addns Nov and Dec 2016'!D206</f>
        <v>Webb City Phase 1F Grid Repl</v>
      </c>
      <c r="D211" s="397" t="s">
        <v>2553</v>
      </c>
      <c r="E211" s="395" t="str">
        <f>'[3]ISRS Addns Nov and Dec 2016'!E206</f>
        <v>F0572</v>
      </c>
      <c r="F211" s="396" t="str">
        <f>'[3]ISRS Addns Nov and Dec 2016'!F206</f>
        <v>Main Replacement - ISRS (SW)</v>
      </c>
      <c r="G211" s="398">
        <f>'[3]ISRS Addns Nov and Dec 2016'!I206</f>
        <v>10.1</v>
      </c>
      <c r="H211" s="304" t="s">
        <v>2247</v>
      </c>
      <c r="I211" s="304" t="s">
        <v>2248</v>
      </c>
    </row>
    <row r="212" spans="1:9" s="399" customFormat="1" ht="90">
      <c r="A212" s="395" t="str">
        <f>'[3]ISRS Addns Nov and Dec 2016'!C207</f>
        <v>800179</v>
      </c>
      <c r="B212" s="395" t="str">
        <f>'[3]ISRS Addns Nov and Dec 2016'!B207</f>
        <v>N/A</v>
      </c>
      <c r="C212" s="396" t="str">
        <f>'[3]ISRS Addns Nov and Dec 2016'!D207</f>
        <v>Webb City Phase 1F Grid Repl</v>
      </c>
      <c r="D212" s="397" t="s">
        <v>2553</v>
      </c>
      <c r="E212" s="395" t="str">
        <f>'[3]ISRS Addns Nov and Dec 2016'!E207</f>
        <v>F0572</v>
      </c>
      <c r="F212" s="396" t="str">
        <f>'[3]ISRS Addns Nov and Dec 2016'!F207</f>
        <v>Main Replacement - ISRS (SW)</v>
      </c>
      <c r="G212" s="398">
        <f>'[3]ISRS Addns Nov and Dec 2016'!I207</f>
        <v>-4392.83</v>
      </c>
      <c r="H212" s="304" t="s">
        <v>2247</v>
      </c>
      <c r="I212" s="304" t="s">
        <v>2248</v>
      </c>
    </row>
    <row r="213" spans="1:9" s="399" customFormat="1" ht="90">
      <c r="A213" s="395" t="str">
        <f>'[3]ISRS Addns Nov and Dec 2016'!C208</f>
        <v>800179</v>
      </c>
      <c r="B213" s="395" t="str">
        <f>'[3]ISRS Addns Nov and Dec 2016'!B208</f>
        <v>N/A</v>
      </c>
      <c r="C213" s="396" t="str">
        <f>'[3]ISRS Addns Nov and Dec 2016'!D208</f>
        <v>Webb City Phase 1F Grid Repl</v>
      </c>
      <c r="D213" s="397" t="s">
        <v>2553</v>
      </c>
      <c r="E213" s="395" t="str">
        <f>'[3]ISRS Addns Nov and Dec 2016'!E208</f>
        <v>F0572</v>
      </c>
      <c r="F213" s="396" t="str">
        <f>'[3]ISRS Addns Nov and Dec 2016'!F208</f>
        <v>Main Replacement - ISRS (SW)</v>
      </c>
      <c r="G213" s="398">
        <f>'[3]ISRS Addns Nov and Dec 2016'!I208</f>
        <v>-3.14</v>
      </c>
      <c r="H213" s="304" t="s">
        <v>2247</v>
      </c>
      <c r="I213" s="304" t="s">
        <v>2248</v>
      </c>
    </row>
    <row r="214" spans="1:9" s="399" customFormat="1" ht="45">
      <c r="A214" s="395" t="str">
        <f>'[3]ISRS Addns Nov and Dec 2016'!C211</f>
        <v>800194</v>
      </c>
      <c r="B214" s="395" t="str">
        <f>'[3]ISRS Addns Nov and Dec 2016'!B211</f>
        <v>N/A</v>
      </c>
      <c r="C214" s="396" t="str">
        <f>'[3]ISRS Addns Nov and Dec 2016'!D211</f>
        <v>Repl w/ 865F 4P 26th &amp; Jackson</v>
      </c>
      <c r="D214" s="397" t="s">
        <v>2555</v>
      </c>
      <c r="E214" s="395" t="str">
        <f>'[3]ISRS Addns Nov and Dec 2016'!E211</f>
        <v>F0572</v>
      </c>
      <c r="F214" s="396" t="str">
        <f>'[3]ISRS Addns Nov and Dec 2016'!F211</f>
        <v>Main Replacement - ISRS (SW)</v>
      </c>
      <c r="G214" s="398">
        <f>'[3]ISRS Addns Nov and Dec 2016'!I211</f>
        <v>-5098.3500000000004</v>
      </c>
      <c r="H214" s="304" t="s">
        <v>2247</v>
      </c>
      <c r="I214" s="304" t="s">
        <v>2248</v>
      </c>
    </row>
    <row r="215" spans="1:9" s="399" customFormat="1" ht="105">
      <c r="A215" s="395" t="str">
        <f>'[3]ISRS Addns Nov and Dec 2016'!C215</f>
        <v>800235</v>
      </c>
      <c r="B215" s="395" t="str">
        <f>'[3]ISRS Addns Nov and Dec 2016'!B215</f>
        <v>N/A</v>
      </c>
      <c r="C215" s="396" t="str">
        <f>'[3]ISRS Addns Nov and Dec 2016'!D215</f>
        <v>CP15-042 and Bare Steel 4" Main Rep</v>
      </c>
      <c r="D215" s="397" t="s">
        <v>2558</v>
      </c>
      <c r="E215" s="395" t="str">
        <f>'[3]ISRS Addns Nov and Dec 2016'!E215</f>
        <v>F0572</v>
      </c>
      <c r="F215" s="396" t="str">
        <f>'[3]ISRS Addns Nov and Dec 2016'!F215</f>
        <v>Main Replacement - ISRS (SW)</v>
      </c>
      <c r="G215" s="398">
        <f>'[3]ISRS Addns Nov and Dec 2016'!I215</f>
        <v>-1204.58</v>
      </c>
      <c r="H215" s="304" t="s">
        <v>2247</v>
      </c>
      <c r="I215" s="304" t="s">
        <v>2248</v>
      </c>
    </row>
    <row r="216" spans="1:9" s="399" customFormat="1" ht="105">
      <c r="A216" s="395" t="str">
        <f>'[3]ISRS Addns Nov and Dec 2016'!C216</f>
        <v>800235</v>
      </c>
      <c r="B216" s="395" t="str">
        <f>'[3]ISRS Addns Nov and Dec 2016'!B216</f>
        <v>N/A</v>
      </c>
      <c r="C216" s="396" t="str">
        <f>'[3]ISRS Addns Nov and Dec 2016'!D216</f>
        <v>CP15-042 and Bare Steel 4" Main Rep</v>
      </c>
      <c r="D216" s="397" t="s">
        <v>2558</v>
      </c>
      <c r="E216" s="395" t="str">
        <f>'[3]ISRS Addns Nov and Dec 2016'!E216</f>
        <v>F0572</v>
      </c>
      <c r="F216" s="396" t="str">
        <f>'[3]ISRS Addns Nov and Dec 2016'!F216</f>
        <v>Main Replacement - ISRS (SW)</v>
      </c>
      <c r="G216" s="398">
        <f>'[3]ISRS Addns Nov and Dec 2016'!I216</f>
        <v>647.78</v>
      </c>
      <c r="H216" s="304" t="s">
        <v>2247</v>
      </c>
      <c r="I216" s="304" t="s">
        <v>2248</v>
      </c>
    </row>
    <row r="217" spans="1:9" s="399" customFormat="1" ht="60">
      <c r="A217" s="395" t="str">
        <f>'[3]ISRS Addns Nov and Dec 2016'!C239</f>
        <v>800386</v>
      </c>
      <c r="B217" s="395" t="str">
        <f>'[3]ISRS Addns Nov and Dec 2016'!B239</f>
        <v>N/A</v>
      </c>
      <c r="C217" s="396" t="str">
        <f>'[3]ISRS Addns Nov and Dec 2016'!D239</f>
        <v>Repl w/ 1533F 2P Hwy 37 &amp; Walnut</v>
      </c>
      <c r="D217" s="397" t="s">
        <v>2567</v>
      </c>
      <c r="E217" s="395" t="str">
        <f>'[3]ISRS Addns Nov and Dec 2016'!E239</f>
        <v>F0572</v>
      </c>
      <c r="F217" s="396" t="str">
        <f>'[3]ISRS Addns Nov and Dec 2016'!F239</f>
        <v>Main Replacement - ISRS (SW)</v>
      </c>
      <c r="G217" s="398">
        <f>'[3]ISRS Addns Nov and Dec 2016'!I239</f>
        <v>5113.9799999999996</v>
      </c>
      <c r="H217" s="304" t="s">
        <v>2247</v>
      </c>
      <c r="I217" s="304" t="s">
        <v>2248</v>
      </c>
    </row>
    <row r="218" spans="1:9" s="399" customFormat="1" ht="60">
      <c r="A218" s="395" t="str">
        <f>'[3]ISRS Addns Nov and Dec 2016'!C240</f>
        <v>800386</v>
      </c>
      <c r="B218" s="395" t="str">
        <f>'[3]ISRS Addns Nov and Dec 2016'!B240</f>
        <v>N/A</v>
      </c>
      <c r="C218" s="396" t="str">
        <f>'[3]ISRS Addns Nov and Dec 2016'!D240</f>
        <v>Repl w/ 1533F 2P Hwy 37 &amp; Walnut</v>
      </c>
      <c r="D218" s="397" t="s">
        <v>2567</v>
      </c>
      <c r="E218" s="395" t="str">
        <f>'[3]ISRS Addns Nov and Dec 2016'!E240</f>
        <v>F0572</v>
      </c>
      <c r="F218" s="396" t="str">
        <f>'[3]ISRS Addns Nov and Dec 2016'!F240</f>
        <v>Main Replacement - ISRS (SW)</v>
      </c>
      <c r="G218" s="398">
        <f>'[3]ISRS Addns Nov and Dec 2016'!I240</f>
        <v>-5113.9799999999996</v>
      </c>
      <c r="H218" s="304" t="s">
        <v>2247</v>
      </c>
      <c r="I218" s="304" t="s">
        <v>2248</v>
      </c>
    </row>
    <row r="219" spans="1:9" s="399" customFormat="1" ht="45">
      <c r="A219" s="395" t="str">
        <f>'[3]ISRS Addns Nov and Dec 2016'!C241</f>
        <v>800388</v>
      </c>
      <c r="B219" s="395" t="str">
        <f>'[3]ISRS Addns Nov and Dec 2016'!B241</f>
        <v>N/A</v>
      </c>
      <c r="C219" s="396" t="str">
        <f>'[3]ISRS Addns Nov and Dec 2016'!D241</f>
        <v>Repl w/ 800F 2P Carnation Dr</v>
      </c>
      <c r="D219" s="397" t="s">
        <v>2568</v>
      </c>
      <c r="E219" s="395" t="str">
        <f>'[3]ISRS Addns Nov and Dec 2016'!E241</f>
        <v>F0572</v>
      </c>
      <c r="F219" s="396" t="str">
        <f>'[3]ISRS Addns Nov and Dec 2016'!F241</f>
        <v>Main Replacement - ISRS (SW)</v>
      </c>
      <c r="G219" s="398">
        <f>'[3]ISRS Addns Nov and Dec 2016'!I241</f>
        <v>-1189.27</v>
      </c>
      <c r="H219" s="304" t="s">
        <v>2247</v>
      </c>
      <c r="I219" s="304" t="s">
        <v>2248</v>
      </c>
    </row>
    <row r="220" spans="1:9" s="399" customFormat="1" ht="45">
      <c r="A220" s="395" t="str">
        <f>'[3]ISRS Addns Nov and Dec 2016'!C242</f>
        <v>800388</v>
      </c>
      <c r="B220" s="395" t="str">
        <f>'[3]ISRS Addns Nov and Dec 2016'!B242</f>
        <v>N/A</v>
      </c>
      <c r="C220" s="396" t="str">
        <f>'[3]ISRS Addns Nov and Dec 2016'!D242</f>
        <v>Repl w/ 800F 2P Carnation Dr</v>
      </c>
      <c r="D220" s="397" t="s">
        <v>2568</v>
      </c>
      <c r="E220" s="395" t="str">
        <f>'[3]ISRS Addns Nov and Dec 2016'!E242</f>
        <v>F0572</v>
      </c>
      <c r="F220" s="396" t="str">
        <f>'[3]ISRS Addns Nov and Dec 2016'!F242</f>
        <v>Main Replacement - ISRS (SW)</v>
      </c>
      <c r="G220" s="398">
        <f>'[3]ISRS Addns Nov and Dec 2016'!I242</f>
        <v>1189.27</v>
      </c>
      <c r="H220" s="304" t="s">
        <v>2247</v>
      </c>
      <c r="I220" s="304" t="s">
        <v>2248</v>
      </c>
    </row>
    <row r="221" spans="1:9" s="399" customFormat="1" ht="30">
      <c r="A221" s="395" t="str">
        <f>'[3]ISRS Addns Nov and Dec 2016'!C243</f>
        <v>800391</v>
      </c>
      <c r="B221" s="395" t="str">
        <f>'[3]ISRS Addns Nov and Dec 2016'!B243</f>
        <v>N/A</v>
      </c>
      <c r="C221" s="396" t="str">
        <f>'[3]ISRS Addns Nov and Dec 2016'!D243</f>
        <v>Repl w/ 88F 2P 2nd &amp; Broadway</v>
      </c>
      <c r="D221" s="397" t="s">
        <v>2569</v>
      </c>
      <c r="E221" s="395" t="str">
        <f>'[3]ISRS Addns Nov and Dec 2016'!E243</f>
        <v>F0572</v>
      </c>
      <c r="F221" s="396" t="str">
        <f>'[3]ISRS Addns Nov and Dec 2016'!F243</f>
        <v>Main Replacement - ISRS (SW)</v>
      </c>
      <c r="G221" s="398">
        <f>'[3]ISRS Addns Nov and Dec 2016'!I243</f>
        <v>209.52</v>
      </c>
      <c r="H221" s="304" t="s">
        <v>2247</v>
      </c>
      <c r="I221" s="304" t="s">
        <v>2248</v>
      </c>
    </row>
    <row r="222" spans="1:9" s="399" customFormat="1" ht="30">
      <c r="A222" s="395" t="str">
        <f>'[3]ISRS Addns Nov and Dec 2016'!C244</f>
        <v>800391</v>
      </c>
      <c r="B222" s="395" t="str">
        <f>'[3]ISRS Addns Nov and Dec 2016'!B244</f>
        <v>N/A</v>
      </c>
      <c r="C222" s="396" t="str">
        <f>'[3]ISRS Addns Nov and Dec 2016'!D244</f>
        <v>Repl w/ 88F 2P 2nd &amp; Broadway</v>
      </c>
      <c r="D222" s="397" t="s">
        <v>2569</v>
      </c>
      <c r="E222" s="395" t="str">
        <f>'[3]ISRS Addns Nov and Dec 2016'!E244</f>
        <v>F0572</v>
      </c>
      <c r="F222" s="396" t="str">
        <f>'[3]ISRS Addns Nov and Dec 2016'!F244</f>
        <v>Main Replacement - ISRS (SW)</v>
      </c>
      <c r="G222" s="398">
        <f>'[3]ISRS Addns Nov and Dec 2016'!I244</f>
        <v>4.74</v>
      </c>
      <c r="H222" s="304" t="s">
        <v>2247</v>
      </c>
      <c r="I222" s="304" t="s">
        <v>2248</v>
      </c>
    </row>
    <row r="223" spans="1:9" s="399" customFormat="1" ht="45">
      <c r="A223" s="395" t="str">
        <f>'[3]ISRS Addns Nov and Dec 2016'!C247</f>
        <v>800403</v>
      </c>
      <c r="B223" s="395" t="str">
        <f>'[3]ISRS Addns Nov and Dec 2016'!B247</f>
        <v>N/A</v>
      </c>
      <c r="C223" s="396" t="str">
        <f>'[3]ISRS Addns Nov and Dec 2016'!D247</f>
        <v>Repl w/ 740F 2P 3rd and McKinley</v>
      </c>
      <c r="D223" s="397" t="s">
        <v>2571</v>
      </c>
      <c r="E223" s="395" t="str">
        <f>'[3]ISRS Addns Nov and Dec 2016'!E247</f>
        <v>F0572</v>
      </c>
      <c r="F223" s="396" t="str">
        <f>'[3]ISRS Addns Nov and Dec 2016'!F247</f>
        <v>Main Replacement - ISRS (SW)</v>
      </c>
      <c r="G223" s="398">
        <f>'[3]ISRS Addns Nov and Dec 2016'!I247</f>
        <v>3919.19</v>
      </c>
      <c r="H223" s="304" t="s">
        <v>2247</v>
      </c>
      <c r="I223" s="304" t="s">
        <v>2248</v>
      </c>
    </row>
    <row r="224" spans="1:9" s="399" customFormat="1" ht="45">
      <c r="A224" s="395" t="str">
        <f>'[3]ISRS Addns Nov and Dec 2016'!C248</f>
        <v>800403</v>
      </c>
      <c r="B224" s="395" t="str">
        <f>'[3]ISRS Addns Nov and Dec 2016'!B248</f>
        <v>N/A</v>
      </c>
      <c r="C224" s="396" t="str">
        <f>'[3]ISRS Addns Nov and Dec 2016'!D248</f>
        <v>Repl w/ 740F 2P 3rd and McKinley</v>
      </c>
      <c r="D224" s="397" t="s">
        <v>2571</v>
      </c>
      <c r="E224" s="395" t="str">
        <f>'[3]ISRS Addns Nov and Dec 2016'!E248</f>
        <v>F0572</v>
      </c>
      <c r="F224" s="396" t="str">
        <f>'[3]ISRS Addns Nov and Dec 2016'!F248</f>
        <v>Main Replacement - ISRS (SW)</v>
      </c>
      <c r="G224" s="398">
        <f>'[3]ISRS Addns Nov and Dec 2016'!I248</f>
        <v>-3883.56</v>
      </c>
      <c r="H224" s="304" t="s">
        <v>2247</v>
      </c>
      <c r="I224" s="304" t="s">
        <v>2248</v>
      </c>
    </row>
    <row r="225" spans="1:9" s="399" customFormat="1" ht="45">
      <c r="A225" s="395" t="str">
        <f>'[3]ISRS Addns Nov and Dec 2016'!C249</f>
        <v>800408</v>
      </c>
      <c r="B225" s="395" t="str">
        <f>'[3]ISRS Addns Nov and Dec 2016'!B249</f>
        <v>N/A</v>
      </c>
      <c r="C225" s="396" t="str">
        <f>'[3]ISRS Addns Nov and Dec 2016'!D249</f>
        <v>Repl w 455F 2P Kansas Ave &amp; 18th</v>
      </c>
      <c r="D225" s="397" t="s">
        <v>2572</v>
      </c>
      <c r="E225" s="395" t="str">
        <f>'[3]ISRS Addns Nov and Dec 2016'!E249</f>
        <v>F0572</v>
      </c>
      <c r="F225" s="396" t="str">
        <f>'[3]ISRS Addns Nov and Dec 2016'!F249</f>
        <v>Main Replacement - ISRS (SW)</v>
      </c>
      <c r="G225" s="398">
        <f>'[3]ISRS Addns Nov and Dec 2016'!I249</f>
        <v>810.66</v>
      </c>
      <c r="H225" s="304" t="s">
        <v>2247</v>
      </c>
      <c r="I225" s="304" t="s">
        <v>2248</v>
      </c>
    </row>
    <row r="226" spans="1:9" s="399" customFormat="1" ht="45">
      <c r="A226" s="395" t="str">
        <f>'[3]ISRS Addns Nov and Dec 2016'!C250</f>
        <v>800408</v>
      </c>
      <c r="B226" s="395" t="str">
        <f>'[3]ISRS Addns Nov and Dec 2016'!B250</f>
        <v>N/A</v>
      </c>
      <c r="C226" s="396" t="str">
        <f>'[3]ISRS Addns Nov and Dec 2016'!D250</f>
        <v>Repl w 455F 2P Kansas Ave &amp; 18th</v>
      </c>
      <c r="D226" s="397" t="s">
        <v>2572</v>
      </c>
      <c r="E226" s="395" t="str">
        <f>'[3]ISRS Addns Nov and Dec 2016'!E250</f>
        <v>F0572</v>
      </c>
      <c r="F226" s="396" t="str">
        <f>'[3]ISRS Addns Nov and Dec 2016'!F250</f>
        <v>Main Replacement - ISRS (SW)</v>
      </c>
      <c r="G226" s="398">
        <f>'[3]ISRS Addns Nov and Dec 2016'!I250</f>
        <v>18841.66</v>
      </c>
      <c r="H226" s="304" t="s">
        <v>2247</v>
      </c>
      <c r="I226" s="304" t="s">
        <v>2248</v>
      </c>
    </row>
    <row r="227" spans="1:9" s="399" customFormat="1" ht="45">
      <c r="A227" s="395" t="str">
        <f>'[3]ISRS Addns Nov and Dec 2016'!C251</f>
        <v>800408</v>
      </c>
      <c r="B227" s="395" t="str">
        <f>'[3]ISRS Addns Nov and Dec 2016'!B251</f>
        <v>N/A</v>
      </c>
      <c r="C227" s="396" t="str">
        <f>'[3]ISRS Addns Nov and Dec 2016'!D251</f>
        <v>Repl w 455F 2P Kansas Ave &amp; 18th</v>
      </c>
      <c r="D227" s="397" t="s">
        <v>2572</v>
      </c>
      <c r="E227" s="395" t="str">
        <f>'[3]ISRS Addns Nov and Dec 2016'!E251</f>
        <v>F0572</v>
      </c>
      <c r="F227" s="396" t="str">
        <f>'[3]ISRS Addns Nov and Dec 2016'!F251</f>
        <v>Main Replacement - ISRS (SW)</v>
      </c>
      <c r="G227" s="398">
        <f>'[3]ISRS Addns Nov and Dec 2016'!I251</f>
        <v>130.94</v>
      </c>
      <c r="H227" s="304" t="s">
        <v>2247</v>
      </c>
      <c r="I227" s="304" t="s">
        <v>2248</v>
      </c>
    </row>
    <row r="228" spans="1:9" s="399" customFormat="1" ht="75">
      <c r="A228" s="395" t="str">
        <f>'[3]ISRS Addns Nov and Dec 2016'!C283</f>
        <v>800714</v>
      </c>
      <c r="B228" s="395" t="str">
        <f>'[3]ISRS Addns Nov and Dec 2016'!B283</f>
        <v>N/A</v>
      </c>
      <c r="C228" s="396" t="str">
        <f>'[3]ISRS Addns Nov and Dec 2016'!D283</f>
        <v>Repl w 2748F 2-4P Monett Phase 1B</v>
      </c>
      <c r="D228" s="397" t="s">
        <v>2586</v>
      </c>
      <c r="E228" s="395" t="str">
        <f>'[3]ISRS Addns Nov and Dec 2016'!E283</f>
        <v>F0572</v>
      </c>
      <c r="F228" s="396" t="str">
        <f>'[3]ISRS Addns Nov and Dec 2016'!F283</f>
        <v>Main Replacement - ISRS (SW)</v>
      </c>
      <c r="G228" s="398">
        <f>'[3]ISRS Addns Nov and Dec 2016'!I283</f>
        <v>136272.18</v>
      </c>
      <c r="H228" s="304" t="s">
        <v>2247</v>
      </c>
      <c r="I228" s="304" t="s">
        <v>2248</v>
      </c>
    </row>
    <row r="229" spans="1:9" s="399" customFormat="1" ht="75">
      <c r="A229" s="395" t="str">
        <f>'[3]ISRS Addns Nov and Dec 2016'!C284</f>
        <v>800714</v>
      </c>
      <c r="B229" s="395" t="str">
        <f>'[3]ISRS Addns Nov and Dec 2016'!B284</f>
        <v>N/A</v>
      </c>
      <c r="C229" s="396" t="str">
        <f>'[3]ISRS Addns Nov and Dec 2016'!D284</f>
        <v>Repl w 2748F 2-4P Monett Phase 1B</v>
      </c>
      <c r="D229" s="397" t="s">
        <v>2586</v>
      </c>
      <c r="E229" s="395" t="str">
        <f>'[3]ISRS Addns Nov and Dec 2016'!E284</f>
        <v>F0572</v>
      </c>
      <c r="F229" s="396" t="str">
        <f>'[3]ISRS Addns Nov and Dec 2016'!F284</f>
        <v>Main Replacement - ISRS (SW)</v>
      </c>
      <c r="G229" s="398">
        <f>'[3]ISRS Addns Nov and Dec 2016'!I284</f>
        <v>8198.89</v>
      </c>
      <c r="H229" s="304" t="s">
        <v>2247</v>
      </c>
      <c r="I229" s="304" t="s">
        <v>2248</v>
      </c>
    </row>
    <row r="230" spans="1:9" s="399" customFormat="1" ht="45">
      <c r="A230" s="395" t="str">
        <f>'[3]ISRS Addns Nov and Dec 2016'!C288</f>
        <v>800817</v>
      </c>
      <c r="B230" s="395" t="str">
        <f>'[3]ISRS Addns Nov and Dec 2016'!B288</f>
        <v>N/A</v>
      </c>
      <c r="C230" s="396" t="str">
        <f>'[3]ISRS Addns Nov and Dec 2016'!D288</f>
        <v>Repl w 194F 2P 5th &amp; St. Louis</v>
      </c>
      <c r="D230" s="397" t="s">
        <v>2589</v>
      </c>
      <c r="E230" s="395" t="str">
        <f>'[3]ISRS Addns Nov and Dec 2016'!E288</f>
        <v>F0572</v>
      </c>
      <c r="F230" s="396" t="str">
        <f>'[3]ISRS Addns Nov and Dec 2016'!F288</f>
        <v>Main Replacement - ISRS (SW)</v>
      </c>
      <c r="G230" s="398">
        <f>'[3]ISRS Addns Nov and Dec 2016'!I288</f>
        <v>23096.26</v>
      </c>
      <c r="H230" s="304" t="s">
        <v>2247</v>
      </c>
      <c r="I230" s="304" t="s">
        <v>2248</v>
      </c>
    </row>
    <row r="231" spans="1:9" s="399" customFormat="1" ht="45">
      <c r="A231" s="395" t="str">
        <f>'[3]ISRS Addns Nov and Dec 2016'!C289</f>
        <v>800817</v>
      </c>
      <c r="B231" s="395" t="str">
        <f>'[3]ISRS Addns Nov and Dec 2016'!B289</f>
        <v>N/A</v>
      </c>
      <c r="C231" s="396" t="str">
        <f>'[3]ISRS Addns Nov and Dec 2016'!D289</f>
        <v>Repl w 194F 2P 5th &amp; St. Louis</v>
      </c>
      <c r="D231" s="397" t="s">
        <v>2589</v>
      </c>
      <c r="E231" s="395" t="str">
        <f>'[3]ISRS Addns Nov and Dec 2016'!E289</f>
        <v>F0572</v>
      </c>
      <c r="F231" s="396" t="str">
        <f>'[3]ISRS Addns Nov and Dec 2016'!F289</f>
        <v>Main Replacement - ISRS (SW)</v>
      </c>
      <c r="G231" s="398">
        <f>'[3]ISRS Addns Nov and Dec 2016'!I289</f>
        <v>321.33</v>
      </c>
      <c r="H231" s="304" t="s">
        <v>2247</v>
      </c>
      <c r="I231" s="304" t="s">
        <v>2248</v>
      </c>
    </row>
    <row r="232" spans="1:9" s="399" customFormat="1" ht="105">
      <c r="A232" s="395" t="str">
        <f>'[3]ISRS Addns Nov and Dec 2016'!C30</f>
        <v>007396</v>
      </c>
      <c r="B232" s="395" t="str">
        <f>'[3]ISRS Addns Nov and Dec 2016'!B30</f>
        <v>20501155072</v>
      </c>
      <c r="C232" s="396" t="str">
        <f>'[3]ISRS Addns Nov and Dec 2016'!D30</f>
        <v>12th St and Geneva Ave PBS Replacem</v>
      </c>
      <c r="D232" s="397" t="s">
        <v>2497</v>
      </c>
      <c r="E232" s="395" t="str">
        <f>'[3]ISRS Addns Nov and Dec 2016'!E30</f>
        <v>F0544</v>
      </c>
      <c r="F232" s="396" t="str">
        <f>'[3]ISRS Addns Nov and Dec 2016'!F30</f>
        <v>Replace bare steel main - safety re</v>
      </c>
      <c r="G232" s="398">
        <f>'[3]ISRS Addns Nov and Dec 2016'!I30</f>
        <v>-2869.94</v>
      </c>
      <c r="H232" s="304" t="s">
        <v>2247</v>
      </c>
      <c r="I232" s="304" t="s">
        <v>2248</v>
      </c>
    </row>
    <row r="233" spans="1:9" s="399" customFormat="1" ht="90">
      <c r="A233" s="395" t="str">
        <f>'[3]ISRS Addns Nov and Dec 2016'!C33</f>
        <v>008133</v>
      </c>
      <c r="B233" s="395" t="str">
        <f>'[3]ISRS Addns Nov and Dec 2016'!B33</f>
        <v>20501155262</v>
      </c>
      <c r="C233" s="396" t="str">
        <f>'[3]ISRS Addns Nov and Dec 2016'!D33</f>
        <v>8th St and Virginia Ave 3in PBS Mai</v>
      </c>
      <c r="D233" s="397" t="s">
        <v>2499</v>
      </c>
      <c r="E233" s="395" t="str">
        <f>'[3]ISRS Addns Nov and Dec 2016'!E33</f>
        <v>F0544</v>
      </c>
      <c r="F233" s="396" t="str">
        <f>'[3]ISRS Addns Nov and Dec 2016'!F33</f>
        <v>Replace bare steel main - safety re</v>
      </c>
      <c r="G233" s="398">
        <f>'[3]ISRS Addns Nov and Dec 2016'!I33</f>
        <v>-1904.41</v>
      </c>
      <c r="H233" s="304" t="s">
        <v>2247</v>
      </c>
      <c r="I233" s="304" t="s">
        <v>2248</v>
      </c>
    </row>
    <row r="234" spans="1:9" s="399" customFormat="1" ht="90">
      <c r="A234" s="395" t="str">
        <f>'[3]ISRS Addns Nov and Dec 2016'!C34</f>
        <v>008133</v>
      </c>
      <c r="B234" s="395" t="str">
        <f>'[3]ISRS Addns Nov and Dec 2016'!B34</f>
        <v>20501155262</v>
      </c>
      <c r="C234" s="396" t="str">
        <f>'[3]ISRS Addns Nov and Dec 2016'!D34</f>
        <v>8th St and Virginia Ave 3in PBS Mai</v>
      </c>
      <c r="D234" s="397" t="s">
        <v>2499</v>
      </c>
      <c r="E234" s="395" t="str">
        <f>'[3]ISRS Addns Nov and Dec 2016'!E34</f>
        <v>F0544</v>
      </c>
      <c r="F234" s="396" t="str">
        <f>'[3]ISRS Addns Nov and Dec 2016'!F34</f>
        <v>Replace bare steel main - safety re</v>
      </c>
      <c r="G234" s="398">
        <f>'[3]ISRS Addns Nov and Dec 2016'!I34</f>
        <v>1530.72</v>
      </c>
      <c r="H234" s="304" t="s">
        <v>2247</v>
      </c>
      <c r="I234" s="304" t="s">
        <v>2248</v>
      </c>
    </row>
    <row r="235" spans="1:9" s="399" customFormat="1" ht="75">
      <c r="A235" s="395" t="str">
        <f>'[3]ISRS Addns Nov and Dec 2016'!C53</f>
        <v>009248</v>
      </c>
      <c r="B235" s="395" t="str">
        <f>'[3]ISRS Addns Nov and Dec 2016'!B53</f>
        <v>20904155457</v>
      </c>
      <c r="C235" s="396" t="str">
        <f>'[3]ISRS Addns Nov and Dec 2016'!D53</f>
        <v>Grandview Repl Phase 4</v>
      </c>
      <c r="D235" s="397" t="s">
        <v>2511</v>
      </c>
      <c r="E235" s="395" t="str">
        <f>'[3]ISRS Addns Nov and Dec 2016'!E53</f>
        <v>F0613</v>
      </c>
      <c r="F235" s="396" t="str">
        <f>'[3]ISRS Addns Nov and Dec 2016'!F53</f>
        <v>Replace bare steel main - safety re</v>
      </c>
      <c r="G235" s="398">
        <f>'[3]ISRS Addns Nov and Dec 2016'!I53</f>
        <v>114794.17</v>
      </c>
      <c r="H235" s="304" t="s">
        <v>2247</v>
      </c>
      <c r="I235" s="304" t="s">
        <v>2248</v>
      </c>
    </row>
    <row r="236" spans="1:9" s="399" customFormat="1" ht="75">
      <c r="A236" s="395" t="str">
        <f>'[3]ISRS Addns Nov and Dec 2016'!C54</f>
        <v>009248</v>
      </c>
      <c r="B236" s="395" t="str">
        <f>'[3]ISRS Addns Nov and Dec 2016'!B54</f>
        <v>20904155457</v>
      </c>
      <c r="C236" s="396" t="str">
        <f>'[3]ISRS Addns Nov and Dec 2016'!D54</f>
        <v>Grandview Repl Phase 4</v>
      </c>
      <c r="D236" s="397" t="s">
        <v>2511</v>
      </c>
      <c r="E236" s="395" t="str">
        <f>'[3]ISRS Addns Nov and Dec 2016'!E54</f>
        <v>F0613</v>
      </c>
      <c r="F236" s="396" t="str">
        <f>'[3]ISRS Addns Nov and Dec 2016'!F54</f>
        <v>Replace bare steel main - safety re</v>
      </c>
      <c r="G236" s="398">
        <f>'[3]ISRS Addns Nov and Dec 2016'!I54</f>
        <v>-114794.17</v>
      </c>
      <c r="H236" s="304" t="s">
        <v>2247</v>
      </c>
      <c r="I236" s="304" t="s">
        <v>2248</v>
      </c>
    </row>
    <row r="237" spans="1:9" s="399" customFormat="1" ht="75">
      <c r="A237" s="395" t="str">
        <f>'[3]ISRS Addns Nov and Dec 2016'!C31</f>
        <v>007500</v>
      </c>
      <c r="B237" s="395" t="str">
        <f>'[3]ISRS Addns Nov and Dec 2016'!B31</f>
        <v>20501155098</v>
      </c>
      <c r="C237" s="396" t="str">
        <f>'[3]ISRS Addns Nov and Dec 2016'!D31</f>
        <v>PCS Main Replacement</v>
      </c>
      <c r="D237" s="397" t="s">
        <v>2498</v>
      </c>
      <c r="E237" s="395" t="str">
        <f>'[3]ISRS Addns Nov and Dec 2016'!E31</f>
        <v>F0575</v>
      </c>
      <c r="F237" s="396" t="str">
        <f>'[3]ISRS Addns Nov and Dec 2016'!F31</f>
        <v>Replace steel &amp; plastic main</v>
      </c>
      <c r="G237" s="398">
        <f>'[3]ISRS Addns Nov and Dec 2016'!I31</f>
        <v>-1155.7</v>
      </c>
      <c r="H237" s="304" t="s">
        <v>2247</v>
      </c>
      <c r="I237" s="304" t="s">
        <v>2248</v>
      </c>
    </row>
    <row r="238" spans="1:9" s="399" customFormat="1" ht="75">
      <c r="A238" s="395" t="str">
        <f>'[3]ISRS Addns Nov and Dec 2016'!C32</f>
        <v>007500</v>
      </c>
      <c r="B238" s="395" t="str">
        <f>'[3]ISRS Addns Nov and Dec 2016'!B32</f>
        <v>20501155098</v>
      </c>
      <c r="C238" s="396" t="str">
        <f>'[3]ISRS Addns Nov and Dec 2016'!D32</f>
        <v>PCS Main Replacement</v>
      </c>
      <c r="D238" s="397" t="s">
        <v>2498</v>
      </c>
      <c r="E238" s="395" t="str">
        <f>'[3]ISRS Addns Nov and Dec 2016'!E32</f>
        <v>F0575</v>
      </c>
      <c r="F238" s="396" t="str">
        <f>'[3]ISRS Addns Nov and Dec 2016'!F32</f>
        <v>Replace steel &amp; plastic main</v>
      </c>
      <c r="G238" s="398">
        <f>'[3]ISRS Addns Nov and Dec 2016'!I32</f>
        <v>532</v>
      </c>
      <c r="H238" s="304" t="s">
        <v>2247</v>
      </c>
      <c r="I238" s="304" t="s">
        <v>2248</v>
      </c>
    </row>
    <row r="239" spans="1:9" s="399" customFormat="1" ht="45">
      <c r="A239" s="395" t="str">
        <f>'[3]ISRS Addns Nov and Dec 2016'!C5</f>
        <v>003816</v>
      </c>
      <c r="B239" s="395" t="str">
        <f>'[3]ISRS Addns Nov and Dec 2016'!B5</f>
        <v>20401050360</v>
      </c>
      <c r="C239" s="396" t="str">
        <f>'[3]ISRS Addns Nov and Dec 2016'!D5</f>
        <v>BWO SERVICE LINE LEAK RESPONSIVE</v>
      </c>
      <c r="D239" s="397" t="s">
        <v>2484</v>
      </c>
      <c r="E239" s="395" t="str">
        <f>'[3]ISRS Addns Nov and Dec 2016'!E5</f>
        <v>F0558</v>
      </c>
      <c r="F239" s="396" t="str">
        <f>'[3]ISRS Addns Nov and Dec 2016'!F5</f>
        <v>SLRP - immediate response - company</v>
      </c>
      <c r="G239" s="398">
        <f>'[3]ISRS Addns Nov and Dec 2016'!I5</f>
        <v>5755.05</v>
      </c>
      <c r="H239" s="304" t="s">
        <v>2247</v>
      </c>
      <c r="I239" s="304" t="s">
        <v>2249</v>
      </c>
    </row>
    <row r="240" spans="1:9" s="399" customFormat="1" ht="45">
      <c r="A240" s="395" t="str">
        <f>'[3]ISRS Addns Nov and Dec 2016'!C6</f>
        <v>003816</v>
      </c>
      <c r="B240" s="395" t="str">
        <f>'[3]ISRS Addns Nov and Dec 2016'!B6</f>
        <v>20401050360</v>
      </c>
      <c r="C240" s="396" t="str">
        <f>'[3]ISRS Addns Nov and Dec 2016'!D6</f>
        <v>BWO SERVICE LINE LEAK RESPONSIVE</v>
      </c>
      <c r="D240" s="397" t="s">
        <v>2484</v>
      </c>
      <c r="E240" s="395" t="str">
        <f>'[3]ISRS Addns Nov and Dec 2016'!E6</f>
        <v>F0558</v>
      </c>
      <c r="F240" s="396" t="str">
        <f>'[3]ISRS Addns Nov and Dec 2016'!F6</f>
        <v>SLRP - immediate response - company</v>
      </c>
      <c r="G240" s="398">
        <f>'[3]ISRS Addns Nov and Dec 2016'!I6</f>
        <v>8530.15</v>
      </c>
      <c r="H240" s="304" t="s">
        <v>2247</v>
      </c>
      <c r="I240" s="304" t="s">
        <v>2249</v>
      </c>
    </row>
    <row r="241" spans="1:9" s="399" customFormat="1" ht="30">
      <c r="A241" s="395" t="str">
        <f>'[3]ISRS Addns Nov and Dec 2016'!C22</f>
        <v>004609</v>
      </c>
      <c r="B241" s="395" t="str">
        <f>'[3]ISRS Addns Nov and Dec 2016'!B22</f>
        <v>20901050367</v>
      </c>
      <c r="C241" s="396" t="str">
        <f>'[3]ISRS Addns Nov and Dec 2016'!D22</f>
        <v>BWO MATERIAL SERV LINE REPL COMP</v>
      </c>
      <c r="D241" s="397" t="s">
        <v>2493</v>
      </c>
      <c r="E241" s="395" t="str">
        <f>'[3]ISRS Addns Nov and Dec 2016'!E22</f>
        <v>F0649</v>
      </c>
      <c r="F241" s="396" t="str">
        <f>'[3]ISRS Addns Nov and Dec 2016'!F22</f>
        <v>SLRP - materials - company crews</v>
      </c>
      <c r="G241" s="398">
        <f>'[3]ISRS Addns Nov and Dec 2016'!I22</f>
        <v>365.01</v>
      </c>
      <c r="H241" s="304" t="s">
        <v>2247</v>
      </c>
      <c r="I241" s="304" t="s">
        <v>2249</v>
      </c>
    </row>
    <row r="242" spans="1:9" s="399" customFormat="1" ht="30">
      <c r="A242" s="395" t="str">
        <f>'[3]ISRS Addns Nov and Dec 2016'!C23</f>
        <v>004609</v>
      </c>
      <c r="B242" s="395" t="str">
        <f>'[3]ISRS Addns Nov and Dec 2016'!B23</f>
        <v>20901050367</v>
      </c>
      <c r="C242" s="396" t="str">
        <f>'[3]ISRS Addns Nov and Dec 2016'!D23</f>
        <v>BWO MATERIAL SERV LINE REPL COMP</v>
      </c>
      <c r="D242" s="397" t="s">
        <v>2493</v>
      </c>
      <c r="E242" s="395" t="str">
        <f>'[3]ISRS Addns Nov and Dec 2016'!E23</f>
        <v>F0649</v>
      </c>
      <c r="F242" s="396" t="str">
        <f>'[3]ISRS Addns Nov and Dec 2016'!F23</f>
        <v>SLRP - materials - company crews</v>
      </c>
      <c r="G242" s="398">
        <f>'[3]ISRS Addns Nov and Dec 2016'!I23</f>
        <v>9.7200000000000006</v>
      </c>
      <c r="H242" s="304" t="s">
        <v>2247</v>
      </c>
      <c r="I242" s="304" t="s">
        <v>2249</v>
      </c>
    </row>
    <row r="243" spans="1:9" s="399" customFormat="1" ht="45">
      <c r="A243" s="395" t="str">
        <f>'[3]ISRS Addns Nov and Dec 2016'!C13</f>
        <v>004279</v>
      </c>
      <c r="B243" s="395" t="str">
        <f>'[3]ISRS Addns Nov and Dec 2016'!B13</f>
        <v>20401050377</v>
      </c>
      <c r="C243" s="396" t="str">
        <f>'[3]ISRS Addns Nov and Dec 2016'!D13</f>
        <v>BWO SERVICE LINE MATERIAL CONTRACTO</v>
      </c>
      <c r="D243" s="397" t="s">
        <v>2488</v>
      </c>
      <c r="E243" s="395" t="str">
        <f>'[3]ISRS Addns Nov and Dec 2016'!E13</f>
        <v>F0586</v>
      </c>
      <c r="F243" s="396" t="str">
        <f>'[3]ISRS Addns Nov and Dec 2016'!F13</f>
        <v>SLRP - materials - contract</v>
      </c>
      <c r="G243" s="398">
        <f>'[3]ISRS Addns Nov and Dec 2016'!I13</f>
        <v>-11.35</v>
      </c>
      <c r="H243" s="304" t="s">
        <v>2247</v>
      </c>
      <c r="I243" s="304" t="s">
        <v>2249</v>
      </c>
    </row>
    <row r="244" spans="1:9" s="399" customFormat="1" ht="45">
      <c r="A244" s="395" t="str">
        <f>'[3]ISRS Addns Nov and Dec 2016'!C14</f>
        <v>004279</v>
      </c>
      <c r="B244" s="395" t="str">
        <f>'[3]ISRS Addns Nov and Dec 2016'!B14</f>
        <v>20401050377</v>
      </c>
      <c r="C244" s="396" t="str">
        <f>'[3]ISRS Addns Nov and Dec 2016'!D14</f>
        <v>BWO SERVICE LINE MATERIAL CONTRACTO</v>
      </c>
      <c r="D244" s="397" t="s">
        <v>2488</v>
      </c>
      <c r="E244" s="395" t="str">
        <f>'[3]ISRS Addns Nov and Dec 2016'!E14</f>
        <v>F0586</v>
      </c>
      <c r="F244" s="396" t="str">
        <f>'[3]ISRS Addns Nov and Dec 2016'!F14</f>
        <v>SLRP - materials - contract</v>
      </c>
      <c r="G244" s="398">
        <f>'[3]ISRS Addns Nov and Dec 2016'!I14</f>
        <v>8.76</v>
      </c>
      <c r="H244" s="304" t="s">
        <v>2247</v>
      </c>
      <c r="I244" s="304" t="s">
        <v>2249</v>
      </c>
    </row>
    <row r="245" spans="1:9" s="399" customFormat="1" ht="30">
      <c r="A245" s="395" t="str">
        <f>'[3]ISRS Addns Nov and Dec 2016'!C15</f>
        <v>004287</v>
      </c>
      <c r="B245" s="395" t="str">
        <f>'[3]ISRS Addns Nov and Dec 2016'!B15</f>
        <v>20901050377</v>
      </c>
      <c r="C245" s="396" t="str">
        <f>'[3]ISRS Addns Nov and Dec 2016'!D15</f>
        <v>BWO MATERIAL SERV LINE REPL CONT</v>
      </c>
      <c r="D245" s="397" t="s">
        <v>2489</v>
      </c>
      <c r="E245" s="395" t="str">
        <f>'[3]ISRS Addns Nov and Dec 2016'!E15</f>
        <v>F0607</v>
      </c>
      <c r="F245" s="396" t="str">
        <f>'[3]ISRS Addns Nov and Dec 2016'!F15</f>
        <v>SLRP - materials - contract</v>
      </c>
      <c r="G245" s="398">
        <f>'[3]ISRS Addns Nov and Dec 2016'!I15</f>
        <v>126706.33</v>
      </c>
      <c r="H245" s="304" t="s">
        <v>2247</v>
      </c>
      <c r="I245" s="304" t="s">
        <v>2249</v>
      </c>
    </row>
    <row r="246" spans="1:9" s="399" customFormat="1" ht="30">
      <c r="A246" s="395" t="str">
        <f>'[3]ISRS Addns Nov and Dec 2016'!C16</f>
        <v>004287</v>
      </c>
      <c r="B246" s="395" t="str">
        <f>'[3]ISRS Addns Nov and Dec 2016'!B16</f>
        <v>20901050377</v>
      </c>
      <c r="C246" s="396" t="str">
        <f>'[3]ISRS Addns Nov and Dec 2016'!D16</f>
        <v>BWO MATERIAL SERV LINE REPL CONT</v>
      </c>
      <c r="D246" s="397" t="s">
        <v>2489</v>
      </c>
      <c r="E246" s="395" t="str">
        <f>'[3]ISRS Addns Nov and Dec 2016'!E16</f>
        <v>F0607</v>
      </c>
      <c r="F246" s="396" t="str">
        <f>'[3]ISRS Addns Nov and Dec 2016'!F16</f>
        <v>SLRP - materials - contract</v>
      </c>
      <c r="G246" s="398">
        <f>'[3]ISRS Addns Nov and Dec 2016'!I16</f>
        <v>64180.19</v>
      </c>
      <c r="H246" s="304" t="s">
        <v>2247</v>
      </c>
      <c r="I246" s="304" t="s">
        <v>2249</v>
      </c>
    </row>
    <row r="247" spans="1:9" s="399" customFormat="1" ht="45">
      <c r="A247" s="395" t="str">
        <f>'[3]ISRS Addns Nov and Dec 2016'!C20</f>
        <v>004600</v>
      </c>
      <c r="B247" s="395" t="str">
        <f>'[3]ISRS Addns Nov and Dec 2016'!B20</f>
        <v>20501050371</v>
      </c>
      <c r="C247" s="396" t="str">
        <f>'[3]ISRS Addns Nov and Dec 2016'!D20</f>
        <v>BWO SERVICE LINE REPL MODIFIED BLOC</v>
      </c>
      <c r="D247" s="397" t="s">
        <v>2492</v>
      </c>
      <c r="E247" s="395" t="str">
        <f>'[3]ISRS Addns Nov and Dec 2016'!E20</f>
        <v>F0669</v>
      </c>
      <c r="F247" s="396" t="str">
        <f>'[3]ISRS Addns Nov and Dec 2016'!F20</f>
        <v>SLRP - modified block by block - co</v>
      </c>
      <c r="G247" s="398">
        <f>'[3]ISRS Addns Nov and Dec 2016'!I20</f>
        <v>-35.36</v>
      </c>
      <c r="H247" s="304" t="s">
        <v>2247</v>
      </c>
      <c r="I247" s="304" t="s">
        <v>2249</v>
      </c>
    </row>
    <row r="248" spans="1:9" s="399" customFormat="1" ht="45">
      <c r="A248" s="395" t="str">
        <f>'[3]ISRS Addns Nov and Dec 2016'!C21</f>
        <v>004600</v>
      </c>
      <c r="B248" s="395" t="str">
        <f>'[3]ISRS Addns Nov and Dec 2016'!B21</f>
        <v>20501050371</v>
      </c>
      <c r="C248" s="396" t="str">
        <f>'[3]ISRS Addns Nov and Dec 2016'!D21</f>
        <v>BWO SERVICE LINE REPL MODIFIED BLOC</v>
      </c>
      <c r="D248" s="397" t="s">
        <v>2492</v>
      </c>
      <c r="E248" s="395" t="str">
        <f>'[3]ISRS Addns Nov and Dec 2016'!E21</f>
        <v>F0669</v>
      </c>
      <c r="F248" s="396" t="str">
        <f>'[3]ISRS Addns Nov and Dec 2016'!F21</f>
        <v>SLRP - modified block by block - co</v>
      </c>
      <c r="G248" s="398">
        <f>'[3]ISRS Addns Nov and Dec 2016'!I21</f>
        <v>27.26</v>
      </c>
      <c r="H248" s="304" t="s">
        <v>2247</v>
      </c>
      <c r="I248" s="304" t="s">
        <v>2249</v>
      </c>
    </row>
    <row r="249" spans="1:9" s="399" customFormat="1" ht="75">
      <c r="A249" s="395" t="str">
        <f>'[3]ISRS Addns Nov and Dec 2016'!C39</f>
        <v>008790</v>
      </c>
      <c r="B249" s="395" t="str">
        <f>'[3]ISRS Addns Nov and Dec 2016'!B39</f>
        <v>21261155422</v>
      </c>
      <c r="C249" s="396" t="str">
        <f>'[3]ISRS Addns Nov and Dec 2016'!D39</f>
        <v>4in PCS Relocation</v>
      </c>
      <c r="D249" s="397" t="s">
        <v>2503</v>
      </c>
      <c r="E249" s="395" t="str">
        <f>'[3]ISRS Addns Nov and Dec 2016'!E39</f>
        <v>F0547</v>
      </c>
      <c r="F249" s="396" t="str">
        <f>'[3]ISRS Addns Nov and Dec 2016'!F39</f>
        <v>Street &amp; Highway Relocates ISRS (N)</v>
      </c>
      <c r="G249" s="398">
        <f>'[3]ISRS Addns Nov and Dec 2016'!I39</f>
        <v>32355.61</v>
      </c>
      <c r="H249" s="176" t="s">
        <v>2246</v>
      </c>
    </row>
    <row r="250" spans="1:9" s="399" customFormat="1" ht="75">
      <c r="A250" s="395" t="str">
        <f>'[3]ISRS Addns Nov and Dec 2016'!C40</f>
        <v>008891</v>
      </c>
      <c r="B250" s="395" t="str">
        <f>'[3]ISRS Addns Nov and Dec 2016'!B40</f>
        <v>20401155426</v>
      </c>
      <c r="C250" s="396" t="str">
        <f>'[3]ISRS Addns Nov and Dec 2016'!D40</f>
        <v>Inlet and Outlet Piping to DRS 763</v>
      </c>
      <c r="D250" s="397" t="s">
        <v>2504</v>
      </c>
      <c r="E250" s="395" t="str">
        <f>'[3]ISRS Addns Nov and Dec 2016'!E40</f>
        <v>F0547</v>
      </c>
      <c r="F250" s="396" t="str">
        <f>'[3]ISRS Addns Nov and Dec 2016'!F40</f>
        <v>Street &amp; Highway Relocates ISRS (N)</v>
      </c>
      <c r="G250" s="398">
        <f>'[3]ISRS Addns Nov and Dec 2016'!I40</f>
        <v>3252.36</v>
      </c>
      <c r="H250" s="176" t="s">
        <v>2246</v>
      </c>
    </row>
    <row r="251" spans="1:9" s="399" customFormat="1" ht="75">
      <c r="A251" s="395" t="str">
        <f>'[3]ISRS Addns Nov and Dec 2016'!C41</f>
        <v>008891</v>
      </c>
      <c r="B251" s="395" t="str">
        <f>'[3]ISRS Addns Nov and Dec 2016'!B41</f>
        <v>20401155426</v>
      </c>
      <c r="C251" s="396" t="str">
        <f>'[3]ISRS Addns Nov and Dec 2016'!D41</f>
        <v>Inlet and Outlet Piping to DRS 763</v>
      </c>
      <c r="D251" s="397" t="s">
        <v>2504</v>
      </c>
      <c r="E251" s="395" t="str">
        <f>'[3]ISRS Addns Nov and Dec 2016'!E41</f>
        <v>F0547</v>
      </c>
      <c r="F251" s="396" t="str">
        <f>'[3]ISRS Addns Nov and Dec 2016'!F41</f>
        <v>Street &amp; Highway Relocates ISRS (N)</v>
      </c>
      <c r="G251" s="398">
        <f>'[3]ISRS Addns Nov and Dec 2016'!I41</f>
        <v>1830.85</v>
      </c>
      <c r="H251" s="176" t="s">
        <v>2246</v>
      </c>
    </row>
    <row r="252" spans="1:9" s="399" customFormat="1" ht="75">
      <c r="A252" s="395" t="str">
        <f>'[3]ISRS Addns Nov and Dec 2016'!C42</f>
        <v>008891</v>
      </c>
      <c r="B252" s="395" t="str">
        <f>'[3]ISRS Addns Nov and Dec 2016'!B42</f>
        <v>20401155426</v>
      </c>
      <c r="C252" s="396" t="str">
        <f>'[3]ISRS Addns Nov and Dec 2016'!D42</f>
        <v>Inlet and Outlet Piping to DRS 763</v>
      </c>
      <c r="D252" s="397" t="s">
        <v>2504</v>
      </c>
      <c r="E252" s="395" t="str">
        <f>'[3]ISRS Addns Nov and Dec 2016'!E42</f>
        <v>F0547</v>
      </c>
      <c r="F252" s="396" t="str">
        <f>'[3]ISRS Addns Nov and Dec 2016'!F42</f>
        <v>Street &amp; Highway Relocates ISRS (N)</v>
      </c>
      <c r="G252" s="398">
        <f>'[3]ISRS Addns Nov and Dec 2016'!I42</f>
        <v>-5083.21</v>
      </c>
      <c r="H252" s="176" t="s">
        <v>2246</v>
      </c>
    </row>
    <row r="253" spans="1:9" s="399" customFormat="1" ht="60">
      <c r="A253" s="395" t="str">
        <f>'[3]ISRS Addns Nov and Dec 2016'!C183</f>
        <v>800144</v>
      </c>
      <c r="B253" s="395" t="str">
        <f>'[3]ISRS Addns Nov and Dec 2016'!B183</f>
        <v>N/A</v>
      </c>
      <c r="C253" s="396" t="str">
        <f>'[3]ISRS Addns Nov and Dec 2016'!D183</f>
        <v>Hwy 71 and Gregory Grid Repl PhD</v>
      </c>
      <c r="D253" s="397" t="s">
        <v>2548</v>
      </c>
      <c r="E253" s="395" t="str">
        <f>'[3]ISRS Addns Nov and Dec 2016'!E183</f>
        <v>F0547</v>
      </c>
      <c r="F253" s="396" t="str">
        <f>'[3]ISRS Addns Nov and Dec 2016'!F183</f>
        <v>Street &amp; Highway Relocates ISRS (N)</v>
      </c>
      <c r="G253" s="398">
        <f>'[3]ISRS Addns Nov and Dec 2016'!I183</f>
        <v>3147.03</v>
      </c>
      <c r="H253" s="176" t="s">
        <v>2246</v>
      </c>
    </row>
    <row r="254" spans="1:9" s="399" customFormat="1" ht="60">
      <c r="A254" s="395" t="str">
        <f>'[3]ISRS Addns Nov and Dec 2016'!C184</f>
        <v>800144</v>
      </c>
      <c r="B254" s="395" t="str">
        <f>'[3]ISRS Addns Nov and Dec 2016'!B184</f>
        <v>N/A</v>
      </c>
      <c r="C254" s="396" t="str">
        <f>'[3]ISRS Addns Nov and Dec 2016'!D184</f>
        <v>Hwy 71 and Gregory Grid Repl PhD</v>
      </c>
      <c r="D254" s="397" t="s">
        <v>2548</v>
      </c>
      <c r="E254" s="395" t="str">
        <f>'[3]ISRS Addns Nov and Dec 2016'!E184</f>
        <v>F0547</v>
      </c>
      <c r="F254" s="396" t="str">
        <f>'[3]ISRS Addns Nov and Dec 2016'!F184</f>
        <v>Street &amp; Highway Relocates ISRS (N)</v>
      </c>
      <c r="G254" s="398">
        <f>'[3]ISRS Addns Nov and Dec 2016'!I184</f>
        <v>656.45</v>
      </c>
      <c r="H254" s="176" t="s">
        <v>2246</v>
      </c>
    </row>
    <row r="255" spans="1:9" s="399" customFormat="1" ht="45">
      <c r="A255" s="395" t="str">
        <f>'[3]ISRS Addns Nov and Dec 2016'!C235</f>
        <v>800385</v>
      </c>
      <c r="B255" s="395" t="str">
        <f>'[3]ISRS Addns Nov and Dec 2016'!B235</f>
        <v>N/A</v>
      </c>
      <c r="C255" s="396" t="str">
        <f>'[3]ISRS Addns Nov and Dec 2016'!D235</f>
        <v>Rel w/ 2320F 2P 22nd&amp;23rd St-Wabash</v>
      </c>
      <c r="D255" s="397" t="s">
        <v>2566</v>
      </c>
      <c r="E255" s="395" t="str">
        <f>'[3]ISRS Addns Nov and Dec 2016'!E235</f>
        <v>F0547</v>
      </c>
      <c r="F255" s="396" t="str">
        <f>'[3]ISRS Addns Nov and Dec 2016'!F235</f>
        <v>Street &amp; Highway Relocates ISRS (N)</v>
      </c>
      <c r="G255" s="398">
        <f>'[3]ISRS Addns Nov and Dec 2016'!I235</f>
        <v>-2766.62</v>
      </c>
      <c r="H255" s="176" t="s">
        <v>2246</v>
      </c>
    </row>
    <row r="256" spans="1:9" s="399" customFormat="1" ht="45">
      <c r="A256" s="395" t="str">
        <f>'[3]ISRS Addns Nov and Dec 2016'!C236</f>
        <v>800385</v>
      </c>
      <c r="B256" s="395" t="str">
        <f>'[3]ISRS Addns Nov and Dec 2016'!B236</f>
        <v>N/A</v>
      </c>
      <c r="C256" s="396" t="str">
        <f>'[3]ISRS Addns Nov and Dec 2016'!D236</f>
        <v>Rel w/ 2320F 2P 22nd&amp;23rd St-Wabash</v>
      </c>
      <c r="D256" s="397" t="s">
        <v>2566</v>
      </c>
      <c r="E256" s="395" t="str">
        <f>'[3]ISRS Addns Nov and Dec 2016'!E236</f>
        <v>F0547</v>
      </c>
      <c r="F256" s="396" t="str">
        <f>'[3]ISRS Addns Nov and Dec 2016'!F236</f>
        <v>Street &amp; Highway Relocates ISRS (N)</v>
      </c>
      <c r="G256" s="398">
        <f>'[3]ISRS Addns Nov and Dec 2016'!I236</f>
        <v>-447.88</v>
      </c>
      <c r="H256" s="176" t="s">
        <v>2246</v>
      </c>
    </row>
    <row r="257" spans="1:8" s="399" customFormat="1" ht="45">
      <c r="A257" s="395" t="str">
        <f>'[3]ISRS Addns Nov and Dec 2016'!C237</f>
        <v>800385</v>
      </c>
      <c r="B257" s="395" t="str">
        <f>'[3]ISRS Addns Nov and Dec 2016'!B237</f>
        <v>N/A</v>
      </c>
      <c r="C257" s="396" t="str">
        <f>'[3]ISRS Addns Nov and Dec 2016'!D237</f>
        <v>Rel w/ 2320F 2P 22nd&amp;23rd St-Wabash</v>
      </c>
      <c r="D257" s="397" t="s">
        <v>2566</v>
      </c>
      <c r="E257" s="395" t="str">
        <f>'[3]ISRS Addns Nov and Dec 2016'!E237</f>
        <v>F0547</v>
      </c>
      <c r="F257" s="396" t="str">
        <f>'[3]ISRS Addns Nov and Dec 2016'!F237</f>
        <v>Street &amp; Highway Relocates ISRS (N)</v>
      </c>
      <c r="G257" s="398">
        <f>'[3]ISRS Addns Nov and Dec 2016'!I237</f>
        <v>1831.6</v>
      </c>
      <c r="H257" s="176" t="s">
        <v>2246</v>
      </c>
    </row>
    <row r="258" spans="1:8" s="399" customFormat="1" ht="45">
      <c r="A258" s="395" t="str">
        <f>'[3]ISRS Addns Nov and Dec 2016'!C238</f>
        <v>800385</v>
      </c>
      <c r="B258" s="395" t="str">
        <f>'[3]ISRS Addns Nov and Dec 2016'!B238</f>
        <v>N/A</v>
      </c>
      <c r="C258" s="396" t="str">
        <f>'[3]ISRS Addns Nov and Dec 2016'!D238</f>
        <v>Rel w/ 2320F 2P 22nd&amp;23rd St-Wabash</v>
      </c>
      <c r="D258" s="397" t="s">
        <v>2566</v>
      </c>
      <c r="E258" s="395" t="str">
        <f>'[3]ISRS Addns Nov and Dec 2016'!E238</f>
        <v>F0547</v>
      </c>
      <c r="F258" s="396" t="str">
        <f>'[3]ISRS Addns Nov and Dec 2016'!F238</f>
        <v>Street &amp; Highway Relocates ISRS (N)</v>
      </c>
      <c r="G258" s="398">
        <f>'[3]ISRS Addns Nov and Dec 2016'!I238</f>
        <v>296.51</v>
      </c>
      <c r="H258" s="176" t="s">
        <v>2246</v>
      </c>
    </row>
    <row r="259" spans="1:8" s="399" customFormat="1" ht="30">
      <c r="A259" s="395" t="str">
        <f>'[3]ISRS Addns Nov and Dec 2016'!C252</f>
        <v>800416</v>
      </c>
      <c r="B259" s="395" t="str">
        <f>'[3]ISRS Addns Nov and Dec 2016'!B252</f>
        <v>N/A</v>
      </c>
      <c r="C259" s="396" t="str">
        <f>'[3]ISRS Addns Nov and Dec 2016'!D252</f>
        <v>N Amity Ave main relocation</v>
      </c>
      <c r="D259" s="397" t="s">
        <v>2573</v>
      </c>
      <c r="E259" s="395" t="str">
        <f>'[3]ISRS Addns Nov and Dec 2016'!E252</f>
        <v>F0547</v>
      </c>
      <c r="F259" s="396" t="str">
        <f>'[3]ISRS Addns Nov and Dec 2016'!F252</f>
        <v>Street &amp; Highway Relocates ISRS (N)</v>
      </c>
      <c r="G259" s="398">
        <f>'[3]ISRS Addns Nov and Dec 2016'!I252</f>
        <v>965</v>
      </c>
      <c r="H259" s="176" t="s">
        <v>2246</v>
      </c>
    </row>
    <row r="260" spans="1:8" s="399" customFormat="1" ht="30">
      <c r="A260" s="395" t="str">
        <f>'[3]ISRS Addns Nov and Dec 2016'!C270</f>
        <v>800567</v>
      </c>
      <c r="B260" s="395" t="str">
        <f>'[3]ISRS Addns Nov and Dec 2016'!B270</f>
        <v>N/A</v>
      </c>
      <c r="C260" s="396" t="str">
        <f>'[3]ISRS Addns Nov and Dec 2016'!D270</f>
        <v>Rel w/ 450F 12S Illinois Ave</v>
      </c>
      <c r="D260" s="397" t="s">
        <v>2579</v>
      </c>
      <c r="E260" s="395" t="str">
        <f>'[3]ISRS Addns Nov and Dec 2016'!E270</f>
        <v>F0547</v>
      </c>
      <c r="F260" s="396" t="str">
        <f>'[3]ISRS Addns Nov and Dec 2016'!F270</f>
        <v>Street &amp; Highway Relocates ISRS (N)</v>
      </c>
      <c r="G260" s="398">
        <f>'[3]ISRS Addns Nov and Dec 2016'!I270</f>
        <v>1951.19</v>
      </c>
      <c r="H260" s="176" t="s">
        <v>2246</v>
      </c>
    </row>
    <row r="261" spans="1:8" s="399" customFormat="1" ht="30">
      <c r="A261" s="395" t="str">
        <f>'[3]ISRS Addns Nov and Dec 2016'!C271</f>
        <v>800567</v>
      </c>
      <c r="B261" s="395" t="str">
        <f>'[3]ISRS Addns Nov and Dec 2016'!B271</f>
        <v>N/A</v>
      </c>
      <c r="C261" s="396" t="str">
        <f>'[3]ISRS Addns Nov and Dec 2016'!D271</f>
        <v>Rel w/ 450F 12S Illinois Ave</v>
      </c>
      <c r="D261" s="397" t="s">
        <v>2579</v>
      </c>
      <c r="E261" s="395" t="str">
        <f>'[3]ISRS Addns Nov and Dec 2016'!E271</f>
        <v>F0547</v>
      </c>
      <c r="F261" s="396" t="str">
        <f>'[3]ISRS Addns Nov and Dec 2016'!F271</f>
        <v>Street &amp; Highway Relocates ISRS (N)</v>
      </c>
      <c r="G261" s="398">
        <f>'[3]ISRS Addns Nov and Dec 2016'!I271</f>
        <v>37.68</v>
      </c>
      <c r="H261" s="176" t="s">
        <v>2246</v>
      </c>
    </row>
    <row r="262" spans="1:8" s="399" customFormat="1" ht="120">
      <c r="A262" s="395" t="str">
        <f>'[3]ISRS Addns Nov and Dec 2016'!C66</f>
        <v>800030</v>
      </c>
      <c r="B262" s="395" t="str">
        <f>'[3]ISRS Addns Nov and Dec 2016'!B66</f>
        <v>N/A</v>
      </c>
      <c r="C262" s="396" t="str">
        <f>'[3]ISRS Addns Nov and Dec 2016'!D66</f>
        <v>Relocate 2" &amp; 3" Steel - Route 7 fr</v>
      </c>
      <c r="D262" s="397" t="s">
        <v>2515</v>
      </c>
      <c r="E262" s="395" t="str">
        <f>'[3]ISRS Addns Nov and Dec 2016'!E66</f>
        <v>F0578</v>
      </c>
      <c r="F262" s="396" t="str">
        <f>'[3]ISRS Addns Nov and Dec 2016'!F66</f>
        <v>Street &amp; Highway Relocates ISRS (S)</v>
      </c>
      <c r="G262" s="398">
        <f>'[3]ISRS Addns Nov and Dec 2016'!I66</f>
        <v>194.49</v>
      </c>
      <c r="H262" s="176" t="s">
        <v>2246</v>
      </c>
    </row>
    <row r="263" spans="1:8" s="399" customFormat="1" ht="120">
      <c r="A263" s="395" t="str">
        <f>'[3]ISRS Addns Nov and Dec 2016'!C67</f>
        <v>800030</v>
      </c>
      <c r="B263" s="395" t="str">
        <f>'[3]ISRS Addns Nov and Dec 2016'!B67</f>
        <v>N/A</v>
      </c>
      <c r="C263" s="396" t="str">
        <f>'[3]ISRS Addns Nov and Dec 2016'!D67</f>
        <v>Relocate 2" &amp; 3" Steel - Route 7 fr</v>
      </c>
      <c r="D263" s="397" t="s">
        <v>2515</v>
      </c>
      <c r="E263" s="395" t="str">
        <f>'[3]ISRS Addns Nov and Dec 2016'!E67</f>
        <v>F0578</v>
      </c>
      <c r="F263" s="396" t="str">
        <f>'[3]ISRS Addns Nov and Dec 2016'!F67</f>
        <v>Street &amp; Highway Relocates ISRS (S)</v>
      </c>
      <c r="G263" s="398">
        <f>'[3]ISRS Addns Nov and Dec 2016'!I67</f>
        <v>5.09</v>
      </c>
      <c r="H263" s="176" t="s">
        <v>2246</v>
      </c>
    </row>
    <row r="264" spans="1:8" s="399" customFormat="1" ht="90">
      <c r="A264" s="395" t="str">
        <f>'[3]ISRS Addns Nov and Dec 2016'!C71</f>
        <v>800032</v>
      </c>
      <c r="B264" s="395" t="str">
        <f>'[3]ISRS Addns Nov and Dec 2016'!B71</f>
        <v>N/A</v>
      </c>
      <c r="C264" s="396" t="str">
        <f>'[3]ISRS Addns Nov and Dec 2016'!D71</f>
        <v>Relocate 3in &amp; 4i Steel Rt 7 fro</v>
      </c>
      <c r="D264" s="397" t="s">
        <v>2517</v>
      </c>
      <c r="E264" s="395" t="str">
        <f>'[3]ISRS Addns Nov and Dec 2016'!E71</f>
        <v>F0578</v>
      </c>
      <c r="F264" s="396" t="str">
        <f>'[3]ISRS Addns Nov and Dec 2016'!F71</f>
        <v>Street &amp; Highway Relocates ISRS (S)</v>
      </c>
      <c r="G264" s="398">
        <f>'[3]ISRS Addns Nov and Dec 2016'!I71</f>
        <v>275.16000000000003</v>
      </c>
      <c r="H264" s="176" t="s">
        <v>2246</v>
      </c>
    </row>
    <row r="265" spans="1:8" s="399" customFormat="1" ht="90">
      <c r="A265" s="395" t="str">
        <f>'[3]ISRS Addns Nov and Dec 2016'!C72</f>
        <v>800032</v>
      </c>
      <c r="B265" s="395" t="str">
        <f>'[3]ISRS Addns Nov and Dec 2016'!B72</f>
        <v>N/A</v>
      </c>
      <c r="C265" s="396" t="str">
        <f>'[3]ISRS Addns Nov and Dec 2016'!D72</f>
        <v>Relocate 3in &amp; 4i Steel Rt 7 fro</v>
      </c>
      <c r="D265" s="397" t="s">
        <v>2517</v>
      </c>
      <c r="E265" s="395" t="str">
        <f>'[3]ISRS Addns Nov and Dec 2016'!E72</f>
        <v>F0578</v>
      </c>
      <c r="F265" s="396" t="str">
        <f>'[3]ISRS Addns Nov and Dec 2016'!F72</f>
        <v>Street &amp; Highway Relocates ISRS (S)</v>
      </c>
      <c r="G265" s="398">
        <f>'[3]ISRS Addns Nov and Dec 2016'!I72</f>
        <v>5.43</v>
      </c>
      <c r="H265" s="176" t="s">
        <v>2246</v>
      </c>
    </row>
    <row r="266" spans="1:8" s="399" customFormat="1" ht="90">
      <c r="A266" s="395" t="str">
        <f>'[3]ISRS Addns Nov and Dec 2016'!C73</f>
        <v>800032</v>
      </c>
      <c r="B266" s="395" t="str">
        <f>'[3]ISRS Addns Nov and Dec 2016'!B73</f>
        <v>N/A</v>
      </c>
      <c r="C266" s="396" t="str">
        <f>'[3]ISRS Addns Nov and Dec 2016'!D73</f>
        <v>Relocate 3in &amp; 4i Steel Rt 7 fro</v>
      </c>
      <c r="D266" s="397" t="s">
        <v>2517</v>
      </c>
      <c r="E266" s="395" t="str">
        <f>'[3]ISRS Addns Nov and Dec 2016'!E73</f>
        <v>F0578</v>
      </c>
      <c r="F266" s="396" t="str">
        <f>'[3]ISRS Addns Nov and Dec 2016'!F73</f>
        <v>Street &amp; Highway Relocates ISRS (S)</v>
      </c>
      <c r="G266" s="398">
        <f>'[3]ISRS Addns Nov and Dec 2016'!I73</f>
        <v>10.09</v>
      </c>
      <c r="H266" s="176" t="s">
        <v>2246</v>
      </c>
    </row>
    <row r="267" spans="1:8" s="399" customFormat="1" ht="90">
      <c r="A267" s="395" t="str">
        <f>'[3]ISRS Addns Nov and Dec 2016'!C74</f>
        <v>800032</v>
      </c>
      <c r="B267" s="395" t="str">
        <f>'[3]ISRS Addns Nov and Dec 2016'!B74</f>
        <v>N/A</v>
      </c>
      <c r="C267" s="396" t="str">
        <f>'[3]ISRS Addns Nov and Dec 2016'!D74</f>
        <v>Relocate 3in &amp; 4i Steel Rt 7 fro</v>
      </c>
      <c r="D267" s="397" t="s">
        <v>2517</v>
      </c>
      <c r="E267" s="395" t="str">
        <f>'[3]ISRS Addns Nov and Dec 2016'!E74</f>
        <v>F0578</v>
      </c>
      <c r="F267" s="396" t="str">
        <f>'[3]ISRS Addns Nov and Dec 2016'!F74</f>
        <v>Street &amp; Highway Relocates ISRS (S)</v>
      </c>
      <c r="G267" s="398">
        <f>'[3]ISRS Addns Nov and Dec 2016'!I74</f>
        <v>0.2</v>
      </c>
      <c r="H267" s="176" t="s">
        <v>2246</v>
      </c>
    </row>
    <row r="268" spans="1:8" s="399" customFormat="1" ht="45">
      <c r="A268" s="395" t="str">
        <f>'[3]ISRS Addns Nov and Dec 2016'!C209</f>
        <v>800189</v>
      </c>
      <c r="B268" s="395" t="str">
        <f>'[3]ISRS Addns Nov and Dec 2016'!B209</f>
        <v>N/A</v>
      </c>
      <c r="C268" s="396" t="str">
        <f>'[3]ISRS Addns Nov and Dec 2016'!D209</f>
        <v>Rel w/ 2515F 4P Tudor Rd Ph2</v>
      </c>
      <c r="D268" s="397" t="s">
        <v>2554</v>
      </c>
      <c r="E268" s="395" t="str">
        <f>'[3]ISRS Addns Nov and Dec 2016'!E209</f>
        <v>F0578</v>
      </c>
      <c r="F268" s="396" t="str">
        <f>'[3]ISRS Addns Nov and Dec 2016'!F209</f>
        <v>Street &amp; Highway Relocates ISRS (S)</v>
      </c>
      <c r="G268" s="398">
        <f>'[3]ISRS Addns Nov and Dec 2016'!I209</f>
        <v>108946.6</v>
      </c>
      <c r="H268" s="176" t="s">
        <v>2246</v>
      </c>
    </row>
    <row r="269" spans="1:8" s="399" customFormat="1" ht="45">
      <c r="A269" s="395" t="str">
        <f>'[3]ISRS Addns Nov and Dec 2016'!C210</f>
        <v>800189</v>
      </c>
      <c r="B269" s="395" t="str">
        <f>'[3]ISRS Addns Nov and Dec 2016'!B210</f>
        <v>N/A</v>
      </c>
      <c r="C269" s="396" t="str">
        <f>'[3]ISRS Addns Nov and Dec 2016'!D210</f>
        <v>Rel w/ 2515F 4P Tudor Rd Ph2</v>
      </c>
      <c r="D269" s="397" t="s">
        <v>2554</v>
      </c>
      <c r="E269" s="395" t="str">
        <f>'[3]ISRS Addns Nov and Dec 2016'!E210</f>
        <v>F0578</v>
      </c>
      <c r="F269" s="396" t="str">
        <f>'[3]ISRS Addns Nov and Dec 2016'!F210</f>
        <v>Street &amp; Highway Relocates ISRS (S)</v>
      </c>
      <c r="G269" s="398">
        <f>'[3]ISRS Addns Nov and Dec 2016'!I210</f>
        <v>1797.12</v>
      </c>
      <c r="H269" s="176" t="s">
        <v>2246</v>
      </c>
    </row>
    <row r="270" spans="1:8" s="399" customFormat="1" ht="60">
      <c r="A270" s="395" t="str">
        <f>'[3]ISRS Addns Nov and Dec 2016'!C245</f>
        <v>800397</v>
      </c>
      <c r="B270" s="395" t="str">
        <f>'[3]ISRS Addns Nov and Dec 2016'!B245</f>
        <v>N/A</v>
      </c>
      <c r="C270" s="396" t="str">
        <f>'[3]ISRS Addns Nov and Dec 2016'!D245</f>
        <v>Rel w/ 2064F 2-6P 18th &amp; Evanston</v>
      </c>
      <c r="D270" s="397" t="s">
        <v>2570</v>
      </c>
      <c r="E270" s="395" t="str">
        <f>'[3]ISRS Addns Nov and Dec 2016'!E245</f>
        <v>F0578</v>
      </c>
      <c r="F270" s="396" t="str">
        <f>'[3]ISRS Addns Nov and Dec 2016'!F245</f>
        <v>Street &amp; Highway Relocates ISRS (S)</v>
      </c>
      <c r="G270" s="398">
        <f>'[3]ISRS Addns Nov and Dec 2016'!I245</f>
        <v>346.27</v>
      </c>
      <c r="H270" s="176" t="s">
        <v>2246</v>
      </c>
    </row>
    <row r="271" spans="1:8" s="399" customFormat="1" ht="60">
      <c r="A271" s="395" t="str">
        <f>'[3]ISRS Addns Nov and Dec 2016'!C246</f>
        <v>800397</v>
      </c>
      <c r="B271" s="395" t="str">
        <f>'[3]ISRS Addns Nov and Dec 2016'!B246</f>
        <v>N/A</v>
      </c>
      <c r="C271" s="396" t="str">
        <f>'[3]ISRS Addns Nov and Dec 2016'!D246</f>
        <v>Rel w/ 2064F 2-6P 18th &amp; Evanston</v>
      </c>
      <c r="D271" s="397" t="s">
        <v>2570</v>
      </c>
      <c r="E271" s="395" t="str">
        <f>'[3]ISRS Addns Nov and Dec 2016'!E246</f>
        <v>F0578</v>
      </c>
      <c r="F271" s="396" t="str">
        <f>'[3]ISRS Addns Nov and Dec 2016'!F246</f>
        <v>Street &amp; Highway Relocates ISRS (S)</v>
      </c>
      <c r="G271" s="398">
        <f>'[3]ISRS Addns Nov and Dec 2016'!I246</f>
        <v>12000.25</v>
      </c>
      <c r="H271" s="176" t="s">
        <v>2246</v>
      </c>
    </row>
    <row r="272" spans="1:8" s="399" customFormat="1" ht="30">
      <c r="A272" s="395" t="str">
        <f>'[3]ISRS Addns Nov and Dec 2016'!C274</f>
        <v>800574</v>
      </c>
      <c r="B272" s="395" t="str">
        <f>'[3]ISRS Addns Nov and Dec 2016'!B274</f>
        <v>N/A</v>
      </c>
      <c r="C272" s="396" t="str">
        <f>'[3]ISRS Addns Nov and Dec 2016'!D274</f>
        <v>Rel w/ 160F 8S Feeder Main</v>
      </c>
      <c r="D272" s="397" t="s">
        <v>2581</v>
      </c>
      <c r="E272" s="395" t="str">
        <f>'[3]ISRS Addns Nov and Dec 2016'!E274</f>
        <v>F0578</v>
      </c>
      <c r="F272" s="396" t="str">
        <f>'[3]ISRS Addns Nov and Dec 2016'!F274</f>
        <v>Street &amp; Highway Relocates ISRS (S)</v>
      </c>
      <c r="G272" s="398">
        <f>'[3]ISRS Addns Nov and Dec 2016'!I274</f>
        <v>16663.86</v>
      </c>
      <c r="H272" s="176" t="s">
        <v>2246</v>
      </c>
    </row>
    <row r="273" spans="1:9" s="399" customFormat="1" ht="45">
      <c r="A273" s="395" t="str">
        <f>'[3]ISRS Addns Nov and Dec 2016'!C290</f>
        <v>800938</v>
      </c>
      <c r="B273" s="395" t="str">
        <f>'[3]ISRS Addns Nov and Dec 2016'!B290</f>
        <v>N/A</v>
      </c>
      <c r="C273" s="396" t="str">
        <f>'[3]ISRS Addns Nov and Dec 2016'!D290</f>
        <v>Reloc 625F 6P Hook Rd &amp; Arther Dr</v>
      </c>
      <c r="D273" s="397" t="s">
        <v>2590</v>
      </c>
      <c r="E273" s="395" t="str">
        <f>'[3]ISRS Addns Nov and Dec 2016'!E290</f>
        <v>F0578</v>
      </c>
      <c r="F273" s="396" t="str">
        <f>'[3]ISRS Addns Nov and Dec 2016'!F290</f>
        <v>Street &amp; Highway Relocates ISRS (S)</v>
      </c>
      <c r="G273" s="398">
        <f>'[3]ISRS Addns Nov and Dec 2016'!I290</f>
        <v>32272.07</v>
      </c>
      <c r="H273" s="176" t="s">
        <v>2246</v>
      </c>
    </row>
    <row r="274" spans="1:9" s="399" customFormat="1" ht="90">
      <c r="A274" s="395" t="str">
        <f>'[3]ISRS Addns Nov and Dec 2016'!C45</f>
        <v>008969</v>
      </c>
      <c r="B274" s="395" t="str">
        <f>'[3]ISRS Addns Nov and Dec 2016'!B45</f>
        <v>20401155420</v>
      </c>
      <c r="C274" s="396" t="str">
        <f>'[3]ISRS Addns Nov and Dec 2016'!D45</f>
        <v>Target Marlborough East phase 1</v>
      </c>
      <c r="D274" s="397" t="s">
        <v>2506</v>
      </c>
      <c r="E274" s="395" t="str">
        <f>'[3]ISRS Addns Nov and Dec 2016'!E45</f>
        <v>F0664</v>
      </c>
      <c r="F274" s="396" t="str">
        <f>'[3]ISRS Addns Nov and Dec 2016'!F45</f>
        <v>Street &amp; Hwy Relocates ISRS (SW)</v>
      </c>
      <c r="G274" s="398">
        <f>'[3]ISRS Addns Nov and Dec 2016'!I45</f>
        <v>10.89</v>
      </c>
      <c r="H274" s="176" t="s">
        <v>2246</v>
      </c>
    </row>
    <row r="275" spans="1:9" s="399" customFormat="1" ht="90">
      <c r="A275" s="395" t="str">
        <f>'[3]ISRS Addns Nov and Dec 2016'!C46</f>
        <v>008969</v>
      </c>
      <c r="B275" s="395" t="str">
        <f>'[3]ISRS Addns Nov and Dec 2016'!B46</f>
        <v>20401155420</v>
      </c>
      <c r="C275" s="396" t="str">
        <f>'[3]ISRS Addns Nov and Dec 2016'!D46</f>
        <v>Target Marlborough East phase 1</v>
      </c>
      <c r="D275" s="397" t="s">
        <v>2506</v>
      </c>
      <c r="E275" s="395" t="str">
        <f>'[3]ISRS Addns Nov and Dec 2016'!E46</f>
        <v>F0664</v>
      </c>
      <c r="F275" s="396" t="str">
        <f>'[3]ISRS Addns Nov and Dec 2016'!F46</f>
        <v>Street &amp; Hwy Relocates ISRS (SW)</v>
      </c>
      <c r="G275" s="398">
        <f>'[3]ISRS Addns Nov and Dec 2016'!I46</f>
        <v>283.39999999999998</v>
      </c>
      <c r="H275" s="176" t="s">
        <v>2246</v>
      </c>
    </row>
    <row r="276" spans="1:9" s="399" customFormat="1" ht="120">
      <c r="A276" s="395" t="str">
        <f>'[3]ISRS Addns Nov and Dec 2016'!C55</f>
        <v>009276</v>
      </c>
      <c r="B276" s="395" t="str">
        <f>'[3]ISRS Addns Nov and Dec 2016'!B55</f>
        <v>20501155526</v>
      </c>
      <c r="C276" s="396" t="str">
        <f>'[3]ISRS Addns Nov and Dec 2016'!D55</f>
        <v>Lincoln to Highview along Zora</v>
      </c>
      <c r="D276" s="397" t="s">
        <v>2512</v>
      </c>
      <c r="E276" s="395" t="str">
        <f>'[3]ISRS Addns Nov and Dec 2016'!E55</f>
        <v>F0664</v>
      </c>
      <c r="F276" s="396" t="str">
        <f>'[3]ISRS Addns Nov and Dec 2016'!F55</f>
        <v>Street &amp; Hwy Relocates ISRS (SW)</v>
      </c>
      <c r="G276" s="398">
        <f>'[3]ISRS Addns Nov and Dec 2016'!I55</f>
        <v>1969.48</v>
      </c>
      <c r="H276" s="176" t="s">
        <v>2246</v>
      </c>
    </row>
    <row r="277" spans="1:9" s="399" customFormat="1" ht="120">
      <c r="A277" s="395" t="str">
        <f>'[3]ISRS Addns Nov and Dec 2016'!C56</f>
        <v>009276</v>
      </c>
      <c r="B277" s="395" t="str">
        <f>'[3]ISRS Addns Nov and Dec 2016'!B56</f>
        <v>20501155526</v>
      </c>
      <c r="C277" s="396" t="str">
        <f>'[3]ISRS Addns Nov and Dec 2016'!D56</f>
        <v>Lincoln to Highview along Zora</v>
      </c>
      <c r="D277" s="397" t="s">
        <v>2512</v>
      </c>
      <c r="E277" s="395" t="str">
        <f>'[3]ISRS Addns Nov and Dec 2016'!E56</f>
        <v>F0664</v>
      </c>
      <c r="F277" s="396" t="str">
        <f>'[3]ISRS Addns Nov and Dec 2016'!F56</f>
        <v>Street &amp; Hwy Relocates ISRS (SW)</v>
      </c>
      <c r="G277" s="398">
        <f>'[3]ISRS Addns Nov and Dec 2016'!I56</f>
        <v>12.85</v>
      </c>
      <c r="H277" s="176" t="s">
        <v>2246</v>
      </c>
    </row>
    <row r="278" spans="1:9" s="399" customFormat="1" ht="60">
      <c r="A278" s="395" t="str">
        <f>'[3]ISRS Addns Nov and Dec 2016'!C59</f>
        <v>800023</v>
      </c>
      <c r="B278" s="395" t="str">
        <f>'[3]ISRS Addns Nov and Dec 2016'!B59</f>
        <v>N/A</v>
      </c>
      <c r="C278" s="396" t="str">
        <f>'[3]ISRS Addns Nov and Dec 2016'!D59</f>
        <v>13th and Maiden Lane Relocation</v>
      </c>
      <c r="D278" s="397" t="s">
        <v>2513</v>
      </c>
      <c r="E278" s="395" t="str">
        <f>'[3]ISRS Addns Nov and Dec 2016'!E59</f>
        <v>F0664</v>
      </c>
      <c r="F278" s="396" t="str">
        <f>'[3]ISRS Addns Nov and Dec 2016'!F59</f>
        <v>Street &amp; Hwy Relocates ISRS (SW)</v>
      </c>
      <c r="G278" s="398">
        <f>'[3]ISRS Addns Nov and Dec 2016'!I59</f>
        <v>158.80000000000001</v>
      </c>
      <c r="H278" s="176" t="s">
        <v>2246</v>
      </c>
    </row>
    <row r="279" spans="1:9" s="399" customFormat="1" ht="60">
      <c r="A279" s="395" t="str">
        <f>'[3]ISRS Addns Nov and Dec 2016'!C60</f>
        <v>800023</v>
      </c>
      <c r="B279" s="395" t="str">
        <f>'[3]ISRS Addns Nov and Dec 2016'!B60</f>
        <v>N/A</v>
      </c>
      <c r="C279" s="396" t="str">
        <f>'[3]ISRS Addns Nov and Dec 2016'!D60</f>
        <v>13th and Maiden Lane Relocation</v>
      </c>
      <c r="D279" s="397" t="s">
        <v>2513</v>
      </c>
      <c r="E279" s="395" t="str">
        <f>'[3]ISRS Addns Nov and Dec 2016'!E60</f>
        <v>F0664</v>
      </c>
      <c r="F279" s="396" t="str">
        <f>'[3]ISRS Addns Nov and Dec 2016'!F60</f>
        <v>Street &amp; Hwy Relocates ISRS (SW)</v>
      </c>
      <c r="G279" s="398">
        <f>'[3]ISRS Addns Nov and Dec 2016'!I60</f>
        <v>3720.99</v>
      </c>
      <c r="H279" s="176" t="s">
        <v>2246</v>
      </c>
    </row>
    <row r="280" spans="1:9" s="399" customFormat="1" ht="60">
      <c r="A280" s="395" t="str">
        <f>'[3]ISRS Addns Nov and Dec 2016'!C61</f>
        <v>800023</v>
      </c>
      <c r="B280" s="395" t="str">
        <f>'[3]ISRS Addns Nov and Dec 2016'!B61</f>
        <v>N/A</v>
      </c>
      <c r="C280" s="396" t="str">
        <f>'[3]ISRS Addns Nov and Dec 2016'!D61</f>
        <v>13th and Maiden Lane Relocation</v>
      </c>
      <c r="D280" s="397" t="s">
        <v>2513</v>
      </c>
      <c r="E280" s="395" t="str">
        <f>'[3]ISRS Addns Nov and Dec 2016'!E61</f>
        <v>F0664</v>
      </c>
      <c r="F280" s="396" t="str">
        <f>'[3]ISRS Addns Nov and Dec 2016'!F61</f>
        <v>Street &amp; Hwy Relocates ISRS (SW)</v>
      </c>
      <c r="G280" s="398">
        <f>'[3]ISRS Addns Nov and Dec 2016'!I61</f>
        <v>-14.04</v>
      </c>
      <c r="H280" s="176" t="s">
        <v>2246</v>
      </c>
    </row>
    <row r="281" spans="1:9" s="399" customFormat="1" ht="60">
      <c r="A281" s="395" t="str">
        <f>'[3]ISRS Addns Nov and Dec 2016'!C62</f>
        <v>800023</v>
      </c>
      <c r="B281" s="395" t="str">
        <f>'[3]ISRS Addns Nov and Dec 2016'!B62</f>
        <v>N/A</v>
      </c>
      <c r="C281" s="396" t="str">
        <f>'[3]ISRS Addns Nov and Dec 2016'!D62</f>
        <v>13th and Maiden Lane Relocation</v>
      </c>
      <c r="D281" s="397" t="s">
        <v>2513</v>
      </c>
      <c r="E281" s="395" t="str">
        <f>'[3]ISRS Addns Nov and Dec 2016'!E62</f>
        <v>F0664</v>
      </c>
      <c r="F281" s="396" t="str">
        <f>'[3]ISRS Addns Nov and Dec 2016'!F62</f>
        <v>Street &amp; Hwy Relocates ISRS (SW)</v>
      </c>
      <c r="G281" s="398">
        <f>'[3]ISRS Addns Nov and Dec 2016'!I62</f>
        <v>-329.01</v>
      </c>
      <c r="H281" s="176" t="s">
        <v>2246</v>
      </c>
    </row>
    <row r="282" spans="1:9" s="399" customFormat="1" ht="60">
      <c r="A282" s="395" t="str">
        <f>'[3]ISRS Addns Nov and Dec 2016'!C233</f>
        <v>800377</v>
      </c>
      <c r="B282" s="395" t="str">
        <f>'[3]ISRS Addns Nov and Dec 2016'!B233</f>
        <v>N/A</v>
      </c>
      <c r="C282" s="396" t="str">
        <f>'[3]ISRS Addns Nov and Dec 2016'!D233</f>
        <v>Rel w/ 568F 2S Rt 14 &amp; Hwy 160</v>
      </c>
      <c r="D282" s="397" t="s">
        <v>2565</v>
      </c>
      <c r="E282" s="395" t="str">
        <f>'[3]ISRS Addns Nov and Dec 2016'!E233</f>
        <v>F0664</v>
      </c>
      <c r="F282" s="396" t="str">
        <f>'[3]ISRS Addns Nov and Dec 2016'!F233</f>
        <v>Street &amp; Hwy Relocates ISRS (SW)</v>
      </c>
      <c r="G282" s="398">
        <f>'[3]ISRS Addns Nov and Dec 2016'!I233</f>
        <v>20105.490000000002</v>
      </c>
      <c r="H282" s="176" t="s">
        <v>2246</v>
      </c>
    </row>
    <row r="283" spans="1:9" s="399" customFormat="1" ht="60">
      <c r="A283" s="395" t="str">
        <f>'[3]ISRS Addns Nov and Dec 2016'!C234</f>
        <v>800377</v>
      </c>
      <c r="B283" s="395" t="str">
        <f>'[3]ISRS Addns Nov and Dec 2016'!B234</f>
        <v>N/A</v>
      </c>
      <c r="C283" s="396" t="str">
        <f>'[3]ISRS Addns Nov and Dec 2016'!D234</f>
        <v>Rel w/ 568F 2S Rt 14 &amp; Hwy 160</v>
      </c>
      <c r="D283" s="397" t="s">
        <v>2565</v>
      </c>
      <c r="E283" s="395" t="str">
        <f>'[3]ISRS Addns Nov and Dec 2016'!E234</f>
        <v>F0664</v>
      </c>
      <c r="F283" s="396" t="str">
        <f>'[3]ISRS Addns Nov and Dec 2016'!F234</f>
        <v>Street &amp; Hwy Relocates ISRS (SW)</v>
      </c>
      <c r="G283" s="398">
        <f>'[3]ISRS Addns Nov and Dec 2016'!I234</f>
        <v>390.75</v>
      </c>
      <c r="H283" s="176" t="s">
        <v>2246</v>
      </c>
    </row>
    <row r="284" spans="1:9" s="399" customFormat="1" ht="60">
      <c r="A284" s="395" t="str">
        <f>'[3]ISRS Addns Nov and Dec 2016'!C275</f>
        <v>800621</v>
      </c>
      <c r="B284" s="395" t="str">
        <f>'[3]ISRS Addns Nov and Dec 2016'!B275</f>
        <v>N/A</v>
      </c>
      <c r="C284" s="396" t="str">
        <f>'[3]ISRS Addns Nov and Dec 2016'!D275</f>
        <v>Rel w/ 1997F 4P Bankers Addition</v>
      </c>
      <c r="D284" s="397" t="s">
        <v>2582</v>
      </c>
      <c r="E284" s="395" t="str">
        <f>'[3]ISRS Addns Nov and Dec 2016'!E275</f>
        <v>F0664</v>
      </c>
      <c r="F284" s="396" t="str">
        <f>'[3]ISRS Addns Nov and Dec 2016'!F275</f>
        <v>Street &amp; Hwy Relocates ISRS (SW)</v>
      </c>
      <c r="G284" s="398">
        <f>'[3]ISRS Addns Nov and Dec 2016'!I275</f>
        <v>1292.3499999999999</v>
      </c>
      <c r="H284" s="176" t="s">
        <v>2246</v>
      </c>
    </row>
    <row r="285" spans="1:9" s="399" customFormat="1" ht="60">
      <c r="A285" s="395" t="str">
        <f>'[3]ISRS Addns Nov and Dec 2016'!C276</f>
        <v>800621</v>
      </c>
      <c r="B285" s="395" t="str">
        <f>'[3]ISRS Addns Nov and Dec 2016'!B276</f>
        <v>N/A</v>
      </c>
      <c r="C285" s="396" t="str">
        <f>'[3]ISRS Addns Nov and Dec 2016'!D276</f>
        <v>Rel w/ 1997F 4P Bankers Addition</v>
      </c>
      <c r="D285" s="397" t="s">
        <v>2582</v>
      </c>
      <c r="E285" s="395" t="str">
        <f>'[3]ISRS Addns Nov and Dec 2016'!E276</f>
        <v>F0664</v>
      </c>
      <c r="F285" s="396" t="str">
        <f>'[3]ISRS Addns Nov and Dec 2016'!F276</f>
        <v>Street &amp; Hwy Relocates ISRS (SW)</v>
      </c>
      <c r="G285" s="398">
        <f>'[3]ISRS Addns Nov and Dec 2016'!I276</f>
        <v>24.09</v>
      </c>
      <c r="H285" s="176" t="s">
        <v>2246</v>
      </c>
    </row>
    <row r="286" spans="1:9" s="399" customFormat="1" ht="45">
      <c r="A286" s="395" t="str">
        <f>'[3]ISRS Addns Nov and Dec 2016'!C281</f>
        <v>800707</v>
      </c>
      <c r="B286" s="395" t="str">
        <f>'[3]ISRS Addns Nov and Dec 2016'!B281</f>
        <v>N/A</v>
      </c>
      <c r="C286" s="396" t="str">
        <f>'[3]ISRS Addns Nov and Dec 2016'!D281</f>
        <v>Reloc 800F 4P Garden Grove</v>
      </c>
      <c r="D286" s="397" t="s">
        <v>2585</v>
      </c>
      <c r="E286" s="395" t="str">
        <f>'[3]ISRS Addns Nov and Dec 2016'!E281</f>
        <v>F0664</v>
      </c>
      <c r="F286" s="396" t="str">
        <f>'[3]ISRS Addns Nov and Dec 2016'!F281</f>
        <v>Street &amp; Hwy Relocates ISRS (SW)</v>
      </c>
      <c r="G286" s="398">
        <f>'[3]ISRS Addns Nov and Dec 2016'!I281</f>
        <v>3023.8</v>
      </c>
      <c r="H286" s="176" t="s">
        <v>2246</v>
      </c>
    </row>
    <row r="287" spans="1:9" s="399" customFormat="1" ht="45">
      <c r="A287" s="395" t="str">
        <f>'[3]ISRS Addns Nov and Dec 2016'!C282</f>
        <v>800707</v>
      </c>
      <c r="B287" s="395" t="str">
        <f>'[3]ISRS Addns Nov and Dec 2016'!B282</f>
        <v>N/A</v>
      </c>
      <c r="C287" s="396" t="str">
        <f>'[3]ISRS Addns Nov and Dec 2016'!D282</f>
        <v>Reloc 800F 4P Garden Grove</v>
      </c>
      <c r="D287" s="397" t="s">
        <v>2585</v>
      </c>
      <c r="E287" s="395" t="str">
        <f>'[3]ISRS Addns Nov and Dec 2016'!E282</f>
        <v>F0664</v>
      </c>
      <c r="F287" s="396" t="str">
        <f>'[3]ISRS Addns Nov and Dec 2016'!F282</f>
        <v>Street &amp; Hwy Relocates ISRS (SW)</v>
      </c>
      <c r="G287" s="398">
        <f>'[3]ISRS Addns Nov and Dec 2016'!I282</f>
        <v>3091.39</v>
      </c>
      <c r="H287" s="176" t="s">
        <v>2246</v>
      </c>
    </row>
    <row r="288" spans="1:9" s="399" customFormat="1" ht="39">
      <c r="A288" s="475" t="s">
        <v>2627</v>
      </c>
      <c r="B288" s="395" t="s">
        <v>1681</v>
      </c>
      <c r="C288" s="475" t="s">
        <v>2628</v>
      </c>
      <c r="D288" s="476" t="s">
        <v>2650</v>
      </c>
      <c r="E288" s="475" t="s">
        <v>164</v>
      </c>
      <c r="F288" s="475" t="s">
        <v>1600</v>
      </c>
      <c r="G288" s="477">
        <v>12024.92</v>
      </c>
      <c r="H288" s="304" t="s">
        <v>2247</v>
      </c>
      <c r="I288" s="304" t="s">
        <v>2248</v>
      </c>
    </row>
    <row r="289" spans="1:9" s="399" customFormat="1" ht="39">
      <c r="A289" s="475" t="s">
        <v>2639</v>
      </c>
      <c r="B289" s="395" t="s">
        <v>1681</v>
      </c>
      <c r="C289" s="475" t="s">
        <v>2640</v>
      </c>
      <c r="D289" s="476" t="s">
        <v>2656</v>
      </c>
      <c r="E289" s="475" t="s">
        <v>164</v>
      </c>
      <c r="F289" s="475" t="s">
        <v>1600</v>
      </c>
      <c r="G289" s="477">
        <v>24537.77</v>
      </c>
      <c r="H289" s="304" t="s">
        <v>2247</v>
      </c>
      <c r="I289" s="304" t="s">
        <v>2248</v>
      </c>
    </row>
    <row r="290" spans="1:9" s="399" customFormat="1" ht="64.5">
      <c r="A290" s="475" t="s">
        <v>2617</v>
      </c>
      <c r="B290" s="395" t="s">
        <v>1681</v>
      </c>
      <c r="C290" s="475" t="s">
        <v>2618</v>
      </c>
      <c r="D290" s="476" t="s">
        <v>2645</v>
      </c>
      <c r="E290" s="475" t="s">
        <v>260</v>
      </c>
      <c r="F290" s="475" t="s">
        <v>1608</v>
      </c>
      <c r="G290" s="477">
        <v>63722.96</v>
      </c>
      <c r="H290" s="304" t="s">
        <v>2247</v>
      </c>
      <c r="I290" s="304" t="s">
        <v>2248</v>
      </c>
    </row>
    <row r="291" spans="1:9" s="399" customFormat="1" ht="26.25">
      <c r="A291" s="475" t="s">
        <v>2619</v>
      </c>
      <c r="B291" s="395" t="s">
        <v>1681</v>
      </c>
      <c r="C291" s="475" t="s">
        <v>2620</v>
      </c>
      <c r="D291" s="476" t="s">
        <v>2646</v>
      </c>
      <c r="E291" s="475" t="s">
        <v>260</v>
      </c>
      <c r="F291" s="475" t="s">
        <v>1608</v>
      </c>
      <c r="G291" s="477">
        <v>102696.47</v>
      </c>
      <c r="H291" s="304" t="s">
        <v>2247</v>
      </c>
      <c r="I291" s="304" t="s">
        <v>2248</v>
      </c>
    </row>
    <row r="292" spans="1:9" s="399" customFormat="1" ht="39">
      <c r="A292" s="475" t="s">
        <v>2621</v>
      </c>
      <c r="B292" s="395" t="s">
        <v>1681</v>
      </c>
      <c r="C292" s="475" t="s">
        <v>2622</v>
      </c>
      <c r="D292" s="476" t="s">
        <v>2647</v>
      </c>
      <c r="E292" s="475" t="s">
        <v>260</v>
      </c>
      <c r="F292" s="475" t="s">
        <v>1608</v>
      </c>
      <c r="G292" s="477">
        <v>110570.44</v>
      </c>
      <c r="H292" s="304" t="s">
        <v>2247</v>
      </c>
      <c r="I292" s="304" t="s">
        <v>2248</v>
      </c>
    </row>
    <row r="293" spans="1:9" s="399" customFormat="1" ht="51.75">
      <c r="A293" s="475" t="s">
        <v>2623</v>
      </c>
      <c r="B293" s="395" t="s">
        <v>1681</v>
      </c>
      <c r="C293" s="475" t="s">
        <v>2624</v>
      </c>
      <c r="D293" s="476" t="s">
        <v>2648</v>
      </c>
      <c r="E293" s="475" t="s">
        <v>260</v>
      </c>
      <c r="F293" s="475" t="s">
        <v>1608</v>
      </c>
      <c r="G293" s="477">
        <v>758734.36</v>
      </c>
      <c r="H293" s="304" t="s">
        <v>2247</v>
      </c>
      <c r="I293" s="304" t="s">
        <v>2248</v>
      </c>
    </row>
    <row r="294" spans="1:9" s="399" customFormat="1" ht="51.75">
      <c r="A294" s="475" t="s">
        <v>2625</v>
      </c>
      <c r="B294" s="395" t="s">
        <v>1681</v>
      </c>
      <c r="C294" s="475" t="s">
        <v>2626</v>
      </c>
      <c r="D294" s="476" t="s">
        <v>2649</v>
      </c>
      <c r="E294" s="475" t="s">
        <v>260</v>
      </c>
      <c r="F294" s="475" t="s">
        <v>1608</v>
      </c>
      <c r="G294" s="477">
        <v>71166.27</v>
      </c>
      <c r="H294" s="304" t="s">
        <v>2247</v>
      </c>
      <c r="I294" s="304" t="s">
        <v>2248</v>
      </c>
    </row>
    <row r="295" spans="1:9" s="399" customFormat="1" ht="39">
      <c r="A295" s="475" t="s">
        <v>2631</v>
      </c>
      <c r="B295" s="395" t="s">
        <v>1681</v>
      </c>
      <c r="C295" s="475" t="s">
        <v>2632</v>
      </c>
      <c r="D295" s="476" t="s">
        <v>2652</v>
      </c>
      <c r="E295" s="475" t="s">
        <v>260</v>
      </c>
      <c r="F295" s="475" t="s">
        <v>1608</v>
      </c>
      <c r="G295" s="477">
        <v>112153.2</v>
      </c>
      <c r="H295" s="304" t="s">
        <v>2247</v>
      </c>
      <c r="I295" s="304" t="s">
        <v>2248</v>
      </c>
    </row>
    <row r="296" spans="1:9" s="399" customFormat="1" ht="51.75">
      <c r="A296" s="475" t="s">
        <v>2633</v>
      </c>
      <c r="B296" s="395" t="s">
        <v>1681</v>
      </c>
      <c r="C296" s="475" t="s">
        <v>2634</v>
      </c>
      <c r="D296" s="476" t="s">
        <v>2653</v>
      </c>
      <c r="E296" s="475" t="s">
        <v>260</v>
      </c>
      <c r="F296" s="475" t="s">
        <v>1608</v>
      </c>
      <c r="G296" s="477">
        <v>69653.63</v>
      </c>
      <c r="H296" s="304" t="s">
        <v>2247</v>
      </c>
      <c r="I296" s="304" t="s">
        <v>2248</v>
      </c>
    </row>
    <row r="297" spans="1:9" s="399" customFormat="1" ht="39">
      <c r="A297" s="475" t="s">
        <v>2635</v>
      </c>
      <c r="B297" s="395" t="s">
        <v>1681</v>
      </c>
      <c r="C297" s="475" t="s">
        <v>2636</v>
      </c>
      <c r="D297" s="476" t="s">
        <v>2654</v>
      </c>
      <c r="E297" s="475" t="s">
        <v>260</v>
      </c>
      <c r="F297" s="475" t="s">
        <v>1608</v>
      </c>
      <c r="G297" s="477">
        <v>83586.63</v>
      </c>
      <c r="H297" s="304" t="s">
        <v>2247</v>
      </c>
      <c r="I297" s="304" t="s">
        <v>2248</v>
      </c>
    </row>
    <row r="298" spans="1:9" s="399" customFormat="1" ht="77.25">
      <c r="A298" s="475" t="s">
        <v>2637</v>
      </c>
      <c r="B298" s="395" t="s">
        <v>1681</v>
      </c>
      <c r="C298" s="475" t="s">
        <v>2638</v>
      </c>
      <c r="D298" s="476" t="s">
        <v>2655</v>
      </c>
      <c r="E298" s="475" t="s">
        <v>260</v>
      </c>
      <c r="F298" s="475" t="s">
        <v>1608</v>
      </c>
      <c r="G298" s="477">
        <v>123274.25</v>
      </c>
      <c r="H298" s="304" t="s">
        <v>2247</v>
      </c>
      <c r="I298" s="304" t="s">
        <v>2248</v>
      </c>
    </row>
    <row r="299" spans="1:9" s="399" customFormat="1" ht="51.75">
      <c r="A299" s="475" t="s">
        <v>2613</v>
      </c>
      <c r="B299" s="475" t="s">
        <v>2642</v>
      </c>
      <c r="C299" s="475" t="s">
        <v>2614</v>
      </c>
      <c r="D299" s="476" t="s">
        <v>2643</v>
      </c>
      <c r="E299" s="475" t="s">
        <v>216</v>
      </c>
      <c r="F299" s="475" t="s">
        <v>217</v>
      </c>
      <c r="G299" s="477">
        <v>1281.1300000000001</v>
      </c>
      <c r="H299" s="176" t="s">
        <v>2247</v>
      </c>
      <c r="I299" s="176" t="s">
        <v>2662</v>
      </c>
    </row>
    <row r="300" spans="1:9" s="399" customFormat="1" ht="39">
      <c r="A300" s="475" t="s">
        <v>2629</v>
      </c>
      <c r="B300" s="395" t="s">
        <v>1681</v>
      </c>
      <c r="C300" s="475" t="s">
        <v>2630</v>
      </c>
      <c r="D300" s="476" t="s">
        <v>2651</v>
      </c>
      <c r="E300" s="475" t="s">
        <v>209</v>
      </c>
      <c r="F300" s="475" t="s">
        <v>1612</v>
      </c>
      <c r="G300" s="477">
        <v>231477.02</v>
      </c>
      <c r="H300" s="176" t="s">
        <v>2246</v>
      </c>
    </row>
    <row r="301" spans="1:9" s="399" customFormat="1" ht="39">
      <c r="A301" s="475" t="s">
        <v>2615</v>
      </c>
      <c r="B301" s="395" t="s">
        <v>1681</v>
      </c>
      <c r="C301" s="475" t="s">
        <v>2616</v>
      </c>
      <c r="D301" s="476" t="s">
        <v>2644</v>
      </c>
      <c r="E301" s="475" t="s">
        <v>93</v>
      </c>
      <c r="F301" s="475" t="s">
        <v>1601</v>
      </c>
      <c r="G301" s="477">
        <v>261919.42</v>
      </c>
      <c r="H301" s="176" t="s">
        <v>2246</v>
      </c>
    </row>
    <row r="302" spans="1:9" s="399" customFormat="1">
      <c r="A302" s="481"/>
      <c r="B302" s="481"/>
      <c r="C302" s="482"/>
      <c r="D302" s="483"/>
      <c r="E302" s="481"/>
      <c r="F302" s="482"/>
      <c r="G302" s="484"/>
      <c r="H302" s="176"/>
    </row>
    <row r="303" spans="1:9">
      <c r="G303" s="165" t="e">
        <f>#REF!+#REF!</f>
        <v>#REF!</v>
      </c>
    </row>
    <row r="304" spans="1:9">
      <c r="C304" s="298" t="s">
        <v>2215</v>
      </c>
      <c r="D304" s="298"/>
      <c r="E304" s="299"/>
      <c r="F304" s="299"/>
    </row>
    <row r="305" spans="3:6">
      <c r="C305" s="298"/>
      <c r="D305" s="298"/>
      <c r="E305" s="299"/>
      <c r="F305" s="299"/>
    </row>
    <row r="306" spans="3:6">
      <c r="C306" s="299" t="s">
        <v>2216</v>
      </c>
      <c r="D306" s="298" t="s">
        <v>2217</v>
      </c>
      <c r="E306" s="176"/>
      <c r="F306" s="319" t="s">
        <v>2218</v>
      </c>
    </row>
    <row r="307" spans="3:6" ht="30">
      <c r="C307" s="299" t="s">
        <v>2219</v>
      </c>
      <c r="D307" s="298" t="s">
        <v>2220</v>
      </c>
      <c r="E307" s="176"/>
      <c r="F307" s="303" t="s">
        <v>2221</v>
      </c>
    </row>
    <row r="308" spans="3:6">
      <c r="C308" s="299" t="s">
        <v>2222</v>
      </c>
      <c r="D308" s="298" t="s">
        <v>2223</v>
      </c>
      <c r="E308" s="176"/>
      <c r="F308" s="320" t="s">
        <v>2224</v>
      </c>
    </row>
    <row r="309" spans="3:6">
      <c r="C309" s="299" t="s">
        <v>2225</v>
      </c>
      <c r="D309" s="298" t="s">
        <v>2226</v>
      </c>
      <c r="E309" s="176"/>
      <c r="F309" s="320" t="s">
        <v>2227</v>
      </c>
    </row>
    <row r="310" spans="3:6">
      <c r="C310" s="299" t="s">
        <v>2228</v>
      </c>
      <c r="D310" s="298" t="s">
        <v>2229</v>
      </c>
      <c r="E310" s="176"/>
      <c r="F310" s="320" t="s">
        <v>2230</v>
      </c>
    </row>
    <row r="311" spans="3:6">
      <c r="C311" s="299" t="s">
        <v>2231</v>
      </c>
      <c r="D311" s="298" t="s">
        <v>2232</v>
      </c>
      <c r="E311" s="176"/>
      <c r="F311" s="320" t="s">
        <v>2233</v>
      </c>
    </row>
    <row r="312" spans="3:6">
      <c r="C312" s="299" t="s">
        <v>2234</v>
      </c>
      <c r="D312" s="298" t="s">
        <v>2235</v>
      </c>
      <c r="E312" s="176"/>
      <c r="F312" s="320" t="s">
        <v>2236</v>
      </c>
    </row>
    <row r="313" spans="3:6">
      <c r="C313" s="299" t="s">
        <v>2237</v>
      </c>
      <c r="D313" s="298" t="s">
        <v>2238</v>
      </c>
      <c r="E313" s="176"/>
      <c r="F313" s="320" t="s">
        <v>2239</v>
      </c>
    </row>
    <row r="314" spans="3:6" ht="75">
      <c r="C314" s="300" t="s">
        <v>2240</v>
      </c>
      <c r="D314" s="301" t="s">
        <v>2241</v>
      </c>
      <c r="E314" s="302"/>
      <c r="F314" s="303" t="s">
        <v>2242</v>
      </c>
    </row>
    <row r="315" spans="3:6">
      <c r="C315" s="298"/>
      <c r="D315" s="298"/>
      <c r="E315" s="299"/>
      <c r="F315" s="299"/>
    </row>
    <row r="316" spans="3:6">
      <c r="C316" s="301" t="s">
        <v>2243</v>
      </c>
      <c r="D316" s="301"/>
      <c r="E316" s="301"/>
      <c r="F316" s="301"/>
    </row>
    <row r="317" spans="3:6">
      <c r="C317" s="169"/>
      <c r="D317" s="137"/>
      <c r="E317" s="164"/>
      <c r="F317" s="137"/>
    </row>
    <row r="318" spans="3:6">
      <c r="C318" s="169"/>
      <c r="D318" s="137"/>
      <c r="E318" s="164"/>
      <c r="F318" s="137"/>
    </row>
    <row r="319" spans="3:6">
      <c r="C319" s="169"/>
      <c r="D319" s="137"/>
      <c r="E319" s="164"/>
      <c r="F319" s="137"/>
    </row>
    <row r="320" spans="3:6">
      <c r="C320" s="169"/>
      <c r="D320" s="137"/>
      <c r="E320" s="164"/>
      <c r="F320" s="137"/>
    </row>
    <row r="321" spans="3:6">
      <c r="C321" s="169"/>
      <c r="D321" s="137"/>
      <c r="E321" s="164"/>
      <c r="F321" s="137"/>
    </row>
    <row r="322" spans="3:6">
      <c r="C322" s="169"/>
      <c r="D322" s="137"/>
      <c r="E322" s="164"/>
      <c r="F322" s="137"/>
    </row>
  </sheetData>
  <sortState ref="A5:G290">
    <sortCondition ref="F5:F290"/>
    <sortCondition ref="A5:A290"/>
  </sortState>
  <pageMargins left="0.7" right="0.7" top="1" bottom="1" header="0.3" footer="0.3"/>
  <pageSetup scale="55" fitToHeight="0" orientation="landscape" r:id="rId1"/>
  <headerFooter>
    <oddHeader>&amp;RAppendix C
Page &amp;P of &amp;N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zoomScale="85" zoomScaleNormal="85" workbookViewId="0">
      <pane ySplit="4" topLeftCell="A32" activePane="bottomLeft" state="frozen"/>
      <selection pane="bottomLeft" activeCell="H59" sqref="H59"/>
    </sheetView>
  </sheetViews>
  <sheetFormatPr defaultRowHeight="15"/>
  <cols>
    <col min="1" max="1" width="37.42578125" style="194" customWidth="1"/>
    <col min="2" max="2" width="13.28515625" style="194" hidden="1" customWidth="1"/>
    <col min="3" max="3" width="14.7109375" style="194" customWidth="1"/>
    <col min="4" max="4" width="38.28515625" style="194" customWidth="1"/>
    <col min="5" max="5" width="10" style="194" customWidth="1"/>
    <col min="6" max="6" width="38.28515625" style="194" hidden="1" customWidth="1"/>
    <col min="7" max="7" width="13.5703125" style="194" hidden="1" customWidth="1"/>
    <col min="8" max="8" width="17" style="194" bestFit="1" customWidth="1"/>
    <col min="9" max="9" width="14" style="367" customWidth="1"/>
    <col min="10" max="10" width="9.140625" style="366"/>
    <col min="11" max="11" width="15.85546875" style="194" customWidth="1"/>
    <col min="12" max="12" width="16.140625" style="194" customWidth="1"/>
    <col min="13" max="13" width="14.28515625" style="194" customWidth="1"/>
    <col min="14" max="16384" width="9.140625" style="194"/>
  </cols>
  <sheetData>
    <row r="1" spans="1:13">
      <c r="A1" s="170" t="s">
        <v>0</v>
      </c>
      <c r="B1" s="174"/>
      <c r="C1" s="174"/>
      <c r="D1" s="172"/>
      <c r="E1" s="356"/>
      <c r="F1" s="174"/>
      <c r="G1" s="174"/>
      <c r="H1" s="174"/>
      <c r="I1" s="357"/>
      <c r="J1" s="174"/>
      <c r="K1" s="356"/>
      <c r="L1" s="174"/>
      <c r="M1" s="174"/>
    </row>
    <row r="2" spans="1:13">
      <c r="A2" s="170" t="s">
        <v>2452</v>
      </c>
      <c r="B2" s="174"/>
      <c r="C2" s="174"/>
      <c r="D2" s="174"/>
      <c r="E2" s="174"/>
      <c r="F2" s="174"/>
      <c r="G2" s="174"/>
      <c r="H2" s="174"/>
      <c r="I2" s="357"/>
      <c r="J2" s="174"/>
      <c r="K2" s="174"/>
      <c r="L2" s="174"/>
      <c r="M2" s="174"/>
    </row>
    <row r="3" spans="1:13">
      <c r="A3" s="174"/>
      <c r="B3" s="174"/>
      <c r="C3" s="174"/>
      <c r="D3" s="174"/>
      <c r="E3" s="174"/>
      <c r="F3" s="174"/>
      <c r="G3" s="174"/>
      <c r="H3" s="174"/>
      <c r="I3" s="357"/>
      <c r="J3" s="174"/>
      <c r="K3" s="174"/>
      <c r="L3" s="174"/>
      <c r="M3" s="174"/>
    </row>
    <row r="4" spans="1:13" ht="48.75" customHeight="1">
      <c r="A4" s="178" t="s">
        <v>6</v>
      </c>
      <c r="B4" s="178" t="s">
        <v>7</v>
      </c>
      <c r="C4" s="178" t="s">
        <v>8</v>
      </c>
      <c r="D4" s="178" t="s">
        <v>9</v>
      </c>
      <c r="E4" s="178" t="s">
        <v>10</v>
      </c>
      <c r="F4" s="178" t="s">
        <v>11</v>
      </c>
      <c r="G4" s="358" t="s">
        <v>12</v>
      </c>
      <c r="H4" s="178" t="s">
        <v>1</v>
      </c>
      <c r="I4" s="359" t="s">
        <v>2123</v>
      </c>
      <c r="J4" s="360" t="s">
        <v>2020</v>
      </c>
      <c r="K4" s="360" t="s">
        <v>2021</v>
      </c>
      <c r="L4" s="360" t="s">
        <v>2022</v>
      </c>
      <c r="M4" s="360" t="s">
        <v>2023</v>
      </c>
    </row>
    <row r="5" spans="1:13">
      <c r="A5" s="187" t="s">
        <v>14</v>
      </c>
      <c r="B5" s="187" t="s">
        <v>2133</v>
      </c>
      <c r="C5" s="187" t="s">
        <v>1681</v>
      </c>
      <c r="D5" s="187" t="s">
        <v>2134</v>
      </c>
      <c r="E5" s="187" t="s">
        <v>202</v>
      </c>
      <c r="F5" s="187" t="s">
        <v>1611</v>
      </c>
      <c r="G5" s="187" t="s">
        <v>2127</v>
      </c>
      <c r="H5" s="187">
        <v>201611</v>
      </c>
      <c r="I5" s="361">
        <v>-144730.01</v>
      </c>
      <c r="J5" s="183">
        <v>0</v>
      </c>
      <c r="K5" s="362">
        <v>2.23333E-3</v>
      </c>
      <c r="L5" s="363">
        <f t="shared" ref="L5:L49" si="0">ROUND(I5*J5*K5,2)</f>
        <v>0</v>
      </c>
      <c r="M5" s="363">
        <f t="shared" ref="M5:M49" si="1">ROUND(I5*K5*12,2)</f>
        <v>-3878.76</v>
      </c>
    </row>
    <row r="6" spans="1:13">
      <c r="A6" s="187" t="s">
        <v>21</v>
      </c>
      <c r="B6" s="187" t="s">
        <v>1919</v>
      </c>
      <c r="C6" s="187" t="s">
        <v>1918</v>
      </c>
      <c r="D6" s="187" t="s">
        <v>1920</v>
      </c>
      <c r="E6" s="187" t="s">
        <v>75</v>
      </c>
      <c r="F6" s="187" t="s">
        <v>1602</v>
      </c>
      <c r="G6" s="187" t="s">
        <v>2127</v>
      </c>
      <c r="H6" s="187">
        <v>201611</v>
      </c>
      <c r="I6" s="361">
        <v>-19018.88</v>
      </c>
      <c r="J6" s="183">
        <v>0</v>
      </c>
      <c r="K6" s="362">
        <v>1.4833299999999999E-3</v>
      </c>
      <c r="L6" s="363">
        <f t="shared" si="0"/>
        <v>0</v>
      </c>
      <c r="M6" s="363">
        <f t="shared" si="1"/>
        <v>-338.54</v>
      </c>
    </row>
    <row r="7" spans="1:13">
      <c r="A7" s="187" t="s">
        <v>14</v>
      </c>
      <c r="B7" s="187" t="s">
        <v>2131</v>
      </c>
      <c r="C7" s="187" t="s">
        <v>1681</v>
      </c>
      <c r="D7" s="187" t="s">
        <v>2132</v>
      </c>
      <c r="E7" s="187" t="s">
        <v>198</v>
      </c>
      <c r="F7" s="187" t="s">
        <v>1610</v>
      </c>
      <c r="G7" s="187" t="s">
        <v>2127</v>
      </c>
      <c r="H7" s="187">
        <v>201611</v>
      </c>
      <c r="I7" s="361">
        <v>-16283.78</v>
      </c>
      <c r="J7" s="183">
        <v>0</v>
      </c>
      <c r="K7" s="362">
        <v>2.23333E-3</v>
      </c>
      <c r="L7" s="363">
        <f t="shared" si="0"/>
        <v>0</v>
      </c>
      <c r="M7" s="363">
        <f t="shared" si="1"/>
        <v>-436.4</v>
      </c>
    </row>
    <row r="8" spans="1:13">
      <c r="A8" s="187" t="s">
        <v>14</v>
      </c>
      <c r="B8" s="187" t="s">
        <v>2135</v>
      </c>
      <c r="C8" s="187" t="s">
        <v>1681</v>
      </c>
      <c r="D8" s="187" t="s">
        <v>2136</v>
      </c>
      <c r="E8" s="187" t="s">
        <v>294</v>
      </c>
      <c r="F8" s="187" t="s">
        <v>1613</v>
      </c>
      <c r="G8" s="187" t="s">
        <v>2127</v>
      </c>
      <c r="H8" s="187">
        <v>201611</v>
      </c>
      <c r="I8" s="361">
        <v>-15028.88</v>
      </c>
      <c r="J8" s="183">
        <v>0</v>
      </c>
      <c r="K8" s="362">
        <v>2.23333E-3</v>
      </c>
      <c r="L8" s="363">
        <f t="shared" si="0"/>
        <v>0</v>
      </c>
      <c r="M8" s="363">
        <f t="shared" si="1"/>
        <v>-402.77</v>
      </c>
    </row>
    <row r="9" spans="1:13">
      <c r="A9" s="187" t="s">
        <v>1942</v>
      </c>
      <c r="B9" s="187" t="s">
        <v>196</v>
      </c>
      <c r="C9" s="187" t="s">
        <v>195</v>
      </c>
      <c r="D9" s="187" t="s">
        <v>1674</v>
      </c>
      <c r="E9" s="187" t="s">
        <v>198</v>
      </c>
      <c r="F9" s="187" t="s">
        <v>1610</v>
      </c>
      <c r="G9" s="187" t="s">
        <v>2127</v>
      </c>
      <c r="H9" s="187">
        <v>201611</v>
      </c>
      <c r="I9" s="361">
        <v>-10119.6</v>
      </c>
      <c r="J9" s="183">
        <v>0</v>
      </c>
      <c r="K9" s="362">
        <v>2.23333E-3</v>
      </c>
      <c r="L9" s="363">
        <f t="shared" si="0"/>
        <v>0</v>
      </c>
      <c r="M9" s="363">
        <f t="shared" si="1"/>
        <v>-271.2</v>
      </c>
    </row>
    <row r="10" spans="1:13">
      <c r="A10" s="187" t="s">
        <v>14</v>
      </c>
      <c r="B10" s="187" t="s">
        <v>2083</v>
      </c>
      <c r="C10" s="187" t="s">
        <v>1681</v>
      </c>
      <c r="D10" s="187" t="s">
        <v>2084</v>
      </c>
      <c r="E10" s="187" t="s">
        <v>75</v>
      </c>
      <c r="F10" s="187" t="s">
        <v>1602</v>
      </c>
      <c r="G10" s="187" t="s">
        <v>2127</v>
      </c>
      <c r="H10" s="187">
        <v>201611</v>
      </c>
      <c r="I10" s="361">
        <v>-9237.94</v>
      </c>
      <c r="J10" s="183">
        <v>0</v>
      </c>
      <c r="K10" s="362">
        <v>2.23333E-3</v>
      </c>
      <c r="L10" s="363">
        <f t="shared" si="0"/>
        <v>0</v>
      </c>
      <c r="M10" s="363">
        <f t="shared" si="1"/>
        <v>-247.58</v>
      </c>
    </row>
    <row r="11" spans="1:13">
      <c r="A11" s="187" t="s">
        <v>14</v>
      </c>
      <c r="B11" s="187" t="s">
        <v>2105</v>
      </c>
      <c r="C11" s="187" t="s">
        <v>1681</v>
      </c>
      <c r="D11" s="187" t="s">
        <v>2106</v>
      </c>
      <c r="E11" s="187" t="s">
        <v>75</v>
      </c>
      <c r="F11" s="187" t="s">
        <v>1602</v>
      </c>
      <c r="G11" s="187" t="s">
        <v>2127</v>
      </c>
      <c r="H11" s="187">
        <v>201611</v>
      </c>
      <c r="I11" s="361">
        <v>-7441.19</v>
      </c>
      <c r="J11" s="183">
        <v>0</v>
      </c>
      <c r="K11" s="362">
        <v>2.23333E-3</v>
      </c>
      <c r="L11" s="363">
        <f t="shared" si="0"/>
        <v>0</v>
      </c>
      <c r="M11" s="363">
        <f t="shared" si="1"/>
        <v>-199.42</v>
      </c>
    </row>
    <row r="12" spans="1:13">
      <c r="A12" s="187" t="s">
        <v>14</v>
      </c>
      <c r="B12" s="187" t="s">
        <v>196</v>
      </c>
      <c r="C12" s="187" t="s">
        <v>195</v>
      </c>
      <c r="D12" s="187" t="s">
        <v>1674</v>
      </c>
      <c r="E12" s="187" t="s">
        <v>198</v>
      </c>
      <c r="F12" s="187" t="s">
        <v>1610</v>
      </c>
      <c r="G12" s="187" t="s">
        <v>2127</v>
      </c>
      <c r="H12" s="187">
        <v>201611</v>
      </c>
      <c r="I12" s="361">
        <v>-5180.93</v>
      </c>
      <c r="J12" s="183">
        <v>0</v>
      </c>
      <c r="K12" s="362">
        <v>2.23333E-3</v>
      </c>
      <c r="L12" s="363">
        <f t="shared" si="0"/>
        <v>0</v>
      </c>
      <c r="M12" s="363">
        <f t="shared" si="1"/>
        <v>-138.85</v>
      </c>
    </row>
    <row r="13" spans="1:13">
      <c r="A13" s="187" t="s">
        <v>14</v>
      </c>
      <c r="B13" s="187" t="s">
        <v>293</v>
      </c>
      <c r="C13" s="187" t="s">
        <v>292</v>
      </c>
      <c r="D13" s="187" t="s">
        <v>1679</v>
      </c>
      <c r="E13" s="187" t="s">
        <v>294</v>
      </c>
      <c r="F13" s="187" t="s">
        <v>1613</v>
      </c>
      <c r="G13" s="187" t="s">
        <v>2127</v>
      </c>
      <c r="H13" s="187">
        <v>201611</v>
      </c>
      <c r="I13" s="361">
        <v>-2030.92</v>
      </c>
      <c r="J13" s="183">
        <v>0</v>
      </c>
      <c r="K13" s="362">
        <v>2.23333E-3</v>
      </c>
      <c r="L13" s="363">
        <f t="shared" si="0"/>
        <v>0</v>
      </c>
      <c r="M13" s="363">
        <f t="shared" si="1"/>
        <v>-54.43</v>
      </c>
    </row>
    <row r="14" spans="1:13">
      <c r="A14" s="187" t="s">
        <v>21</v>
      </c>
      <c r="B14" s="187" t="s">
        <v>2083</v>
      </c>
      <c r="C14" s="187" t="s">
        <v>1681</v>
      </c>
      <c r="D14" s="187" t="s">
        <v>2084</v>
      </c>
      <c r="E14" s="187" t="s">
        <v>75</v>
      </c>
      <c r="F14" s="187" t="s">
        <v>1602</v>
      </c>
      <c r="G14" s="187" t="s">
        <v>2127</v>
      </c>
      <c r="H14" s="187">
        <v>201611</v>
      </c>
      <c r="I14" s="361">
        <v>-1671.28</v>
      </c>
      <c r="J14" s="183">
        <v>0</v>
      </c>
      <c r="K14" s="362">
        <v>1.4833299999999999E-3</v>
      </c>
      <c r="L14" s="363">
        <f t="shared" si="0"/>
        <v>0</v>
      </c>
      <c r="M14" s="363">
        <f t="shared" si="1"/>
        <v>-29.75</v>
      </c>
    </row>
    <row r="15" spans="1:13">
      <c r="A15" s="187" t="s">
        <v>21</v>
      </c>
      <c r="B15" s="187" t="s">
        <v>2107</v>
      </c>
      <c r="C15" s="187" t="s">
        <v>1681</v>
      </c>
      <c r="D15" s="187" t="s">
        <v>2108</v>
      </c>
      <c r="E15" s="187" t="s">
        <v>209</v>
      </c>
      <c r="F15" s="187" t="s">
        <v>1612</v>
      </c>
      <c r="G15" s="187" t="s">
        <v>2127</v>
      </c>
      <c r="H15" s="187">
        <v>201611</v>
      </c>
      <c r="I15" s="361">
        <v>-1668.64</v>
      </c>
      <c r="J15" s="183">
        <v>0</v>
      </c>
      <c r="K15" s="362">
        <v>1.4833299999999999E-3</v>
      </c>
      <c r="L15" s="363">
        <f t="shared" si="0"/>
        <v>0</v>
      </c>
      <c r="M15" s="363">
        <f t="shared" si="1"/>
        <v>-29.7</v>
      </c>
    </row>
    <row r="16" spans="1:13">
      <c r="A16" s="187" t="s">
        <v>21</v>
      </c>
      <c r="B16" s="187" t="s">
        <v>2105</v>
      </c>
      <c r="C16" s="187" t="s">
        <v>1681</v>
      </c>
      <c r="D16" s="187" t="s">
        <v>2106</v>
      </c>
      <c r="E16" s="187" t="s">
        <v>75</v>
      </c>
      <c r="F16" s="187" t="s">
        <v>1602</v>
      </c>
      <c r="G16" s="187" t="s">
        <v>2127</v>
      </c>
      <c r="H16" s="187">
        <v>201611</v>
      </c>
      <c r="I16" s="361">
        <v>-1525.86</v>
      </c>
      <c r="J16" s="183">
        <v>0</v>
      </c>
      <c r="K16" s="362">
        <v>1.4833299999999999E-3</v>
      </c>
      <c r="L16" s="363">
        <f t="shared" si="0"/>
        <v>0</v>
      </c>
      <c r="M16" s="363">
        <f t="shared" si="1"/>
        <v>-27.16</v>
      </c>
    </row>
    <row r="17" spans="1:13">
      <c r="A17" s="187" t="s">
        <v>21</v>
      </c>
      <c r="B17" s="187" t="s">
        <v>2087</v>
      </c>
      <c r="C17" s="187" t="s">
        <v>1681</v>
      </c>
      <c r="D17" s="187" t="s">
        <v>2088</v>
      </c>
      <c r="E17" s="187" t="s">
        <v>164</v>
      </c>
      <c r="F17" s="187" t="s">
        <v>1600</v>
      </c>
      <c r="G17" s="187" t="s">
        <v>2127</v>
      </c>
      <c r="H17" s="187">
        <v>201611</v>
      </c>
      <c r="I17" s="361">
        <v>-1431.02</v>
      </c>
      <c r="J17" s="183">
        <v>0</v>
      </c>
      <c r="K17" s="362">
        <v>1.4833299999999999E-3</v>
      </c>
      <c r="L17" s="363">
        <f t="shared" si="0"/>
        <v>0</v>
      </c>
      <c r="M17" s="363">
        <f t="shared" si="1"/>
        <v>-25.47</v>
      </c>
    </row>
    <row r="18" spans="1:13">
      <c r="A18" s="187" t="s">
        <v>626</v>
      </c>
      <c r="B18" s="187" t="s">
        <v>2083</v>
      </c>
      <c r="C18" s="187" t="s">
        <v>1681</v>
      </c>
      <c r="D18" s="187" t="s">
        <v>2084</v>
      </c>
      <c r="E18" s="187" t="s">
        <v>75</v>
      </c>
      <c r="F18" s="187" t="s">
        <v>1602</v>
      </c>
      <c r="G18" s="187" t="s">
        <v>2127</v>
      </c>
      <c r="H18" s="187">
        <v>201611</v>
      </c>
      <c r="I18" s="361">
        <v>-1117.3599999999999</v>
      </c>
      <c r="J18" s="183">
        <v>0</v>
      </c>
      <c r="K18" s="362">
        <v>1.4833299999999999E-3</v>
      </c>
      <c r="L18" s="363">
        <f t="shared" si="0"/>
        <v>0</v>
      </c>
      <c r="M18" s="363">
        <f t="shared" si="1"/>
        <v>-19.89</v>
      </c>
    </row>
    <row r="19" spans="1:13">
      <c r="A19" s="187" t="s">
        <v>14</v>
      </c>
      <c r="B19" s="187" t="s">
        <v>2087</v>
      </c>
      <c r="C19" s="187" t="s">
        <v>1681</v>
      </c>
      <c r="D19" s="187" t="s">
        <v>2088</v>
      </c>
      <c r="E19" s="187" t="s">
        <v>164</v>
      </c>
      <c r="F19" s="187" t="s">
        <v>1600</v>
      </c>
      <c r="G19" s="187" t="s">
        <v>2127</v>
      </c>
      <c r="H19" s="187">
        <v>201611</v>
      </c>
      <c r="I19" s="361">
        <v>-768.45</v>
      </c>
      <c r="J19" s="183">
        <v>0</v>
      </c>
      <c r="K19" s="362">
        <v>2.23333E-3</v>
      </c>
      <c r="L19" s="363">
        <f t="shared" si="0"/>
        <v>0</v>
      </c>
      <c r="M19" s="363">
        <f t="shared" si="1"/>
        <v>-20.59</v>
      </c>
    </row>
    <row r="20" spans="1:13">
      <c r="A20" s="187" t="s">
        <v>1942</v>
      </c>
      <c r="B20" s="187" t="s">
        <v>2131</v>
      </c>
      <c r="C20" s="187" t="s">
        <v>1681</v>
      </c>
      <c r="D20" s="187" t="s">
        <v>2132</v>
      </c>
      <c r="E20" s="187" t="s">
        <v>198</v>
      </c>
      <c r="F20" s="187" t="s">
        <v>1610</v>
      </c>
      <c r="G20" s="187" t="s">
        <v>2127</v>
      </c>
      <c r="H20" s="187">
        <v>201611</v>
      </c>
      <c r="I20" s="361">
        <v>-748.95</v>
      </c>
      <c r="J20" s="183">
        <v>0</v>
      </c>
      <c r="K20" s="362">
        <v>2.23333E-3</v>
      </c>
      <c r="L20" s="363">
        <f t="shared" si="0"/>
        <v>0</v>
      </c>
      <c r="M20" s="363">
        <f t="shared" si="1"/>
        <v>-20.07</v>
      </c>
    </row>
    <row r="21" spans="1:13">
      <c r="A21" s="187" t="s">
        <v>14</v>
      </c>
      <c r="B21" s="187" t="s">
        <v>2015</v>
      </c>
      <c r="C21" s="187" t="s">
        <v>1681</v>
      </c>
      <c r="D21" s="187" t="s">
        <v>2016</v>
      </c>
      <c r="E21" s="187" t="s">
        <v>164</v>
      </c>
      <c r="F21" s="187" t="s">
        <v>1600</v>
      </c>
      <c r="G21" s="187" t="s">
        <v>2127</v>
      </c>
      <c r="H21" s="187">
        <v>201611</v>
      </c>
      <c r="I21" s="361">
        <v>-741.69</v>
      </c>
      <c r="J21" s="183">
        <v>0</v>
      </c>
      <c r="K21" s="362">
        <v>2.23333E-3</v>
      </c>
      <c r="L21" s="363">
        <f t="shared" si="0"/>
        <v>0</v>
      </c>
      <c r="M21" s="363">
        <f t="shared" si="1"/>
        <v>-19.88</v>
      </c>
    </row>
    <row r="22" spans="1:13">
      <c r="A22" s="187" t="s">
        <v>14</v>
      </c>
      <c r="B22" s="187" t="s">
        <v>201</v>
      </c>
      <c r="C22" s="187" t="s">
        <v>200</v>
      </c>
      <c r="D22" s="187" t="s">
        <v>1675</v>
      </c>
      <c r="E22" s="187" t="s">
        <v>202</v>
      </c>
      <c r="F22" s="187" t="s">
        <v>1611</v>
      </c>
      <c r="G22" s="187" t="s">
        <v>2127</v>
      </c>
      <c r="H22" s="187">
        <v>201611</v>
      </c>
      <c r="I22" s="361">
        <v>-636.54</v>
      </c>
      <c r="J22" s="183">
        <v>0</v>
      </c>
      <c r="K22" s="362">
        <v>2.23333E-3</v>
      </c>
      <c r="L22" s="363">
        <f t="shared" si="0"/>
        <v>0</v>
      </c>
      <c r="M22" s="363">
        <f t="shared" si="1"/>
        <v>-17.059999999999999</v>
      </c>
    </row>
    <row r="23" spans="1:13">
      <c r="A23" s="187" t="s">
        <v>14</v>
      </c>
      <c r="B23" s="187" t="s">
        <v>2003</v>
      </c>
      <c r="C23" s="187" t="s">
        <v>1681</v>
      </c>
      <c r="D23" s="187" t="s">
        <v>2004</v>
      </c>
      <c r="E23" s="187" t="s">
        <v>164</v>
      </c>
      <c r="F23" s="187" t="s">
        <v>1600</v>
      </c>
      <c r="G23" s="187" t="s">
        <v>2127</v>
      </c>
      <c r="H23" s="187">
        <v>201611</v>
      </c>
      <c r="I23" s="361">
        <v>-588</v>
      </c>
      <c r="J23" s="183">
        <v>0</v>
      </c>
      <c r="K23" s="362">
        <v>2.23333E-3</v>
      </c>
      <c r="L23" s="363">
        <f t="shared" si="0"/>
        <v>0</v>
      </c>
      <c r="M23" s="363">
        <f t="shared" si="1"/>
        <v>-15.76</v>
      </c>
    </row>
    <row r="24" spans="1:13">
      <c r="A24" s="187" t="s">
        <v>14</v>
      </c>
      <c r="B24" s="187" t="s">
        <v>2073</v>
      </c>
      <c r="C24" s="187" t="s">
        <v>1681</v>
      </c>
      <c r="D24" s="187" t="s">
        <v>2074</v>
      </c>
      <c r="E24" s="187" t="s">
        <v>164</v>
      </c>
      <c r="F24" s="187" t="s">
        <v>1600</v>
      </c>
      <c r="G24" s="187" t="s">
        <v>2127</v>
      </c>
      <c r="H24" s="187">
        <v>201611</v>
      </c>
      <c r="I24" s="361">
        <v>-587.94000000000005</v>
      </c>
      <c r="J24" s="183">
        <v>0</v>
      </c>
      <c r="K24" s="362">
        <v>2.23333E-3</v>
      </c>
      <c r="L24" s="363">
        <f t="shared" si="0"/>
        <v>0</v>
      </c>
      <c r="M24" s="363">
        <f t="shared" si="1"/>
        <v>-15.76</v>
      </c>
    </row>
    <row r="25" spans="1:13">
      <c r="A25" s="187" t="s">
        <v>554</v>
      </c>
      <c r="B25" s="187" t="s">
        <v>2003</v>
      </c>
      <c r="C25" s="187" t="s">
        <v>1681</v>
      </c>
      <c r="D25" s="187" t="s">
        <v>2004</v>
      </c>
      <c r="E25" s="187" t="s">
        <v>164</v>
      </c>
      <c r="F25" s="187" t="s">
        <v>1600</v>
      </c>
      <c r="G25" s="187" t="s">
        <v>2127</v>
      </c>
      <c r="H25" s="187">
        <v>201611</v>
      </c>
      <c r="I25" s="361">
        <v>-247.97</v>
      </c>
      <c r="J25" s="183">
        <v>0</v>
      </c>
      <c r="K25" s="362">
        <v>1.4833299999999999E-3</v>
      </c>
      <c r="L25" s="363">
        <f t="shared" si="0"/>
        <v>0</v>
      </c>
      <c r="M25" s="363">
        <f t="shared" si="1"/>
        <v>-4.41</v>
      </c>
    </row>
    <row r="26" spans="1:13">
      <c r="A26" s="187" t="s">
        <v>1942</v>
      </c>
      <c r="B26" s="187" t="s">
        <v>201</v>
      </c>
      <c r="C26" s="187" t="s">
        <v>200</v>
      </c>
      <c r="D26" s="187" t="s">
        <v>1675</v>
      </c>
      <c r="E26" s="187" t="s">
        <v>202</v>
      </c>
      <c r="F26" s="187" t="s">
        <v>1611</v>
      </c>
      <c r="G26" s="187" t="s">
        <v>2127</v>
      </c>
      <c r="H26" s="187">
        <v>201611</v>
      </c>
      <c r="I26" s="361">
        <v>-242.37</v>
      </c>
      <c r="J26" s="183">
        <v>0</v>
      </c>
      <c r="K26" s="362">
        <v>2.23333E-3</v>
      </c>
      <c r="L26" s="363">
        <f t="shared" si="0"/>
        <v>0</v>
      </c>
      <c r="M26" s="363">
        <f t="shared" si="1"/>
        <v>-6.5</v>
      </c>
    </row>
    <row r="27" spans="1:13">
      <c r="A27" s="187" t="s">
        <v>554</v>
      </c>
      <c r="B27" s="187" t="s">
        <v>2015</v>
      </c>
      <c r="C27" s="187" t="s">
        <v>1681</v>
      </c>
      <c r="D27" s="187" t="s">
        <v>2016</v>
      </c>
      <c r="E27" s="187" t="s">
        <v>164</v>
      </c>
      <c r="F27" s="187" t="s">
        <v>1600</v>
      </c>
      <c r="G27" s="187" t="s">
        <v>2127</v>
      </c>
      <c r="H27" s="187">
        <v>201611</v>
      </c>
      <c r="I27" s="361">
        <v>-186.6</v>
      </c>
      <c r="J27" s="183">
        <v>0</v>
      </c>
      <c r="K27" s="362">
        <v>1.4833299999999999E-3</v>
      </c>
      <c r="L27" s="363">
        <f t="shared" si="0"/>
        <v>0</v>
      </c>
      <c r="M27" s="363">
        <f t="shared" si="1"/>
        <v>-3.32</v>
      </c>
    </row>
    <row r="28" spans="1:13">
      <c r="A28" s="187" t="s">
        <v>554</v>
      </c>
      <c r="B28" s="187" t="s">
        <v>2087</v>
      </c>
      <c r="C28" s="187" t="s">
        <v>1681</v>
      </c>
      <c r="D28" s="187" t="s">
        <v>2088</v>
      </c>
      <c r="E28" s="187" t="s">
        <v>164</v>
      </c>
      <c r="F28" s="187" t="s">
        <v>1600</v>
      </c>
      <c r="G28" s="187" t="s">
        <v>2127</v>
      </c>
      <c r="H28" s="187">
        <v>201611</v>
      </c>
      <c r="I28" s="361">
        <v>-135.80000000000001</v>
      </c>
      <c r="J28" s="183">
        <v>0</v>
      </c>
      <c r="K28" s="362">
        <v>1.4833299999999999E-3</v>
      </c>
      <c r="L28" s="363">
        <f t="shared" si="0"/>
        <v>0</v>
      </c>
      <c r="M28" s="363">
        <f t="shared" si="1"/>
        <v>-2.42</v>
      </c>
    </row>
    <row r="29" spans="1:13">
      <c r="A29" s="187" t="s">
        <v>1942</v>
      </c>
      <c r="B29" s="187" t="s">
        <v>2133</v>
      </c>
      <c r="C29" s="187" t="s">
        <v>1681</v>
      </c>
      <c r="D29" s="187" t="s">
        <v>2134</v>
      </c>
      <c r="E29" s="187" t="s">
        <v>202</v>
      </c>
      <c r="F29" s="187" t="s">
        <v>1611</v>
      </c>
      <c r="G29" s="187" t="s">
        <v>2127</v>
      </c>
      <c r="H29" s="187">
        <v>201611</v>
      </c>
      <c r="I29" s="361">
        <v>-53.91</v>
      </c>
      <c r="J29" s="183">
        <v>0</v>
      </c>
      <c r="K29" s="362">
        <v>2.23333E-3</v>
      </c>
      <c r="L29" s="363">
        <f t="shared" si="0"/>
        <v>0</v>
      </c>
      <c r="M29" s="363">
        <f t="shared" si="1"/>
        <v>-1.44</v>
      </c>
    </row>
    <row r="30" spans="1:13">
      <c r="A30" s="187" t="s">
        <v>1942</v>
      </c>
      <c r="B30" s="187" t="s">
        <v>2135</v>
      </c>
      <c r="C30" s="187" t="s">
        <v>1681</v>
      </c>
      <c r="D30" s="187" t="s">
        <v>2136</v>
      </c>
      <c r="E30" s="187" t="s">
        <v>294</v>
      </c>
      <c r="F30" s="187" t="s">
        <v>1613</v>
      </c>
      <c r="G30" s="187" t="s">
        <v>2127</v>
      </c>
      <c r="H30" s="187">
        <v>201611</v>
      </c>
      <c r="I30" s="361">
        <v>-36.47</v>
      </c>
      <c r="J30" s="183">
        <v>0</v>
      </c>
      <c r="K30" s="362">
        <v>2.23333E-3</v>
      </c>
      <c r="L30" s="363">
        <f t="shared" si="0"/>
        <v>0</v>
      </c>
      <c r="M30" s="363">
        <f t="shared" si="1"/>
        <v>-0.98</v>
      </c>
    </row>
    <row r="31" spans="1:13">
      <c r="A31" s="187" t="s">
        <v>554</v>
      </c>
      <c r="B31" s="187" t="s">
        <v>2073</v>
      </c>
      <c r="C31" s="187" t="s">
        <v>1681</v>
      </c>
      <c r="D31" s="187" t="s">
        <v>2074</v>
      </c>
      <c r="E31" s="187" t="s">
        <v>164</v>
      </c>
      <c r="F31" s="187" t="s">
        <v>1600</v>
      </c>
      <c r="G31" s="187" t="s">
        <v>2127</v>
      </c>
      <c r="H31" s="187">
        <v>201611</v>
      </c>
      <c r="I31" s="361">
        <v>-34.79</v>
      </c>
      <c r="J31" s="183">
        <v>0</v>
      </c>
      <c r="K31" s="362">
        <v>1.4833299999999999E-3</v>
      </c>
      <c r="L31" s="363">
        <f t="shared" si="0"/>
        <v>0</v>
      </c>
      <c r="M31" s="363">
        <f t="shared" si="1"/>
        <v>-0.62</v>
      </c>
    </row>
    <row r="32" spans="1:13">
      <c r="A32" s="187" t="s">
        <v>1942</v>
      </c>
      <c r="B32" s="187" t="s">
        <v>2083</v>
      </c>
      <c r="C32" s="187" t="s">
        <v>1681</v>
      </c>
      <c r="D32" s="187" t="s">
        <v>2084</v>
      </c>
      <c r="E32" s="187" t="s">
        <v>75</v>
      </c>
      <c r="F32" s="187" t="s">
        <v>1602</v>
      </c>
      <c r="G32" s="187" t="s">
        <v>2127</v>
      </c>
      <c r="H32" s="187">
        <v>201611</v>
      </c>
      <c r="I32" s="361">
        <v>-26.67</v>
      </c>
      <c r="J32" s="183">
        <v>0</v>
      </c>
      <c r="K32" s="362">
        <v>2.23333E-3</v>
      </c>
      <c r="L32" s="363">
        <f t="shared" si="0"/>
        <v>0</v>
      </c>
      <c r="M32" s="363">
        <f t="shared" si="1"/>
        <v>-0.71</v>
      </c>
    </row>
    <row r="33" spans="1:13">
      <c r="A33" s="187" t="s">
        <v>1942</v>
      </c>
      <c r="B33" s="187" t="s">
        <v>2105</v>
      </c>
      <c r="C33" s="187" t="s">
        <v>1681</v>
      </c>
      <c r="D33" s="187" t="s">
        <v>2106</v>
      </c>
      <c r="E33" s="187" t="s">
        <v>75</v>
      </c>
      <c r="F33" s="187" t="s">
        <v>1602</v>
      </c>
      <c r="G33" s="187" t="s">
        <v>2127</v>
      </c>
      <c r="H33" s="187">
        <v>201611</v>
      </c>
      <c r="I33" s="361">
        <v>-5.05</v>
      </c>
      <c r="J33" s="183">
        <v>0</v>
      </c>
      <c r="K33" s="362">
        <v>2.23333E-3</v>
      </c>
      <c r="L33" s="363">
        <f t="shared" si="0"/>
        <v>0</v>
      </c>
      <c r="M33" s="363">
        <f t="shared" si="1"/>
        <v>-0.14000000000000001</v>
      </c>
    </row>
    <row r="34" spans="1:13">
      <c r="A34" s="187" t="s">
        <v>14</v>
      </c>
      <c r="B34" s="187" t="s">
        <v>2131</v>
      </c>
      <c r="C34" s="187" t="s">
        <v>1681</v>
      </c>
      <c r="D34" s="187" t="s">
        <v>2132</v>
      </c>
      <c r="E34" s="187" t="s">
        <v>198</v>
      </c>
      <c r="F34" s="187" t="s">
        <v>1610</v>
      </c>
      <c r="G34" s="187" t="s">
        <v>2127</v>
      </c>
      <c r="H34" s="187">
        <v>201612</v>
      </c>
      <c r="I34" s="361">
        <v>-12201.81</v>
      </c>
      <c r="J34" s="183">
        <v>0</v>
      </c>
      <c r="K34" s="362">
        <v>2.23333E-3</v>
      </c>
      <c r="L34" s="363">
        <f t="shared" si="0"/>
        <v>0</v>
      </c>
      <c r="M34" s="363">
        <f t="shared" si="1"/>
        <v>-327.01</v>
      </c>
    </row>
    <row r="35" spans="1:13">
      <c r="A35" s="187" t="s">
        <v>14</v>
      </c>
      <c r="B35" s="187" t="s">
        <v>2135</v>
      </c>
      <c r="C35" s="187" t="s">
        <v>1681</v>
      </c>
      <c r="D35" s="187" t="s">
        <v>2136</v>
      </c>
      <c r="E35" s="187" t="s">
        <v>294</v>
      </c>
      <c r="F35" s="187" t="s">
        <v>1613</v>
      </c>
      <c r="G35" s="187" t="s">
        <v>2127</v>
      </c>
      <c r="H35" s="187">
        <v>201612</v>
      </c>
      <c r="I35" s="361">
        <v>-12169.32</v>
      </c>
      <c r="J35" s="183">
        <v>0</v>
      </c>
      <c r="K35" s="362">
        <v>2.23333E-3</v>
      </c>
      <c r="L35" s="363">
        <f t="shared" si="0"/>
        <v>0</v>
      </c>
      <c r="M35" s="363">
        <f t="shared" si="1"/>
        <v>-326.14</v>
      </c>
    </row>
    <row r="36" spans="1:13">
      <c r="A36" s="187" t="s">
        <v>14</v>
      </c>
      <c r="B36" s="187" t="s">
        <v>2133</v>
      </c>
      <c r="C36" s="187" t="s">
        <v>1681</v>
      </c>
      <c r="D36" s="187" t="s">
        <v>2134</v>
      </c>
      <c r="E36" s="187" t="s">
        <v>202</v>
      </c>
      <c r="F36" s="187" t="s">
        <v>1611</v>
      </c>
      <c r="G36" s="187" t="s">
        <v>2127</v>
      </c>
      <c r="H36" s="187">
        <v>201612</v>
      </c>
      <c r="I36" s="361">
        <v>-10866.66</v>
      </c>
      <c r="J36" s="183">
        <v>0</v>
      </c>
      <c r="K36" s="362">
        <v>2.23333E-3</v>
      </c>
      <c r="L36" s="363">
        <f t="shared" si="0"/>
        <v>0</v>
      </c>
      <c r="M36" s="363">
        <f t="shared" si="1"/>
        <v>-291.23</v>
      </c>
    </row>
    <row r="37" spans="1:13">
      <c r="A37" s="187" t="s">
        <v>14</v>
      </c>
      <c r="B37" s="187" t="s">
        <v>1999</v>
      </c>
      <c r="C37" s="187" t="s">
        <v>1681</v>
      </c>
      <c r="D37" s="187" t="s">
        <v>2000</v>
      </c>
      <c r="E37" s="187" t="s">
        <v>75</v>
      </c>
      <c r="F37" s="187" t="s">
        <v>1602</v>
      </c>
      <c r="G37" s="187" t="s">
        <v>2127</v>
      </c>
      <c r="H37" s="187">
        <v>201612</v>
      </c>
      <c r="I37" s="361">
        <v>-7772.8</v>
      </c>
      <c r="J37" s="183">
        <v>0</v>
      </c>
      <c r="K37" s="362">
        <v>2.23333E-3</v>
      </c>
      <c r="L37" s="363">
        <f t="shared" si="0"/>
        <v>0</v>
      </c>
      <c r="M37" s="363">
        <f t="shared" si="1"/>
        <v>-208.31</v>
      </c>
    </row>
    <row r="38" spans="1:13">
      <c r="A38" s="187" t="s">
        <v>1942</v>
      </c>
      <c r="B38" s="187" t="s">
        <v>196</v>
      </c>
      <c r="C38" s="187" t="s">
        <v>195</v>
      </c>
      <c r="D38" s="187" t="s">
        <v>1674</v>
      </c>
      <c r="E38" s="187" t="s">
        <v>198</v>
      </c>
      <c r="F38" s="187" t="s">
        <v>1610</v>
      </c>
      <c r="G38" s="187" t="s">
        <v>2127</v>
      </c>
      <c r="H38" s="187">
        <v>201612</v>
      </c>
      <c r="I38" s="361">
        <v>-4032.8</v>
      </c>
      <c r="J38" s="183">
        <v>0</v>
      </c>
      <c r="K38" s="362">
        <v>2.23333E-3</v>
      </c>
      <c r="L38" s="363">
        <f t="shared" si="0"/>
        <v>0</v>
      </c>
      <c r="M38" s="363">
        <f t="shared" si="1"/>
        <v>-108.08</v>
      </c>
    </row>
    <row r="39" spans="1:13">
      <c r="A39" s="187" t="s">
        <v>14</v>
      </c>
      <c r="B39" s="187" t="s">
        <v>293</v>
      </c>
      <c r="C39" s="187" t="s">
        <v>292</v>
      </c>
      <c r="D39" s="187" t="s">
        <v>1679</v>
      </c>
      <c r="E39" s="187" t="s">
        <v>294</v>
      </c>
      <c r="F39" s="187" t="s">
        <v>1613</v>
      </c>
      <c r="G39" s="187" t="s">
        <v>2127</v>
      </c>
      <c r="H39" s="187">
        <v>201612</v>
      </c>
      <c r="I39" s="361">
        <v>-3713.71</v>
      </c>
      <c r="J39" s="183">
        <v>0</v>
      </c>
      <c r="K39" s="362">
        <v>2.23333E-3</v>
      </c>
      <c r="L39" s="363">
        <f t="shared" si="0"/>
        <v>0</v>
      </c>
      <c r="M39" s="363">
        <f t="shared" si="1"/>
        <v>-99.53</v>
      </c>
    </row>
    <row r="40" spans="1:13">
      <c r="A40" s="187" t="s">
        <v>14</v>
      </c>
      <c r="B40" s="187" t="s">
        <v>201</v>
      </c>
      <c r="C40" s="187" t="s">
        <v>200</v>
      </c>
      <c r="D40" s="187" t="s">
        <v>1675</v>
      </c>
      <c r="E40" s="187" t="s">
        <v>202</v>
      </c>
      <c r="F40" s="187" t="s">
        <v>1611</v>
      </c>
      <c r="G40" s="187" t="s">
        <v>2127</v>
      </c>
      <c r="H40" s="187">
        <v>201612</v>
      </c>
      <c r="I40" s="361">
        <v>-3361.19</v>
      </c>
      <c r="J40" s="183">
        <v>0</v>
      </c>
      <c r="K40" s="362">
        <v>2.23333E-3</v>
      </c>
      <c r="L40" s="363">
        <f t="shared" si="0"/>
        <v>0</v>
      </c>
      <c r="M40" s="363">
        <f t="shared" si="1"/>
        <v>-90.08</v>
      </c>
    </row>
    <row r="41" spans="1:13">
      <c r="A41" s="187" t="s">
        <v>21</v>
      </c>
      <c r="B41" s="187" t="s">
        <v>1999</v>
      </c>
      <c r="C41" s="187" t="s">
        <v>1681</v>
      </c>
      <c r="D41" s="187" t="s">
        <v>2000</v>
      </c>
      <c r="E41" s="187" t="s">
        <v>75</v>
      </c>
      <c r="F41" s="187" t="s">
        <v>1602</v>
      </c>
      <c r="G41" s="187" t="s">
        <v>2127</v>
      </c>
      <c r="H41" s="187">
        <v>201612</v>
      </c>
      <c r="I41" s="361">
        <v>-2800.91</v>
      </c>
      <c r="J41" s="183">
        <v>0</v>
      </c>
      <c r="K41" s="362">
        <v>1.4833299999999999E-3</v>
      </c>
      <c r="L41" s="363">
        <f t="shared" si="0"/>
        <v>0</v>
      </c>
      <c r="M41" s="363">
        <f t="shared" si="1"/>
        <v>-49.86</v>
      </c>
    </row>
    <row r="42" spans="1:13">
      <c r="A42" s="187" t="s">
        <v>1942</v>
      </c>
      <c r="B42" s="187" t="s">
        <v>201</v>
      </c>
      <c r="C42" s="187" t="s">
        <v>200</v>
      </c>
      <c r="D42" s="187" t="s">
        <v>1675</v>
      </c>
      <c r="E42" s="187" t="s">
        <v>202</v>
      </c>
      <c r="F42" s="187" t="s">
        <v>1611</v>
      </c>
      <c r="G42" s="187" t="s">
        <v>2127</v>
      </c>
      <c r="H42" s="187">
        <v>201612</v>
      </c>
      <c r="I42" s="361">
        <v>-1028.5899999999999</v>
      </c>
      <c r="J42" s="183">
        <v>0</v>
      </c>
      <c r="K42" s="362">
        <v>2.23333E-3</v>
      </c>
      <c r="L42" s="363">
        <f t="shared" si="0"/>
        <v>0</v>
      </c>
      <c r="M42" s="363">
        <f t="shared" si="1"/>
        <v>-27.57</v>
      </c>
    </row>
    <row r="43" spans="1:13">
      <c r="A43" s="187" t="s">
        <v>14</v>
      </c>
      <c r="B43" s="187" t="s">
        <v>196</v>
      </c>
      <c r="C43" s="187" t="s">
        <v>195</v>
      </c>
      <c r="D43" s="187" t="s">
        <v>1674</v>
      </c>
      <c r="E43" s="187" t="s">
        <v>198</v>
      </c>
      <c r="F43" s="187" t="s">
        <v>1610</v>
      </c>
      <c r="G43" s="187" t="s">
        <v>2127</v>
      </c>
      <c r="H43" s="187">
        <v>201612</v>
      </c>
      <c r="I43" s="361">
        <v>-470.63</v>
      </c>
      <c r="J43" s="183">
        <v>0</v>
      </c>
      <c r="K43" s="362">
        <v>2.23333E-3</v>
      </c>
      <c r="L43" s="363">
        <f t="shared" si="0"/>
        <v>0</v>
      </c>
      <c r="M43" s="363">
        <f t="shared" si="1"/>
        <v>-12.61</v>
      </c>
    </row>
    <row r="44" spans="1:13">
      <c r="A44" s="187" t="s">
        <v>1942</v>
      </c>
      <c r="B44" s="187" t="s">
        <v>2135</v>
      </c>
      <c r="C44" s="187" t="s">
        <v>1681</v>
      </c>
      <c r="D44" s="187" t="s">
        <v>2136</v>
      </c>
      <c r="E44" s="187" t="s">
        <v>294</v>
      </c>
      <c r="F44" s="187" t="s">
        <v>1613</v>
      </c>
      <c r="G44" s="187" t="s">
        <v>2127</v>
      </c>
      <c r="H44" s="187">
        <v>201612</v>
      </c>
      <c r="I44" s="361">
        <v>-452.18</v>
      </c>
      <c r="J44" s="183">
        <v>0</v>
      </c>
      <c r="K44" s="362">
        <v>2.23333E-3</v>
      </c>
      <c r="L44" s="363">
        <f t="shared" si="0"/>
        <v>0</v>
      </c>
      <c r="M44" s="363">
        <f t="shared" si="1"/>
        <v>-12.12</v>
      </c>
    </row>
    <row r="45" spans="1:13">
      <c r="A45" s="187" t="s">
        <v>1942</v>
      </c>
      <c r="B45" s="187" t="s">
        <v>1999</v>
      </c>
      <c r="C45" s="187" t="s">
        <v>1681</v>
      </c>
      <c r="D45" s="187" t="s">
        <v>2000</v>
      </c>
      <c r="E45" s="187" t="s">
        <v>75</v>
      </c>
      <c r="F45" s="187" t="s">
        <v>1602</v>
      </c>
      <c r="G45" s="187" t="s">
        <v>2127</v>
      </c>
      <c r="H45" s="187">
        <v>201612</v>
      </c>
      <c r="I45" s="361">
        <v>-235.25</v>
      </c>
      <c r="J45" s="183">
        <v>0</v>
      </c>
      <c r="K45" s="362">
        <v>2.23333E-3</v>
      </c>
      <c r="L45" s="363">
        <f t="shared" si="0"/>
        <v>0</v>
      </c>
      <c r="M45" s="363">
        <f t="shared" si="1"/>
        <v>-6.3</v>
      </c>
    </row>
    <row r="46" spans="1:13">
      <c r="A46" s="187" t="s">
        <v>1942</v>
      </c>
      <c r="B46" s="187" t="s">
        <v>2133</v>
      </c>
      <c r="C46" s="187" t="s">
        <v>1681</v>
      </c>
      <c r="D46" s="187" t="s">
        <v>2134</v>
      </c>
      <c r="E46" s="187" t="s">
        <v>202</v>
      </c>
      <c r="F46" s="187" t="s">
        <v>1611</v>
      </c>
      <c r="G46" s="187" t="s">
        <v>2127</v>
      </c>
      <c r="H46" s="187">
        <v>201612</v>
      </c>
      <c r="I46" s="361">
        <v>-77.930000000000007</v>
      </c>
      <c r="J46" s="183">
        <v>0</v>
      </c>
      <c r="K46" s="362">
        <v>2.23333E-3</v>
      </c>
      <c r="L46" s="363">
        <f t="shared" si="0"/>
        <v>0</v>
      </c>
      <c r="M46" s="363">
        <f t="shared" si="1"/>
        <v>-2.09</v>
      </c>
    </row>
    <row r="47" spans="1:13">
      <c r="A47" s="187" t="s">
        <v>554</v>
      </c>
      <c r="B47" s="187" t="s">
        <v>2095</v>
      </c>
      <c r="C47" s="187" t="s">
        <v>1681</v>
      </c>
      <c r="D47" s="187" t="s">
        <v>2096</v>
      </c>
      <c r="E47" s="187" t="s">
        <v>164</v>
      </c>
      <c r="F47" s="187" t="s">
        <v>1600</v>
      </c>
      <c r="G47" s="187" t="s">
        <v>2127</v>
      </c>
      <c r="H47" s="187">
        <v>201612</v>
      </c>
      <c r="I47" s="361">
        <v>-52.58</v>
      </c>
      <c r="J47" s="183">
        <v>0</v>
      </c>
      <c r="K47" s="362">
        <v>1.4833299999999999E-3</v>
      </c>
      <c r="L47" s="363">
        <f t="shared" si="0"/>
        <v>0</v>
      </c>
      <c r="M47" s="363">
        <f t="shared" si="1"/>
        <v>-0.94</v>
      </c>
    </row>
    <row r="48" spans="1:13">
      <c r="A48" s="187" t="s">
        <v>1942</v>
      </c>
      <c r="B48" s="187" t="s">
        <v>2095</v>
      </c>
      <c r="C48" s="187" t="s">
        <v>1681</v>
      </c>
      <c r="D48" s="187" t="s">
        <v>2096</v>
      </c>
      <c r="E48" s="187" t="s">
        <v>164</v>
      </c>
      <c r="F48" s="187" t="s">
        <v>1600</v>
      </c>
      <c r="G48" s="187" t="s">
        <v>2127</v>
      </c>
      <c r="H48" s="187">
        <v>201612</v>
      </c>
      <c r="I48" s="361">
        <v>-48.57</v>
      </c>
      <c r="J48" s="183">
        <v>0</v>
      </c>
      <c r="K48" s="362">
        <v>2.23333E-3</v>
      </c>
      <c r="L48" s="363">
        <f t="shared" si="0"/>
        <v>0</v>
      </c>
      <c r="M48" s="363">
        <f t="shared" si="1"/>
        <v>-1.3</v>
      </c>
    </row>
    <row r="49" spans="1:13">
      <c r="A49" s="187" t="s">
        <v>1942</v>
      </c>
      <c r="B49" s="187" t="s">
        <v>2131</v>
      </c>
      <c r="C49" s="187" t="s">
        <v>1681</v>
      </c>
      <c r="D49" s="187" t="s">
        <v>2132</v>
      </c>
      <c r="E49" s="187" t="s">
        <v>198</v>
      </c>
      <c r="F49" s="187" t="s">
        <v>1610</v>
      </c>
      <c r="G49" s="187" t="s">
        <v>2127</v>
      </c>
      <c r="H49" s="187">
        <v>201612</v>
      </c>
      <c r="I49" s="361">
        <v>-39.24</v>
      </c>
      <c r="J49" s="183">
        <v>0</v>
      </c>
      <c r="K49" s="362">
        <v>2.23333E-3</v>
      </c>
      <c r="L49" s="363">
        <f t="shared" si="0"/>
        <v>0</v>
      </c>
      <c r="M49" s="363">
        <f t="shared" si="1"/>
        <v>-1.05</v>
      </c>
    </row>
    <row r="52" spans="1:13" ht="15.75" thickBot="1">
      <c r="H52" s="364" t="s">
        <v>2137</v>
      </c>
      <c r="I52" s="365">
        <f>SUM(I5:I51)</f>
        <v>-300851.66000000003</v>
      </c>
      <c r="M52" s="365">
        <f>SUM(M5:M51)</f>
        <v>-7793.8</v>
      </c>
    </row>
    <row r="62" spans="1:13">
      <c r="D62" s="416"/>
    </row>
    <row r="63" spans="1:13">
      <c r="D63" s="416"/>
    </row>
  </sheetData>
  <pageMargins left="0.7" right="0.7" top="0.75" bottom="0.75" header="0.3" footer="0.3"/>
  <pageSetup scale="64" orientation="landscape" r:id="rId1"/>
  <headerFooter>
    <oddHeader>&amp;RAppendix D</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topLeftCell="F1" zoomScale="85" zoomScaleNormal="85" workbookViewId="0">
      <pane ySplit="4" topLeftCell="A46" activePane="bottomLeft" state="frozen"/>
      <selection pane="bottomLeft" activeCell="M80" sqref="M80"/>
    </sheetView>
  </sheetViews>
  <sheetFormatPr defaultRowHeight="15"/>
  <cols>
    <col min="1" max="1" width="37.42578125" style="194" customWidth="1"/>
    <col min="2" max="2" width="13.28515625" style="194" customWidth="1"/>
    <col min="3" max="3" width="14.7109375" style="194" customWidth="1"/>
    <col min="4" max="4" width="38.28515625" style="194" customWidth="1"/>
    <col min="5" max="5" width="10" style="194" customWidth="1"/>
    <col min="6" max="6" width="38.28515625" style="194" customWidth="1"/>
    <col min="7" max="7" width="13.5703125" style="194" customWidth="1"/>
    <col min="8" max="8" width="17" style="194" bestFit="1" customWidth="1"/>
    <col min="9" max="9" width="14" style="367" customWidth="1"/>
    <col min="10" max="10" width="9.140625" style="366"/>
    <col min="11" max="11" width="15.85546875" style="194" customWidth="1"/>
    <col min="12" max="12" width="16.140625" style="194" customWidth="1"/>
    <col min="13" max="13" width="14.28515625" style="194" customWidth="1"/>
    <col min="14" max="16384" width="9.140625" style="194"/>
  </cols>
  <sheetData>
    <row r="1" spans="1:13">
      <c r="A1" s="170" t="s">
        <v>0</v>
      </c>
      <c r="B1" s="174"/>
      <c r="C1" s="174"/>
      <c r="D1" s="172"/>
      <c r="E1" s="356"/>
      <c r="F1" s="174"/>
      <c r="G1" s="174"/>
      <c r="H1" s="174"/>
      <c r="I1" s="357"/>
      <c r="J1" s="174"/>
      <c r="K1" s="356"/>
      <c r="L1" s="174"/>
      <c r="M1" s="174"/>
    </row>
    <row r="2" spans="1:13">
      <c r="A2" s="170" t="s">
        <v>2658</v>
      </c>
      <c r="B2" s="174"/>
      <c r="C2" s="174"/>
      <c r="D2" s="174"/>
      <c r="E2" s="174"/>
      <c r="F2" s="174"/>
      <c r="G2" s="174"/>
      <c r="H2" s="174"/>
      <c r="I2" s="357"/>
      <c r="J2" s="174"/>
      <c r="K2" s="174"/>
      <c r="L2" s="174"/>
      <c r="M2" s="174"/>
    </row>
    <row r="3" spans="1:13">
      <c r="A3" s="174"/>
      <c r="B3" s="174"/>
      <c r="C3" s="174"/>
      <c r="D3" s="174"/>
      <c r="E3" s="174"/>
      <c r="F3" s="174"/>
      <c r="G3" s="174"/>
      <c r="H3" s="174"/>
      <c r="I3" s="357"/>
      <c r="J3" s="174"/>
      <c r="K3" s="174"/>
      <c r="L3" s="174"/>
      <c r="M3" s="174"/>
    </row>
    <row r="4" spans="1:13" ht="48.75" customHeight="1">
      <c r="A4" s="178" t="s">
        <v>6</v>
      </c>
      <c r="B4" s="178" t="s">
        <v>7</v>
      </c>
      <c r="C4" s="178" t="s">
        <v>8</v>
      </c>
      <c r="D4" s="178" t="s">
        <v>9</v>
      </c>
      <c r="E4" s="178" t="s">
        <v>10</v>
      </c>
      <c r="F4" s="178" t="s">
        <v>11</v>
      </c>
      <c r="G4" s="358" t="s">
        <v>12</v>
      </c>
      <c r="H4" s="178" t="s">
        <v>1</v>
      </c>
      <c r="I4" s="359" t="s">
        <v>2123</v>
      </c>
      <c r="J4" s="360" t="s">
        <v>2020</v>
      </c>
      <c r="K4" s="360" t="s">
        <v>2021</v>
      </c>
      <c r="L4" s="360" t="s">
        <v>2022</v>
      </c>
      <c r="M4" s="360" t="s">
        <v>2023</v>
      </c>
    </row>
    <row r="5" spans="1:13">
      <c r="A5" s="187" t="s">
        <v>14</v>
      </c>
      <c r="B5" s="187" t="s">
        <v>2133</v>
      </c>
      <c r="C5" s="187" t="s">
        <v>1681</v>
      </c>
      <c r="D5" s="187" t="s">
        <v>2134</v>
      </c>
      <c r="E5" s="187" t="s">
        <v>202</v>
      </c>
      <c r="F5" s="187" t="s">
        <v>1611</v>
      </c>
      <c r="G5" s="187" t="s">
        <v>2127</v>
      </c>
      <c r="H5" s="187">
        <v>201611</v>
      </c>
      <c r="I5" s="361">
        <v>-144730.01</v>
      </c>
      <c r="J5" s="183">
        <v>0</v>
      </c>
      <c r="K5" s="362">
        <v>2.23333E-3</v>
      </c>
      <c r="L5" s="363">
        <f t="shared" ref="L5:L68" si="0">ROUND(I5*J5*K5,2)</f>
        <v>0</v>
      </c>
      <c r="M5" s="363">
        <f t="shared" ref="M5:M68" si="1">ROUND(I5*K5*12,2)</f>
        <v>-3878.76</v>
      </c>
    </row>
    <row r="6" spans="1:13">
      <c r="A6" s="187" t="s">
        <v>21</v>
      </c>
      <c r="B6" s="187" t="s">
        <v>1919</v>
      </c>
      <c r="C6" s="187" t="s">
        <v>1918</v>
      </c>
      <c r="D6" s="187" t="s">
        <v>1920</v>
      </c>
      <c r="E6" s="187" t="s">
        <v>75</v>
      </c>
      <c r="F6" s="187" t="s">
        <v>1602</v>
      </c>
      <c r="G6" s="187" t="s">
        <v>2127</v>
      </c>
      <c r="H6" s="187">
        <v>201611</v>
      </c>
      <c r="I6" s="361">
        <v>-19018.88</v>
      </c>
      <c r="J6" s="183">
        <v>0</v>
      </c>
      <c r="K6" s="362">
        <v>1.4833299999999999E-3</v>
      </c>
      <c r="L6" s="363">
        <f t="shared" si="0"/>
        <v>0</v>
      </c>
      <c r="M6" s="363">
        <f t="shared" si="1"/>
        <v>-338.54</v>
      </c>
    </row>
    <row r="7" spans="1:13">
      <c r="A7" s="187" t="s">
        <v>14</v>
      </c>
      <c r="B7" s="187" t="s">
        <v>2131</v>
      </c>
      <c r="C7" s="187" t="s">
        <v>1681</v>
      </c>
      <c r="D7" s="187" t="s">
        <v>2132</v>
      </c>
      <c r="E7" s="187" t="s">
        <v>198</v>
      </c>
      <c r="F7" s="187" t="s">
        <v>1610</v>
      </c>
      <c r="G7" s="187" t="s">
        <v>2127</v>
      </c>
      <c r="H7" s="187">
        <v>201611</v>
      </c>
      <c r="I7" s="361">
        <v>-16283.78</v>
      </c>
      <c r="J7" s="183">
        <v>0</v>
      </c>
      <c r="K7" s="362">
        <v>2.23333E-3</v>
      </c>
      <c r="L7" s="363">
        <f t="shared" si="0"/>
        <v>0</v>
      </c>
      <c r="M7" s="363">
        <f t="shared" si="1"/>
        <v>-436.4</v>
      </c>
    </row>
    <row r="8" spans="1:13">
      <c r="A8" s="187" t="s">
        <v>14</v>
      </c>
      <c r="B8" s="187" t="s">
        <v>2135</v>
      </c>
      <c r="C8" s="187" t="s">
        <v>1681</v>
      </c>
      <c r="D8" s="187" t="s">
        <v>2136</v>
      </c>
      <c r="E8" s="187" t="s">
        <v>294</v>
      </c>
      <c r="F8" s="187" t="s">
        <v>1613</v>
      </c>
      <c r="G8" s="187" t="s">
        <v>2127</v>
      </c>
      <c r="H8" s="187">
        <v>201611</v>
      </c>
      <c r="I8" s="361">
        <v>-15028.88</v>
      </c>
      <c r="J8" s="183">
        <v>0</v>
      </c>
      <c r="K8" s="362">
        <v>2.23333E-3</v>
      </c>
      <c r="L8" s="363">
        <f t="shared" si="0"/>
        <v>0</v>
      </c>
      <c r="M8" s="363">
        <f t="shared" si="1"/>
        <v>-402.77</v>
      </c>
    </row>
    <row r="9" spans="1:13">
      <c r="A9" s="187" t="s">
        <v>1942</v>
      </c>
      <c r="B9" s="187" t="s">
        <v>196</v>
      </c>
      <c r="C9" s="187" t="s">
        <v>195</v>
      </c>
      <c r="D9" s="187" t="s">
        <v>1674</v>
      </c>
      <c r="E9" s="187" t="s">
        <v>198</v>
      </c>
      <c r="F9" s="187" t="s">
        <v>1610</v>
      </c>
      <c r="G9" s="187" t="s">
        <v>2127</v>
      </c>
      <c r="H9" s="187">
        <v>201611</v>
      </c>
      <c r="I9" s="361">
        <v>-10119.6</v>
      </c>
      <c r="J9" s="183">
        <v>0</v>
      </c>
      <c r="K9" s="362">
        <v>2.23333E-3</v>
      </c>
      <c r="L9" s="363">
        <f t="shared" si="0"/>
        <v>0</v>
      </c>
      <c r="M9" s="363">
        <f t="shared" si="1"/>
        <v>-271.2</v>
      </c>
    </row>
    <row r="10" spans="1:13">
      <c r="A10" s="187" t="s">
        <v>14</v>
      </c>
      <c r="B10" s="187" t="s">
        <v>2083</v>
      </c>
      <c r="C10" s="187" t="s">
        <v>1681</v>
      </c>
      <c r="D10" s="187" t="s">
        <v>2084</v>
      </c>
      <c r="E10" s="187" t="s">
        <v>75</v>
      </c>
      <c r="F10" s="187" t="s">
        <v>1602</v>
      </c>
      <c r="G10" s="187" t="s">
        <v>2127</v>
      </c>
      <c r="H10" s="187">
        <v>201611</v>
      </c>
      <c r="I10" s="361">
        <v>-9237.94</v>
      </c>
      <c r="J10" s="183">
        <v>0</v>
      </c>
      <c r="K10" s="362">
        <v>2.23333E-3</v>
      </c>
      <c r="L10" s="363">
        <f t="shared" si="0"/>
        <v>0</v>
      </c>
      <c r="M10" s="363">
        <f t="shared" si="1"/>
        <v>-247.58</v>
      </c>
    </row>
    <row r="11" spans="1:13">
      <c r="A11" s="187" t="s">
        <v>14</v>
      </c>
      <c r="B11" s="187" t="s">
        <v>2105</v>
      </c>
      <c r="C11" s="187" t="s">
        <v>1681</v>
      </c>
      <c r="D11" s="187" t="s">
        <v>2106</v>
      </c>
      <c r="E11" s="187" t="s">
        <v>75</v>
      </c>
      <c r="F11" s="187" t="s">
        <v>1602</v>
      </c>
      <c r="G11" s="187" t="s">
        <v>2127</v>
      </c>
      <c r="H11" s="187">
        <v>201611</v>
      </c>
      <c r="I11" s="361">
        <v>-7441.19</v>
      </c>
      <c r="J11" s="183">
        <v>0</v>
      </c>
      <c r="K11" s="362">
        <v>2.23333E-3</v>
      </c>
      <c r="L11" s="363">
        <f t="shared" si="0"/>
        <v>0</v>
      </c>
      <c r="M11" s="363">
        <f t="shared" si="1"/>
        <v>-199.42</v>
      </c>
    </row>
    <row r="12" spans="1:13">
      <c r="A12" s="187" t="s">
        <v>14</v>
      </c>
      <c r="B12" s="187" t="s">
        <v>196</v>
      </c>
      <c r="C12" s="187" t="s">
        <v>195</v>
      </c>
      <c r="D12" s="187" t="s">
        <v>1674</v>
      </c>
      <c r="E12" s="187" t="s">
        <v>198</v>
      </c>
      <c r="F12" s="187" t="s">
        <v>1610</v>
      </c>
      <c r="G12" s="187" t="s">
        <v>2127</v>
      </c>
      <c r="H12" s="187">
        <v>201611</v>
      </c>
      <c r="I12" s="361">
        <v>-5180.93</v>
      </c>
      <c r="J12" s="183">
        <v>0</v>
      </c>
      <c r="K12" s="362">
        <v>2.23333E-3</v>
      </c>
      <c r="L12" s="363">
        <f t="shared" si="0"/>
        <v>0</v>
      </c>
      <c r="M12" s="363">
        <f t="shared" si="1"/>
        <v>-138.85</v>
      </c>
    </row>
    <row r="13" spans="1:13">
      <c r="A13" s="187" t="s">
        <v>14</v>
      </c>
      <c r="B13" s="187" t="s">
        <v>293</v>
      </c>
      <c r="C13" s="187" t="s">
        <v>292</v>
      </c>
      <c r="D13" s="187" t="s">
        <v>1679</v>
      </c>
      <c r="E13" s="187" t="s">
        <v>294</v>
      </c>
      <c r="F13" s="187" t="s">
        <v>1613</v>
      </c>
      <c r="G13" s="187" t="s">
        <v>2127</v>
      </c>
      <c r="H13" s="187">
        <v>201611</v>
      </c>
      <c r="I13" s="361">
        <v>-2030.92</v>
      </c>
      <c r="J13" s="183">
        <v>0</v>
      </c>
      <c r="K13" s="362">
        <v>2.23333E-3</v>
      </c>
      <c r="L13" s="363">
        <f t="shared" si="0"/>
        <v>0</v>
      </c>
      <c r="M13" s="363">
        <f t="shared" si="1"/>
        <v>-54.43</v>
      </c>
    </row>
    <row r="14" spans="1:13">
      <c r="A14" s="187" t="s">
        <v>21</v>
      </c>
      <c r="B14" s="187" t="s">
        <v>2083</v>
      </c>
      <c r="C14" s="187" t="s">
        <v>1681</v>
      </c>
      <c r="D14" s="187" t="s">
        <v>2084</v>
      </c>
      <c r="E14" s="187" t="s">
        <v>75</v>
      </c>
      <c r="F14" s="187" t="s">
        <v>1602</v>
      </c>
      <c r="G14" s="187" t="s">
        <v>2127</v>
      </c>
      <c r="H14" s="187">
        <v>201611</v>
      </c>
      <c r="I14" s="361">
        <v>-1671.28</v>
      </c>
      <c r="J14" s="183">
        <v>0</v>
      </c>
      <c r="K14" s="362">
        <v>1.4833299999999999E-3</v>
      </c>
      <c r="L14" s="363">
        <f t="shared" si="0"/>
        <v>0</v>
      </c>
      <c r="M14" s="363">
        <f t="shared" si="1"/>
        <v>-29.75</v>
      </c>
    </row>
    <row r="15" spans="1:13">
      <c r="A15" s="187" t="s">
        <v>21</v>
      </c>
      <c r="B15" s="187" t="s">
        <v>2107</v>
      </c>
      <c r="C15" s="187" t="s">
        <v>1681</v>
      </c>
      <c r="D15" s="187" t="s">
        <v>2108</v>
      </c>
      <c r="E15" s="187" t="s">
        <v>209</v>
      </c>
      <c r="F15" s="187" t="s">
        <v>1612</v>
      </c>
      <c r="G15" s="187" t="s">
        <v>2127</v>
      </c>
      <c r="H15" s="187">
        <v>201611</v>
      </c>
      <c r="I15" s="361">
        <v>-1668.64</v>
      </c>
      <c r="J15" s="183">
        <v>0</v>
      </c>
      <c r="K15" s="362">
        <v>1.4833299999999999E-3</v>
      </c>
      <c r="L15" s="363">
        <f t="shared" si="0"/>
        <v>0</v>
      </c>
      <c r="M15" s="363">
        <f t="shared" si="1"/>
        <v>-29.7</v>
      </c>
    </row>
    <row r="16" spans="1:13">
      <c r="A16" s="187" t="s">
        <v>21</v>
      </c>
      <c r="B16" s="187" t="s">
        <v>2105</v>
      </c>
      <c r="C16" s="187" t="s">
        <v>1681</v>
      </c>
      <c r="D16" s="187" t="s">
        <v>2106</v>
      </c>
      <c r="E16" s="187" t="s">
        <v>75</v>
      </c>
      <c r="F16" s="187" t="s">
        <v>1602</v>
      </c>
      <c r="G16" s="187" t="s">
        <v>2127</v>
      </c>
      <c r="H16" s="187">
        <v>201611</v>
      </c>
      <c r="I16" s="361">
        <v>-1525.86</v>
      </c>
      <c r="J16" s="183">
        <v>0</v>
      </c>
      <c r="K16" s="362">
        <v>1.4833299999999999E-3</v>
      </c>
      <c r="L16" s="363">
        <f t="shared" si="0"/>
        <v>0</v>
      </c>
      <c r="M16" s="363">
        <f t="shared" si="1"/>
        <v>-27.16</v>
      </c>
    </row>
    <row r="17" spans="1:13">
      <c r="A17" s="187" t="s">
        <v>21</v>
      </c>
      <c r="B17" s="187" t="s">
        <v>2087</v>
      </c>
      <c r="C17" s="187" t="s">
        <v>1681</v>
      </c>
      <c r="D17" s="187" t="s">
        <v>2088</v>
      </c>
      <c r="E17" s="187" t="s">
        <v>164</v>
      </c>
      <c r="F17" s="187" t="s">
        <v>1600</v>
      </c>
      <c r="G17" s="187" t="s">
        <v>2127</v>
      </c>
      <c r="H17" s="187">
        <v>201611</v>
      </c>
      <c r="I17" s="361">
        <v>-1431.02</v>
      </c>
      <c r="J17" s="183">
        <v>0</v>
      </c>
      <c r="K17" s="362">
        <v>1.4833299999999999E-3</v>
      </c>
      <c r="L17" s="363">
        <f t="shared" si="0"/>
        <v>0</v>
      </c>
      <c r="M17" s="363">
        <f t="shared" si="1"/>
        <v>-25.47</v>
      </c>
    </row>
    <row r="18" spans="1:13">
      <c r="A18" s="187" t="s">
        <v>626</v>
      </c>
      <c r="B18" s="187" t="s">
        <v>2083</v>
      </c>
      <c r="C18" s="187" t="s">
        <v>1681</v>
      </c>
      <c r="D18" s="187" t="s">
        <v>2084</v>
      </c>
      <c r="E18" s="187" t="s">
        <v>75</v>
      </c>
      <c r="F18" s="187" t="s">
        <v>1602</v>
      </c>
      <c r="G18" s="187" t="s">
        <v>2127</v>
      </c>
      <c r="H18" s="187">
        <v>201611</v>
      </c>
      <c r="I18" s="361">
        <v>-1117.3599999999999</v>
      </c>
      <c r="J18" s="183">
        <v>0</v>
      </c>
      <c r="K18" s="362">
        <v>1.4833299999999999E-3</v>
      </c>
      <c r="L18" s="363">
        <f t="shared" si="0"/>
        <v>0</v>
      </c>
      <c r="M18" s="363">
        <f t="shared" si="1"/>
        <v>-19.89</v>
      </c>
    </row>
    <row r="19" spans="1:13">
      <c r="A19" s="187" t="s">
        <v>14</v>
      </c>
      <c r="B19" s="187" t="s">
        <v>2087</v>
      </c>
      <c r="C19" s="187" t="s">
        <v>1681</v>
      </c>
      <c r="D19" s="187" t="s">
        <v>2088</v>
      </c>
      <c r="E19" s="187" t="s">
        <v>164</v>
      </c>
      <c r="F19" s="187" t="s">
        <v>1600</v>
      </c>
      <c r="G19" s="187" t="s">
        <v>2127</v>
      </c>
      <c r="H19" s="187">
        <v>201611</v>
      </c>
      <c r="I19" s="361">
        <v>-768.45</v>
      </c>
      <c r="J19" s="183">
        <v>0</v>
      </c>
      <c r="K19" s="362">
        <v>2.23333E-3</v>
      </c>
      <c r="L19" s="363">
        <f t="shared" si="0"/>
        <v>0</v>
      </c>
      <c r="M19" s="363">
        <f t="shared" si="1"/>
        <v>-20.59</v>
      </c>
    </row>
    <row r="20" spans="1:13">
      <c r="A20" s="187" t="s">
        <v>1942</v>
      </c>
      <c r="B20" s="187" t="s">
        <v>2131</v>
      </c>
      <c r="C20" s="187" t="s">
        <v>1681</v>
      </c>
      <c r="D20" s="187" t="s">
        <v>2132</v>
      </c>
      <c r="E20" s="187" t="s">
        <v>198</v>
      </c>
      <c r="F20" s="187" t="s">
        <v>1610</v>
      </c>
      <c r="G20" s="187" t="s">
        <v>2127</v>
      </c>
      <c r="H20" s="187">
        <v>201611</v>
      </c>
      <c r="I20" s="361">
        <v>-748.95</v>
      </c>
      <c r="J20" s="183">
        <v>0</v>
      </c>
      <c r="K20" s="362">
        <v>2.23333E-3</v>
      </c>
      <c r="L20" s="363">
        <f t="shared" si="0"/>
        <v>0</v>
      </c>
      <c r="M20" s="363">
        <f t="shared" si="1"/>
        <v>-20.07</v>
      </c>
    </row>
    <row r="21" spans="1:13">
      <c r="A21" s="187" t="s">
        <v>14</v>
      </c>
      <c r="B21" s="187" t="s">
        <v>2015</v>
      </c>
      <c r="C21" s="187" t="s">
        <v>1681</v>
      </c>
      <c r="D21" s="187" t="s">
        <v>2016</v>
      </c>
      <c r="E21" s="187" t="s">
        <v>164</v>
      </c>
      <c r="F21" s="187" t="s">
        <v>1600</v>
      </c>
      <c r="G21" s="187" t="s">
        <v>2127</v>
      </c>
      <c r="H21" s="187">
        <v>201611</v>
      </c>
      <c r="I21" s="361">
        <v>-741.69</v>
      </c>
      <c r="J21" s="183">
        <v>0</v>
      </c>
      <c r="K21" s="362">
        <v>2.23333E-3</v>
      </c>
      <c r="L21" s="363">
        <f t="shared" si="0"/>
        <v>0</v>
      </c>
      <c r="M21" s="363">
        <f t="shared" si="1"/>
        <v>-19.88</v>
      </c>
    </row>
    <row r="22" spans="1:13">
      <c r="A22" s="187" t="s">
        <v>14</v>
      </c>
      <c r="B22" s="187" t="s">
        <v>201</v>
      </c>
      <c r="C22" s="187" t="s">
        <v>200</v>
      </c>
      <c r="D22" s="187" t="s">
        <v>1675</v>
      </c>
      <c r="E22" s="187" t="s">
        <v>202</v>
      </c>
      <c r="F22" s="187" t="s">
        <v>1611</v>
      </c>
      <c r="G22" s="187" t="s">
        <v>2127</v>
      </c>
      <c r="H22" s="187">
        <v>201611</v>
      </c>
      <c r="I22" s="361">
        <v>-636.54</v>
      </c>
      <c r="J22" s="183">
        <v>0</v>
      </c>
      <c r="K22" s="362">
        <v>2.23333E-3</v>
      </c>
      <c r="L22" s="363">
        <f t="shared" si="0"/>
        <v>0</v>
      </c>
      <c r="M22" s="363">
        <f t="shared" si="1"/>
        <v>-17.059999999999999</v>
      </c>
    </row>
    <row r="23" spans="1:13">
      <c r="A23" s="187" t="s">
        <v>14</v>
      </c>
      <c r="B23" s="187" t="s">
        <v>2003</v>
      </c>
      <c r="C23" s="187" t="s">
        <v>1681</v>
      </c>
      <c r="D23" s="187" t="s">
        <v>2004</v>
      </c>
      <c r="E23" s="187" t="s">
        <v>164</v>
      </c>
      <c r="F23" s="187" t="s">
        <v>1600</v>
      </c>
      <c r="G23" s="187" t="s">
        <v>2127</v>
      </c>
      <c r="H23" s="187">
        <v>201611</v>
      </c>
      <c r="I23" s="361">
        <v>-588</v>
      </c>
      <c r="J23" s="183">
        <v>0</v>
      </c>
      <c r="K23" s="362">
        <v>2.23333E-3</v>
      </c>
      <c r="L23" s="363">
        <f t="shared" si="0"/>
        <v>0</v>
      </c>
      <c r="M23" s="363">
        <f t="shared" si="1"/>
        <v>-15.76</v>
      </c>
    </row>
    <row r="24" spans="1:13">
      <c r="A24" s="187" t="s">
        <v>14</v>
      </c>
      <c r="B24" s="187" t="s">
        <v>2073</v>
      </c>
      <c r="C24" s="187" t="s">
        <v>1681</v>
      </c>
      <c r="D24" s="187" t="s">
        <v>2074</v>
      </c>
      <c r="E24" s="187" t="s">
        <v>164</v>
      </c>
      <c r="F24" s="187" t="s">
        <v>1600</v>
      </c>
      <c r="G24" s="187" t="s">
        <v>2127</v>
      </c>
      <c r="H24" s="187">
        <v>201611</v>
      </c>
      <c r="I24" s="361">
        <v>-587.94000000000005</v>
      </c>
      <c r="J24" s="183">
        <v>0</v>
      </c>
      <c r="K24" s="362">
        <v>2.23333E-3</v>
      </c>
      <c r="L24" s="363">
        <f t="shared" si="0"/>
        <v>0</v>
      </c>
      <c r="M24" s="363">
        <f t="shared" si="1"/>
        <v>-15.76</v>
      </c>
    </row>
    <row r="25" spans="1:13">
      <c r="A25" s="187" t="s">
        <v>554</v>
      </c>
      <c r="B25" s="187" t="s">
        <v>2003</v>
      </c>
      <c r="C25" s="187" t="s">
        <v>1681</v>
      </c>
      <c r="D25" s="187" t="s">
        <v>2004</v>
      </c>
      <c r="E25" s="187" t="s">
        <v>164</v>
      </c>
      <c r="F25" s="187" t="s">
        <v>1600</v>
      </c>
      <c r="G25" s="187" t="s">
        <v>2127</v>
      </c>
      <c r="H25" s="187">
        <v>201611</v>
      </c>
      <c r="I25" s="361">
        <v>-247.97</v>
      </c>
      <c r="J25" s="183">
        <v>0</v>
      </c>
      <c r="K25" s="362">
        <v>1.4833299999999999E-3</v>
      </c>
      <c r="L25" s="363">
        <f t="shared" si="0"/>
        <v>0</v>
      </c>
      <c r="M25" s="363">
        <f t="shared" si="1"/>
        <v>-4.41</v>
      </c>
    </row>
    <row r="26" spans="1:13">
      <c r="A26" s="187" t="s">
        <v>1942</v>
      </c>
      <c r="B26" s="187" t="s">
        <v>201</v>
      </c>
      <c r="C26" s="187" t="s">
        <v>200</v>
      </c>
      <c r="D26" s="187" t="s">
        <v>1675</v>
      </c>
      <c r="E26" s="187" t="s">
        <v>202</v>
      </c>
      <c r="F26" s="187" t="s">
        <v>1611</v>
      </c>
      <c r="G26" s="187" t="s">
        <v>2127</v>
      </c>
      <c r="H26" s="187">
        <v>201611</v>
      </c>
      <c r="I26" s="361">
        <v>-242.37</v>
      </c>
      <c r="J26" s="183">
        <v>0</v>
      </c>
      <c r="K26" s="362">
        <v>2.23333E-3</v>
      </c>
      <c r="L26" s="363">
        <f t="shared" si="0"/>
        <v>0</v>
      </c>
      <c r="M26" s="363">
        <f t="shared" si="1"/>
        <v>-6.5</v>
      </c>
    </row>
    <row r="27" spans="1:13">
      <c r="A27" s="187" t="s">
        <v>554</v>
      </c>
      <c r="B27" s="187" t="s">
        <v>2015</v>
      </c>
      <c r="C27" s="187" t="s">
        <v>1681</v>
      </c>
      <c r="D27" s="187" t="s">
        <v>2016</v>
      </c>
      <c r="E27" s="187" t="s">
        <v>164</v>
      </c>
      <c r="F27" s="187" t="s">
        <v>1600</v>
      </c>
      <c r="G27" s="187" t="s">
        <v>2127</v>
      </c>
      <c r="H27" s="187">
        <v>201611</v>
      </c>
      <c r="I27" s="361">
        <v>-186.6</v>
      </c>
      <c r="J27" s="183">
        <v>0</v>
      </c>
      <c r="K27" s="362">
        <v>1.4833299999999999E-3</v>
      </c>
      <c r="L27" s="363">
        <f t="shared" si="0"/>
        <v>0</v>
      </c>
      <c r="M27" s="363">
        <f t="shared" si="1"/>
        <v>-3.32</v>
      </c>
    </row>
    <row r="28" spans="1:13">
      <c r="A28" s="187" t="s">
        <v>554</v>
      </c>
      <c r="B28" s="187" t="s">
        <v>2087</v>
      </c>
      <c r="C28" s="187" t="s">
        <v>1681</v>
      </c>
      <c r="D28" s="187" t="s">
        <v>2088</v>
      </c>
      <c r="E28" s="187" t="s">
        <v>164</v>
      </c>
      <c r="F28" s="187" t="s">
        <v>1600</v>
      </c>
      <c r="G28" s="187" t="s">
        <v>2127</v>
      </c>
      <c r="H28" s="187">
        <v>201611</v>
      </c>
      <c r="I28" s="361">
        <v>-135.80000000000001</v>
      </c>
      <c r="J28" s="183">
        <v>0</v>
      </c>
      <c r="K28" s="362">
        <v>1.4833299999999999E-3</v>
      </c>
      <c r="L28" s="363">
        <f t="shared" si="0"/>
        <v>0</v>
      </c>
      <c r="M28" s="363">
        <f t="shared" si="1"/>
        <v>-2.42</v>
      </c>
    </row>
    <row r="29" spans="1:13">
      <c r="A29" s="187" t="s">
        <v>1942</v>
      </c>
      <c r="B29" s="187" t="s">
        <v>2133</v>
      </c>
      <c r="C29" s="187" t="s">
        <v>1681</v>
      </c>
      <c r="D29" s="187" t="s">
        <v>2134</v>
      </c>
      <c r="E29" s="187" t="s">
        <v>202</v>
      </c>
      <c r="F29" s="187" t="s">
        <v>1611</v>
      </c>
      <c r="G29" s="187" t="s">
        <v>2127</v>
      </c>
      <c r="H29" s="187">
        <v>201611</v>
      </c>
      <c r="I29" s="361">
        <v>-53.91</v>
      </c>
      <c r="J29" s="183">
        <v>0</v>
      </c>
      <c r="K29" s="362">
        <v>2.23333E-3</v>
      </c>
      <c r="L29" s="363">
        <f t="shared" si="0"/>
        <v>0</v>
      </c>
      <c r="M29" s="363">
        <f t="shared" si="1"/>
        <v>-1.44</v>
      </c>
    </row>
    <row r="30" spans="1:13">
      <c r="A30" s="187" t="s">
        <v>1942</v>
      </c>
      <c r="B30" s="187" t="s">
        <v>2135</v>
      </c>
      <c r="C30" s="187" t="s">
        <v>1681</v>
      </c>
      <c r="D30" s="187" t="s">
        <v>2136</v>
      </c>
      <c r="E30" s="187" t="s">
        <v>294</v>
      </c>
      <c r="F30" s="187" t="s">
        <v>1613</v>
      </c>
      <c r="G30" s="187" t="s">
        <v>2127</v>
      </c>
      <c r="H30" s="187">
        <v>201611</v>
      </c>
      <c r="I30" s="361">
        <v>-36.47</v>
      </c>
      <c r="J30" s="183">
        <v>0</v>
      </c>
      <c r="K30" s="362">
        <v>2.23333E-3</v>
      </c>
      <c r="L30" s="363">
        <f t="shared" si="0"/>
        <v>0</v>
      </c>
      <c r="M30" s="363">
        <f t="shared" si="1"/>
        <v>-0.98</v>
      </c>
    </row>
    <row r="31" spans="1:13">
      <c r="A31" s="187" t="s">
        <v>554</v>
      </c>
      <c r="B31" s="187" t="s">
        <v>2073</v>
      </c>
      <c r="C31" s="187" t="s">
        <v>1681</v>
      </c>
      <c r="D31" s="187" t="s">
        <v>2074</v>
      </c>
      <c r="E31" s="187" t="s">
        <v>164</v>
      </c>
      <c r="F31" s="187" t="s">
        <v>1600</v>
      </c>
      <c r="G31" s="187" t="s">
        <v>2127</v>
      </c>
      <c r="H31" s="187">
        <v>201611</v>
      </c>
      <c r="I31" s="361">
        <v>-34.79</v>
      </c>
      <c r="J31" s="183">
        <v>0</v>
      </c>
      <c r="K31" s="362">
        <v>1.4833299999999999E-3</v>
      </c>
      <c r="L31" s="363">
        <f t="shared" si="0"/>
        <v>0</v>
      </c>
      <c r="M31" s="363">
        <f t="shared" si="1"/>
        <v>-0.62</v>
      </c>
    </row>
    <row r="32" spans="1:13">
      <c r="A32" s="187" t="s">
        <v>1942</v>
      </c>
      <c r="B32" s="187" t="s">
        <v>2083</v>
      </c>
      <c r="C32" s="187" t="s">
        <v>1681</v>
      </c>
      <c r="D32" s="187" t="s">
        <v>2084</v>
      </c>
      <c r="E32" s="187" t="s">
        <v>75</v>
      </c>
      <c r="F32" s="187" t="s">
        <v>1602</v>
      </c>
      <c r="G32" s="187" t="s">
        <v>2127</v>
      </c>
      <c r="H32" s="187">
        <v>201611</v>
      </c>
      <c r="I32" s="361">
        <v>-26.67</v>
      </c>
      <c r="J32" s="183">
        <v>0</v>
      </c>
      <c r="K32" s="362">
        <v>2.23333E-3</v>
      </c>
      <c r="L32" s="363">
        <f t="shared" si="0"/>
        <v>0</v>
      </c>
      <c r="M32" s="363">
        <f t="shared" si="1"/>
        <v>-0.71</v>
      </c>
    </row>
    <row r="33" spans="1:13">
      <c r="A33" s="187" t="s">
        <v>1942</v>
      </c>
      <c r="B33" s="187" t="s">
        <v>2105</v>
      </c>
      <c r="C33" s="187" t="s">
        <v>1681</v>
      </c>
      <c r="D33" s="187" t="s">
        <v>2106</v>
      </c>
      <c r="E33" s="187" t="s">
        <v>75</v>
      </c>
      <c r="F33" s="187" t="s">
        <v>1602</v>
      </c>
      <c r="G33" s="187" t="s">
        <v>2127</v>
      </c>
      <c r="H33" s="187">
        <v>201611</v>
      </c>
      <c r="I33" s="361">
        <v>-5.05</v>
      </c>
      <c r="J33" s="183">
        <v>0</v>
      </c>
      <c r="K33" s="362">
        <v>2.23333E-3</v>
      </c>
      <c r="L33" s="363">
        <f t="shared" si="0"/>
        <v>0</v>
      </c>
      <c r="M33" s="363">
        <f t="shared" si="1"/>
        <v>-0.14000000000000001</v>
      </c>
    </row>
    <row r="34" spans="1:13">
      <c r="A34" s="187" t="s">
        <v>14</v>
      </c>
      <c r="B34" s="187" t="s">
        <v>2131</v>
      </c>
      <c r="C34" s="187" t="s">
        <v>1681</v>
      </c>
      <c r="D34" s="187" t="s">
        <v>2132</v>
      </c>
      <c r="E34" s="187" t="s">
        <v>198</v>
      </c>
      <c r="F34" s="187" t="s">
        <v>1610</v>
      </c>
      <c r="G34" s="187" t="s">
        <v>2127</v>
      </c>
      <c r="H34" s="187">
        <v>201612</v>
      </c>
      <c r="I34" s="361">
        <v>-12201.81</v>
      </c>
      <c r="J34" s="183">
        <v>0</v>
      </c>
      <c r="K34" s="362">
        <v>2.23333E-3</v>
      </c>
      <c r="L34" s="363">
        <f t="shared" si="0"/>
        <v>0</v>
      </c>
      <c r="M34" s="363">
        <f t="shared" si="1"/>
        <v>-327.01</v>
      </c>
    </row>
    <row r="35" spans="1:13">
      <c r="A35" s="187" t="s">
        <v>14</v>
      </c>
      <c r="B35" s="187" t="s">
        <v>2135</v>
      </c>
      <c r="C35" s="187" t="s">
        <v>1681</v>
      </c>
      <c r="D35" s="187" t="s">
        <v>2136</v>
      </c>
      <c r="E35" s="187" t="s">
        <v>294</v>
      </c>
      <c r="F35" s="187" t="s">
        <v>1613</v>
      </c>
      <c r="G35" s="187" t="s">
        <v>2127</v>
      </c>
      <c r="H35" s="187">
        <v>201612</v>
      </c>
      <c r="I35" s="361">
        <v>-12169.32</v>
      </c>
      <c r="J35" s="183">
        <v>0</v>
      </c>
      <c r="K35" s="362">
        <v>2.23333E-3</v>
      </c>
      <c r="L35" s="363">
        <f t="shared" si="0"/>
        <v>0</v>
      </c>
      <c r="M35" s="363">
        <f t="shared" si="1"/>
        <v>-326.14</v>
      </c>
    </row>
    <row r="36" spans="1:13">
      <c r="A36" s="187" t="s">
        <v>14</v>
      </c>
      <c r="B36" s="187" t="s">
        <v>2133</v>
      </c>
      <c r="C36" s="187" t="s">
        <v>1681</v>
      </c>
      <c r="D36" s="187" t="s">
        <v>2134</v>
      </c>
      <c r="E36" s="187" t="s">
        <v>202</v>
      </c>
      <c r="F36" s="187" t="s">
        <v>1611</v>
      </c>
      <c r="G36" s="187" t="s">
        <v>2127</v>
      </c>
      <c r="H36" s="187">
        <v>201612</v>
      </c>
      <c r="I36" s="361">
        <v>-10866.66</v>
      </c>
      <c r="J36" s="183">
        <v>0</v>
      </c>
      <c r="K36" s="362">
        <v>2.23333E-3</v>
      </c>
      <c r="L36" s="363">
        <f t="shared" si="0"/>
        <v>0</v>
      </c>
      <c r="M36" s="363">
        <f t="shared" si="1"/>
        <v>-291.23</v>
      </c>
    </row>
    <row r="37" spans="1:13">
      <c r="A37" s="187" t="s">
        <v>14</v>
      </c>
      <c r="B37" s="187" t="s">
        <v>1999</v>
      </c>
      <c r="C37" s="187" t="s">
        <v>1681</v>
      </c>
      <c r="D37" s="187" t="s">
        <v>2000</v>
      </c>
      <c r="E37" s="187" t="s">
        <v>75</v>
      </c>
      <c r="F37" s="187" t="s">
        <v>1602</v>
      </c>
      <c r="G37" s="187" t="s">
        <v>2127</v>
      </c>
      <c r="H37" s="187">
        <v>201612</v>
      </c>
      <c r="I37" s="361">
        <v>-7772.8</v>
      </c>
      <c r="J37" s="183">
        <v>0</v>
      </c>
      <c r="K37" s="362">
        <v>2.23333E-3</v>
      </c>
      <c r="L37" s="363">
        <f t="shared" si="0"/>
        <v>0</v>
      </c>
      <c r="M37" s="363">
        <f t="shared" si="1"/>
        <v>-208.31</v>
      </c>
    </row>
    <row r="38" spans="1:13">
      <c r="A38" s="187" t="s">
        <v>1942</v>
      </c>
      <c r="B38" s="187" t="s">
        <v>196</v>
      </c>
      <c r="C38" s="187" t="s">
        <v>195</v>
      </c>
      <c r="D38" s="187" t="s">
        <v>1674</v>
      </c>
      <c r="E38" s="187" t="s">
        <v>198</v>
      </c>
      <c r="F38" s="187" t="s">
        <v>1610</v>
      </c>
      <c r="G38" s="187" t="s">
        <v>2127</v>
      </c>
      <c r="H38" s="187">
        <v>201612</v>
      </c>
      <c r="I38" s="361">
        <v>-4032.8</v>
      </c>
      <c r="J38" s="183">
        <v>0</v>
      </c>
      <c r="K38" s="362">
        <v>2.23333E-3</v>
      </c>
      <c r="L38" s="363">
        <f t="shared" si="0"/>
        <v>0</v>
      </c>
      <c r="M38" s="363">
        <f t="shared" si="1"/>
        <v>-108.08</v>
      </c>
    </row>
    <row r="39" spans="1:13">
      <c r="A39" s="187" t="s">
        <v>14</v>
      </c>
      <c r="B39" s="187" t="s">
        <v>293</v>
      </c>
      <c r="C39" s="187" t="s">
        <v>292</v>
      </c>
      <c r="D39" s="187" t="s">
        <v>1679</v>
      </c>
      <c r="E39" s="187" t="s">
        <v>294</v>
      </c>
      <c r="F39" s="187" t="s">
        <v>1613</v>
      </c>
      <c r="G39" s="187" t="s">
        <v>2127</v>
      </c>
      <c r="H39" s="187">
        <v>201612</v>
      </c>
      <c r="I39" s="361">
        <v>-3713.71</v>
      </c>
      <c r="J39" s="183">
        <v>0</v>
      </c>
      <c r="K39" s="362">
        <v>2.23333E-3</v>
      </c>
      <c r="L39" s="363">
        <f t="shared" si="0"/>
        <v>0</v>
      </c>
      <c r="M39" s="363">
        <f t="shared" si="1"/>
        <v>-99.53</v>
      </c>
    </row>
    <row r="40" spans="1:13">
      <c r="A40" s="187" t="s">
        <v>14</v>
      </c>
      <c r="B40" s="187" t="s">
        <v>201</v>
      </c>
      <c r="C40" s="187" t="s">
        <v>200</v>
      </c>
      <c r="D40" s="187" t="s">
        <v>1675</v>
      </c>
      <c r="E40" s="187" t="s">
        <v>202</v>
      </c>
      <c r="F40" s="187" t="s">
        <v>1611</v>
      </c>
      <c r="G40" s="187" t="s">
        <v>2127</v>
      </c>
      <c r="H40" s="187">
        <v>201612</v>
      </c>
      <c r="I40" s="361">
        <v>-3361.19</v>
      </c>
      <c r="J40" s="183">
        <v>0</v>
      </c>
      <c r="K40" s="362">
        <v>2.23333E-3</v>
      </c>
      <c r="L40" s="363">
        <f t="shared" si="0"/>
        <v>0</v>
      </c>
      <c r="M40" s="363">
        <f t="shared" si="1"/>
        <v>-90.08</v>
      </c>
    </row>
    <row r="41" spans="1:13">
      <c r="A41" s="187" t="s">
        <v>21</v>
      </c>
      <c r="B41" s="187" t="s">
        <v>1999</v>
      </c>
      <c r="C41" s="187" t="s">
        <v>1681</v>
      </c>
      <c r="D41" s="187" t="s">
        <v>2000</v>
      </c>
      <c r="E41" s="187" t="s">
        <v>75</v>
      </c>
      <c r="F41" s="187" t="s">
        <v>1602</v>
      </c>
      <c r="G41" s="187" t="s">
        <v>2127</v>
      </c>
      <c r="H41" s="187">
        <v>201612</v>
      </c>
      <c r="I41" s="361">
        <v>-2800.91</v>
      </c>
      <c r="J41" s="183">
        <v>0</v>
      </c>
      <c r="K41" s="362">
        <v>1.4833299999999999E-3</v>
      </c>
      <c r="L41" s="363">
        <f t="shared" si="0"/>
        <v>0</v>
      </c>
      <c r="M41" s="363">
        <f t="shared" si="1"/>
        <v>-49.86</v>
      </c>
    </row>
    <row r="42" spans="1:13">
      <c r="A42" s="187" t="s">
        <v>1942</v>
      </c>
      <c r="B42" s="187" t="s">
        <v>201</v>
      </c>
      <c r="C42" s="187" t="s">
        <v>200</v>
      </c>
      <c r="D42" s="187" t="s">
        <v>1675</v>
      </c>
      <c r="E42" s="187" t="s">
        <v>202</v>
      </c>
      <c r="F42" s="187" t="s">
        <v>1611</v>
      </c>
      <c r="G42" s="187" t="s">
        <v>2127</v>
      </c>
      <c r="H42" s="187">
        <v>201612</v>
      </c>
      <c r="I42" s="361">
        <v>-1028.5899999999999</v>
      </c>
      <c r="J42" s="183">
        <v>0</v>
      </c>
      <c r="K42" s="362">
        <v>2.23333E-3</v>
      </c>
      <c r="L42" s="363">
        <f t="shared" si="0"/>
        <v>0</v>
      </c>
      <c r="M42" s="363">
        <f t="shared" si="1"/>
        <v>-27.57</v>
      </c>
    </row>
    <row r="43" spans="1:13">
      <c r="A43" s="187" t="s">
        <v>14</v>
      </c>
      <c r="B43" s="187" t="s">
        <v>196</v>
      </c>
      <c r="C43" s="187" t="s">
        <v>195</v>
      </c>
      <c r="D43" s="187" t="s">
        <v>1674</v>
      </c>
      <c r="E43" s="187" t="s">
        <v>198</v>
      </c>
      <c r="F43" s="187" t="s">
        <v>1610</v>
      </c>
      <c r="G43" s="187" t="s">
        <v>2127</v>
      </c>
      <c r="H43" s="187">
        <v>201612</v>
      </c>
      <c r="I43" s="361">
        <v>-470.63</v>
      </c>
      <c r="J43" s="183">
        <v>0</v>
      </c>
      <c r="K43" s="362">
        <v>2.23333E-3</v>
      </c>
      <c r="L43" s="363">
        <f t="shared" si="0"/>
        <v>0</v>
      </c>
      <c r="M43" s="363">
        <f t="shared" si="1"/>
        <v>-12.61</v>
      </c>
    </row>
    <row r="44" spans="1:13">
      <c r="A44" s="187" t="s">
        <v>1942</v>
      </c>
      <c r="B44" s="187" t="s">
        <v>2135</v>
      </c>
      <c r="C44" s="187" t="s">
        <v>1681</v>
      </c>
      <c r="D44" s="187" t="s">
        <v>2136</v>
      </c>
      <c r="E44" s="187" t="s">
        <v>294</v>
      </c>
      <c r="F44" s="187" t="s">
        <v>1613</v>
      </c>
      <c r="G44" s="187" t="s">
        <v>2127</v>
      </c>
      <c r="H44" s="187">
        <v>201612</v>
      </c>
      <c r="I44" s="361">
        <v>-452.18</v>
      </c>
      <c r="J44" s="183">
        <v>0</v>
      </c>
      <c r="K44" s="362">
        <v>2.23333E-3</v>
      </c>
      <c r="L44" s="363">
        <f t="shared" si="0"/>
        <v>0</v>
      </c>
      <c r="M44" s="363">
        <f t="shared" si="1"/>
        <v>-12.12</v>
      </c>
    </row>
    <row r="45" spans="1:13">
      <c r="A45" s="187" t="s">
        <v>1942</v>
      </c>
      <c r="B45" s="187" t="s">
        <v>1999</v>
      </c>
      <c r="C45" s="187" t="s">
        <v>1681</v>
      </c>
      <c r="D45" s="187" t="s">
        <v>2000</v>
      </c>
      <c r="E45" s="187" t="s">
        <v>75</v>
      </c>
      <c r="F45" s="187" t="s">
        <v>1602</v>
      </c>
      <c r="G45" s="187" t="s">
        <v>2127</v>
      </c>
      <c r="H45" s="187">
        <v>201612</v>
      </c>
      <c r="I45" s="361">
        <v>-235.25</v>
      </c>
      <c r="J45" s="183">
        <v>0</v>
      </c>
      <c r="K45" s="362">
        <v>2.23333E-3</v>
      </c>
      <c r="L45" s="363">
        <f t="shared" si="0"/>
        <v>0</v>
      </c>
      <c r="M45" s="363">
        <f t="shared" si="1"/>
        <v>-6.3</v>
      </c>
    </row>
    <row r="46" spans="1:13">
      <c r="A46" s="187" t="s">
        <v>1942</v>
      </c>
      <c r="B46" s="187" t="s">
        <v>2133</v>
      </c>
      <c r="C46" s="187" t="s">
        <v>1681</v>
      </c>
      <c r="D46" s="187" t="s">
        <v>2134</v>
      </c>
      <c r="E46" s="187" t="s">
        <v>202</v>
      </c>
      <c r="F46" s="187" t="s">
        <v>1611</v>
      </c>
      <c r="G46" s="187" t="s">
        <v>2127</v>
      </c>
      <c r="H46" s="187">
        <v>201612</v>
      </c>
      <c r="I46" s="361">
        <v>-77.930000000000007</v>
      </c>
      <c r="J46" s="183">
        <v>0</v>
      </c>
      <c r="K46" s="362">
        <v>2.23333E-3</v>
      </c>
      <c r="L46" s="363">
        <f t="shared" si="0"/>
        <v>0</v>
      </c>
      <c r="M46" s="363">
        <f t="shared" si="1"/>
        <v>-2.09</v>
      </c>
    </row>
    <row r="47" spans="1:13">
      <c r="A47" s="187" t="s">
        <v>554</v>
      </c>
      <c r="B47" s="187" t="s">
        <v>2095</v>
      </c>
      <c r="C47" s="187" t="s">
        <v>1681</v>
      </c>
      <c r="D47" s="187" t="s">
        <v>2096</v>
      </c>
      <c r="E47" s="187" t="s">
        <v>164</v>
      </c>
      <c r="F47" s="187" t="s">
        <v>1600</v>
      </c>
      <c r="G47" s="187" t="s">
        <v>2127</v>
      </c>
      <c r="H47" s="187">
        <v>201612</v>
      </c>
      <c r="I47" s="361">
        <v>-52.58</v>
      </c>
      <c r="J47" s="183">
        <v>0</v>
      </c>
      <c r="K47" s="362">
        <v>1.4833299999999999E-3</v>
      </c>
      <c r="L47" s="363">
        <f t="shared" si="0"/>
        <v>0</v>
      </c>
      <c r="M47" s="363">
        <f t="shared" si="1"/>
        <v>-0.94</v>
      </c>
    </row>
    <row r="48" spans="1:13">
      <c r="A48" s="187" t="s">
        <v>1942</v>
      </c>
      <c r="B48" s="187" t="s">
        <v>2095</v>
      </c>
      <c r="C48" s="187" t="s">
        <v>1681</v>
      </c>
      <c r="D48" s="187" t="s">
        <v>2096</v>
      </c>
      <c r="E48" s="187" t="s">
        <v>164</v>
      </c>
      <c r="F48" s="187" t="s">
        <v>1600</v>
      </c>
      <c r="G48" s="187" t="s">
        <v>2127</v>
      </c>
      <c r="H48" s="187">
        <v>201612</v>
      </c>
      <c r="I48" s="361">
        <v>-48.57</v>
      </c>
      <c r="J48" s="183">
        <v>0</v>
      </c>
      <c r="K48" s="362">
        <v>2.23333E-3</v>
      </c>
      <c r="L48" s="363">
        <f t="shared" si="0"/>
        <v>0</v>
      </c>
      <c r="M48" s="363">
        <f t="shared" si="1"/>
        <v>-1.3</v>
      </c>
    </row>
    <row r="49" spans="1:13">
      <c r="A49" s="187" t="s">
        <v>1942</v>
      </c>
      <c r="B49" s="187" t="s">
        <v>2131</v>
      </c>
      <c r="C49" s="187" t="s">
        <v>1681</v>
      </c>
      <c r="D49" s="187" t="s">
        <v>2132</v>
      </c>
      <c r="E49" s="187" t="s">
        <v>198</v>
      </c>
      <c r="F49" s="187" t="s">
        <v>1610</v>
      </c>
      <c r="G49" s="187" t="s">
        <v>2127</v>
      </c>
      <c r="H49" s="187">
        <v>201612</v>
      </c>
      <c r="I49" s="361">
        <v>-39.24</v>
      </c>
      <c r="J49" s="183">
        <v>0</v>
      </c>
      <c r="K49" s="362">
        <v>2.23333E-3</v>
      </c>
      <c r="L49" s="363">
        <f t="shared" si="0"/>
        <v>0</v>
      </c>
      <c r="M49" s="363">
        <f t="shared" si="1"/>
        <v>-1.05</v>
      </c>
    </row>
    <row r="50" spans="1:13">
      <c r="A50" s="187" t="s">
        <v>21</v>
      </c>
      <c r="B50" s="187" t="s">
        <v>1931</v>
      </c>
      <c r="C50" s="187" t="s">
        <v>1930</v>
      </c>
      <c r="D50" s="187" t="s">
        <v>1932</v>
      </c>
      <c r="E50" s="187" t="s">
        <v>75</v>
      </c>
      <c r="F50" s="187" t="s">
        <v>1602</v>
      </c>
      <c r="G50" s="187" t="s">
        <v>2127</v>
      </c>
      <c r="H50" s="187">
        <v>201701</v>
      </c>
      <c r="I50" s="361">
        <v>-46606.12</v>
      </c>
      <c r="J50" s="183">
        <v>0</v>
      </c>
      <c r="K50" s="362">
        <v>1.4833299999999999E-3</v>
      </c>
      <c r="L50" s="363">
        <f t="shared" si="0"/>
        <v>0</v>
      </c>
      <c r="M50" s="363">
        <f t="shared" si="1"/>
        <v>-829.59</v>
      </c>
    </row>
    <row r="51" spans="1:13">
      <c r="A51" s="187" t="s">
        <v>21</v>
      </c>
      <c r="B51" s="187" t="s">
        <v>2075</v>
      </c>
      <c r="C51" s="187" t="s">
        <v>1681</v>
      </c>
      <c r="D51" s="187" t="s">
        <v>2076</v>
      </c>
      <c r="E51" s="187" t="s">
        <v>75</v>
      </c>
      <c r="F51" s="187" t="s">
        <v>1602</v>
      </c>
      <c r="G51" s="187" t="s">
        <v>2127</v>
      </c>
      <c r="H51" s="187">
        <v>201701</v>
      </c>
      <c r="I51" s="361">
        <v>-18722.47</v>
      </c>
      <c r="J51" s="183">
        <v>0</v>
      </c>
      <c r="K51" s="362">
        <v>1.4833299999999999E-3</v>
      </c>
      <c r="L51" s="363">
        <f t="shared" si="0"/>
        <v>0</v>
      </c>
      <c r="M51" s="363">
        <f t="shared" si="1"/>
        <v>-333.26</v>
      </c>
    </row>
    <row r="52" spans="1:13">
      <c r="A52" s="187" t="s">
        <v>14</v>
      </c>
      <c r="B52" s="187" t="s">
        <v>2135</v>
      </c>
      <c r="C52" s="187" t="s">
        <v>1681</v>
      </c>
      <c r="D52" s="187" t="s">
        <v>2136</v>
      </c>
      <c r="E52" s="187" t="s">
        <v>294</v>
      </c>
      <c r="F52" s="187" t="s">
        <v>1613</v>
      </c>
      <c r="G52" s="187" t="s">
        <v>2127</v>
      </c>
      <c r="H52" s="187">
        <v>201701</v>
      </c>
      <c r="I52" s="361">
        <v>-14613.82</v>
      </c>
      <c r="J52" s="183">
        <v>0</v>
      </c>
      <c r="K52" s="362">
        <v>2.23333E-3</v>
      </c>
      <c r="L52" s="363">
        <f t="shared" si="0"/>
        <v>0</v>
      </c>
      <c r="M52" s="363">
        <f t="shared" si="1"/>
        <v>-391.65</v>
      </c>
    </row>
    <row r="53" spans="1:13">
      <c r="A53" s="187" t="s">
        <v>14</v>
      </c>
      <c r="B53" s="187" t="s">
        <v>2081</v>
      </c>
      <c r="C53" s="187" t="s">
        <v>1681</v>
      </c>
      <c r="D53" s="187" t="s">
        <v>2082</v>
      </c>
      <c r="E53" s="187" t="s">
        <v>75</v>
      </c>
      <c r="F53" s="187" t="s">
        <v>1602</v>
      </c>
      <c r="G53" s="187" t="s">
        <v>2127</v>
      </c>
      <c r="H53" s="187">
        <v>201701</v>
      </c>
      <c r="I53" s="361">
        <v>-12804.79</v>
      </c>
      <c r="J53" s="183">
        <v>0</v>
      </c>
      <c r="K53" s="362">
        <v>2.23333E-3</v>
      </c>
      <c r="L53" s="363">
        <f t="shared" si="0"/>
        <v>0</v>
      </c>
      <c r="M53" s="363">
        <f t="shared" si="1"/>
        <v>-343.17</v>
      </c>
    </row>
    <row r="54" spans="1:13">
      <c r="A54" s="187" t="s">
        <v>14</v>
      </c>
      <c r="B54" s="187" t="s">
        <v>2133</v>
      </c>
      <c r="C54" s="187" t="s">
        <v>1681</v>
      </c>
      <c r="D54" s="187" t="s">
        <v>2134</v>
      </c>
      <c r="E54" s="187" t="s">
        <v>202</v>
      </c>
      <c r="F54" s="187" t="s">
        <v>1611</v>
      </c>
      <c r="G54" s="187" t="s">
        <v>2127</v>
      </c>
      <c r="H54" s="187">
        <v>201701</v>
      </c>
      <c r="I54" s="361">
        <v>-5971.5</v>
      </c>
      <c r="J54" s="183">
        <v>0</v>
      </c>
      <c r="K54" s="362">
        <v>2.23333E-3</v>
      </c>
      <c r="L54" s="363">
        <f t="shared" si="0"/>
        <v>0</v>
      </c>
      <c r="M54" s="363">
        <f t="shared" si="1"/>
        <v>-160.04</v>
      </c>
    </row>
    <row r="55" spans="1:13">
      <c r="A55" s="187" t="s">
        <v>1942</v>
      </c>
      <c r="B55" s="187" t="s">
        <v>196</v>
      </c>
      <c r="C55" s="187" t="s">
        <v>195</v>
      </c>
      <c r="D55" s="187" t="s">
        <v>1674</v>
      </c>
      <c r="E55" s="187" t="s">
        <v>198</v>
      </c>
      <c r="F55" s="187" t="s">
        <v>1610</v>
      </c>
      <c r="G55" s="187" t="s">
        <v>2127</v>
      </c>
      <c r="H55" s="187">
        <v>201701</v>
      </c>
      <c r="I55" s="361">
        <v>-5550.81</v>
      </c>
      <c r="J55" s="183">
        <v>0</v>
      </c>
      <c r="K55" s="362">
        <v>2.23333E-3</v>
      </c>
      <c r="L55" s="363">
        <f t="shared" si="0"/>
        <v>0</v>
      </c>
      <c r="M55" s="363">
        <f t="shared" si="1"/>
        <v>-148.76</v>
      </c>
    </row>
    <row r="56" spans="1:13">
      <c r="A56" s="187" t="s">
        <v>14</v>
      </c>
      <c r="B56" s="187" t="s">
        <v>196</v>
      </c>
      <c r="C56" s="187" t="s">
        <v>195</v>
      </c>
      <c r="D56" s="187" t="s">
        <v>1674</v>
      </c>
      <c r="E56" s="187" t="s">
        <v>198</v>
      </c>
      <c r="F56" s="187" t="s">
        <v>1610</v>
      </c>
      <c r="G56" s="187" t="s">
        <v>2127</v>
      </c>
      <c r="H56" s="187">
        <v>201701</v>
      </c>
      <c r="I56" s="361">
        <v>-5232.66</v>
      </c>
      <c r="J56" s="183">
        <v>0</v>
      </c>
      <c r="K56" s="362">
        <v>2.23333E-3</v>
      </c>
      <c r="L56" s="363">
        <f t="shared" si="0"/>
        <v>0</v>
      </c>
      <c r="M56" s="363">
        <f t="shared" si="1"/>
        <v>-140.24</v>
      </c>
    </row>
    <row r="57" spans="1:13">
      <c r="A57" s="187" t="s">
        <v>14</v>
      </c>
      <c r="B57" s="187" t="s">
        <v>2131</v>
      </c>
      <c r="C57" s="187" t="s">
        <v>1681</v>
      </c>
      <c r="D57" s="187" t="s">
        <v>2132</v>
      </c>
      <c r="E57" s="187" t="s">
        <v>198</v>
      </c>
      <c r="F57" s="187" t="s">
        <v>1610</v>
      </c>
      <c r="G57" s="187" t="s">
        <v>2127</v>
      </c>
      <c r="H57" s="187">
        <v>201701</v>
      </c>
      <c r="I57" s="361">
        <v>-4404.62</v>
      </c>
      <c r="J57" s="183">
        <v>0</v>
      </c>
      <c r="K57" s="362">
        <v>2.23333E-3</v>
      </c>
      <c r="L57" s="363">
        <f t="shared" si="0"/>
        <v>0</v>
      </c>
      <c r="M57" s="363">
        <f t="shared" si="1"/>
        <v>-118.04</v>
      </c>
    </row>
    <row r="58" spans="1:13">
      <c r="A58" s="187" t="s">
        <v>14</v>
      </c>
      <c r="B58" s="187" t="s">
        <v>2079</v>
      </c>
      <c r="C58" s="187" t="s">
        <v>1681</v>
      </c>
      <c r="D58" s="187" t="s">
        <v>2080</v>
      </c>
      <c r="E58" s="187" t="s">
        <v>75</v>
      </c>
      <c r="F58" s="187" t="s">
        <v>1602</v>
      </c>
      <c r="G58" s="187" t="s">
        <v>2127</v>
      </c>
      <c r="H58" s="187">
        <v>201701</v>
      </c>
      <c r="I58" s="361">
        <v>-2838.57</v>
      </c>
      <c r="J58" s="183">
        <v>0</v>
      </c>
      <c r="K58" s="362">
        <v>2.23333E-3</v>
      </c>
      <c r="L58" s="363">
        <f t="shared" si="0"/>
        <v>0</v>
      </c>
      <c r="M58" s="363">
        <f t="shared" si="1"/>
        <v>-76.069999999999993</v>
      </c>
    </row>
    <row r="59" spans="1:13">
      <c r="A59" s="187" t="s">
        <v>1942</v>
      </c>
      <c r="B59" s="187" t="s">
        <v>293</v>
      </c>
      <c r="C59" s="187" t="s">
        <v>292</v>
      </c>
      <c r="D59" s="187" t="s">
        <v>1679</v>
      </c>
      <c r="E59" s="187" t="s">
        <v>294</v>
      </c>
      <c r="F59" s="187" t="s">
        <v>1613</v>
      </c>
      <c r="G59" s="187" t="s">
        <v>2127</v>
      </c>
      <c r="H59" s="187">
        <v>201701</v>
      </c>
      <c r="I59" s="361">
        <v>-2346.59</v>
      </c>
      <c r="J59" s="183">
        <v>0</v>
      </c>
      <c r="K59" s="362">
        <v>2.23333E-3</v>
      </c>
      <c r="L59" s="363">
        <f t="shared" si="0"/>
        <v>0</v>
      </c>
      <c r="M59" s="363">
        <f t="shared" si="1"/>
        <v>-62.89</v>
      </c>
    </row>
    <row r="60" spans="1:13">
      <c r="A60" s="187" t="s">
        <v>21</v>
      </c>
      <c r="B60" s="187" t="s">
        <v>2071</v>
      </c>
      <c r="C60" s="187" t="s">
        <v>1681</v>
      </c>
      <c r="D60" s="187" t="s">
        <v>2072</v>
      </c>
      <c r="E60" s="187" t="s">
        <v>260</v>
      </c>
      <c r="F60" s="187" t="s">
        <v>1608</v>
      </c>
      <c r="G60" s="187" t="s">
        <v>2127</v>
      </c>
      <c r="H60" s="187">
        <v>201701</v>
      </c>
      <c r="I60" s="361">
        <v>-1850.4</v>
      </c>
      <c r="J60" s="183">
        <v>0</v>
      </c>
      <c r="K60" s="362">
        <v>1.4833299999999999E-3</v>
      </c>
      <c r="L60" s="363">
        <f t="shared" si="0"/>
        <v>0</v>
      </c>
      <c r="M60" s="363">
        <f t="shared" si="1"/>
        <v>-32.94</v>
      </c>
    </row>
    <row r="61" spans="1:13">
      <c r="A61" s="187" t="s">
        <v>21</v>
      </c>
      <c r="B61" s="187" t="s">
        <v>2081</v>
      </c>
      <c r="C61" s="187" t="s">
        <v>1681</v>
      </c>
      <c r="D61" s="187" t="s">
        <v>2082</v>
      </c>
      <c r="E61" s="187" t="s">
        <v>75</v>
      </c>
      <c r="F61" s="187" t="s">
        <v>1602</v>
      </c>
      <c r="G61" s="187" t="s">
        <v>2127</v>
      </c>
      <c r="H61" s="187">
        <v>201701</v>
      </c>
      <c r="I61" s="361">
        <v>-1662.53</v>
      </c>
      <c r="J61" s="183">
        <v>0</v>
      </c>
      <c r="K61" s="362">
        <v>1.4833299999999999E-3</v>
      </c>
      <c r="L61" s="363">
        <f t="shared" si="0"/>
        <v>0</v>
      </c>
      <c r="M61" s="363">
        <f t="shared" si="1"/>
        <v>-29.59</v>
      </c>
    </row>
    <row r="62" spans="1:13">
      <c r="A62" s="187" t="s">
        <v>14</v>
      </c>
      <c r="B62" s="187" t="s">
        <v>201</v>
      </c>
      <c r="C62" s="187" t="s">
        <v>200</v>
      </c>
      <c r="D62" s="187" t="s">
        <v>1675</v>
      </c>
      <c r="E62" s="187" t="s">
        <v>202</v>
      </c>
      <c r="F62" s="187" t="s">
        <v>1611</v>
      </c>
      <c r="G62" s="187" t="s">
        <v>2127</v>
      </c>
      <c r="H62" s="187">
        <v>201701</v>
      </c>
      <c r="I62" s="361">
        <v>-1170.23</v>
      </c>
      <c r="J62" s="183">
        <v>0</v>
      </c>
      <c r="K62" s="362">
        <v>2.23333E-3</v>
      </c>
      <c r="L62" s="363">
        <f t="shared" si="0"/>
        <v>0</v>
      </c>
      <c r="M62" s="363">
        <f t="shared" si="1"/>
        <v>-31.36</v>
      </c>
    </row>
    <row r="63" spans="1:13">
      <c r="A63" s="187" t="s">
        <v>21</v>
      </c>
      <c r="B63" s="187" t="s">
        <v>2659</v>
      </c>
      <c r="C63" s="187" t="s">
        <v>2660</v>
      </c>
      <c r="D63" s="187" t="s">
        <v>2661</v>
      </c>
      <c r="E63" s="187" t="s">
        <v>397</v>
      </c>
      <c r="F63" s="187" t="s">
        <v>398</v>
      </c>
      <c r="G63" s="187" t="s">
        <v>2127</v>
      </c>
      <c r="H63" s="187">
        <v>201701</v>
      </c>
      <c r="I63" s="361">
        <v>-775.51</v>
      </c>
      <c r="J63" s="183">
        <v>0</v>
      </c>
      <c r="K63" s="362">
        <v>1.4833299999999999E-3</v>
      </c>
      <c r="L63" s="363">
        <f t="shared" si="0"/>
        <v>0</v>
      </c>
      <c r="M63" s="363">
        <f t="shared" si="1"/>
        <v>-13.8</v>
      </c>
    </row>
    <row r="64" spans="1:13">
      <c r="A64" s="187" t="s">
        <v>14</v>
      </c>
      <c r="B64" s="187" t="s">
        <v>293</v>
      </c>
      <c r="C64" s="187" t="s">
        <v>292</v>
      </c>
      <c r="D64" s="187" t="s">
        <v>1679</v>
      </c>
      <c r="E64" s="187" t="s">
        <v>294</v>
      </c>
      <c r="F64" s="187" t="s">
        <v>1613</v>
      </c>
      <c r="G64" s="187" t="s">
        <v>2127</v>
      </c>
      <c r="H64" s="187">
        <v>201701</v>
      </c>
      <c r="I64" s="361">
        <v>-455.8</v>
      </c>
      <c r="J64" s="183">
        <v>0</v>
      </c>
      <c r="K64" s="362">
        <v>2.23333E-3</v>
      </c>
      <c r="L64" s="363">
        <f t="shared" si="0"/>
        <v>0</v>
      </c>
      <c r="M64" s="363">
        <f t="shared" si="1"/>
        <v>-12.22</v>
      </c>
    </row>
    <row r="65" spans="1:13">
      <c r="A65" s="187" t="s">
        <v>626</v>
      </c>
      <c r="B65" s="187" t="s">
        <v>2071</v>
      </c>
      <c r="C65" s="187" t="s">
        <v>1681</v>
      </c>
      <c r="D65" s="187" t="s">
        <v>2072</v>
      </c>
      <c r="E65" s="187" t="s">
        <v>260</v>
      </c>
      <c r="F65" s="187" t="s">
        <v>1608</v>
      </c>
      <c r="G65" s="187" t="s">
        <v>2127</v>
      </c>
      <c r="H65" s="187">
        <v>201701</v>
      </c>
      <c r="I65" s="361">
        <v>-358.58</v>
      </c>
      <c r="J65" s="183">
        <v>0</v>
      </c>
      <c r="K65" s="362">
        <v>1.4833299999999999E-3</v>
      </c>
      <c r="L65" s="363">
        <f t="shared" si="0"/>
        <v>0</v>
      </c>
      <c r="M65" s="363">
        <f t="shared" si="1"/>
        <v>-6.38</v>
      </c>
    </row>
    <row r="66" spans="1:13">
      <c r="A66" s="187" t="s">
        <v>1942</v>
      </c>
      <c r="B66" s="187" t="s">
        <v>201</v>
      </c>
      <c r="C66" s="187" t="s">
        <v>200</v>
      </c>
      <c r="D66" s="187" t="s">
        <v>1675</v>
      </c>
      <c r="E66" s="187" t="s">
        <v>202</v>
      </c>
      <c r="F66" s="187" t="s">
        <v>1611</v>
      </c>
      <c r="G66" s="187" t="s">
        <v>2127</v>
      </c>
      <c r="H66" s="187">
        <v>201701</v>
      </c>
      <c r="I66" s="361">
        <v>-330.41</v>
      </c>
      <c r="J66" s="183">
        <v>0</v>
      </c>
      <c r="K66" s="362">
        <v>2.23333E-3</v>
      </c>
      <c r="L66" s="363">
        <f t="shared" si="0"/>
        <v>0</v>
      </c>
      <c r="M66" s="363">
        <f t="shared" si="1"/>
        <v>-8.85</v>
      </c>
    </row>
    <row r="67" spans="1:13">
      <c r="A67" s="187" t="s">
        <v>1942</v>
      </c>
      <c r="B67" s="187" t="s">
        <v>2135</v>
      </c>
      <c r="C67" s="187" t="s">
        <v>1681</v>
      </c>
      <c r="D67" s="187" t="s">
        <v>2136</v>
      </c>
      <c r="E67" s="187" t="s">
        <v>294</v>
      </c>
      <c r="F67" s="187" t="s">
        <v>1613</v>
      </c>
      <c r="G67" s="187" t="s">
        <v>2127</v>
      </c>
      <c r="H67" s="187">
        <v>201701</v>
      </c>
      <c r="I67" s="361">
        <v>-308.29000000000002</v>
      </c>
      <c r="J67" s="183">
        <v>0</v>
      </c>
      <c r="K67" s="362">
        <v>2.23333E-3</v>
      </c>
      <c r="L67" s="363">
        <f t="shared" si="0"/>
        <v>0</v>
      </c>
      <c r="M67" s="363">
        <f t="shared" si="1"/>
        <v>-8.26</v>
      </c>
    </row>
    <row r="68" spans="1:13">
      <c r="A68" s="187" t="s">
        <v>21</v>
      </c>
      <c r="B68" s="187" t="s">
        <v>2079</v>
      </c>
      <c r="C68" s="187" t="s">
        <v>1681</v>
      </c>
      <c r="D68" s="187" t="s">
        <v>2080</v>
      </c>
      <c r="E68" s="187" t="s">
        <v>75</v>
      </c>
      <c r="F68" s="187" t="s">
        <v>1602</v>
      </c>
      <c r="G68" s="187" t="s">
        <v>2127</v>
      </c>
      <c r="H68" s="187">
        <v>201701</v>
      </c>
      <c r="I68" s="361">
        <v>-237.94</v>
      </c>
      <c r="J68" s="183">
        <v>0</v>
      </c>
      <c r="K68" s="362">
        <v>1.4833299999999999E-3</v>
      </c>
      <c r="L68" s="363">
        <f t="shared" si="0"/>
        <v>0</v>
      </c>
      <c r="M68" s="363">
        <f t="shared" si="1"/>
        <v>-4.24</v>
      </c>
    </row>
    <row r="69" spans="1:13">
      <c r="A69" s="187" t="s">
        <v>1942</v>
      </c>
      <c r="B69" s="187" t="s">
        <v>2131</v>
      </c>
      <c r="C69" s="187" t="s">
        <v>1681</v>
      </c>
      <c r="D69" s="187" t="s">
        <v>2132</v>
      </c>
      <c r="E69" s="187" t="s">
        <v>198</v>
      </c>
      <c r="F69" s="187" t="s">
        <v>1610</v>
      </c>
      <c r="G69" s="187" t="s">
        <v>2127</v>
      </c>
      <c r="H69" s="187">
        <v>201701</v>
      </c>
      <c r="I69" s="361">
        <v>-199.96</v>
      </c>
      <c r="J69" s="183">
        <v>0</v>
      </c>
      <c r="K69" s="362">
        <v>2.23333E-3</v>
      </c>
      <c r="L69" s="363">
        <f t="shared" ref="L69:L97" si="2">ROUND(I69*J69*K69,2)</f>
        <v>0</v>
      </c>
      <c r="M69" s="363">
        <f t="shared" ref="M69:M97" si="3">ROUND(I69*K69*12,2)</f>
        <v>-5.36</v>
      </c>
    </row>
    <row r="70" spans="1:13">
      <c r="A70" s="187" t="s">
        <v>1942</v>
      </c>
      <c r="B70" s="187" t="s">
        <v>2079</v>
      </c>
      <c r="C70" s="187" t="s">
        <v>1681</v>
      </c>
      <c r="D70" s="187" t="s">
        <v>2080</v>
      </c>
      <c r="E70" s="187" t="s">
        <v>75</v>
      </c>
      <c r="F70" s="187" t="s">
        <v>1602</v>
      </c>
      <c r="G70" s="187" t="s">
        <v>2127</v>
      </c>
      <c r="H70" s="187">
        <v>201701</v>
      </c>
      <c r="I70" s="361">
        <v>-162.52000000000001</v>
      </c>
      <c r="J70" s="183">
        <v>0</v>
      </c>
      <c r="K70" s="362">
        <v>2.23333E-3</v>
      </c>
      <c r="L70" s="363">
        <f t="shared" si="2"/>
        <v>0</v>
      </c>
      <c r="M70" s="363">
        <f t="shared" si="3"/>
        <v>-4.3600000000000003</v>
      </c>
    </row>
    <row r="71" spans="1:13">
      <c r="A71" s="187" t="s">
        <v>1942</v>
      </c>
      <c r="B71" s="187" t="s">
        <v>1682</v>
      </c>
      <c r="C71" s="187" t="s">
        <v>1681</v>
      </c>
      <c r="D71" s="187" t="s">
        <v>1683</v>
      </c>
      <c r="E71" s="187" t="s">
        <v>198</v>
      </c>
      <c r="F71" s="187" t="s">
        <v>1610</v>
      </c>
      <c r="G71" s="187" t="s">
        <v>2127</v>
      </c>
      <c r="H71" s="187">
        <v>201701</v>
      </c>
      <c r="I71" s="361">
        <v>-160.05000000000001</v>
      </c>
      <c r="J71" s="183">
        <v>0</v>
      </c>
      <c r="K71" s="362">
        <v>2.23333E-3</v>
      </c>
      <c r="L71" s="363">
        <f t="shared" si="2"/>
        <v>0</v>
      </c>
      <c r="M71" s="363">
        <f t="shared" si="3"/>
        <v>-4.29</v>
      </c>
    </row>
    <row r="72" spans="1:13">
      <c r="A72" s="187" t="s">
        <v>554</v>
      </c>
      <c r="B72" s="187" t="s">
        <v>2085</v>
      </c>
      <c r="C72" s="187" t="s">
        <v>1681</v>
      </c>
      <c r="D72" s="187" t="s">
        <v>2086</v>
      </c>
      <c r="E72" s="187" t="s">
        <v>164</v>
      </c>
      <c r="F72" s="187" t="s">
        <v>1600</v>
      </c>
      <c r="G72" s="187" t="s">
        <v>2127</v>
      </c>
      <c r="H72" s="187">
        <v>201701</v>
      </c>
      <c r="I72" s="361">
        <v>-134.32</v>
      </c>
      <c r="J72" s="183">
        <v>0</v>
      </c>
      <c r="K72" s="362">
        <v>1.4833299999999999E-3</v>
      </c>
      <c r="L72" s="363">
        <f t="shared" si="2"/>
        <v>0</v>
      </c>
      <c r="M72" s="363">
        <f t="shared" si="3"/>
        <v>-2.39</v>
      </c>
    </row>
    <row r="73" spans="1:13">
      <c r="A73" s="187" t="s">
        <v>21</v>
      </c>
      <c r="B73" s="187" t="s">
        <v>2017</v>
      </c>
      <c r="C73" s="187" t="s">
        <v>1681</v>
      </c>
      <c r="D73" s="187" t="s">
        <v>2018</v>
      </c>
      <c r="E73" s="187" t="s">
        <v>87</v>
      </c>
      <c r="F73" s="187" t="s">
        <v>1603</v>
      </c>
      <c r="G73" s="187" t="s">
        <v>2127</v>
      </c>
      <c r="H73" s="187">
        <v>201701</v>
      </c>
      <c r="I73" s="361">
        <v>-124.7</v>
      </c>
      <c r="J73" s="183">
        <v>0</v>
      </c>
      <c r="K73" s="362">
        <v>1.4833299999999999E-3</v>
      </c>
      <c r="L73" s="363">
        <f t="shared" si="2"/>
        <v>0</v>
      </c>
      <c r="M73" s="363">
        <f t="shared" si="3"/>
        <v>-2.2200000000000002</v>
      </c>
    </row>
    <row r="74" spans="1:13">
      <c r="A74" s="187" t="s">
        <v>21</v>
      </c>
      <c r="B74" s="187" t="s">
        <v>2085</v>
      </c>
      <c r="C74" s="187" t="s">
        <v>1681</v>
      </c>
      <c r="D74" s="187" t="s">
        <v>2086</v>
      </c>
      <c r="E74" s="187" t="s">
        <v>164</v>
      </c>
      <c r="F74" s="187" t="s">
        <v>1600</v>
      </c>
      <c r="G74" s="187" t="s">
        <v>2127</v>
      </c>
      <c r="H74" s="187">
        <v>201701</v>
      </c>
      <c r="I74" s="361">
        <v>-115.37</v>
      </c>
      <c r="J74" s="183">
        <v>0</v>
      </c>
      <c r="K74" s="362">
        <v>1.4833299999999999E-3</v>
      </c>
      <c r="L74" s="363">
        <f t="shared" si="2"/>
        <v>0</v>
      </c>
      <c r="M74" s="363">
        <f t="shared" si="3"/>
        <v>-2.0499999999999998</v>
      </c>
    </row>
    <row r="75" spans="1:13">
      <c r="A75" s="187" t="s">
        <v>21</v>
      </c>
      <c r="B75" s="187" t="s">
        <v>1821</v>
      </c>
      <c r="C75" s="187" t="s">
        <v>1820</v>
      </c>
      <c r="D75" s="187" t="s">
        <v>1822</v>
      </c>
      <c r="E75" s="187" t="s">
        <v>87</v>
      </c>
      <c r="F75" s="187" t="s">
        <v>1603</v>
      </c>
      <c r="G75" s="187" t="s">
        <v>2127</v>
      </c>
      <c r="H75" s="187">
        <v>201701</v>
      </c>
      <c r="I75" s="361">
        <v>-93.72</v>
      </c>
      <c r="J75" s="183">
        <v>0</v>
      </c>
      <c r="K75" s="362">
        <v>1.4833299999999999E-3</v>
      </c>
      <c r="L75" s="363">
        <f t="shared" si="2"/>
        <v>0</v>
      </c>
      <c r="M75" s="363">
        <f t="shared" si="3"/>
        <v>-1.67</v>
      </c>
    </row>
    <row r="76" spans="1:13">
      <c r="A76" s="187" t="s">
        <v>1942</v>
      </c>
      <c r="B76" s="187" t="s">
        <v>2081</v>
      </c>
      <c r="C76" s="187" t="s">
        <v>1681</v>
      </c>
      <c r="D76" s="187" t="s">
        <v>2082</v>
      </c>
      <c r="E76" s="187" t="s">
        <v>75</v>
      </c>
      <c r="F76" s="187" t="s">
        <v>1602</v>
      </c>
      <c r="G76" s="187" t="s">
        <v>2127</v>
      </c>
      <c r="H76" s="187">
        <v>201701</v>
      </c>
      <c r="I76" s="361">
        <v>-77.78</v>
      </c>
      <c r="J76" s="183">
        <v>0</v>
      </c>
      <c r="K76" s="362">
        <v>2.23333E-3</v>
      </c>
      <c r="L76" s="363">
        <f t="shared" si="2"/>
        <v>0</v>
      </c>
      <c r="M76" s="363">
        <f t="shared" si="3"/>
        <v>-2.08</v>
      </c>
    </row>
    <row r="77" spans="1:13">
      <c r="A77" s="187" t="s">
        <v>554</v>
      </c>
      <c r="B77" s="187" t="s">
        <v>2659</v>
      </c>
      <c r="C77" s="187" t="s">
        <v>2660</v>
      </c>
      <c r="D77" s="187" t="s">
        <v>2661</v>
      </c>
      <c r="E77" s="187" t="s">
        <v>397</v>
      </c>
      <c r="F77" s="187" t="s">
        <v>398</v>
      </c>
      <c r="G77" s="187" t="s">
        <v>2127</v>
      </c>
      <c r="H77" s="187">
        <v>201701</v>
      </c>
      <c r="I77" s="361">
        <v>-31.46</v>
      </c>
      <c r="J77" s="183">
        <v>0</v>
      </c>
      <c r="K77" s="362">
        <v>1.4833299999999999E-3</v>
      </c>
      <c r="L77" s="363">
        <f t="shared" si="2"/>
        <v>0</v>
      </c>
      <c r="M77" s="363">
        <f t="shared" si="3"/>
        <v>-0.56000000000000005</v>
      </c>
    </row>
    <row r="78" spans="1:13">
      <c r="A78" s="187" t="s">
        <v>1942</v>
      </c>
      <c r="B78" s="187" t="s">
        <v>2133</v>
      </c>
      <c r="C78" s="187" t="s">
        <v>1681</v>
      </c>
      <c r="D78" s="187" t="s">
        <v>2134</v>
      </c>
      <c r="E78" s="187" t="s">
        <v>202</v>
      </c>
      <c r="F78" s="187" t="s">
        <v>1611</v>
      </c>
      <c r="G78" s="187" t="s">
        <v>2127</v>
      </c>
      <c r="H78" s="187">
        <v>201701</v>
      </c>
      <c r="I78" s="361">
        <v>-6.67</v>
      </c>
      <c r="J78" s="183">
        <v>0</v>
      </c>
      <c r="K78" s="362">
        <v>2.23333E-3</v>
      </c>
      <c r="L78" s="363">
        <f t="shared" si="2"/>
        <v>0</v>
      </c>
      <c r="M78" s="363">
        <f t="shared" si="3"/>
        <v>-0.18</v>
      </c>
    </row>
    <row r="80" spans="1:13" ht="15.75" thickBot="1">
      <c r="H80" s="364" t="s">
        <v>2137</v>
      </c>
      <c r="I80" s="365">
        <f>SUM(I5:I79)</f>
        <v>-428199.85000000003</v>
      </c>
      <c r="M80" s="365">
        <f>SUM(M5:M79)</f>
        <v>-10570.31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85" zoomScaleNormal="85" workbookViewId="0">
      <pane ySplit="4" topLeftCell="A5" activePane="bottomLeft" state="frozen"/>
      <selection pane="bottomLeft" activeCell="I35" sqref="I35"/>
    </sheetView>
  </sheetViews>
  <sheetFormatPr defaultRowHeight="15"/>
  <cols>
    <col min="1" max="1" width="37.42578125" style="194" customWidth="1"/>
    <col min="2" max="2" width="13.28515625" style="194" customWidth="1"/>
    <col min="3" max="3" width="14.7109375" style="194" customWidth="1"/>
    <col min="4" max="4" width="38.28515625" style="194" customWidth="1"/>
    <col min="5" max="5" width="10" style="194" customWidth="1"/>
    <col min="6" max="6" width="38.28515625" style="194" customWidth="1"/>
    <col min="7" max="7" width="13.5703125" style="194" customWidth="1"/>
    <col min="8" max="8" width="17" style="194" bestFit="1" customWidth="1"/>
    <col min="9" max="9" width="14" style="367" customWidth="1"/>
    <col min="10" max="10" width="9.140625" style="366"/>
    <col min="11" max="11" width="15.85546875" style="194" customWidth="1"/>
    <col min="12" max="12" width="16.140625" style="194" customWidth="1"/>
    <col min="13" max="13" width="14.28515625" style="194" customWidth="1"/>
    <col min="14" max="16384" width="9.140625" style="194"/>
  </cols>
  <sheetData>
    <row r="1" spans="1:13">
      <c r="A1" s="170" t="s">
        <v>0</v>
      </c>
      <c r="B1" s="174"/>
      <c r="C1" s="174"/>
      <c r="D1" s="172"/>
      <c r="E1" s="356"/>
      <c r="F1" s="174"/>
      <c r="G1" s="174"/>
      <c r="H1" s="174"/>
      <c r="I1" s="357"/>
      <c r="J1" s="174"/>
      <c r="K1" s="356"/>
      <c r="L1" s="174"/>
      <c r="M1" s="174"/>
    </row>
    <row r="2" spans="1:13">
      <c r="A2" s="170" t="s">
        <v>2658</v>
      </c>
      <c r="B2" s="174"/>
      <c r="C2" s="174"/>
      <c r="D2" s="174"/>
      <c r="E2" s="174"/>
      <c r="F2" s="174"/>
      <c r="G2" s="174"/>
      <c r="H2" s="174"/>
      <c r="I2" s="357"/>
      <c r="J2" s="174"/>
      <c r="K2" s="174"/>
      <c r="L2" s="174"/>
      <c r="M2" s="174"/>
    </row>
    <row r="3" spans="1:13">
      <c r="A3" s="174"/>
      <c r="B3" s="174"/>
      <c r="C3" s="174"/>
      <c r="D3" s="174"/>
      <c r="E3" s="174"/>
      <c r="F3" s="174"/>
      <c r="G3" s="174"/>
      <c r="H3" s="174"/>
      <c r="I3" s="357"/>
      <c r="J3" s="174"/>
      <c r="K3" s="174"/>
      <c r="L3" s="174"/>
      <c r="M3" s="174"/>
    </row>
    <row r="4" spans="1:13" ht="48.75" customHeight="1">
      <c r="A4" s="178" t="s">
        <v>6</v>
      </c>
      <c r="B4" s="178" t="s">
        <v>7</v>
      </c>
      <c r="C4" s="178" t="s">
        <v>8</v>
      </c>
      <c r="D4" s="178" t="s">
        <v>9</v>
      </c>
      <c r="E4" s="178" t="s">
        <v>10</v>
      </c>
      <c r="F4" s="178" t="s">
        <v>11</v>
      </c>
      <c r="G4" s="358" t="s">
        <v>12</v>
      </c>
      <c r="H4" s="178" t="s">
        <v>1</v>
      </c>
      <c r="I4" s="359" t="s">
        <v>2123</v>
      </c>
      <c r="J4" s="360" t="s">
        <v>2020</v>
      </c>
      <c r="K4" s="360" t="s">
        <v>2021</v>
      </c>
      <c r="L4" s="360" t="s">
        <v>2022</v>
      </c>
      <c r="M4" s="360" t="s">
        <v>2023</v>
      </c>
    </row>
    <row r="5" spans="1:13">
      <c r="A5" s="187" t="s">
        <v>21</v>
      </c>
      <c r="B5" s="187" t="s">
        <v>1931</v>
      </c>
      <c r="C5" s="187" t="s">
        <v>1930</v>
      </c>
      <c r="D5" s="187" t="s">
        <v>1932</v>
      </c>
      <c r="E5" s="187" t="s">
        <v>75</v>
      </c>
      <c r="F5" s="187" t="s">
        <v>1602</v>
      </c>
      <c r="G5" s="187" t="s">
        <v>2127</v>
      </c>
      <c r="H5" s="187">
        <v>201701</v>
      </c>
      <c r="I5" s="361">
        <v>-46606.12</v>
      </c>
      <c r="J5" s="183">
        <v>0</v>
      </c>
      <c r="K5" s="362">
        <v>1.4833299999999999E-3</v>
      </c>
      <c r="L5" s="363">
        <f t="shared" ref="L5:L33" si="0">ROUND(I5*J5*K5,2)</f>
        <v>0</v>
      </c>
      <c r="M5" s="363">
        <f t="shared" ref="M5:M33" si="1">ROUND(I5*K5*12,2)</f>
        <v>-829.59</v>
      </c>
    </row>
    <row r="6" spans="1:13">
      <c r="A6" s="187" t="s">
        <v>21</v>
      </c>
      <c r="B6" s="187" t="s">
        <v>2075</v>
      </c>
      <c r="C6" s="187" t="s">
        <v>1681</v>
      </c>
      <c r="D6" s="187" t="s">
        <v>2076</v>
      </c>
      <c r="E6" s="187" t="s">
        <v>75</v>
      </c>
      <c r="F6" s="187" t="s">
        <v>1602</v>
      </c>
      <c r="G6" s="187" t="s">
        <v>2127</v>
      </c>
      <c r="H6" s="187">
        <v>201701</v>
      </c>
      <c r="I6" s="361">
        <v>-18722.47</v>
      </c>
      <c r="J6" s="183">
        <v>0</v>
      </c>
      <c r="K6" s="362">
        <v>1.4833299999999999E-3</v>
      </c>
      <c r="L6" s="363">
        <f t="shared" si="0"/>
        <v>0</v>
      </c>
      <c r="M6" s="363">
        <f t="shared" si="1"/>
        <v>-333.26</v>
      </c>
    </row>
    <row r="7" spans="1:13">
      <c r="A7" s="187" t="s">
        <v>14</v>
      </c>
      <c r="B7" s="187" t="s">
        <v>2135</v>
      </c>
      <c r="C7" s="187" t="s">
        <v>1681</v>
      </c>
      <c r="D7" s="187" t="s">
        <v>2136</v>
      </c>
      <c r="E7" s="187" t="s">
        <v>294</v>
      </c>
      <c r="F7" s="187" t="s">
        <v>1613</v>
      </c>
      <c r="G7" s="187" t="s">
        <v>2127</v>
      </c>
      <c r="H7" s="187">
        <v>201701</v>
      </c>
      <c r="I7" s="361">
        <v>-14613.82</v>
      </c>
      <c r="J7" s="183">
        <v>0</v>
      </c>
      <c r="K7" s="362">
        <v>2.23333E-3</v>
      </c>
      <c r="L7" s="363">
        <f t="shared" si="0"/>
        <v>0</v>
      </c>
      <c r="M7" s="363">
        <f t="shared" si="1"/>
        <v>-391.65</v>
      </c>
    </row>
    <row r="8" spans="1:13">
      <c r="A8" s="187" t="s">
        <v>14</v>
      </c>
      <c r="B8" s="187" t="s">
        <v>2081</v>
      </c>
      <c r="C8" s="187" t="s">
        <v>1681</v>
      </c>
      <c r="D8" s="187" t="s">
        <v>2082</v>
      </c>
      <c r="E8" s="187" t="s">
        <v>75</v>
      </c>
      <c r="F8" s="187" t="s">
        <v>1602</v>
      </c>
      <c r="G8" s="187" t="s">
        <v>2127</v>
      </c>
      <c r="H8" s="187">
        <v>201701</v>
      </c>
      <c r="I8" s="361">
        <v>-12804.79</v>
      </c>
      <c r="J8" s="183">
        <v>0</v>
      </c>
      <c r="K8" s="362">
        <v>2.23333E-3</v>
      </c>
      <c r="L8" s="363">
        <f t="shared" si="0"/>
        <v>0</v>
      </c>
      <c r="M8" s="363">
        <f t="shared" si="1"/>
        <v>-343.17</v>
      </c>
    </row>
    <row r="9" spans="1:13">
      <c r="A9" s="187" t="s">
        <v>14</v>
      </c>
      <c r="B9" s="187" t="s">
        <v>2133</v>
      </c>
      <c r="C9" s="187" t="s">
        <v>1681</v>
      </c>
      <c r="D9" s="187" t="s">
        <v>2134</v>
      </c>
      <c r="E9" s="187" t="s">
        <v>202</v>
      </c>
      <c r="F9" s="187" t="s">
        <v>1611</v>
      </c>
      <c r="G9" s="187" t="s">
        <v>2127</v>
      </c>
      <c r="H9" s="187">
        <v>201701</v>
      </c>
      <c r="I9" s="361">
        <v>-5971.5</v>
      </c>
      <c r="J9" s="183">
        <v>0</v>
      </c>
      <c r="K9" s="362">
        <v>2.23333E-3</v>
      </c>
      <c r="L9" s="363">
        <f t="shared" si="0"/>
        <v>0</v>
      </c>
      <c r="M9" s="363">
        <f t="shared" si="1"/>
        <v>-160.04</v>
      </c>
    </row>
    <row r="10" spans="1:13">
      <c r="A10" s="187" t="s">
        <v>1942</v>
      </c>
      <c r="B10" s="187" t="s">
        <v>196</v>
      </c>
      <c r="C10" s="187" t="s">
        <v>195</v>
      </c>
      <c r="D10" s="187" t="s">
        <v>1674</v>
      </c>
      <c r="E10" s="187" t="s">
        <v>198</v>
      </c>
      <c r="F10" s="187" t="s">
        <v>1610</v>
      </c>
      <c r="G10" s="187" t="s">
        <v>2127</v>
      </c>
      <c r="H10" s="187">
        <v>201701</v>
      </c>
      <c r="I10" s="361">
        <v>-5550.81</v>
      </c>
      <c r="J10" s="183">
        <v>0</v>
      </c>
      <c r="K10" s="362">
        <v>2.23333E-3</v>
      </c>
      <c r="L10" s="363">
        <f t="shared" si="0"/>
        <v>0</v>
      </c>
      <c r="M10" s="363">
        <f t="shared" si="1"/>
        <v>-148.76</v>
      </c>
    </row>
    <row r="11" spans="1:13">
      <c r="A11" s="187" t="s">
        <v>14</v>
      </c>
      <c r="B11" s="187" t="s">
        <v>196</v>
      </c>
      <c r="C11" s="187" t="s">
        <v>195</v>
      </c>
      <c r="D11" s="187" t="s">
        <v>1674</v>
      </c>
      <c r="E11" s="187" t="s">
        <v>198</v>
      </c>
      <c r="F11" s="187" t="s">
        <v>1610</v>
      </c>
      <c r="G11" s="187" t="s">
        <v>2127</v>
      </c>
      <c r="H11" s="187">
        <v>201701</v>
      </c>
      <c r="I11" s="361">
        <v>-5232.66</v>
      </c>
      <c r="J11" s="183">
        <v>0</v>
      </c>
      <c r="K11" s="362">
        <v>2.23333E-3</v>
      </c>
      <c r="L11" s="363">
        <f t="shared" si="0"/>
        <v>0</v>
      </c>
      <c r="M11" s="363">
        <f t="shared" si="1"/>
        <v>-140.24</v>
      </c>
    </row>
    <row r="12" spans="1:13">
      <c r="A12" s="187" t="s">
        <v>14</v>
      </c>
      <c r="B12" s="187" t="s">
        <v>2131</v>
      </c>
      <c r="C12" s="187" t="s">
        <v>1681</v>
      </c>
      <c r="D12" s="187" t="s">
        <v>2132</v>
      </c>
      <c r="E12" s="187" t="s">
        <v>198</v>
      </c>
      <c r="F12" s="187" t="s">
        <v>1610</v>
      </c>
      <c r="G12" s="187" t="s">
        <v>2127</v>
      </c>
      <c r="H12" s="187">
        <v>201701</v>
      </c>
      <c r="I12" s="361">
        <v>-4404.62</v>
      </c>
      <c r="J12" s="183">
        <v>0</v>
      </c>
      <c r="K12" s="362">
        <v>2.23333E-3</v>
      </c>
      <c r="L12" s="363">
        <f t="shared" si="0"/>
        <v>0</v>
      </c>
      <c r="M12" s="363">
        <f t="shared" si="1"/>
        <v>-118.04</v>
      </c>
    </row>
    <row r="13" spans="1:13">
      <c r="A13" s="187" t="s">
        <v>14</v>
      </c>
      <c r="B13" s="187" t="s">
        <v>2079</v>
      </c>
      <c r="C13" s="187" t="s">
        <v>1681</v>
      </c>
      <c r="D13" s="187" t="s">
        <v>2080</v>
      </c>
      <c r="E13" s="187" t="s">
        <v>75</v>
      </c>
      <c r="F13" s="187" t="s">
        <v>1602</v>
      </c>
      <c r="G13" s="187" t="s">
        <v>2127</v>
      </c>
      <c r="H13" s="187">
        <v>201701</v>
      </c>
      <c r="I13" s="361">
        <v>-2838.57</v>
      </c>
      <c r="J13" s="183">
        <v>0</v>
      </c>
      <c r="K13" s="362">
        <v>2.23333E-3</v>
      </c>
      <c r="L13" s="363">
        <f t="shared" si="0"/>
        <v>0</v>
      </c>
      <c r="M13" s="363">
        <f t="shared" si="1"/>
        <v>-76.069999999999993</v>
      </c>
    </row>
    <row r="14" spans="1:13">
      <c r="A14" s="187" t="s">
        <v>1942</v>
      </c>
      <c r="B14" s="187" t="s">
        <v>293</v>
      </c>
      <c r="C14" s="187" t="s">
        <v>292</v>
      </c>
      <c r="D14" s="187" t="s">
        <v>1679</v>
      </c>
      <c r="E14" s="187" t="s">
        <v>294</v>
      </c>
      <c r="F14" s="187" t="s">
        <v>1613</v>
      </c>
      <c r="G14" s="187" t="s">
        <v>2127</v>
      </c>
      <c r="H14" s="187">
        <v>201701</v>
      </c>
      <c r="I14" s="361">
        <v>-2346.59</v>
      </c>
      <c r="J14" s="183">
        <v>0</v>
      </c>
      <c r="K14" s="362">
        <v>2.23333E-3</v>
      </c>
      <c r="L14" s="363">
        <f t="shared" si="0"/>
        <v>0</v>
      </c>
      <c r="M14" s="363">
        <f t="shared" si="1"/>
        <v>-62.89</v>
      </c>
    </row>
    <row r="15" spans="1:13">
      <c r="A15" s="187" t="s">
        <v>21</v>
      </c>
      <c r="B15" s="187" t="s">
        <v>2071</v>
      </c>
      <c r="C15" s="187" t="s">
        <v>1681</v>
      </c>
      <c r="D15" s="187" t="s">
        <v>2072</v>
      </c>
      <c r="E15" s="187" t="s">
        <v>260</v>
      </c>
      <c r="F15" s="187" t="s">
        <v>1608</v>
      </c>
      <c r="G15" s="187" t="s">
        <v>2127</v>
      </c>
      <c r="H15" s="187">
        <v>201701</v>
      </c>
      <c r="I15" s="361">
        <v>-1850.4</v>
      </c>
      <c r="J15" s="183">
        <v>0</v>
      </c>
      <c r="K15" s="362">
        <v>1.4833299999999999E-3</v>
      </c>
      <c r="L15" s="363">
        <f t="shared" si="0"/>
        <v>0</v>
      </c>
      <c r="M15" s="363">
        <f t="shared" si="1"/>
        <v>-32.94</v>
      </c>
    </row>
    <row r="16" spans="1:13">
      <c r="A16" s="187" t="s">
        <v>21</v>
      </c>
      <c r="B16" s="187" t="s">
        <v>2081</v>
      </c>
      <c r="C16" s="187" t="s">
        <v>1681</v>
      </c>
      <c r="D16" s="187" t="s">
        <v>2082</v>
      </c>
      <c r="E16" s="187" t="s">
        <v>75</v>
      </c>
      <c r="F16" s="187" t="s">
        <v>1602</v>
      </c>
      <c r="G16" s="187" t="s">
        <v>2127</v>
      </c>
      <c r="H16" s="187">
        <v>201701</v>
      </c>
      <c r="I16" s="361">
        <v>-1662.53</v>
      </c>
      <c r="J16" s="183">
        <v>0</v>
      </c>
      <c r="K16" s="362">
        <v>1.4833299999999999E-3</v>
      </c>
      <c r="L16" s="363">
        <f t="shared" si="0"/>
        <v>0</v>
      </c>
      <c r="M16" s="363">
        <f t="shared" si="1"/>
        <v>-29.59</v>
      </c>
    </row>
    <row r="17" spans="1:13">
      <c r="A17" s="187" t="s">
        <v>14</v>
      </c>
      <c r="B17" s="187" t="s">
        <v>201</v>
      </c>
      <c r="C17" s="187" t="s">
        <v>200</v>
      </c>
      <c r="D17" s="187" t="s">
        <v>1675</v>
      </c>
      <c r="E17" s="187" t="s">
        <v>202</v>
      </c>
      <c r="F17" s="187" t="s">
        <v>1611</v>
      </c>
      <c r="G17" s="187" t="s">
        <v>2127</v>
      </c>
      <c r="H17" s="187">
        <v>201701</v>
      </c>
      <c r="I17" s="361">
        <v>-1170.23</v>
      </c>
      <c r="J17" s="183">
        <v>0</v>
      </c>
      <c r="K17" s="362">
        <v>2.23333E-3</v>
      </c>
      <c r="L17" s="363">
        <f t="shared" si="0"/>
        <v>0</v>
      </c>
      <c r="M17" s="363">
        <f t="shared" si="1"/>
        <v>-31.36</v>
      </c>
    </row>
    <row r="18" spans="1:13">
      <c r="A18" s="187" t="s">
        <v>21</v>
      </c>
      <c r="B18" s="187" t="s">
        <v>2659</v>
      </c>
      <c r="C18" s="187" t="s">
        <v>2660</v>
      </c>
      <c r="D18" s="187" t="s">
        <v>2661</v>
      </c>
      <c r="E18" s="187" t="s">
        <v>397</v>
      </c>
      <c r="F18" s="187" t="s">
        <v>398</v>
      </c>
      <c r="G18" s="187" t="s">
        <v>2127</v>
      </c>
      <c r="H18" s="187">
        <v>201701</v>
      </c>
      <c r="I18" s="361">
        <v>-775.51</v>
      </c>
      <c r="J18" s="183">
        <v>0</v>
      </c>
      <c r="K18" s="362">
        <v>1.4833299999999999E-3</v>
      </c>
      <c r="L18" s="363">
        <f t="shared" si="0"/>
        <v>0</v>
      </c>
      <c r="M18" s="363">
        <f t="shared" si="1"/>
        <v>-13.8</v>
      </c>
    </row>
    <row r="19" spans="1:13">
      <c r="A19" s="187" t="s">
        <v>14</v>
      </c>
      <c r="B19" s="187" t="s">
        <v>293</v>
      </c>
      <c r="C19" s="187" t="s">
        <v>292</v>
      </c>
      <c r="D19" s="187" t="s">
        <v>1679</v>
      </c>
      <c r="E19" s="187" t="s">
        <v>294</v>
      </c>
      <c r="F19" s="187" t="s">
        <v>1613</v>
      </c>
      <c r="G19" s="187" t="s">
        <v>2127</v>
      </c>
      <c r="H19" s="187">
        <v>201701</v>
      </c>
      <c r="I19" s="361">
        <v>-455.8</v>
      </c>
      <c r="J19" s="183">
        <v>0</v>
      </c>
      <c r="K19" s="362">
        <v>2.23333E-3</v>
      </c>
      <c r="L19" s="363">
        <f t="shared" si="0"/>
        <v>0</v>
      </c>
      <c r="M19" s="363">
        <f t="shared" si="1"/>
        <v>-12.22</v>
      </c>
    </row>
    <row r="20" spans="1:13">
      <c r="A20" s="187" t="s">
        <v>626</v>
      </c>
      <c r="B20" s="187" t="s">
        <v>2071</v>
      </c>
      <c r="C20" s="187" t="s">
        <v>1681</v>
      </c>
      <c r="D20" s="187" t="s">
        <v>2072</v>
      </c>
      <c r="E20" s="187" t="s">
        <v>260</v>
      </c>
      <c r="F20" s="187" t="s">
        <v>1608</v>
      </c>
      <c r="G20" s="187" t="s">
        <v>2127</v>
      </c>
      <c r="H20" s="187">
        <v>201701</v>
      </c>
      <c r="I20" s="361">
        <v>-358.58</v>
      </c>
      <c r="J20" s="183">
        <v>0</v>
      </c>
      <c r="K20" s="362">
        <v>1.4833299999999999E-3</v>
      </c>
      <c r="L20" s="363">
        <f t="shared" si="0"/>
        <v>0</v>
      </c>
      <c r="M20" s="363">
        <f t="shared" si="1"/>
        <v>-6.38</v>
      </c>
    </row>
    <row r="21" spans="1:13">
      <c r="A21" s="187" t="s">
        <v>1942</v>
      </c>
      <c r="B21" s="187" t="s">
        <v>201</v>
      </c>
      <c r="C21" s="187" t="s">
        <v>200</v>
      </c>
      <c r="D21" s="187" t="s">
        <v>1675</v>
      </c>
      <c r="E21" s="187" t="s">
        <v>202</v>
      </c>
      <c r="F21" s="187" t="s">
        <v>1611</v>
      </c>
      <c r="G21" s="187" t="s">
        <v>2127</v>
      </c>
      <c r="H21" s="187">
        <v>201701</v>
      </c>
      <c r="I21" s="361">
        <v>-330.41</v>
      </c>
      <c r="J21" s="183">
        <v>0</v>
      </c>
      <c r="K21" s="362">
        <v>2.23333E-3</v>
      </c>
      <c r="L21" s="363">
        <f t="shared" si="0"/>
        <v>0</v>
      </c>
      <c r="M21" s="363">
        <f t="shared" si="1"/>
        <v>-8.85</v>
      </c>
    </row>
    <row r="22" spans="1:13">
      <c r="A22" s="187" t="s">
        <v>1942</v>
      </c>
      <c r="B22" s="187" t="s">
        <v>2135</v>
      </c>
      <c r="C22" s="187" t="s">
        <v>1681</v>
      </c>
      <c r="D22" s="187" t="s">
        <v>2136</v>
      </c>
      <c r="E22" s="187" t="s">
        <v>294</v>
      </c>
      <c r="F22" s="187" t="s">
        <v>1613</v>
      </c>
      <c r="G22" s="187" t="s">
        <v>2127</v>
      </c>
      <c r="H22" s="187">
        <v>201701</v>
      </c>
      <c r="I22" s="361">
        <v>-308.29000000000002</v>
      </c>
      <c r="J22" s="183">
        <v>0</v>
      </c>
      <c r="K22" s="362">
        <v>2.23333E-3</v>
      </c>
      <c r="L22" s="363">
        <f t="shared" si="0"/>
        <v>0</v>
      </c>
      <c r="M22" s="363">
        <f t="shared" si="1"/>
        <v>-8.26</v>
      </c>
    </row>
    <row r="23" spans="1:13">
      <c r="A23" s="187" t="s">
        <v>21</v>
      </c>
      <c r="B23" s="187" t="s">
        <v>2079</v>
      </c>
      <c r="C23" s="187" t="s">
        <v>1681</v>
      </c>
      <c r="D23" s="187" t="s">
        <v>2080</v>
      </c>
      <c r="E23" s="187" t="s">
        <v>75</v>
      </c>
      <c r="F23" s="187" t="s">
        <v>1602</v>
      </c>
      <c r="G23" s="187" t="s">
        <v>2127</v>
      </c>
      <c r="H23" s="187">
        <v>201701</v>
      </c>
      <c r="I23" s="361">
        <v>-237.94</v>
      </c>
      <c r="J23" s="183">
        <v>0</v>
      </c>
      <c r="K23" s="362">
        <v>1.4833299999999999E-3</v>
      </c>
      <c r="L23" s="363">
        <f t="shared" si="0"/>
        <v>0</v>
      </c>
      <c r="M23" s="363">
        <f t="shared" si="1"/>
        <v>-4.24</v>
      </c>
    </row>
    <row r="24" spans="1:13">
      <c r="A24" s="187" t="s">
        <v>1942</v>
      </c>
      <c r="B24" s="187" t="s">
        <v>2131</v>
      </c>
      <c r="C24" s="187" t="s">
        <v>1681</v>
      </c>
      <c r="D24" s="187" t="s">
        <v>2132</v>
      </c>
      <c r="E24" s="187" t="s">
        <v>198</v>
      </c>
      <c r="F24" s="187" t="s">
        <v>1610</v>
      </c>
      <c r="G24" s="187" t="s">
        <v>2127</v>
      </c>
      <c r="H24" s="187">
        <v>201701</v>
      </c>
      <c r="I24" s="361">
        <v>-199.96</v>
      </c>
      <c r="J24" s="183">
        <v>0</v>
      </c>
      <c r="K24" s="362">
        <v>2.23333E-3</v>
      </c>
      <c r="L24" s="363">
        <f t="shared" si="0"/>
        <v>0</v>
      </c>
      <c r="M24" s="363">
        <f t="shared" si="1"/>
        <v>-5.36</v>
      </c>
    </row>
    <row r="25" spans="1:13">
      <c r="A25" s="187" t="s">
        <v>1942</v>
      </c>
      <c r="B25" s="187" t="s">
        <v>2079</v>
      </c>
      <c r="C25" s="187" t="s">
        <v>1681</v>
      </c>
      <c r="D25" s="187" t="s">
        <v>2080</v>
      </c>
      <c r="E25" s="187" t="s">
        <v>75</v>
      </c>
      <c r="F25" s="187" t="s">
        <v>1602</v>
      </c>
      <c r="G25" s="187" t="s">
        <v>2127</v>
      </c>
      <c r="H25" s="187">
        <v>201701</v>
      </c>
      <c r="I25" s="361">
        <v>-162.52000000000001</v>
      </c>
      <c r="J25" s="183">
        <v>0</v>
      </c>
      <c r="K25" s="362">
        <v>2.23333E-3</v>
      </c>
      <c r="L25" s="363">
        <f t="shared" si="0"/>
        <v>0</v>
      </c>
      <c r="M25" s="363">
        <f t="shared" si="1"/>
        <v>-4.3600000000000003</v>
      </c>
    </row>
    <row r="26" spans="1:13">
      <c r="A26" s="187" t="s">
        <v>1942</v>
      </c>
      <c r="B26" s="187" t="s">
        <v>1682</v>
      </c>
      <c r="C26" s="187" t="s">
        <v>1681</v>
      </c>
      <c r="D26" s="187" t="s">
        <v>1683</v>
      </c>
      <c r="E26" s="187" t="s">
        <v>198</v>
      </c>
      <c r="F26" s="187" t="s">
        <v>1610</v>
      </c>
      <c r="G26" s="187" t="s">
        <v>2127</v>
      </c>
      <c r="H26" s="187">
        <v>201701</v>
      </c>
      <c r="I26" s="361">
        <v>-160.05000000000001</v>
      </c>
      <c r="J26" s="183">
        <v>0</v>
      </c>
      <c r="K26" s="362">
        <v>2.23333E-3</v>
      </c>
      <c r="L26" s="363">
        <f t="shared" si="0"/>
        <v>0</v>
      </c>
      <c r="M26" s="363">
        <f t="shared" si="1"/>
        <v>-4.29</v>
      </c>
    </row>
    <row r="27" spans="1:13">
      <c r="A27" s="187" t="s">
        <v>554</v>
      </c>
      <c r="B27" s="187" t="s">
        <v>2085</v>
      </c>
      <c r="C27" s="187" t="s">
        <v>1681</v>
      </c>
      <c r="D27" s="187" t="s">
        <v>2086</v>
      </c>
      <c r="E27" s="187" t="s">
        <v>164</v>
      </c>
      <c r="F27" s="187" t="s">
        <v>1600</v>
      </c>
      <c r="G27" s="187" t="s">
        <v>2127</v>
      </c>
      <c r="H27" s="187">
        <v>201701</v>
      </c>
      <c r="I27" s="361">
        <v>-134.32</v>
      </c>
      <c r="J27" s="183">
        <v>0</v>
      </c>
      <c r="K27" s="362">
        <v>1.4833299999999999E-3</v>
      </c>
      <c r="L27" s="363">
        <f t="shared" si="0"/>
        <v>0</v>
      </c>
      <c r="M27" s="363">
        <f t="shared" si="1"/>
        <v>-2.39</v>
      </c>
    </row>
    <row r="28" spans="1:13">
      <c r="A28" s="187" t="s">
        <v>21</v>
      </c>
      <c r="B28" s="187" t="s">
        <v>2017</v>
      </c>
      <c r="C28" s="187" t="s">
        <v>1681</v>
      </c>
      <c r="D28" s="187" t="s">
        <v>2018</v>
      </c>
      <c r="E28" s="187" t="s">
        <v>87</v>
      </c>
      <c r="F28" s="187" t="s">
        <v>1603</v>
      </c>
      <c r="G28" s="187" t="s">
        <v>2127</v>
      </c>
      <c r="H28" s="187">
        <v>201701</v>
      </c>
      <c r="I28" s="361">
        <v>-124.7</v>
      </c>
      <c r="J28" s="183">
        <v>0</v>
      </c>
      <c r="K28" s="362">
        <v>1.4833299999999999E-3</v>
      </c>
      <c r="L28" s="363">
        <f t="shared" si="0"/>
        <v>0</v>
      </c>
      <c r="M28" s="363">
        <f t="shared" si="1"/>
        <v>-2.2200000000000002</v>
      </c>
    </row>
    <row r="29" spans="1:13">
      <c r="A29" s="187" t="s">
        <v>21</v>
      </c>
      <c r="B29" s="187" t="s">
        <v>2085</v>
      </c>
      <c r="C29" s="187" t="s">
        <v>1681</v>
      </c>
      <c r="D29" s="187" t="s">
        <v>2086</v>
      </c>
      <c r="E29" s="187" t="s">
        <v>164</v>
      </c>
      <c r="F29" s="187" t="s">
        <v>1600</v>
      </c>
      <c r="G29" s="187" t="s">
        <v>2127</v>
      </c>
      <c r="H29" s="187">
        <v>201701</v>
      </c>
      <c r="I29" s="361">
        <v>-115.37</v>
      </c>
      <c r="J29" s="183">
        <v>0</v>
      </c>
      <c r="K29" s="362">
        <v>1.4833299999999999E-3</v>
      </c>
      <c r="L29" s="363">
        <f t="shared" si="0"/>
        <v>0</v>
      </c>
      <c r="M29" s="363">
        <f t="shared" si="1"/>
        <v>-2.0499999999999998</v>
      </c>
    </row>
    <row r="30" spans="1:13">
      <c r="A30" s="187" t="s">
        <v>21</v>
      </c>
      <c r="B30" s="187" t="s">
        <v>1821</v>
      </c>
      <c r="C30" s="187" t="s">
        <v>1820</v>
      </c>
      <c r="D30" s="187" t="s">
        <v>1822</v>
      </c>
      <c r="E30" s="187" t="s">
        <v>87</v>
      </c>
      <c r="F30" s="187" t="s">
        <v>1603</v>
      </c>
      <c r="G30" s="187" t="s">
        <v>2127</v>
      </c>
      <c r="H30" s="187">
        <v>201701</v>
      </c>
      <c r="I30" s="361">
        <v>-93.72</v>
      </c>
      <c r="J30" s="183">
        <v>0</v>
      </c>
      <c r="K30" s="362">
        <v>1.4833299999999999E-3</v>
      </c>
      <c r="L30" s="363">
        <f t="shared" si="0"/>
        <v>0</v>
      </c>
      <c r="M30" s="363">
        <f t="shared" si="1"/>
        <v>-1.67</v>
      </c>
    </row>
    <row r="31" spans="1:13">
      <c r="A31" s="187" t="s">
        <v>1942</v>
      </c>
      <c r="B31" s="187" t="s">
        <v>2081</v>
      </c>
      <c r="C31" s="187" t="s">
        <v>1681</v>
      </c>
      <c r="D31" s="187" t="s">
        <v>2082</v>
      </c>
      <c r="E31" s="187" t="s">
        <v>75</v>
      </c>
      <c r="F31" s="187" t="s">
        <v>1602</v>
      </c>
      <c r="G31" s="187" t="s">
        <v>2127</v>
      </c>
      <c r="H31" s="187">
        <v>201701</v>
      </c>
      <c r="I31" s="361">
        <v>-77.78</v>
      </c>
      <c r="J31" s="183">
        <v>0</v>
      </c>
      <c r="K31" s="362">
        <v>2.23333E-3</v>
      </c>
      <c r="L31" s="363">
        <f t="shared" si="0"/>
        <v>0</v>
      </c>
      <c r="M31" s="363">
        <f t="shared" si="1"/>
        <v>-2.08</v>
      </c>
    </row>
    <row r="32" spans="1:13">
      <c r="A32" s="187" t="s">
        <v>554</v>
      </c>
      <c r="B32" s="187" t="s">
        <v>2659</v>
      </c>
      <c r="C32" s="187" t="s">
        <v>2660</v>
      </c>
      <c r="D32" s="187" t="s">
        <v>2661</v>
      </c>
      <c r="E32" s="187" t="s">
        <v>397</v>
      </c>
      <c r="F32" s="187" t="s">
        <v>398</v>
      </c>
      <c r="G32" s="187" t="s">
        <v>2127</v>
      </c>
      <c r="H32" s="187">
        <v>201701</v>
      </c>
      <c r="I32" s="361">
        <v>-31.46</v>
      </c>
      <c r="J32" s="183">
        <v>0</v>
      </c>
      <c r="K32" s="362">
        <v>1.4833299999999999E-3</v>
      </c>
      <c r="L32" s="363">
        <f t="shared" si="0"/>
        <v>0</v>
      </c>
      <c r="M32" s="363">
        <f t="shared" si="1"/>
        <v>-0.56000000000000005</v>
      </c>
    </row>
    <row r="33" spans="1:13">
      <c r="A33" s="187" t="s">
        <v>1942</v>
      </c>
      <c r="B33" s="187" t="s">
        <v>2133</v>
      </c>
      <c r="C33" s="187" t="s">
        <v>1681</v>
      </c>
      <c r="D33" s="187" t="s">
        <v>2134</v>
      </c>
      <c r="E33" s="187" t="s">
        <v>202</v>
      </c>
      <c r="F33" s="187" t="s">
        <v>1611</v>
      </c>
      <c r="G33" s="187" t="s">
        <v>2127</v>
      </c>
      <c r="H33" s="187">
        <v>201701</v>
      </c>
      <c r="I33" s="361">
        <v>-6.67</v>
      </c>
      <c r="J33" s="183">
        <v>0</v>
      </c>
      <c r="K33" s="362">
        <v>2.23333E-3</v>
      </c>
      <c r="L33" s="363">
        <f t="shared" si="0"/>
        <v>0</v>
      </c>
      <c r="M33" s="363">
        <f t="shared" si="1"/>
        <v>-0.18</v>
      </c>
    </row>
    <row r="35" spans="1:13" ht="15.75" thickBot="1">
      <c r="H35" s="364" t="s">
        <v>2137</v>
      </c>
      <c r="I35" s="365">
        <f>SUM(I5:I34)</f>
        <v>-127348.19000000002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1400"/>
  <sheetViews>
    <sheetView topLeftCell="I1" zoomScale="85" zoomScaleNormal="85" workbookViewId="0">
      <pane ySplit="4" topLeftCell="A5" activePane="bottomLeft" state="frozen"/>
      <selection activeCell="AA1752" sqref="AA1752"/>
      <selection pane="bottomLeft" activeCell="K5" sqref="K5"/>
    </sheetView>
  </sheetViews>
  <sheetFormatPr defaultColWidth="9.140625" defaultRowHeight="15"/>
  <cols>
    <col min="1" max="1" width="37" style="3" customWidth="1"/>
    <col min="2" max="2" width="17.28515625" style="2" customWidth="1"/>
    <col min="3" max="3" width="13.85546875" style="2" customWidth="1"/>
    <col min="4" max="4" width="34.5703125" style="3" customWidth="1"/>
    <col min="5" max="5" width="8.7109375" style="2" customWidth="1"/>
    <col min="6" max="6" width="36.7109375" style="3" bestFit="1" customWidth="1"/>
    <col min="7" max="8" width="14.140625" style="2" customWidth="1"/>
    <col min="9" max="9" width="9.28515625" style="2" customWidth="1"/>
    <col min="10" max="20" width="14.7109375" style="4" customWidth="1"/>
    <col min="21" max="16384" width="9.140625" style="3"/>
  </cols>
  <sheetData>
    <row r="1" spans="1:25">
      <c r="A1" s="1" t="s">
        <v>0</v>
      </c>
      <c r="K1" s="428" t="s">
        <v>1</v>
      </c>
      <c r="L1" s="5">
        <v>42856</v>
      </c>
      <c r="M1" s="431" t="s">
        <v>2</v>
      </c>
      <c r="N1" s="431" t="s">
        <v>2455</v>
      </c>
      <c r="O1" s="422">
        <v>2015</v>
      </c>
      <c r="P1" s="423"/>
      <c r="Q1" s="422">
        <v>2016</v>
      </c>
      <c r="R1" s="423"/>
      <c r="S1" s="422">
        <v>2017</v>
      </c>
      <c r="T1" s="423"/>
    </row>
    <row r="2" spans="1:25">
      <c r="A2" s="1" t="s">
        <v>2427</v>
      </c>
      <c r="K2" s="429"/>
      <c r="L2" s="434" t="s">
        <v>3</v>
      </c>
      <c r="M2" s="432"/>
      <c r="N2" s="432"/>
      <c r="O2" s="424" t="s">
        <v>4</v>
      </c>
      <c r="P2" s="426" t="s">
        <v>5</v>
      </c>
      <c r="Q2" s="424" t="s">
        <v>4</v>
      </c>
      <c r="R2" s="426" t="s">
        <v>5</v>
      </c>
      <c r="S2" s="424" t="s">
        <v>4</v>
      </c>
      <c r="T2" s="426" t="s">
        <v>5</v>
      </c>
    </row>
    <row r="3" spans="1:25" ht="15.75" thickBot="1">
      <c r="K3" s="430"/>
      <c r="L3" s="435"/>
      <c r="M3" s="433"/>
      <c r="N3" s="433"/>
      <c r="O3" s="425"/>
      <c r="P3" s="427"/>
      <c r="Q3" s="425"/>
      <c r="R3" s="427"/>
      <c r="S3" s="425"/>
      <c r="T3" s="427"/>
    </row>
    <row r="4" spans="1:25" s="12" customFormat="1" ht="35.25" customHeight="1" thickBot="1">
      <c r="A4" s="6" t="s">
        <v>6</v>
      </c>
      <c r="B4" s="7" t="s">
        <v>7</v>
      </c>
      <c r="C4" s="7" t="s">
        <v>8</v>
      </c>
      <c r="D4" s="6" t="s">
        <v>9</v>
      </c>
      <c r="E4" s="7" t="s">
        <v>10</v>
      </c>
      <c r="F4" s="6" t="s">
        <v>11</v>
      </c>
      <c r="G4" s="8" t="s">
        <v>12</v>
      </c>
      <c r="H4" s="8"/>
      <c r="I4" s="7" t="s">
        <v>1</v>
      </c>
      <c r="J4" s="9" t="s">
        <v>13</v>
      </c>
      <c r="K4" s="417"/>
      <c r="L4" s="418"/>
      <c r="M4" s="418"/>
      <c r="N4" s="418"/>
      <c r="O4" s="10"/>
      <c r="P4" s="11">
        <v>0</v>
      </c>
      <c r="Q4" s="10"/>
      <c r="R4" s="11">
        <v>0</v>
      </c>
      <c r="S4" s="10"/>
      <c r="T4" s="11">
        <v>6.1769999999999999E-2</v>
      </c>
    </row>
    <row r="5" spans="1:25">
      <c r="A5" s="13" t="s">
        <v>14</v>
      </c>
      <c r="B5" s="14" t="s">
        <v>15</v>
      </c>
      <c r="C5" s="14" t="s">
        <v>16</v>
      </c>
      <c r="D5" s="13" t="s">
        <v>17</v>
      </c>
      <c r="E5" s="14" t="s">
        <v>18</v>
      </c>
      <c r="F5" s="13" t="s">
        <v>19</v>
      </c>
      <c r="G5" s="14" t="s">
        <v>20</v>
      </c>
      <c r="H5" s="14"/>
      <c r="I5" s="14">
        <v>201401</v>
      </c>
      <c r="J5" s="15">
        <v>0</v>
      </c>
      <c r="K5" s="5">
        <v>42675</v>
      </c>
      <c r="L5" s="16">
        <f>((YEAR($L$1)-YEAR(K5))*12+MONTH($L$1)-MONTH(K5))</f>
        <v>6</v>
      </c>
      <c r="M5" s="17">
        <v>1.4833299999999999E-3</v>
      </c>
      <c r="N5" s="18">
        <f>M5*L5*J5</f>
        <v>0</v>
      </c>
      <c r="O5" s="19"/>
      <c r="P5" s="20">
        <f>$P$4*(J5*0.5)*$V$10</f>
        <v>0</v>
      </c>
      <c r="Q5" s="19"/>
      <c r="R5" s="20">
        <f>$R$4*(J5*0.5)*$V$9</f>
        <v>0</v>
      </c>
      <c r="S5" s="130"/>
      <c r="T5" s="20">
        <f>$T$4*(J5*0.5)*$V$11</f>
        <v>0</v>
      </c>
    </row>
    <row r="6" spans="1:25">
      <c r="A6" s="13" t="s">
        <v>21</v>
      </c>
      <c r="B6" s="14" t="s">
        <v>22</v>
      </c>
      <c r="C6" s="14" t="s">
        <v>23</v>
      </c>
      <c r="D6" s="13" t="s">
        <v>24</v>
      </c>
      <c r="E6" s="14" t="s">
        <v>25</v>
      </c>
      <c r="F6" s="13" t="s">
        <v>26</v>
      </c>
      <c r="G6" s="14" t="s">
        <v>20</v>
      </c>
      <c r="H6" s="14"/>
      <c r="I6" s="14">
        <v>201401</v>
      </c>
      <c r="J6" s="15">
        <v>0</v>
      </c>
      <c r="K6" s="21">
        <f>+K5</f>
        <v>42675</v>
      </c>
      <c r="L6" s="16">
        <f t="shared" ref="L6:L69" si="0">((YEAR($L$1)-YEAR(K6))*12+MONTH($L$1)-MONTH(K6))</f>
        <v>6</v>
      </c>
      <c r="M6" s="17">
        <v>1.4833299999999999E-3</v>
      </c>
      <c r="N6" s="18">
        <f t="shared" ref="N6:N69" si="1">M6*L6*J6</f>
        <v>0</v>
      </c>
      <c r="O6" s="15"/>
      <c r="P6" s="20">
        <f t="shared" ref="P6:P69" si="2">$P$4*(J6*0.5)*$V$10</f>
        <v>0</v>
      </c>
      <c r="Q6" s="15"/>
      <c r="R6" s="20">
        <f t="shared" ref="R6:R69" si="3">$R$4*(J6*0.5)*$V$9</f>
        <v>0</v>
      </c>
      <c r="S6" s="130"/>
      <c r="T6" s="20">
        <f t="shared" ref="T6:T69" si="4">$T$4*(J6*0.5)*$V$11</f>
        <v>0</v>
      </c>
      <c r="V6" s="22" t="s">
        <v>27</v>
      </c>
      <c r="W6" s="419" t="s">
        <v>28</v>
      </c>
      <c r="X6" s="420"/>
      <c r="Y6" s="421"/>
    </row>
    <row r="7" spans="1:25">
      <c r="A7" s="23" t="s">
        <v>29</v>
      </c>
      <c r="B7" s="14" t="s">
        <v>30</v>
      </c>
      <c r="C7" s="14" t="s">
        <v>31</v>
      </c>
      <c r="D7" s="13" t="s">
        <v>32</v>
      </c>
      <c r="E7" s="14" t="s">
        <v>33</v>
      </c>
      <c r="F7" s="13" t="s">
        <v>34</v>
      </c>
      <c r="G7" s="14" t="s">
        <v>20</v>
      </c>
      <c r="H7" s="14"/>
      <c r="I7" s="14">
        <v>201401</v>
      </c>
      <c r="J7" s="15">
        <v>8509.2000000000007</v>
      </c>
      <c r="K7" s="21">
        <f t="shared" ref="K7:K70" si="5">+K6</f>
        <v>42675</v>
      </c>
      <c r="L7" s="16">
        <f t="shared" si="0"/>
        <v>6</v>
      </c>
      <c r="M7" s="17">
        <v>2.23333E-3</v>
      </c>
      <c r="N7" s="18">
        <f t="shared" si="1"/>
        <v>114.023109816</v>
      </c>
      <c r="O7" s="15"/>
      <c r="P7" s="20">
        <f t="shared" si="2"/>
        <v>0</v>
      </c>
      <c r="Q7" s="15"/>
      <c r="R7" s="20">
        <f>$R$4*(J7*0.5)*$V$9</f>
        <v>0</v>
      </c>
      <c r="S7" s="130"/>
      <c r="T7" s="20">
        <f t="shared" si="4"/>
        <v>120.45304425</v>
      </c>
      <c r="V7" s="24">
        <f>12/12</f>
        <v>1</v>
      </c>
      <c r="W7" s="25"/>
      <c r="X7" s="26" t="s">
        <v>35</v>
      </c>
      <c r="Y7" s="27" t="s">
        <v>36</v>
      </c>
    </row>
    <row r="8" spans="1:25">
      <c r="A8" s="23" t="s">
        <v>29</v>
      </c>
      <c r="B8" s="14" t="s">
        <v>37</v>
      </c>
      <c r="C8" s="14" t="s">
        <v>38</v>
      </c>
      <c r="D8" s="13" t="s">
        <v>39</v>
      </c>
      <c r="E8" s="14" t="s">
        <v>40</v>
      </c>
      <c r="F8" s="13" t="s">
        <v>41</v>
      </c>
      <c r="G8" s="14" t="s">
        <v>20</v>
      </c>
      <c r="H8" s="14"/>
      <c r="I8" s="14">
        <v>201401</v>
      </c>
      <c r="J8" s="15">
        <v>32294.85</v>
      </c>
      <c r="K8" s="21">
        <f t="shared" si="5"/>
        <v>42675</v>
      </c>
      <c r="L8" s="16">
        <f t="shared" si="0"/>
        <v>6</v>
      </c>
      <c r="M8" s="17">
        <v>2.23333E-3</v>
      </c>
      <c r="N8" s="18">
        <f t="shared" si="1"/>
        <v>432.75034410299992</v>
      </c>
      <c r="O8" s="15"/>
      <c r="P8" s="20">
        <f t="shared" si="2"/>
        <v>0</v>
      </c>
      <c r="Q8" s="15"/>
      <c r="R8" s="20">
        <f t="shared" si="3"/>
        <v>0</v>
      </c>
      <c r="S8" s="130"/>
      <c r="T8" s="20">
        <f t="shared" si="4"/>
        <v>457.15378603124992</v>
      </c>
      <c r="V8" s="28">
        <f>1.5/12</f>
        <v>0.125</v>
      </c>
      <c r="W8" s="29" t="s">
        <v>42</v>
      </c>
      <c r="X8" s="30">
        <v>0.05</v>
      </c>
      <c r="Y8" s="31">
        <v>3.7499999999999999E-2</v>
      </c>
    </row>
    <row r="9" spans="1:25">
      <c r="A9" s="23" t="s">
        <v>29</v>
      </c>
      <c r="B9" s="14" t="s">
        <v>43</v>
      </c>
      <c r="C9" s="14" t="s">
        <v>44</v>
      </c>
      <c r="D9" s="13" t="s">
        <v>45</v>
      </c>
      <c r="E9" s="14" t="s">
        <v>46</v>
      </c>
      <c r="F9" s="13" t="s">
        <v>41</v>
      </c>
      <c r="G9" s="14" t="s">
        <v>20</v>
      </c>
      <c r="H9" s="14"/>
      <c r="I9" s="14">
        <v>201401</v>
      </c>
      <c r="J9" s="15">
        <v>64.489999999999995</v>
      </c>
      <c r="K9" s="21">
        <f t="shared" si="5"/>
        <v>42675</v>
      </c>
      <c r="L9" s="16">
        <f t="shared" si="0"/>
        <v>6</v>
      </c>
      <c r="M9" s="17">
        <v>2.23333E-3</v>
      </c>
      <c r="N9" s="18">
        <f t="shared" si="1"/>
        <v>0.86416471019999985</v>
      </c>
      <c r="O9" s="15"/>
      <c r="P9" s="20">
        <f t="shared" si="2"/>
        <v>0</v>
      </c>
      <c r="Q9" s="15"/>
      <c r="R9" s="20">
        <f t="shared" si="3"/>
        <v>0</v>
      </c>
      <c r="S9" s="130"/>
      <c r="T9" s="20">
        <f t="shared" si="4"/>
        <v>0.91289625624999993</v>
      </c>
      <c r="V9" s="315">
        <f>6/12</f>
        <v>0.5</v>
      </c>
      <c r="W9" s="29" t="s">
        <v>47</v>
      </c>
      <c r="X9" s="30">
        <v>9.5000000000000001E-2</v>
      </c>
      <c r="Y9" s="31">
        <v>7.2190000000000004E-2</v>
      </c>
    </row>
    <row r="10" spans="1:25">
      <c r="A10" s="23" t="s">
        <v>29</v>
      </c>
      <c r="B10" s="14" t="s">
        <v>48</v>
      </c>
      <c r="C10" s="14" t="s">
        <v>49</v>
      </c>
      <c r="D10" s="13" t="s">
        <v>50</v>
      </c>
      <c r="E10" s="14" t="s">
        <v>51</v>
      </c>
      <c r="F10" s="13" t="s">
        <v>52</v>
      </c>
      <c r="G10" s="14" t="s">
        <v>20</v>
      </c>
      <c r="H10" s="14"/>
      <c r="I10" s="14">
        <v>201401</v>
      </c>
      <c r="J10" s="15">
        <v>8725.81</v>
      </c>
      <c r="K10" s="21">
        <f t="shared" si="5"/>
        <v>42675</v>
      </c>
      <c r="L10" s="16">
        <f t="shared" si="0"/>
        <v>6</v>
      </c>
      <c r="M10" s="17">
        <v>2.23333E-3</v>
      </c>
      <c r="N10" s="18">
        <f t="shared" si="1"/>
        <v>116.92567948379998</v>
      </c>
      <c r="O10" s="15"/>
      <c r="P10" s="20">
        <f t="shared" si="2"/>
        <v>0</v>
      </c>
      <c r="Q10" s="15"/>
      <c r="R10" s="20">
        <f t="shared" si="3"/>
        <v>0</v>
      </c>
      <c r="S10" s="130"/>
      <c r="T10" s="20">
        <f t="shared" si="4"/>
        <v>123.51929418124999</v>
      </c>
      <c r="V10" s="28">
        <f>4.5/12</f>
        <v>0.375</v>
      </c>
      <c r="W10" s="29" t="s">
        <v>53</v>
      </c>
      <c r="X10" s="30">
        <v>8.5500000000000007E-2</v>
      </c>
      <c r="Y10" s="31">
        <v>6.6769999999999996E-2</v>
      </c>
    </row>
    <row r="11" spans="1:25">
      <c r="A11" s="23" t="s">
        <v>29</v>
      </c>
      <c r="B11" s="14" t="s">
        <v>54</v>
      </c>
      <c r="C11" s="14" t="s">
        <v>55</v>
      </c>
      <c r="D11" s="13" t="s">
        <v>56</v>
      </c>
      <c r="E11" s="14" t="s">
        <v>57</v>
      </c>
      <c r="F11" s="13" t="s">
        <v>58</v>
      </c>
      <c r="G11" s="14" t="s">
        <v>20</v>
      </c>
      <c r="H11" s="14"/>
      <c r="I11" s="14">
        <v>201401</v>
      </c>
      <c r="J11" s="15">
        <v>3533.98</v>
      </c>
      <c r="K11" s="21">
        <f t="shared" si="5"/>
        <v>42675</v>
      </c>
      <c r="L11" s="16">
        <f t="shared" si="0"/>
        <v>6</v>
      </c>
      <c r="M11" s="17">
        <v>2.23333E-3</v>
      </c>
      <c r="N11" s="18">
        <f t="shared" si="1"/>
        <v>47.355261320399997</v>
      </c>
      <c r="O11" s="15"/>
      <c r="P11" s="20">
        <f t="shared" si="2"/>
        <v>0</v>
      </c>
      <c r="Q11" s="15"/>
      <c r="R11" s="20">
        <f t="shared" si="3"/>
        <v>0</v>
      </c>
      <c r="S11" s="130"/>
      <c r="T11" s="20">
        <f t="shared" si="4"/>
        <v>50.0256956375</v>
      </c>
      <c r="V11" s="28">
        <f>5.5/12</f>
        <v>0.45833333333333331</v>
      </c>
      <c r="W11" s="29" t="s">
        <v>59</v>
      </c>
      <c r="X11" s="30">
        <v>7.6999999999999999E-2</v>
      </c>
      <c r="Y11" s="31">
        <v>6.1769999999999999E-2</v>
      </c>
    </row>
    <row r="12" spans="1:25">
      <c r="A12" s="13" t="s">
        <v>21</v>
      </c>
      <c r="B12" s="14" t="s">
        <v>60</v>
      </c>
      <c r="C12" s="14" t="s">
        <v>61</v>
      </c>
      <c r="D12" s="13" t="s">
        <v>62</v>
      </c>
      <c r="E12" s="14" t="s">
        <v>63</v>
      </c>
      <c r="F12" s="13" t="s">
        <v>19</v>
      </c>
      <c r="G12" s="14" t="s">
        <v>20</v>
      </c>
      <c r="H12" s="14"/>
      <c r="I12" s="14">
        <v>201401</v>
      </c>
      <c r="J12" s="15">
        <v>346067.42</v>
      </c>
      <c r="K12" s="21">
        <f t="shared" si="5"/>
        <v>42675</v>
      </c>
      <c r="L12" s="16">
        <f t="shared" si="0"/>
        <v>6</v>
      </c>
      <c r="M12" s="17">
        <v>1.4833299999999999E-3</v>
      </c>
      <c r="N12" s="18">
        <f t="shared" si="1"/>
        <v>3079.9931166515998</v>
      </c>
      <c r="O12" s="15"/>
      <c r="P12" s="20">
        <f t="shared" si="2"/>
        <v>0</v>
      </c>
      <c r="Q12" s="15"/>
      <c r="R12" s="20">
        <f t="shared" si="3"/>
        <v>0</v>
      </c>
      <c r="S12" s="130"/>
      <c r="T12" s="20">
        <f t="shared" si="4"/>
        <v>4898.8006222374988</v>
      </c>
      <c r="V12" s="28"/>
      <c r="W12" s="32"/>
      <c r="X12" s="33"/>
      <c r="Y12" s="34"/>
    </row>
    <row r="13" spans="1:25">
      <c r="A13" s="13" t="s">
        <v>21</v>
      </c>
      <c r="B13" s="14" t="s">
        <v>64</v>
      </c>
      <c r="C13" s="14" t="s">
        <v>65</v>
      </c>
      <c r="D13" s="13" t="s">
        <v>66</v>
      </c>
      <c r="E13" s="14" t="s">
        <v>25</v>
      </c>
      <c r="F13" s="13" t="s">
        <v>26</v>
      </c>
      <c r="G13" s="14" t="s">
        <v>20</v>
      </c>
      <c r="H13" s="14"/>
      <c r="I13" s="14">
        <v>201401</v>
      </c>
      <c r="J13" s="15">
        <f>-1565.6</f>
        <v>-1565.6</v>
      </c>
      <c r="K13" s="21">
        <f t="shared" si="5"/>
        <v>42675</v>
      </c>
      <c r="L13" s="16">
        <f t="shared" si="0"/>
        <v>6</v>
      </c>
      <c r="M13" s="17">
        <v>1.4833299999999999E-3</v>
      </c>
      <c r="N13" s="18">
        <f t="shared" si="1"/>
        <v>-13.933808687999999</v>
      </c>
      <c r="O13" s="15"/>
      <c r="P13" s="20">
        <f t="shared" si="2"/>
        <v>0</v>
      </c>
      <c r="Q13" s="15"/>
      <c r="R13" s="20">
        <f t="shared" si="3"/>
        <v>0</v>
      </c>
      <c r="S13" s="130"/>
      <c r="T13" s="20">
        <f t="shared" si="4"/>
        <v>-22.162046499999999</v>
      </c>
    </row>
    <row r="14" spans="1:25">
      <c r="A14" s="13" t="s">
        <v>21</v>
      </c>
      <c r="B14" s="14" t="s">
        <v>67</v>
      </c>
      <c r="C14" s="14" t="s">
        <v>68</v>
      </c>
      <c r="D14" s="13" t="s">
        <v>69</v>
      </c>
      <c r="E14" s="14" t="s">
        <v>70</v>
      </c>
      <c r="F14" s="13" t="s">
        <v>71</v>
      </c>
      <c r="G14" s="14" t="s">
        <v>20</v>
      </c>
      <c r="H14" s="14"/>
      <c r="I14" s="14">
        <v>201401</v>
      </c>
      <c r="J14" s="15">
        <f>5662.91</f>
        <v>5662.91</v>
      </c>
      <c r="K14" s="21">
        <f t="shared" si="5"/>
        <v>42675</v>
      </c>
      <c r="L14" s="16">
        <f t="shared" si="0"/>
        <v>6</v>
      </c>
      <c r="M14" s="17">
        <v>1.4833299999999999E-3</v>
      </c>
      <c r="N14" s="18">
        <f t="shared" si="1"/>
        <v>50.399785741800002</v>
      </c>
      <c r="O14" s="15"/>
      <c r="P14" s="20">
        <f t="shared" si="2"/>
        <v>0</v>
      </c>
      <c r="Q14" s="15"/>
      <c r="R14" s="20">
        <f t="shared" si="3"/>
        <v>0</v>
      </c>
      <c r="S14" s="130"/>
      <c r="T14" s="20">
        <f t="shared" si="4"/>
        <v>80.162030368749996</v>
      </c>
    </row>
    <row r="15" spans="1:25">
      <c r="A15" s="13" t="s">
        <v>21</v>
      </c>
      <c r="B15" s="14" t="s">
        <v>72</v>
      </c>
      <c r="C15" s="14" t="s">
        <v>73</v>
      </c>
      <c r="D15" s="13" t="s">
        <v>74</v>
      </c>
      <c r="E15" s="14" t="s">
        <v>75</v>
      </c>
      <c r="F15" s="13" t="s">
        <v>26</v>
      </c>
      <c r="G15" s="14" t="s">
        <v>20</v>
      </c>
      <c r="H15" s="14"/>
      <c r="I15" s="14">
        <v>201401</v>
      </c>
      <c r="J15" s="15">
        <v>45944.67</v>
      </c>
      <c r="K15" s="21">
        <f t="shared" si="5"/>
        <v>42675</v>
      </c>
      <c r="L15" s="16">
        <f t="shared" si="0"/>
        <v>6</v>
      </c>
      <c r="M15" s="17">
        <v>1.4833299999999999E-3</v>
      </c>
      <c r="N15" s="18">
        <f t="shared" si="1"/>
        <v>408.90664410659997</v>
      </c>
      <c r="O15" s="15"/>
      <c r="P15" s="20">
        <f t="shared" si="2"/>
        <v>0</v>
      </c>
      <c r="Q15" s="15"/>
      <c r="R15" s="20">
        <f t="shared" si="3"/>
        <v>0</v>
      </c>
      <c r="S15" s="130"/>
      <c r="T15" s="20">
        <f t="shared" si="4"/>
        <v>650.37551926874994</v>
      </c>
    </row>
    <row r="16" spans="1:25">
      <c r="A16" s="13" t="s">
        <v>21</v>
      </c>
      <c r="B16" s="14" t="s">
        <v>76</v>
      </c>
      <c r="C16" s="14" t="s">
        <v>77</v>
      </c>
      <c r="D16" s="13" t="s">
        <v>78</v>
      </c>
      <c r="E16" s="14" t="s">
        <v>79</v>
      </c>
      <c r="F16" s="13" t="s">
        <v>26</v>
      </c>
      <c r="G16" s="14" t="s">
        <v>20</v>
      </c>
      <c r="H16" s="14"/>
      <c r="I16" s="14">
        <v>201401</v>
      </c>
      <c r="J16" s="15">
        <f>10853.98</f>
        <v>10853.98</v>
      </c>
      <c r="K16" s="21">
        <f t="shared" si="5"/>
        <v>42675</v>
      </c>
      <c r="L16" s="16">
        <f t="shared" si="0"/>
        <v>6</v>
      </c>
      <c r="M16" s="17">
        <v>1.4833299999999999E-3</v>
      </c>
      <c r="N16" s="18">
        <f t="shared" si="1"/>
        <v>96.600204920400003</v>
      </c>
      <c r="O16" s="15"/>
      <c r="P16" s="20">
        <f t="shared" si="2"/>
        <v>0</v>
      </c>
      <c r="Q16" s="15"/>
      <c r="R16" s="20">
        <f t="shared" si="3"/>
        <v>0</v>
      </c>
      <c r="S16" s="130"/>
      <c r="T16" s="20">
        <f t="shared" si="4"/>
        <v>153.64487063749999</v>
      </c>
      <c r="W16" s="3" t="s">
        <v>80</v>
      </c>
      <c r="Y16" s="3">
        <v>0.5</v>
      </c>
    </row>
    <row r="17" spans="1:25">
      <c r="A17" s="13" t="s">
        <v>21</v>
      </c>
      <c r="B17" s="14" t="s">
        <v>81</v>
      </c>
      <c r="C17" s="14" t="s">
        <v>82</v>
      </c>
      <c r="D17" s="13" t="s">
        <v>83</v>
      </c>
      <c r="E17" s="14" t="s">
        <v>75</v>
      </c>
      <c r="F17" s="13" t="s">
        <v>26</v>
      </c>
      <c r="G17" s="14" t="s">
        <v>20</v>
      </c>
      <c r="H17" s="14"/>
      <c r="I17" s="14">
        <v>201401</v>
      </c>
      <c r="J17" s="15">
        <v>32699.13</v>
      </c>
      <c r="K17" s="21">
        <f t="shared" si="5"/>
        <v>42675</v>
      </c>
      <c r="L17" s="16">
        <f t="shared" si="0"/>
        <v>6</v>
      </c>
      <c r="M17" s="17">
        <v>1.4833299999999999E-3</v>
      </c>
      <c r="N17" s="18">
        <f t="shared" si="1"/>
        <v>291.02160301740003</v>
      </c>
      <c r="O17" s="15"/>
      <c r="P17" s="20">
        <f t="shared" si="2"/>
        <v>0</v>
      </c>
      <c r="Q17" s="15"/>
      <c r="R17" s="20">
        <f t="shared" si="3"/>
        <v>0</v>
      </c>
      <c r="S17" s="130"/>
      <c r="T17" s="20">
        <f t="shared" si="4"/>
        <v>462.87662210624995</v>
      </c>
      <c r="W17" s="3" t="s">
        <v>42</v>
      </c>
      <c r="Y17" s="3">
        <f>0.0375*0.5</f>
        <v>1.8749999999999999E-2</v>
      </c>
    </row>
    <row r="18" spans="1:25">
      <c r="A18" s="13" t="s">
        <v>21</v>
      </c>
      <c r="B18" s="14" t="s">
        <v>84</v>
      </c>
      <c r="C18" s="14" t="s">
        <v>85</v>
      </c>
      <c r="D18" s="13" t="s">
        <v>86</v>
      </c>
      <c r="E18" s="14" t="s">
        <v>87</v>
      </c>
      <c r="F18" s="13" t="s">
        <v>88</v>
      </c>
      <c r="G18" s="14" t="s">
        <v>20</v>
      </c>
      <c r="H18" s="14"/>
      <c r="I18" s="14">
        <v>201401</v>
      </c>
      <c r="J18" s="15">
        <v>0</v>
      </c>
      <c r="K18" s="21">
        <f t="shared" si="5"/>
        <v>42675</v>
      </c>
      <c r="L18" s="16">
        <f t="shared" si="0"/>
        <v>6</v>
      </c>
      <c r="M18" s="17">
        <v>1.4833299999999999E-3</v>
      </c>
      <c r="N18" s="18">
        <f t="shared" si="1"/>
        <v>0</v>
      </c>
      <c r="O18" s="15"/>
      <c r="P18" s="20">
        <f t="shared" si="2"/>
        <v>0</v>
      </c>
      <c r="Q18" s="15"/>
      <c r="R18" s="20">
        <f t="shared" si="3"/>
        <v>0</v>
      </c>
      <c r="S18" s="130"/>
      <c r="T18" s="20">
        <f t="shared" si="4"/>
        <v>0</v>
      </c>
      <c r="W18" s="3" t="s">
        <v>89</v>
      </c>
      <c r="Y18" s="3">
        <f>+Y16+Y17</f>
        <v>0.51875000000000004</v>
      </c>
    </row>
    <row r="19" spans="1:25">
      <c r="A19" s="13" t="s">
        <v>21</v>
      </c>
      <c r="B19" s="14" t="s">
        <v>90</v>
      </c>
      <c r="C19" s="14" t="s">
        <v>91</v>
      </c>
      <c r="D19" s="13" t="s">
        <v>92</v>
      </c>
      <c r="E19" s="14" t="s">
        <v>93</v>
      </c>
      <c r="F19" s="13" t="s">
        <v>88</v>
      </c>
      <c r="G19" s="14" t="s">
        <v>20</v>
      </c>
      <c r="H19" s="14"/>
      <c r="I19" s="14">
        <v>201401</v>
      </c>
      <c r="J19" s="15">
        <v>2973.58</v>
      </c>
      <c r="K19" s="21">
        <f t="shared" si="5"/>
        <v>42675</v>
      </c>
      <c r="L19" s="16">
        <f t="shared" si="0"/>
        <v>6</v>
      </c>
      <c r="M19" s="17">
        <v>1.4833299999999999E-3</v>
      </c>
      <c r="N19" s="18">
        <f t="shared" si="1"/>
        <v>26.4648025284</v>
      </c>
      <c r="O19" s="15"/>
      <c r="P19" s="20">
        <f t="shared" si="2"/>
        <v>0</v>
      </c>
      <c r="Q19" s="15"/>
      <c r="R19" s="20">
        <f t="shared" si="3"/>
        <v>0</v>
      </c>
      <c r="S19" s="130"/>
      <c r="T19" s="20">
        <f t="shared" si="4"/>
        <v>42.092883387499995</v>
      </c>
      <c r="W19" s="3" t="s">
        <v>94</v>
      </c>
      <c r="Y19" s="3">
        <v>3.7499999999999999E-2</v>
      </c>
    </row>
    <row r="20" spans="1:25">
      <c r="A20" s="13" t="s">
        <v>21</v>
      </c>
      <c r="B20" s="14" t="s">
        <v>95</v>
      </c>
      <c r="C20" s="14" t="s">
        <v>96</v>
      </c>
      <c r="D20" s="13" t="s">
        <v>97</v>
      </c>
      <c r="E20" s="14" t="s">
        <v>75</v>
      </c>
      <c r="F20" s="13" t="s">
        <v>26</v>
      </c>
      <c r="G20" s="14" t="s">
        <v>20</v>
      </c>
      <c r="H20" s="14"/>
      <c r="I20" s="14">
        <v>201401</v>
      </c>
      <c r="J20" s="15">
        <v>2335.9</v>
      </c>
      <c r="K20" s="21">
        <f t="shared" si="5"/>
        <v>42675</v>
      </c>
      <c r="L20" s="16">
        <f t="shared" si="0"/>
        <v>6</v>
      </c>
      <c r="M20" s="17">
        <v>1.4833299999999999E-3</v>
      </c>
      <c r="N20" s="18">
        <f t="shared" si="1"/>
        <v>20.789463282</v>
      </c>
      <c r="O20" s="15"/>
      <c r="P20" s="20">
        <f t="shared" si="2"/>
        <v>0</v>
      </c>
      <c r="Q20" s="15"/>
      <c r="R20" s="20">
        <f t="shared" si="3"/>
        <v>0</v>
      </c>
      <c r="S20" s="130"/>
      <c r="T20" s="20">
        <f t="shared" si="4"/>
        <v>33.066124437500001</v>
      </c>
      <c r="W20" s="3" t="s">
        <v>98</v>
      </c>
      <c r="Y20" s="3">
        <f>+Y18-Y19</f>
        <v>0.48125000000000007</v>
      </c>
    </row>
    <row r="21" spans="1:25">
      <c r="A21" s="13" t="s">
        <v>21</v>
      </c>
      <c r="B21" s="14" t="s">
        <v>99</v>
      </c>
      <c r="C21" s="14" t="s">
        <v>100</v>
      </c>
      <c r="D21" s="13" t="s">
        <v>101</v>
      </c>
      <c r="E21" s="14" t="s">
        <v>102</v>
      </c>
      <c r="F21" s="13" t="s">
        <v>19</v>
      </c>
      <c r="G21" s="14" t="s">
        <v>20</v>
      </c>
      <c r="H21" s="14"/>
      <c r="I21" s="14">
        <v>201401</v>
      </c>
      <c r="J21" s="15">
        <v>9.9600000000000009</v>
      </c>
      <c r="K21" s="21">
        <f t="shared" si="5"/>
        <v>42675</v>
      </c>
      <c r="L21" s="16">
        <f t="shared" si="0"/>
        <v>6</v>
      </c>
      <c r="M21" s="17">
        <v>1.4833299999999999E-3</v>
      </c>
      <c r="N21" s="18">
        <f t="shared" si="1"/>
        <v>8.8643800800000006E-2</v>
      </c>
      <c r="O21" s="15"/>
      <c r="P21" s="20">
        <f t="shared" si="2"/>
        <v>0</v>
      </c>
      <c r="Q21" s="15"/>
      <c r="R21" s="20">
        <f t="shared" si="3"/>
        <v>0</v>
      </c>
      <c r="S21" s="130"/>
      <c r="T21" s="20">
        <f t="shared" si="4"/>
        <v>0.14099002499999999</v>
      </c>
    </row>
    <row r="22" spans="1:25">
      <c r="A22" s="23" t="s">
        <v>29</v>
      </c>
      <c r="B22" s="14" t="s">
        <v>103</v>
      </c>
      <c r="C22" s="14" t="s">
        <v>104</v>
      </c>
      <c r="D22" s="13" t="s">
        <v>105</v>
      </c>
      <c r="E22" s="14" t="s">
        <v>106</v>
      </c>
      <c r="F22" s="13" t="s">
        <v>34</v>
      </c>
      <c r="G22" s="14" t="s">
        <v>20</v>
      </c>
      <c r="H22" s="14"/>
      <c r="I22" s="14">
        <v>201401</v>
      </c>
      <c r="J22" s="15">
        <v>1690.08</v>
      </c>
      <c r="K22" s="21">
        <f t="shared" si="5"/>
        <v>42675</v>
      </c>
      <c r="L22" s="16">
        <f t="shared" si="0"/>
        <v>6</v>
      </c>
      <c r="M22" s="17">
        <v>2.23333E-3</v>
      </c>
      <c r="N22" s="18">
        <f t="shared" si="1"/>
        <v>22.647038198399997</v>
      </c>
      <c r="O22" s="15"/>
      <c r="P22" s="20">
        <f t="shared" si="2"/>
        <v>0</v>
      </c>
      <c r="Q22" s="15"/>
      <c r="R22" s="20">
        <f t="shared" si="3"/>
        <v>0</v>
      </c>
      <c r="S22" s="130"/>
      <c r="T22" s="20">
        <f t="shared" si="4"/>
        <v>23.924138699999997</v>
      </c>
    </row>
    <row r="23" spans="1:25">
      <c r="A23" s="23" t="s">
        <v>29</v>
      </c>
      <c r="B23" s="14" t="s">
        <v>107</v>
      </c>
      <c r="C23" s="14" t="s">
        <v>108</v>
      </c>
      <c r="D23" s="13" t="s">
        <v>109</v>
      </c>
      <c r="E23" s="14" t="s">
        <v>110</v>
      </c>
      <c r="F23" s="13" t="s">
        <v>52</v>
      </c>
      <c r="G23" s="14" t="s">
        <v>20</v>
      </c>
      <c r="H23" s="14"/>
      <c r="I23" s="14">
        <v>201401</v>
      </c>
      <c r="J23" s="15">
        <v>29068.55</v>
      </c>
      <c r="K23" s="21">
        <f t="shared" si="5"/>
        <v>42675</v>
      </c>
      <c r="L23" s="16">
        <f t="shared" si="0"/>
        <v>6</v>
      </c>
      <c r="M23" s="17">
        <v>2.23333E-3</v>
      </c>
      <c r="N23" s="18">
        <f t="shared" si="1"/>
        <v>389.51798862899994</v>
      </c>
      <c r="O23" s="15"/>
      <c r="P23" s="20">
        <f t="shared" si="2"/>
        <v>0</v>
      </c>
      <c r="Q23" s="15"/>
      <c r="R23" s="20">
        <f t="shared" si="3"/>
        <v>0</v>
      </c>
      <c r="S23" s="130"/>
      <c r="T23" s="20">
        <f t="shared" si="4"/>
        <v>411.48349309374998</v>
      </c>
    </row>
    <row r="24" spans="1:25">
      <c r="A24" s="23" t="s">
        <v>29</v>
      </c>
      <c r="B24" s="14" t="s">
        <v>111</v>
      </c>
      <c r="C24" s="14" t="s">
        <v>112</v>
      </c>
      <c r="D24" s="13" t="s">
        <v>113</v>
      </c>
      <c r="E24" s="14" t="s">
        <v>114</v>
      </c>
      <c r="F24" s="13" t="s">
        <v>115</v>
      </c>
      <c r="G24" s="14" t="s">
        <v>20</v>
      </c>
      <c r="H24" s="14"/>
      <c r="I24" s="14">
        <v>201401</v>
      </c>
      <c r="J24" s="15">
        <v>1213.6099999999999</v>
      </c>
      <c r="K24" s="21">
        <f t="shared" si="5"/>
        <v>42675</v>
      </c>
      <c r="L24" s="16">
        <f t="shared" si="0"/>
        <v>6</v>
      </c>
      <c r="M24" s="17">
        <v>2.23333E-3</v>
      </c>
      <c r="N24" s="18">
        <f t="shared" si="1"/>
        <v>16.262349727799997</v>
      </c>
      <c r="O24" s="15"/>
      <c r="P24" s="20">
        <f t="shared" si="2"/>
        <v>0</v>
      </c>
      <c r="Q24" s="15"/>
      <c r="R24" s="20">
        <f t="shared" si="3"/>
        <v>0</v>
      </c>
      <c r="S24" s="130"/>
      <c r="T24" s="20">
        <f t="shared" si="4"/>
        <v>17.179408056249997</v>
      </c>
    </row>
    <row r="25" spans="1:25">
      <c r="A25" s="13" t="s">
        <v>21</v>
      </c>
      <c r="B25" s="14" t="s">
        <v>116</v>
      </c>
      <c r="C25" s="14" t="s">
        <v>117</v>
      </c>
      <c r="D25" s="13" t="s">
        <v>118</v>
      </c>
      <c r="E25" s="14" t="s">
        <v>119</v>
      </c>
      <c r="F25" s="13" t="s">
        <v>120</v>
      </c>
      <c r="G25" s="14" t="s">
        <v>20</v>
      </c>
      <c r="H25" s="14"/>
      <c r="I25" s="14">
        <v>201401</v>
      </c>
      <c r="J25" s="15">
        <v>68205</v>
      </c>
      <c r="K25" s="21">
        <f t="shared" si="5"/>
        <v>42675</v>
      </c>
      <c r="L25" s="16">
        <f t="shared" si="0"/>
        <v>6</v>
      </c>
      <c r="M25" s="17">
        <v>1.4833299999999999E-3</v>
      </c>
      <c r="N25" s="18">
        <f t="shared" si="1"/>
        <v>607.02313590000006</v>
      </c>
      <c r="O25" s="15"/>
      <c r="P25" s="20">
        <f t="shared" si="2"/>
        <v>0</v>
      </c>
      <c r="Q25" s="15"/>
      <c r="R25" s="20">
        <f t="shared" si="3"/>
        <v>0</v>
      </c>
      <c r="S25" s="130"/>
      <c r="T25" s="20">
        <f t="shared" si="4"/>
        <v>965.48440312499997</v>
      </c>
    </row>
    <row r="26" spans="1:25">
      <c r="A26" s="23" t="s">
        <v>29</v>
      </c>
      <c r="B26" s="14" t="s">
        <v>121</v>
      </c>
      <c r="C26" s="14" t="s">
        <v>122</v>
      </c>
      <c r="D26" s="13" t="s">
        <v>50</v>
      </c>
      <c r="E26" s="14" t="s">
        <v>123</v>
      </c>
      <c r="F26" s="13" t="s">
        <v>52</v>
      </c>
      <c r="G26" s="14" t="s">
        <v>20</v>
      </c>
      <c r="H26" s="14"/>
      <c r="I26" s="14">
        <v>201401</v>
      </c>
      <c r="J26" s="15">
        <v>3580.98</v>
      </c>
      <c r="K26" s="21">
        <f t="shared" si="5"/>
        <v>42675</v>
      </c>
      <c r="L26" s="16">
        <f t="shared" si="0"/>
        <v>6</v>
      </c>
      <c r="M26" s="17">
        <v>2.23333E-3</v>
      </c>
      <c r="N26" s="18">
        <f t="shared" si="1"/>
        <v>47.985060380399993</v>
      </c>
      <c r="O26" s="15"/>
      <c r="P26" s="20">
        <f t="shared" si="2"/>
        <v>0</v>
      </c>
      <c r="Q26" s="15"/>
      <c r="R26" s="20">
        <f t="shared" si="3"/>
        <v>0</v>
      </c>
      <c r="S26" s="130"/>
      <c r="T26" s="20">
        <f t="shared" si="4"/>
        <v>50.691010012499994</v>
      </c>
    </row>
    <row r="27" spans="1:25">
      <c r="A27" s="23" t="s">
        <v>29</v>
      </c>
      <c r="B27" s="14" t="s">
        <v>124</v>
      </c>
      <c r="C27" s="14" t="s">
        <v>125</v>
      </c>
      <c r="D27" s="13" t="s">
        <v>50</v>
      </c>
      <c r="E27" s="14" t="s">
        <v>126</v>
      </c>
      <c r="F27" s="13" t="s">
        <v>52</v>
      </c>
      <c r="G27" s="14" t="s">
        <v>20</v>
      </c>
      <c r="H27" s="14"/>
      <c r="I27" s="14">
        <v>201401</v>
      </c>
      <c r="J27" s="15">
        <v>889.34</v>
      </c>
      <c r="K27" s="21">
        <f t="shared" si="5"/>
        <v>42675</v>
      </c>
      <c r="L27" s="16">
        <f t="shared" si="0"/>
        <v>6</v>
      </c>
      <c r="M27" s="17">
        <v>2.23333E-3</v>
      </c>
      <c r="N27" s="18">
        <f t="shared" si="1"/>
        <v>11.917138213199999</v>
      </c>
      <c r="O27" s="15"/>
      <c r="P27" s="20">
        <f t="shared" si="2"/>
        <v>0</v>
      </c>
      <c r="Q27" s="15"/>
      <c r="R27" s="20">
        <f t="shared" si="3"/>
        <v>0</v>
      </c>
      <c r="S27" s="130"/>
      <c r="T27" s="20">
        <f t="shared" si="4"/>
        <v>12.589163537499999</v>
      </c>
    </row>
    <row r="28" spans="1:25">
      <c r="A28" s="13" t="s">
        <v>127</v>
      </c>
      <c r="B28" s="14" t="s">
        <v>128</v>
      </c>
      <c r="C28" s="14" t="s">
        <v>129</v>
      </c>
      <c r="D28" s="13" t="s">
        <v>130</v>
      </c>
      <c r="E28" s="14" t="s">
        <v>131</v>
      </c>
      <c r="F28" s="13" t="s">
        <v>132</v>
      </c>
      <c r="G28" s="14" t="s">
        <v>20</v>
      </c>
      <c r="H28" s="14"/>
      <c r="I28" s="14">
        <v>201401</v>
      </c>
      <c r="J28" s="15">
        <v>1653.28</v>
      </c>
      <c r="K28" s="21">
        <f t="shared" si="5"/>
        <v>42675</v>
      </c>
      <c r="L28" s="16">
        <f t="shared" si="0"/>
        <v>6</v>
      </c>
      <c r="M28" s="17">
        <v>2.3833299999999999E-3</v>
      </c>
      <c r="N28" s="18">
        <f t="shared" si="1"/>
        <v>23.6418709344</v>
      </c>
      <c r="O28" s="15"/>
      <c r="P28" s="20">
        <f t="shared" si="2"/>
        <v>0</v>
      </c>
      <c r="Q28" s="15"/>
      <c r="R28" s="20">
        <f t="shared" si="3"/>
        <v>0</v>
      </c>
      <c r="S28" s="130"/>
      <c r="T28" s="20">
        <f t="shared" si="4"/>
        <v>23.4032117</v>
      </c>
    </row>
    <row r="29" spans="1:25">
      <c r="A29" s="13" t="s">
        <v>133</v>
      </c>
      <c r="B29" s="14" t="s">
        <v>134</v>
      </c>
      <c r="C29" s="14" t="s">
        <v>135</v>
      </c>
      <c r="D29" s="13" t="s">
        <v>136</v>
      </c>
      <c r="E29" s="14" t="s">
        <v>137</v>
      </c>
      <c r="F29" s="13" t="s">
        <v>138</v>
      </c>
      <c r="G29" s="14" t="s">
        <v>20</v>
      </c>
      <c r="H29" s="14"/>
      <c r="I29" s="14">
        <v>201401</v>
      </c>
      <c r="J29" s="15">
        <f>273693.51</f>
        <v>273693.51</v>
      </c>
      <c r="K29" s="21">
        <f t="shared" si="5"/>
        <v>42675</v>
      </c>
      <c r="L29" s="16">
        <f t="shared" si="0"/>
        <v>6</v>
      </c>
      <c r="M29" s="17">
        <v>1.4833299999999999E-3</v>
      </c>
      <c r="N29" s="18">
        <f t="shared" si="1"/>
        <v>2435.8667651298001</v>
      </c>
      <c r="O29" s="15"/>
      <c r="P29" s="20">
        <f t="shared" si="2"/>
        <v>0</v>
      </c>
      <c r="Q29" s="15"/>
      <c r="R29" s="20">
        <f t="shared" si="3"/>
        <v>0</v>
      </c>
      <c r="S29" s="130"/>
      <c r="T29" s="20">
        <f t="shared" si="4"/>
        <v>3874.3026924937494</v>
      </c>
    </row>
    <row r="30" spans="1:25">
      <c r="A30" s="13" t="s">
        <v>21</v>
      </c>
      <c r="B30" s="14" t="s">
        <v>139</v>
      </c>
      <c r="C30" s="14" t="s">
        <v>140</v>
      </c>
      <c r="D30" s="13" t="s">
        <v>141</v>
      </c>
      <c r="E30" s="14" t="s">
        <v>142</v>
      </c>
      <c r="F30" s="13" t="s">
        <v>143</v>
      </c>
      <c r="G30" s="14" t="s">
        <v>20</v>
      </c>
      <c r="H30" s="14"/>
      <c r="I30" s="14">
        <v>201401</v>
      </c>
      <c r="J30" s="15">
        <f>-121.97</f>
        <v>-121.97</v>
      </c>
      <c r="K30" s="21">
        <f t="shared" si="5"/>
        <v>42675</v>
      </c>
      <c r="L30" s="16">
        <f t="shared" si="0"/>
        <v>6</v>
      </c>
      <c r="M30" s="17">
        <v>1.4833299999999999E-3</v>
      </c>
      <c r="N30" s="18">
        <f t="shared" si="1"/>
        <v>-1.0855305606000001</v>
      </c>
      <c r="O30" s="15"/>
      <c r="P30" s="20">
        <f t="shared" si="2"/>
        <v>0</v>
      </c>
      <c r="Q30" s="15"/>
      <c r="R30" s="20">
        <f t="shared" si="3"/>
        <v>0</v>
      </c>
      <c r="S30" s="130"/>
      <c r="T30" s="20">
        <f t="shared" si="4"/>
        <v>-1.7265615812499999</v>
      </c>
    </row>
    <row r="31" spans="1:25">
      <c r="A31" s="13" t="s">
        <v>21</v>
      </c>
      <c r="B31" s="14" t="s">
        <v>144</v>
      </c>
      <c r="C31" s="14" t="s">
        <v>145</v>
      </c>
      <c r="D31" s="13" t="s">
        <v>146</v>
      </c>
      <c r="E31" s="14" t="s">
        <v>142</v>
      </c>
      <c r="F31" s="13" t="s">
        <v>143</v>
      </c>
      <c r="G31" s="14" t="s">
        <v>20</v>
      </c>
      <c r="H31" s="14"/>
      <c r="I31" s="14">
        <v>201401</v>
      </c>
      <c r="J31" s="15">
        <f>-37.97</f>
        <v>-37.97</v>
      </c>
      <c r="K31" s="21">
        <f t="shared" si="5"/>
        <v>42675</v>
      </c>
      <c r="L31" s="16">
        <f t="shared" si="0"/>
        <v>6</v>
      </c>
      <c r="M31" s="17">
        <v>1.4833299999999999E-3</v>
      </c>
      <c r="N31" s="18">
        <f t="shared" si="1"/>
        <v>-0.33793224059999999</v>
      </c>
      <c r="O31" s="15"/>
      <c r="P31" s="20">
        <f t="shared" si="2"/>
        <v>0</v>
      </c>
      <c r="Q31" s="15"/>
      <c r="R31" s="20">
        <f t="shared" si="3"/>
        <v>0</v>
      </c>
      <c r="S31" s="130"/>
      <c r="T31" s="20">
        <f t="shared" si="4"/>
        <v>-0.53748908124999994</v>
      </c>
    </row>
    <row r="32" spans="1:25">
      <c r="A32" s="13" t="s">
        <v>21</v>
      </c>
      <c r="B32" s="14" t="s">
        <v>147</v>
      </c>
      <c r="C32" s="14" t="s">
        <v>148</v>
      </c>
      <c r="D32" s="13" t="s">
        <v>149</v>
      </c>
      <c r="E32" s="14" t="s">
        <v>75</v>
      </c>
      <c r="F32" s="13" t="s">
        <v>26</v>
      </c>
      <c r="G32" s="14" t="s">
        <v>20</v>
      </c>
      <c r="H32" s="14"/>
      <c r="I32" s="14">
        <v>201401</v>
      </c>
      <c r="J32" s="15">
        <v>0</v>
      </c>
      <c r="K32" s="21">
        <f t="shared" si="5"/>
        <v>42675</v>
      </c>
      <c r="L32" s="16">
        <f t="shared" si="0"/>
        <v>6</v>
      </c>
      <c r="M32" s="17">
        <v>1.4833299999999999E-3</v>
      </c>
      <c r="N32" s="18">
        <f t="shared" si="1"/>
        <v>0</v>
      </c>
      <c r="O32" s="15"/>
      <c r="P32" s="20">
        <f t="shared" si="2"/>
        <v>0</v>
      </c>
      <c r="Q32" s="15"/>
      <c r="R32" s="20">
        <f t="shared" si="3"/>
        <v>0</v>
      </c>
      <c r="S32" s="130"/>
      <c r="T32" s="20">
        <f t="shared" si="4"/>
        <v>0</v>
      </c>
    </row>
    <row r="33" spans="1:20">
      <c r="A33" s="13" t="s">
        <v>21</v>
      </c>
      <c r="B33" s="14" t="s">
        <v>150</v>
      </c>
      <c r="C33" s="14" t="s">
        <v>151</v>
      </c>
      <c r="D33" s="13" t="s">
        <v>152</v>
      </c>
      <c r="E33" s="14" t="s">
        <v>75</v>
      </c>
      <c r="F33" s="13" t="s">
        <v>26</v>
      </c>
      <c r="G33" s="14" t="s">
        <v>20</v>
      </c>
      <c r="H33" s="14"/>
      <c r="I33" s="14">
        <v>201401</v>
      </c>
      <c r="J33" s="15">
        <v>0</v>
      </c>
      <c r="K33" s="21">
        <f t="shared" si="5"/>
        <v>42675</v>
      </c>
      <c r="L33" s="16">
        <f t="shared" si="0"/>
        <v>6</v>
      </c>
      <c r="M33" s="17">
        <v>1.4833299999999999E-3</v>
      </c>
      <c r="N33" s="18">
        <f t="shared" si="1"/>
        <v>0</v>
      </c>
      <c r="O33" s="15"/>
      <c r="P33" s="20">
        <f t="shared" si="2"/>
        <v>0</v>
      </c>
      <c r="Q33" s="15"/>
      <c r="R33" s="20">
        <f t="shared" si="3"/>
        <v>0</v>
      </c>
      <c r="S33" s="130"/>
      <c r="T33" s="20">
        <f t="shared" si="4"/>
        <v>0</v>
      </c>
    </row>
    <row r="34" spans="1:20">
      <c r="A34" s="13" t="s">
        <v>21</v>
      </c>
      <c r="B34" s="14" t="s">
        <v>153</v>
      </c>
      <c r="C34" s="14" t="s">
        <v>154</v>
      </c>
      <c r="D34" s="13" t="s">
        <v>155</v>
      </c>
      <c r="E34" s="14" t="s">
        <v>156</v>
      </c>
      <c r="F34" s="13" t="s">
        <v>26</v>
      </c>
      <c r="G34" s="14" t="s">
        <v>20</v>
      </c>
      <c r="H34" s="14"/>
      <c r="I34" s="14">
        <v>201401</v>
      </c>
      <c r="J34" s="15">
        <v>975.53</v>
      </c>
      <c r="K34" s="21">
        <f t="shared" si="5"/>
        <v>42675</v>
      </c>
      <c r="L34" s="16">
        <f t="shared" si="0"/>
        <v>6</v>
      </c>
      <c r="M34" s="17">
        <v>1.4833299999999999E-3</v>
      </c>
      <c r="N34" s="18">
        <f t="shared" si="1"/>
        <v>8.6821974894</v>
      </c>
      <c r="O34" s="15"/>
      <c r="P34" s="20">
        <f t="shared" si="2"/>
        <v>0</v>
      </c>
      <c r="Q34" s="15"/>
      <c r="R34" s="20">
        <f t="shared" si="3"/>
        <v>0</v>
      </c>
      <c r="S34" s="130"/>
      <c r="T34" s="20">
        <f t="shared" si="4"/>
        <v>13.809236856249997</v>
      </c>
    </row>
    <row r="35" spans="1:20">
      <c r="A35" s="13" t="s">
        <v>21</v>
      </c>
      <c r="B35" s="14" t="s">
        <v>157</v>
      </c>
      <c r="C35" s="14" t="s">
        <v>158</v>
      </c>
      <c r="D35" s="13" t="s">
        <v>159</v>
      </c>
      <c r="E35" s="14" t="s">
        <v>160</v>
      </c>
      <c r="F35" s="13" t="s">
        <v>19</v>
      </c>
      <c r="G35" s="14" t="s">
        <v>20</v>
      </c>
      <c r="H35" s="14"/>
      <c r="I35" s="14">
        <v>201401</v>
      </c>
      <c r="J35" s="15">
        <v>3430.03</v>
      </c>
      <c r="K35" s="21">
        <f t="shared" si="5"/>
        <v>42675</v>
      </c>
      <c r="L35" s="16">
        <f t="shared" si="0"/>
        <v>6</v>
      </c>
      <c r="M35" s="17">
        <v>1.4833299999999999E-3</v>
      </c>
      <c r="N35" s="18">
        <f t="shared" si="1"/>
        <v>30.527198399400003</v>
      </c>
      <c r="O35" s="15"/>
      <c r="P35" s="20">
        <f t="shared" si="2"/>
        <v>0</v>
      </c>
      <c r="Q35" s="15"/>
      <c r="R35" s="20">
        <f t="shared" si="3"/>
        <v>0</v>
      </c>
      <c r="S35" s="130"/>
      <c r="T35" s="20">
        <f t="shared" si="4"/>
        <v>48.554218418750004</v>
      </c>
    </row>
    <row r="36" spans="1:20">
      <c r="A36" s="13" t="s">
        <v>21</v>
      </c>
      <c r="B36" s="14" t="s">
        <v>161</v>
      </c>
      <c r="C36" s="14" t="s">
        <v>162</v>
      </c>
      <c r="D36" s="13" t="s">
        <v>163</v>
      </c>
      <c r="E36" s="14" t="s">
        <v>164</v>
      </c>
      <c r="F36" s="13" t="s">
        <v>165</v>
      </c>
      <c r="G36" s="14" t="s">
        <v>20</v>
      </c>
      <c r="H36" s="14"/>
      <c r="I36" s="14">
        <v>201401</v>
      </c>
      <c r="J36" s="15">
        <v>5305.74</v>
      </c>
      <c r="K36" s="21">
        <f t="shared" si="5"/>
        <v>42675</v>
      </c>
      <c r="L36" s="16">
        <f t="shared" si="0"/>
        <v>6</v>
      </c>
      <c r="M36" s="17">
        <v>1.4833299999999999E-3</v>
      </c>
      <c r="N36" s="18">
        <f t="shared" si="1"/>
        <v>47.220979885199995</v>
      </c>
      <c r="O36" s="15"/>
      <c r="P36" s="20">
        <f t="shared" si="2"/>
        <v>0</v>
      </c>
      <c r="Q36" s="15"/>
      <c r="R36" s="20">
        <f t="shared" si="3"/>
        <v>0</v>
      </c>
      <c r="S36" s="130"/>
      <c r="T36" s="20">
        <f t="shared" si="4"/>
        <v>75.106065787499986</v>
      </c>
    </row>
    <row r="37" spans="1:20">
      <c r="A37" s="13" t="s">
        <v>21</v>
      </c>
      <c r="B37" s="14" t="s">
        <v>166</v>
      </c>
      <c r="C37" s="14" t="s">
        <v>167</v>
      </c>
      <c r="D37" s="13" t="s">
        <v>168</v>
      </c>
      <c r="E37" s="14" t="s">
        <v>102</v>
      </c>
      <c r="F37" s="13" t="s">
        <v>19</v>
      </c>
      <c r="G37" s="14" t="s">
        <v>20</v>
      </c>
      <c r="H37" s="14"/>
      <c r="I37" s="14">
        <v>201401</v>
      </c>
      <c r="J37" s="15">
        <f>-939.4</f>
        <v>-939.4</v>
      </c>
      <c r="K37" s="21">
        <f t="shared" si="5"/>
        <v>42675</v>
      </c>
      <c r="L37" s="16">
        <f t="shared" si="0"/>
        <v>6</v>
      </c>
      <c r="M37" s="17">
        <v>1.4833299999999999E-3</v>
      </c>
      <c r="N37" s="18">
        <f t="shared" si="1"/>
        <v>-8.3606412119999991</v>
      </c>
      <c r="O37" s="15"/>
      <c r="P37" s="20">
        <f t="shared" si="2"/>
        <v>0</v>
      </c>
      <c r="Q37" s="15"/>
      <c r="R37" s="20">
        <f t="shared" si="3"/>
        <v>0</v>
      </c>
      <c r="S37" s="130"/>
      <c r="T37" s="20">
        <f t="shared" si="4"/>
        <v>-13.297794124999998</v>
      </c>
    </row>
    <row r="38" spans="1:20">
      <c r="A38" s="13" t="s">
        <v>21</v>
      </c>
      <c r="B38" s="14" t="s">
        <v>169</v>
      </c>
      <c r="C38" s="14" t="s">
        <v>170</v>
      </c>
      <c r="D38" s="13" t="s">
        <v>171</v>
      </c>
      <c r="E38" s="14" t="s">
        <v>172</v>
      </c>
      <c r="F38" s="13" t="s">
        <v>173</v>
      </c>
      <c r="G38" s="14" t="s">
        <v>20</v>
      </c>
      <c r="H38" s="14"/>
      <c r="I38" s="14">
        <v>201401</v>
      </c>
      <c r="J38" s="15">
        <f>2667.41</f>
        <v>2667.41</v>
      </c>
      <c r="K38" s="21">
        <f t="shared" si="5"/>
        <v>42675</v>
      </c>
      <c r="L38" s="16">
        <f t="shared" si="0"/>
        <v>6</v>
      </c>
      <c r="M38" s="17">
        <v>1.4833299999999999E-3</v>
      </c>
      <c r="N38" s="18">
        <f t="shared" si="1"/>
        <v>23.739895651799998</v>
      </c>
      <c r="O38" s="15"/>
      <c r="P38" s="20">
        <f t="shared" si="2"/>
        <v>0</v>
      </c>
      <c r="Q38" s="15"/>
      <c r="R38" s="20">
        <f t="shared" si="3"/>
        <v>0</v>
      </c>
      <c r="S38" s="130"/>
      <c r="T38" s="20">
        <f t="shared" si="4"/>
        <v>37.758855681249997</v>
      </c>
    </row>
    <row r="39" spans="1:20">
      <c r="A39" s="13" t="s">
        <v>21</v>
      </c>
      <c r="B39" s="14" t="s">
        <v>174</v>
      </c>
      <c r="C39" s="14" t="s">
        <v>175</v>
      </c>
      <c r="D39" s="13" t="s">
        <v>176</v>
      </c>
      <c r="E39" s="14" t="s">
        <v>93</v>
      </c>
      <c r="F39" s="13" t="s">
        <v>88</v>
      </c>
      <c r="G39" s="14" t="s">
        <v>20</v>
      </c>
      <c r="H39" s="14"/>
      <c r="I39" s="14">
        <v>201401</v>
      </c>
      <c r="J39" s="15">
        <f>314.16</f>
        <v>314.16000000000003</v>
      </c>
      <c r="K39" s="21">
        <f t="shared" si="5"/>
        <v>42675</v>
      </c>
      <c r="L39" s="16">
        <f t="shared" si="0"/>
        <v>6</v>
      </c>
      <c r="M39" s="17">
        <v>1.4833299999999999E-3</v>
      </c>
      <c r="N39" s="18">
        <f t="shared" si="1"/>
        <v>2.7960177168000002</v>
      </c>
      <c r="O39" s="15"/>
      <c r="P39" s="20">
        <f t="shared" si="2"/>
        <v>0</v>
      </c>
      <c r="Q39" s="15"/>
      <c r="R39" s="20">
        <f t="shared" si="3"/>
        <v>0</v>
      </c>
      <c r="S39" s="130"/>
      <c r="T39" s="20">
        <f t="shared" si="4"/>
        <v>4.4471311499999997</v>
      </c>
    </row>
    <row r="40" spans="1:20">
      <c r="A40" s="13" t="s">
        <v>21</v>
      </c>
      <c r="B40" s="14" t="s">
        <v>177</v>
      </c>
      <c r="C40" s="14" t="s">
        <v>178</v>
      </c>
      <c r="D40" s="13" t="s">
        <v>179</v>
      </c>
      <c r="E40" s="14" t="s">
        <v>172</v>
      </c>
      <c r="F40" s="13" t="s">
        <v>173</v>
      </c>
      <c r="G40" s="14" t="s">
        <v>20</v>
      </c>
      <c r="H40" s="14"/>
      <c r="I40" s="14">
        <v>201401</v>
      </c>
      <c r="J40" s="15">
        <v>9249.64</v>
      </c>
      <c r="K40" s="21">
        <f t="shared" si="5"/>
        <v>42675</v>
      </c>
      <c r="L40" s="16">
        <f t="shared" si="0"/>
        <v>6</v>
      </c>
      <c r="M40" s="17">
        <v>1.4833299999999999E-3</v>
      </c>
      <c r="N40" s="18">
        <f t="shared" si="1"/>
        <v>82.321611007199991</v>
      </c>
      <c r="O40" s="15"/>
      <c r="P40" s="20">
        <f t="shared" si="2"/>
        <v>0</v>
      </c>
      <c r="Q40" s="15"/>
      <c r="R40" s="20">
        <f t="shared" si="3"/>
        <v>0</v>
      </c>
      <c r="S40" s="130"/>
      <c r="T40" s="20">
        <f t="shared" si="4"/>
        <v>130.93443522499999</v>
      </c>
    </row>
    <row r="41" spans="1:20">
      <c r="A41" s="13" t="s">
        <v>21</v>
      </c>
      <c r="B41" s="14" t="s">
        <v>180</v>
      </c>
      <c r="C41" s="14" t="s">
        <v>181</v>
      </c>
      <c r="D41" s="13" t="s">
        <v>182</v>
      </c>
      <c r="E41" s="14" t="s">
        <v>75</v>
      </c>
      <c r="F41" s="13" t="s">
        <v>26</v>
      </c>
      <c r="G41" s="14" t="s">
        <v>20</v>
      </c>
      <c r="H41" s="14"/>
      <c r="I41" s="14">
        <v>201401</v>
      </c>
      <c r="J41" s="15">
        <v>1512</v>
      </c>
      <c r="K41" s="21">
        <f t="shared" si="5"/>
        <v>42675</v>
      </c>
      <c r="L41" s="16">
        <f t="shared" si="0"/>
        <v>6</v>
      </c>
      <c r="M41" s="17">
        <v>1.4833299999999999E-3</v>
      </c>
      <c r="N41" s="18">
        <f t="shared" si="1"/>
        <v>13.45676976</v>
      </c>
      <c r="O41" s="15"/>
      <c r="P41" s="20">
        <f t="shared" si="2"/>
        <v>0</v>
      </c>
      <c r="Q41" s="15"/>
      <c r="R41" s="20">
        <f t="shared" si="3"/>
        <v>0</v>
      </c>
      <c r="S41" s="130"/>
      <c r="T41" s="20">
        <f t="shared" si="4"/>
        <v>21.403304999999996</v>
      </c>
    </row>
    <row r="42" spans="1:20">
      <c r="A42" s="23" t="s">
        <v>29</v>
      </c>
      <c r="B42" s="14" t="s">
        <v>183</v>
      </c>
      <c r="C42" s="14" t="s">
        <v>184</v>
      </c>
      <c r="D42" s="13" t="s">
        <v>45</v>
      </c>
      <c r="E42" s="14" t="s">
        <v>185</v>
      </c>
      <c r="F42" s="13" t="s">
        <v>41</v>
      </c>
      <c r="G42" s="14" t="s">
        <v>20</v>
      </c>
      <c r="H42" s="14"/>
      <c r="I42" s="14">
        <v>201401</v>
      </c>
      <c r="J42" s="15">
        <v>22148.51</v>
      </c>
      <c r="K42" s="21">
        <f t="shared" si="5"/>
        <v>42675</v>
      </c>
      <c r="L42" s="16">
        <f t="shared" si="0"/>
        <v>6</v>
      </c>
      <c r="M42" s="17">
        <v>2.23333E-3</v>
      </c>
      <c r="N42" s="18">
        <f t="shared" si="1"/>
        <v>296.78959102979996</v>
      </c>
      <c r="O42" s="15"/>
      <c r="P42" s="20">
        <f t="shared" si="2"/>
        <v>0</v>
      </c>
      <c r="Q42" s="15"/>
      <c r="R42" s="20">
        <f t="shared" si="3"/>
        <v>0</v>
      </c>
      <c r="S42" s="130"/>
      <c r="T42" s="20">
        <f t="shared" si="4"/>
        <v>313.52600186874997</v>
      </c>
    </row>
    <row r="43" spans="1:20">
      <c r="A43" s="23" t="s">
        <v>29</v>
      </c>
      <c r="B43" s="14" t="s">
        <v>186</v>
      </c>
      <c r="C43" s="14" t="s">
        <v>187</v>
      </c>
      <c r="D43" s="13" t="s">
        <v>188</v>
      </c>
      <c r="E43" s="14" t="s">
        <v>189</v>
      </c>
      <c r="F43" s="13" t="s">
        <v>190</v>
      </c>
      <c r="G43" s="14" t="s">
        <v>20</v>
      </c>
      <c r="H43" s="14"/>
      <c r="I43" s="14">
        <v>201401</v>
      </c>
      <c r="J43" s="15">
        <v>179.45</v>
      </c>
      <c r="K43" s="21">
        <f t="shared" si="5"/>
        <v>42675</v>
      </c>
      <c r="L43" s="16">
        <f t="shared" si="0"/>
        <v>6</v>
      </c>
      <c r="M43" s="17">
        <v>2.23333E-3</v>
      </c>
      <c r="N43" s="18">
        <f t="shared" si="1"/>
        <v>2.4046264109999997</v>
      </c>
      <c r="O43" s="15"/>
      <c r="P43" s="20">
        <f t="shared" si="2"/>
        <v>0</v>
      </c>
      <c r="Q43" s="15"/>
      <c r="R43" s="20">
        <f t="shared" si="3"/>
        <v>0</v>
      </c>
      <c r="S43" s="130"/>
      <c r="T43" s="20">
        <f t="shared" si="4"/>
        <v>2.5402269062499996</v>
      </c>
    </row>
    <row r="44" spans="1:20">
      <c r="A44" s="23" t="s">
        <v>29</v>
      </c>
      <c r="B44" s="14" t="s">
        <v>191</v>
      </c>
      <c r="C44" s="14" t="s">
        <v>192</v>
      </c>
      <c r="D44" s="13" t="s">
        <v>193</v>
      </c>
      <c r="E44" s="14" t="s">
        <v>194</v>
      </c>
      <c r="F44" s="13" t="s">
        <v>115</v>
      </c>
      <c r="G44" s="14" t="s">
        <v>20</v>
      </c>
      <c r="H44" s="14"/>
      <c r="I44" s="14">
        <v>201401</v>
      </c>
      <c r="J44" s="15">
        <v>6718.34</v>
      </c>
      <c r="K44" s="21">
        <f t="shared" si="5"/>
        <v>42675</v>
      </c>
      <c r="L44" s="16">
        <f t="shared" si="0"/>
        <v>6</v>
      </c>
      <c r="M44" s="17">
        <v>2.23333E-3</v>
      </c>
      <c r="N44" s="18">
        <f t="shared" si="1"/>
        <v>90.025621633199989</v>
      </c>
      <c r="O44" s="15"/>
      <c r="P44" s="20">
        <f t="shared" si="2"/>
        <v>0</v>
      </c>
      <c r="Q44" s="15"/>
      <c r="R44" s="20">
        <f t="shared" si="3"/>
        <v>0</v>
      </c>
      <c r="S44" s="130"/>
      <c r="T44" s="20">
        <f t="shared" si="4"/>
        <v>95.102301662499997</v>
      </c>
    </row>
    <row r="45" spans="1:20">
      <c r="A45" s="23" t="s">
        <v>29</v>
      </c>
      <c r="B45" s="14" t="s">
        <v>195</v>
      </c>
      <c r="C45" s="14" t="s">
        <v>196</v>
      </c>
      <c r="D45" s="13" t="s">
        <v>197</v>
      </c>
      <c r="E45" s="14" t="s">
        <v>198</v>
      </c>
      <c r="F45" s="13" t="s">
        <v>199</v>
      </c>
      <c r="G45" s="14" t="s">
        <v>20</v>
      </c>
      <c r="H45" s="14"/>
      <c r="I45" s="14">
        <v>201401</v>
      </c>
      <c r="J45" s="15">
        <v>6467.33</v>
      </c>
      <c r="K45" s="21">
        <f t="shared" si="5"/>
        <v>42675</v>
      </c>
      <c r="L45" s="16">
        <f t="shared" si="0"/>
        <v>6</v>
      </c>
      <c r="M45" s="17">
        <v>2.23333E-3</v>
      </c>
      <c r="N45" s="18">
        <f t="shared" si="1"/>
        <v>86.662092653399995</v>
      </c>
      <c r="O45" s="15"/>
      <c r="P45" s="20">
        <f t="shared" si="2"/>
        <v>0</v>
      </c>
      <c r="Q45" s="15"/>
      <c r="R45" s="20">
        <f t="shared" si="3"/>
        <v>0</v>
      </c>
      <c r="S45" s="130"/>
      <c r="T45" s="20">
        <f t="shared" si="4"/>
        <v>91.549098231249999</v>
      </c>
    </row>
    <row r="46" spans="1:20">
      <c r="A46" s="23" t="s">
        <v>29</v>
      </c>
      <c r="B46" s="14" t="s">
        <v>200</v>
      </c>
      <c r="C46" s="14" t="s">
        <v>201</v>
      </c>
      <c r="D46" s="13" t="s">
        <v>197</v>
      </c>
      <c r="E46" s="14" t="s">
        <v>202</v>
      </c>
      <c r="F46" s="13" t="s">
        <v>199</v>
      </c>
      <c r="G46" s="14" t="s">
        <v>20</v>
      </c>
      <c r="H46" s="14"/>
      <c r="I46" s="14">
        <v>201401</v>
      </c>
      <c r="J46" s="15">
        <v>25756.880000000001</v>
      </c>
      <c r="K46" s="21">
        <f t="shared" si="5"/>
        <v>42675</v>
      </c>
      <c r="L46" s="16">
        <f t="shared" si="0"/>
        <v>6</v>
      </c>
      <c r="M46" s="17">
        <v>2.23333E-3</v>
      </c>
      <c r="N46" s="18">
        <f t="shared" si="1"/>
        <v>345.1416768624</v>
      </c>
      <c r="O46" s="15"/>
      <c r="P46" s="20">
        <f t="shared" si="2"/>
        <v>0</v>
      </c>
      <c r="Q46" s="15"/>
      <c r="R46" s="20">
        <f t="shared" si="3"/>
        <v>0</v>
      </c>
      <c r="S46" s="130"/>
      <c r="T46" s="20">
        <f t="shared" si="4"/>
        <v>364.60473444999997</v>
      </c>
    </row>
    <row r="47" spans="1:20">
      <c r="A47" s="13" t="s">
        <v>21</v>
      </c>
      <c r="B47" s="14" t="s">
        <v>203</v>
      </c>
      <c r="C47" s="14" t="s">
        <v>204</v>
      </c>
      <c r="D47" s="13" t="s">
        <v>205</v>
      </c>
      <c r="E47" s="14" t="s">
        <v>93</v>
      </c>
      <c r="F47" s="13" t="s">
        <v>88</v>
      </c>
      <c r="G47" s="14" t="s">
        <v>20</v>
      </c>
      <c r="H47" s="14"/>
      <c r="I47" s="14">
        <v>201401</v>
      </c>
      <c r="J47" s="15">
        <v>6772.88</v>
      </c>
      <c r="K47" s="21">
        <f t="shared" si="5"/>
        <v>42675</v>
      </c>
      <c r="L47" s="16">
        <f t="shared" si="0"/>
        <v>6</v>
      </c>
      <c r="M47" s="17">
        <v>1.4833299999999999E-3</v>
      </c>
      <c r="N47" s="18">
        <f t="shared" si="1"/>
        <v>60.278496542399999</v>
      </c>
      <c r="O47" s="15"/>
      <c r="P47" s="20">
        <f t="shared" si="2"/>
        <v>0</v>
      </c>
      <c r="Q47" s="15"/>
      <c r="R47" s="20">
        <f t="shared" si="3"/>
        <v>0</v>
      </c>
      <c r="S47" s="130"/>
      <c r="T47" s="20">
        <f t="shared" si="4"/>
        <v>95.874349449999997</v>
      </c>
    </row>
    <row r="48" spans="1:20">
      <c r="A48" s="13" t="s">
        <v>21</v>
      </c>
      <c r="B48" s="14" t="s">
        <v>206</v>
      </c>
      <c r="C48" s="14" t="s">
        <v>207</v>
      </c>
      <c r="D48" s="13" t="s">
        <v>208</v>
      </c>
      <c r="E48" s="14" t="s">
        <v>209</v>
      </c>
      <c r="F48" s="13" t="s">
        <v>88</v>
      </c>
      <c r="G48" s="14" t="s">
        <v>20</v>
      </c>
      <c r="H48" s="14"/>
      <c r="I48" s="14">
        <v>201401</v>
      </c>
      <c r="J48" s="15">
        <v>229.21</v>
      </c>
      <c r="K48" s="21">
        <f t="shared" si="5"/>
        <v>42675</v>
      </c>
      <c r="L48" s="16">
        <f t="shared" si="0"/>
        <v>6</v>
      </c>
      <c r="M48" s="17">
        <v>1.4833299999999999E-3</v>
      </c>
      <c r="N48" s="18">
        <f t="shared" si="1"/>
        <v>2.0399644158000001</v>
      </c>
      <c r="O48" s="15"/>
      <c r="P48" s="20">
        <f t="shared" si="2"/>
        <v>0</v>
      </c>
      <c r="Q48" s="15"/>
      <c r="R48" s="20">
        <f t="shared" si="3"/>
        <v>0</v>
      </c>
      <c r="S48" s="130"/>
      <c r="T48" s="20">
        <f t="shared" si="4"/>
        <v>3.2446108062499999</v>
      </c>
    </row>
    <row r="49" spans="1:20">
      <c r="A49" s="13" t="s">
        <v>21</v>
      </c>
      <c r="B49" s="14" t="s">
        <v>210</v>
      </c>
      <c r="C49" s="14" t="s">
        <v>211</v>
      </c>
      <c r="D49" s="13" t="s">
        <v>212</v>
      </c>
      <c r="E49" s="14" t="s">
        <v>137</v>
      </c>
      <c r="F49" s="13" t="s">
        <v>138</v>
      </c>
      <c r="G49" s="14" t="s">
        <v>20</v>
      </c>
      <c r="H49" s="14"/>
      <c r="I49" s="14">
        <v>201401</v>
      </c>
      <c r="J49" s="15">
        <v>0</v>
      </c>
      <c r="K49" s="21">
        <f t="shared" si="5"/>
        <v>42675</v>
      </c>
      <c r="L49" s="16">
        <f t="shared" si="0"/>
        <v>6</v>
      </c>
      <c r="M49" s="17">
        <v>1.4833299999999999E-3</v>
      </c>
      <c r="N49" s="18">
        <f t="shared" si="1"/>
        <v>0</v>
      </c>
      <c r="O49" s="15"/>
      <c r="P49" s="20">
        <f t="shared" si="2"/>
        <v>0</v>
      </c>
      <c r="Q49" s="15"/>
      <c r="R49" s="20">
        <f t="shared" si="3"/>
        <v>0</v>
      </c>
      <c r="S49" s="130"/>
      <c r="T49" s="20">
        <f t="shared" si="4"/>
        <v>0</v>
      </c>
    </row>
    <row r="50" spans="1:20">
      <c r="A50" s="13" t="s">
        <v>127</v>
      </c>
      <c r="B50" s="14" t="s">
        <v>213</v>
      </c>
      <c r="C50" s="14" t="s">
        <v>214</v>
      </c>
      <c r="D50" s="13" t="s">
        <v>215</v>
      </c>
      <c r="E50" s="14" t="s">
        <v>216</v>
      </c>
      <c r="F50" s="13" t="s">
        <v>217</v>
      </c>
      <c r="G50" s="14" t="s">
        <v>20</v>
      </c>
      <c r="H50" s="14"/>
      <c r="I50" s="14">
        <v>201401</v>
      </c>
      <c r="J50" s="15">
        <v>-80.52</v>
      </c>
      <c r="K50" s="21">
        <f t="shared" si="5"/>
        <v>42675</v>
      </c>
      <c r="L50" s="16">
        <f t="shared" si="0"/>
        <v>6</v>
      </c>
      <c r="M50" s="17">
        <v>2.3833299999999999E-3</v>
      </c>
      <c r="N50" s="18">
        <f t="shared" si="1"/>
        <v>-1.1514343895999999</v>
      </c>
      <c r="O50" s="15"/>
      <c r="P50" s="20">
        <f t="shared" si="2"/>
        <v>0</v>
      </c>
      <c r="Q50" s="15"/>
      <c r="R50" s="20">
        <f t="shared" si="3"/>
        <v>0</v>
      </c>
      <c r="S50" s="130"/>
      <c r="T50" s="20">
        <f t="shared" si="4"/>
        <v>-1.1398109249999999</v>
      </c>
    </row>
    <row r="51" spans="1:20">
      <c r="A51" s="13" t="s">
        <v>21</v>
      </c>
      <c r="B51" s="14" t="s">
        <v>218</v>
      </c>
      <c r="C51" s="14" t="s">
        <v>219</v>
      </c>
      <c r="D51" s="13" t="s">
        <v>220</v>
      </c>
      <c r="E51" s="14" t="s">
        <v>209</v>
      </c>
      <c r="F51" s="13" t="s">
        <v>88</v>
      </c>
      <c r="G51" s="14" t="s">
        <v>20</v>
      </c>
      <c r="H51" s="14"/>
      <c r="I51" s="14">
        <v>201401</v>
      </c>
      <c r="J51" s="15">
        <v>0</v>
      </c>
      <c r="K51" s="21">
        <f t="shared" si="5"/>
        <v>42675</v>
      </c>
      <c r="L51" s="16">
        <f t="shared" si="0"/>
        <v>6</v>
      </c>
      <c r="M51" s="17">
        <v>1.4833299999999999E-3</v>
      </c>
      <c r="N51" s="18">
        <f t="shared" si="1"/>
        <v>0</v>
      </c>
      <c r="O51" s="15"/>
      <c r="P51" s="20">
        <f t="shared" si="2"/>
        <v>0</v>
      </c>
      <c r="Q51" s="15"/>
      <c r="R51" s="20">
        <f t="shared" si="3"/>
        <v>0</v>
      </c>
      <c r="S51" s="130"/>
      <c r="T51" s="20">
        <f t="shared" si="4"/>
        <v>0</v>
      </c>
    </row>
    <row r="52" spans="1:20">
      <c r="A52" s="13" t="s">
        <v>21</v>
      </c>
      <c r="B52" s="14" t="s">
        <v>221</v>
      </c>
      <c r="C52" s="14" t="s">
        <v>222</v>
      </c>
      <c r="D52" s="13" t="s">
        <v>223</v>
      </c>
      <c r="E52" s="14" t="s">
        <v>25</v>
      </c>
      <c r="F52" s="13" t="s">
        <v>26</v>
      </c>
      <c r="G52" s="14" t="s">
        <v>20</v>
      </c>
      <c r="H52" s="14"/>
      <c r="I52" s="14">
        <v>201401</v>
      </c>
      <c r="J52" s="15">
        <v>9491.3799999999992</v>
      </c>
      <c r="K52" s="21">
        <f t="shared" si="5"/>
        <v>42675</v>
      </c>
      <c r="L52" s="16">
        <f t="shared" si="0"/>
        <v>6</v>
      </c>
      <c r="M52" s="17">
        <v>1.4833299999999999E-3</v>
      </c>
      <c r="N52" s="18">
        <f t="shared" si="1"/>
        <v>84.473092172399987</v>
      </c>
      <c r="O52" s="15"/>
      <c r="P52" s="20">
        <f t="shared" si="2"/>
        <v>0</v>
      </c>
      <c r="Q52" s="15"/>
      <c r="R52" s="20">
        <f t="shared" si="3"/>
        <v>0</v>
      </c>
      <c r="S52" s="130"/>
      <c r="T52" s="20">
        <f t="shared" si="4"/>
        <v>134.35641601249998</v>
      </c>
    </row>
    <row r="53" spans="1:20">
      <c r="A53" s="13" t="s">
        <v>21</v>
      </c>
      <c r="B53" s="14" t="s">
        <v>224</v>
      </c>
      <c r="C53" s="14" t="s">
        <v>225</v>
      </c>
      <c r="D53" s="13" t="s">
        <v>226</v>
      </c>
      <c r="E53" s="14" t="s">
        <v>142</v>
      </c>
      <c r="F53" s="13" t="s">
        <v>143</v>
      </c>
      <c r="G53" s="14" t="s">
        <v>20</v>
      </c>
      <c r="H53" s="14"/>
      <c r="I53" s="14">
        <v>201401</v>
      </c>
      <c r="J53" s="15">
        <v>0</v>
      </c>
      <c r="K53" s="21">
        <f t="shared" si="5"/>
        <v>42675</v>
      </c>
      <c r="L53" s="16">
        <f t="shared" si="0"/>
        <v>6</v>
      </c>
      <c r="M53" s="17">
        <v>1.4833299999999999E-3</v>
      </c>
      <c r="N53" s="18">
        <f t="shared" si="1"/>
        <v>0</v>
      </c>
      <c r="O53" s="15"/>
      <c r="P53" s="20">
        <f t="shared" si="2"/>
        <v>0</v>
      </c>
      <c r="Q53" s="15"/>
      <c r="R53" s="20">
        <f t="shared" si="3"/>
        <v>0</v>
      </c>
      <c r="S53" s="130"/>
      <c r="T53" s="20">
        <f t="shared" si="4"/>
        <v>0</v>
      </c>
    </row>
    <row r="54" spans="1:20">
      <c r="A54" s="13" t="s">
        <v>127</v>
      </c>
      <c r="B54" s="14" t="s">
        <v>227</v>
      </c>
      <c r="C54" s="14" t="s">
        <v>228</v>
      </c>
      <c r="D54" s="13" t="s">
        <v>229</v>
      </c>
      <c r="E54" s="14" t="s">
        <v>216</v>
      </c>
      <c r="F54" s="13" t="s">
        <v>217</v>
      </c>
      <c r="G54" s="14" t="s">
        <v>20</v>
      </c>
      <c r="H54" s="14"/>
      <c r="I54" s="14">
        <v>201401</v>
      </c>
      <c r="J54" s="15">
        <v>0</v>
      </c>
      <c r="K54" s="21">
        <f t="shared" si="5"/>
        <v>42675</v>
      </c>
      <c r="L54" s="16">
        <f t="shared" si="0"/>
        <v>6</v>
      </c>
      <c r="M54" s="17">
        <v>2.3833299999999999E-3</v>
      </c>
      <c r="N54" s="18">
        <f t="shared" si="1"/>
        <v>0</v>
      </c>
      <c r="O54" s="15"/>
      <c r="P54" s="20">
        <f t="shared" si="2"/>
        <v>0</v>
      </c>
      <c r="Q54" s="15"/>
      <c r="R54" s="20">
        <f t="shared" si="3"/>
        <v>0</v>
      </c>
      <c r="S54" s="130"/>
      <c r="T54" s="20">
        <f t="shared" si="4"/>
        <v>0</v>
      </c>
    </row>
    <row r="55" spans="1:20">
      <c r="A55" s="13" t="s">
        <v>21</v>
      </c>
      <c r="B55" s="14" t="s">
        <v>230</v>
      </c>
      <c r="C55" s="14" t="s">
        <v>231</v>
      </c>
      <c r="D55" s="13" t="s">
        <v>232</v>
      </c>
      <c r="E55" s="14" t="s">
        <v>164</v>
      </c>
      <c r="F55" s="13" t="s">
        <v>165</v>
      </c>
      <c r="G55" s="14" t="s">
        <v>20</v>
      </c>
      <c r="H55" s="14"/>
      <c r="I55" s="14">
        <v>201401</v>
      </c>
      <c r="J55" s="15">
        <v>5719.62</v>
      </c>
      <c r="K55" s="21">
        <f t="shared" si="5"/>
        <v>42675</v>
      </c>
      <c r="L55" s="16">
        <f t="shared" si="0"/>
        <v>6</v>
      </c>
      <c r="M55" s="17">
        <v>1.4833299999999999E-3</v>
      </c>
      <c r="N55" s="18">
        <f t="shared" si="1"/>
        <v>50.904503607599999</v>
      </c>
      <c r="O55" s="15"/>
      <c r="P55" s="20">
        <f t="shared" si="2"/>
        <v>0</v>
      </c>
      <c r="Q55" s="15"/>
      <c r="R55" s="20">
        <f t="shared" si="3"/>
        <v>0</v>
      </c>
      <c r="S55" s="130"/>
      <c r="T55" s="20">
        <f t="shared" si="4"/>
        <v>80.964795862499997</v>
      </c>
    </row>
    <row r="56" spans="1:20">
      <c r="A56" s="13" t="s">
        <v>21</v>
      </c>
      <c r="B56" s="14" t="s">
        <v>233</v>
      </c>
      <c r="C56" s="14" t="s">
        <v>234</v>
      </c>
      <c r="D56" s="13" t="s">
        <v>235</v>
      </c>
      <c r="E56" s="14" t="s">
        <v>172</v>
      </c>
      <c r="F56" s="13" t="s">
        <v>173</v>
      </c>
      <c r="G56" s="14" t="s">
        <v>20</v>
      </c>
      <c r="H56" s="14"/>
      <c r="I56" s="14">
        <v>201401</v>
      </c>
      <c r="J56" s="15">
        <f>16809.56-18590.37</f>
        <v>-1780.8099999999977</v>
      </c>
      <c r="K56" s="21">
        <f t="shared" si="5"/>
        <v>42675</v>
      </c>
      <c r="L56" s="16">
        <f t="shared" si="0"/>
        <v>6</v>
      </c>
      <c r="M56" s="17">
        <v>1.4833299999999999E-3</v>
      </c>
      <c r="N56" s="18">
        <f t="shared" si="1"/>
        <v>-15.849173383799979</v>
      </c>
      <c r="O56" s="15"/>
      <c r="P56" s="20">
        <f t="shared" si="2"/>
        <v>0</v>
      </c>
      <c r="Q56" s="15"/>
      <c r="R56" s="20">
        <f t="shared" si="3"/>
        <v>0</v>
      </c>
      <c r="S56" s="130"/>
      <c r="T56" s="20">
        <f t="shared" si="4"/>
        <v>-25.208478556249965</v>
      </c>
    </row>
    <row r="57" spans="1:20">
      <c r="A57" s="23" t="s">
        <v>29</v>
      </c>
      <c r="B57" s="14" t="s">
        <v>236</v>
      </c>
      <c r="C57" s="14" t="s">
        <v>237</v>
      </c>
      <c r="D57" s="13" t="s">
        <v>188</v>
      </c>
      <c r="E57" s="14" t="s">
        <v>238</v>
      </c>
      <c r="F57" s="13" t="s">
        <v>190</v>
      </c>
      <c r="G57" s="14" t="s">
        <v>20</v>
      </c>
      <c r="H57" s="14"/>
      <c r="I57" s="14">
        <v>201401</v>
      </c>
      <c r="J57" s="15">
        <v>1130.99</v>
      </c>
      <c r="K57" s="21">
        <f t="shared" si="5"/>
        <v>42675</v>
      </c>
      <c r="L57" s="16">
        <f t="shared" si="0"/>
        <v>6</v>
      </c>
      <c r="M57" s="17">
        <v>2.23333E-3</v>
      </c>
      <c r="N57" s="18">
        <f t="shared" si="1"/>
        <v>15.155243380199998</v>
      </c>
      <c r="O57" s="15"/>
      <c r="P57" s="20">
        <f t="shared" si="2"/>
        <v>0</v>
      </c>
      <c r="Q57" s="15"/>
      <c r="R57" s="20">
        <f t="shared" si="3"/>
        <v>0</v>
      </c>
      <c r="S57" s="130"/>
      <c r="T57" s="20">
        <f t="shared" si="4"/>
        <v>16.00987031875</v>
      </c>
    </row>
    <row r="58" spans="1:20">
      <c r="A58" s="23" t="s">
        <v>29</v>
      </c>
      <c r="B58" s="14" t="s">
        <v>239</v>
      </c>
      <c r="C58" s="14" t="s">
        <v>240</v>
      </c>
      <c r="D58" s="13" t="s">
        <v>197</v>
      </c>
      <c r="E58" s="14" t="s">
        <v>241</v>
      </c>
      <c r="F58" s="13" t="s">
        <v>199</v>
      </c>
      <c r="G58" s="14" t="s">
        <v>20</v>
      </c>
      <c r="H58" s="14"/>
      <c r="I58" s="14">
        <v>201401</v>
      </c>
      <c r="J58" s="15">
        <v>11779.74</v>
      </c>
      <c r="K58" s="21">
        <f t="shared" si="5"/>
        <v>42675</v>
      </c>
      <c r="L58" s="16">
        <f t="shared" si="0"/>
        <v>6</v>
      </c>
      <c r="M58" s="17">
        <v>2.23333E-3</v>
      </c>
      <c r="N58" s="18">
        <f t="shared" si="1"/>
        <v>157.84828040519997</v>
      </c>
      <c r="O58" s="15"/>
      <c r="P58" s="20">
        <f t="shared" si="2"/>
        <v>0</v>
      </c>
      <c r="Q58" s="15"/>
      <c r="R58" s="20">
        <f t="shared" si="3"/>
        <v>0</v>
      </c>
      <c r="S58" s="130"/>
      <c r="T58" s="20">
        <f t="shared" si="4"/>
        <v>166.74958203749998</v>
      </c>
    </row>
    <row r="59" spans="1:20">
      <c r="A59" s="13" t="s">
        <v>21</v>
      </c>
      <c r="B59" s="14" t="s">
        <v>242</v>
      </c>
      <c r="C59" s="14" t="s">
        <v>243</v>
      </c>
      <c r="D59" s="13" t="s">
        <v>244</v>
      </c>
      <c r="E59" s="14" t="s">
        <v>18</v>
      </c>
      <c r="F59" s="13" t="s">
        <v>19</v>
      </c>
      <c r="G59" s="14" t="s">
        <v>20</v>
      </c>
      <c r="H59" s="14"/>
      <c r="I59" s="14">
        <v>201401</v>
      </c>
      <c r="J59" s="15">
        <v>0</v>
      </c>
      <c r="K59" s="21">
        <f t="shared" si="5"/>
        <v>42675</v>
      </c>
      <c r="L59" s="16">
        <f t="shared" si="0"/>
        <v>6</v>
      </c>
      <c r="M59" s="17">
        <v>1.4833299999999999E-3</v>
      </c>
      <c r="N59" s="18">
        <f t="shared" si="1"/>
        <v>0</v>
      </c>
      <c r="O59" s="15"/>
      <c r="P59" s="20">
        <f t="shared" si="2"/>
        <v>0</v>
      </c>
      <c r="Q59" s="15"/>
      <c r="R59" s="20">
        <f t="shared" si="3"/>
        <v>0</v>
      </c>
      <c r="S59" s="130"/>
      <c r="T59" s="20">
        <f t="shared" si="4"/>
        <v>0</v>
      </c>
    </row>
    <row r="60" spans="1:20">
      <c r="A60" s="13" t="s">
        <v>21</v>
      </c>
      <c r="B60" s="14" t="s">
        <v>245</v>
      </c>
      <c r="C60" s="14" t="s">
        <v>246</v>
      </c>
      <c r="D60" s="13" t="s">
        <v>247</v>
      </c>
      <c r="E60" s="14" t="s">
        <v>70</v>
      </c>
      <c r="F60" s="13" t="s">
        <v>71</v>
      </c>
      <c r="G60" s="14" t="s">
        <v>20</v>
      </c>
      <c r="H60" s="14"/>
      <c r="I60" s="14">
        <v>201401</v>
      </c>
      <c r="J60" s="15">
        <f>4029.78</f>
        <v>4029.78</v>
      </c>
      <c r="K60" s="21">
        <f t="shared" si="5"/>
        <v>42675</v>
      </c>
      <c r="L60" s="16">
        <f t="shared" si="0"/>
        <v>6</v>
      </c>
      <c r="M60" s="17">
        <v>1.4833299999999999E-3</v>
      </c>
      <c r="N60" s="18">
        <f t="shared" si="1"/>
        <v>35.864961404399999</v>
      </c>
      <c r="O60" s="15"/>
      <c r="P60" s="20">
        <f t="shared" si="2"/>
        <v>0</v>
      </c>
      <c r="Q60" s="15"/>
      <c r="R60" s="20">
        <f t="shared" si="3"/>
        <v>0</v>
      </c>
      <c r="S60" s="130"/>
      <c r="T60" s="20">
        <f t="shared" si="4"/>
        <v>57.044054512499997</v>
      </c>
    </row>
    <row r="61" spans="1:20">
      <c r="A61" s="13" t="s">
        <v>21</v>
      </c>
      <c r="B61" s="14" t="s">
        <v>248</v>
      </c>
      <c r="C61" s="14" t="s">
        <v>249</v>
      </c>
      <c r="D61" s="13" t="s">
        <v>250</v>
      </c>
      <c r="E61" s="14" t="s">
        <v>70</v>
      </c>
      <c r="F61" s="13" t="s">
        <v>71</v>
      </c>
      <c r="G61" s="14" t="s">
        <v>20</v>
      </c>
      <c r="H61" s="14"/>
      <c r="I61" s="14">
        <v>201401</v>
      </c>
      <c r="J61" s="15">
        <v>2775.94</v>
      </c>
      <c r="K61" s="21">
        <f t="shared" si="5"/>
        <v>42675</v>
      </c>
      <c r="L61" s="16">
        <f t="shared" si="0"/>
        <v>6</v>
      </c>
      <c r="M61" s="17">
        <v>1.4833299999999999E-3</v>
      </c>
      <c r="N61" s="18">
        <f t="shared" si="1"/>
        <v>24.7058104812</v>
      </c>
      <c r="O61" s="15"/>
      <c r="P61" s="20">
        <f t="shared" si="2"/>
        <v>0</v>
      </c>
      <c r="Q61" s="15"/>
      <c r="R61" s="20">
        <f t="shared" si="3"/>
        <v>0</v>
      </c>
      <c r="S61" s="130"/>
      <c r="T61" s="20">
        <f t="shared" si="4"/>
        <v>39.295165662499997</v>
      </c>
    </row>
    <row r="62" spans="1:20">
      <c r="A62" s="13" t="s">
        <v>21</v>
      </c>
      <c r="B62" s="14" t="s">
        <v>251</v>
      </c>
      <c r="C62" s="14" t="s">
        <v>252</v>
      </c>
      <c r="D62" s="13" t="s">
        <v>253</v>
      </c>
      <c r="E62" s="14" t="s">
        <v>164</v>
      </c>
      <c r="F62" s="13" t="s">
        <v>165</v>
      </c>
      <c r="G62" s="14" t="s">
        <v>20</v>
      </c>
      <c r="H62" s="14"/>
      <c r="I62" s="14">
        <v>201401</v>
      </c>
      <c r="J62" s="15">
        <v>80.52</v>
      </c>
      <c r="K62" s="21">
        <f t="shared" si="5"/>
        <v>42675</v>
      </c>
      <c r="L62" s="16">
        <f t="shared" si="0"/>
        <v>6</v>
      </c>
      <c r="M62" s="17">
        <v>1.4833299999999999E-3</v>
      </c>
      <c r="N62" s="18">
        <f t="shared" si="1"/>
        <v>0.71662638959999991</v>
      </c>
      <c r="O62" s="15"/>
      <c r="P62" s="20">
        <f t="shared" si="2"/>
        <v>0</v>
      </c>
      <c r="Q62" s="15"/>
      <c r="R62" s="20">
        <f t="shared" si="3"/>
        <v>0</v>
      </c>
      <c r="S62" s="130"/>
      <c r="T62" s="20">
        <f t="shared" si="4"/>
        <v>1.1398109249999999</v>
      </c>
    </row>
    <row r="63" spans="1:20">
      <c r="A63" s="13" t="s">
        <v>21</v>
      </c>
      <c r="B63" s="14" t="s">
        <v>254</v>
      </c>
      <c r="C63" s="14" t="s">
        <v>255</v>
      </c>
      <c r="D63" s="13" t="s">
        <v>256</v>
      </c>
      <c r="E63" s="14" t="s">
        <v>164</v>
      </c>
      <c r="F63" s="13" t="s">
        <v>165</v>
      </c>
      <c r="G63" s="14" t="s">
        <v>20</v>
      </c>
      <c r="H63" s="14"/>
      <c r="I63" s="14">
        <v>201401</v>
      </c>
      <c r="J63" s="15">
        <f>281.42</f>
        <v>281.42</v>
      </c>
      <c r="K63" s="21">
        <f t="shared" si="5"/>
        <v>42675</v>
      </c>
      <c r="L63" s="16">
        <f t="shared" si="0"/>
        <v>6</v>
      </c>
      <c r="M63" s="17">
        <v>1.4833299999999999E-3</v>
      </c>
      <c r="N63" s="18">
        <f t="shared" si="1"/>
        <v>2.5046323716000001</v>
      </c>
      <c r="O63" s="15"/>
      <c r="P63" s="20">
        <f t="shared" si="2"/>
        <v>0</v>
      </c>
      <c r="Q63" s="15"/>
      <c r="R63" s="20">
        <f t="shared" si="3"/>
        <v>0</v>
      </c>
      <c r="S63" s="130"/>
      <c r="T63" s="20">
        <f t="shared" si="4"/>
        <v>3.9836759875000003</v>
      </c>
    </row>
    <row r="64" spans="1:20">
      <c r="A64" s="13" t="s">
        <v>21</v>
      </c>
      <c r="B64" s="14" t="s">
        <v>257</v>
      </c>
      <c r="C64" s="14" t="s">
        <v>258</v>
      </c>
      <c r="D64" s="13" t="s">
        <v>259</v>
      </c>
      <c r="E64" s="14" t="s">
        <v>260</v>
      </c>
      <c r="F64" s="13" t="s">
        <v>26</v>
      </c>
      <c r="G64" s="14" t="s">
        <v>20</v>
      </c>
      <c r="H64" s="14"/>
      <c r="I64" s="14">
        <v>201401</v>
      </c>
      <c r="J64" s="15">
        <v>5216.68</v>
      </c>
      <c r="K64" s="21">
        <f t="shared" si="5"/>
        <v>42675</v>
      </c>
      <c r="L64" s="16">
        <f t="shared" si="0"/>
        <v>6</v>
      </c>
      <c r="M64" s="17">
        <v>1.4833299999999999E-3</v>
      </c>
      <c r="N64" s="18">
        <f t="shared" si="1"/>
        <v>46.428347666400001</v>
      </c>
      <c r="O64" s="15"/>
      <c r="P64" s="20">
        <f t="shared" si="2"/>
        <v>0</v>
      </c>
      <c r="Q64" s="15"/>
      <c r="R64" s="20">
        <f t="shared" si="3"/>
        <v>0</v>
      </c>
      <c r="S64" s="130"/>
      <c r="T64" s="20">
        <f t="shared" si="4"/>
        <v>73.845365824999988</v>
      </c>
    </row>
    <row r="65" spans="1:20">
      <c r="A65" s="13" t="s">
        <v>21</v>
      </c>
      <c r="B65" s="14" t="s">
        <v>261</v>
      </c>
      <c r="C65" s="14" t="s">
        <v>262</v>
      </c>
      <c r="D65" s="13" t="s">
        <v>263</v>
      </c>
      <c r="E65" s="14" t="s">
        <v>75</v>
      </c>
      <c r="F65" s="13" t="s">
        <v>26</v>
      </c>
      <c r="G65" s="14" t="s">
        <v>20</v>
      </c>
      <c r="H65" s="14"/>
      <c r="I65" s="14">
        <v>201401</v>
      </c>
      <c r="J65" s="15">
        <f>5926.31</f>
        <v>5926.31</v>
      </c>
      <c r="K65" s="21">
        <f t="shared" si="5"/>
        <v>42675</v>
      </c>
      <c r="L65" s="16">
        <f t="shared" si="0"/>
        <v>6</v>
      </c>
      <c r="M65" s="17">
        <v>1.4833299999999999E-3</v>
      </c>
      <c r="N65" s="18">
        <f t="shared" si="1"/>
        <v>52.744040473800005</v>
      </c>
      <c r="O65" s="15"/>
      <c r="P65" s="20">
        <f t="shared" si="2"/>
        <v>0</v>
      </c>
      <c r="Q65" s="15"/>
      <c r="R65" s="20">
        <f t="shared" si="3"/>
        <v>0</v>
      </c>
      <c r="S65" s="130"/>
      <c r="T65" s="20">
        <f t="shared" si="4"/>
        <v>83.890621993750003</v>
      </c>
    </row>
    <row r="66" spans="1:20">
      <c r="A66" s="13" t="s">
        <v>21</v>
      </c>
      <c r="B66" s="14" t="s">
        <v>264</v>
      </c>
      <c r="C66" s="14" t="s">
        <v>265</v>
      </c>
      <c r="D66" s="13" t="s">
        <v>266</v>
      </c>
      <c r="E66" s="14" t="s">
        <v>172</v>
      </c>
      <c r="F66" s="13" t="s">
        <v>173</v>
      </c>
      <c r="G66" s="14" t="s">
        <v>20</v>
      </c>
      <c r="H66" s="14"/>
      <c r="I66" s="14">
        <v>201401</v>
      </c>
      <c r="J66" s="15">
        <f>2666.68</f>
        <v>2666.68</v>
      </c>
      <c r="K66" s="21">
        <f t="shared" si="5"/>
        <v>42675</v>
      </c>
      <c r="L66" s="16">
        <f t="shared" si="0"/>
        <v>6</v>
      </c>
      <c r="M66" s="17">
        <v>1.4833299999999999E-3</v>
      </c>
      <c r="N66" s="18">
        <f t="shared" si="1"/>
        <v>23.733398666399999</v>
      </c>
      <c r="O66" s="15"/>
      <c r="P66" s="20">
        <f t="shared" si="2"/>
        <v>0</v>
      </c>
      <c r="Q66" s="15"/>
      <c r="R66" s="20">
        <f t="shared" si="3"/>
        <v>0</v>
      </c>
      <c r="S66" s="130"/>
      <c r="T66" s="20">
        <f t="shared" si="4"/>
        <v>37.748522074999997</v>
      </c>
    </row>
    <row r="67" spans="1:20">
      <c r="A67" s="23" t="s">
        <v>29</v>
      </c>
      <c r="B67" s="14" t="s">
        <v>267</v>
      </c>
      <c r="C67" s="14" t="s">
        <v>268</v>
      </c>
      <c r="D67" s="13" t="s">
        <v>269</v>
      </c>
      <c r="E67" s="14" t="s">
        <v>270</v>
      </c>
      <c r="F67" s="13" t="s">
        <v>115</v>
      </c>
      <c r="G67" s="14" t="s">
        <v>20</v>
      </c>
      <c r="H67" s="14"/>
      <c r="I67" s="14">
        <v>201401</v>
      </c>
      <c r="J67" s="15">
        <v>12991.04</v>
      </c>
      <c r="K67" s="21">
        <f t="shared" si="5"/>
        <v>42675</v>
      </c>
      <c r="L67" s="16">
        <f t="shared" si="0"/>
        <v>6</v>
      </c>
      <c r="M67" s="17">
        <v>2.23333E-3</v>
      </c>
      <c r="N67" s="18">
        <f t="shared" si="1"/>
        <v>174.07967617919999</v>
      </c>
      <c r="O67" s="15"/>
      <c r="P67" s="20">
        <f t="shared" si="2"/>
        <v>0</v>
      </c>
      <c r="Q67" s="15"/>
      <c r="R67" s="20">
        <f t="shared" si="3"/>
        <v>0</v>
      </c>
      <c r="S67" s="130"/>
      <c r="T67" s="20">
        <f t="shared" si="4"/>
        <v>183.89629060000001</v>
      </c>
    </row>
    <row r="68" spans="1:20">
      <c r="A68" s="23" t="s">
        <v>29</v>
      </c>
      <c r="B68" s="14" t="s">
        <v>271</v>
      </c>
      <c r="C68" s="14" t="s">
        <v>272</v>
      </c>
      <c r="D68" s="13" t="s">
        <v>197</v>
      </c>
      <c r="E68" s="14" t="s">
        <v>273</v>
      </c>
      <c r="F68" s="13" t="s">
        <v>199</v>
      </c>
      <c r="G68" s="14" t="s">
        <v>20</v>
      </c>
      <c r="H68" s="14"/>
      <c r="I68" s="14">
        <v>201401</v>
      </c>
      <c r="J68" s="15">
        <v>-1840.29</v>
      </c>
      <c r="K68" s="21">
        <f t="shared" si="5"/>
        <v>42675</v>
      </c>
      <c r="L68" s="16">
        <f t="shared" si="0"/>
        <v>6</v>
      </c>
      <c r="M68" s="17">
        <v>2.23333E-3</v>
      </c>
      <c r="N68" s="18">
        <f t="shared" si="1"/>
        <v>-24.659849194199996</v>
      </c>
      <c r="O68" s="15"/>
      <c r="P68" s="20">
        <f t="shared" si="2"/>
        <v>0</v>
      </c>
      <c r="Q68" s="15"/>
      <c r="R68" s="20">
        <f t="shared" si="3"/>
        <v>0</v>
      </c>
      <c r="S68" s="130"/>
      <c r="T68" s="20">
        <f t="shared" si="4"/>
        <v>-26.050455131249997</v>
      </c>
    </row>
    <row r="69" spans="1:20">
      <c r="A69" s="13" t="s">
        <v>21</v>
      </c>
      <c r="B69" s="14" t="s">
        <v>274</v>
      </c>
      <c r="C69" s="14" t="s">
        <v>275</v>
      </c>
      <c r="D69" s="13" t="s">
        <v>276</v>
      </c>
      <c r="E69" s="14" t="s">
        <v>75</v>
      </c>
      <c r="F69" s="13" t="s">
        <v>26</v>
      </c>
      <c r="G69" s="14" t="s">
        <v>20</v>
      </c>
      <c r="H69" s="14"/>
      <c r="I69" s="14">
        <v>201401</v>
      </c>
      <c r="J69" s="15">
        <v>1008</v>
      </c>
      <c r="K69" s="21">
        <f t="shared" si="5"/>
        <v>42675</v>
      </c>
      <c r="L69" s="16">
        <f t="shared" si="0"/>
        <v>6</v>
      </c>
      <c r="M69" s="17">
        <v>1.4833299999999999E-3</v>
      </c>
      <c r="N69" s="18">
        <f t="shared" si="1"/>
        <v>8.9711798399999996</v>
      </c>
      <c r="O69" s="15"/>
      <c r="P69" s="20">
        <f t="shared" si="2"/>
        <v>0</v>
      </c>
      <c r="Q69" s="15"/>
      <c r="R69" s="20">
        <f t="shared" si="3"/>
        <v>0</v>
      </c>
      <c r="S69" s="130"/>
      <c r="T69" s="20">
        <f t="shared" si="4"/>
        <v>14.268869999999998</v>
      </c>
    </row>
    <row r="70" spans="1:20">
      <c r="A70" s="13" t="s">
        <v>21</v>
      </c>
      <c r="B70" s="14" t="s">
        <v>277</v>
      </c>
      <c r="C70" s="14" t="s">
        <v>278</v>
      </c>
      <c r="D70" s="13" t="s">
        <v>279</v>
      </c>
      <c r="E70" s="14" t="s">
        <v>280</v>
      </c>
      <c r="F70" s="13" t="s">
        <v>26</v>
      </c>
      <c r="G70" s="14" t="s">
        <v>20</v>
      </c>
      <c r="H70" s="14"/>
      <c r="I70" s="14">
        <v>201401</v>
      </c>
      <c r="J70" s="15">
        <v>13061.7</v>
      </c>
      <c r="K70" s="21">
        <f t="shared" si="5"/>
        <v>42675</v>
      </c>
      <c r="L70" s="16">
        <f t="shared" ref="L70:L133" si="6">((YEAR($L$1)-YEAR(K70))*12+MONTH($L$1)-MONTH(K70))</f>
        <v>6</v>
      </c>
      <c r="M70" s="17">
        <v>1.4833299999999999E-3</v>
      </c>
      <c r="N70" s="18">
        <f t="shared" ref="N70:N133" si="7">M70*L70*J70</f>
        <v>116.248868766</v>
      </c>
      <c r="O70" s="15"/>
      <c r="P70" s="20">
        <f t="shared" ref="P70:P133" si="8">$P$4*(J70*0.5)*$V$10</f>
        <v>0</v>
      </c>
      <c r="Q70" s="15"/>
      <c r="R70" s="20">
        <f t="shared" ref="R70:R133" si="9">$R$4*(J70*0.5)*$V$9</f>
        <v>0</v>
      </c>
      <c r="S70" s="130"/>
      <c r="T70" s="20">
        <f t="shared" ref="T70:T133" si="10">$T$4*(J70*0.5)*$V$11</f>
        <v>184.89652706250001</v>
      </c>
    </row>
    <row r="71" spans="1:20">
      <c r="A71" s="23" t="s">
        <v>29</v>
      </c>
      <c r="B71" s="14" t="s">
        <v>281</v>
      </c>
      <c r="C71" s="14" t="s">
        <v>282</v>
      </c>
      <c r="D71" s="13" t="s">
        <v>283</v>
      </c>
      <c r="E71" s="14" t="s">
        <v>284</v>
      </c>
      <c r="F71" s="13" t="s">
        <v>285</v>
      </c>
      <c r="G71" s="14" t="s">
        <v>20</v>
      </c>
      <c r="H71" s="14"/>
      <c r="I71" s="14">
        <v>201401</v>
      </c>
      <c r="J71" s="15">
        <f>3123.28</f>
        <v>3123.28</v>
      </c>
      <c r="K71" s="21">
        <f t="shared" ref="K71:K134" si="11">+K70</f>
        <v>42675</v>
      </c>
      <c r="L71" s="16">
        <f t="shared" si="6"/>
        <v>6</v>
      </c>
      <c r="M71" s="17">
        <v>2.23333E-3</v>
      </c>
      <c r="N71" s="18">
        <f t="shared" si="7"/>
        <v>41.851889534400001</v>
      </c>
      <c r="O71" s="15"/>
      <c r="P71" s="20">
        <f t="shared" si="8"/>
        <v>0</v>
      </c>
      <c r="Q71" s="15"/>
      <c r="R71" s="20">
        <f t="shared" si="9"/>
        <v>0</v>
      </c>
      <c r="S71" s="130"/>
      <c r="T71" s="20">
        <f t="shared" si="10"/>
        <v>44.211980450000006</v>
      </c>
    </row>
    <row r="72" spans="1:20">
      <c r="A72" s="13" t="s">
        <v>21</v>
      </c>
      <c r="B72" s="14" t="s">
        <v>286</v>
      </c>
      <c r="C72" s="14" t="s">
        <v>287</v>
      </c>
      <c r="D72" s="13" t="s">
        <v>288</v>
      </c>
      <c r="E72" s="14" t="s">
        <v>25</v>
      </c>
      <c r="F72" s="13" t="s">
        <v>26</v>
      </c>
      <c r="G72" s="14" t="s">
        <v>20</v>
      </c>
      <c r="H72" s="14"/>
      <c r="I72" s="14">
        <v>201401</v>
      </c>
      <c r="J72" s="15">
        <v>13542.51</v>
      </c>
      <c r="K72" s="21">
        <f t="shared" si="11"/>
        <v>42675</v>
      </c>
      <c r="L72" s="16">
        <f t="shared" si="6"/>
        <v>6</v>
      </c>
      <c r="M72" s="17">
        <v>1.4833299999999999E-3</v>
      </c>
      <c r="N72" s="18">
        <f t="shared" si="7"/>
        <v>120.52806814980001</v>
      </c>
      <c r="O72" s="15"/>
      <c r="P72" s="20">
        <f t="shared" si="8"/>
        <v>0</v>
      </c>
      <c r="Q72" s="15"/>
      <c r="R72" s="20">
        <f t="shared" si="9"/>
        <v>0</v>
      </c>
      <c r="S72" s="130"/>
      <c r="T72" s="20">
        <f t="shared" si="10"/>
        <v>191.70269311875001</v>
      </c>
    </row>
    <row r="73" spans="1:20">
      <c r="A73" s="13" t="s">
        <v>21</v>
      </c>
      <c r="B73" s="14" t="s">
        <v>289</v>
      </c>
      <c r="C73" s="14" t="s">
        <v>290</v>
      </c>
      <c r="D73" s="13" t="s">
        <v>291</v>
      </c>
      <c r="E73" s="14" t="s">
        <v>164</v>
      </c>
      <c r="F73" s="13" t="s">
        <v>165</v>
      </c>
      <c r="G73" s="14" t="s">
        <v>20</v>
      </c>
      <c r="H73" s="14"/>
      <c r="I73" s="14">
        <v>201401</v>
      </c>
      <c r="J73" s="15">
        <f>659.15</f>
        <v>659.15</v>
      </c>
      <c r="K73" s="21">
        <f t="shared" si="11"/>
        <v>42675</v>
      </c>
      <c r="L73" s="16">
        <f t="shared" si="6"/>
        <v>6</v>
      </c>
      <c r="M73" s="17">
        <v>1.4833299999999999E-3</v>
      </c>
      <c r="N73" s="18">
        <f t="shared" si="7"/>
        <v>5.866421817</v>
      </c>
      <c r="O73" s="15"/>
      <c r="P73" s="20">
        <f t="shared" si="8"/>
        <v>0</v>
      </c>
      <c r="Q73" s="15"/>
      <c r="R73" s="20">
        <f t="shared" si="9"/>
        <v>0</v>
      </c>
      <c r="S73" s="130"/>
      <c r="T73" s="20">
        <f t="shared" si="10"/>
        <v>9.3306802187499986</v>
      </c>
    </row>
    <row r="74" spans="1:20">
      <c r="A74" s="23" t="s">
        <v>29</v>
      </c>
      <c r="B74" s="14" t="s">
        <v>292</v>
      </c>
      <c r="C74" s="14" t="s">
        <v>293</v>
      </c>
      <c r="D74" s="13" t="s">
        <v>197</v>
      </c>
      <c r="E74" s="14" t="s">
        <v>294</v>
      </c>
      <c r="F74" s="13" t="s">
        <v>199</v>
      </c>
      <c r="G74" s="14" t="s">
        <v>20</v>
      </c>
      <c r="H74" s="14"/>
      <c r="I74" s="14">
        <v>201401</v>
      </c>
      <c r="J74" s="15">
        <v>2456.11</v>
      </c>
      <c r="K74" s="21">
        <f t="shared" si="11"/>
        <v>42675</v>
      </c>
      <c r="L74" s="16">
        <f t="shared" si="6"/>
        <v>6</v>
      </c>
      <c r="M74" s="17">
        <v>2.23333E-3</v>
      </c>
      <c r="N74" s="18">
        <f t="shared" si="7"/>
        <v>32.911824877800001</v>
      </c>
      <c r="O74" s="15"/>
      <c r="P74" s="20">
        <f t="shared" si="8"/>
        <v>0</v>
      </c>
      <c r="Q74" s="15"/>
      <c r="R74" s="20">
        <f t="shared" si="9"/>
        <v>0</v>
      </c>
      <c r="S74" s="130"/>
      <c r="T74" s="20">
        <f t="shared" si="10"/>
        <v>34.767772118750003</v>
      </c>
    </row>
    <row r="75" spans="1:20">
      <c r="A75" s="13" t="s">
        <v>127</v>
      </c>
      <c r="B75" s="14" t="s">
        <v>295</v>
      </c>
      <c r="C75" s="14" t="s">
        <v>296</v>
      </c>
      <c r="D75" s="13" t="s">
        <v>297</v>
      </c>
      <c r="E75" s="14" t="s">
        <v>216</v>
      </c>
      <c r="F75" s="13" t="s">
        <v>217</v>
      </c>
      <c r="G75" s="14" t="s">
        <v>20</v>
      </c>
      <c r="H75" s="14"/>
      <c r="I75" s="14">
        <v>201401</v>
      </c>
      <c r="J75" s="15">
        <v>0</v>
      </c>
      <c r="K75" s="21">
        <f t="shared" si="11"/>
        <v>42675</v>
      </c>
      <c r="L75" s="16">
        <f t="shared" si="6"/>
        <v>6</v>
      </c>
      <c r="M75" s="17">
        <v>2.3833299999999999E-3</v>
      </c>
      <c r="N75" s="18">
        <f t="shared" si="7"/>
        <v>0</v>
      </c>
      <c r="O75" s="15"/>
      <c r="P75" s="20">
        <f t="shared" si="8"/>
        <v>0</v>
      </c>
      <c r="Q75" s="15"/>
      <c r="R75" s="20">
        <f t="shared" si="9"/>
        <v>0</v>
      </c>
      <c r="S75" s="130"/>
      <c r="T75" s="20">
        <f t="shared" si="10"/>
        <v>0</v>
      </c>
    </row>
    <row r="76" spans="1:20">
      <c r="A76" s="13" t="s">
        <v>21</v>
      </c>
      <c r="B76" s="14" t="s">
        <v>298</v>
      </c>
      <c r="C76" s="14" t="s">
        <v>299</v>
      </c>
      <c r="D76" s="13" t="s">
        <v>300</v>
      </c>
      <c r="E76" s="14" t="s">
        <v>164</v>
      </c>
      <c r="F76" s="13" t="s">
        <v>165</v>
      </c>
      <c r="G76" s="14" t="s">
        <v>20</v>
      </c>
      <c r="H76" s="14"/>
      <c r="I76" s="14">
        <v>201401</v>
      </c>
      <c r="J76" s="15">
        <v>40049.440000000002</v>
      </c>
      <c r="K76" s="21">
        <f t="shared" si="11"/>
        <v>42675</v>
      </c>
      <c r="L76" s="16">
        <f t="shared" si="6"/>
        <v>6</v>
      </c>
      <c r="M76" s="17">
        <v>1.4833299999999999E-3</v>
      </c>
      <c r="N76" s="18">
        <f t="shared" si="7"/>
        <v>356.43921501120002</v>
      </c>
      <c r="O76" s="15"/>
      <c r="P76" s="20">
        <f t="shared" si="8"/>
        <v>0</v>
      </c>
      <c r="Q76" s="15"/>
      <c r="R76" s="20">
        <f t="shared" si="9"/>
        <v>0</v>
      </c>
      <c r="S76" s="130"/>
      <c r="T76" s="20">
        <f t="shared" si="10"/>
        <v>566.92485410000006</v>
      </c>
    </row>
    <row r="77" spans="1:20">
      <c r="A77" s="13" t="s">
        <v>21</v>
      </c>
      <c r="B77" s="14" t="s">
        <v>301</v>
      </c>
      <c r="C77" s="14" t="s">
        <v>302</v>
      </c>
      <c r="D77" s="13" t="s">
        <v>303</v>
      </c>
      <c r="E77" s="14" t="s">
        <v>63</v>
      </c>
      <c r="F77" s="13" t="s">
        <v>19</v>
      </c>
      <c r="G77" s="14" t="s">
        <v>20</v>
      </c>
      <c r="H77" s="14"/>
      <c r="I77" s="14">
        <v>201401</v>
      </c>
      <c r="J77" s="15">
        <v>105.2</v>
      </c>
      <c r="K77" s="21">
        <f t="shared" si="11"/>
        <v>42675</v>
      </c>
      <c r="L77" s="16">
        <f t="shared" si="6"/>
        <v>6</v>
      </c>
      <c r="M77" s="17">
        <v>1.4833299999999999E-3</v>
      </c>
      <c r="N77" s="18">
        <f t="shared" si="7"/>
        <v>0.936277896</v>
      </c>
      <c r="O77" s="15"/>
      <c r="P77" s="20">
        <f t="shared" si="8"/>
        <v>0</v>
      </c>
      <c r="Q77" s="15"/>
      <c r="R77" s="20">
        <f t="shared" si="9"/>
        <v>0</v>
      </c>
      <c r="S77" s="130"/>
      <c r="T77" s="20">
        <f t="shared" si="10"/>
        <v>1.4891717499999999</v>
      </c>
    </row>
    <row r="78" spans="1:20">
      <c r="A78" s="13" t="s">
        <v>21</v>
      </c>
      <c r="B78" s="14" t="s">
        <v>304</v>
      </c>
      <c r="C78" s="14" t="s">
        <v>305</v>
      </c>
      <c r="D78" s="13" t="s">
        <v>306</v>
      </c>
      <c r="E78" s="14" t="s">
        <v>307</v>
      </c>
      <c r="F78" s="13" t="s">
        <v>165</v>
      </c>
      <c r="G78" s="14" t="s">
        <v>20</v>
      </c>
      <c r="H78" s="14"/>
      <c r="I78" s="14">
        <v>201401</v>
      </c>
      <c r="J78" s="15">
        <v>354.24</v>
      </c>
      <c r="K78" s="21">
        <f t="shared" si="11"/>
        <v>42675</v>
      </c>
      <c r="L78" s="16">
        <f t="shared" si="6"/>
        <v>6</v>
      </c>
      <c r="M78" s="17">
        <v>1.4833299999999999E-3</v>
      </c>
      <c r="N78" s="18">
        <f t="shared" si="7"/>
        <v>3.1527289152</v>
      </c>
      <c r="O78" s="15"/>
      <c r="P78" s="20">
        <f t="shared" si="8"/>
        <v>0</v>
      </c>
      <c r="Q78" s="15"/>
      <c r="R78" s="20">
        <f t="shared" si="9"/>
        <v>0</v>
      </c>
      <c r="S78" s="130"/>
      <c r="T78" s="20">
        <f t="shared" si="10"/>
        <v>5.0144885999999991</v>
      </c>
    </row>
    <row r="79" spans="1:20">
      <c r="A79" s="13" t="s">
        <v>21</v>
      </c>
      <c r="B79" s="14" t="s">
        <v>308</v>
      </c>
      <c r="C79" s="14" t="s">
        <v>309</v>
      </c>
      <c r="D79" s="13" t="s">
        <v>310</v>
      </c>
      <c r="E79" s="14" t="s">
        <v>142</v>
      </c>
      <c r="F79" s="13" t="s">
        <v>143</v>
      </c>
      <c r="G79" s="14" t="s">
        <v>20</v>
      </c>
      <c r="H79" s="14"/>
      <c r="I79" s="14">
        <v>201401</v>
      </c>
      <c r="J79" s="15">
        <f>3387.41</f>
        <v>3387.41</v>
      </c>
      <c r="K79" s="21">
        <f t="shared" si="11"/>
        <v>42675</v>
      </c>
      <c r="L79" s="16">
        <f t="shared" si="6"/>
        <v>6</v>
      </c>
      <c r="M79" s="17">
        <v>1.4833299999999999E-3</v>
      </c>
      <c r="N79" s="18">
        <f t="shared" si="7"/>
        <v>30.147881251799998</v>
      </c>
      <c r="O79" s="15"/>
      <c r="P79" s="20">
        <f t="shared" si="8"/>
        <v>0</v>
      </c>
      <c r="Q79" s="15"/>
      <c r="R79" s="20">
        <f t="shared" si="9"/>
        <v>0</v>
      </c>
      <c r="S79" s="130"/>
      <c r="T79" s="20">
        <f t="shared" si="10"/>
        <v>47.950905681249999</v>
      </c>
    </row>
    <row r="80" spans="1:20">
      <c r="A80" s="13" t="s">
        <v>21</v>
      </c>
      <c r="B80" s="14" t="s">
        <v>311</v>
      </c>
      <c r="C80" s="14" t="s">
        <v>312</v>
      </c>
      <c r="D80" s="13" t="s">
        <v>313</v>
      </c>
      <c r="E80" s="14" t="s">
        <v>164</v>
      </c>
      <c r="F80" s="13" t="s">
        <v>165</v>
      </c>
      <c r="G80" s="14" t="s">
        <v>20</v>
      </c>
      <c r="H80" s="14"/>
      <c r="I80" s="14">
        <v>201401</v>
      </c>
      <c r="J80" s="15">
        <f>14726.8</f>
        <v>14726.8</v>
      </c>
      <c r="K80" s="21">
        <f t="shared" si="11"/>
        <v>42675</v>
      </c>
      <c r="L80" s="16">
        <f t="shared" si="6"/>
        <v>6</v>
      </c>
      <c r="M80" s="17">
        <v>1.4833299999999999E-3</v>
      </c>
      <c r="N80" s="18">
        <f t="shared" si="7"/>
        <v>131.06822546399999</v>
      </c>
      <c r="O80" s="15"/>
      <c r="P80" s="20">
        <f t="shared" si="8"/>
        <v>0</v>
      </c>
      <c r="Q80" s="15"/>
      <c r="R80" s="20">
        <f t="shared" si="9"/>
        <v>0</v>
      </c>
      <c r="S80" s="130"/>
      <c r="T80" s="20">
        <f t="shared" si="10"/>
        <v>208.46705824999998</v>
      </c>
    </row>
    <row r="81" spans="1:20">
      <c r="A81" s="23" t="s">
        <v>29</v>
      </c>
      <c r="B81" s="14" t="s">
        <v>314</v>
      </c>
      <c r="C81" s="14" t="s">
        <v>315</v>
      </c>
      <c r="D81" s="13" t="s">
        <v>316</v>
      </c>
      <c r="E81" s="14" t="s">
        <v>317</v>
      </c>
      <c r="F81" s="13" t="s">
        <v>285</v>
      </c>
      <c r="G81" s="14" t="s">
        <v>20</v>
      </c>
      <c r="H81" s="14"/>
      <c r="I81" s="14">
        <v>201401</v>
      </c>
      <c r="J81" s="15">
        <v>2420.09</v>
      </c>
      <c r="K81" s="21">
        <f t="shared" si="11"/>
        <v>42675</v>
      </c>
      <c r="L81" s="16">
        <f t="shared" si="6"/>
        <v>6</v>
      </c>
      <c r="M81" s="17">
        <v>2.23333E-3</v>
      </c>
      <c r="N81" s="18">
        <f t="shared" si="7"/>
        <v>32.4291575982</v>
      </c>
      <c r="O81" s="15"/>
      <c r="P81" s="20">
        <f t="shared" si="8"/>
        <v>0</v>
      </c>
      <c r="Q81" s="15"/>
      <c r="R81" s="20">
        <f t="shared" si="9"/>
        <v>0</v>
      </c>
      <c r="S81" s="130"/>
      <c r="T81" s="20">
        <f t="shared" si="10"/>
        <v>34.257886506250003</v>
      </c>
    </row>
    <row r="82" spans="1:20">
      <c r="A82" s="23" t="s">
        <v>29</v>
      </c>
      <c r="B82" s="14" t="s">
        <v>318</v>
      </c>
      <c r="C82" s="14" t="s">
        <v>319</v>
      </c>
      <c r="D82" s="13" t="s">
        <v>105</v>
      </c>
      <c r="E82" s="14" t="s">
        <v>320</v>
      </c>
      <c r="F82" s="13" t="s">
        <v>34</v>
      </c>
      <c r="G82" s="14" t="s">
        <v>20</v>
      </c>
      <c r="H82" s="14"/>
      <c r="I82" s="14">
        <v>201401</v>
      </c>
      <c r="J82" s="15">
        <v>11143.58</v>
      </c>
      <c r="K82" s="21">
        <f t="shared" si="11"/>
        <v>42675</v>
      </c>
      <c r="L82" s="16">
        <f t="shared" si="6"/>
        <v>6</v>
      </c>
      <c r="M82" s="17">
        <v>2.23333E-3</v>
      </c>
      <c r="N82" s="18">
        <f t="shared" si="7"/>
        <v>149.32374912839998</v>
      </c>
      <c r="O82" s="15"/>
      <c r="P82" s="20">
        <f t="shared" si="8"/>
        <v>0</v>
      </c>
      <c r="Q82" s="15"/>
      <c r="R82" s="20">
        <f t="shared" si="9"/>
        <v>0</v>
      </c>
      <c r="S82" s="130"/>
      <c r="T82" s="20">
        <f t="shared" si="10"/>
        <v>157.74433963749999</v>
      </c>
    </row>
    <row r="83" spans="1:20">
      <c r="A83" s="23" t="s">
        <v>29</v>
      </c>
      <c r="B83" s="14" t="s">
        <v>321</v>
      </c>
      <c r="C83" s="14" t="s">
        <v>322</v>
      </c>
      <c r="D83" s="13" t="s">
        <v>323</v>
      </c>
      <c r="E83" s="14" t="s">
        <v>324</v>
      </c>
      <c r="F83" s="13" t="s">
        <v>52</v>
      </c>
      <c r="G83" s="14" t="s">
        <v>20</v>
      </c>
      <c r="H83" s="14"/>
      <c r="I83" s="14">
        <v>201401</v>
      </c>
      <c r="J83" s="15">
        <v>2735.2</v>
      </c>
      <c r="K83" s="21">
        <f t="shared" si="11"/>
        <v>42675</v>
      </c>
      <c r="L83" s="16">
        <f t="shared" si="6"/>
        <v>6</v>
      </c>
      <c r="M83" s="17">
        <v>2.23333E-3</v>
      </c>
      <c r="N83" s="18">
        <f t="shared" si="7"/>
        <v>36.651625295999992</v>
      </c>
      <c r="O83" s="15"/>
      <c r="P83" s="20">
        <f t="shared" si="8"/>
        <v>0</v>
      </c>
      <c r="Q83" s="15"/>
      <c r="R83" s="20">
        <f t="shared" si="9"/>
        <v>0</v>
      </c>
      <c r="S83" s="130"/>
      <c r="T83" s="20">
        <f t="shared" si="10"/>
        <v>38.718465499999994</v>
      </c>
    </row>
    <row r="84" spans="1:20">
      <c r="A84" s="23" t="s">
        <v>29</v>
      </c>
      <c r="B84" s="14" t="s">
        <v>325</v>
      </c>
      <c r="C84" s="14" t="s">
        <v>326</v>
      </c>
      <c r="D84" s="13" t="s">
        <v>327</v>
      </c>
      <c r="E84" s="14" t="s">
        <v>328</v>
      </c>
      <c r="F84" s="13" t="s">
        <v>58</v>
      </c>
      <c r="G84" s="14" t="s">
        <v>20</v>
      </c>
      <c r="H84" s="14"/>
      <c r="I84" s="14">
        <v>201401</v>
      </c>
      <c r="J84" s="15">
        <v>1484.74</v>
      </c>
      <c r="K84" s="21">
        <f t="shared" si="11"/>
        <v>42675</v>
      </c>
      <c r="L84" s="16">
        <f t="shared" si="6"/>
        <v>6</v>
      </c>
      <c r="M84" s="17">
        <v>2.23333E-3</v>
      </c>
      <c r="N84" s="18">
        <f t="shared" si="7"/>
        <v>19.895486305199999</v>
      </c>
      <c r="O84" s="15"/>
      <c r="P84" s="20">
        <f t="shared" si="8"/>
        <v>0</v>
      </c>
      <c r="Q84" s="15"/>
      <c r="R84" s="20">
        <f t="shared" si="9"/>
        <v>0</v>
      </c>
      <c r="S84" s="130"/>
      <c r="T84" s="20">
        <f t="shared" si="10"/>
        <v>21.0174226625</v>
      </c>
    </row>
    <row r="85" spans="1:20">
      <c r="A85" s="13" t="s">
        <v>21</v>
      </c>
      <c r="B85" s="14" t="s">
        <v>329</v>
      </c>
      <c r="C85" s="14" t="s">
        <v>330</v>
      </c>
      <c r="D85" s="13" t="s">
        <v>331</v>
      </c>
      <c r="E85" s="14" t="s">
        <v>164</v>
      </c>
      <c r="F85" s="13" t="s">
        <v>165</v>
      </c>
      <c r="G85" s="14" t="s">
        <v>20</v>
      </c>
      <c r="H85" s="14"/>
      <c r="I85" s="14">
        <v>201401</v>
      </c>
      <c r="J85" s="15">
        <f>1231.37</f>
        <v>1231.3699999999999</v>
      </c>
      <c r="K85" s="21">
        <f t="shared" si="11"/>
        <v>42675</v>
      </c>
      <c r="L85" s="16">
        <f t="shared" si="6"/>
        <v>6</v>
      </c>
      <c r="M85" s="17">
        <v>1.4833299999999999E-3</v>
      </c>
      <c r="N85" s="18">
        <f t="shared" si="7"/>
        <v>10.959168372599999</v>
      </c>
      <c r="O85" s="15"/>
      <c r="P85" s="20">
        <f t="shared" si="8"/>
        <v>0</v>
      </c>
      <c r="Q85" s="15"/>
      <c r="R85" s="20">
        <f t="shared" si="9"/>
        <v>0</v>
      </c>
      <c r="S85" s="130"/>
      <c r="T85" s="20">
        <f t="shared" si="10"/>
        <v>17.430811956249997</v>
      </c>
    </row>
    <row r="86" spans="1:20">
      <c r="A86" s="13" t="s">
        <v>21</v>
      </c>
      <c r="B86" s="14" t="s">
        <v>332</v>
      </c>
      <c r="C86" s="14" t="s">
        <v>333</v>
      </c>
      <c r="D86" s="13" t="s">
        <v>334</v>
      </c>
      <c r="E86" s="14" t="s">
        <v>209</v>
      </c>
      <c r="F86" s="13" t="s">
        <v>88</v>
      </c>
      <c r="G86" s="14" t="s">
        <v>20</v>
      </c>
      <c r="H86" s="14"/>
      <c r="I86" s="14">
        <v>201401</v>
      </c>
      <c r="J86" s="15">
        <v>17601.75</v>
      </c>
      <c r="K86" s="21">
        <f t="shared" si="11"/>
        <v>42675</v>
      </c>
      <c r="L86" s="16">
        <f t="shared" si="6"/>
        <v>6</v>
      </c>
      <c r="M86" s="17">
        <v>1.4833299999999999E-3</v>
      </c>
      <c r="N86" s="18">
        <f t="shared" si="7"/>
        <v>156.65522296500001</v>
      </c>
      <c r="O86" s="15"/>
      <c r="P86" s="20">
        <f t="shared" si="8"/>
        <v>0</v>
      </c>
      <c r="Q86" s="15"/>
      <c r="R86" s="20">
        <f t="shared" si="9"/>
        <v>0</v>
      </c>
      <c r="S86" s="130"/>
      <c r="T86" s="20">
        <f t="shared" si="10"/>
        <v>249.16377234375</v>
      </c>
    </row>
    <row r="87" spans="1:20">
      <c r="A87" s="13" t="s">
        <v>21</v>
      </c>
      <c r="B87" s="14" t="s">
        <v>335</v>
      </c>
      <c r="C87" s="14" t="s">
        <v>336</v>
      </c>
      <c r="D87" s="13" t="s">
        <v>337</v>
      </c>
      <c r="E87" s="14" t="s">
        <v>75</v>
      </c>
      <c r="F87" s="13" t="s">
        <v>26</v>
      </c>
      <c r="G87" s="14" t="s">
        <v>20</v>
      </c>
      <c r="H87" s="14"/>
      <c r="I87" s="14">
        <v>201401</v>
      </c>
      <c r="J87" s="15">
        <v>1470</v>
      </c>
      <c r="K87" s="21">
        <f t="shared" si="11"/>
        <v>42675</v>
      </c>
      <c r="L87" s="16">
        <f t="shared" si="6"/>
        <v>6</v>
      </c>
      <c r="M87" s="17">
        <v>1.4833299999999999E-3</v>
      </c>
      <c r="N87" s="18">
        <f t="shared" si="7"/>
        <v>13.082970599999999</v>
      </c>
      <c r="O87" s="15"/>
      <c r="P87" s="20">
        <f t="shared" si="8"/>
        <v>0</v>
      </c>
      <c r="Q87" s="15"/>
      <c r="R87" s="20">
        <f t="shared" si="9"/>
        <v>0</v>
      </c>
      <c r="S87" s="130"/>
      <c r="T87" s="20">
        <f t="shared" si="10"/>
        <v>20.808768749999999</v>
      </c>
    </row>
    <row r="88" spans="1:20">
      <c r="A88" s="13" t="s">
        <v>21</v>
      </c>
      <c r="B88" s="14" t="s">
        <v>338</v>
      </c>
      <c r="C88" s="14" t="s">
        <v>339</v>
      </c>
      <c r="D88" s="13" t="s">
        <v>340</v>
      </c>
      <c r="E88" s="14" t="s">
        <v>164</v>
      </c>
      <c r="F88" s="13" t="s">
        <v>165</v>
      </c>
      <c r="G88" s="14" t="s">
        <v>20</v>
      </c>
      <c r="H88" s="14"/>
      <c r="I88" s="14">
        <v>201401</v>
      </c>
      <c r="J88" s="15">
        <v>45570.19</v>
      </c>
      <c r="K88" s="21">
        <f t="shared" si="11"/>
        <v>42675</v>
      </c>
      <c r="L88" s="16">
        <f t="shared" si="6"/>
        <v>6</v>
      </c>
      <c r="M88" s="17">
        <v>1.4833299999999999E-3</v>
      </c>
      <c r="N88" s="18">
        <f t="shared" si="7"/>
        <v>405.57377959620004</v>
      </c>
      <c r="O88" s="15"/>
      <c r="P88" s="20">
        <f t="shared" si="8"/>
        <v>0</v>
      </c>
      <c r="Q88" s="15"/>
      <c r="R88" s="20">
        <f t="shared" si="9"/>
        <v>0</v>
      </c>
      <c r="S88" s="130"/>
      <c r="T88" s="20">
        <f t="shared" si="10"/>
        <v>645.07452081874999</v>
      </c>
    </row>
    <row r="89" spans="1:20">
      <c r="A89" s="13" t="s">
        <v>21</v>
      </c>
      <c r="B89" s="14" t="s">
        <v>341</v>
      </c>
      <c r="C89" s="14" t="s">
        <v>342</v>
      </c>
      <c r="D89" s="13" t="s">
        <v>343</v>
      </c>
      <c r="E89" s="14" t="s">
        <v>137</v>
      </c>
      <c r="F89" s="13" t="s">
        <v>138</v>
      </c>
      <c r="G89" s="14" t="s">
        <v>20</v>
      </c>
      <c r="H89" s="14"/>
      <c r="I89" s="14">
        <v>201401</v>
      </c>
      <c r="J89" s="15">
        <f>409674.56</f>
        <v>409674.56</v>
      </c>
      <c r="K89" s="21">
        <f t="shared" si="11"/>
        <v>42675</v>
      </c>
      <c r="L89" s="16">
        <f t="shared" si="6"/>
        <v>6</v>
      </c>
      <c r="M89" s="17">
        <v>1.4833299999999999E-3</v>
      </c>
      <c r="N89" s="18">
        <f t="shared" si="7"/>
        <v>3646.0953905087999</v>
      </c>
      <c r="O89" s="15"/>
      <c r="P89" s="20">
        <f t="shared" si="8"/>
        <v>0</v>
      </c>
      <c r="Q89" s="15"/>
      <c r="R89" s="20">
        <f t="shared" si="9"/>
        <v>0</v>
      </c>
      <c r="S89" s="130"/>
      <c r="T89" s="20">
        <f t="shared" si="10"/>
        <v>5799.1994433999998</v>
      </c>
    </row>
    <row r="90" spans="1:20">
      <c r="A90" s="13" t="s">
        <v>21</v>
      </c>
      <c r="B90" s="14" t="s">
        <v>344</v>
      </c>
      <c r="C90" s="14" t="s">
        <v>345</v>
      </c>
      <c r="D90" s="13" t="s">
        <v>346</v>
      </c>
      <c r="E90" s="14" t="s">
        <v>137</v>
      </c>
      <c r="F90" s="13" t="s">
        <v>138</v>
      </c>
      <c r="G90" s="14" t="s">
        <v>20</v>
      </c>
      <c r="H90" s="14"/>
      <c r="I90" s="14">
        <v>201401</v>
      </c>
      <c r="J90" s="15">
        <v>-2247.7199999999998</v>
      </c>
      <c r="K90" s="21">
        <f t="shared" si="11"/>
        <v>42675</v>
      </c>
      <c r="L90" s="16">
        <f t="shared" si="6"/>
        <v>6</v>
      </c>
      <c r="M90" s="17">
        <v>1.4833299999999999E-3</v>
      </c>
      <c r="N90" s="18">
        <f t="shared" si="7"/>
        <v>-20.004663045599997</v>
      </c>
      <c r="O90" s="15"/>
      <c r="P90" s="20">
        <f t="shared" si="8"/>
        <v>0</v>
      </c>
      <c r="Q90" s="15"/>
      <c r="R90" s="20">
        <f t="shared" si="9"/>
        <v>0</v>
      </c>
      <c r="S90" s="130"/>
      <c r="T90" s="20">
        <f t="shared" si="10"/>
        <v>-31.817881424999996</v>
      </c>
    </row>
    <row r="91" spans="1:20">
      <c r="A91" s="13" t="s">
        <v>21</v>
      </c>
      <c r="B91" s="14" t="s">
        <v>347</v>
      </c>
      <c r="C91" s="14" t="s">
        <v>348</v>
      </c>
      <c r="D91" s="13" t="s">
        <v>349</v>
      </c>
      <c r="E91" s="14" t="s">
        <v>102</v>
      </c>
      <c r="F91" s="13" t="s">
        <v>19</v>
      </c>
      <c r="G91" s="14" t="s">
        <v>20</v>
      </c>
      <c r="H91" s="14"/>
      <c r="I91" s="14">
        <v>201401</v>
      </c>
      <c r="J91" s="15">
        <v>0</v>
      </c>
      <c r="K91" s="21">
        <f t="shared" si="11"/>
        <v>42675</v>
      </c>
      <c r="L91" s="16">
        <f t="shared" si="6"/>
        <v>6</v>
      </c>
      <c r="M91" s="17">
        <v>1.4833299999999999E-3</v>
      </c>
      <c r="N91" s="18">
        <f t="shared" si="7"/>
        <v>0</v>
      </c>
      <c r="O91" s="15"/>
      <c r="P91" s="20">
        <f t="shared" si="8"/>
        <v>0</v>
      </c>
      <c r="Q91" s="15"/>
      <c r="R91" s="20">
        <f t="shared" si="9"/>
        <v>0</v>
      </c>
      <c r="S91" s="130"/>
      <c r="T91" s="20">
        <f t="shared" si="10"/>
        <v>0</v>
      </c>
    </row>
    <row r="92" spans="1:20">
      <c r="A92" s="13" t="s">
        <v>21</v>
      </c>
      <c r="B92" s="14" t="s">
        <v>350</v>
      </c>
      <c r="C92" s="14" t="s">
        <v>351</v>
      </c>
      <c r="D92" s="13" t="s">
        <v>352</v>
      </c>
      <c r="E92" s="14" t="s">
        <v>75</v>
      </c>
      <c r="F92" s="13" t="s">
        <v>26</v>
      </c>
      <c r="G92" s="14" t="s">
        <v>20</v>
      </c>
      <c r="H92" s="14"/>
      <c r="I92" s="14">
        <v>201401</v>
      </c>
      <c r="J92" s="15">
        <f>6190.24</f>
        <v>6190.24</v>
      </c>
      <c r="K92" s="21">
        <f t="shared" si="11"/>
        <v>42675</v>
      </c>
      <c r="L92" s="16">
        <f t="shared" si="6"/>
        <v>6</v>
      </c>
      <c r="M92" s="17">
        <v>1.4833299999999999E-3</v>
      </c>
      <c r="N92" s="18">
        <f t="shared" si="7"/>
        <v>55.093012195199996</v>
      </c>
      <c r="O92" s="15"/>
      <c r="P92" s="20">
        <f t="shared" si="8"/>
        <v>0</v>
      </c>
      <c r="Q92" s="15"/>
      <c r="R92" s="20">
        <f t="shared" si="9"/>
        <v>0</v>
      </c>
      <c r="S92" s="130"/>
      <c r="T92" s="20">
        <f t="shared" si="10"/>
        <v>87.626716099999982</v>
      </c>
    </row>
    <row r="93" spans="1:20">
      <c r="A93" s="13" t="s">
        <v>21</v>
      </c>
      <c r="B93" s="14" t="s">
        <v>353</v>
      </c>
      <c r="C93" s="14" t="s">
        <v>354</v>
      </c>
      <c r="D93" s="13" t="s">
        <v>355</v>
      </c>
      <c r="E93" s="14" t="s">
        <v>356</v>
      </c>
      <c r="F93" s="13" t="s">
        <v>19</v>
      </c>
      <c r="G93" s="14" t="s">
        <v>20</v>
      </c>
      <c r="H93" s="14"/>
      <c r="I93" s="14">
        <v>201401</v>
      </c>
      <c r="J93" s="15">
        <v>4642.7299999999996</v>
      </c>
      <c r="K93" s="21">
        <f t="shared" si="11"/>
        <v>42675</v>
      </c>
      <c r="L93" s="16">
        <f t="shared" si="6"/>
        <v>6</v>
      </c>
      <c r="M93" s="17">
        <v>1.4833299999999999E-3</v>
      </c>
      <c r="N93" s="18">
        <f t="shared" si="7"/>
        <v>41.320204145399998</v>
      </c>
      <c r="O93" s="15"/>
      <c r="P93" s="20">
        <f t="shared" si="8"/>
        <v>0</v>
      </c>
      <c r="Q93" s="15"/>
      <c r="R93" s="20">
        <f t="shared" si="9"/>
        <v>0</v>
      </c>
      <c r="S93" s="130"/>
      <c r="T93" s="20">
        <f t="shared" si="10"/>
        <v>65.720744856249993</v>
      </c>
    </row>
    <row r="94" spans="1:20">
      <c r="A94" s="13" t="s">
        <v>21</v>
      </c>
      <c r="B94" s="14" t="s">
        <v>357</v>
      </c>
      <c r="C94" s="14" t="s">
        <v>358</v>
      </c>
      <c r="D94" s="13" t="s">
        <v>359</v>
      </c>
      <c r="E94" s="14" t="s">
        <v>360</v>
      </c>
      <c r="F94" s="13" t="s">
        <v>19</v>
      </c>
      <c r="G94" s="14" t="s">
        <v>20</v>
      </c>
      <c r="H94" s="14"/>
      <c r="I94" s="14">
        <v>201401</v>
      </c>
      <c r="J94" s="35">
        <f>776.51</f>
        <v>776.51</v>
      </c>
      <c r="K94" s="21">
        <f t="shared" si="11"/>
        <v>42675</v>
      </c>
      <c r="L94" s="16">
        <f t="shared" si="6"/>
        <v>6</v>
      </c>
      <c r="M94" s="17">
        <v>1.4833299999999999E-3</v>
      </c>
      <c r="N94" s="18">
        <f t="shared" si="7"/>
        <v>6.9109234698000002</v>
      </c>
      <c r="O94" s="35"/>
      <c r="P94" s="20">
        <f t="shared" si="8"/>
        <v>0</v>
      </c>
      <c r="Q94" s="35"/>
      <c r="R94" s="20">
        <f t="shared" si="9"/>
        <v>0</v>
      </c>
      <c r="S94" s="130"/>
      <c r="T94" s="20">
        <f t="shared" si="10"/>
        <v>10.99198436875</v>
      </c>
    </row>
    <row r="95" spans="1:20">
      <c r="A95" s="13" t="s">
        <v>21</v>
      </c>
      <c r="B95" s="14" t="s">
        <v>361</v>
      </c>
      <c r="C95" s="14" t="s">
        <v>362</v>
      </c>
      <c r="D95" s="13" t="s">
        <v>363</v>
      </c>
      <c r="E95" s="14" t="s">
        <v>164</v>
      </c>
      <c r="F95" s="13" t="s">
        <v>165</v>
      </c>
      <c r="G95" s="14" t="s">
        <v>20</v>
      </c>
      <c r="H95" s="14"/>
      <c r="I95" s="14">
        <v>201401</v>
      </c>
      <c r="J95" s="15">
        <f>1071.3</f>
        <v>1071.3</v>
      </c>
      <c r="K95" s="21">
        <f t="shared" si="11"/>
        <v>42675</v>
      </c>
      <c r="L95" s="16">
        <f t="shared" si="6"/>
        <v>6</v>
      </c>
      <c r="M95" s="17">
        <v>1.4833299999999999E-3</v>
      </c>
      <c r="N95" s="18">
        <f t="shared" si="7"/>
        <v>9.5345485740000004</v>
      </c>
      <c r="O95" s="15"/>
      <c r="P95" s="20">
        <f t="shared" si="8"/>
        <v>0</v>
      </c>
      <c r="Q95" s="15"/>
      <c r="R95" s="20">
        <f t="shared" si="9"/>
        <v>0</v>
      </c>
      <c r="S95" s="130"/>
      <c r="T95" s="20">
        <f t="shared" si="10"/>
        <v>15.164921062499998</v>
      </c>
    </row>
    <row r="96" spans="1:20">
      <c r="A96" s="23" t="s">
        <v>29</v>
      </c>
      <c r="B96" s="14" t="s">
        <v>30</v>
      </c>
      <c r="C96" s="14" t="s">
        <v>31</v>
      </c>
      <c r="D96" s="13" t="s">
        <v>32</v>
      </c>
      <c r="E96" s="14" t="s">
        <v>33</v>
      </c>
      <c r="F96" s="13" t="s">
        <v>34</v>
      </c>
      <c r="G96" s="14" t="s">
        <v>20</v>
      </c>
      <c r="H96" s="14"/>
      <c r="I96" s="14">
        <v>201402</v>
      </c>
      <c r="J96" s="15">
        <v>9118.57</v>
      </c>
      <c r="K96" s="21">
        <f t="shared" si="11"/>
        <v>42675</v>
      </c>
      <c r="L96" s="16">
        <f t="shared" si="6"/>
        <v>6</v>
      </c>
      <c r="M96" s="17">
        <v>2.23333E-3</v>
      </c>
      <c r="N96" s="18">
        <f t="shared" si="7"/>
        <v>122.18865562859999</v>
      </c>
      <c r="O96" s="15"/>
      <c r="P96" s="20">
        <f t="shared" si="8"/>
        <v>0</v>
      </c>
      <c r="Q96" s="15"/>
      <c r="R96" s="20">
        <f t="shared" si="9"/>
        <v>0</v>
      </c>
      <c r="S96" s="130"/>
      <c r="T96" s="20">
        <f t="shared" si="10"/>
        <v>129.07905745624998</v>
      </c>
    </row>
    <row r="97" spans="1:20">
      <c r="A97" s="23" t="s">
        <v>29</v>
      </c>
      <c r="B97" s="14" t="s">
        <v>37</v>
      </c>
      <c r="C97" s="14" t="s">
        <v>38</v>
      </c>
      <c r="D97" s="13" t="s">
        <v>39</v>
      </c>
      <c r="E97" s="14" t="s">
        <v>40</v>
      </c>
      <c r="F97" s="13" t="s">
        <v>41</v>
      </c>
      <c r="G97" s="14" t="s">
        <v>20</v>
      </c>
      <c r="H97" s="14"/>
      <c r="I97" s="14">
        <v>201402</v>
      </c>
      <c r="J97" s="15">
        <v>45171.7</v>
      </c>
      <c r="K97" s="21">
        <f t="shared" si="11"/>
        <v>42675</v>
      </c>
      <c r="L97" s="16">
        <f t="shared" si="6"/>
        <v>6</v>
      </c>
      <c r="M97" s="17">
        <v>2.23333E-3</v>
      </c>
      <c r="N97" s="18">
        <f t="shared" si="7"/>
        <v>605.29987656599985</v>
      </c>
      <c r="O97" s="15"/>
      <c r="P97" s="20">
        <f t="shared" si="8"/>
        <v>0</v>
      </c>
      <c r="Q97" s="15"/>
      <c r="R97" s="20">
        <f t="shared" si="9"/>
        <v>0</v>
      </c>
      <c r="S97" s="130"/>
      <c r="T97" s="20">
        <f t="shared" si="10"/>
        <v>639.4336458125</v>
      </c>
    </row>
    <row r="98" spans="1:20">
      <c r="A98" s="23" t="s">
        <v>29</v>
      </c>
      <c r="B98" s="14" t="s">
        <v>48</v>
      </c>
      <c r="C98" s="14" t="s">
        <v>49</v>
      </c>
      <c r="D98" s="13" t="s">
        <v>50</v>
      </c>
      <c r="E98" s="14" t="s">
        <v>51</v>
      </c>
      <c r="F98" s="13" t="s">
        <v>52</v>
      </c>
      <c r="G98" s="14" t="s">
        <v>20</v>
      </c>
      <c r="H98" s="14"/>
      <c r="I98" s="14">
        <v>201402</v>
      </c>
      <c r="J98" s="15">
        <v>5812.87</v>
      </c>
      <c r="K98" s="21">
        <f t="shared" si="11"/>
        <v>42675</v>
      </c>
      <c r="L98" s="16">
        <f t="shared" si="6"/>
        <v>6</v>
      </c>
      <c r="M98" s="17">
        <v>2.23333E-3</v>
      </c>
      <c r="N98" s="18">
        <f t="shared" si="7"/>
        <v>77.892341742599996</v>
      </c>
      <c r="O98" s="15"/>
      <c r="P98" s="20">
        <f t="shared" si="8"/>
        <v>0</v>
      </c>
      <c r="Q98" s="15"/>
      <c r="R98" s="20">
        <f t="shared" si="9"/>
        <v>0</v>
      </c>
      <c r="S98" s="130"/>
      <c r="T98" s="20">
        <f t="shared" si="10"/>
        <v>82.284807893749999</v>
      </c>
    </row>
    <row r="99" spans="1:20">
      <c r="A99" s="23" t="s">
        <v>29</v>
      </c>
      <c r="B99" s="14" t="s">
        <v>54</v>
      </c>
      <c r="C99" s="14" t="s">
        <v>55</v>
      </c>
      <c r="D99" s="13" t="s">
        <v>56</v>
      </c>
      <c r="E99" s="14" t="s">
        <v>57</v>
      </c>
      <c r="F99" s="13" t="s">
        <v>58</v>
      </c>
      <c r="G99" s="14" t="s">
        <v>20</v>
      </c>
      <c r="H99" s="14"/>
      <c r="I99" s="14">
        <v>201402</v>
      </c>
      <c r="J99" s="15">
        <v>3005.49</v>
      </c>
      <c r="K99" s="21">
        <f t="shared" si="11"/>
        <v>42675</v>
      </c>
      <c r="L99" s="16">
        <f t="shared" si="6"/>
        <v>6</v>
      </c>
      <c r="M99" s="17">
        <v>2.23333E-3</v>
      </c>
      <c r="N99" s="18">
        <f t="shared" si="7"/>
        <v>40.273505890199992</v>
      </c>
      <c r="O99" s="15"/>
      <c r="P99" s="20">
        <f t="shared" si="8"/>
        <v>0</v>
      </c>
      <c r="Q99" s="15"/>
      <c r="R99" s="20">
        <f t="shared" si="9"/>
        <v>0</v>
      </c>
      <c r="S99" s="130"/>
      <c r="T99" s="20">
        <f t="shared" si="10"/>
        <v>42.544589381249992</v>
      </c>
    </row>
    <row r="100" spans="1:20">
      <c r="A100" s="13" t="s">
        <v>21</v>
      </c>
      <c r="B100" s="14" t="s">
        <v>72</v>
      </c>
      <c r="C100" s="14" t="s">
        <v>73</v>
      </c>
      <c r="D100" s="13" t="s">
        <v>74</v>
      </c>
      <c r="E100" s="14" t="s">
        <v>75</v>
      </c>
      <c r="F100" s="13" t="s">
        <v>26</v>
      </c>
      <c r="G100" s="14" t="s">
        <v>20</v>
      </c>
      <c r="H100" s="14"/>
      <c r="I100" s="14">
        <v>201402</v>
      </c>
      <c r="J100" s="15">
        <v>18137.830000000002</v>
      </c>
      <c r="K100" s="21">
        <f t="shared" si="11"/>
        <v>42675</v>
      </c>
      <c r="L100" s="16">
        <f t="shared" si="6"/>
        <v>6</v>
      </c>
      <c r="M100" s="17">
        <v>1.4833299999999999E-3</v>
      </c>
      <c r="N100" s="18">
        <f t="shared" si="7"/>
        <v>161.42632424340002</v>
      </c>
      <c r="O100" s="15"/>
      <c r="P100" s="20">
        <f t="shared" si="8"/>
        <v>0</v>
      </c>
      <c r="Q100" s="15"/>
      <c r="R100" s="20">
        <f t="shared" si="9"/>
        <v>0</v>
      </c>
      <c r="S100" s="130"/>
      <c r="T100" s="20">
        <f t="shared" si="10"/>
        <v>256.75231979375002</v>
      </c>
    </row>
    <row r="101" spans="1:20">
      <c r="A101" s="13" t="s">
        <v>21</v>
      </c>
      <c r="B101" s="14" t="s">
        <v>76</v>
      </c>
      <c r="C101" s="14" t="s">
        <v>77</v>
      </c>
      <c r="D101" s="13" t="s">
        <v>78</v>
      </c>
      <c r="E101" s="14" t="s">
        <v>79</v>
      </c>
      <c r="F101" s="13" t="s">
        <v>26</v>
      </c>
      <c r="G101" s="14" t="s">
        <v>20</v>
      </c>
      <c r="H101" s="14"/>
      <c r="I101" s="14">
        <v>201402</v>
      </c>
      <c r="J101" s="15">
        <v>-3643.64</v>
      </c>
      <c r="K101" s="21">
        <f t="shared" si="11"/>
        <v>42675</v>
      </c>
      <c r="L101" s="16">
        <f t="shared" si="6"/>
        <v>6</v>
      </c>
      <c r="M101" s="17">
        <v>1.4833299999999999E-3</v>
      </c>
      <c r="N101" s="18">
        <f t="shared" si="7"/>
        <v>-32.428323127200002</v>
      </c>
      <c r="O101" s="15"/>
      <c r="P101" s="20">
        <f t="shared" si="8"/>
        <v>0</v>
      </c>
      <c r="Q101" s="15"/>
      <c r="R101" s="20">
        <f t="shared" si="9"/>
        <v>0</v>
      </c>
      <c r="S101" s="130"/>
      <c r="T101" s="20">
        <f t="shared" si="10"/>
        <v>-51.578001474999994</v>
      </c>
    </row>
    <row r="102" spans="1:20">
      <c r="A102" s="13" t="s">
        <v>21</v>
      </c>
      <c r="B102" s="14" t="s">
        <v>364</v>
      </c>
      <c r="C102" s="14" t="s">
        <v>365</v>
      </c>
      <c r="D102" s="13" t="s">
        <v>366</v>
      </c>
      <c r="E102" s="14" t="s">
        <v>25</v>
      </c>
      <c r="F102" s="13" t="s">
        <v>26</v>
      </c>
      <c r="G102" s="14" t="s">
        <v>20</v>
      </c>
      <c r="H102" s="14"/>
      <c r="I102" s="14">
        <v>201402</v>
      </c>
      <c r="J102" s="15">
        <v>9466.65</v>
      </c>
      <c r="K102" s="21">
        <f t="shared" si="11"/>
        <v>42675</v>
      </c>
      <c r="L102" s="16">
        <f t="shared" si="6"/>
        <v>6</v>
      </c>
      <c r="M102" s="17">
        <v>1.4833299999999999E-3</v>
      </c>
      <c r="N102" s="18">
        <f t="shared" si="7"/>
        <v>84.252995666999993</v>
      </c>
      <c r="O102" s="15"/>
      <c r="P102" s="20">
        <f t="shared" si="8"/>
        <v>0</v>
      </c>
      <c r="Q102" s="15"/>
      <c r="R102" s="20">
        <f t="shared" si="9"/>
        <v>0</v>
      </c>
      <c r="S102" s="130"/>
      <c r="T102" s="20">
        <f t="shared" si="10"/>
        <v>134.00634740625</v>
      </c>
    </row>
    <row r="103" spans="1:20">
      <c r="A103" s="13" t="s">
        <v>21</v>
      </c>
      <c r="B103" s="14" t="s">
        <v>367</v>
      </c>
      <c r="C103" s="14" t="s">
        <v>368</v>
      </c>
      <c r="D103" s="13" t="s">
        <v>369</v>
      </c>
      <c r="E103" s="14" t="s">
        <v>63</v>
      </c>
      <c r="F103" s="13" t="s">
        <v>19</v>
      </c>
      <c r="G103" s="14" t="s">
        <v>20</v>
      </c>
      <c r="H103" s="14"/>
      <c r="I103" s="14">
        <v>201402</v>
      </c>
      <c r="J103" s="15">
        <v>1247.6400000000001</v>
      </c>
      <c r="K103" s="21">
        <f t="shared" si="11"/>
        <v>42675</v>
      </c>
      <c r="L103" s="16">
        <f t="shared" si="6"/>
        <v>6</v>
      </c>
      <c r="M103" s="17">
        <v>1.4833299999999999E-3</v>
      </c>
      <c r="N103" s="18">
        <f t="shared" si="7"/>
        <v>11.103971047200002</v>
      </c>
      <c r="O103" s="15"/>
      <c r="P103" s="20">
        <f t="shared" si="8"/>
        <v>0</v>
      </c>
      <c r="Q103" s="15"/>
      <c r="R103" s="20">
        <f t="shared" si="9"/>
        <v>0</v>
      </c>
      <c r="S103" s="130"/>
      <c r="T103" s="20">
        <f t="shared" si="10"/>
        <v>17.661123975000002</v>
      </c>
    </row>
    <row r="104" spans="1:20">
      <c r="A104" s="13" t="s">
        <v>21</v>
      </c>
      <c r="B104" s="14" t="s">
        <v>370</v>
      </c>
      <c r="C104" s="14" t="s">
        <v>371</v>
      </c>
      <c r="D104" s="13" t="s">
        <v>372</v>
      </c>
      <c r="E104" s="14" t="s">
        <v>63</v>
      </c>
      <c r="F104" s="13" t="s">
        <v>19</v>
      </c>
      <c r="G104" s="14" t="s">
        <v>20</v>
      </c>
      <c r="H104" s="14"/>
      <c r="I104" s="14">
        <v>201402</v>
      </c>
      <c r="J104" s="15">
        <v>11126.32</v>
      </c>
      <c r="K104" s="21">
        <f t="shared" si="11"/>
        <v>42675</v>
      </c>
      <c r="L104" s="16">
        <f t="shared" si="6"/>
        <v>6</v>
      </c>
      <c r="M104" s="17">
        <v>1.4833299999999999E-3</v>
      </c>
      <c r="N104" s="18">
        <f t="shared" si="7"/>
        <v>99.024025473599991</v>
      </c>
      <c r="O104" s="15"/>
      <c r="P104" s="20">
        <f t="shared" si="8"/>
        <v>0</v>
      </c>
      <c r="Q104" s="15"/>
      <c r="R104" s="20">
        <f t="shared" si="9"/>
        <v>0</v>
      </c>
      <c r="S104" s="130"/>
      <c r="T104" s="20">
        <f t="shared" si="10"/>
        <v>157.50001354999998</v>
      </c>
    </row>
    <row r="105" spans="1:20">
      <c r="A105" s="23" t="s">
        <v>29</v>
      </c>
      <c r="B105" s="14" t="s">
        <v>103</v>
      </c>
      <c r="C105" s="14" t="s">
        <v>104</v>
      </c>
      <c r="D105" s="13" t="s">
        <v>105</v>
      </c>
      <c r="E105" s="14" t="s">
        <v>106</v>
      </c>
      <c r="F105" s="13" t="s">
        <v>34</v>
      </c>
      <c r="G105" s="14" t="s">
        <v>20</v>
      </c>
      <c r="H105" s="14"/>
      <c r="I105" s="14">
        <v>201402</v>
      </c>
      <c r="J105" s="15">
        <v>5177.7</v>
      </c>
      <c r="K105" s="21">
        <f t="shared" si="11"/>
        <v>42675</v>
      </c>
      <c r="L105" s="16">
        <f t="shared" si="6"/>
        <v>6</v>
      </c>
      <c r="M105" s="17">
        <v>2.23333E-3</v>
      </c>
      <c r="N105" s="18">
        <f t="shared" si="7"/>
        <v>69.381076445999994</v>
      </c>
      <c r="O105" s="15"/>
      <c r="P105" s="20">
        <f t="shared" si="8"/>
        <v>0</v>
      </c>
      <c r="Q105" s="15"/>
      <c r="R105" s="20">
        <f t="shared" si="9"/>
        <v>0</v>
      </c>
      <c r="S105" s="130"/>
      <c r="T105" s="20">
        <f t="shared" si="10"/>
        <v>73.2935795625</v>
      </c>
    </row>
    <row r="106" spans="1:20">
      <c r="A106" s="23" t="s">
        <v>29</v>
      </c>
      <c r="B106" s="14" t="s">
        <v>107</v>
      </c>
      <c r="C106" s="14" t="s">
        <v>108</v>
      </c>
      <c r="D106" s="13" t="s">
        <v>109</v>
      </c>
      <c r="E106" s="14" t="s">
        <v>110</v>
      </c>
      <c r="F106" s="13" t="s">
        <v>52</v>
      </c>
      <c r="G106" s="14" t="s">
        <v>20</v>
      </c>
      <c r="H106" s="14"/>
      <c r="I106" s="14">
        <v>201402</v>
      </c>
      <c r="J106" s="15">
        <v>8929.9500000000007</v>
      </c>
      <c r="K106" s="21">
        <f t="shared" si="11"/>
        <v>42675</v>
      </c>
      <c r="L106" s="16">
        <f t="shared" si="6"/>
        <v>6</v>
      </c>
      <c r="M106" s="17">
        <v>2.23333E-3</v>
      </c>
      <c r="N106" s="18">
        <f t="shared" si="7"/>
        <v>119.661151401</v>
      </c>
      <c r="O106" s="15"/>
      <c r="P106" s="20">
        <f t="shared" si="8"/>
        <v>0</v>
      </c>
      <c r="Q106" s="15"/>
      <c r="R106" s="20">
        <f t="shared" si="9"/>
        <v>0</v>
      </c>
      <c r="S106" s="130"/>
      <c r="T106" s="20">
        <f t="shared" si="10"/>
        <v>126.40902346874999</v>
      </c>
    </row>
    <row r="107" spans="1:20">
      <c r="A107" s="13" t="s">
        <v>21</v>
      </c>
      <c r="B107" s="14" t="s">
        <v>116</v>
      </c>
      <c r="C107" s="14" t="s">
        <v>117</v>
      </c>
      <c r="D107" s="13" t="s">
        <v>118</v>
      </c>
      <c r="E107" s="14" t="s">
        <v>119</v>
      </c>
      <c r="F107" s="13" t="s">
        <v>120</v>
      </c>
      <c r="G107" s="14" t="s">
        <v>20</v>
      </c>
      <c r="H107" s="14"/>
      <c r="I107" s="14">
        <v>201402</v>
      </c>
      <c r="J107" s="15">
        <v>43225.120000000003</v>
      </c>
      <c r="K107" s="21">
        <f t="shared" si="11"/>
        <v>42675</v>
      </c>
      <c r="L107" s="16">
        <f t="shared" si="6"/>
        <v>6</v>
      </c>
      <c r="M107" s="17">
        <v>1.4833299999999999E-3</v>
      </c>
      <c r="N107" s="18">
        <f t="shared" si="7"/>
        <v>384.7027034976</v>
      </c>
      <c r="O107" s="15"/>
      <c r="P107" s="20">
        <f t="shared" si="8"/>
        <v>0</v>
      </c>
      <c r="Q107" s="15"/>
      <c r="R107" s="20">
        <f t="shared" si="9"/>
        <v>0</v>
      </c>
      <c r="S107" s="130"/>
      <c r="T107" s="20">
        <f t="shared" si="10"/>
        <v>611.87858930000004</v>
      </c>
    </row>
    <row r="108" spans="1:20">
      <c r="A108" s="23" t="s">
        <v>29</v>
      </c>
      <c r="B108" s="14" t="s">
        <v>121</v>
      </c>
      <c r="C108" s="14" t="s">
        <v>122</v>
      </c>
      <c r="D108" s="13" t="s">
        <v>50</v>
      </c>
      <c r="E108" s="14" t="s">
        <v>123</v>
      </c>
      <c r="F108" s="13" t="s">
        <v>52</v>
      </c>
      <c r="G108" s="14" t="s">
        <v>20</v>
      </c>
      <c r="H108" s="14"/>
      <c r="I108" s="14">
        <v>201402</v>
      </c>
      <c r="J108" s="15">
        <v>-1653.7</v>
      </c>
      <c r="K108" s="21">
        <f t="shared" si="11"/>
        <v>42675</v>
      </c>
      <c r="L108" s="16">
        <f t="shared" si="6"/>
        <v>6</v>
      </c>
      <c r="M108" s="17">
        <v>2.23333E-3</v>
      </c>
      <c r="N108" s="18">
        <f t="shared" si="7"/>
        <v>-22.159546925999997</v>
      </c>
      <c r="O108" s="15"/>
      <c r="P108" s="20">
        <f t="shared" si="8"/>
        <v>0</v>
      </c>
      <c r="Q108" s="15"/>
      <c r="R108" s="20">
        <f t="shared" si="9"/>
        <v>0</v>
      </c>
      <c r="S108" s="130"/>
      <c r="T108" s="20">
        <f t="shared" si="10"/>
        <v>-23.4091570625</v>
      </c>
    </row>
    <row r="109" spans="1:20">
      <c r="A109" s="23" t="s">
        <v>29</v>
      </c>
      <c r="B109" s="14" t="s">
        <v>124</v>
      </c>
      <c r="C109" s="14" t="s">
        <v>125</v>
      </c>
      <c r="D109" s="13" t="s">
        <v>50</v>
      </c>
      <c r="E109" s="14" t="s">
        <v>126</v>
      </c>
      <c r="F109" s="13" t="s">
        <v>52</v>
      </c>
      <c r="G109" s="14" t="s">
        <v>20</v>
      </c>
      <c r="H109" s="14"/>
      <c r="I109" s="14">
        <v>201402</v>
      </c>
      <c r="J109" s="15">
        <v>-116.96</v>
      </c>
      <c r="K109" s="21">
        <f t="shared" si="11"/>
        <v>42675</v>
      </c>
      <c r="L109" s="16">
        <f t="shared" si="6"/>
        <v>6</v>
      </c>
      <c r="M109" s="17">
        <v>2.23333E-3</v>
      </c>
      <c r="N109" s="18">
        <f t="shared" si="7"/>
        <v>-1.5672616607999998</v>
      </c>
      <c r="O109" s="15"/>
      <c r="P109" s="20">
        <f t="shared" si="8"/>
        <v>0</v>
      </c>
      <c r="Q109" s="15"/>
      <c r="R109" s="20">
        <f t="shared" si="9"/>
        <v>0</v>
      </c>
      <c r="S109" s="130"/>
      <c r="T109" s="20">
        <f t="shared" si="10"/>
        <v>-1.6556418999999998</v>
      </c>
    </row>
    <row r="110" spans="1:20">
      <c r="A110" s="13" t="s">
        <v>21</v>
      </c>
      <c r="B110" s="14" t="s">
        <v>134</v>
      </c>
      <c r="C110" s="14" t="s">
        <v>135</v>
      </c>
      <c r="D110" s="13" t="s">
        <v>136</v>
      </c>
      <c r="E110" s="14" t="s">
        <v>137</v>
      </c>
      <c r="F110" s="13" t="s">
        <v>138</v>
      </c>
      <c r="G110" s="14" t="s">
        <v>20</v>
      </c>
      <c r="H110" s="14"/>
      <c r="I110" s="14">
        <v>201402</v>
      </c>
      <c r="J110" s="15">
        <v>211428.28</v>
      </c>
      <c r="K110" s="21">
        <f t="shared" si="11"/>
        <v>42675</v>
      </c>
      <c r="L110" s="16">
        <f t="shared" si="6"/>
        <v>6</v>
      </c>
      <c r="M110" s="17">
        <v>1.4833299999999999E-3</v>
      </c>
      <c r="N110" s="18">
        <f t="shared" si="7"/>
        <v>1881.7074634344001</v>
      </c>
      <c r="O110" s="15"/>
      <c r="P110" s="20">
        <f t="shared" si="8"/>
        <v>0</v>
      </c>
      <c r="Q110" s="15"/>
      <c r="R110" s="20">
        <f t="shared" si="9"/>
        <v>0</v>
      </c>
      <c r="S110" s="130"/>
      <c r="T110" s="20">
        <f t="shared" si="10"/>
        <v>2992.899446075</v>
      </c>
    </row>
    <row r="111" spans="1:20">
      <c r="A111" s="13" t="s">
        <v>133</v>
      </c>
      <c r="B111" s="14" t="s">
        <v>134</v>
      </c>
      <c r="C111" s="14" t="s">
        <v>135</v>
      </c>
      <c r="D111" s="13" t="s">
        <v>136</v>
      </c>
      <c r="E111" s="14" t="s">
        <v>137</v>
      </c>
      <c r="F111" s="13" t="s">
        <v>138</v>
      </c>
      <c r="G111" s="14" t="s">
        <v>20</v>
      </c>
      <c r="H111" s="14"/>
      <c r="I111" s="14">
        <v>201402</v>
      </c>
      <c r="J111" s="15">
        <v>-211428.28</v>
      </c>
      <c r="K111" s="21">
        <f t="shared" si="11"/>
        <v>42675</v>
      </c>
      <c r="L111" s="16">
        <f t="shared" si="6"/>
        <v>6</v>
      </c>
      <c r="M111" s="17">
        <v>1.4833299999999999E-3</v>
      </c>
      <c r="N111" s="18">
        <f t="shared" si="7"/>
        <v>-1881.7074634344001</v>
      </c>
      <c r="O111" s="15"/>
      <c r="P111" s="20">
        <f t="shared" si="8"/>
        <v>0</v>
      </c>
      <c r="Q111" s="15"/>
      <c r="R111" s="20">
        <f t="shared" si="9"/>
        <v>0</v>
      </c>
      <c r="S111" s="130"/>
      <c r="T111" s="20">
        <f t="shared" si="10"/>
        <v>-2992.899446075</v>
      </c>
    </row>
    <row r="112" spans="1:20">
      <c r="A112" s="13" t="s">
        <v>21</v>
      </c>
      <c r="B112" s="14" t="s">
        <v>373</v>
      </c>
      <c r="C112" s="14" t="s">
        <v>374</v>
      </c>
      <c r="D112" s="13" t="s">
        <v>375</v>
      </c>
      <c r="E112" s="14" t="s">
        <v>164</v>
      </c>
      <c r="F112" s="13" t="s">
        <v>165</v>
      </c>
      <c r="G112" s="14" t="s">
        <v>20</v>
      </c>
      <c r="H112" s="14"/>
      <c r="I112" s="14">
        <v>201402</v>
      </c>
      <c r="J112" s="15">
        <v>0</v>
      </c>
      <c r="K112" s="21">
        <f t="shared" si="11"/>
        <v>42675</v>
      </c>
      <c r="L112" s="16">
        <f t="shared" si="6"/>
        <v>6</v>
      </c>
      <c r="M112" s="17">
        <v>1.4833299999999999E-3</v>
      </c>
      <c r="N112" s="18">
        <f t="shared" si="7"/>
        <v>0</v>
      </c>
      <c r="O112" s="15"/>
      <c r="P112" s="20">
        <f t="shared" si="8"/>
        <v>0</v>
      </c>
      <c r="Q112" s="15"/>
      <c r="R112" s="20">
        <f t="shared" si="9"/>
        <v>0</v>
      </c>
      <c r="S112" s="130"/>
      <c r="T112" s="20">
        <f t="shared" si="10"/>
        <v>0</v>
      </c>
    </row>
    <row r="113" spans="1:20">
      <c r="A113" s="13" t="s">
        <v>21</v>
      </c>
      <c r="B113" s="14" t="s">
        <v>153</v>
      </c>
      <c r="C113" s="14" t="s">
        <v>154</v>
      </c>
      <c r="D113" s="13" t="s">
        <v>155</v>
      </c>
      <c r="E113" s="14" t="s">
        <v>156</v>
      </c>
      <c r="F113" s="13" t="s">
        <v>26</v>
      </c>
      <c r="G113" s="14" t="s">
        <v>20</v>
      </c>
      <c r="H113" s="14"/>
      <c r="I113" s="14">
        <v>201402</v>
      </c>
      <c r="J113" s="15">
        <v>8792.17</v>
      </c>
      <c r="K113" s="21">
        <f t="shared" si="11"/>
        <v>42675</v>
      </c>
      <c r="L113" s="16">
        <f t="shared" si="6"/>
        <v>6</v>
      </c>
      <c r="M113" s="17">
        <v>1.4833299999999999E-3</v>
      </c>
      <c r="N113" s="18">
        <f t="shared" si="7"/>
        <v>78.250137156600005</v>
      </c>
      <c r="O113" s="15"/>
      <c r="P113" s="20">
        <f t="shared" si="8"/>
        <v>0</v>
      </c>
      <c r="Q113" s="15"/>
      <c r="R113" s="20">
        <f t="shared" si="9"/>
        <v>0</v>
      </c>
      <c r="S113" s="130"/>
      <c r="T113" s="20">
        <f t="shared" si="10"/>
        <v>124.45866145624998</v>
      </c>
    </row>
    <row r="114" spans="1:20">
      <c r="A114" s="13" t="s">
        <v>21</v>
      </c>
      <c r="B114" s="14" t="s">
        <v>157</v>
      </c>
      <c r="C114" s="14" t="s">
        <v>158</v>
      </c>
      <c r="D114" s="13" t="s">
        <v>159</v>
      </c>
      <c r="E114" s="14" t="s">
        <v>160</v>
      </c>
      <c r="F114" s="13" t="s">
        <v>19</v>
      </c>
      <c r="G114" s="14" t="s">
        <v>20</v>
      </c>
      <c r="H114" s="14"/>
      <c r="I114" s="14">
        <v>201402</v>
      </c>
      <c r="J114" s="15">
        <v>1118.47</v>
      </c>
      <c r="K114" s="21">
        <f t="shared" si="11"/>
        <v>42675</v>
      </c>
      <c r="L114" s="16">
        <f t="shared" si="6"/>
        <v>6</v>
      </c>
      <c r="M114" s="17">
        <v>1.4833299999999999E-3</v>
      </c>
      <c r="N114" s="18">
        <f t="shared" si="7"/>
        <v>9.9543606306000001</v>
      </c>
      <c r="O114" s="15"/>
      <c r="P114" s="20">
        <f t="shared" si="8"/>
        <v>0</v>
      </c>
      <c r="Q114" s="15"/>
      <c r="R114" s="20">
        <f t="shared" si="9"/>
        <v>0</v>
      </c>
      <c r="S114" s="130"/>
      <c r="T114" s="20">
        <f t="shared" si="10"/>
        <v>15.832641893749999</v>
      </c>
    </row>
    <row r="115" spans="1:20">
      <c r="A115" s="13" t="s">
        <v>21</v>
      </c>
      <c r="B115" s="14" t="s">
        <v>376</v>
      </c>
      <c r="C115" s="14" t="s">
        <v>377</v>
      </c>
      <c r="D115" s="13" t="s">
        <v>378</v>
      </c>
      <c r="E115" s="14" t="s">
        <v>156</v>
      </c>
      <c r="F115" s="13" t="s">
        <v>26</v>
      </c>
      <c r="G115" s="14" t="s">
        <v>20</v>
      </c>
      <c r="H115" s="14"/>
      <c r="I115" s="14">
        <v>201402</v>
      </c>
      <c r="J115" s="15">
        <v>24168.99</v>
      </c>
      <c r="K115" s="21">
        <f t="shared" si="11"/>
        <v>42675</v>
      </c>
      <c r="L115" s="16">
        <f t="shared" si="6"/>
        <v>6</v>
      </c>
      <c r="M115" s="17">
        <v>1.4833299999999999E-3</v>
      </c>
      <c r="N115" s="18">
        <f t="shared" si="7"/>
        <v>215.10352762020003</v>
      </c>
      <c r="O115" s="15"/>
      <c r="P115" s="20">
        <f t="shared" si="8"/>
        <v>0</v>
      </c>
      <c r="Q115" s="15"/>
      <c r="R115" s="20">
        <f t="shared" si="9"/>
        <v>0</v>
      </c>
      <c r="S115" s="130"/>
      <c r="T115" s="20">
        <f t="shared" si="10"/>
        <v>342.12715906874996</v>
      </c>
    </row>
    <row r="116" spans="1:20">
      <c r="A116" s="13" t="s">
        <v>21</v>
      </c>
      <c r="B116" s="14" t="s">
        <v>161</v>
      </c>
      <c r="C116" s="14" t="s">
        <v>162</v>
      </c>
      <c r="D116" s="13" t="s">
        <v>163</v>
      </c>
      <c r="E116" s="14" t="s">
        <v>164</v>
      </c>
      <c r="F116" s="13" t="s">
        <v>165</v>
      </c>
      <c r="G116" s="14" t="s">
        <v>20</v>
      </c>
      <c r="H116" s="14"/>
      <c r="I116" s="14">
        <v>201402</v>
      </c>
      <c r="J116" s="15">
        <v>11369.94</v>
      </c>
      <c r="K116" s="21">
        <f t="shared" si="11"/>
        <v>42675</v>
      </c>
      <c r="L116" s="16">
        <f t="shared" si="6"/>
        <v>6</v>
      </c>
      <c r="M116" s="17">
        <v>1.4833299999999999E-3</v>
      </c>
      <c r="N116" s="18">
        <f t="shared" si="7"/>
        <v>101.1922386012</v>
      </c>
      <c r="O116" s="15"/>
      <c r="P116" s="20">
        <f t="shared" si="8"/>
        <v>0</v>
      </c>
      <c r="Q116" s="15"/>
      <c r="R116" s="20">
        <f t="shared" si="9"/>
        <v>0</v>
      </c>
      <c r="S116" s="130"/>
      <c r="T116" s="20">
        <f t="shared" si="10"/>
        <v>160.9486069125</v>
      </c>
    </row>
    <row r="117" spans="1:20">
      <c r="A117" s="13" t="s">
        <v>21</v>
      </c>
      <c r="B117" s="14" t="s">
        <v>379</v>
      </c>
      <c r="C117" s="14" t="s">
        <v>380</v>
      </c>
      <c r="D117" s="13" t="s">
        <v>381</v>
      </c>
      <c r="E117" s="14" t="s">
        <v>164</v>
      </c>
      <c r="F117" s="13" t="s">
        <v>165</v>
      </c>
      <c r="G117" s="14" t="s">
        <v>20</v>
      </c>
      <c r="H117" s="14"/>
      <c r="I117" s="14">
        <v>201402</v>
      </c>
      <c r="J117" s="15">
        <v>6115.38</v>
      </c>
      <c r="K117" s="21">
        <f t="shared" si="11"/>
        <v>42675</v>
      </c>
      <c r="L117" s="16">
        <f t="shared" si="6"/>
        <v>6</v>
      </c>
      <c r="M117" s="17">
        <v>1.4833299999999999E-3</v>
      </c>
      <c r="N117" s="18">
        <f t="shared" si="7"/>
        <v>54.426759692400005</v>
      </c>
      <c r="O117" s="15"/>
      <c r="P117" s="20">
        <f t="shared" si="8"/>
        <v>0</v>
      </c>
      <c r="Q117" s="15"/>
      <c r="R117" s="20">
        <f t="shared" si="9"/>
        <v>0</v>
      </c>
      <c r="S117" s="130"/>
      <c r="T117" s="20">
        <f t="shared" si="10"/>
        <v>86.567026012499994</v>
      </c>
    </row>
    <row r="118" spans="1:20">
      <c r="A118" s="13" t="s">
        <v>21</v>
      </c>
      <c r="B118" s="14" t="s">
        <v>382</v>
      </c>
      <c r="C118" s="14" t="s">
        <v>383</v>
      </c>
      <c r="D118" s="13" t="s">
        <v>384</v>
      </c>
      <c r="E118" s="14" t="s">
        <v>93</v>
      </c>
      <c r="F118" s="13" t="s">
        <v>88</v>
      </c>
      <c r="G118" s="14" t="s">
        <v>20</v>
      </c>
      <c r="H118" s="14"/>
      <c r="I118" s="14">
        <v>201402</v>
      </c>
      <c r="J118" s="15">
        <v>-707.66</v>
      </c>
      <c r="K118" s="21">
        <f t="shared" si="11"/>
        <v>42675</v>
      </c>
      <c r="L118" s="16">
        <f t="shared" si="6"/>
        <v>6</v>
      </c>
      <c r="M118" s="17">
        <v>1.4833299999999999E-3</v>
      </c>
      <c r="N118" s="18">
        <f t="shared" si="7"/>
        <v>-6.2981598468</v>
      </c>
      <c r="O118" s="15"/>
      <c r="P118" s="20">
        <f t="shared" si="8"/>
        <v>0</v>
      </c>
      <c r="Q118" s="15"/>
      <c r="R118" s="20">
        <f t="shared" si="9"/>
        <v>0</v>
      </c>
      <c r="S118" s="130"/>
      <c r="T118" s="20">
        <f t="shared" si="10"/>
        <v>-10.017369587499999</v>
      </c>
    </row>
    <row r="119" spans="1:20">
      <c r="A119" s="13" t="s">
        <v>21</v>
      </c>
      <c r="B119" s="14" t="s">
        <v>385</v>
      </c>
      <c r="C119" s="14" t="s">
        <v>386</v>
      </c>
      <c r="D119" s="13" t="s">
        <v>387</v>
      </c>
      <c r="E119" s="14" t="s">
        <v>164</v>
      </c>
      <c r="F119" s="13" t="s">
        <v>165</v>
      </c>
      <c r="G119" s="14" t="s">
        <v>20</v>
      </c>
      <c r="H119" s="14"/>
      <c r="I119" s="14">
        <v>201402</v>
      </c>
      <c r="J119" s="15">
        <v>0</v>
      </c>
      <c r="K119" s="21">
        <f t="shared" si="11"/>
        <v>42675</v>
      </c>
      <c r="L119" s="16">
        <f t="shared" si="6"/>
        <v>6</v>
      </c>
      <c r="M119" s="17">
        <v>1.4833299999999999E-3</v>
      </c>
      <c r="N119" s="18">
        <f t="shared" si="7"/>
        <v>0</v>
      </c>
      <c r="O119" s="15"/>
      <c r="P119" s="20">
        <f t="shared" si="8"/>
        <v>0</v>
      </c>
      <c r="Q119" s="15"/>
      <c r="R119" s="20">
        <f t="shared" si="9"/>
        <v>0</v>
      </c>
      <c r="S119" s="130"/>
      <c r="T119" s="20">
        <f t="shared" si="10"/>
        <v>0</v>
      </c>
    </row>
    <row r="120" spans="1:20">
      <c r="A120" s="13" t="s">
        <v>21</v>
      </c>
      <c r="B120" s="14" t="s">
        <v>174</v>
      </c>
      <c r="C120" s="14" t="s">
        <v>175</v>
      </c>
      <c r="D120" s="13" t="s">
        <v>176</v>
      </c>
      <c r="E120" s="14" t="s">
        <v>93</v>
      </c>
      <c r="F120" s="13" t="s">
        <v>88</v>
      </c>
      <c r="G120" s="14" t="s">
        <v>20</v>
      </c>
      <c r="H120" s="14"/>
      <c r="I120" s="14">
        <v>201402</v>
      </c>
      <c r="J120" s="15">
        <v>4264.32</v>
      </c>
      <c r="K120" s="21">
        <f t="shared" si="11"/>
        <v>42675</v>
      </c>
      <c r="L120" s="16">
        <f t="shared" si="6"/>
        <v>6</v>
      </c>
      <c r="M120" s="17">
        <v>1.4833299999999999E-3</v>
      </c>
      <c r="N120" s="18">
        <f t="shared" si="7"/>
        <v>37.952362713599996</v>
      </c>
      <c r="O120" s="15"/>
      <c r="P120" s="20">
        <f t="shared" si="8"/>
        <v>0</v>
      </c>
      <c r="Q120" s="15"/>
      <c r="R120" s="20">
        <f t="shared" si="9"/>
        <v>0</v>
      </c>
      <c r="S120" s="130"/>
      <c r="T120" s="20">
        <f t="shared" si="10"/>
        <v>60.364114799999989</v>
      </c>
    </row>
    <row r="121" spans="1:20">
      <c r="A121" s="13" t="s">
        <v>21</v>
      </c>
      <c r="B121" s="14" t="s">
        <v>177</v>
      </c>
      <c r="C121" s="14" t="s">
        <v>178</v>
      </c>
      <c r="D121" s="13" t="s">
        <v>179</v>
      </c>
      <c r="E121" s="14" t="s">
        <v>172</v>
      </c>
      <c r="F121" s="13" t="s">
        <v>173</v>
      </c>
      <c r="G121" s="14" t="s">
        <v>20</v>
      </c>
      <c r="H121" s="14"/>
      <c r="I121" s="14">
        <v>201402</v>
      </c>
      <c r="J121" s="15">
        <v>1299.5999999999999</v>
      </c>
      <c r="K121" s="21">
        <f t="shared" si="11"/>
        <v>42675</v>
      </c>
      <c r="L121" s="16">
        <f t="shared" si="6"/>
        <v>6</v>
      </c>
      <c r="M121" s="17">
        <v>1.4833299999999999E-3</v>
      </c>
      <c r="N121" s="18">
        <f t="shared" si="7"/>
        <v>11.566414007999999</v>
      </c>
      <c r="O121" s="15"/>
      <c r="P121" s="20">
        <f t="shared" si="8"/>
        <v>0</v>
      </c>
      <c r="Q121" s="15"/>
      <c r="R121" s="20">
        <f t="shared" si="9"/>
        <v>0</v>
      </c>
      <c r="S121" s="130"/>
      <c r="T121" s="20">
        <f t="shared" si="10"/>
        <v>18.39665025</v>
      </c>
    </row>
    <row r="122" spans="1:20">
      <c r="A122" s="13" t="s">
        <v>127</v>
      </c>
      <c r="B122" s="14" t="s">
        <v>388</v>
      </c>
      <c r="C122" s="14" t="s">
        <v>389</v>
      </c>
      <c r="D122" s="13" t="s">
        <v>390</v>
      </c>
      <c r="E122" s="14" t="s">
        <v>131</v>
      </c>
      <c r="F122" s="13" t="s">
        <v>132</v>
      </c>
      <c r="G122" s="14" t="s">
        <v>20</v>
      </c>
      <c r="H122" s="14"/>
      <c r="I122" s="14">
        <v>201402</v>
      </c>
      <c r="J122" s="15">
        <v>114661.67</v>
      </c>
      <c r="K122" s="21">
        <f t="shared" si="11"/>
        <v>42675</v>
      </c>
      <c r="L122" s="16">
        <f t="shared" si="6"/>
        <v>6</v>
      </c>
      <c r="M122" s="17">
        <v>2.3833299999999999E-3</v>
      </c>
      <c r="N122" s="18">
        <f t="shared" si="7"/>
        <v>1639.6595877666</v>
      </c>
      <c r="O122" s="15"/>
      <c r="P122" s="20">
        <f t="shared" si="8"/>
        <v>0</v>
      </c>
      <c r="Q122" s="15"/>
      <c r="R122" s="20">
        <f t="shared" si="9"/>
        <v>0</v>
      </c>
      <c r="S122" s="130"/>
      <c r="T122" s="20">
        <f t="shared" si="10"/>
        <v>1623.1076023937499</v>
      </c>
    </row>
    <row r="123" spans="1:20">
      <c r="A123" s="23" t="s">
        <v>29</v>
      </c>
      <c r="B123" s="14" t="s">
        <v>183</v>
      </c>
      <c r="C123" s="14" t="s">
        <v>184</v>
      </c>
      <c r="D123" s="13" t="s">
        <v>45</v>
      </c>
      <c r="E123" s="14" t="s">
        <v>185</v>
      </c>
      <c r="F123" s="13" t="s">
        <v>41</v>
      </c>
      <c r="G123" s="14" t="s">
        <v>20</v>
      </c>
      <c r="H123" s="14"/>
      <c r="I123" s="14">
        <v>201402</v>
      </c>
      <c r="J123" s="15">
        <v>16667.32</v>
      </c>
      <c r="K123" s="21">
        <f t="shared" si="11"/>
        <v>42675</v>
      </c>
      <c r="L123" s="16">
        <f t="shared" si="6"/>
        <v>6</v>
      </c>
      <c r="M123" s="17">
        <v>2.23333E-3</v>
      </c>
      <c r="N123" s="18">
        <f t="shared" si="7"/>
        <v>223.34175465359996</v>
      </c>
      <c r="O123" s="15"/>
      <c r="P123" s="20">
        <f t="shared" si="8"/>
        <v>0</v>
      </c>
      <c r="Q123" s="15"/>
      <c r="R123" s="20">
        <f t="shared" si="9"/>
        <v>0</v>
      </c>
      <c r="S123" s="130"/>
      <c r="T123" s="20">
        <f t="shared" si="10"/>
        <v>235.93633167499999</v>
      </c>
    </row>
    <row r="124" spans="1:20">
      <c r="A124" s="23" t="s">
        <v>29</v>
      </c>
      <c r="B124" s="14" t="s">
        <v>186</v>
      </c>
      <c r="C124" s="14" t="s">
        <v>187</v>
      </c>
      <c r="D124" s="13" t="s">
        <v>188</v>
      </c>
      <c r="E124" s="14" t="s">
        <v>189</v>
      </c>
      <c r="F124" s="13" t="s">
        <v>190</v>
      </c>
      <c r="G124" s="14" t="s">
        <v>20</v>
      </c>
      <c r="H124" s="14"/>
      <c r="I124" s="14">
        <v>201402</v>
      </c>
      <c r="J124" s="15">
        <v>2962.63</v>
      </c>
      <c r="K124" s="21">
        <f t="shared" si="11"/>
        <v>42675</v>
      </c>
      <c r="L124" s="16">
        <f t="shared" si="6"/>
        <v>6</v>
      </c>
      <c r="M124" s="17">
        <v>2.23333E-3</v>
      </c>
      <c r="N124" s="18">
        <f t="shared" si="7"/>
        <v>39.699182747399995</v>
      </c>
      <c r="O124" s="15"/>
      <c r="P124" s="20">
        <f t="shared" si="8"/>
        <v>0</v>
      </c>
      <c r="Q124" s="15"/>
      <c r="R124" s="20">
        <f t="shared" si="9"/>
        <v>0</v>
      </c>
      <c r="S124" s="130"/>
      <c r="T124" s="20">
        <f t="shared" si="10"/>
        <v>41.937879293749994</v>
      </c>
    </row>
    <row r="125" spans="1:20">
      <c r="A125" s="23" t="s">
        <v>29</v>
      </c>
      <c r="B125" s="14" t="s">
        <v>195</v>
      </c>
      <c r="C125" s="14" t="s">
        <v>196</v>
      </c>
      <c r="D125" s="13" t="s">
        <v>197</v>
      </c>
      <c r="E125" s="14" t="s">
        <v>198</v>
      </c>
      <c r="F125" s="13" t="s">
        <v>199</v>
      </c>
      <c r="G125" s="14" t="s">
        <v>20</v>
      </c>
      <c r="H125" s="14"/>
      <c r="I125" s="14">
        <v>201402</v>
      </c>
      <c r="J125" s="15">
        <v>25723.39</v>
      </c>
      <c r="K125" s="21">
        <f t="shared" si="11"/>
        <v>42675</v>
      </c>
      <c r="L125" s="16">
        <f t="shared" si="6"/>
        <v>6</v>
      </c>
      <c r="M125" s="17">
        <v>2.23333E-3</v>
      </c>
      <c r="N125" s="18">
        <f t="shared" si="7"/>
        <v>344.69291153219996</v>
      </c>
      <c r="O125" s="15"/>
      <c r="P125" s="20">
        <f t="shared" si="8"/>
        <v>0</v>
      </c>
      <c r="Q125" s="15"/>
      <c r="R125" s="20">
        <f t="shared" si="9"/>
        <v>0</v>
      </c>
      <c r="S125" s="130"/>
      <c r="T125" s="20">
        <f t="shared" si="10"/>
        <v>364.13066256874998</v>
      </c>
    </row>
    <row r="126" spans="1:20">
      <c r="A126" s="23" t="s">
        <v>29</v>
      </c>
      <c r="B126" s="14" t="s">
        <v>200</v>
      </c>
      <c r="C126" s="14" t="s">
        <v>201</v>
      </c>
      <c r="D126" s="13" t="s">
        <v>197</v>
      </c>
      <c r="E126" s="14" t="s">
        <v>202</v>
      </c>
      <c r="F126" s="13" t="s">
        <v>199</v>
      </c>
      <c r="G126" s="14" t="s">
        <v>20</v>
      </c>
      <c r="H126" s="14"/>
      <c r="I126" s="14">
        <v>201402</v>
      </c>
      <c r="J126" s="15">
        <v>12729.13</v>
      </c>
      <c r="K126" s="21">
        <f t="shared" si="11"/>
        <v>42675</v>
      </c>
      <c r="L126" s="16">
        <f t="shared" si="6"/>
        <v>6</v>
      </c>
      <c r="M126" s="17">
        <v>2.23333E-3</v>
      </c>
      <c r="N126" s="18">
        <f t="shared" si="7"/>
        <v>170.57008741739998</v>
      </c>
      <c r="O126" s="15"/>
      <c r="P126" s="20">
        <f t="shared" si="8"/>
        <v>0</v>
      </c>
      <c r="Q126" s="15"/>
      <c r="R126" s="20">
        <f t="shared" si="9"/>
        <v>0</v>
      </c>
      <c r="S126" s="130"/>
      <c r="T126" s="20">
        <f t="shared" si="10"/>
        <v>180.18879085624999</v>
      </c>
    </row>
    <row r="127" spans="1:20">
      <c r="A127" s="13" t="s">
        <v>21</v>
      </c>
      <c r="B127" s="14" t="s">
        <v>221</v>
      </c>
      <c r="C127" s="14" t="s">
        <v>222</v>
      </c>
      <c r="D127" s="13" t="s">
        <v>223</v>
      </c>
      <c r="E127" s="14" t="s">
        <v>25</v>
      </c>
      <c r="F127" s="13" t="s">
        <v>26</v>
      </c>
      <c r="G127" s="14" t="s">
        <v>20</v>
      </c>
      <c r="H127" s="14"/>
      <c r="I127" s="14">
        <v>201402</v>
      </c>
      <c r="J127" s="15">
        <v>1622.8</v>
      </c>
      <c r="K127" s="21">
        <f t="shared" si="11"/>
        <v>42675</v>
      </c>
      <c r="L127" s="16">
        <f t="shared" si="6"/>
        <v>6</v>
      </c>
      <c r="M127" s="17">
        <v>1.4833299999999999E-3</v>
      </c>
      <c r="N127" s="18">
        <f t="shared" si="7"/>
        <v>14.442887544</v>
      </c>
      <c r="O127" s="15"/>
      <c r="P127" s="20">
        <f t="shared" si="8"/>
        <v>0</v>
      </c>
      <c r="Q127" s="15"/>
      <c r="R127" s="20">
        <f t="shared" si="9"/>
        <v>0</v>
      </c>
      <c r="S127" s="130"/>
      <c r="T127" s="20">
        <f t="shared" si="10"/>
        <v>22.971748249999997</v>
      </c>
    </row>
    <row r="128" spans="1:20">
      <c r="A128" s="13" t="s">
        <v>21</v>
      </c>
      <c r="B128" s="14" t="s">
        <v>391</v>
      </c>
      <c r="C128" s="14" t="s">
        <v>392</v>
      </c>
      <c r="D128" s="13" t="s">
        <v>393</v>
      </c>
      <c r="E128" s="14" t="s">
        <v>156</v>
      </c>
      <c r="F128" s="13" t="s">
        <v>26</v>
      </c>
      <c r="G128" s="14" t="s">
        <v>20</v>
      </c>
      <c r="H128" s="14"/>
      <c r="I128" s="14">
        <v>201402</v>
      </c>
      <c r="J128" s="15">
        <v>2885.53</v>
      </c>
      <c r="K128" s="21">
        <f t="shared" si="11"/>
        <v>42675</v>
      </c>
      <c r="L128" s="16">
        <f t="shared" si="6"/>
        <v>6</v>
      </c>
      <c r="M128" s="17">
        <v>1.4833299999999999E-3</v>
      </c>
      <c r="N128" s="18">
        <f t="shared" si="7"/>
        <v>25.681159289400004</v>
      </c>
      <c r="O128" s="15"/>
      <c r="P128" s="20">
        <f t="shared" si="8"/>
        <v>0</v>
      </c>
      <c r="Q128" s="15"/>
      <c r="R128" s="20">
        <f t="shared" si="9"/>
        <v>0</v>
      </c>
      <c r="S128" s="130"/>
      <c r="T128" s="20">
        <f t="shared" si="10"/>
        <v>40.846480606249997</v>
      </c>
    </row>
    <row r="129" spans="1:20">
      <c r="A129" s="13" t="s">
        <v>21</v>
      </c>
      <c r="B129" s="14" t="s">
        <v>230</v>
      </c>
      <c r="C129" s="14" t="s">
        <v>231</v>
      </c>
      <c r="D129" s="13" t="s">
        <v>232</v>
      </c>
      <c r="E129" s="14" t="s">
        <v>164</v>
      </c>
      <c r="F129" s="13" t="s">
        <v>165</v>
      </c>
      <c r="G129" s="14" t="s">
        <v>20</v>
      </c>
      <c r="H129" s="14"/>
      <c r="I129" s="14">
        <v>201402</v>
      </c>
      <c r="J129" s="15">
        <v>5491.13</v>
      </c>
      <c r="K129" s="21">
        <f t="shared" si="11"/>
        <v>42675</v>
      </c>
      <c r="L129" s="16">
        <f t="shared" si="6"/>
        <v>6</v>
      </c>
      <c r="M129" s="17">
        <v>1.4833299999999999E-3</v>
      </c>
      <c r="N129" s="18">
        <f t="shared" si="7"/>
        <v>48.870947177399998</v>
      </c>
      <c r="O129" s="15"/>
      <c r="P129" s="20">
        <f t="shared" si="8"/>
        <v>0</v>
      </c>
      <c r="Q129" s="15"/>
      <c r="R129" s="20">
        <f t="shared" si="9"/>
        <v>0</v>
      </c>
      <c r="S129" s="130"/>
      <c r="T129" s="20">
        <f t="shared" si="10"/>
        <v>77.730377106250003</v>
      </c>
    </row>
    <row r="130" spans="1:20">
      <c r="A130" s="23" t="s">
        <v>29</v>
      </c>
      <c r="B130" s="14" t="s">
        <v>239</v>
      </c>
      <c r="C130" s="14" t="s">
        <v>240</v>
      </c>
      <c r="D130" s="13" t="s">
        <v>197</v>
      </c>
      <c r="E130" s="14" t="s">
        <v>241</v>
      </c>
      <c r="F130" s="13" t="s">
        <v>199</v>
      </c>
      <c r="G130" s="14" t="s">
        <v>20</v>
      </c>
      <c r="H130" s="14"/>
      <c r="I130" s="14">
        <v>201402</v>
      </c>
      <c r="J130" s="15">
        <v>11886.9</v>
      </c>
      <c r="K130" s="21">
        <f t="shared" si="11"/>
        <v>42675</v>
      </c>
      <c r="L130" s="16">
        <f t="shared" si="6"/>
        <v>6</v>
      </c>
      <c r="M130" s="17">
        <v>2.23333E-3</v>
      </c>
      <c r="N130" s="18">
        <f t="shared" si="7"/>
        <v>159.28422226199999</v>
      </c>
      <c r="O130" s="15"/>
      <c r="P130" s="20">
        <f t="shared" si="8"/>
        <v>0</v>
      </c>
      <c r="Q130" s="15"/>
      <c r="R130" s="20">
        <f t="shared" si="9"/>
        <v>0</v>
      </c>
      <c r="S130" s="130"/>
      <c r="T130" s="20">
        <f t="shared" si="10"/>
        <v>168.26649881249998</v>
      </c>
    </row>
    <row r="131" spans="1:20">
      <c r="A131" s="13" t="s">
        <v>21</v>
      </c>
      <c r="B131" s="14" t="s">
        <v>257</v>
      </c>
      <c r="C131" s="14" t="s">
        <v>258</v>
      </c>
      <c r="D131" s="13" t="s">
        <v>259</v>
      </c>
      <c r="E131" s="14" t="s">
        <v>260</v>
      </c>
      <c r="F131" s="13" t="s">
        <v>26</v>
      </c>
      <c r="G131" s="14" t="s">
        <v>20</v>
      </c>
      <c r="H131" s="14"/>
      <c r="I131" s="14">
        <v>201402</v>
      </c>
      <c r="J131" s="15">
        <v>745.64</v>
      </c>
      <c r="K131" s="21">
        <f t="shared" si="11"/>
        <v>42675</v>
      </c>
      <c r="L131" s="16">
        <f t="shared" si="6"/>
        <v>6</v>
      </c>
      <c r="M131" s="17">
        <v>1.4833299999999999E-3</v>
      </c>
      <c r="N131" s="18">
        <f t="shared" si="7"/>
        <v>6.6361810871999998</v>
      </c>
      <c r="O131" s="15"/>
      <c r="P131" s="20">
        <f t="shared" si="8"/>
        <v>0</v>
      </c>
      <c r="Q131" s="15"/>
      <c r="R131" s="20">
        <f t="shared" si="9"/>
        <v>0</v>
      </c>
      <c r="S131" s="130"/>
      <c r="T131" s="20">
        <f t="shared" si="10"/>
        <v>10.555000224999999</v>
      </c>
    </row>
    <row r="132" spans="1:20">
      <c r="A132" s="13" t="s">
        <v>21</v>
      </c>
      <c r="B132" s="14" t="s">
        <v>394</v>
      </c>
      <c r="C132" s="14" t="s">
        <v>395</v>
      </c>
      <c r="D132" s="13" t="s">
        <v>396</v>
      </c>
      <c r="E132" s="14" t="s">
        <v>397</v>
      </c>
      <c r="F132" s="13" t="s">
        <v>398</v>
      </c>
      <c r="G132" s="14" t="s">
        <v>20</v>
      </c>
      <c r="H132" s="14"/>
      <c r="I132" s="14">
        <v>201402</v>
      </c>
      <c r="J132" s="15">
        <v>10671.5</v>
      </c>
      <c r="K132" s="21">
        <f t="shared" si="11"/>
        <v>42675</v>
      </c>
      <c r="L132" s="16">
        <f t="shared" si="6"/>
        <v>6</v>
      </c>
      <c r="M132" s="17">
        <v>1.4833299999999999E-3</v>
      </c>
      <c r="N132" s="18">
        <f t="shared" si="7"/>
        <v>94.976136569999994</v>
      </c>
      <c r="O132" s="15"/>
      <c r="P132" s="20">
        <f t="shared" si="8"/>
        <v>0</v>
      </c>
      <c r="Q132" s="15"/>
      <c r="R132" s="20">
        <f t="shared" si="9"/>
        <v>0</v>
      </c>
      <c r="S132" s="130"/>
      <c r="T132" s="20">
        <f t="shared" si="10"/>
        <v>151.06175218749999</v>
      </c>
    </row>
    <row r="133" spans="1:20">
      <c r="A133" s="13" t="s">
        <v>21</v>
      </c>
      <c r="B133" s="14" t="s">
        <v>399</v>
      </c>
      <c r="C133" s="14" t="s">
        <v>400</v>
      </c>
      <c r="D133" s="13" t="s">
        <v>401</v>
      </c>
      <c r="E133" s="14" t="s">
        <v>402</v>
      </c>
      <c r="F133" s="13" t="s">
        <v>19</v>
      </c>
      <c r="G133" s="14" t="s">
        <v>20</v>
      </c>
      <c r="H133" s="14"/>
      <c r="I133" s="14">
        <v>201402</v>
      </c>
      <c r="J133" s="15">
        <v>561.6</v>
      </c>
      <c r="K133" s="21">
        <f t="shared" si="11"/>
        <v>42675</v>
      </c>
      <c r="L133" s="16">
        <f t="shared" si="6"/>
        <v>6</v>
      </c>
      <c r="M133" s="17">
        <v>1.4833299999999999E-3</v>
      </c>
      <c r="N133" s="18">
        <f t="shared" si="7"/>
        <v>4.9982287680000006</v>
      </c>
      <c r="O133" s="15"/>
      <c r="P133" s="20">
        <f t="shared" si="8"/>
        <v>0</v>
      </c>
      <c r="Q133" s="15"/>
      <c r="R133" s="20">
        <f t="shared" si="9"/>
        <v>0</v>
      </c>
      <c r="S133" s="130"/>
      <c r="T133" s="20">
        <f t="shared" si="10"/>
        <v>7.9497990000000005</v>
      </c>
    </row>
    <row r="134" spans="1:20">
      <c r="A134" s="13" t="s">
        <v>21</v>
      </c>
      <c r="B134" s="14" t="s">
        <v>403</v>
      </c>
      <c r="C134" s="14" t="s">
        <v>404</v>
      </c>
      <c r="D134" s="13" t="s">
        <v>405</v>
      </c>
      <c r="E134" s="14" t="s">
        <v>75</v>
      </c>
      <c r="F134" s="13" t="s">
        <v>26</v>
      </c>
      <c r="G134" s="14" t="s">
        <v>20</v>
      </c>
      <c r="H134" s="14"/>
      <c r="I134" s="14">
        <v>201402</v>
      </c>
      <c r="J134" s="15">
        <v>259809.25</v>
      </c>
      <c r="K134" s="21">
        <f t="shared" si="11"/>
        <v>42675</v>
      </c>
      <c r="L134" s="16">
        <f t="shared" ref="L134:L197" si="12">((YEAR($L$1)-YEAR(K134))*12+MONTH($L$1)-MONTH(K134))</f>
        <v>6</v>
      </c>
      <c r="M134" s="17">
        <v>1.4833299999999999E-3</v>
      </c>
      <c r="N134" s="18">
        <f t="shared" ref="N134:N197" si="13">M134*L134*J134</f>
        <v>2312.2971288150002</v>
      </c>
      <c r="O134" s="15"/>
      <c r="P134" s="20">
        <f t="shared" ref="P134:P197" si="14">$P$4*(J134*0.5)*$V$10</f>
        <v>0</v>
      </c>
      <c r="Q134" s="15"/>
      <c r="R134" s="20">
        <f t="shared" ref="R134:R197" si="15">$R$4*(J134*0.5)*$V$9</f>
        <v>0</v>
      </c>
      <c r="S134" s="130"/>
      <c r="T134" s="20">
        <f t="shared" ref="T134:T197" si="16">$T$4*(J134*0.5)*$V$11</f>
        <v>3677.76231453125</v>
      </c>
    </row>
    <row r="135" spans="1:20">
      <c r="A135" s="23" t="s">
        <v>29</v>
      </c>
      <c r="B135" s="14" t="s">
        <v>267</v>
      </c>
      <c r="C135" s="14" t="s">
        <v>268</v>
      </c>
      <c r="D135" s="13" t="s">
        <v>269</v>
      </c>
      <c r="E135" s="14" t="s">
        <v>270</v>
      </c>
      <c r="F135" s="13" t="s">
        <v>115</v>
      </c>
      <c r="G135" s="14" t="s">
        <v>20</v>
      </c>
      <c r="H135" s="14"/>
      <c r="I135" s="14">
        <v>201402</v>
      </c>
      <c r="J135" s="15">
        <v>18584.84</v>
      </c>
      <c r="K135" s="21">
        <f t="shared" ref="K135:K198" si="17">+K134</f>
        <v>42675</v>
      </c>
      <c r="L135" s="16">
        <f t="shared" si="12"/>
        <v>6</v>
      </c>
      <c r="M135" s="17">
        <v>2.23333E-3</v>
      </c>
      <c r="N135" s="18">
        <f t="shared" si="13"/>
        <v>249.03648430319998</v>
      </c>
      <c r="O135" s="15"/>
      <c r="P135" s="20">
        <f t="shared" si="14"/>
        <v>0</v>
      </c>
      <c r="Q135" s="15"/>
      <c r="R135" s="20">
        <f t="shared" si="15"/>
        <v>0</v>
      </c>
      <c r="S135" s="130"/>
      <c r="T135" s="20">
        <f t="shared" si="16"/>
        <v>263.08002572499998</v>
      </c>
    </row>
    <row r="136" spans="1:20">
      <c r="A136" s="23" t="s">
        <v>29</v>
      </c>
      <c r="B136" s="14" t="s">
        <v>271</v>
      </c>
      <c r="C136" s="14" t="s">
        <v>272</v>
      </c>
      <c r="D136" s="13" t="s">
        <v>197</v>
      </c>
      <c r="E136" s="14" t="s">
        <v>273</v>
      </c>
      <c r="F136" s="13" t="s">
        <v>199</v>
      </c>
      <c r="G136" s="14" t="s">
        <v>20</v>
      </c>
      <c r="H136" s="14"/>
      <c r="I136" s="14">
        <v>201402</v>
      </c>
      <c r="J136" s="15">
        <v>-696.29</v>
      </c>
      <c r="K136" s="21">
        <f t="shared" si="17"/>
        <v>42675</v>
      </c>
      <c r="L136" s="16">
        <f t="shared" si="12"/>
        <v>6</v>
      </c>
      <c r="M136" s="17">
        <v>2.23333E-3</v>
      </c>
      <c r="N136" s="18">
        <f t="shared" si="13"/>
        <v>-9.330272074199998</v>
      </c>
      <c r="O136" s="15"/>
      <c r="P136" s="20">
        <f t="shared" si="14"/>
        <v>0</v>
      </c>
      <c r="Q136" s="15"/>
      <c r="R136" s="20">
        <f t="shared" si="15"/>
        <v>0</v>
      </c>
      <c r="S136" s="130"/>
      <c r="T136" s="20">
        <f t="shared" si="16"/>
        <v>-9.8564201312499993</v>
      </c>
    </row>
    <row r="137" spans="1:20">
      <c r="A137" s="13" t="s">
        <v>21</v>
      </c>
      <c r="B137" s="14" t="s">
        <v>406</v>
      </c>
      <c r="C137" s="14" t="s">
        <v>407</v>
      </c>
      <c r="D137" s="13" t="s">
        <v>408</v>
      </c>
      <c r="E137" s="14" t="s">
        <v>87</v>
      </c>
      <c r="F137" s="13" t="s">
        <v>88</v>
      </c>
      <c r="G137" s="14" t="s">
        <v>20</v>
      </c>
      <c r="H137" s="14"/>
      <c r="I137" s="14">
        <v>201402</v>
      </c>
      <c r="J137" s="15">
        <v>5715.76</v>
      </c>
      <c r="K137" s="21">
        <f t="shared" si="17"/>
        <v>42675</v>
      </c>
      <c r="L137" s="16">
        <f t="shared" si="12"/>
        <v>6</v>
      </c>
      <c r="M137" s="17">
        <v>1.4833299999999999E-3</v>
      </c>
      <c r="N137" s="18">
        <f t="shared" si="13"/>
        <v>50.870149684800005</v>
      </c>
      <c r="O137" s="15"/>
      <c r="P137" s="20">
        <f t="shared" si="14"/>
        <v>0</v>
      </c>
      <c r="Q137" s="15"/>
      <c r="R137" s="20">
        <f t="shared" si="15"/>
        <v>0</v>
      </c>
      <c r="S137" s="130"/>
      <c r="T137" s="20">
        <f t="shared" si="16"/>
        <v>80.910155149999994</v>
      </c>
    </row>
    <row r="138" spans="1:20">
      <c r="A138" s="13" t="s">
        <v>21</v>
      </c>
      <c r="B138" s="14" t="s">
        <v>409</v>
      </c>
      <c r="C138" s="14" t="s">
        <v>410</v>
      </c>
      <c r="D138" s="13" t="s">
        <v>411</v>
      </c>
      <c r="E138" s="14" t="s">
        <v>75</v>
      </c>
      <c r="F138" s="13" t="s">
        <v>26</v>
      </c>
      <c r="G138" s="14" t="s">
        <v>20</v>
      </c>
      <c r="H138" s="14"/>
      <c r="I138" s="14">
        <v>201402</v>
      </c>
      <c r="J138" s="15">
        <v>29515</v>
      </c>
      <c r="K138" s="21">
        <f t="shared" si="17"/>
        <v>42675</v>
      </c>
      <c r="L138" s="16">
        <f t="shared" si="12"/>
        <v>6</v>
      </c>
      <c r="M138" s="17">
        <v>1.4833299999999999E-3</v>
      </c>
      <c r="N138" s="18">
        <f t="shared" si="13"/>
        <v>262.68290969999998</v>
      </c>
      <c r="O138" s="15"/>
      <c r="P138" s="20">
        <f t="shared" si="14"/>
        <v>0</v>
      </c>
      <c r="Q138" s="15"/>
      <c r="R138" s="20">
        <f t="shared" si="15"/>
        <v>0</v>
      </c>
      <c r="S138" s="130"/>
      <c r="T138" s="20">
        <f t="shared" si="16"/>
        <v>417.80327187500001</v>
      </c>
    </row>
    <row r="139" spans="1:20">
      <c r="A139" s="13" t="s">
        <v>21</v>
      </c>
      <c r="B139" s="14" t="s">
        <v>412</v>
      </c>
      <c r="C139" s="14" t="s">
        <v>413</v>
      </c>
      <c r="D139" s="13" t="s">
        <v>414</v>
      </c>
      <c r="E139" s="14" t="s">
        <v>415</v>
      </c>
      <c r="F139" s="13" t="s">
        <v>88</v>
      </c>
      <c r="G139" s="14" t="s">
        <v>20</v>
      </c>
      <c r="H139" s="14"/>
      <c r="I139" s="14">
        <v>201402</v>
      </c>
      <c r="J139" s="15">
        <v>4417.91</v>
      </c>
      <c r="K139" s="21">
        <f t="shared" si="17"/>
        <v>42675</v>
      </c>
      <c r="L139" s="16">
        <f t="shared" si="12"/>
        <v>6</v>
      </c>
      <c r="M139" s="17">
        <v>1.4833299999999999E-3</v>
      </c>
      <c r="N139" s="18">
        <f t="shared" si="13"/>
        <v>39.319310641800001</v>
      </c>
      <c r="O139" s="15"/>
      <c r="P139" s="20">
        <f t="shared" si="14"/>
        <v>0</v>
      </c>
      <c r="Q139" s="15"/>
      <c r="R139" s="20">
        <f t="shared" si="15"/>
        <v>0</v>
      </c>
      <c r="S139" s="130"/>
      <c r="T139" s="20">
        <f t="shared" si="16"/>
        <v>62.538277243749988</v>
      </c>
    </row>
    <row r="140" spans="1:20">
      <c r="A140" s="23" t="s">
        <v>29</v>
      </c>
      <c r="B140" s="14" t="s">
        <v>292</v>
      </c>
      <c r="C140" s="14" t="s">
        <v>293</v>
      </c>
      <c r="D140" s="13" t="s">
        <v>197</v>
      </c>
      <c r="E140" s="14" t="s">
        <v>294</v>
      </c>
      <c r="F140" s="13" t="s">
        <v>199</v>
      </c>
      <c r="G140" s="14" t="s">
        <v>20</v>
      </c>
      <c r="H140" s="14"/>
      <c r="I140" s="14">
        <v>201402</v>
      </c>
      <c r="J140" s="15">
        <v>3898.57</v>
      </c>
      <c r="K140" s="21">
        <f t="shared" si="17"/>
        <v>42675</v>
      </c>
      <c r="L140" s="16">
        <f t="shared" si="12"/>
        <v>6</v>
      </c>
      <c r="M140" s="17">
        <v>2.23333E-3</v>
      </c>
      <c r="N140" s="18">
        <f t="shared" si="13"/>
        <v>52.2407600286</v>
      </c>
      <c r="O140" s="15"/>
      <c r="P140" s="20">
        <f t="shared" si="14"/>
        <v>0</v>
      </c>
      <c r="Q140" s="15"/>
      <c r="R140" s="20">
        <f t="shared" si="15"/>
        <v>0</v>
      </c>
      <c r="S140" s="130"/>
      <c r="T140" s="20">
        <f t="shared" si="16"/>
        <v>55.186694956250001</v>
      </c>
    </row>
    <row r="141" spans="1:20">
      <c r="A141" s="13" t="s">
        <v>21</v>
      </c>
      <c r="B141" s="14" t="s">
        <v>298</v>
      </c>
      <c r="C141" s="14" t="s">
        <v>299</v>
      </c>
      <c r="D141" s="13" t="s">
        <v>300</v>
      </c>
      <c r="E141" s="14" t="s">
        <v>164</v>
      </c>
      <c r="F141" s="13" t="s">
        <v>165</v>
      </c>
      <c r="G141" s="14" t="s">
        <v>20</v>
      </c>
      <c r="H141" s="14"/>
      <c r="I141" s="14">
        <v>201402</v>
      </c>
      <c r="J141" s="15">
        <v>318.83999999999997</v>
      </c>
      <c r="K141" s="21">
        <f t="shared" si="17"/>
        <v>42675</v>
      </c>
      <c r="L141" s="16">
        <f t="shared" si="12"/>
        <v>6</v>
      </c>
      <c r="M141" s="17">
        <v>1.4833299999999999E-3</v>
      </c>
      <c r="N141" s="18">
        <f t="shared" si="13"/>
        <v>2.8376696231999996</v>
      </c>
      <c r="O141" s="15"/>
      <c r="P141" s="20">
        <f t="shared" si="14"/>
        <v>0</v>
      </c>
      <c r="Q141" s="15"/>
      <c r="R141" s="20">
        <f t="shared" si="15"/>
        <v>0</v>
      </c>
      <c r="S141" s="130"/>
      <c r="T141" s="20">
        <f t="shared" si="16"/>
        <v>4.5133794749999989</v>
      </c>
    </row>
    <row r="142" spans="1:20">
      <c r="A142" s="13" t="s">
        <v>21</v>
      </c>
      <c r="B142" s="14" t="s">
        <v>416</v>
      </c>
      <c r="C142" s="14" t="s">
        <v>417</v>
      </c>
      <c r="D142" s="13" t="s">
        <v>418</v>
      </c>
      <c r="E142" s="14" t="s">
        <v>209</v>
      </c>
      <c r="F142" s="13" t="s">
        <v>88</v>
      </c>
      <c r="G142" s="14" t="s">
        <v>20</v>
      </c>
      <c r="H142" s="14"/>
      <c r="I142" s="14">
        <v>201402</v>
      </c>
      <c r="J142" s="15">
        <v>0</v>
      </c>
      <c r="K142" s="21">
        <f t="shared" si="17"/>
        <v>42675</v>
      </c>
      <c r="L142" s="16">
        <f t="shared" si="12"/>
        <v>6</v>
      </c>
      <c r="M142" s="17">
        <v>1.4833299999999999E-3</v>
      </c>
      <c r="N142" s="18">
        <f t="shared" si="13"/>
        <v>0</v>
      </c>
      <c r="O142" s="15"/>
      <c r="P142" s="20">
        <f t="shared" si="14"/>
        <v>0</v>
      </c>
      <c r="Q142" s="15"/>
      <c r="R142" s="20">
        <f t="shared" si="15"/>
        <v>0</v>
      </c>
      <c r="S142" s="130"/>
      <c r="T142" s="20">
        <f t="shared" si="16"/>
        <v>0</v>
      </c>
    </row>
    <row r="143" spans="1:20">
      <c r="A143" s="23" t="s">
        <v>29</v>
      </c>
      <c r="B143" s="14" t="s">
        <v>314</v>
      </c>
      <c r="C143" s="14" t="s">
        <v>315</v>
      </c>
      <c r="D143" s="13" t="s">
        <v>316</v>
      </c>
      <c r="E143" s="14" t="s">
        <v>317</v>
      </c>
      <c r="F143" s="13" t="s">
        <v>285</v>
      </c>
      <c r="G143" s="14" t="s">
        <v>20</v>
      </c>
      <c r="H143" s="14"/>
      <c r="I143" s="14">
        <v>201402</v>
      </c>
      <c r="J143" s="15">
        <v>5168.32</v>
      </c>
      <c r="K143" s="21">
        <f t="shared" si="17"/>
        <v>42675</v>
      </c>
      <c r="L143" s="16">
        <f t="shared" si="12"/>
        <v>6</v>
      </c>
      <c r="M143" s="17">
        <v>2.23333E-3</v>
      </c>
      <c r="N143" s="18">
        <f t="shared" si="13"/>
        <v>69.255384633599988</v>
      </c>
      <c r="O143" s="15"/>
      <c r="P143" s="20">
        <f t="shared" si="14"/>
        <v>0</v>
      </c>
      <c r="Q143" s="15"/>
      <c r="R143" s="20">
        <f t="shared" si="15"/>
        <v>0</v>
      </c>
      <c r="S143" s="130"/>
      <c r="T143" s="20">
        <f t="shared" si="16"/>
        <v>73.160799799999992</v>
      </c>
    </row>
    <row r="144" spans="1:20">
      <c r="A144" s="23" t="s">
        <v>29</v>
      </c>
      <c r="B144" s="14" t="s">
        <v>318</v>
      </c>
      <c r="C144" s="14" t="s">
        <v>319</v>
      </c>
      <c r="D144" s="13" t="s">
        <v>105</v>
      </c>
      <c r="E144" s="14" t="s">
        <v>320</v>
      </c>
      <c r="F144" s="13" t="s">
        <v>34</v>
      </c>
      <c r="G144" s="14" t="s">
        <v>20</v>
      </c>
      <c r="H144" s="14"/>
      <c r="I144" s="14">
        <v>201402</v>
      </c>
      <c r="J144" s="15">
        <v>-3066.82</v>
      </c>
      <c r="K144" s="21">
        <f t="shared" si="17"/>
        <v>42675</v>
      </c>
      <c r="L144" s="16">
        <f t="shared" si="12"/>
        <v>6</v>
      </c>
      <c r="M144" s="17">
        <v>2.23333E-3</v>
      </c>
      <c r="N144" s="18">
        <f t="shared" si="13"/>
        <v>-41.095326663599998</v>
      </c>
      <c r="O144" s="15"/>
      <c r="P144" s="20">
        <f t="shared" si="14"/>
        <v>0</v>
      </c>
      <c r="Q144" s="15"/>
      <c r="R144" s="20">
        <f t="shared" si="15"/>
        <v>0</v>
      </c>
      <c r="S144" s="130"/>
      <c r="T144" s="20">
        <f t="shared" si="16"/>
        <v>-43.412753862499997</v>
      </c>
    </row>
    <row r="145" spans="1:20">
      <c r="A145" s="23" t="s">
        <v>29</v>
      </c>
      <c r="B145" s="14" t="s">
        <v>321</v>
      </c>
      <c r="C145" s="14" t="s">
        <v>322</v>
      </c>
      <c r="D145" s="13" t="s">
        <v>323</v>
      </c>
      <c r="E145" s="14" t="s">
        <v>324</v>
      </c>
      <c r="F145" s="13" t="s">
        <v>52</v>
      </c>
      <c r="G145" s="14" t="s">
        <v>20</v>
      </c>
      <c r="H145" s="14"/>
      <c r="I145" s="14">
        <v>201402</v>
      </c>
      <c r="J145" s="15">
        <v>2049.38</v>
      </c>
      <c r="K145" s="21">
        <f t="shared" si="17"/>
        <v>42675</v>
      </c>
      <c r="L145" s="16">
        <f t="shared" si="12"/>
        <v>6</v>
      </c>
      <c r="M145" s="17">
        <v>2.23333E-3</v>
      </c>
      <c r="N145" s="18">
        <f t="shared" si="13"/>
        <v>27.461651012400001</v>
      </c>
      <c r="O145" s="15"/>
      <c r="P145" s="20">
        <f t="shared" si="14"/>
        <v>0</v>
      </c>
      <c r="Q145" s="15"/>
      <c r="R145" s="20">
        <f t="shared" si="15"/>
        <v>0</v>
      </c>
      <c r="S145" s="130"/>
      <c r="T145" s="20">
        <f t="shared" si="16"/>
        <v>29.010254762499997</v>
      </c>
    </row>
    <row r="146" spans="1:20">
      <c r="A146" s="23" t="s">
        <v>29</v>
      </c>
      <c r="B146" s="14" t="s">
        <v>419</v>
      </c>
      <c r="C146" s="14" t="s">
        <v>420</v>
      </c>
      <c r="D146" s="13" t="s">
        <v>50</v>
      </c>
      <c r="E146" s="14" t="s">
        <v>421</v>
      </c>
      <c r="F146" s="13" t="s">
        <v>52</v>
      </c>
      <c r="G146" s="14" t="s">
        <v>20</v>
      </c>
      <c r="H146" s="14"/>
      <c r="I146" s="14">
        <v>201402</v>
      </c>
      <c r="J146" s="15">
        <v>692.52</v>
      </c>
      <c r="K146" s="21">
        <f t="shared" si="17"/>
        <v>42675</v>
      </c>
      <c r="L146" s="16">
        <f t="shared" si="12"/>
        <v>6</v>
      </c>
      <c r="M146" s="17">
        <v>2.23333E-3</v>
      </c>
      <c r="N146" s="18">
        <f t="shared" si="13"/>
        <v>9.2797541495999987</v>
      </c>
      <c r="O146" s="15"/>
      <c r="P146" s="20">
        <f t="shared" si="14"/>
        <v>0</v>
      </c>
      <c r="Q146" s="15"/>
      <c r="R146" s="20">
        <f t="shared" si="15"/>
        <v>0</v>
      </c>
      <c r="S146" s="130"/>
      <c r="T146" s="20">
        <f t="shared" si="16"/>
        <v>9.8030534249999999</v>
      </c>
    </row>
    <row r="147" spans="1:20">
      <c r="A147" s="23" t="s">
        <v>29</v>
      </c>
      <c r="B147" s="14" t="s">
        <v>325</v>
      </c>
      <c r="C147" s="14" t="s">
        <v>326</v>
      </c>
      <c r="D147" s="13" t="s">
        <v>327</v>
      </c>
      <c r="E147" s="14" t="s">
        <v>328</v>
      </c>
      <c r="F147" s="13" t="s">
        <v>58</v>
      </c>
      <c r="G147" s="14" t="s">
        <v>20</v>
      </c>
      <c r="H147" s="14"/>
      <c r="I147" s="14">
        <v>201402</v>
      </c>
      <c r="J147" s="15">
        <v>1541.66</v>
      </c>
      <c r="K147" s="21">
        <f t="shared" si="17"/>
        <v>42675</v>
      </c>
      <c r="L147" s="16">
        <f t="shared" si="12"/>
        <v>6</v>
      </c>
      <c r="M147" s="17">
        <v>2.23333E-3</v>
      </c>
      <c r="N147" s="18">
        <f t="shared" si="13"/>
        <v>20.6582131668</v>
      </c>
      <c r="O147" s="15"/>
      <c r="P147" s="20">
        <f t="shared" si="14"/>
        <v>0</v>
      </c>
      <c r="Q147" s="15"/>
      <c r="R147" s="20">
        <f t="shared" si="15"/>
        <v>0</v>
      </c>
      <c r="S147" s="130"/>
      <c r="T147" s="20">
        <f t="shared" si="16"/>
        <v>21.823160837499998</v>
      </c>
    </row>
    <row r="148" spans="1:20">
      <c r="A148" s="13" t="s">
        <v>127</v>
      </c>
      <c r="B148" s="14" t="s">
        <v>422</v>
      </c>
      <c r="C148" s="14" t="s">
        <v>423</v>
      </c>
      <c r="D148" s="13" t="s">
        <v>424</v>
      </c>
      <c r="E148" s="14" t="s">
        <v>131</v>
      </c>
      <c r="F148" s="13" t="s">
        <v>132</v>
      </c>
      <c r="G148" s="14" t="s">
        <v>20</v>
      </c>
      <c r="H148" s="14"/>
      <c r="I148" s="14">
        <v>201402</v>
      </c>
      <c r="J148" s="15">
        <v>9697.0300000000007</v>
      </c>
      <c r="K148" s="21">
        <f t="shared" si="17"/>
        <v>42675</v>
      </c>
      <c r="L148" s="16">
        <f t="shared" si="12"/>
        <v>6</v>
      </c>
      <c r="M148" s="17">
        <v>2.3833299999999999E-3</v>
      </c>
      <c r="N148" s="18">
        <f t="shared" si="13"/>
        <v>138.66733505940002</v>
      </c>
      <c r="O148" s="15"/>
      <c r="P148" s="20">
        <f t="shared" si="14"/>
        <v>0</v>
      </c>
      <c r="Q148" s="15"/>
      <c r="R148" s="20">
        <f t="shared" si="15"/>
        <v>0</v>
      </c>
      <c r="S148" s="130"/>
      <c r="T148" s="20">
        <f t="shared" si="16"/>
        <v>137.26752029374998</v>
      </c>
    </row>
    <row r="149" spans="1:20">
      <c r="A149" s="13" t="s">
        <v>21</v>
      </c>
      <c r="B149" s="14" t="s">
        <v>338</v>
      </c>
      <c r="C149" s="14" t="s">
        <v>339</v>
      </c>
      <c r="D149" s="13" t="s">
        <v>340</v>
      </c>
      <c r="E149" s="14" t="s">
        <v>164</v>
      </c>
      <c r="F149" s="13" t="s">
        <v>165</v>
      </c>
      <c r="G149" s="14" t="s">
        <v>20</v>
      </c>
      <c r="H149" s="14"/>
      <c r="I149" s="14">
        <v>201402</v>
      </c>
      <c r="J149" s="15">
        <v>9567.25</v>
      </c>
      <c r="K149" s="21">
        <f t="shared" si="17"/>
        <v>42675</v>
      </c>
      <c r="L149" s="16">
        <f t="shared" si="12"/>
        <v>6</v>
      </c>
      <c r="M149" s="17">
        <v>1.4833299999999999E-3</v>
      </c>
      <c r="N149" s="18">
        <f t="shared" si="13"/>
        <v>85.148333655000002</v>
      </c>
      <c r="O149" s="15"/>
      <c r="P149" s="20">
        <f t="shared" si="14"/>
        <v>0</v>
      </c>
      <c r="Q149" s="15"/>
      <c r="R149" s="20">
        <f t="shared" si="15"/>
        <v>0</v>
      </c>
      <c r="S149" s="130"/>
      <c r="T149" s="20">
        <f t="shared" si="16"/>
        <v>135.43040328124999</v>
      </c>
    </row>
    <row r="150" spans="1:20">
      <c r="A150" s="13" t="s">
        <v>21</v>
      </c>
      <c r="B150" s="14" t="s">
        <v>341</v>
      </c>
      <c r="C150" s="14" t="s">
        <v>342</v>
      </c>
      <c r="D150" s="13" t="s">
        <v>343</v>
      </c>
      <c r="E150" s="14" t="s">
        <v>137</v>
      </c>
      <c r="F150" s="13" t="s">
        <v>138</v>
      </c>
      <c r="G150" s="14" t="s">
        <v>20</v>
      </c>
      <c r="H150" s="14"/>
      <c r="I150" s="14">
        <v>201402</v>
      </c>
      <c r="J150" s="15">
        <v>-212281.31</v>
      </c>
      <c r="K150" s="21">
        <f t="shared" si="17"/>
        <v>42675</v>
      </c>
      <c r="L150" s="16">
        <f t="shared" si="12"/>
        <v>6</v>
      </c>
      <c r="M150" s="17">
        <v>1.4833299999999999E-3</v>
      </c>
      <c r="N150" s="18">
        <f t="shared" si="13"/>
        <v>-1889.2994133738</v>
      </c>
      <c r="O150" s="15"/>
      <c r="P150" s="20">
        <f t="shared" si="14"/>
        <v>0</v>
      </c>
      <c r="Q150" s="15"/>
      <c r="R150" s="20">
        <f t="shared" si="15"/>
        <v>0</v>
      </c>
      <c r="S150" s="130"/>
      <c r="T150" s="20">
        <f t="shared" si="16"/>
        <v>-3004.9746188687495</v>
      </c>
    </row>
    <row r="151" spans="1:20">
      <c r="A151" s="13" t="s">
        <v>133</v>
      </c>
      <c r="B151" s="14" t="s">
        <v>341</v>
      </c>
      <c r="C151" s="14" t="s">
        <v>342</v>
      </c>
      <c r="D151" s="13" t="s">
        <v>343</v>
      </c>
      <c r="E151" s="14" t="s">
        <v>137</v>
      </c>
      <c r="F151" s="13" t="s">
        <v>138</v>
      </c>
      <c r="G151" s="14" t="s">
        <v>20</v>
      </c>
      <c r="H151" s="14"/>
      <c r="I151" s="14">
        <v>201402</v>
      </c>
      <c r="J151" s="15">
        <v>218607.59</v>
      </c>
      <c r="K151" s="21">
        <f t="shared" si="17"/>
        <v>42675</v>
      </c>
      <c r="L151" s="16">
        <f t="shared" si="12"/>
        <v>6</v>
      </c>
      <c r="M151" s="17">
        <v>1.4833299999999999E-3</v>
      </c>
      <c r="N151" s="18">
        <f t="shared" si="13"/>
        <v>1945.6031788482001</v>
      </c>
      <c r="O151" s="15"/>
      <c r="P151" s="20">
        <f t="shared" si="14"/>
        <v>0</v>
      </c>
      <c r="Q151" s="15"/>
      <c r="R151" s="20">
        <f t="shared" si="15"/>
        <v>0</v>
      </c>
      <c r="S151" s="130"/>
      <c r="T151" s="20">
        <f t="shared" si="16"/>
        <v>3094.5270661937498</v>
      </c>
    </row>
    <row r="152" spans="1:20">
      <c r="A152" s="13" t="s">
        <v>21</v>
      </c>
      <c r="B152" s="14" t="s">
        <v>353</v>
      </c>
      <c r="C152" s="14" t="s">
        <v>354</v>
      </c>
      <c r="D152" s="13" t="s">
        <v>355</v>
      </c>
      <c r="E152" s="14" t="s">
        <v>356</v>
      </c>
      <c r="F152" s="13" t="s">
        <v>19</v>
      </c>
      <c r="G152" s="14" t="s">
        <v>20</v>
      </c>
      <c r="H152" s="14"/>
      <c r="I152" s="14">
        <v>201402</v>
      </c>
      <c r="J152" s="15">
        <v>-2006.88</v>
      </c>
      <c r="K152" s="21">
        <f t="shared" si="17"/>
        <v>42675</v>
      </c>
      <c r="L152" s="16">
        <f t="shared" si="12"/>
        <v>6</v>
      </c>
      <c r="M152" s="17">
        <v>1.4833299999999999E-3</v>
      </c>
      <c r="N152" s="18">
        <f t="shared" si="13"/>
        <v>-17.861191862400002</v>
      </c>
      <c r="O152" s="15"/>
      <c r="P152" s="20">
        <f t="shared" si="14"/>
        <v>0</v>
      </c>
      <c r="Q152" s="15"/>
      <c r="R152" s="20">
        <f t="shared" si="15"/>
        <v>0</v>
      </c>
      <c r="S152" s="130"/>
      <c r="T152" s="20">
        <f t="shared" si="16"/>
        <v>-28.408640699999999</v>
      </c>
    </row>
    <row r="153" spans="1:20">
      <c r="A153" s="13" t="s">
        <v>21</v>
      </c>
      <c r="B153" s="14" t="s">
        <v>425</v>
      </c>
      <c r="C153" s="14" t="s">
        <v>426</v>
      </c>
      <c r="D153" s="13" t="s">
        <v>427</v>
      </c>
      <c r="E153" s="14" t="s">
        <v>156</v>
      </c>
      <c r="F153" s="13" t="s">
        <v>26</v>
      </c>
      <c r="G153" s="14" t="s">
        <v>20</v>
      </c>
      <c r="H153" s="14"/>
      <c r="I153" s="14">
        <v>201403</v>
      </c>
      <c r="J153" s="15">
        <v>9889.7800000000007</v>
      </c>
      <c r="K153" s="21">
        <f t="shared" si="17"/>
        <v>42675</v>
      </c>
      <c r="L153" s="16">
        <f t="shared" si="12"/>
        <v>6</v>
      </c>
      <c r="M153" s="17">
        <v>1.4833299999999999E-3</v>
      </c>
      <c r="N153" s="18">
        <f t="shared" si="13"/>
        <v>88.018844204400011</v>
      </c>
      <c r="O153" s="15"/>
      <c r="P153" s="20">
        <f t="shared" si="14"/>
        <v>0</v>
      </c>
      <c r="Q153" s="15"/>
      <c r="R153" s="20">
        <f t="shared" si="15"/>
        <v>0</v>
      </c>
      <c r="S153" s="130"/>
      <c r="T153" s="20">
        <f t="shared" si="16"/>
        <v>139.9960170125</v>
      </c>
    </row>
    <row r="154" spans="1:20">
      <c r="A154" s="23" t="s">
        <v>29</v>
      </c>
      <c r="B154" s="14" t="s">
        <v>30</v>
      </c>
      <c r="C154" s="14" t="s">
        <v>31</v>
      </c>
      <c r="D154" s="13" t="s">
        <v>32</v>
      </c>
      <c r="E154" s="14" t="s">
        <v>33</v>
      </c>
      <c r="F154" s="13" t="s">
        <v>34</v>
      </c>
      <c r="G154" s="14" t="s">
        <v>20</v>
      </c>
      <c r="H154" s="14"/>
      <c r="I154" s="14">
        <v>201403</v>
      </c>
      <c r="J154" s="15">
        <v>14525.83</v>
      </c>
      <c r="K154" s="21">
        <f t="shared" si="17"/>
        <v>42675</v>
      </c>
      <c r="L154" s="16">
        <f t="shared" si="12"/>
        <v>6</v>
      </c>
      <c r="M154" s="17">
        <v>2.23333E-3</v>
      </c>
      <c r="N154" s="18">
        <f t="shared" si="13"/>
        <v>194.64583148339997</v>
      </c>
      <c r="O154" s="15"/>
      <c r="P154" s="20">
        <f t="shared" si="14"/>
        <v>0</v>
      </c>
      <c r="Q154" s="15"/>
      <c r="R154" s="20">
        <f t="shared" si="15"/>
        <v>0</v>
      </c>
      <c r="S154" s="130"/>
      <c r="T154" s="20">
        <f t="shared" si="16"/>
        <v>205.62220229375001</v>
      </c>
    </row>
    <row r="155" spans="1:20">
      <c r="A155" s="23" t="s">
        <v>29</v>
      </c>
      <c r="B155" s="14" t="s">
        <v>37</v>
      </c>
      <c r="C155" s="14" t="s">
        <v>38</v>
      </c>
      <c r="D155" s="13" t="s">
        <v>39</v>
      </c>
      <c r="E155" s="14" t="s">
        <v>40</v>
      </c>
      <c r="F155" s="13" t="s">
        <v>41</v>
      </c>
      <c r="G155" s="14" t="s">
        <v>20</v>
      </c>
      <c r="H155" s="14"/>
      <c r="I155" s="14">
        <v>201403</v>
      </c>
      <c r="J155" s="15">
        <v>39220.269999999997</v>
      </c>
      <c r="K155" s="21">
        <f t="shared" si="17"/>
        <v>42675</v>
      </c>
      <c r="L155" s="16">
        <f t="shared" si="12"/>
        <v>6</v>
      </c>
      <c r="M155" s="17">
        <v>2.23333E-3</v>
      </c>
      <c r="N155" s="18">
        <f t="shared" si="13"/>
        <v>525.55083359459991</v>
      </c>
      <c r="O155" s="15"/>
      <c r="P155" s="20">
        <f t="shared" si="14"/>
        <v>0</v>
      </c>
      <c r="Q155" s="15"/>
      <c r="R155" s="20">
        <f t="shared" si="15"/>
        <v>0</v>
      </c>
      <c r="S155" s="130"/>
      <c r="T155" s="20">
        <f t="shared" si="16"/>
        <v>555.18743451874991</v>
      </c>
    </row>
    <row r="156" spans="1:20">
      <c r="A156" s="23" t="s">
        <v>29</v>
      </c>
      <c r="B156" s="14" t="s">
        <v>48</v>
      </c>
      <c r="C156" s="14" t="s">
        <v>49</v>
      </c>
      <c r="D156" s="13" t="s">
        <v>50</v>
      </c>
      <c r="E156" s="14" t="s">
        <v>51</v>
      </c>
      <c r="F156" s="13" t="s">
        <v>52</v>
      </c>
      <c r="G156" s="14" t="s">
        <v>20</v>
      </c>
      <c r="H156" s="14"/>
      <c r="I156" s="14">
        <v>201403</v>
      </c>
      <c r="J156" s="15">
        <v>-1375.42</v>
      </c>
      <c r="K156" s="21">
        <f t="shared" si="17"/>
        <v>42675</v>
      </c>
      <c r="L156" s="16">
        <f t="shared" si="12"/>
        <v>6</v>
      </c>
      <c r="M156" s="17">
        <v>2.23333E-3</v>
      </c>
      <c r="N156" s="18">
        <f t="shared" si="13"/>
        <v>-18.4306004916</v>
      </c>
      <c r="O156" s="15"/>
      <c r="P156" s="20">
        <f t="shared" si="14"/>
        <v>0</v>
      </c>
      <c r="Q156" s="15"/>
      <c r="R156" s="20">
        <f t="shared" si="15"/>
        <v>0</v>
      </c>
      <c r="S156" s="130"/>
      <c r="T156" s="20">
        <f t="shared" si="16"/>
        <v>-19.469929737499999</v>
      </c>
    </row>
    <row r="157" spans="1:20">
      <c r="A157" s="23" t="s">
        <v>29</v>
      </c>
      <c r="B157" s="14" t="s">
        <v>54</v>
      </c>
      <c r="C157" s="14" t="s">
        <v>55</v>
      </c>
      <c r="D157" s="13" t="s">
        <v>56</v>
      </c>
      <c r="E157" s="14" t="s">
        <v>57</v>
      </c>
      <c r="F157" s="13" t="s">
        <v>58</v>
      </c>
      <c r="G157" s="14" t="s">
        <v>20</v>
      </c>
      <c r="H157" s="14"/>
      <c r="I157" s="14">
        <v>201403</v>
      </c>
      <c r="J157" s="15">
        <v>2602.2800000000002</v>
      </c>
      <c r="K157" s="21">
        <f t="shared" si="17"/>
        <v>42675</v>
      </c>
      <c r="L157" s="16">
        <f t="shared" si="12"/>
        <v>6</v>
      </c>
      <c r="M157" s="17">
        <v>2.23333E-3</v>
      </c>
      <c r="N157" s="18">
        <f t="shared" si="13"/>
        <v>34.870499954400003</v>
      </c>
      <c r="O157" s="15"/>
      <c r="P157" s="20">
        <f t="shared" si="14"/>
        <v>0</v>
      </c>
      <c r="Q157" s="15"/>
      <c r="R157" s="20">
        <f t="shared" si="15"/>
        <v>0</v>
      </c>
      <c r="S157" s="130"/>
      <c r="T157" s="20">
        <f t="shared" si="16"/>
        <v>36.836899825000003</v>
      </c>
    </row>
    <row r="158" spans="1:20">
      <c r="A158" s="13" t="s">
        <v>21</v>
      </c>
      <c r="B158" s="14" t="s">
        <v>60</v>
      </c>
      <c r="C158" s="14" t="s">
        <v>61</v>
      </c>
      <c r="D158" s="13" t="s">
        <v>62</v>
      </c>
      <c r="E158" s="14" t="s">
        <v>63</v>
      </c>
      <c r="F158" s="13" t="s">
        <v>19</v>
      </c>
      <c r="G158" s="14" t="s">
        <v>20</v>
      </c>
      <c r="H158" s="14"/>
      <c r="I158" s="14">
        <v>201403</v>
      </c>
      <c r="J158" s="15">
        <v>1416</v>
      </c>
      <c r="K158" s="21">
        <f t="shared" si="17"/>
        <v>42675</v>
      </c>
      <c r="L158" s="16">
        <f t="shared" si="12"/>
        <v>6</v>
      </c>
      <c r="M158" s="17">
        <v>1.4833299999999999E-3</v>
      </c>
      <c r="N158" s="18">
        <f t="shared" si="13"/>
        <v>12.602371679999999</v>
      </c>
      <c r="O158" s="15"/>
      <c r="P158" s="20">
        <f t="shared" si="14"/>
        <v>0</v>
      </c>
      <c r="Q158" s="15"/>
      <c r="R158" s="20">
        <f t="shared" si="15"/>
        <v>0</v>
      </c>
      <c r="S158" s="130"/>
      <c r="T158" s="20">
        <f t="shared" si="16"/>
        <v>20.044364999999999</v>
      </c>
    </row>
    <row r="159" spans="1:20">
      <c r="A159" s="13" t="s">
        <v>21</v>
      </c>
      <c r="B159" s="14" t="s">
        <v>67</v>
      </c>
      <c r="C159" s="14" t="s">
        <v>68</v>
      </c>
      <c r="D159" s="13" t="s">
        <v>69</v>
      </c>
      <c r="E159" s="14" t="s">
        <v>70</v>
      </c>
      <c r="F159" s="13" t="s">
        <v>71</v>
      </c>
      <c r="G159" s="14" t="s">
        <v>20</v>
      </c>
      <c r="H159" s="14"/>
      <c r="I159" s="14">
        <v>201403</v>
      </c>
      <c r="J159" s="15">
        <v>156</v>
      </c>
      <c r="K159" s="21">
        <f t="shared" si="17"/>
        <v>42675</v>
      </c>
      <c r="L159" s="16">
        <f t="shared" si="12"/>
        <v>6</v>
      </c>
      <c r="M159" s="17">
        <v>1.4833299999999999E-3</v>
      </c>
      <c r="N159" s="18">
        <f t="shared" si="13"/>
        <v>1.3883968799999999</v>
      </c>
      <c r="O159" s="15"/>
      <c r="P159" s="20">
        <f t="shared" si="14"/>
        <v>0</v>
      </c>
      <c r="Q159" s="15"/>
      <c r="R159" s="20">
        <f t="shared" si="15"/>
        <v>0</v>
      </c>
      <c r="S159" s="130"/>
      <c r="T159" s="20">
        <f t="shared" si="16"/>
        <v>2.2082774999999999</v>
      </c>
    </row>
    <row r="160" spans="1:20">
      <c r="A160" s="13" t="s">
        <v>21</v>
      </c>
      <c r="B160" s="14" t="s">
        <v>428</v>
      </c>
      <c r="C160" s="14" t="s">
        <v>429</v>
      </c>
      <c r="D160" s="13" t="s">
        <v>430</v>
      </c>
      <c r="E160" s="14" t="s">
        <v>164</v>
      </c>
      <c r="F160" s="13" t="s">
        <v>165</v>
      </c>
      <c r="G160" s="14" t="s">
        <v>20</v>
      </c>
      <c r="H160" s="14"/>
      <c r="I160" s="14">
        <v>201403</v>
      </c>
      <c r="J160" s="15">
        <v>44675.06</v>
      </c>
      <c r="K160" s="21">
        <f t="shared" si="17"/>
        <v>42675</v>
      </c>
      <c r="L160" s="16">
        <f t="shared" si="12"/>
        <v>6</v>
      </c>
      <c r="M160" s="17">
        <v>1.4833299999999999E-3</v>
      </c>
      <c r="N160" s="18">
        <f t="shared" si="13"/>
        <v>397.60714049879999</v>
      </c>
      <c r="O160" s="15"/>
      <c r="P160" s="20">
        <f t="shared" si="14"/>
        <v>0</v>
      </c>
      <c r="Q160" s="15"/>
      <c r="R160" s="20">
        <f t="shared" si="15"/>
        <v>0</v>
      </c>
      <c r="S160" s="130"/>
      <c r="T160" s="20">
        <f t="shared" si="16"/>
        <v>632.40339621249996</v>
      </c>
    </row>
    <row r="161" spans="1:20">
      <c r="A161" s="13" t="s">
        <v>21</v>
      </c>
      <c r="B161" s="14" t="s">
        <v>81</v>
      </c>
      <c r="C161" s="14" t="s">
        <v>82</v>
      </c>
      <c r="D161" s="13" t="s">
        <v>83</v>
      </c>
      <c r="E161" s="14" t="s">
        <v>75</v>
      </c>
      <c r="F161" s="13" t="s">
        <v>26</v>
      </c>
      <c r="G161" s="14" t="s">
        <v>20</v>
      </c>
      <c r="H161" s="14"/>
      <c r="I161" s="14">
        <v>201403</v>
      </c>
      <c r="J161" s="15">
        <v>-38.24</v>
      </c>
      <c r="K161" s="21">
        <f t="shared" si="17"/>
        <v>42675</v>
      </c>
      <c r="L161" s="16">
        <f t="shared" si="12"/>
        <v>6</v>
      </c>
      <c r="M161" s="17">
        <v>1.4833299999999999E-3</v>
      </c>
      <c r="N161" s="18">
        <f t="shared" si="13"/>
        <v>-0.34033523520000003</v>
      </c>
      <c r="O161" s="15"/>
      <c r="P161" s="20">
        <f t="shared" si="14"/>
        <v>0</v>
      </c>
      <c r="Q161" s="15"/>
      <c r="R161" s="20">
        <f t="shared" si="15"/>
        <v>0</v>
      </c>
      <c r="S161" s="130"/>
      <c r="T161" s="20">
        <f t="shared" si="16"/>
        <v>-0.54131109999999993</v>
      </c>
    </row>
    <row r="162" spans="1:20">
      <c r="A162" s="13" t="s">
        <v>21</v>
      </c>
      <c r="B162" s="14" t="s">
        <v>364</v>
      </c>
      <c r="C162" s="14" t="s">
        <v>365</v>
      </c>
      <c r="D162" s="13" t="s">
        <v>366</v>
      </c>
      <c r="E162" s="14" t="s">
        <v>25</v>
      </c>
      <c r="F162" s="13" t="s">
        <v>26</v>
      </c>
      <c r="G162" s="14" t="s">
        <v>20</v>
      </c>
      <c r="H162" s="14"/>
      <c r="I162" s="14">
        <v>201403</v>
      </c>
      <c r="J162" s="15">
        <v>16220.33</v>
      </c>
      <c r="K162" s="21">
        <f t="shared" si="17"/>
        <v>42675</v>
      </c>
      <c r="L162" s="16">
        <f t="shared" si="12"/>
        <v>6</v>
      </c>
      <c r="M162" s="17">
        <v>1.4833299999999999E-3</v>
      </c>
      <c r="N162" s="18">
        <f t="shared" si="13"/>
        <v>144.36061259339999</v>
      </c>
      <c r="O162" s="15"/>
      <c r="P162" s="20">
        <f t="shared" si="14"/>
        <v>0</v>
      </c>
      <c r="Q162" s="15"/>
      <c r="R162" s="20">
        <f t="shared" si="15"/>
        <v>0</v>
      </c>
      <c r="S162" s="130"/>
      <c r="T162" s="20">
        <f t="shared" si="16"/>
        <v>229.60890885625</v>
      </c>
    </row>
    <row r="163" spans="1:20">
      <c r="A163" s="13" t="s">
        <v>21</v>
      </c>
      <c r="B163" s="14" t="s">
        <v>367</v>
      </c>
      <c r="C163" s="14" t="s">
        <v>368</v>
      </c>
      <c r="D163" s="13" t="s">
        <v>369</v>
      </c>
      <c r="E163" s="14" t="s">
        <v>63</v>
      </c>
      <c r="F163" s="13" t="s">
        <v>19</v>
      </c>
      <c r="G163" s="14" t="s">
        <v>20</v>
      </c>
      <c r="H163" s="14"/>
      <c r="I163" s="14">
        <v>201403</v>
      </c>
      <c r="J163" s="15">
        <v>7094.67</v>
      </c>
      <c r="K163" s="21">
        <f t="shared" si="17"/>
        <v>42675</v>
      </c>
      <c r="L163" s="16">
        <f t="shared" si="12"/>
        <v>6</v>
      </c>
      <c r="M163" s="17">
        <v>1.4833299999999999E-3</v>
      </c>
      <c r="N163" s="18">
        <f t="shared" si="13"/>
        <v>63.142421106600004</v>
      </c>
      <c r="O163" s="15"/>
      <c r="P163" s="20">
        <f t="shared" si="14"/>
        <v>0</v>
      </c>
      <c r="Q163" s="15"/>
      <c r="R163" s="20">
        <f t="shared" si="15"/>
        <v>0</v>
      </c>
      <c r="S163" s="130"/>
      <c r="T163" s="20">
        <f t="shared" si="16"/>
        <v>100.42948801874999</v>
      </c>
    </row>
    <row r="164" spans="1:20">
      <c r="A164" s="13" t="s">
        <v>21</v>
      </c>
      <c r="B164" s="14" t="s">
        <v>431</v>
      </c>
      <c r="C164" s="14" t="s">
        <v>432</v>
      </c>
      <c r="D164" s="13" t="s">
        <v>433</v>
      </c>
      <c r="E164" s="14" t="s">
        <v>75</v>
      </c>
      <c r="F164" s="13" t="s">
        <v>26</v>
      </c>
      <c r="G164" s="14" t="s">
        <v>20</v>
      </c>
      <c r="H164" s="14"/>
      <c r="I164" s="14">
        <v>201403</v>
      </c>
      <c r="J164" s="15">
        <v>183184.57</v>
      </c>
      <c r="K164" s="21">
        <f t="shared" si="17"/>
        <v>42675</v>
      </c>
      <c r="L164" s="16">
        <f t="shared" si="12"/>
        <v>6</v>
      </c>
      <c r="M164" s="17">
        <v>1.4833299999999999E-3</v>
      </c>
      <c r="N164" s="18">
        <f t="shared" si="13"/>
        <v>1630.3390093086</v>
      </c>
      <c r="O164" s="15"/>
      <c r="P164" s="20">
        <f t="shared" si="14"/>
        <v>0</v>
      </c>
      <c r="Q164" s="15"/>
      <c r="R164" s="20">
        <f t="shared" si="15"/>
        <v>0</v>
      </c>
      <c r="S164" s="130"/>
      <c r="T164" s="20">
        <f t="shared" si="16"/>
        <v>2593.0920787062496</v>
      </c>
    </row>
    <row r="165" spans="1:20">
      <c r="A165" s="13" t="s">
        <v>21</v>
      </c>
      <c r="B165" s="14" t="s">
        <v>434</v>
      </c>
      <c r="C165" s="14" t="s">
        <v>435</v>
      </c>
      <c r="D165" s="13" t="s">
        <v>436</v>
      </c>
      <c r="E165" s="14" t="s">
        <v>93</v>
      </c>
      <c r="F165" s="13" t="s">
        <v>88</v>
      </c>
      <c r="G165" s="14" t="s">
        <v>20</v>
      </c>
      <c r="H165" s="14"/>
      <c r="I165" s="14">
        <v>201403</v>
      </c>
      <c r="J165" s="15">
        <v>47696.21</v>
      </c>
      <c r="K165" s="21">
        <f t="shared" si="17"/>
        <v>42675</v>
      </c>
      <c r="L165" s="16">
        <f t="shared" si="12"/>
        <v>6</v>
      </c>
      <c r="M165" s="17">
        <v>1.4833299999999999E-3</v>
      </c>
      <c r="N165" s="18">
        <f t="shared" si="13"/>
        <v>424.49531507580002</v>
      </c>
      <c r="O165" s="15"/>
      <c r="P165" s="20">
        <f t="shared" si="14"/>
        <v>0</v>
      </c>
      <c r="Q165" s="15"/>
      <c r="R165" s="20">
        <f t="shared" si="15"/>
        <v>0</v>
      </c>
      <c r="S165" s="130"/>
      <c r="T165" s="20">
        <f t="shared" si="16"/>
        <v>675.16966268124997</v>
      </c>
    </row>
    <row r="166" spans="1:20">
      <c r="A166" s="23" t="s">
        <v>29</v>
      </c>
      <c r="B166" s="14" t="s">
        <v>107</v>
      </c>
      <c r="C166" s="14" t="s">
        <v>108</v>
      </c>
      <c r="D166" s="13" t="s">
        <v>109</v>
      </c>
      <c r="E166" s="14" t="s">
        <v>110</v>
      </c>
      <c r="F166" s="13" t="s">
        <v>52</v>
      </c>
      <c r="G166" s="14" t="s">
        <v>20</v>
      </c>
      <c r="H166" s="14"/>
      <c r="I166" s="14">
        <v>201403</v>
      </c>
      <c r="J166" s="15">
        <v>31475.55</v>
      </c>
      <c r="K166" s="21">
        <f t="shared" si="17"/>
        <v>42675</v>
      </c>
      <c r="L166" s="16">
        <f t="shared" si="12"/>
        <v>6</v>
      </c>
      <c r="M166" s="17">
        <v>2.23333E-3</v>
      </c>
      <c r="N166" s="18">
        <f t="shared" si="13"/>
        <v>421.77174048899997</v>
      </c>
      <c r="O166" s="15"/>
      <c r="P166" s="20">
        <f t="shared" si="14"/>
        <v>0</v>
      </c>
      <c r="Q166" s="15"/>
      <c r="R166" s="20">
        <f t="shared" si="15"/>
        <v>0</v>
      </c>
      <c r="S166" s="130"/>
      <c r="T166" s="20">
        <f t="shared" si="16"/>
        <v>445.55608246874999</v>
      </c>
    </row>
    <row r="167" spans="1:20">
      <c r="A167" s="23" t="s">
        <v>29</v>
      </c>
      <c r="B167" s="14" t="s">
        <v>111</v>
      </c>
      <c r="C167" s="14" t="s">
        <v>112</v>
      </c>
      <c r="D167" s="13" t="s">
        <v>113</v>
      </c>
      <c r="E167" s="14" t="s">
        <v>114</v>
      </c>
      <c r="F167" s="13" t="s">
        <v>115</v>
      </c>
      <c r="G167" s="14" t="s">
        <v>20</v>
      </c>
      <c r="H167" s="14"/>
      <c r="I167" s="14">
        <v>201403</v>
      </c>
      <c r="J167" s="15">
        <v>9820.92</v>
      </c>
      <c r="K167" s="21">
        <f t="shared" si="17"/>
        <v>42675</v>
      </c>
      <c r="L167" s="16">
        <f t="shared" si="12"/>
        <v>6</v>
      </c>
      <c r="M167" s="17">
        <v>2.23333E-3</v>
      </c>
      <c r="N167" s="18">
        <f t="shared" si="13"/>
        <v>131.60013158159998</v>
      </c>
      <c r="O167" s="15"/>
      <c r="P167" s="20">
        <f t="shared" si="14"/>
        <v>0</v>
      </c>
      <c r="Q167" s="15"/>
      <c r="R167" s="20">
        <f t="shared" si="15"/>
        <v>0</v>
      </c>
      <c r="S167" s="130"/>
      <c r="T167" s="20">
        <f t="shared" si="16"/>
        <v>139.02126067500001</v>
      </c>
    </row>
    <row r="168" spans="1:20">
      <c r="A168" s="13" t="s">
        <v>21</v>
      </c>
      <c r="B168" s="14" t="s">
        <v>437</v>
      </c>
      <c r="C168" s="14" t="s">
        <v>438</v>
      </c>
      <c r="D168" s="13" t="s">
        <v>439</v>
      </c>
      <c r="E168" s="14" t="s">
        <v>172</v>
      </c>
      <c r="F168" s="13" t="s">
        <v>173</v>
      </c>
      <c r="G168" s="14" t="s">
        <v>20</v>
      </c>
      <c r="H168" s="14"/>
      <c r="I168" s="14">
        <v>201403</v>
      </c>
      <c r="J168" s="15">
        <v>2570.8200000000002</v>
      </c>
      <c r="K168" s="21">
        <f t="shared" si="17"/>
        <v>42675</v>
      </c>
      <c r="L168" s="16">
        <f t="shared" si="12"/>
        <v>6</v>
      </c>
      <c r="M168" s="17">
        <v>1.4833299999999999E-3</v>
      </c>
      <c r="N168" s="18">
        <f t="shared" si="13"/>
        <v>22.880246583600002</v>
      </c>
      <c r="O168" s="15"/>
      <c r="P168" s="20">
        <f t="shared" si="14"/>
        <v>0</v>
      </c>
      <c r="Q168" s="15"/>
      <c r="R168" s="20">
        <f t="shared" si="15"/>
        <v>0</v>
      </c>
      <c r="S168" s="130"/>
      <c r="T168" s="20">
        <f t="shared" si="16"/>
        <v>36.3915638625</v>
      </c>
    </row>
    <row r="169" spans="1:20">
      <c r="A169" s="13" t="s">
        <v>21</v>
      </c>
      <c r="B169" s="14" t="s">
        <v>440</v>
      </c>
      <c r="C169" s="14" t="s">
        <v>441</v>
      </c>
      <c r="D169" s="13" t="s">
        <v>442</v>
      </c>
      <c r="E169" s="14" t="s">
        <v>172</v>
      </c>
      <c r="F169" s="13" t="s">
        <v>173</v>
      </c>
      <c r="G169" s="14" t="s">
        <v>20</v>
      </c>
      <c r="H169" s="14"/>
      <c r="I169" s="14">
        <v>201403</v>
      </c>
      <c r="J169" s="15">
        <v>2998.27</v>
      </c>
      <c r="K169" s="21">
        <f t="shared" si="17"/>
        <v>42675</v>
      </c>
      <c r="L169" s="16">
        <f t="shared" si="12"/>
        <v>6</v>
      </c>
      <c r="M169" s="17">
        <v>1.4833299999999999E-3</v>
      </c>
      <c r="N169" s="18">
        <f t="shared" si="13"/>
        <v>26.684543034600001</v>
      </c>
      <c r="O169" s="15"/>
      <c r="P169" s="20">
        <f t="shared" si="14"/>
        <v>0</v>
      </c>
      <c r="Q169" s="15"/>
      <c r="R169" s="20">
        <f t="shared" si="15"/>
        <v>0</v>
      </c>
      <c r="S169" s="130"/>
      <c r="T169" s="20">
        <f t="shared" si="16"/>
        <v>42.44238576875</v>
      </c>
    </row>
    <row r="170" spans="1:20">
      <c r="A170" s="13" t="s">
        <v>21</v>
      </c>
      <c r="B170" s="14" t="s">
        <v>116</v>
      </c>
      <c r="C170" s="14" t="s">
        <v>117</v>
      </c>
      <c r="D170" s="13" t="s">
        <v>118</v>
      </c>
      <c r="E170" s="14" t="s">
        <v>119</v>
      </c>
      <c r="F170" s="13" t="s">
        <v>120</v>
      </c>
      <c r="G170" s="14" t="s">
        <v>20</v>
      </c>
      <c r="H170" s="14"/>
      <c r="I170" s="14">
        <v>201403</v>
      </c>
      <c r="J170" s="15">
        <v>72826.94</v>
      </c>
      <c r="K170" s="21">
        <f t="shared" si="17"/>
        <v>42675</v>
      </c>
      <c r="L170" s="16">
        <f t="shared" si="12"/>
        <v>6</v>
      </c>
      <c r="M170" s="17">
        <v>1.4833299999999999E-3</v>
      </c>
      <c r="N170" s="18">
        <f t="shared" si="13"/>
        <v>648.15830946120002</v>
      </c>
      <c r="O170" s="15"/>
      <c r="P170" s="20">
        <f t="shared" si="14"/>
        <v>0</v>
      </c>
      <c r="Q170" s="15"/>
      <c r="R170" s="20">
        <f t="shared" si="15"/>
        <v>0</v>
      </c>
      <c r="S170" s="130"/>
      <c r="T170" s="20">
        <f t="shared" si="16"/>
        <v>1030.9108525375</v>
      </c>
    </row>
    <row r="171" spans="1:20">
      <c r="A171" s="23" t="s">
        <v>29</v>
      </c>
      <c r="B171" s="14" t="s">
        <v>124</v>
      </c>
      <c r="C171" s="14" t="s">
        <v>125</v>
      </c>
      <c r="D171" s="13" t="s">
        <v>50</v>
      </c>
      <c r="E171" s="14" t="s">
        <v>126</v>
      </c>
      <c r="F171" s="13" t="s">
        <v>52</v>
      </c>
      <c r="G171" s="14" t="s">
        <v>20</v>
      </c>
      <c r="H171" s="14"/>
      <c r="I171" s="14">
        <v>201403</v>
      </c>
      <c r="J171" s="15">
        <v>8335.64</v>
      </c>
      <c r="K171" s="21">
        <f t="shared" si="17"/>
        <v>42675</v>
      </c>
      <c r="L171" s="16">
        <f t="shared" si="12"/>
        <v>6</v>
      </c>
      <c r="M171" s="17">
        <v>2.23333E-3</v>
      </c>
      <c r="N171" s="18">
        <f t="shared" si="13"/>
        <v>111.69740928719999</v>
      </c>
      <c r="O171" s="15"/>
      <c r="P171" s="20">
        <f t="shared" si="14"/>
        <v>0</v>
      </c>
      <c r="Q171" s="15"/>
      <c r="R171" s="20">
        <f t="shared" si="15"/>
        <v>0</v>
      </c>
      <c r="S171" s="130"/>
      <c r="T171" s="20">
        <f t="shared" si="16"/>
        <v>117.99619397499998</v>
      </c>
    </row>
    <row r="172" spans="1:20">
      <c r="A172" s="13" t="s">
        <v>21</v>
      </c>
      <c r="B172" s="14" t="s">
        <v>134</v>
      </c>
      <c r="C172" s="14" t="s">
        <v>135</v>
      </c>
      <c r="D172" s="13" t="s">
        <v>136</v>
      </c>
      <c r="E172" s="14" t="s">
        <v>137</v>
      </c>
      <c r="F172" s="13" t="s">
        <v>138</v>
      </c>
      <c r="G172" s="14" t="s">
        <v>20</v>
      </c>
      <c r="H172" s="14"/>
      <c r="I172" s="14">
        <v>201403</v>
      </c>
      <c r="J172" s="15">
        <v>24174.32</v>
      </c>
      <c r="K172" s="21">
        <f t="shared" si="17"/>
        <v>42675</v>
      </c>
      <c r="L172" s="16">
        <f t="shared" si="12"/>
        <v>6</v>
      </c>
      <c r="M172" s="17">
        <v>1.4833299999999999E-3</v>
      </c>
      <c r="N172" s="18">
        <f t="shared" si="13"/>
        <v>215.1509645136</v>
      </c>
      <c r="O172" s="15"/>
      <c r="P172" s="20">
        <f t="shared" si="14"/>
        <v>0</v>
      </c>
      <c r="Q172" s="15"/>
      <c r="R172" s="20">
        <f t="shared" si="15"/>
        <v>0</v>
      </c>
      <c r="S172" s="130"/>
      <c r="T172" s="20">
        <f t="shared" si="16"/>
        <v>342.20260854999998</v>
      </c>
    </row>
    <row r="173" spans="1:20">
      <c r="A173" s="13" t="s">
        <v>21</v>
      </c>
      <c r="B173" s="14" t="s">
        <v>157</v>
      </c>
      <c r="C173" s="14" t="s">
        <v>158</v>
      </c>
      <c r="D173" s="13" t="s">
        <v>159</v>
      </c>
      <c r="E173" s="14" t="s">
        <v>160</v>
      </c>
      <c r="F173" s="13" t="s">
        <v>19</v>
      </c>
      <c r="G173" s="14" t="s">
        <v>20</v>
      </c>
      <c r="H173" s="14"/>
      <c r="I173" s="14">
        <v>201403</v>
      </c>
      <c r="J173" s="15">
        <v>-574.61</v>
      </c>
      <c r="K173" s="21">
        <f t="shared" si="17"/>
        <v>42675</v>
      </c>
      <c r="L173" s="16">
        <f t="shared" si="12"/>
        <v>6</v>
      </c>
      <c r="M173" s="17">
        <v>1.4833299999999999E-3</v>
      </c>
      <c r="N173" s="18">
        <f t="shared" si="13"/>
        <v>-5.1140175077999999</v>
      </c>
      <c r="O173" s="15"/>
      <c r="P173" s="20">
        <f t="shared" si="14"/>
        <v>0</v>
      </c>
      <c r="Q173" s="15"/>
      <c r="R173" s="20">
        <f t="shared" si="15"/>
        <v>0</v>
      </c>
      <c r="S173" s="130"/>
      <c r="T173" s="20">
        <f t="shared" si="16"/>
        <v>-8.13396368125</v>
      </c>
    </row>
    <row r="174" spans="1:20">
      <c r="A174" s="13" t="s">
        <v>21</v>
      </c>
      <c r="B174" s="14" t="s">
        <v>376</v>
      </c>
      <c r="C174" s="14" t="s">
        <v>377</v>
      </c>
      <c r="D174" s="13" t="s">
        <v>378</v>
      </c>
      <c r="E174" s="14" t="s">
        <v>156</v>
      </c>
      <c r="F174" s="13" t="s">
        <v>26</v>
      </c>
      <c r="G174" s="14" t="s">
        <v>20</v>
      </c>
      <c r="H174" s="14"/>
      <c r="I174" s="14">
        <v>201403</v>
      </c>
      <c r="J174" s="15">
        <v>15655.25</v>
      </c>
      <c r="K174" s="21">
        <f t="shared" si="17"/>
        <v>42675</v>
      </c>
      <c r="L174" s="16">
        <f t="shared" si="12"/>
        <v>6</v>
      </c>
      <c r="M174" s="17">
        <v>1.4833299999999999E-3</v>
      </c>
      <c r="N174" s="18">
        <f t="shared" si="13"/>
        <v>139.331411895</v>
      </c>
      <c r="O174" s="15"/>
      <c r="P174" s="20">
        <f t="shared" si="14"/>
        <v>0</v>
      </c>
      <c r="Q174" s="15"/>
      <c r="R174" s="20">
        <f t="shared" si="15"/>
        <v>0</v>
      </c>
      <c r="S174" s="130"/>
      <c r="T174" s="20">
        <f t="shared" si="16"/>
        <v>221.60984828124998</v>
      </c>
    </row>
    <row r="175" spans="1:20">
      <c r="A175" s="13" t="s">
        <v>21</v>
      </c>
      <c r="B175" s="14" t="s">
        <v>161</v>
      </c>
      <c r="C175" s="14" t="s">
        <v>162</v>
      </c>
      <c r="D175" s="13" t="s">
        <v>163</v>
      </c>
      <c r="E175" s="14" t="s">
        <v>164</v>
      </c>
      <c r="F175" s="13" t="s">
        <v>165</v>
      </c>
      <c r="G175" s="14" t="s">
        <v>20</v>
      </c>
      <c r="H175" s="14"/>
      <c r="I175" s="14">
        <v>201403</v>
      </c>
      <c r="J175" s="15">
        <v>11289.59</v>
      </c>
      <c r="K175" s="21">
        <f t="shared" si="17"/>
        <v>42675</v>
      </c>
      <c r="L175" s="16">
        <f t="shared" si="12"/>
        <v>6</v>
      </c>
      <c r="M175" s="17">
        <v>1.4833299999999999E-3</v>
      </c>
      <c r="N175" s="18">
        <f t="shared" si="13"/>
        <v>100.47712520820001</v>
      </c>
      <c r="O175" s="15"/>
      <c r="P175" s="20">
        <f t="shared" si="14"/>
        <v>0</v>
      </c>
      <c r="Q175" s="15"/>
      <c r="R175" s="20">
        <f t="shared" si="15"/>
        <v>0</v>
      </c>
      <c r="S175" s="130"/>
      <c r="T175" s="20">
        <f t="shared" si="16"/>
        <v>159.81120244375001</v>
      </c>
    </row>
    <row r="176" spans="1:20">
      <c r="A176" s="13" t="s">
        <v>21</v>
      </c>
      <c r="B176" s="14" t="s">
        <v>379</v>
      </c>
      <c r="C176" s="14" t="s">
        <v>380</v>
      </c>
      <c r="D176" s="13" t="s">
        <v>381</v>
      </c>
      <c r="E176" s="14" t="s">
        <v>164</v>
      </c>
      <c r="F176" s="13" t="s">
        <v>165</v>
      </c>
      <c r="G176" s="14" t="s">
        <v>20</v>
      </c>
      <c r="H176" s="14"/>
      <c r="I176" s="14">
        <v>201403</v>
      </c>
      <c r="J176" s="15">
        <v>13624.35</v>
      </c>
      <c r="K176" s="21">
        <f t="shared" si="17"/>
        <v>42675</v>
      </c>
      <c r="L176" s="16">
        <f t="shared" si="12"/>
        <v>6</v>
      </c>
      <c r="M176" s="17">
        <v>1.4833299999999999E-3</v>
      </c>
      <c r="N176" s="18">
        <f t="shared" si="13"/>
        <v>121.25644251300001</v>
      </c>
      <c r="O176" s="15"/>
      <c r="P176" s="20">
        <f t="shared" si="14"/>
        <v>0</v>
      </c>
      <c r="Q176" s="15"/>
      <c r="R176" s="20">
        <f t="shared" si="15"/>
        <v>0</v>
      </c>
      <c r="S176" s="130"/>
      <c r="T176" s="20">
        <f t="shared" si="16"/>
        <v>192.86118946875001</v>
      </c>
    </row>
    <row r="177" spans="1:20">
      <c r="A177" s="13" t="s">
        <v>21</v>
      </c>
      <c r="B177" s="14" t="s">
        <v>382</v>
      </c>
      <c r="C177" s="14" t="s">
        <v>383</v>
      </c>
      <c r="D177" s="13" t="s">
        <v>384</v>
      </c>
      <c r="E177" s="14" t="s">
        <v>93</v>
      </c>
      <c r="F177" s="13" t="s">
        <v>88</v>
      </c>
      <c r="G177" s="14" t="s">
        <v>20</v>
      </c>
      <c r="H177" s="14"/>
      <c r="I177" s="14">
        <v>201403</v>
      </c>
      <c r="J177" s="15">
        <v>707.66</v>
      </c>
      <c r="K177" s="21">
        <f t="shared" si="17"/>
        <v>42675</v>
      </c>
      <c r="L177" s="16">
        <f t="shared" si="12"/>
        <v>6</v>
      </c>
      <c r="M177" s="17">
        <v>1.4833299999999999E-3</v>
      </c>
      <c r="N177" s="18">
        <f t="shared" si="13"/>
        <v>6.2981598468</v>
      </c>
      <c r="O177" s="15"/>
      <c r="P177" s="20">
        <f t="shared" si="14"/>
        <v>0</v>
      </c>
      <c r="Q177" s="15"/>
      <c r="R177" s="20">
        <f t="shared" si="15"/>
        <v>0</v>
      </c>
      <c r="S177" s="130"/>
      <c r="T177" s="20">
        <f t="shared" si="16"/>
        <v>10.017369587499999</v>
      </c>
    </row>
    <row r="178" spans="1:20">
      <c r="A178" s="13" t="s">
        <v>21</v>
      </c>
      <c r="B178" s="14" t="s">
        <v>443</v>
      </c>
      <c r="C178" s="14" t="s">
        <v>444</v>
      </c>
      <c r="D178" s="13" t="s">
        <v>445</v>
      </c>
      <c r="E178" s="14" t="s">
        <v>25</v>
      </c>
      <c r="F178" s="13" t="s">
        <v>26</v>
      </c>
      <c r="G178" s="14" t="s">
        <v>20</v>
      </c>
      <c r="H178" s="14"/>
      <c r="I178" s="14">
        <v>201403</v>
      </c>
      <c r="J178" s="15">
        <v>10606</v>
      </c>
      <c r="K178" s="21">
        <f t="shared" si="17"/>
        <v>42675</v>
      </c>
      <c r="L178" s="16">
        <f t="shared" si="12"/>
        <v>6</v>
      </c>
      <c r="M178" s="17">
        <v>1.4833299999999999E-3</v>
      </c>
      <c r="N178" s="18">
        <f t="shared" si="13"/>
        <v>94.393187879999999</v>
      </c>
      <c r="O178" s="15"/>
      <c r="P178" s="20">
        <f t="shared" si="14"/>
        <v>0</v>
      </c>
      <c r="Q178" s="15"/>
      <c r="R178" s="20">
        <f t="shared" si="15"/>
        <v>0</v>
      </c>
      <c r="S178" s="130"/>
      <c r="T178" s="20">
        <f t="shared" si="16"/>
        <v>150.13455875</v>
      </c>
    </row>
    <row r="179" spans="1:20">
      <c r="A179" s="13" t="s">
        <v>21</v>
      </c>
      <c r="B179" s="14" t="s">
        <v>446</v>
      </c>
      <c r="C179" s="14" t="s">
        <v>447</v>
      </c>
      <c r="D179" s="13" t="s">
        <v>448</v>
      </c>
      <c r="E179" s="14" t="s">
        <v>63</v>
      </c>
      <c r="F179" s="13" t="s">
        <v>19</v>
      </c>
      <c r="G179" s="14" t="s">
        <v>20</v>
      </c>
      <c r="H179" s="14"/>
      <c r="I179" s="14">
        <v>201403</v>
      </c>
      <c r="J179" s="15">
        <v>8686</v>
      </c>
      <c r="K179" s="21">
        <f t="shared" si="17"/>
        <v>42675</v>
      </c>
      <c r="L179" s="16">
        <f t="shared" si="12"/>
        <v>6</v>
      </c>
      <c r="M179" s="17">
        <v>1.4833299999999999E-3</v>
      </c>
      <c r="N179" s="18">
        <f t="shared" si="13"/>
        <v>77.305226279999999</v>
      </c>
      <c r="O179" s="15"/>
      <c r="P179" s="20">
        <f t="shared" si="14"/>
        <v>0</v>
      </c>
      <c r="Q179" s="15"/>
      <c r="R179" s="20">
        <f t="shared" si="15"/>
        <v>0</v>
      </c>
      <c r="S179" s="130"/>
      <c r="T179" s="20">
        <f t="shared" si="16"/>
        <v>122.95575875</v>
      </c>
    </row>
    <row r="180" spans="1:20">
      <c r="A180" s="13" t="s">
        <v>21</v>
      </c>
      <c r="B180" s="14" t="s">
        <v>177</v>
      </c>
      <c r="C180" s="14" t="s">
        <v>178</v>
      </c>
      <c r="D180" s="13" t="s">
        <v>179</v>
      </c>
      <c r="E180" s="14" t="s">
        <v>172</v>
      </c>
      <c r="F180" s="13" t="s">
        <v>173</v>
      </c>
      <c r="G180" s="14" t="s">
        <v>20</v>
      </c>
      <c r="H180" s="14"/>
      <c r="I180" s="14">
        <v>201403</v>
      </c>
      <c r="J180" s="15">
        <v>537.07000000000005</v>
      </c>
      <c r="K180" s="21">
        <f t="shared" si="17"/>
        <v>42675</v>
      </c>
      <c r="L180" s="16">
        <f t="shared" si="12"/>
        <v>6</v>
      </c>
      <c r="M180" s="17">
        <v>1.4833299999999999E-3</v>
      </c>
      <c r="N180" s="18">
        <f t="shared" si="13"/>
        <v>4.7799122586000005</v>
      </c>
      <c r="O180" s="15"/>
      <c r="P180" s="20">
        <f t="shared" si="14"/>
        <v>0</v>
      </c>
      <c r="Q180" s="15"/>
      <c r="R180" s="20">
        <f t="shared" si="15"/>
        <v>0</v>
      </c>
      <c r="S180" s="130"/>
      <c r="T180" s="20">
        <f t="shared" si="16"/>
        <v>7.6025615187500009</v>
      </c>
    </row>
    <row r="181" spans="1:20">
      <c r="A181" s="13" t="s">
        <v>127</v>
      </c>
      <c r="B181" s="14" t="s">
        <v>388</v>
      </c>
      <c r="C181" s="14" t="s">
        <v>389</v>
      </c>
      <c r="D181" s="13" t="s">
        <v>390</v>
      </c>
      <c r="E181" s="14" t="s">
        <v>131</v>
      </c>
      <c r="F181" s="13" t="s">
        <v>132</v>
      </c>
      <c r="G181" s="14" t="s">
        <v>20</v>
      </c>
      <c r="H181" s="14"/>
      <c r="I181" s="14">
        <v>201403</v>
      </c>
      <c r="J181" s="15">
        <v>-24174.32</v>
      </c>
      <c r="K181" s="21">
        <f t="shared" si="17"/>
        <v>42675</v>
      </c>
      <c r="L181" s="16">
        <f t="shared" si="12"/>
        <v>6</v>
      </c>
      <c r="M181" s="17">
        <v>2.3833299999999999E-3</v>
      </c>
      <c r="N181" s="18">
        <f t="shared" si="13"/>
        <v>-345.69229251360002</v>
      </c>
      <c r="O181" s="15"/>
      <c r="P181" s="20">
        <f t="shared" si="14"/>
        <v>0</v>
      </c>
      <c r="Q181" s="15"/>
      <c r="R181" s="20">
        <f t="shared" si="15"/>
        <v>0</v>
      </c>
      <c r="S181" s="130"/>
      <c r="T181" s="20">
        <f t="shared" si="16"/>
        <v>-342.20260854999998</v>
      </c>
    </row>
    <row r="182" spans="1:20">
      <c r="A182" s="23" t="s">
        <v>29</v>
      </c>
      <c r="B182" s="14" t="s">
        <v>183</v>
      </c>
      <c r="C182" s="14" t="s">
        <v>184</v>
      </c>
      <c r="D182" s="13" t="s">
        <v>45</v>
      </c>
      <c r="E182" s="14" t="s">
        <v>185</v>
      </c>
      <c r="F182" s="13" t="s">
        <v>41</v>
      </c>
      <c r="G182" s="14" t="s">
        <v>20</v>
      </c>
      <c r="H182" s="14"/>
      <c r="I182" s="14">
        <v>201403</v>
      </c>
      <c r="J182" s="15">
        <v>23129.82</v>
      </c>
      <c r="K182" s="21">
        <f t="shared" si="17"/>
        <v>42675</v>
      </c>
      <c r="L182" s="16">
        <f t="shared" si="12"/>
        <v>6</v>
      </c>
      <c r="M182" s="17">
        <v>2.23333E-3</v>
      </c>
      <c r="N182" s="18">
        <f t="shared" si="13"/>
        <v>309.93912540359997</v>
      </c>
      <c r="O182" s="15"/>
      <c r="P182" s="20">
        <f t="shared" si="14"/>
        <v>0</v>
      </c>
      <c r="Q182" s="15"/>
      <c r="R182" s="20">
        <f t="shared" si="15"/>
        <v>0</v>
      </c>
      <c r="S182" s="130"/>
      <c r="T182" s="20">
        <f t="shared" si="16"/>
        <v>327.41705823749993</v>
      </c>
    </row>
    <row r="183" spans="1:20">
      <c r="A183" s="23" t="s">
        <v>29</v>
      </c>
      <c r="B183" s="14" t="s">
        <v>186</v>
      </c>
      <c r="C183" s="14" t="s">
        <v>187</v>
      </c>
      <c r="D183" s="13" t="s">
        <v>188</v>
      </c>
      <c r="E183" s="14" t="s">
        <v>189</v>
      </c>
      <c r="F183" s="13" t="s">
        <v>190</v>
      </c>
      <c r="G183" s="14" t="s">
        <v>20</v>
      </c>
      <c r="H183" s="14"/>
      <c r="I183" s="14">
        <v>201403</v>
      </c>
      <c r="J183" s="15">
        <v>4029.43</v>
      </c>
      <c r="K183" s="21">
        <f t="shared" si="17"/>
        <v>42675</v>
      </c>
      <c r="L183" s="16">
        <f t="shared" si="12"/>
        <v>6</v>
      </c>
      <c r="M183" s="17">
        <v>2.23333E-3</v>
      </c>
      <c r="N183" s="18">
        <f t="shared" si="13"/>
        <v>53.994281411399996</v>
      </c>
      <c r="O183" s="15"/>
      <c r="P183" s="20">
        <f t="shared" si="14"/>
        <v>0</v>
      </c>
      <c r="Q183" s="15"/>
      <c r="R183" s="20">
        <f t="shared" si="15"/>
        <v>0</v>
      </c>
      <c r="S183" s="130"/>
      <c r="T183" s="20">
        <f t="shared" si="16"/>
        <v>57.039100043749997</v>
      </c>
    </row>
    <row r="184" spans="1:20">
      <c r="A184" s="23" t="s">
        <v>29</v>
      </c>
      <c r="B184" s="14" t="s">
        <v>191</v>
      </c>
      <c r="C184" s="14" t="s">
        <v>192</v>
      </c>
      <c r="D184" s="13" t="s">
        <v>193</v>
      </c>
      <c r="E184" s="14" t="s">
        <v>194</v>
      </c>
      <c r="F184" s="13" t="s">
        <v>115</v>
      </c>
      <c r="G184" s="14" t="s">
        <v>20</v>
      </c>
      <c r="H184" s="14"/>
      <c r="I184" s="14">
        <v>201403</v>
      </c>
      <c r="J184" s="15">
        <v>3781.43</v>
      </c>
      <c r="K184" s="21">
        <f t="shared" si="17"/>
        <v>42675</v>
      </c>
      <c r="L184" s="16">
        <f t="shared" si="12"/>
        <v>6</v>
      </c>
      <c r="M184" s="17">
        <v>2.23333E-3</v>
      </c>
      <c r="N184" s="18">
        <f t="shared" si="13"/>
        <v>50.671086371399994</v>
      </c>
      <c r="O184" s="15"/>
      <c r="P184" s="20">
        <f t="shared" si="14"/>
        <v>0</v>
      </c>
      <c r="Q184" s="15"/>
      <c r="R184" s="20">
        <f t="shared" si="15"/>
        <v>0</v>
      </c>
      <c r="S184" s="130"/>
      <c r="T184" s="20">
        <f t="shared" si="16"/>
        <v>53.528505043749995</v>
      </c>
    </row>
    <row r="185" spans="1:20">
      <c r="A185" s="23" t="s">
        <v>29</v>
      </c>
      <c r="B185" s="14" t="s">
        <v>195</v>
      </c>
      <c r="C185" s="14" t="s">
        <v>196</v>
      </c>
      <c r="D185" s="13" t="s">
        <v>197</v>
      </c>
      <c r="E185" s="14" t="s">
        <v>198</v>
      </c>
      <c r="F185" s="13" t="s">
        <v>199</v>
      </c>
      <c r="G185" s="14" t="s">
        <v>20</v>
      </c>
      <c r="H185" s="14"/>
      <c r="I185" s="14">
        <v>201403</v>
      </c>
      <c r="J185" s="15">
        <v>64690.63</v>
      </c>
      <c r="K185" s="21">
        <f t="shared" si="17"/>
        <v>42675</v>
      </c>
      <c r="L185" s="16">
        <f t="shared" si="12"/>
        <v>6</v>
      </c>
      <c r="M185" s="17">
        <v>2.23333E-3</v>
      </c>
      <c r="N185" s="18">
        <f t="shared" si="13"/>
        <v>866.85314818739994</v>
      </c>
      <c r="O185" s="15"/>
      <c r="P185" s="20">
        <f t="shared" si="14"/>
        <v>0</v>
      </c>
      <c r="Q185" s="15"/>
      <c r="R185" s="20">
        <f t="shared" si="15"/>
        <v>0</v>
      </c>
      <c r="S185" s="130"/>
      <c r="T185" s="20">
        <f t="shared" si="16"/>
        <v>915.73629929374999</v>
      </c>
    </row>
    <row r="186" spans="1:20">
      <c r="A186" s="23" t="s">
        <v>29</v>
      </c>
      <c r="B186" s="14" t="s">
        <v>200</v>
      </c>
      <c r="C186" s="14" t="s">
        <v>201</v>
      </c>
      <c r="D186" s="13" t="s">
        <v>197</v>
      </c>
      <c r="E186" s="14" t="s">
        <v>202</v>
      </c>
      <c r="F186" s="13" t="s">
        <v>199</v>
      </c>
      <c r="G186" s="14" t="s">
        <v>20</v>
      </c>
      <c r="H186" s="14"/>
      <c r="I186" s="14">
        <v>201403</v>
      </c>
      <c r="J186" s="15">
        <v>62559.26</v>
      </c>
      <c r="K186" s="21">
        <f t="shared" si="17"/>
        <v>42675</v>
      </c>
      <c r="L186" s="16">
        <f t="shared" si="12"/>
        <v>6</v>
      </c>
      <c r="M186" s="17">
        <v>2.23333E-3</v>
      </c>
      <c r="N186" s="18">
        <f t="shared" si="13"/>
        <v>838.29283281479991</v>
      </c>
      <c r="O186" s="15"/>
      <c r="P186" s="20">
        <f t="shared" si="14"/>
        <v>0</v>
      </c>
      <c r="Q186" s="15"/>
      <c r="R186" s="20">
        <f t="shared" si="15"/>
        <v>0</v>
      </c>
      <c r="S186" s="130"/>
      <c r="T186" s="20">
        <f t="shared" si="16"/>
        <v>885.5654248374999</v>
      </c>
    </row>
    <row r="187" spans="1:20">
      <c r="A187" s="13" t="s">
        <v>21</v>
      </c>
      <c r="B187" s="14" t="s">
        <v>449</v>
      </c>
      <c r="C187" s="14" t="s">
        <v>450</v>
      </c>
      <c r="D187" s="13" t="s">
        <v>451</v>
      </c>
      <c r="E187" s="14" t="s">
        <v>452</v>
      </c>
      <c r="F187" s="13" t="s">
        <v>398</v>
      </c>
      <c r="G187" s="14" t="s">
        <v>20</v>
      </c>
      <c r="H187" s="14"/>
      <c r="I187" s="14">
        <v>201403</v>
      </c>
      <c r="J187" s="15">
        <v>2224.0300000000002</v>
      </c>
      <c r="K187" s="21">
        <f t="shared" si="17"/>
        <v>42675</v>
      </c>
      <c r="L187" s="16">
        <f t="shared" si="12"/>
        <v>6</v>
      </c>
      <c r="M187" s="17">
        <v>1.4833299999999999E-3</v>
      </c>
      <c r="N187" s="18">
        <f t="shared" si="13"/>
        <v>19.793822519400003</v>
      </c>
      <c r="O187" s="15"/>
      <c r="P187" s="20">
        <f t="shared" si="14"/>
        <v>0</v>
      </c>
      <c r="Q187" s="15"/>
      <c r="R187" s="20">
        <f t="shared" si="15"/>
        <v>0</v>
      </c>
      <c r="S187" s="130"/>
      <c r="T187" s="20">
        <f t="shared" si="16"/>
        <v>31.482534668750002</v>
      </c>
    </row>
    <row r="188" spans="1:20">
      <c r="A188" s="13" t="s">
        <v>21</v>
      </c>
      <c r="B188" s="14" t="s">
        <v>453</v>
      </c>
      <c r="C188" s="14" t="s">
        <v>454</v>
      </c>
      <c r="D188" s="13" t="s">
        <v>455</v>
      </c>
      <c r="E188" s="14" t="s">
        <v>75</v>
      </c>
      <c r="F188" s="13" t="s">
        <v>26</v>
      </c>
      <c r="G188" s="14" t="s">
        <v>20</v>
      </c>
      <c r="H188" s="14"/>
      <c r="I188" s="14">
        <v>201403</v>
      </c>
      <c r="J188" s="15">
        <v>15400.22</v>
      </c>
      <c r="K188" s="21">
        <f t="shared" si="17"/>
        <v>42675</v>
      </c>
      <c r="L188" s="16">
        <f t="shared" si="12"/>
        <v>6</v>
      </c>
      <c r="M188" s="17">
        <v>1.4833299999999999E-3</v>
      </c>
      <c r="N188" s="18">
        <f t="shared" si="13"/>
        <v>137.06164999559999</v>
      </c>
      <c r="O188" s="15"/>
      <c r="P188" s="20">
        <f t="shared" si="14"/>
        <v>0</v>
      </c>
      <c r="Q188" s="15"/>
      <c r="R188" s="20">
        <f t="shared" si="15"/>
        <v>0</v>
      </c>
      <c r="S188" s="130"/>
      <c r="T188" s="20">
        <f t="shared" si="16"/>
        <v>217.99973923749997</v>
      </c>
    </row>
    <row r="189" spans="1:20">
      <c r="A189" s="13" t="s">
        <v>21</v>
      </c>
      <c r="B189" s="14" t="s">
        <v>456</v>
      </c>
      <c r="C189" s="14" t="s">
        <v>457</v>
      </c>
      <c r="D189" s="13" t="s">
        <v>458</v>
      </c>
      <c r="E189" s="14" t="s">
        <v>164</v>
      </c>
      <c r="F189" s="13" t="s">
        <v>165</v>
      </c>
      <c r="G189" s="14" t="s">
        <v>20</v>
      </c>
      <c r="H189" s="14"/>
      <c r="I189" s="14">
        <v>201403</v>
      </c>
      <c r="J189" s="15">
        <v>44153.24</v>
      </c>
      <c r="K189" s="21">
        <f t="shared" si="17"/>
        <v>42675</v>
      </c>
      <c r="L189" s="16">
        <f t="shared" si="12"/>
        <v>6</v>
      </c>
      <c r="M189" s="17">
        <v>1.4833299999999999E-3</v>
      </c>
      <c r="N189" s="18">
        <f t="shared" si="13"/>
        <v>392.96295293520001</v>
      </c>
      <c r="O189" s="15"/>
      <c r="P189" s="20">
        <f t="shared" si="14"/>
        <v>0</v>
      </c>
      <c r="Q189" s="15"/>
      <c r="R189" s="20">
        <f t="shared" si="15"/>
        <v>0</v>
      </c>
      <c r="S189" s="130"/>
      <c r="T189" s="20">
        <f t="shared" si="16"/>
        <v>625.01670797499992</v>
      </c>
    </row>
    <row r="190" spans="1:20">
      <c r="A190" s="13" t="s">
        <v>21</v>
      </c>
      <c r="B190" s="14" t="s">
        <v>459</v>
      </c>
      <c r="C190" s="14" t="s">
        <v>460</v>
      </c>
      <c r="D190" s="13" t="s">
        <v>461</v>
      </c>
      <c r="E190" s="14" t="s">
        <v>160</v>
      </c>
      <c r="F190" s="13" t="s">
        <v>19</v>
      </c>
      <c r="G190" s="14" t="s">
        <v>20</v>
      </c>
      <c r="H190" s="14"/>
      <c r="I190" s="14">
        <v>201403</v>
      </c>
      <c r="J190" s="15">
        <v>27597.82</v>
      </c>
      <c r="K190" s="21">
        <f t="shared" si="17"/>
        <v>42675</v>
      </c>
      <c r="L190" s="16">
        <f t="shared" si="12"/>
        <v>6</v>
      </c>
      <c r="M190" s="17">
        <v>1.4833299999999999E-3</v>
      </c>
      <c r="N190" s="18">
        <f t="shared" si="13"/>
        <v>245.62004604360001</v>
      </c>
      <c r="O190" s="15"/>
      <c r="P190" s="20">
        <f t="shared" si="14"/>
        <v>0</v>
      </c>
      <c r="Q190" s="15"/>
      <c r="R190" s="20">
        <f t="shared" si="15"/>
        <v>0</v>
      </c>
      <c r="S190" s="130"/>
      <c r="T190" s="20">
        <f t="shared" si="16"/>
        <v>390.66439073749996</v>
      </c>
    </row>
    <row r="191" spans="1:20">
      <c r="A191" s="13" t="s">
        <v>21</v>
      </c>
      <c r="B191" s="14" t="s">
        <v>462</v>
      </c>
      <c r="C191" s="14" t="s">
        <v>463</v>
      </c>
      <c r="D191" s="13" t="s">
        <v>464</v>
      </c>
      <c r="E191" s="14" t="s">
        <v>280</v>
      </c>
      <c r="F191" s="13" t="s">
        <v>26</v>
      </c>
      <c r="G191" s="14" t="s">
        <v>20</v>
      </c>
      <c r="H191" s="14"/>
      <c r="I191" s="14">
        <v>201403</v>
      </c>
      <c r="J191" s="15">
        <v>13896.28</v>
      </c>
      <c r="K191" s="21">
        <f t="shared" si="17"/>
        <v>42675</v>
      </c>
      <c r="L191" s="16">
        <f t="shared" si="12"/>
        <v>6</v>
      </c>
      <c r="M191" s="17">
        <v>1.4833299999999999E-3</v>
      </c>
      <c r="N191" s="18">
        <f t="shared" si="13"/>
        <v>123.67661407440001</v>
      </c>
      <c r="O191" s="15"/>
      <c r="P191" s="20">
        <f t="shared" si="14"/>
        <v>0</v>
      </c>
      <c r="Q191" s="15"/>
      <c r="R191" s="20">
        <f t="shared" si="15"/>
        <v>0</v>
      </c>
      <c r="S191" s="130"/>
      <c r="T191" s="20">
        <f t="shared" si="16"/>
        <v>196.71052857499998</v>
      </c>
    </row>
    <row r="192" spans="1:20">
      <c r="A192" s="13" t="s">
        <v>21</v>
      </c>
      <c r="B192" s="14" t="s">
        <v>465</v>
      </c>
      <c r="C192" s="14" t="s">
        <v>466</v>
      </c>
      <c r="D192" s="13" t="s">
        <v>467</v>
      </c>
      <c r="E192" s="14" t="s">
        <v>75</v>
      </c>
      <c r="F192" s="13" t="s">
        <v>26</v>
      </c>
      <c r="G192" s="14" t="s">
        <v>20</v>
      </c>
      <c r="H192" s="14"/>
      <c r="I192" s="14">
        <v>201403</v>
      </c>
      <c r="J192" s="15">
        <v>2936.49</v>
      </c>
      <c r="K192" s="21">
        <f t="shared" si="17"/>
        <v>42675</v>
      </c>
      <c r="L192" s="16">
        <f t="shared" si="12"/>
        <v>6</v>
      </c>
      <c r="M192" s="17">
        <v>1.4833299999999999E-3</v>
      </c>
      <c r="N192" s="18">
        <f t="shared" si="13"/>
        <v>26.134702270199998</v>
      </c>
      <c r="O192" s="15"/>
      <c r="P192" s="20">
        <f t="shared" si="14"/>
        <v>0</v>
      </c>
      <c r="Q192" s="15"/>
      <c r="R192" s="20">
        <f t="shared" si="15"/>
        <v>0</v>
      </c>
      <c r="S192" s="130"/>
      <c r="T192" s="20">
        <f t="shared" si="16"/>
        <v>41.567851256249995</v>
      </c>
    </row>
    <row r="193" spans="1:20">
      <c r="A193" s="13" t="s">
        <v>21</v>
      </c>
      <c r="B193" s="14" t="s">
        <v>391</v>
      </c>
      <c r="C193" s="14" t="s">
        <v>392</v>
      </c>
      <c r="D193" s="13" t="s">
        <v>393</v>
      </c>
      <c r="E193" s="14" t="s">
        <v>156</v>
      </c>
      <c r="F193" s="13" t="s">
        <v>26</v>
      </c>
      <c r="G193" s="14" t="s">
        <v>20</v>
      </c>
      <c r="H193" s="14"/>
      <c r="I193" s="14">
        <v>201403</v>
      </c>
      <c r="J193" s="15">
        <v>15010.99</v>
      </c>
      <c r="K193" s="21">
        <f t="shared" si="17"/>
        <v>42675</v>
      </c>
      <c r="L193" s="16">
        <f t="shared" si="12"/>
        <v>6</v>
      </c>
      <c r="M193" s="17">
        <v>1.4833299999999999E-3</v>
      </c>
      <c r="N193" s="18">
        <f t="shared" si="13"/>
        <v>133.5975107802</v>
      </c>
      <c r="O193" s="15"/>
      <c r="P193" s="20">
        <f t="shared" si="14"/>
        <v>0</v>
      </c>
      <c r="Q193" s="15"/>
      <c r="R193" s="20">
        <f t="shared" si="15"/>
        <v>0</v>
      </c>
      <c r="S193" s="130"/>
      <c r="T193" s="20">
        <f t="shared" si="16"/>
        <v>212.48994531874999</v>
      </c>
    </row>
    <row r="194" spans="1:20">
      <c r="A194" s="13" t="s">
        <v>21</v>
      </c>
      <c r="B194" s="14" t="s">
        <v>468</v>
      </c>
      <c r="C194" s="14" t="s">
        <v>469</v>
      </c>
      <c r="D194" s="13" t="s">
        <v>470</v>
      </c>
      <c r="E194" s="14" t="s">
        <v>471</v>
      </c>
      <c r="F194" s="13" t="s">
        <v>165</v>
      </c>
      <c r="G194" s="14" t="s">
        <v>20</v>
      </c>
      <c r="H194" s="14"/>
      <c r="I194" s="14">
        <v>201403</v>
      </c>
      <c r="J194" s="15">
        <v>25484.639999999999</v>
      </c>
      <c r="K194" s="21">
        <f t="shared" si="17"/>
        <v>42675</v>
      </c>
      <c r="L194" s="16">
        <f t="shared" si="12"/>
        <v>6</v>
      </c>
      <c r="M194" s="17">
        <v>1.4833299999999999E-3</v>
      </c>
      <c r="N194" s="18">
        <f t="shared" si="13"/>
        <v>226.81278630719999</v>
      </c>
      <c r="O194" s="15"/>
      <c r="P194" s="20">
        <f t="shared" si="14"/>
        <v>0</v>
      </c>
      <c r="Q194" s="15"/>
      <c r="R194" s="20">
        <f t="shared" si="15"/>
        <v>0</v>
      </c>
      <c r="S194" s="130"/>
      <c r="T194" s="20">
        <f t="shared" si="16"/>
        <v>360.75100709999998</v>
      </c>
    </row>
    <row r="195" spans="1:20">
      <c r="A195" s="13" t="s">
        <v>21</v>
      </c>
      <c r="B195" s="14" t="s">
        <v>472</v>
      </c>
      <c r="C195" s="14" t="s">
        <v>473</v>
      </c>
      <c r="D195" s="13" t="s">
        <v>474</v>
      </c>
      <c r="E195" s="14" t="s">
        <v>87</v>
      </c>
      <c r="F195" s="13" t="s">
        <v>88</v>
      </c>
      <c r="G195" s="14" t="s">
        <v>20</v>
      </c>
      <c r="H195" s="14"/>
      <c r="I195" s="14">
        <v>201403</v>
      </c>
      <c r="J195" s="15">
        <v>11494.2</v>
      </c>
      <c r="K195" s="21">
        <f t="shared" si="17"/>
        <v>42675</v>
      </c>
      <c r="L195" s="16">
        <f t="shared" si="12"/>
        <v>6</v>
      </c>
      <c r="M195" s="17">
        <v>1.4833299999999999E-3</v>
      </c>
      <c r="N195" s="18">
        <f t="shared" si="13"/>
        <v>102.298150116</v>
      </c>
      <c r="O195" s="15"/>
      <c r="P195" s="20">
        <f t="shared" si="14"/>
        <v>0</v>
      </c>
      <c r="Q195" s="15"/>
      <c r="R195" s="20">
        <f t="shared" si="15"/>
        <v>0</v>
      </c>
      <c r="S195" s="130"/>
      <c r="T195" s="20">
        <f t="shared" si="16"/>
        <v>162.70758487500001</v>
      </c>
    </row>
    <row r="196" spans="1:20">
      <c r="A196" s="13" t="s">
        <v>21</v>
      </c>
      <c r="B196" s="14" t="s">
        <v>475</v>
      </c>
      <c r="C196" s="14" t="s">
        <v>476</v>
      </c>
      <c r="D196" s="13" t="s">
        <v>477</v>
      </c>
      <c r="E196" s="14" t="s">
        <v>360</v>
      </c>
      <c r="F196" s="13" t="s">
        <v>19</v>
      </c>
      <c r="G196" s="14" t="s">
        <v>20</v>
      </c>
      <c r="H196" s="14"/>
      <c r="I196" s="14">
        <v>201403</v>
      </c>
      <c r="J196" s="15">
        <v>3115.43</v>
      </c>
      <c r="K196" s="21">
        <f t="shared" si="17"/>
        <v>42675</v>
      </c>
      <c r="L196" s="16">
        <f t="shared" si="12"/>
        <v>6</v>
      </c>
      <c r="M196" s="17">
        <v>1.4833299999999999E-3</v>
      </c>
      <c r="N196" s="18">
        <f t="shared" si="13"/>
        <v>27.727264691399998</v>
      </c>
      <c r="O196" s="15"/>
      <c r="P196" s="20">
        <f t="shared" si="14"/>
        <v>0</v>
      </c>
      <c r="Q196" s="15"/>
      <c r="R196" s="20">
        <f t="shared" si="15"/>
        <v>0</v>
      </c>
      <c r="S196" s="130"/>
      <c r="T196" s="20">
        <f t="shared" si="16"/>
        <v>44.10085879375</v>
      </c>
    </row>
    <row r="197" spans="1:20">
      <c r="A197" s="13" t="s">
        <v>21</v>
      </c>
      <c r="B197" s="14" t="s">
        <v>230</v>
      </c>
      <c r="C197" s="14" t="s">
        <v>231</v>
      </c>
      <c r="D197" s="13" t="s">
        <v>232</v>
      </c>
      <c r="E197" s="14" t="s">
        <v>164</v>
      </c>
      <c r="F197" s="13" t="s">
        <v>165</v>
      </c>
      <c r="G197" s="14" t="s">
        <v>20</v>
      </c>
      <c r="H197" s="14"/>
      <c r="I197" s="14">
        <v>201403</v>
      </c>
      <c r="J197" s="15">
        <v>9476.91</v>
      </c>
      <c r="K197" s="21">
        <f t="shared" si="17"/>
        <v>42675</v>
      </c>
      <c r="L197" s="16">
        <f t="shared" si="12"/>
        <v>6</v>
      </c>
      <c r="M197" s="17">
        <v>1.4833299999999999E-3</v>
      </c>
      <c r="N197" s="18">
        <f t="shared" si="13"/>
        <v>84.344309461799995</v>
      </c>
      <c r="O197" s="15"/>
      <c r="P197" s="20">
        <f t="shared" si="14"/>
        <v>0</v>
      </c>
      <c r="Q197" s="15"/>
      <c r="R197" s="20">
        <f t="shared" si="15"/>
        <v>0</v>
      </c>
      <c r="S197" s="130"/>
      <c r="T197" s="20">
        <f t="shared" si="16"/>
        <v>134.15158411874998</v>
      </c>
    </row>
    <row r="198" spans="1:20">
      <c r="A198" s="13" t="s">
        <v>21</v>
      </c>
      <c r="B198" s="14" t="s">
        <v>478</v>
      </c>
      <c r="C198" s="14" t="s">
        <v>479</v>
      </c>
      <c r="D198" s="13" t="s">
        <v>480</v>
      </c>
      <c r="E198" s="14" t="s">
        <v>164</v>
      </c>
      <c r="F198" s="13" t="s">
        <v>165</v>
      </c>
      <c r="G198" s="14" t="s">
        <v>20</v>
      </c>
      <c r="H198" s="14"/>
      <c r="I198" s="14">
        <v>201403</v>
      </c>
      <c r="J198" s="15">
        <v>22186.81</v>
      </c>
      <c r="K198" s="21">
        <f t="shared" si="17"/>
        <v>42675</v>
      </c>
      <c r="L198" s="16">
        <f t="shared" ref="L198:L261" si="18">((YEAR($L$1)-YEAR(K198))*12+MONTH($L$1)-MONTH(K198))</f>
        <v>6</v>
      </c>
      <c r="M198" s="17">
        <v>1.4833299999999999E-3</v>
      </c>
      <c r="N198" s="18">
        <f t="shared" ref="N198:N261" si="19">M198*L198*J198</f>
        <v>197.46216526380002</v>
      </c>
      <c r="O198" s="15"/>
      <c r="P198" s="20">
        <f t="shared" ref="P198:P261" si="20">$P$4*(J198*0.5)*$V$10</f>
        <v>0</v>
      </c>
      <c r="Q198" s="15"/>
      <c r="R198" s="20">
        <f t="shared" ref="R198:R261" si="21">$R$4*(J198*0.5)*$V$9</f>
        <v>0</v>
      </c>
      <c r="S198" s="130"/>
      <c r="T198" s="20">
        <f t="shared" ref="T198:T261" si="22">$T$4*(J198*0.5)*$V$11</f>
        <v>314.06816230625003</v>
      </c>
    </row>
    <row r="199" spans="1:20">
      <c r="A199" s="23" t="s">
        <v>29</v>
      </c>
      <c r="B199" s="14" t="s">
        <v>481</v>
      </c>
      <c r="C199" s="14" t="s">
        <v>482</v>
      </c>
      <c r="D199" s="13" t="s">
        <v>483</v>
      </c>
      <c r="E199" s="14" t="s">
        <v>484</v>
      </c>
      <c r="F199" s="13" t="s">
        <v>190</v>
      </c>
      <c r="G199" s="14" t="s">
        <v>20</v>
      </c>
      <c r="H199" s="14"/>
      <c r="I199" s="14">
        <v>201403</v>
      </c>
      <c r="J199" s="15">
        <v>13163.9</v>
      </c>
      <c r="K199" s="21">
        <f t="shared" ref="K199:K262" si="23">+K198</f>
        <v>42675</v>
      </c>
      <c r="L199" s="16">
        <f t="shared" si="18"/>
        <v>6</v>
      </c>
      <c r="M199" s="17">
        <v>2.23333E-3</v>
      </c>
      <c r="N199" s="18">
        <f t="shared" si="19"/>
        <v>176.39599672199998</v>
      </c>
      <c r="O199" s="15"/>
      <c r="P199" s="20">
        <f t="shared" si="20"/>
        <v>0</v>
      </c>
      <c r="Q199" s="15"/>
      <c r="R199" s="20">
        <f t="shared" si="21"/>
        <v>0</v>
      </c>
      <c r="S199" s="130"/>
      <c r="T199" s="20">
        <f t="shared" si="22"/>
        <v>186.34323193749998</v>
      </c>
    </row>
    <row r="200" spans="1:20">
      <c r="A200" s="13" t="s">
        <v>21</v>
      </c>
      <c r="B200" s="14" t="s">
        <v>485</v>
      </c>
      <c r="C200" s="14" t="s">
        <v>486</v>
      </c>
      <c r="D200" s="13" t="s">
        <v>487</v>
      </c>
      <c r="E200" s="14" t="s">
        <v>75</v>
      </c>
      <c r="F200" s="13" t="s">
        <v>26</v>
      </c>
      <c r="G200" s="14" t="s">
        <v>20</v>
      </c>
      <c r="H200" s="14"/>
      <c r="I200" s="14">
        <v>201403</v>
      </c>
      <c r="J200" s="15">
        <v>1843.09</v>
      </c>
      <c r="K200" s="21">
        <f t="shared" si="23"/>
        <v>42675</v>
      </c>
      <c r="L200" s="16">
        <f t="shared" si="18"/>
        <v>6</v>
      </c>
      <c r="M200" s="17">
        <v>1.4833299999999999E-3</v>
      </c>
      <c r="N200" s="18">
        <f t="shared" si="19"/>
        <v>16.4034641382</v>
      </c>
      <c r="O200" s="15"/>
      <c r="P200" s="20">
        <f t="shared" si="20"/>
        <v>0</v>
      </c>
      <c r="Q200" s="15"/>
      <c r="R200" s="20">
        <f t="shared" si="21"/>
        <v>0</v>
      </c>
      <c r="S200" s="130"/>
      <c r="T200" s="20">
        <f t="shared" si="22"/>
        <v>26.090090881249996</v>
      </c>
    </row>
    <row r="201" spans="1:20">
      <c r="A201" s="23" t="s">
        <v>29</v>
      </c>
      <c r="B201" s="14" t="s">
        <v>236</v>
      </c>
      <c r="C201" s="14" t="s">
        <v>237</v>
      </c>
      <c r="D201" s="13" t="s">
        <v>188</v>
      </c>
      <c r="E201" s="14" t="s">
        <v>238</v>
      </c>
      <c r="F201" s="13" t="s">
        <v>190</v>
      </c>
      <c r="G201" s="14" t="s">
        <v>20</v>
      </c>
      <c r="H201" s="14"/>
      <c r="I201" s="14">
        <v>201403</v>
      </c>
      <c r="J201" s="15">
        <v>7941.49</v>
      </c>
      <c r="K201" s="21">
        <f t="shared" si="23"/>
        <v>42675</v>
      </c>
      <c r="L201" s="16">
        <f t="shared" si="18"/>
        <v>6</v>
      </c>
      <c r="M201" s="17">
        <v>2.23333E-3</v>
      </c>
      <c r="N201" s="18">
        <f t="shared" si="19"/>
        <v>106.41580717019998</v>
      </c>
      <c r="O201" s="15"/>
      <c r="P201" s="20">
        <f t="shared" si="20"/>
        <v>0</v>
      </c>
      <c r="Q201" s="15"/>
      <c r="R201" s="20">
        <f t="shared" si="21"/>
        <v>0</v>
      </c>
      <c r="S201" s="130"/>
      <c r="T201" s="20">
        <f t="shared" si="22"/>
        <v>112.41675438124999</v>
      </c>
    </row>
    <row r="202" spans="1:20">
      <c r="A202" s="23" t="s">
        <v>29</v>
      </c>
      <c r="B202" s="14" t="s">
        <v>239</v>
      </c>
      <c r="C202" s="14" t="s">
        <v>240</v>
      </c>
      <c r="D202" s="13" t="s">
        <v>197</v>
      </c>
      <c r="E202" s="14" t="s">
        <v>241</v>
      </c>
      <c r="F202" s="13" t="s">
        <v>199</v>
      </c>
      <c r="G202" s="14" t="s">
        <v>20</v>
      </c>
      <c r="H202" s="14"/>
      <c r="I202" s="14">
        <v>201403</v>
      </c>
      <c r="J202" s="15">
        <v>41889.51</v>
      </c>
      <c r="K202" s="21">
        <f t="shared" si="23"/>
        <v>42675</v>
      </c>
      <c r="L202" s="16">
        <f t="shared" si="18"/>
        <v>6</v>
      </c>
      <c r="M202" s="17">
        <v>2.23333E-3</v>
      </c>
      <c r="N202" s="18">
        <f t="shared" si="19"/>
        <v>561.31859620980003</v>
      </c>
      <c r="O202" s="15"/>
      <c r="P202" s="20">
        <f t="shared" si="20"/>
        <v>0</v>
      </c>
      <c r="Q202" s="15"/>
      <c r="R202" s="20">
        <f t="shared" si="21"/>
        <v>0</v>
      </c>
      <c r="S202" s="130"/>
      <c r="T202" s="20">
        <f t="shared" si="22"/>
        <v>592.97219499375001</v>
      </c>
    </row>
    <row r="203" spans="1:20">
      <c r="A203" s="13" t="s">
        <v>21</v>
      </c>
      <c r="B203" s="14" t="s">
        <v>254</v>
      </c>
      <c r="C203" s="14" t="s">
        <v>255</v>
      </c>
      <c r="D203" s="13" t="s">
        <v>256</v>
      </c>
      <c r="E203" s="14" t="s">
        <v>164</v>
      </c>
      <c r="F203" s="13" t="s">
        <v>165</v>
      </c>
      <c r="G203" s="14" t="s">
        <v>20</v>
      </c>
      <c r="H203" s="14"/>
      <c r="I203" s="14">
        <v>201403</v>
      </c>
      <c r="J203" s="15">
        <v>2965.26</v>
      </c>
      <c r="K203" s="21">
        <f t="shared" si="23"/>
        <v>42675</v>
      </c>
      <c r="L203" s="16">
        <f t="shared" si="18"/>
        <v>6</v>
      </c>
      <c r="M203" s="17">
        <v>1.4833299999999999E-3</v>
      </c>
      <c r="N203" s="18">
        <f t="shared" si="19"/>
        <v>26.390754694800002</v>
      </c>
      <c r="O203" s="15"/>
      <c r="P203" s="20">
        <f t="shared" si="20"/>
        <v>0</v>
      </c>
      <c r="Q203" s="15"/>
      <c r="R203" s="20">
        <f t="shared" si="21"/>
        <v>0</v>
      </c>
      <c r="S203" s="130"/>
      <c r="T203" s="20">
        <f t="shared" si="22"/>
        <v>41.975108587500003</v>
      </c>
    </row>
    <row r="204" spans="1:20">
      <c r="A204" s="13" t="s">
        <v>21</v>
      </c>
      <c r="B204" s="14" t="s">
        <v>488</v>
      </c>
      <c r="C204" s="14" t="s">
        <v>489</v>
      </c>
      <c r="D204" s="13" t="s">
        <v>490</v>
      </c>
      <c r="E204" s="14" t="s">
        <v>93</v>
      </c>
      <c r="F204" s="13" t="s">
        <v>88</v>
      </c>
      <c r="G204" s="14" t="s">
        <v>20</v>
      </c>
      <c r="H204" s="14"/>
      <c r="I204" s="14">
        <v>201403</v>
      </c>
      <c r="J204" s="15">
        <v>18588.7</v>
      </c>
      <c r="K204" s="21">
        <f t="shared" si="23"/>
        <v>42675</v>
      </c>
      <c r="L204" s="16">
        <f t="shared" si="18"/>
        <v>6</v>
      </c>
      <c r="M204" s="17">
        <v>1.4833299999999999E-3</v>
      </c>
      <c r="N204" s="18">
        <f t="shared" si="19"/>
        <v>165.43905822600001</v>
      </c>
      <c r="O204" s="15"/>
      <c r="P204" s="20">
        <f t="shared" si="20"/>
        <v>0</v>
      </c>
      <c r="Q204" s="15"/>
      <c r="R204" s="20">
        <f t="shared" si="21"/>
        <v>0</v>
      </c>
      <c r="S204" s="130"/>
      <c r="T204" s="20">
        <f t="shared" si="22"/>
        <v>263.13466643750002</v>
      </c>
    </row>
    <row r="205" spans="1:20">
      <c r="A205" s="13" t="s">
        <v>21</v>
      </c>
      <c r="B205" s="14" t="s">
        <v>257</v>
      </c>
      <c r="C205" s="14" t="s">
        <v>258</v>
      </c>
      <c r="D205" s="13" t="s">
        <v>259</v>
      </c>
      <c r="E205" s="14" t="s">
        <v>260</v>
      </c>
      <c r="F205" s="13" t="s">
        <v>26</v>
      </c>
      <c r="G205" s="14" t="s">
        <v>20</v>
      </c>
      <c r="H205" s="14"/>
      <c r="I205" s="14">
        <v>201403</v>
      </c>
      <c r="J205" s="15">
        <v>-383.08</v>
      </c>
      <c r="K205" s="21">
        <f t="shared" si="23"/>
        <v>42675</v>
      </c>
      <c r="L205" s="16">
        <f t="shared" si="18"/>
        <v>6</v>
      </c>
      <c r="M205" s="17">
        <v>1.4833299999999999E-3</v>
      </c>
      <c r="N205" s="18">
        <f t="shared" si="19"/>
        <v>-3.4094043383999999</v>
      </c>
      <c r="O205" s="15"/>
      <c r="P205" s="20">
        <f t="shared" si="20"/>
        <v>0</v>
      </c>
      <c r="Q205" s="15"/>
      <c r="R205" s="20">
        <f t="shared" si="21"/>
        <v>0</v>
      </c>
      <c r="S205" s="130"/>
      <c r="T205" s="20">
        <f t="shared" si="22"/>
        <v>-5.4227368249999994</v>
      </c>
    </row>
    <row r="206" spans="1:20">
      <c r="A206" s="13" t="s">
        <v>21</v>
      </c>
      <c r="B206" s="14" t="s">
        <v>399</v>
      </c>
      <c r="C206" s="14" t="s">
        <v>400</v>
      </c>
      <c r="D206" s="13" t="s">
        <v>401</v>
      </c>
      <c r="E206" s="14" t="s">
        <v>402</v>
      </c>
      <c r="F206" s="13" t="s">
        <v>19</v>
      </c>
      <c r="G206" s="14" t="s">
        <v>20</v>
      </c>
      <c r="H206" s="14"/>
      <c r="I206" s="14">
        <v>201403</v>
      </c>
      <c r="J206" s="15">
        <v>1040.04</v>
      </c>
      <c r="K206" s="21">
        <f t="shared" si="23"/>
        <v>42675</v>
      </c>
      <c r="L206" s="16">
        <f t="shared" si="18"/>
        <v>6</v>
      </c>
      <c r="M206" s="17">
        <v>1.4833299999999999E-3</v>
      </c>
      <c r="N206" s="18">
        <f t="shared" si="19"/>
        <v>9.2563351992000005</v>
      </c>
      <c r="O206" s="15"/>
      <c r="P206" s="20">
        <f t="shared" si="20"/>
        <v>0</v>
      </c>
      <c r="Q206" s="15"/>
      <c r="R206" s="20">
        <f t="shared" si="21"/>
        <v>0</v>
      </c>
      <c r="S206" s="130"/>
      <c r="T206" s="20">
        <f t="shared" si="22"/>
        <v>14.722416224999996</v>
      </c>
    </row>
    <row r="207" spans="1:20">
      <c r="A207" s="13" t="s">
        <v>21</v>
      </c>
      <c r="B207" s="14" t="s">
        <v>403</v>
      </c>
      <c r="C207" s="14" t="s">
        <v>404</v>
      </c>
      <c r="D207" s="13" t="s">
        <v>405</v>
      </c>
      <c r="E207" s="14" t="s">
        <v>75</v>
      </c>
      <c r="F207" s="13" t="s">
        <v>26</v>
      </c>
      <c r="G207" s="14" t="s">
        <v>20</v>
      </c>
      <c r="H207" s="14"/>
      <c r="I207" s="14">
        <v>201403</v>
      </c>
      <c r="J207" s="15">
        <v>3897.18</v>
      </c>
      <c r="K207" s="21">
        <f t="shared" si="23"/>
        <v>42675</v>
      </c>
      <c r="L207" s="16">
        <f t="shared" si="18"/>
        <v>6</v>
      </c>
      <c r="M207" s="17">
        <v>1.4833299999999999E-3</v>
      </c>
      <c r="N207" s="18">
        <f t="shared" si="19"/>
        <v>34.684824056399997</v>
      </c>
      <c r="O207" s="15"/>
      <c r="P207" s="20">
        <f t="shared" si="20"/>
        <v>0</v>
      </c>
      <c r="Q207" s="15"/>
      <c r="R207" s="20">
        <f t="shared" si="21"/>
        <v>0</v>
      </c>
      <c r="S207" s="130"/>
      <c r="T207" s="20">
        <f t="shared" si="22"/>
        <v>55.167018637499993</v>
      </c>
    </row>
    <row r="208" spans="1:20">
      <c r="A208" s="23" t="s">
        <v>29</v>
      </c>
      <c r="B208" s="14" t="s">
        <v>271</v>
      </c>
      <c r="C208" s="14" t="s">
        <v>272</v>
      </c>
      <c r="D208" s="13" t="s">
        <v>197</v>
      </c>
      <c r="E208" s="14" t="s">
        <v>273</v>
      </c>
      <c r="F208" s="13" t="s">
        <v>199</v>
      </c>
      <c r="G208" s="14" t="s">
        <v>20</v>
      </c>
      <c r="H208" s="14"/>
      <c r="I208" s="14">
        <v>201403</v>
      </c>
      <c r="J208" s="15">
        <v>-991.97</v>
      </c>
      <c r="K208" s="21">
        <f t="shared" si="23"/>
        <v>42675</v>
      </c>
      <c r="L208" s="16">
        <f t="shared" si="18"/>
        <v>6</v>
      </c>
      <c r="M208" s="17">
        <v>2.23333E-3</v>
      </c>
      <c r="N208" s="18">
        <f t="shared" si="19"/>
        <v>-13.292378160599998</v>
      </c>
      <c r="O208" s="15"/>
      <c r="P208" s="20">
        <f t="shared" si="20"/>
        <v>0</v>
      </c>
      <c r="Q208" s="15"/>
      <c r="R208" s="20">
        <f t="shared" si="21"/>
        <v>0</v>
      </c>
      <c r="S208" s="130"/>
      <c r="T208" s="20">
        <f t="shared" si="22"/>
        <v>-14.04195533125</v>
      </c>
    </row>
    <row r="209" spans="1:20">
      <c r="A209" s="13" t="s">
        <v>21</v>
      </c>
      <c r="B209" s="14" t="s">
        <v>277</v>
      </c>
      <c r="C209" s="14" t="s">
        <v>278</v>
      </c>
      <c r="D209" s="13" t="s">
        <v>279</v>
      </c>
      <c r="E209" s="14" t="s">
        <v>280</v>
      </c>
      <c r="F209" s="13" t="s">
        <v>26</v>
      </c>
      <c r="G209" s="14" t="s">
        <v>20</v>
      </c>
      <c r="H209" s="14"/>
      <c r="I209" s="14">
        <v>201403</v>
      </c>
      <c r="J209" s="15">
        <v>16398.060000000001</v>
      </c>
      <c r="K209" s="21">
        <f t="shared" si="23"/>
        <v>42675</v>
      </c>
      <c r="L209" s="16">
        <f t="shared" si="18"/>
        <v>6</v>
      </c>
      <c r="M209" s="17">
        <v>1.4833299999999999E-3</v>
      </c>
      <c r="N209" s="18">
        <f t="shared" si="19"/>
        <v>145.94240603880002</v>
      </c>
      <c r="O209" s="15"/>
      <c r="P209" s="20">
        <f t="shared" si="20"/>
        <v>0</v>
      </c>
      <c r="Q209" s="15"/>
      <c r="R209" s="20">
        <f t="shared" si="21"/>
        <v>0</v>
      </c>
      <c r="S209" s="130"/>
      <c r="T209" s="20">
        <f t="shared" si="22"/>
        <v>232.12478808750001</v>
      </c>
    </row>
    <row r="210" spans="1:20">
      <c r="A210" s="13" t="s">
        <v>21</v>
      </c>
      <c r="B210" s="14" t="s">
        <v>289</v>
      </c>
      <c r="C210" s="14" t="s">
        <v>290</v>
      </c>
      <c r="D210" s="13" t="s">
        <v>291</v>
      </c>
      <c r="E210" s="14" t="s">
        <v>164</v>
      </c>
      <c r="F210" s="13" t="s">
        <v>165</v>
      </c>
      <c r="G210" s="14" t="s">
        <v>20</v>
      </c>
      <c r="H210" s="14"/>
      <c r="I210" s="14">
        <v>201403</v>
      </c>
      <c r="J210" s="15">
        <v>930.13</v>
      </c>
      <c r="K210" s="21">
        <f t="shared" si="23"/>
        <v>42675</v>
      </c>
      <c r="L210" s="16">
        <f t="shared" si="18"/>
        <v>6</v>
      </c>
      <c r="M210" s="17">
        <v>1.4833299999999999E-3</v>
      </c>
      <c r="N210" s="18">
        <f t="shared" si="19"/>
        <v>8.2781383973999993</v>
      </c>
      <c r="O210" s="15"/>
      <c r="P210" s="20">
        <f t="shared" si="20"/>
        <v>0</v>
      </c>
      <c r="Q210" s="15"/>
      <c r="R210" s="20">
        <f t="shared" si="21"/>
        <v>0</v>
      </c>
      <c r="S210" s="130"/>
      <c r="T210" s="20">
        <f t="shared" si="22"/>
        <v>13.166571481249999</v>
      </c>
    </row>
    <row r="211" spans="1:20">
      <c r="A211" s="13" t="s">
        <v>21</v>
      </c>
      <c r="B211" s="14" t="s">
        <v>491</v>
      </c>
      <c r="C211" s="14" t="s">
        <v>492</v>
      </c>
      <c r="D211" s="13" t="s">
        <v>493</v>
      </c>
      <c r="E211" s="14" t="s">
        <v>87</v>
      </c>
      <c r="F211" s="13" t="s">
        <v>88</v>
      </c>
      <c r="G211" s="14" t="s">
        <v>20</v>
      </c>
      <c r="H211" s="14"/>
      <c r="I211" s="14">
        <v>201403</v>
      </c>
      <c r="J211" s="15">
        <v>5134.2</v>
      </c>
      <c r="K211" s="21">
        <f t="shared" si="23"/>
        <v>42675</v>
      </c>
      <c r="L211" s="16">
        <f t="shared" si="18"/>
        <v>6</v>
      </c>
      <c r="M211" s="17">
        <v>1.4833299999999999E-3</v>
      </c>
      <c r="N211" s="18">
        <f t="shared" si="19"/>
        <v>45.694277315999997</v>
      </c>
      <c r="O211" s="15"/>
      <c r="P211" s="20">
        <f t="shared" si="20"/>
        <v>0</v>
      </c>
      <c r="Q211" s="15"/>
      <c r="R211" s="20">
        <f t="shared" si="21"/>
        <v>0</v>
      </c>
      <c r="S211" s="130"/>
      <c r="T211" s="20">
        <f t="shared" si="22"/>
        <v>72.677809874999994</v>
      </c>
    </row>
    <row r="212" spans="1:20">
      <c r="A212" s="23" t="s">
        <v>29</v>
      </c>
      <c r="B212" s="14" t="s">
        <v>292</v>
      </c>
      <c r="C212" s="14" t="s">
        <v>293</v>
      </c>
      <c r="D212" s="13" t="s">
        <v>197</v>
      </c>
      <c r="E212" s="14" t="s">
        <v>294</v>
      </c>
      <c r="F212" s="13" t="s">
        <v>199</v>
      </c>
      <c r="G212" s="14" t="s">
        <v>20</v>
      </c>
      <c r="H212" s="14"/>
      <c r="I212" s="14">
        <v>201403</v>
      </c>
      <c r="J212" s="15">
        <v>1200.48</v>
      </c>
      <c r="K212" s="21">
        <f t="shared" si="23"/>
        <v>42675</v>
      </c>
      <c r="L212" s="16">
        <f t="shared" si="18"/>
        <v>6</v>
      </c>
      <c r="M212" s="17">
        <v>2.23333E-3</v>
      </c>
      <c r="N212" s="18">
        <f t="shared" si="19"/>
        <v>16.086407990399998</v>
      </c>
      <c r="O212" s="15"/>
      <c r="P212" s="20">
        <f t="shared" si="20"/>
        <v>0</v>
      </c>
      <c r="Q212" s="15"/>
      <c r="R212" s="20">
        <f t="shared" si="21"/>
        <v>0</v>
      </c>
      <c r="S212" s="130"/>
      <c r="T212" s="20">
        <f t="shared" si="22"/>
        <v>16.993544699999998</v>
      </c>
    </row>
    <row r="213" spans="1:20">
      <c r="A213" s="13" t="s">
        <v>21</v>
      </c>
      <c r="B213" s="14" t="s">
        <v>494</v>
      </c>
      <c r="C213" s="14" t="s">
        <v>495</v>
      </c>
      <c r="D213" s="13" t="s">
        <v>496</v>
      </c>
      <c r="E213" s="14" t="s">
        <v>497</v>
      </c>
      <c r="F213" s="13" t="s">
        <v>26</v>
      </c>
      <c r="G213" s="14" t="s">
        <v>20</v>
      </c>
      <c r="H213" s="14"/>
      <c r="I213" s="14">
        <v>201403</v>
      </c>
      <c r="J213" s="15">
        <v>159806.81</v>
      </c>
      <c r="K213" s="21">
        <f t="shared" si="23"/>
        <v>42675</v>
      </c>
      <c r="L213" s="16">
        <f t="shared" si="18"/>
        <v>6</v>
      </c>
      <c r="M213" s="17">
        <v>1.4833299999999999E-3</v>
      </c>
      <c r="N213" s="18">
        <f t="shared" si="19"/>
        <v>1422.2774128638</v>
      </c>
      <c r="O213" s="15"/>
      <c r="P213" s="20">
        <f t="shared" si="20"/>
        <v>0</v>
      </c>
      <c r="Q213" s="15"/>
      <c r="R213" s="20">
        <f t="shared" si="21"/>
        <v>0</v>
      </c>
      <c r="S213" s="130"/>
      <c r="T213" s="20">
        <f t="shared" si="22"/>
        <v>2262.1652748062502</v>
      </c>
    </row>
    <row r="214" spans="1:20">
      <c r="A214" s="13" t="s">
        <v>21</v>
      </c>
      <c r="B214" s="14" t="s">
        <v>498</v>
      </c>
      <c r="C214" s="14" t="s">
        <v>499</v>
      </c>
      <c r="D214" s="13" t="s">
        <v>500</v>
      </c>
      <c r="E214" s="14" t="s">
        <v>75</v>
      </c>
      <c r="F214" s="13" t="s">
        <v>26</v>
      </c>
      <c r="G214" s="14" t="s">
        <v>20</v>
      </c>
      <c r="H214" s="14"/>
      <c r="I214" s="14">
        <v>201403</v>
      </c>
      <c r="J214" s="15">
        <v>53280.41</v>
      </c>
      <c r="K214" s="21">
        <f t="shared" si="23"/>
        <v>42675</v>
      </c>
      <c r="L214" s="16">
        <f t="shared" si="18"/>
        <v>6</v>
      </c>
      <c r="M214" s="17">
        <v>1.4833299999999999E-3</v>
      </c>
      <c r="N214" s="18">
        <f t="shared" si="19"/>
        <v>474.19458339180005</v>
      </c>
      <c r="O214" s="15"/>
      <c r="P214" s="20">
        <f t="shared" si="20"/>
        <v>0</v>
      </c>
      <c r="Q214" s="15"/>
      <c r="R214" s="20">
        <f t="shared" si="21"/>
        <v>0</v>
      </c>
      <c r="S214" s="130"/>
      <c r="T214" s="20">
        <f t="shared" si="22"/>
        <v>754.21750380625008</v>
      </c>
    </row>
    <row r="215" spans="1:20">
      <c r="A215" s="13" t="s">
        <v>21</v>
      </c>
      <c r="B215" s="14" t="s">
        <v>501</v>
      </c>
      <c r="C215" s="14" t="s">
        <v>502</v>
      </c>
      <c r="D215" s="13" t="s">
        <v>503</v>
      </c>
      <c r="E215" s="14" t="s">
        <v>280</v>
      </c>
      <c r="F215" s="13" t="s">
        <v>26</v>
      </c>
      <c r="G215" s="14" t="s">
        <v>20</v>
      </c>
      <c r="H215" s="14"/>
      <c r="I215" s="14">
        <v>201403</v>
      </c>
      <c r="J215" s="15">
        <v>211274.07</v>
      </c>
      <c r="K215" s="21">
        <f t="shared" si="23"/>
        <v>42675</v>
      </c>
      <c r="L215" s="16">
        <f t="shared" si="18"/>
        <v>6</v>
      </c>
      <c r="M215" s="17">
        <v>1.4833299999999999E-3</v>
      </c>
      <c r="N215" s="18">
        <f t="shared" si="19"/>
        <v>1880.3349975186002</v>
      </c>
      <c r="O215" s="15"/>
      <c r="P215" s="20">
        <f t="shared" si="20"/>
        <v>0</v>
      </c>
      <c r="Q215" s="15"/>
      <c r="R215" s="20">
        <f t="shared" si="21"/>
        <v>0</v>
      </c>
      <c r="S215" s="130"/>
      <c r="T215" s="20">
        <f t="shared" si="22"/>
        <v>2990.7165071437498</v>
      </c>
    </row>
    <row r="216" spans="1:20">
      <c r="A216" s="13" t="s">
        <v>21</v>
      </c>
      <c r="B216" s="14" t="s">
        <v>504</v>
      </c>
      <c r="C216" s="14" t="s">
        <v>505</v>
      </c>
      <c r="D216" s="13" t="s">
        <v>506</v>
      </c>
      <c r="E216" s="14" t="s">
        <v>164</v>
      </c>
      <c r="F216" s="13" t="s">
        <v>165</v>
      </c>
      <c r="G216" s="14" t="s">
        <v>20</v>
      </c>
      <c r="H216" s="14"/>
      <c r="I216" s="14">
        <v>201403</v>
      </c>
      <c r="J216" s="15">
        <v>17498.599999999999</v>
      </c>
      <c r="K216" s="21">
        <f t="shared" si="23"/>
        <v>42675</v>
      </c>
      <c r="L216" s="16">
        <f t="shared" si="18"/>
        <v>6</v>
      </c>
      <c r="M216" s="17">
        <v>1.4833299999999999E-3</v>
      </c>
      <c r="N216" s="18">
        <f t="shared" si="19"/>
        <v>155.73719002799999</v>
      </c>
      <c r="O216" s="15"/>
      <c r="P216" s="20">
        <f t="shared" si="20"/>
        <v>0</v>
      </c>
      <c r="Q216" s="15"/>
      <c r="R216" s="20">
        <f t="shared" si="21"/>
        <v>0</v>
      </c>
      <c r="S216" s="130"/>
      <c r="T216" s="20">
        <f t="shared" si="22"/>
        <v>247.70361962499999</v>
      </c>
    </row>
    <row r="217" spans="1:20">
      <c r="A217" s="23" t="s">
        <v>29</v>
      </c>
      <c r="B217" s="14" t="s">
        <v>314</v>
      </c>
      <c r="C217" s="14" t="s">
        <v>315</v>
      </c>
      <c r="D217" s="13" t="s">
        <v>316</v>
      </c>
      <c r="E217" s="14" t="s">
        <v>317</v>
      </c>
      <c r="F217" s="13" t="s">
        <v>285</v>
      </c>
      <c r="G217" s="14" t="s">
        <v>20</v>
      </c>
      <c r="H217" s="14"/>
      <c r="I217" s="14">
        <v>201403</v>
      </c>
      <c r="J217" s="15">
        <v>87.38</v>
      </c>
      <c r="K217" s="21">
        <f t="shared" si="23"/>
        <v>42675</v>
      </c>
      <c r="L217" s="16">
        <f t="shared" si="18"/>
        <v>6</v>
      </c>
      <c r="M217" s="17">
        <v>2.23333E-3</v>
      </c>
      <c r="N217" s="18">
        <f t="shared" si="19"/>
        <v>1.1708902523999998</v>
      </c>
      <c r="O217" s="15"/>
      <c r="P217" s="20">
        <f t="shared" si="20"/>
        <v>0</v>
      </c>
      <c r="Q217" s="15"/>
      <c r="R217" s="20">
        <f t="shared" si="21"/>
        <v>0</v>
      </c>
      <c r="S217" s="130"/>
      <c r="T217" s="20">
        <f t="shared" si="22"/>
        <v>1.2369185125</v>
      </c>
    </row>
    <row r="218" spans="1:20">
      <c r="A218" s="23" t="s">
        <v>29</v>
      </c>
      <c r="B218" s="14" t="s">
        <v>419</v>
      </c>
      <c r="C218" s="14" t="s">
        <v>420</v>
      </c>
      <c r="D218" s="13" t="s">
        <v>50</v>
      </c>
      <c r="E218" s="14" t="s">
        <v>421</v>
      </c>
      <c r="F218" s="13" t="s">
        <v>52</v>
      </c>
      <c r="G218" s="14" t="s">
        <v>20</v>
      </c>
      <c r="H218" s="14"/>
      <c r="I218" s="14">
        <v>201403</v>
      </c>
      <c r="J218" s="15">
        <v>120.52</v>
      </c>
      <c r="K218" s="21">
        <f t="shared" si="23"/>
        <v>42675</v>
      </c>
      <c r="L218" s="16">
        <f t="shared" si="18"/>
        <v>6</v>
      </c>
      <c r="M218" s="17">
        <v>2.23333E-3</v>
      </c>
      <c r="N218" s="18">
        <f t="shared" si="19"/>
        <v>1.6149655895999997</v>
      </c>
      <c r="O218" s="15"/>
      <c r="P218" s="20">
        <f t="shared" si="20"/>
        <v>0</v>
      </c>
      <c r="Q218" s="15"/>
      <c r="R218" s="20">
        <f t="shared" si="21"/>
        <v>0</v>
      </c>
      <c r="S218" s="130"/>
      <c r="T218" s="20">
        <f t="shared" si="22"/>
        <v>1.7060359249999997</v>
      </c>
    </row>
    <row r="219" spans="1:20">
      <c r="A219" s="23" t="s">
        <v>29</v>
      </c>
      <c r="B219" s="14" t="s">
        <v>325</v>
      </c>
      <c r="C219" s="14" t="s">
        <v>326</v>
      </c>
      <c r="D219" s="13" t="s">
        <v>327</v>
      </c>
      <c r="E219" s="14" t="s">
        <v>328</v>
      </c>
      <c r="F219" s="13" t="s">
        <v>58</v>
      </c>
      <c r="G219" s="14" t="s">
        <v>20</v>
      </c>
      <c r="H219" s="14"/>
      <c r="I219" s="14">
        <v>201403</v>
      </c>
      <c r="J219" s="15">
        <v>2486.77</v>
      </c>
      <c r="K219" s="21">
        <f t="shared" si="23"/>
        <v>42675</v>
      </c>
      <c r="L219" s="16">
        <f t="shared" si="18"/>
        <v>6</v>
      </c>
      <c r="M219" s="17">
        <v>2.23333E-3</v>
      </c>
      <c r="N219" s="18">
        <f t="shared" si="19"/>
        <v>33.322668264599997</v>
      </c>
      <c r="O219" s="15"/>
      <c r="P219" s="20">
        <f t="shared" si="20"/>
        <v>0</v>
      </c>
      <c r="Q219" s="15"/>
      <c r="R219" s="20">
        <f t="shared" si="21"/>
        <v>0</v>
      </c>
      <c r="S219" s="130"/>
      <c r="T219" s="20">
        <f t="shared" si="22"/>
        <v>35.201783581249998</v>
      </c>
    </row>
    <row r="220" spans="1:20">
      <c r="A220" s="13" t="s">
        <v>21</v>
      </c>
      <c r="B220" s="14" t="s">
        <v>507</v>
      </c>
      <c r="C220" s="14" t="s">
        <v>508</v>
      </c>
      <c r="D220" s="13" t="s">
        <v>509</v>
      </c>
      <c r="E220" s="14" t="s">
        <v>260</v>
      </c>
      <c r="F220" s="13" t="s">
        <v>26</v>
      </c>
      <c r="G220" s="14" t="s">
        <v>20</v>
      </c>
      <c r="H220" s="14"/>
      <c r="I220" s="14">
        <v>201403</v>
      </c>
      <c r="J220" s="15">
        <v>76324.25</v>
      </c>
      <c r="K220" s="21">
        <f t="shared" si="23"/>
        <v>42675</v>
      </c>
      <c r="L220" s="16">
        <f t="shared" si="18"/>
        <v>6</v>
      </c>
      <c r="M220" s="17">
        <v>1.4833299999999999E-3</v>
      </c>
      <c r="N220" s="18">
        <f t="shared" si="19"/>
        <v>679.28429851500005</v>
      </c>
      <c r="O220" s="15"/>
      <c r="P220" s="20">
        <f t="shared" si="20"/>
        <v>0</v>
      </c>
      <c r="Q220" s="15"/>
      <c r="R220" s="20">
        <f t="shared" si="21"/>
        <v>0</v>
      </c>
      <c r="S220" s="130"/>
      <c r="T220" s="20">
        <f t="shared" si="22"/>
        <v>1080.4174614062499</v>
      </c>
    </row>
    <row r="221" spans="1:20">
      <c r="A221" s="13" t="s">
        <v>21</v>
      </c>
      <c r="B221" s="14" t="s">
        <v>332</v>
      </c>
      <c r="C221" s="14" t="s">
        <v>333</v>
      </c>
      <c r="D221" s="13" t="s">
        <v>334</v>
      </c>
      <c r="E221" s="14" t="s">
        <v>209</v>
      </c>
      <c r="F221" s="13" t="s">
        <v>88</v>
      </c>
      <c r="G221" s="14" t="s">
        <v>20</v>
      </c>
      <c r="H221" s="14"/>
      <c r="I221" s="14">
        <v>201403</v>
      </c>
      <c r="J221" s="15">
        <v>10771.02</v>
      </c>
      <c r="K221" s="21">
        <f t="shared" si="23"/>
        <v>42675</v>
      </c>
      <c r="L221" s="16">
        <f t="shared" si="18"/>
        <v>6</v>
      </c>
      <c r="M221" s="17">
        <v>1.4833299999999999E-3</v>
      </c>
      <c r="N221" s="18">
        <f t="shared" si="19"/>
        <v>95.8618625796</v>
      </c>
      <c r="O221" s="15"/>
      <c r="P221" s="20">
        <f t="shared" si="20"/>
        <v>0</v>
      </c>
      <c r="Q221" s="15"/>
      <c r="R221" s="20">
        <f t="shared" si="21"/>
        <v>0</v>
      </c>
      <c r="S221" s="130"/>
      <c r="T221" s="20">
        <f t="shared" si="22"/>
        <v>152.47051998749998</v>
      </c>
    </row>
    <row r="222" spans="1:20">
      <c r="A222" s="13" t="s">
        <v>127</v>
      </c>
      <c r="B222" s="14" t="s">
        <v>422</v>
      </c>
      <c r="C222" s="14" t="s">
        <v>423</v>
      </c>
      <c r="D222" s="13" t="s">
        <v>424</v>
      </c>
      <c r="E222" s="14" t="s">
        <v>131</v>
      </c>
      <c r="F222" s="13" t="s">
        <v>132</v>
      </c>
      <c r="G222" s="14" t="s">
        <v>20</v>
      </c>
      <c r="H222" s="14"/>
      <c r="I222" s="14">
        <v>201403</v>
      </c>
      <c r="J222" s="15">
        <v>-1535.14</v>
      </c>
      <c r="K222" s="21">
        <f t="shared" si="23"/>
        <v>42675</v>
      </c>
      <c r="L222" s="16">
        <f t="shared" si="18"/>
        <v>6</v>
      </c>
      <c r="M222" s="17">
        <v>2.3833299999999999E-3</v>
      </c>
      <c r="N222" s="18">
        <f t="shared" si="19"/>
        <v>-21.952471297200002</v>
      </c>
      <c r="O222" s="15"/>
      <c r="P222" s="20">
        <f t="shared" si="20"/>
        <v>0</v>
      </c>
      <c r="Q222" s="15"/>
      <c r="R222" s="20">
        <f t="shared" si="21"/>
        <v>0</v>
      </c>
      <c r="S222" s="130"/>
      <c r="T222" s="20">
        <f t="shared" si="22"/>
        <v>-21.7308661625</v>
      </c>
    </row>
    <row r="223" spans="1:20">
      <c r="A223" s="13" t="s">
        <v>21</v>
      </c>
      <c r="B223" s="14" t="s">
        <v>338</v>
      </c>
      <c r="C223" s="14" t="s">
        <v>339</v>
      </c>
      <c r="D223" s="13" t="s">
        <v>340</v>
      </c>
      <c r="E223" s="14" t="s">
        <v>164</v>
      </c>
      <c r="F223" s="13" t="s">
        <v>165</v>
      </c>
      <c r="G223" s="14" t="s">
        <v>20</v>
      </c>
      <c r="H223" s="14"/>
      <c r="I223" s="14">
        <v>201403</v>
      </c>
      <c r="J223" s="15">
        <v>21260.16</v>
      </c>
      <c r="K223" s="21">
        <f t="shared" si="23"/>
        <v>42675</v>
      </c>
      <c r="L223" s="16">
        <f t="shared" si="18"/>
        <v>6</v>
      </c>
      <c r="M223" s="17">
        <v>1.4833299999999999E-3</v>
      </c>
      <c r="N223" s="18">
        <f t="shared" si="19"/>
        <v>189.21499879679999</v>
      </c>
      <c r="O223" s="15"/>
      <c r="P223" s="20">
        <f t="shared" si="20"/>
        <v>0</v>
      </c>
      <c r="Q223" s="15"/>
      <c r="R223" s="20">
        <f t="shared" si="21"/>
        <v>0</v>
      </c>
      <c r="S223" s="130"/>
      <c r="T223" s="20">
        <f t="shared" si="22"/>
        <v>300.95085240000003</v>
      </c>
    </row>
    <row r="224" spans="1:20">
      <c r="A224" s="13" t="s">
        <v>21</v>
      </c>
      <c r="B224" s="14" t="s">
        <v>341</v>
      </c>
      <c r="C224" s="14" t="s">
        <v>342</v>
      </c>
      <c r="D224" s="13" t="s">
        <v>343</v>
      </c>
      <c r="E224" s="14" t="s">
        <v>137</v>
      </c>
      <c r="F224" s="13" t="s">
        <v>138</v>
      </c>
      <c r="G224" s="14" t="s">
        <v>20</v>
      </c>
      <c r="H224" s="14"/>
      <c r="I224" s="14">
        <v>201403</v>
      </c>
      <c r="J224" s="15">
        <v>1172.4000000000001</v>
      </c>
      <c r="K224" s="21">
        <f t="shared" si="23"/>
        <v>42675</v>
      </c>
      <c r="L224" s="16">
        <f t="shared" si="18"/>
        <v>6</v>
      </c>
      <c r="M224" s="17">
        <v>1.4833299999999999E-3</v>
      </c>
      <c r="N224" s="18">
        <f t="shared" si="19"/>
        <v>10.434336552000001</v>
      </c>
      <c r="O224" s="15"/>
      <c r="P224" s="20">
        <f t="shared" si="20"/>
        <v>0</v>
      </c>
      <c r="Q224" s="15"/>
      <c r="R224" s="20">
        <f t="shared" si="21"/>
        <v>0</v>
      </c>
      <c r="S224" s="130"/>
      <c r="T224" s="20">
        <f t="shared" si="22"/>
        <v>16.59605475</v>
      </c>
    </row>
    <row r="225" spans="1:20">
      <c r="A225" s="13" t="s">
        <v>21</v>
      </c>
      <c r="B225" s="14" t="s">
        <v>510</v>
      </c>
      <c r="C225" s="14" t="s">
        <v>511</v>
      </c>
      <c r="D225" s="13" t="s">
        <v>512</v>
      </c>
      <c r="E225" s="14" t="s">
        <v>497</v>
      </c>
      <c r="F225" s="13" t="s">
        <v>26</v>
      </c>
      <c r="G225" s="14" t="s">
        <v>20</v>
      </c>
      <c r="H225" s="14"/>
      <c r="I225" s="14">
        <v>201403</v>
      </c>
      <c r="J225" s="15">
        <v>16602.669999999998</v>
      </c>
      <c r="K225" s="21">
        <f t="shared" si="23"/>
        <v>42675</v>
      </c>
      <c r="L225" s="16">
        <f t="shared" si="18"/>
        <v>6</v>
      </c>
      <c r="M225" s="17">
        <v>1.4833299999999999E-3</v>
      </c>
      <c r="N225" s="18">
        <f t="shared" si="19"/>
        <v>147.76343094659998</v>
      </c>
      <c r="O225" s="15"/>
      <c r="P225" s="20">
        <f t="shared" si="20"/>
        <v>0</v>
      </c>
      <c r="Q225" s="15"/>
      <c r="R225" s="20">
        <f t="shared" si="21"/>
        <v>0</v>
      </c>
      <c r="S225" s="130"/>
      <c r="T225" s="20">
        <f t="shared" si="22"/>
        <v>235.02117051874995</v>
      </c>
    </row>
    <row r="226" spans="1:20">
      <c r="A226" s="13" t="s">
        <v>21</v>
      </c>
      <c r="B226" s="14" t="s">
        <v>513</v>
      </c>
      <c r="C226" s="14" t="s">
        <v>514</v>
      </c>
      <c r="D226" s="13" t="s">
        <v>515</v>
      </c>
      <c r="E226" s="14" t="s">
        <v>209</v>
      </c>
      <c r="F226" s="13" t="s">
        <v>88</v>
      </c>
      <c r="G226" s="14" t="s">
        <v>20</v>
      </c>
      <c r="H226" s="14"/>
      <c r="I226" s="14">
        <v>201403</v>
      </c>
      <c r="J226" s="15">
        <v>9589.57</v>
      </c>
      <c r="K226" s="21">
        <f t="shared" si="23"/>
        <v>42675</v>
      </c>
      <c r="L226" s="16">
        <f t="shared" si="18"/>
        <v>6</v>
      </c>
      <c r="M226" s="17">
        <v>1.4833299999999999E-3</v>
      </c>
      <c r="N226" s="18">
        <f t="shared" si="19"/>
        <v>85.346981208599999</v>
      </c>
      <c r="O226" s="15"/>
      <c r="P226" s="20">
        <f t="shared" si="20"/>
        <v>0</v>
      </c>
      <c r="Q226" s="15"/>
      <c r="R226" s="20">
        <f t="shared" si="21"/>
        <v>0</v>
      </c>
      <c r="S226" s="130"/>
      <c r="T226" s="20">
        <f t="shared" si="22"/>
        <v>135.74635683124998</v>
      </c>
    </row>
    <row r="227" spans="1:20">
      <c r="A227" s="13" t="s">
        <v>21</v>
      </c>
      <c r="B227" s="14" t="s">
        <v>425</v>
      </c>
      <c r="C227" s="14" t="s">
        <v>426</v>
      </c>
      <c r="D227" s="13" t="s">
        <v>427</v>
      </c>
      <c r="E227" s="14" t="s">
        <v>156</v>
      </c>
      <c r="F227" s="13" t="s">
        <v>26</v>
      </c>
      <c r="G227" s="14" t="s">
        <v>20</v>
      </c>
      <c r="H227" s="14"/>
      <c r="I227" s="14">
        <v>201404</v>
      </c>
      <c r="J227" s="15">
        <v>18741.61</v>
      </c>
      <c r="K227" s="21">
        <f t="shared" si="23"/>
        <v>42675</v>
      </c>
      <c r="L227" s="16">
        <f t="shared" si="18"/>
        <v>6</v>
      </c>
      <c r="M227" s="17">
        <v>1.4833299999999999E-3</v>
      </c>
      <c r="N227" s="18">
        <f t="shared" si="19"/>
        <v>166.7999541678</v>
      </c>
      <c r="O227" s="15"/>
      <c r="P227" s="20">
        <f t="shared" si="20"/>
        <v>0</v>
      </c>
      <c r="Q227" s="15"/>
      <c r="R227" s="20">
        <f t="shared" si="21"/>
        <v>0</v>
      </c>
      <c r="S227" s="130"/>
      <c r="T227" s="20">
        <f t="shared" si="22"/>
        <v>265.29920305624995</v>
      </c>
    </row>
    <row r="228" spans="1:20">
      <c r="A228" s="13" t="s">
        <v>21</v>
      </c>
      <c r="B228" s="14" t="s">
        <v>15</v>
      </c>
      <c r="C228" s="14" t="s">
        <v>16</v>
      </c>
      <c r="D228" s="13" t="s">
        <v>17</v>
      </c>
      <c r="E228" s="14" t="s">
        <v>18</v>
      </c>
      <c r="F228" s="13" t="s">
        <v>19</v>
      </c>
      <c r="G228" s="14" t="s">
        <v>20</v>
      </c>
      <c r="H228" s="14"/>
      <c r="I228" s="14">
        <v>201404</v>
      </c>
      <c r="J228" s="15">
        <v>1173.95</v>
      </c>
      <c r="K228" s="21">
        <f t="shared" si="23"/>
        <v>42675</v>
      </c>
      <c r="L228" s="16">
        <f t="shared" si="18"/>
        <v>6</v>
      </c>
      <c r="M228" s="17">
        <v>1.4833299999999999E-3</v>
      </c>
      <c r="N228" s="18">
        <f t="shared" si="19"/>
        <v>10.448131521000001</v>
      </c>
      <c r="O228" s="15"/>
      <c r="P228" s="20">
        <f t="shared" si="20"/>
        <v>0</v>
      </c>
      <c r="Q228" s="15"/>
      <c r="R228" s="20">
        <f t="shared" si="21"/>
        <v>0</v>
      </c>
      <c r="S228" s="130"/>
      <c r="T228" s="20">
        <f t="shared" si="22"/>
        <v>16.617995968750002</v>
      </c>
    </row>
    <row r="229" spans="1:20">
      <c r="A229" s="13" t="s">
        <v>21</v>
      </c>
      <c r="B229" s="14" t="s">
        <v>516</v>
      </c>
      <c r="C229" s="14" t="s">
        <v>517</v>
      </c>
      <c r="D229" s="13" t="s">
        <v>518</v>
      </c>
      <c r="E229" s="14" t="s">
        <v>25</v>
      </c>
      <c r="F229" s="13" t="s">
        <v>26</v>
      </c>
      <c r="G229" s="14" t="s">
        <v>20</v>
      </c>
      <c r="H229" s="14"/>
      <c r="I229" s="14">
        <v>201404</v>
      </c>
      <c r="J229" s="15">
        <v>9984.81</v>
      </c>
      <c r="K229" s="21">
        <f t="shared" si="23"/>
        <v>42675</v>
      </c>
      <c r="L229" s="16">
        <f t="shared" si="18"/>
        <v>6</v>
      </c>
      <c r="M229" s="17">
        <v>1.4833299999999999E-3</v>
      </c>
      <c r="N229" s="18">
        <f t="shared" si="19"/>
        <v>88.864609303799995</v>
      </c>
      <c r="O229" s="15"/>
      <c r="P229" s="20">
        <f t="shared" si="20"/>
        <v>0</v>
      </c>
      <c r="Q229" s="15"/>
      <c r="R229" s="20">
        <f t="shared" si="21"/>
        <v>0</v>
      </c>
      <c r="S229" s="130"/>
      <c r="T229" s="20">
        <f t="shared" si="22"/>
        <v>141.34122605624998</v>
      </c>
    </row>
    <row r="230" spans="1:20">
      <c r="A230" s="13" t="s">
        <v>21</v>
      </c>
      <c r="B230" s="14" t="s">
        <v>519</v>
      </c>
      <c r="C230" s="14" t="s">
        <v>520</v>
      </c>
      <c r="D230" s="13" t="s">
        <v>521</v>
      </c>
      <c r="E230" s="14" t="s">
        <v>79</v>
      </c>
      <c r="F230" s="13" t="s">
        <v>26</v>
      </c>
      <c r="G230" s="14" t="s">
        <v>20</v>
      </c>
      <c r="H230" s="14"/>
      <c r="I230" s="14">
        <v>201404</v>
      </c>
      <c r="J230" s="15">
        <v>-3188.24</v>
      </c>
      <c r="K230" s="21">
        <f t="shared" si="23"/>
        <v>42675</v>
      </c>
      <c r="L230" s="16">
        <f t="shared" si="18"/>
        <v>6</v>
      </c>
      <c r="M230" s="17">
        <v>1.4833299999999999E-3</v>
      </c>
      <c r="N230" s="18">
        <f t="shared" si="19"/>
        <v>-28.375272235199997</v>
      </c>
      <c r="O230" s="15"/>
      <c r="P230" s="20">
        <f t="shared" si="20"/>
        <v>0</v>
      </c>
      <c r="Q230" s="15"/>
      <c r="R230" s="20">
        <f t="shared" si="21"/>
        <v>0</v>
      </c>
      <c r="S230" s="130"/>
      <c r="T230" s="20">
        <f t="shared" si="22"/>
        <v>-45.131529849999993</v>
      </c>
    </row>
    <row r="231" spans="1:20">
      <c r="A231" s="13" t="s">
        <v>21</v>
      </c>
      <c r="B231" s="14" t="s">
        <v>522</v>
      </c>
      <c r="C231" s="14" t="s">
        <v>523</v>
      </c>
      <c r="D231" s="13" t="s">
        <v>524</v>
      </c>
      <c r="E231" s="14" t="s">
        <v>87</v>
      </c>
      <c r="F231" s="13" t="s">
        <v>88</v>
      </c>
      <c r="G231" s="14" t="s">
        <v>20</v>
      </c>
      <c r="H231" s="14"/>
      <c r="I231" s="14">
        <v>201404</v>
      </c>
      <c r="J231" s="15">
        <v>1277.21</v>
      </c>
      <c r="K231" s="21">
        <f t="shared" si="23"/>
        <v>42675</v>
      </c>
      <c r="L231" s="16">
        <f t="shared" si="18"/>
        <v>6</v>
      </c>
      <c r="M231" s="17">
        <v>1.4833299999999999E-3</v>
      </c>
      <c r="N231" s="18">
        <f t="shared" si="19"/>
        <v>11.367143455800001</v>
      </c>
      <c r="O231" s="15"/>
      <c r="P231" s="20">
        <f t="shared" si="20"/>
        <v>0</v>
      </c>
      <c r="Q231" s="15"/>
      <c r="R231" s="20">
        <f t="shared" si="21"/>
        <v>0</v>
      </c>
      <c r="S231" s="130"/>
      <c r="T231" s="20">
        <f t="shared" si="22"/>
        <v>18.079705806249997</v>
      </c>
    </row>
    <row r="232" spans="1:20">
      <c r="A232" s="13" t="s">
        <v>21</v>
      </c>
      <c r="B232" s="14" t="s">
        <v>525</v>
      </c>
      <c r="C232" s="14" t="s">
        <v>526</v>
      </c>
      <c r="D232" s="13" t="s">
        <v>527</v>
      </c>
      <c r="E232" s="14" t="s">
        <v>280</v>
      </c>
      <c r="F232" s="13" t="s">
        <v>26</v>
      </c>
      <c r="G232" s="14" t="s">
        <v>20</v>
      </c>
      <c r="H232" s="14"/>
      <c r="I232" s="14">
        <v>201404</v>
      </c>
      <c r="J232" s="15">
        <v>1960.41</v>
      </c>
      <c r="K232" s="21">
        <f t="shared" si="23"/>
        <v>42675</v>
      </c>
      <c r="L232" s="16">
        <f t="shared" si="18"/>
        <v>6</v>
      </c>
      <c r="M232" s="17">
        <v>1.4833299999999999E-3</v>
      </c>
      <c r="N232" s="18">
        <f t="shared" si="19"/>
        <v>17.447609791800001</v>
      </c>
      <c r="O232" s="15"/>
      <c r="P232" s="20">
        <f t="shared" si="20"/>
        <v>0</v>
      </c>
      <c r="Q232" s="15"/>
      <c r="R232" s="20">
        <f t="shared" si="21"/>
        <v>0</v>
      </c>
      <c r="S232" s="130"/>
      <c r="T232" s="20">
        <f t="shared" si="22"/>
        <v>27.750828806249999</v>
      </c>
    </row>
    <row r="233" spans="1:20">
      <c r="A233" s="13" t="s">
        <v>21</v>
      </c>
      <c r="B233" s="14" t="s">
        <v>528</v>
      </c>
      <c r="C233" s="14" t="s">
        <v>529</v>
      </c>
      <c r="D233" s="13" t="s">
        <v>530</v>
      </c>
      <c r="E233" s="14" t="s">
        <v>531</v>
      </c>
      <c r="F233" s="13" t="s">
        <v>26</v>
      </c>
      <c r="G233" s="14" t="s">
        <v>20</v>
      </c>
      <c r="H233" s="14"/>
      <c r="I233" s="14">
        <v>201404</v>
      </c>
      <c r="J233" s="15">
        <v>1839.18</v>
      </c>
      <c r="K233" s="21">
        <f t="shared" si="23"/>
        <v>42675</v>
      </c>
      <c r="L233" s="16">
        <f t="shared" si="18"/>
        <v>6</v>
      </c>
      <c r="M233" s="17">
        <v>1.4833299999999999E-3</v>
      </c>
      <c r="N233" s="18">
        <f t="shared" si="19"/>
        <v>16.3686652164</v>
      </c>
      <c r="O233" s="15"/>
      <c r="P233" s="20">
        <f t="shared" si="20"/>
        <v>0</v>
      </c>
      <c r="Q233" s="15"/>
      <c r="R233" s="20">
        <f t="shared" si="21"/>
        <v>0</v>
      </c>
      <c r="S233" s="130"/>
      <c r="T233" s="20">
        <f t="shared" si="22"/>
        <v>26.0347423875</v>
      </c>
    </row>
    <row r="234" spans="1:20">
      <c r="A234" s="13" t="s">
        <v>21</v>
      </c>
      <c r="B234" s="14" t="s">
        <v>22</v>
      </c>
      <c r="C234" s="14" t="s">
        <v>23</v>
      </c>
      <c r="D234" s="13" t="s">
        <v>24</v>
      </c>
      <c r="E234" s="14" t="s">
        <v>25</v>
      </c>
      <c r="F234" s="13" t="s">
        <v>26</v>
      </c>
      <c r="G234" s="14" t="s">
        <v>20</v>
      </c>
      <c r="H234" s="14"/>
      <c r="I234" s="14">
        <v>201404</v>
      </c>
      <c r="J234" s="15">
        <v>3656.2</v>
      </c>
      <c r="K234" s="21">
        <f t="shared" si="23"/>
        <v>42675</v>
      </c>
      <c r="L234" s="16">
        <f t="shared" si="18"/>
        <v>6</v>
      </c>
      <c r="M234" s="17">
        <v>1.4833299999999999E-3</v>
      </c>
      <c r="N234" s="18">
        <f t="shared" si="19"/>
        <v>32.540106875999996</v>
      </c>
      <c r="O234" s="15"/>
      <c r="P234" s="20">
        <f t="shared" si="20"/>
        <v>0</v>
      </c>
      <c r="Q234" s="15"/>
      <c r="R234" s="20">
        <f t="shared" si="21"/>
        <v>0</v>
      </c>
      <c r="S234" s="130"/>
      <c r="T234" s="20">
        <f t="shared" si="22"/>
        <v>51.755796124999996</v>
      </c>
    </row>
    <row r="235" spans="1:20">
      <c r="A235" s="23" t="s">
        <v>29</v>
      </c>
      <c r="B235" s="14" t="s">
        <v>30</v>
      </c>
      <c r="C235" s="14" t="s">
        <v>31</v>
      </c>
      <c r="D235" s="13" t="s">
        <v>32</v>
      </c>
      <c r="E235" s="14" t="s">
        <v>33</v>
      </c>
      <c r="F235" s="13" t="s">
        <v>34</v>
      </c>
      <c r="G235" s="14" t="s">
        <v>20</v>
      </c>
      <c r="H235" s="14"/>
      <c r="I235" s="14">
        <v>201404</v>
      </c>
      <c r="J235" s="15">
        <v>42637.73</v>
      </c>
      <c r="K235" s="21">
        <f t="shared" si="23"/>
        <v>42675</v>
      </c>
      <c r="L235" s="16">
        <f t="shared" si="18"/>
        <v>6</v>
      </c>
      <c r="M235" s="17">
        <v>2.23333E-3</v>
      </c>
      <c r="N235" s="18">
        <f t="shared" si="19"/>
        <v>571.3447292454</v>
      </c>
      <c r="O235" s="15"/>
      <c r="P235" s="20">
        <f t="shared" si="20"/>
        <v>0</v>
      </c>
      <c r="Q235" s="15"/>
      <c r="R235" s="20">
        <f t="shared" si="21"/>
        <v>0</v>
      </c>
      <c r="S235" s="130"/>
      <c r="T235" s="20">
        <f t="shared" si="22"/>
        <v>603.56371673125</v>
      </c>
    </row>
    <row r="236" spans="1:20">
      <c r="A236" s="23" t="s">
        <v>29</v>
      </c>
      <c r="B236" s="14" t="s">
        <v>532</v>
      </c>
      <c r="C236" s="14" t="s">
        <v>533</v>
      </c>
      <c r="D236" s="13" t="s">
        <v>50</v>
      </c>
      <c r="E236" s="14" t="s">
        <v>534</v>
      </c>
      <c r="F236" s="13" t="s">
        <v>52</v>
      </c>
      <c r="G236" s="14" t="s">
        <v>20</v>
      </c>
      <c r="H236" s="14"/>
      <c r="I236" s="14">
        <v>201404</v>
      </c>
      <c r="J236" s="15">
        <v>-1913.53</v>
      </c>
      <c r="K236" s="21">
        <f t="shared" si="23"/>
        <v>42675</v>
      </c>
      <c r="L236" s="16">
        <f t="shared" si="18"/>
        <v>6</v>
      </c>
      <c r="M236" s="17">
        <v>2.23333E-3</v>
      </c>
      <c r="N236" s="18">
        <f t="shared" si="19"/>
        <v>-25.641263729399999</v>
      </c>
      <c r="O236" s="15"/>
      <c r="P236" s="20">
        <f t="shared" si="20"/>
        <v>0</v>
      </c>
      <c r="Q236" s="15"/>
      <c r="R236" s="20">
        <f t="shared" si="21"/>
        <v>0</v>
      </c>
      <c r="S236" s="130"/>
      <c r="T236" s="20">
        <f t="shared" si="22"/>
        <v>-27.087213106249997</v>
      </c>
    </row>
    <row r="237" spans="1:20">
      <c r="A237" s="23" t="s">
        <v>29</v>
      </c>
      <c r="B237" s="14" t="s">
        <v>37</v>
      </c>
      <c r="C237" s="14" t="s">
        <v>38</v>
      </c>
      <c r="D237" s="13" t="s">
        <v>39</v>
      </c>
      <c r="E237" s="14" t="s">
        <v>40</v>
      </c>
      <c r="F237" s="13" t="s">
        <v>41</v>
      </c>
      <c r="G237" s="14" t="s">
        <v>20</v>
      </c>
      <c r="H237" s="14"/>
      <c r="I237" s="14">
        <v>201404</v>
      </c>
      <c r="J237" s="15">
        <v>103336.57</v>
      </c>
      <c r="K237" s="21">
        <f t="shared" si="23"/>
        <v>42675</v>
      </c>
      <c r="L237" s="16">
        <f t="shared" si="18"/>
        <v>6</v>
      </c>
      <c r="M237" s="17">
        <v>2.23333E-3</v>
      </c>
      <c r="N237" s="18">
        <f t="shared" si="19"/>
        <v>1384.7079712686</v>
      </c>
      <c r="O237" s="15"/>
      <c r="P237" s="20">
        <f t="shared" si="20"/>
        <v>0</v>
      </c>
      <c r="Q237" s="15"/>
      <c r="R237" s="20">
        <f t="shared" si="21"/>
        <v>0</v>
      </c>
      <c r="S237" s="130"/>
      <c r="T237" s="20">
        <f t="shared" si="22"/>
        <v>1462.7937337062499</v>
      </c>
    </row>
    <row r="238" spans="1:20">
      <c r="A238" s="23" t="s">
        <v>29</v>
      </c>
      <c r="B238" s="14" t="s">
        <v>43</v>
      </c>
      <c r="C238" s="14" t="s">
        <v>44</v>
      </c>
      <c r="D238" s="13" t="s">
        <v>45</v>
      </c>
      <c r="E238" s="14" t="s">
        <v>46</v>
      </c>
      <c r="F238" s="13" t="s">
        <v>41</v>
      </c>
      <c r="G238" s="14" t="s">
        <v>20</v>
      </c>
      <c r="H238" s="14"/>
      <c r="I238" s="14">
        <v>201404</v>
      </c>
      <c r="J238" s="15">
        <v>11.25</v>
      </c>
      <c r="K238" s="21">
        <f t="shared" si="23"/>
        <v>42675</v>
      </c>
      <c r="L238" s="16">
        <f t="shared" si="18"/>
        <v>6</v>
      </c>
      <c r="M238" s="17">
        <v>2.23333E-3</v>
      </c>
      <c r="N238" s="18">
        <f t="shared" si="19"/>
        <v>0.15074977499999997</v>
      </c>
      <c r="O238" s="15"/>
      <c r="P238" s="20">
        <f t="shared" si="20"/>
        <v>0</v>
      </c>
      <c r="Q238" s="15"/>
      <c r="R238" s="20">
        <f t="shared" si="21"/>
        <v>0</v>
      </c>
      <c r="S238" s="130"/>
      <c r="T238" s="20">
        <f t="shared" si="22"/>
        <v>0.15925078124999997</v>
      </c>
    </row>
    <row r="239" spans="1:20">
      <c r="A239" s="23" t="s">
        <v>29</v>
      </c>
      <c r="B239" s="14" t="s">
        <v>48</v>
      </c>
      <c r="C239" s="14" t="s">
        <v>49</v>
      </c>
      <c r="D239" s="13" t="s">
        <v>50</v>
      </c>
      <c r="E239" s="14" t="s">
        <v>51</v>
      </c>
      <c r="F239" s="13" t="s">
        <v>52</v>
      </c>
      <c r="G239" s="14" t="s">
        <v>20</v>
      </c>
      <c r="H239" s="14"/>
      <c r="I239" s="14">
        <v>201404</v>
      </c>
      <c r="J239" s="15">
        <v>5414.89</v>
      </c>
      <c r="K239" s="21">
        <f t="shared" si="23"/>
        <v>42675</v>
      </c>
      <c r="L239" s="16">
        <f t="shared" si="18"/>
        <v>6</v>
      </c>
      <c r="M239" s="17">
        <v>2.23333E-3</v>
      </c>
      <c r="N239" s="18">
        <f t="shared" si="19"/>
        <v>72.559417702199994</v>
      </c>
      <c r="O239" s="15"/>
      <c r="P239" s="20">
        <f t="shared" si="20"/>
        <v>0</v>
      </c>
      <c r="Q239" s="15"/>
      <c r="R239" s="20">
        <f t="shared" si="21"/>
        <v>0</v>
      </c>
      <c r="S239" s="130"/>
      <c r="T239" s="20">
        <f t="shared" si="22"/>
        <v>76.651152256250001</v>
      </c>
    </row>
    <row r="240" spans="1:20">
      <c r="A240" s="23" t="s">
        <v>29</v>
      </c>
      <c r="B240" s="14" t="s">
        <v>54</v>
      </c>
      <c r="C240" s="14" t="s">
        <v>55</v>
      </c>
      <c r="D240" s="13" t="s">
        <v>56</v>
      </c>
      <c r="E240" s="14" t="s">
        <v>57</v>
      </c>
      <c r="F240" s="13" t="s">
        <v>58</v>
      </c>
      <c r="G240" s="14" t="s">
        <v>20</v>
      </c>
      <c r="H240" s="14"/>
      <c r="I240" s="14">
        <v>201404</v>
      </c>
      <c r="J240" s="15">
        <v>3986.33</v>
      </c>
      <c r="K240" s="21">
        <f t="shared" si="23"/>
        <v>42675</v>
      </c>
      <c r="L240" s="16">
        <f t="shared" si="18"/>
        <v>6</v>
      </c>
      <c r="M240" s="17">
        <v>2.23333E-3</v>
      </c>
      <c r="N240" s="18">
        <f t="shared" si="19"/>
        <v>53.416742273399997</v>
      </c>
      <c r="O240" s="15"/>
      <c r="P240" s="20">
        <f t="shared" si="20"/>
        <v>0</v>
      </c>
      <c r="Q240" s="15"/>
      <c r="R240" s="20">
        <f t="shared" si="21"/>
        <v>0</v>
      </c>
      <c r="S240" s="130"/>
      <c r="T240" s="20">
        <f t="shared" si="22"/>
        <v>56.428992606249999</v>
      </c>
    </row>
    <row r="241" spans="1:20">
      <c r="A241" s="13" t="s">
        <v>21</v>
      </c>
      <c r="B241" s="14" t="s">
        <v>535</v>
      </c>
      <c r="C241" s="14" t="s">
        <v>536</v>
      </c>
      <c r="D241" s="13" t="s">
        <v>537</v>
      </c>
      <c r="E241" s="14" t="s">
        <v>75</v>
      </c>
      <c r="F241" s="13" t="s">
        <v>26</v>
      </c>
      <c r="G241" s="14" t="s">
        <v>20</v>
      </c>
      <c r="H241" s="14"/>
      <c r="I241" s="14">
        <v>201404</v>
      </c>
      <c r="J241" s="15">
        <v>2802.48</v>
      </c>
      <c r="K241" s="21">
        <f t="shared" si="23"/>
        <v>42675</v>
      </c>
      <c r="L241" s="16">
        <f t="shared" si="18"/>
        <v>6</v>
      </c>
      <c r="M241" s="17">
        <v>1.4833299999999999E-3</v>
      </c>
      <c r="N241" s="18">
        <f t="shared" si="19"/>
        <v>24.942015950400002</v>
      </c>
      <c r="O241" s="15"/>
      <c r="P241" s="20">
        <f t="shared" si="20"/>
        <v>0</v>
      </c>
      <c r="Q241" s="15"/>
      <c r="R241" s="20">
        <f t="shared" si="21"/>
        <v>0</v>
      </c>
      <c r="S241" s="130"/>
      <c r="T241" s="20">
        <f t="shared" si="22"/>
        <v>39.670855950000004</v>
      </c>
    </row>
    <row r="242" spans="1:20">
      <c r="A242" s="13" t="s">
        <v>21</v>
      </c>
      <c r="B242" s="14" t="s">
        <v>538</v>
      </c>
      <c r="C242" s="14" t="s">
        <v>539</v>
      </c>
      <c r="D242" s="13" t="s">
        <v>540</v>
      </c>
      <c r="E242" s="14" t="s">
        <v>209</v>
      </c>
      <c r="F242" s="13" t="s">
        <v>88</v>
      </c>
      <c r="G242" s="14" t="s">
        <v>20</v>
      </c>
      <c r="H242" s="14"/>
      <c r="I242" s="14">
        <v>201404</v>
      </c>
      <c r="J242" s="15">
        <v>-675</v>
      </c>
      <c r="K242" s="21">
        <f t="shared" si="23"/>
        <v>42675</v>
      </c>
      <c r="L242" s="16">
        <f t="shared" si="18"/>
        <v>6</v>
      </c>
      <c r="M242" s="17">
        <v>1.4833299999999999E-3</v>
      </c>
      <c r="N242" s="18">
        <f t="shared" si="19"/>
        <v>-6.0074864999999997</v>
      </c>
      <c r="O242" s="15"/>
      <c r="P242" s="20">
        <f t="shared" si="20"/>
        <v>0</v>
      </c>
      <c r="Q242" s="15"/>
      <c r="R242" s="20">
        <f t="shared" si="21"/>
        <v>0</v>
      </c>
      <c r="S242" s="130"/>
      <c r="T242" s="20">
        <f t="shared" si="22"/>
        <v>-9.5550468749999986</v>
      </c>
    </row>
    <row r="243" spans="1:20">
      <c r="A243" s="13" t="s">
        <v>21</v>
      </c>
      <c r="B243" s="14" t="s">
        <v>60</v>
      </c>
      <c r="C243" s="14" t="s">
        <v>61</v>
      </c>
      <c r="D243" s="13" t="s">
        <v>62</v>
      </c>
      <c r="E243" s="14" t="s">
        <v>63</v>
      </c>
      <c r="F243" s="13" t="s">
        <v>19</v>
      </c>
      <c r="G243" s="14" t="s">
        <v>20</v>
      </c>
      <c r="H243" s="14"/>
      <c r="I243" s="14">
        <v>201404</v>
      </c>
      <c r="J243" s="15">
        <v>74965.97</v>
      </c>
      <c r="K243" s="21">
        <f t="shared" si="23"/>
        <v>42675</v>
      </c>
      <c r="L243" s="16">
        <f t="shared" si="18"/>
        <v>6</v>
      </c>
      <c r="M243" s="17">
        <v>1.4833299999999999E-3</v>
      </c>
      <c r="N243" s="18">
        <f t="shared" si="19"/>
        <v>667.19563368060005</v>
      </c>
      <c r="O243" s="15"/>
      <c r="P243" s="20">
        <f t="shared" si="20"/>
        <v>0</v>
      </c>
      <c r="Q243" s="15"/>
      <c r="R243" s="20">
        <f t="shared" si="21"/>
        <v>0</v>
      </c>
      <c r="S243" s="130"/>
      <c r="T243" s="20">
        <f t="shared" si="22"/>
        <v>1061.1901590812499</v>
      </c>
    </row>
    <row r="244" spans="1:20">
      <c r="A244" s="13" t="s">
        <v>21</v>
      </c>
      <c r="B244" s="14" t="s">
        <v>541</v>
      </c>
      <c r="C244" s="14" t="s">
        <v>542</v>
      </c>
      <c r="D244" s="13" t="s">
        <v>543</v>
      </c>
      <c r="E244" s="14" t="s">
        <v>544</v>
      </c>
      <c r="F244" s="13" t="s">
        <v>26</v>
      </c>
      <c r="G244" s="14" t="s">
        <v>20</v>
      </c>
      <c r="H244" s="14"/>
      <c r="I244" s="14">
        <v>201404</v>
      </c>
      <c r="J244" s="15">
        <v>-502.44</v>
      </c>
      <c r="K244" s="21">
        <f t="shared" si="23"/>
        <v>42675</v>
      </c>
      <c r="L244" s="16">
        <f t="shared" si="18"/>
        <v>6</v>
      </c>
      <c r="M244" s="17">
        <v>1.4833299999999999E-3</v>
      </c>
      <c r="N244" s="18">
        <f t="shared" si="19"/>
        <v>-4.4717059511999997</v>
      </c>
      <c r="O244" s="15"/>
      <c r="P244" s="20">
        <f t="shared" si="20"/>
        <v>0</v>
      </c>
      <c r="Q244" s="15"/>
      <c r="R244" s="20">
        <f t="shared" si="21"/>
        <v>0</v>
      </c>
      <c r="S244" s="130"/>
      <c r="T244" s="20">
        <f t="shared" si="22"/>
        <v>-7.1123522249999995</v>
      </c>
    </row>
    <row r="245" spans="1:20">
      <c r="A245" s="13" t="s">
        <v>21</v>
      </c>
      <c r="B245" s="14" t="s">
        <v>545</v>
      </c>
      <c r="C245" s="14" t="s">
        <v>546</v>
      </c>
      <c r="D245" s="13" t="s">
        <v>547</v>
      </c>
      <c r="E245" s="14" t="s">
        <v>497</v>
      </c>
      <c r="F245" s="13" t="s">
        <v>26</v>
      </c>
      <c r="G245" s="14" t="s">
        <v>20</v>
      </c>
      <c r="H245" s="14"/>
      <c r="I245" s="14">
        <v>201404</v>
      </c>
      <c r="J245" s="15">
        <v>1141.27</v>
      </c>
      <c r="K245" s="21">
        <f t="shared" si="23"/>
        <v>42675</v>
      </c>
      <c r="L245" s="16">
        <f t="shared" si="18"/>
        <v>6</v>
      </c>
      <c r="M245" s="17">
        <v>1.4833299999999999E-3</v>
      </c>
      <c r="N245" s="18">
        <f t="shared" si="19"/>
        <v>10.1572801746</v>
      </c>
      <c r="O245" s="15"/>
      <c r="P245" s="20">
        <f t="shared" si="20"/>
        <v>0</v>
      </c>
      <c r="Q245" s="15"/>
      <c r="R245" s="20">
        <f t="shared" si="21"/>
        <v>0</v>
      </c>
      <c r="S245" s="130"/>
      <c r="T245" s="20">
        <f t="shared" si="22"/>
        <v>16.155390143750001</v>
      </c>
    </row>
    <row r="246" spans="1:20">
      <c r="A246" s="13" t="s">
        <v>21</v>
      </c>
      <c r="B246" s="14" t="s">
        <v>64</v>
      </c>
      <c r="C246" s="14" t="s">
        <v>65</v>
      </c>
      <c r="D246" s="13" t="s">
        <v>66</v>
      </c>
      <c r="E246" s="14" t="s">
        <v>25</v>
      </c>
      <c r="F246" s="13" t="s">
        <v>26</v>
      </c>
      <c r="G246" s="14" t="s">
        <v>20</v>
      </c>
      <c r="H246" s="14"/>
      <c r="I246" s="14">
        <v>201404</v>
      </c>
      <c r="J246" s="15">
        <v>6685.18</v>
      </c>
      <c r="K246" s="21">
        <f t="shared" si="23"/>
        <v>42675</v>
      </c>
      <c r="L246" s="16">
        <f t="shared" si="18"/>
        <v>6</v>
      </c>
      <c r="M246" s="17">
        <v>1.4833299999999999E-3</v>
      </c>
      <c r="N246" s="18">
        <f t="shared" si="19"/>
        <v>59.497968296400003</v>
      </c>
      <c r="O246" s="15"/>
      <c r="P246" s="20">
        <f t="shared" si="20"/>
        <v>0</v>
      </c>
      <c r="Q246" s="15"/>
      <c r="R246" s="20">
        <f t="shared" si="21"/>
        <v>0</v>
      </c>
      <c r="S246" s="130"/>
      <c r="T246" s="20">
        <f t="shared" si="22"/>
        <v>94.632901137499999</v>
      </c>
    </row>
    <row r="247" spans="1:20">
      <c r="A247" s="13" t="s">
        <v>21</v>
      </c>
      <c r="B247" s="14" t="s">
        <v>67</v>
      </c>
      <c r="C247" s="14" t="s">
        <v>68</v>
      </c>
      <c r="D247" s="13" t="s">
        <v>69</v>
      </c>
      <c r="E247" s="14" t="s">
        <v>70</v>
      </c>
      <c r="F247" s="13" t="s">
        <v>71</v>
      </c>
      <c r="G247" s="14" t="s">
        <v>20</v>
      </c>
      <c r="H247" s="14"/>
      <c r="I247" s="14">
        <v>201404</v>
      </c>
      <c r="J247" s="15">
        <v>3758.39</v>
      </c>
      <c r="K247" s="21">
        <f t="shared" si="23"/>
        <v>42675</v>
      </c>
      <c r="L247" s="16">
        <f t="shared" si="18"/>
        <v>6</v>
      </c>
      <c r="M247" s="17">
        <v>1.4833299999999999E-3</v>
      </c>
      <c r="N247" s="18">
        <f t="shared" si="19"/>
        <v>33.449595832199996</v>
      </c>
      <c r="O247" s="15"/>
      <c r="P247" s="20">
        <f t="shared" si="20"/>
        <v>0</v>
      </c>
      <c r="Q247" s="15"/>
      <c r="R247" s="20">
        <f t="shared" si="21"/>
        <v>0</v>
      </c>
      <c r="S247" s="130"/>
      <c r="T247" s="20">
        <f t="shared" si="22"/>
        <v>53.202359443749998</v>
      </c>
    </row>
    <row r="248" spans="1:20">
      <c r="A248" s="13" t="s">
        <v>21</v>
      </c>
      <c r="B248" s="14" t="s">
        <v>72</v>
      </c>
      <c r="C248" s="14" t="s">
        <v>73</v>
      </c>
      <c r="D248" s="13" t="s">
        <v>74</v>
      </c>
      <c r="E248" s="14" t="s">
        <v>75</v>
      </c>
      <c r="F248" s="13" t="s">
        <v>26</v>
      </c>
      <c r="G248" s="14" t="s">
        <v>20</v>
      </c>
      <c r="H248" s="14"/>
      <c r="I248" s="14">
        <v>201404</v>
      </c>
      <c r="J248" s="15">
        <v>14774.37</v>
      </c>
      <c r="K248" s="21">
        <f t="shared" si="23"/>
        <v>42675</v>
      </c>
      <c r="L248" s="16">
        <f t="shared" si="18"/>
        <v>6</v>
      </c>
      <c r="M248" s="17">
        <v>1.4833299999999999E-3</v>
      </c>
      <c r="N248" s="18">
        <f t="shared" si="19"/>
        <v>131.49159751260001</v>
      </c>
      <c r="O248" s="15"/>
      <c r="P248" s="20">
        <f t="shared" si="20"/>
        <v>0</v>
      </c>
      <c r="Q248" s="15"/>
      <c r="R248" s="20">
        <f t="shared" si="21"/>
        <v>0</v>
      </c>
      <c r="S248" s="130"/>
      <c r="T248" s="20">
        <f t="shared" si="22"/>
        <v>209.14044133125</v>
      </c>
    </row>
    <row r="249" spans="1:20">
      <c r="A249" s="13" t="s">
        <v>21</v>
      </c>
      <c r="B249" s="14" t="s">
        <v>76</v>
      </c>
      <c r="C249" s="14" t="s">
        <v>77</v>
      </c>
      <c r="D249" s="13" t="s">
        <v>78</v>
      </c>
      <c r="E249" s="14" t="s">
        <v>79</v>
      </c>
      <c r="F249" s="13" t="s">
        <v>26</v>
      </c>
      <c r="G249" s="14" t="s">
        <v>20</v>
      </c>
      <c r="H249" s="14"/>
      <c r="I249" s="14">
        <v>201404</v>
      </c>
      <c r="J249" s="15">
        <v>5861.72</v>
      </c>
      <c r="K249" s="21">
        <f t="shared" si="23"/>
        <v>42675</v>
      </c>
      <c r="L249" s="16">
        <f t="shared" si="18"/>
        <v>6</v>
      </c>
      <c r="M249" s="17">
        <v>1.4833299999999999E-3</v>
      </c>
      <c r="N249" s="18">
        <f t="shared" si="19"/>
        <v>52.1691907656</v>
      </c>
      <c r="O249" s="15"/>
      <c r="P249" s="20">
        <f t="shared" si="20"/>
        <v>0</v>
      </c>
      <c r="Q249" s="15"/>
      <c r="R249" s="20">
        <f t="shared" si="21"/>
        <v>0</v>
      </c>
      <c r="S249" s="130"/>
      <c r="T249" s="20">
        <f t="shared" si="22"/>
        <v>82.976310175000009</v>
      </c>
    </row>
    <row r="250" spans="1:20">
      <c r="A250" s="13" t="s">
        <v>21</v>
      </c>
      <c r="B250" s="14" t="s">
        <v>428</v>
      </c>
      <c r="C250" s="14" t="s">
        <v>429</v>
      </c>
      <c r="D250" s="13" t="s">
        <v>430</v>
      </c>
      <c r="E250" s="14" t="s">
        <v>164</v>
      </c>
      <c r="F250" s="13" t="s">
        <v>165</v>
      </c>
      <c r="G250" s="14" t="s">
        <v>20</v>
      </c>
      <c r="H250" s="14"/>
      <c r="I250" s="14">
        <v>201404</v>
      </c>
      <c r="J250" s="15">
        <v>52302.82</v>
      </c>
      <c r="K250" s="21">
        <f t="shared" si="23"/>
        <v>42675</v>
      </c>
      <c r="L250" s="16">
        <f t="shared" si="18"/>
        <v>6</v>
      </c>
      <c r="M250" s="17">
        <v>1.4833299999999999E-3</v>
      </c>
      <c r="N250" s="18">
        <f t="shared" si="19"/>
        <v>465.49405194360003</v>
      </c>
      <c r="O250" s="15"/>
      <c r="P250" s="20">
        <f t="shared" si="20"/>
        <v>0</v>
      </c>
      <c r="Q250" s="15"/>
      <c r="R250" s="20">
        <f t="shared" si="21"/>
        <v>0</v>
      </c>
      <c r="S250" s="130"/>
      <c r="T250" s="20">
        <f t="shared" si="22"/>
        <v>740.3791063624999</v>
      </c>
    </row>
    <row r="251" spans="1:20">
      <c r="A251" s="13" t="s">
        <v>21</v>
      </c>
      <c r="B251" s="14" t="s">
        <v>81</v>
      </c>
      <c r="C251" s="14" t="s">
        <v>82</v>
      </c>
      <c r="D251" s="13" t="s">
        <v>83</v>
      </c>
      <c r="E251" s="14" t="s">
        <v>75</v>
      </c>
      <c r="F251" s="13" t="s">
        <v>26</v>
      </c>
      <c r="G251" s="14" t="s">
        <v>20</v>
      </c>
      <c r="H251" s="14"/>
      <c r="I251" s="14">
        <v>201404</v>
      </c>
      <c r="J251" s="15">
        <v>9340.58</v>
      </c>
      <c r="K251" s="21">
        <f t="shared" si="23"/>
        <v>42675</v>
      </c>
      <c r="L251" s="16">
        <f t="shared" si="18"/>
        <v>6</v>
      </c>
      <c r="M251" s="17">
        <v>1.4833299999999999E-3</v>
      </c>
      <c r="N251" s="18">
        <f t="shared" si="19"/>
        <v>83.130975188400001</v>
      </c>
      <c r="O251" s="15"/>
      <c r="P251" s="20">
        <f t="shared" si="20"/>
        <v>0</v>
      </c>
      <c r="Q251" s="15"/>
      <c r="R251" s="20">
        <f t="shared" si="21"/>
        <v>0</v>
      </c>
      <c r="S251" s="130"/>
      <c r="T251" s="20">
        <f t="shared" si="22"/>
        <v>132.2217477625</v>
      </c>
    </row>
    <row r="252" spans="1:20">
      <c r="A252" s="13" t="s">
        <v>21</v>
      </c>
      <c r="B252" s="14" t="s">
        <v>84</v>
      </c>
      <c r="C252" s="14" t="s">
        <v>85</v>
      </c>
      <c r="D252" s="13" t="s">
        <v>86</v>
      </c>
      <c r="E252" s="14" t="s">
        <v>87</v>
      </c>
      <c r="F252" s="13" t="s">
        <v>88</v>
      </c>
      <c r="G252" s="14" t="s">
        <v>20</v>
      </c>
      <c r="H252" s="14"/>
      <c r="I252" s="14">
        <v>201404</v>
      </c>
      <c r="J252" s="15">
        <v>6357.88</v>
      </c>
      <c r="K252" s="21">
        <f t="shared" si="23"/>
        <v>42675</v>
      </c>
      <c r="L252" s="16">
        <f t="shared" si="18"/>
        <v>6</v>
      </c>
      <c r="M252" s="17">
        <v>1.4833299999999999E-3</v>
      </c>
      <c r="N252" s="18">
        <f t="shared" si="19"/>
        <v>56.585004842400004</v>
      </c>
      <c r="O252" s="15"/>
      <c r="P252" s="20">
        <f t="shared" si="20"/>
        <v>0</v>
      </c>
      <c r="Q252" s="15"/>
      <c r="R252" s="20">
        <f t="shared" si="21"/>
        <v>0</v>
      </c>
      <c r="S252" s="130"/>
      <c r="T252" s="20">
        <f t="shared" si="22"/>
        <v>89.999765074999999</v>
      </c>
    </row>
    <row r="253" spans="1:20">
      <c r="A253" s="13" t="s">
        <v>21</v>
      </c>
      <c r="B253" s="14" t="s">
        <v>90</v>
      </c>
      <c r="C253" s="14" t="s">
        <v>91</v>
      </c>
      <c r="D253" s="13" t="s">
        <v>92</v>
      </c>
      <c r="E253" s="14" t="s">
        <v>93</v>
      </c>
      <c r="F253" s="13" t="s">
        <v>88</v>
      </c>
      <c r="G253" s="14" t="s">
        <v>20</v>
      </c>
      <c r="H253" s="14"/>
      <c r="I253" s="14">
        <v>201404</v>
      </c>
      <c r="J253" s="15">
        <v>1015.92</v>
      </c>
      <c r="K253" s="21">
        <f t="shared" si="23"/>
        <v>42675</v>
      </c>
      <c r="L253" s="16">
        <f t="shared" si="18"/>
        <v>6</v>
      </c>
      <c r="M253" s="17">
        <v>1.4833299999999999E-3</v>
      </c>
      <c r="N253" s="18">
        <f t="shared" si="19"/>
        <v>9.0416676815999999</v>
      </c>
      <c r="O253" s="15"/>
      <c r="P253" s="20">
        <f t="shared" si="20"/>
        <v>0</v>
      </c>
      <c r="Q253" s="15"/>
      <c r="R253" s="20">
        <f t="shared" si="21"/>
        <v>0</v>
      </c>
      <c r="S253" s="130"/>
      <c r="T253" s="20">
        <f t="shared" si="22"/>
        <v>14.380982549999999</v>
      </c>
    </row>
    <row r="254" spans="1:20">
      <c r="A254" s="13" t="s">
        <v>21</v>
      </c>
      <c r="B254" s="14" t="s">
        <v>364</v>
      </c>
      <c r="C254" s="14" t="s">
        <v>365</v>
      </c>
      <c r="D254" s="13" t="s">
        <v>366</v>
      </c>
      <c r="E254" s="14" t="s">
        <v>25</v>
      </c>
      <c r="F254" s="13" t="s">
        <v>26</v>
      </c>
      <c r="G254" s="14" t="s">
        <v>20</v>
      </c>
      <c r="H254" s="14"/>
      <c r="I254" s="14">
        <v>201404</v>
      </c>
      <c r="J254" s="15">
        <v>6666.43</v>
      </c>
      <c r="K254" s="21">
        <f t="shared" si="23"/>
        <v>42675</v>
      </c>
      <c r="L254" s="16">
        <f t="shared" si="18"/>
        <v>6</v>
      </c>
      <c r="M254" s="17">
        <v>1.4833299999999999E-3</v>
      </c>
      <c r="N254" s="18">
        <f t="shared" si="19"/>
        <v>59.331093671400005</v>
      </c>
      <c r="O254" s="15"/>
      <c r="P254" s="20">
        <f t="shared" si="20"/>
        <v>0</v>
      </c>
      <c r="Q254" s="15"/>
      <c r="R254" s="20">
        <f t="shared" si="21"/>
        <v>0</v>
      </c>
      <c r="S254" s="130"/>
      <c r="T254" s="20">
        <f t="shared" si="22"/>
        <v>94.367483168749999</v>
      </c>
    </row>
    <row r="255" spans="1:20">
      <c r="A255" s="13" t="s">
        <v>21</v>
      </c>
      <c r="B255" s="14" t="s">
        <v>367</v>
      </c>
      <c r="C255" s="14" t="s">
        <v>368</v>
      </c>
      <c r="D255" s="13" t="s">
        <v>369</v>
      </c>
      <c r="E255" s="14" t="s">
        <v>63</v>
      </c>
      <c r="F255" s="13" t="s">
        <v>19</v>
      </c>
      <c r="G255" s="14" t="s">
        <v>20</v>
      </c>
      <c r="H255" s="14"/>
      <c r="I255" s="14">
        <v>201404</v>
      </c>
      <c r="J255" s="15">
        <v>1455.35</v>
      </c>
      <c r="K255" s="21">
        <f t="shared" si="23"/>
        <v>42675</v>
      </c>
      <c r="L255" s="16">
        <f t="shared" si="18"/>
        <v>6</v>
      </c>
      <c r="M255" s="17">
        <v>1.4833299999999999E-3</v>
      </c>
      <c r="N255" s="18">
        <f t="shared" si="19"/>
        <v>12.952585892999998</v>
      </c>
      <c r="O255" s="15"/>
      <c r="P255" s="20">
        <f t="shared" si="20"/>
        <v>0</v>
      </c>
      <c r="Q255" s="15"/>
      <c r="R255" s="20">
        <f t="shared" si="21"/>
        <v>0</v>
      </c>
      <c r="S255" s="130"/>
      <c r="T255" s="20">
        <f t="shared" si="22"/>
        <v>20.601388843749998</v>
      </c>
    </row>
    <row r="256" spans="1:20">
      <c r="A256" s="13" t="s">
        <v>21</v>
      </c>
      <c r="B256" s="14" t="s">
        <v>95</v>
      </c>
      <c r="C256" s="14" t="s">
        <v>96</v>
      </c>
      <c r="D256" s="13" t="s">
        <v>97</v>
      </c>
      <c r="E256" s="14" t="s">
        <v>75</v>
      </c>
      <c r="F256" s="13" t="s">
        <v>26</v>
      </c>
      <c r="G256" s="14" t="s">
        <v>20</v>
      </c>
      <c r="H256" s="14"/>
      <c r="I256" s="14">
        <v>201404</v>
      </c>
      <c r="J256" s="15">
        <v>4412.97</v>
      </c>
      <c r="K256" s="21">
        <f t="shared" si="23"/>
        <v>42675</v>
      </c>
      <c r="L256" s="16">
        <f t="shared" si="18"/>
        <v>6</v>
      </c>
      <c r="M256" s="17">
        <v>1.4833299999999999E-3</v>
      </c>
      <c r="N256" s="18">
        <f t="shared" si="19"/>
        <v>39.275344740600005</v>
      </c>
      <c r="O256" s="15"/>
      <c r="P256" s="20">
        <f t="shared" si="20"/>
        <v>0</v>
      </c>
      <c r="Q256" s="15"/>
      <c r="R256" s="20">
        <f t="shared" si="21"/>
        <v>0</v>
      </c>
      <c r="S256" s="130"/>
      <c r="T256" s="20">
        <f t="shared" si="22"/>
        <v>62.468348456250006</v>
      </c>
    </row>
    <row r="257" spans="1:20">
      <c r="A257" s="13" t="s">
        <v>21</v>
      </c>
      <c r="B257" s="14" t="s">
        <v>431</v>
      </c>
      <c r="C257" s="14" t="s">
        <v>432</v>
      </c>
      <c r="D257" s="13" t="s">
        <v>433</v>
      </c>
      <c r="E257" s="14" t="s">
        <v>75</v>
      </c>
      <c r="F257" s="13" t="s">
        <v>26</v>
      </c>
      <c r="G257" s="14" t="s">
        <v>20</v>
      </c>
      <c r="H257" s="14"/>
      <c r="I257" s="14">
        <v>201404</v>
      </c>
      <c r="J257" s="15">
        <v>57497.04</v>
      </c>
      <c r="K257" s="21">
        <f t="shared" si="23"/>
        <v>42675</v>
      </c>
      <c r="L257" s="16">
        <f t="shared" si="18"/>
        <v>6</v>
      </c>
      <c r="M257" s="17">
        <v>1.4833299999999999E-3</v>
      </c>
      <c r="N257" s="18">
        <f t="shared" si="19"/>
        <v>511.72250605919999</v>
      </c>
      <c r="O257" s="15"/>
      <c r="P257" s="20">
        <f t="shared" si="20"/>
        <v>0</v>
      </c>
      <c r="Q257" s="15"/>
      <c r="R257" s="20">
        <f t="shared" si="21"/>
        <v>0</v>
      </c>
      <c r="S257" s="130"/>
      <c r="T257" s="20">
        <f t="shared" si="22"/>
        <v>813.90653684999995</v>
      </c>
    </row>
    <row r="258" spans="1:20">
      <c r="A258" s="13" t="s">
        <v>21</v>
      </c>
      <c r="B258" s="14" t="s">
        <v>99</v>
      </c>
      <c r="C258" s="14" t="s">
        <v>100</v>
      </c>
      <c r="D258" s="13" t="s">
        <v>101</v>
      </c>
      <c r="E258" s="14" t="s">
        <v>102</v>
      </c>
      <c r="F258" s="13" t="s">
        <v>19</v>
      </c>
      <c r="G258" s="14" t="s">
        <v>20</v>
      </c>
      <c r="H258" s="14"/>
      <c r="I258" s="14">
        <v>201404</v>
      </c>
      <c r="J258" s="15">
        <v>4758.22</v>
      </c>
      <c r="K258" s="21">
        <f t="shared" si="23"/>
        <v>42675</v>
      </c>
      <c r="L258" s="16">
        <f t="shared" si="18"/>
        <v>6</v>
      </c>
      <c r="M258" s="17">
        <v>1.4833299999999999E-3</v>
      </c>
      <c r="N258" s="18">
        <f t="shared" si="19"/>
        <v>42.348062835600004</v>
      </c>
      <c r="O258" s="15"/>
      <c r="P258" s="20">
        <f t="shared" si="20"/>
        <v>0</v>
      </c>
      <c r="Q258" s="15"/>
      <c r="R258" s="20">
        <f t="shared" si="21"/>
        <v>0</v>
      </c>
      <c r="S258" s="130"/>
      <c r="T258" s="20">
        <f t="shared" si="22"/>
        <v>67.355577987499998</v>
      </c>
    </row>
    <row r="259" spans="1:20">
      <c r="A259" s="13" t="s">
        <v>21</v>
      </c>
      <c r="B259" s="14" t="s">
        <v>434</v>
      </c>
      <c r="C259" s="14" t="s">
        <v>435</v>
      </c>
      <c r="D259" s="13" t="s">
        <v>436</v>
      </c>
      <c r="E259" s="14" t="s">
        <v>93</v>
      </c>
      <c r="F259" s="13" t="s">
        <v>88</v>
      </c>
      <c r="G259" s="14" t="s">
        <v>20</v>
      </c>
      <c r="H259" s="14"/>
      <c r="I259" s="14">
        <v>201404</v>
      </c>
      <c r="J259" s="15">
        <v>9562.14</v>
      </c>
      <c r="K259" s="21">
        <f t="shared" si="23"/>
        <v>42675</v>
      </c>
      <c r="L259" s="16">
        <f t="shared" si="18"/>
        <v>6</v>
      </c>
      <c r="M259" s="17">
        <v>1.4833299999999999E-3</v>
      </c>
      <c r="N259" s="18">
        <f t="shared" si="19"/>
        <v>85.102854757199992</v>
      </c>
      <c r="O259" s="15"/>
      <c r="P259" s="20">
        <f t="shared" si="20"/>
        <v>0</v>
      </c>
      <c r="Q259" s="15"/>
      <c r="R259" s="20">
        <f t="shared" si="21"/>
        <v>0</v>
      </c>
      <c r="S259" s="130"/>
      <c r="T259" s="20">
        <f t="shared" si="22"/>
        <v>135.35806803749998</v>
      </c>
    </row>
    <row r="260" spans="1:20">
      <c r="A260" s="13" t="s">
        <v>21</v>
      </c>
      <c r="B260" s="14" t="s">
        <v>370</v>
      </c>
      <c r="C260" s="14" t="s">
        <v>371</v>
      </c>
      <c r="D260" s="13" t="s">
        <v>372</v>
      </c>
      <c r="E260" s="14" t="s">
        <v>63</v>
      </c>
      <c r="F260" s="13" t="s">
        <v>19</v>
      </c>
      <c r="G260" s="14" t="s">
        <v>20</v>
      </c>
      <c r="H260" s="14"/>
      <c r="I260" s="14">
        <v>201404</v>
      </c>
      <c r="J260" s="15">
        <v>4821.8999999999996</v>
      </c>
      <c r="K260" s="21">
        <f t="shared" si="23"/>
        <v>42675</v>
      </c>
      <c r="L260" s="16">
        <f t="shared" si="18"/>
        <v>6</v>
      </c>
      <c r="M260" s="17">
        <v>1.4833299999999999E-3</v>
      </c>
      <c r="N260" s="18">
        <f t="shared" si="19"/>
        <v>42.914813561999999</v>
      </c>
      <c r="O260" s="15"/>
      <c r="P260" s="20">
        <f t="shared" si="20"/>
        <v>0</v>
      </c>
      <c r="Q260" s="15"/>
      <c r="R260" s="20">
        <f t="shared" si="21"/>
        <v>0</v>
      </c>
      <c r="S260" s="130"/>
      <c r="T260" s="20">
        <f t="shared" si="22"/>
        <v>68.257008187499991</v>
      </c>
    </row>
    <row r="261" spans="1:20">
      <c r="A261" s="23" t="s">
        <v>29</v>
      </c>
      <c r="B261" s="14" t="s">
        <v>103</v>
      </c>
      <c r="C261" s="14" t="s">
        <v>104</v>
      </c>
      <c r="D261" s="13" t="s">
        <v>105</v>
      </c>
      <c r="E261" s="14" t="s">
        <v>106</v>
      </c>
      <c r="F261" s="13" t="s">
        <v>34</v>
      </c>
      <c r="G261" s="14" t="s">
        <v>20</v>
      </c>
      <c r="H261" s="14"/>
      <c r="I261" s="14">
        <v>201404</v>
      </c>
      <c r="J261" s="15">
        <v>3328.3</v>
      </c>
      <c r="K261" s="21">
        <f t="shared" si="23"/>
        <v>42675</v>
      </c>
      <c r="L261" s="16">
        <f t="shared" si="18"/>
        <v>6</v>
      </c>
      <c r="M261" s="17">
        <v>2.23333E-3</v>
      </c>
      <c r="N261" s="18">
        <f t="shared" si="19"/>
        <v>44.599153434000002</v>
      </c>
      <c r="O261" s="15"/>
      <c r="P261" s="20">
        <f t="shared" si="20"/>
        <v>0</v>
      </c>
      <c r="Q261" s="15"/>
      <c r="R261" s="20">
        <f t="shared" si="21"/>
        <v>0</v>
      </c>
      <c r="S261" s="130"/>
      <c r="T261" s="20">
        <f t="shared" si="22"/>
        <v>47.114166687499996</v>
      </c>
    </row>
    <row r="262" spans="1:20">
      <c r="A262" s="23" t="s">
        <v>29</v>
      </c>
      <c r="B262" s="14" t="s">
        <v>107</v>
      </c>
      <c r="C262" s="14" t="s">
        <v>108</v>
      </c>
      <c r="D262" s="13" t="s">
        <v>109</v>
      </c>
      <c r="E262" s="14" t="s">
        <v>110</v>
      </c>
      <c r="F262" s="13" t="s">
        <v>52</v>
      </c>
      <c r="G262" s="14" t="s">
        <v>20</v>
      </c>
      <c r="H262" s="14"/>
      <c r="I262" s="14">
        <v>201404</v>
      </c>
      <c r="J262" s="15">
        <v>82528.86</v>
      </c>
      <c r="K262" s="21">
        <f t="shared" si="23"/>
        <v>42675</v>
      </c>
      <c r="L262" s="16">
        <f t="shared" ref="L262:L325" si="24">((YEAR($L$1)-YEAR(K262))*12+MONTH($L$1)-MONTH(K262))</f>
        <v>6</v>
      </c>
      <c r="M262" s="17">
        <v>2.23333E-3</v>
      </c>
      <c r="N262" s="18">
        <f t="shared" ref="N262:N325" si="25">M262*L262*J262</f>
        <v>1105.8850734227999</v>
      </c>
      <c r="O262" s="15"/>
      <c r="P262" s="20">
        <f t="shared" ref="P262:P325" si="26">$P$4*(J262*0.5)*$V$10</f>
        <v>0</v>
      </c>
      <c r="Q262" s="15"/>
      <c r="R262" s="20">
        <f t="shared" ref="R262:R325" si="27">$R$4*(J262*0.5)*$V$9</f>
        <v>0</v>
      </c>
      <c r="S262" s="130"/>
      <c r="T262" s="20">
        <f t="shared" ref="T262:T325" si="28">$T$4*(J262*0.5)*$V$11</f>
        <v>1168.2475938375001</v>
      </c>
    </row>
    <row r="263" spans="1:20">
      <c r="A263" s="23" t="s">
        <v>29</v>
      </c>
      <c r="B263" s="14" t="s">
        <v>548</v>
      </c>
      <c r="C263" s="14" t="s">
        <v>549</v>
      </c>
      <c r="D263" s="13" t="s">
        <v>327</v>
      </c>
      <c r="E263" s="14" t="s">
        <v>550</v>
      </c>
      <c r="F263" s="13" t="s">
        <v>58</v>
      </c>
      <c r="G263" s="14" t="s">
        <v>20</v>
      </c>
      <c r="H263" s="14"/>
      <c r="I263" s="14">
        <v>201404</v>
      </c>
      <c r="J263" s="15">
        <v>311.74</v>
      </c>
      <c r="K263" s="21">
        <f t="shared" ref="K263:K326" si="29">+K262</f>
        <v>42675</v>
      </c>
      <c r="L263" s="16">
        <f t="shared" si="24"/>
        <v>6</v>
      </c>
      <c r="M263" s="17">
        <v>2.23333E-3</v>
      </c>
      <c r="N263" s="18">
        <f t="shared" si="25"/>
        <v>4.1773097651999995</v>
      </c>
      <c r="O263" s="15"/>
      <c r="P263" s="20">
        <f t="shared" si="26"/>
        <v>0</v>
      </c>
      <c r="Q263" s="15"/>
      <c r="R263" s="20">
        <f t="shared" si="27"/>
        <v>0</v>
      </c>
      <c r="S263" s="130"/>
      <c r="T263" s="20">
        <f t="shared" si="28"/>
        <v>4.4128745375000005</v>
      </c>
    </row>
    <row r="264" spans="1:20">
      <c r="A264" s="23" t="s">
        <v>29</v>
      </c>
      <c r="B264" s="14" t="s">
        <v>111</v>
      </c>
      <c r="C264" s="14" t="s">
        <v>112</v>
      </c>
      <c r="D264" s="13" t="s">
        <v>113</v>
      </c>
      <c r="E264" s="14" t="s">
        <v>114</v>
      </c>
      <c r="F264" s="13" t="s">
        <v>115</v>
      </c>
      <c r="G264" s="14" t="s">
        <v>20</v>
      </c>
      <c r="H264" s="14"/>
      <c r="I264" s="14">
        <v>201404</v>
      </c>
      <c r="J264" s="15">
        <v>18846.759999999998</v>
      </c>
      <c r="K264" s="21">
        <f t="shared" si="29"/>
        <v>42675</v>
      </c>
      <c r="L264" s="16">
        <f t="shared" si="24"/>
        <v>6</v>
      </c>
      <c r="M264" s="17">
        <v>2.23333E-3</v>
      </c>
      <c r="N264" s="18">
        <f t="shared" si="25"/>
        <v>252.54620706479994</v>
      </c>
      <c r="O264" s="15"/>
      <c r="P264" s="20">
        <f t="shared" si="26"/>
        <v>0</v>
      </c>
      <c r="Q264" s="15"/>
      <c r="R264" s="20">
        <f t="shared" si="27"/>
        <v>0</v>
      </c>
      <c r="S264" s="130"/>
      <c r="T264" s="20">
        <f t="shared" si="28"/>
        <v>266.78766702499996</v>
      </c>
    </row>
    <row r="265" spans="1:20">
      <c r="A265" s="13" t="s">
        <v>21</v>
      </c>
      <c r="B265" s="14" t="s">
        <v>551</v>
      </c>
      <c r="C265" s="14" t="s">
        <v>552</v>
      </c>
      <c r="D265" s="13" t="s">
        <v>553</v>
      </c>
      <c r="E265" s="14" t="s">
        <v>260</v>
      </c>
      <c r="F265" s="13" t="s">
        <v>26</v>
      </c>
      <c r="G265" s="14" t="s">
        <v>20</v>
      </c>
      <c r="H265" s="14"/>
      <c r="I265" s="14">
        <v>201404</v>
      </c>
      <c r="J265" s="15">
        <v>3128.02</v>
      </c>
      <c r="K265" s="21">
        <f t="shared" si="29"/>
        <v>42675</v>
      </c>
      <c r="L265" s="16">
        <f t="shared" si="24"/>
        <v>6</v>
      </c>
      <c r="M265" s="17">
        <v>1.4833299999999999E-3</v>
      </c>
      <c r="N265" s="18">
        <f t="shared" si="25"/>
        <v>27.8393154396</v>
      </c>
      <c r="O265" s="15"/>
      <c r="P265" s="20">
        <f t="shared" si="26"/>
        <v>0</v>
      </c>
      <c r="Q265" s="15"/>
      <c r="R265" s="20">
        <f t="shared" si="27"/>
        <v>0</v>
      </c>
      <c r="S265" s="130"/>
      <c r="T265" s="20">
        <f t="shared" si="28"/>
        <v>44.279078112499995</v>
      </c>
    </row>
    <row r="266" spans="1:20">
      <c r="A266" s="13" t="s">
        <v>554</v>
      </c>
      <c r="B266" s="14" t="s">
        <v>116</v>
      </c>
      <c r="C266" s="14" t="s">
        <v>117</v>
      </c>
      <c r="D266" s="13" t="s">
        <v>118</v>
      </c>
      <c r="E266" s="14" t="s">
        <v>119</v>
      </c>
      <c r="F266" s="13" t="s">
        <v>120</v>
      </c>
      <c r="G266" s="14" t="s">
        <v>20</v>
      </c>
      <c r="H266" s="14"/>
      <c r="I266" s="14">
        <v>201404</v>
      </c>
      <c r="J266" s="15">
        <v>185452.24</v>
      </c>
      <c r="K266" s="21">
        <f t="shared" si="29"/>
        <v>42675</v>
      </c>
      <c r="L266" s="16">
        <f t="shared" si="24"/>
        <v>6</v>
      </c>
      <c r="M266" s="17">
        <v>1.4833299999999999E-3</v>
      </c>
      <c r="N266" s="18">
        <f t="shared" si="25"/>
        <v>1650.5212269551998</v>
      </c>
      <c r="O266" s="15"/>
      <c r="P266" s="20">
        <f t="shared" si="26"/>
        <v>0</v>
      </c>
      <c r="Q266" s="15"/>
      <c r="R266" s="20">
        <f t="shared" si="27"/>
        <v>0</v>
      </c>
      <c r="S266" s="130"/>
      <c r="T266" s="20">
        <f t="shared" si="28"/>
        <v>2625.1923648499996</v>
      </c>
    </row>
    <row r="267" spans="1:20">
      <c r="A267" s="23" t="s">
        <v>29</v>
      </c>
      <c r="B267" s="14" t="s">
        <v>555</v>
      </c>
      <c r="C267" s="14" t="s">
        <v>556</v>
      </c>
      <c r="D267" s="13" t="s">
        <v>45</v>
      </c>
      <c r="E267" s="14" t="s">
        <v>557</v>
      </c>
      <c r="F267" s="13" t="s">
        <v>41</v>
      </c>
      <c r="G267" s="14" t="s">
        <v>20</v>
      </c>
      <c r="H267" s="14"/>
      <c r="I267" s="14">
        <v>201404</v>
      </c>
      <c r="J267" s="15">
        <v>7209.27</v>
      </c>
      <c r="K267" s="21">
        <f t="shared" si="29"/>
        <v>42675</v>
      </c>
      <c r="L267" s="16">
        <f t="shared" si="24"/>
        <v>6</v>
      </c>
      <c r="M267" s="17">
        <v>2.23333E-3</v>
      </c>
      <c r="N267" s="18">
        <f t="shared" si="25"/>
        <v>96.6040738146</v>
      </c>
      <c r="O267" s="15"/>
      <c r="P267" s="20">
        <f t="shared" si="26"/>
        <v>0</v>
      </c>
      <c r="Q267" s="15"/>
      <c r="R267" s="20">
        <f t="shared" si="27"/>
        <v>0</v>
      </c>
      <c r="S267" s="130"/>
      <c r="T267" s="20">
        <f t="shared" si="28"/>
        <v>102.05172264375</v>
      </c>
    </row>
    <row r="268" spans="1:20">
      <c r="A268" s="23" t="s">
        <v>29</v>
      </c>
      <c r="B268" s="14" t="s">
        <v>121</v>
      </c>
      <c r="C268" s="14" t="s">
        <v>122</v>
      </c>
      <c r="D268" s="13" t="s">
        <v>50</v>
      </c>
      <c r="E268" s="14" t="s">
        <v>123</v>
      </c>
      <c r="F268" s="13" t="s">
        <v>52</v>
      </c>
      <c r="G268" s="14" t="s">
        <v>20</v>
      </c>
      <c r="H268" s="14"/>
      <c r="I268" s="14">
        <v>201404</v>
      </c>
      <c r="J268" s="15">
        <v>966.08</v>
      </c>
      <c r="K268" s="21">
        <f t="shared" si="29"/>
        <v>42675</v>
      </c>
      <c r="L268" s="16">
        <f t="shared" si="24"/>
        <v>6</v>
      </c>
      <c r="M268" s="17">
        <v>2.23333E-3</v>
      </c>
      <c r="N268" s="18">
        <f t="shared" si="25"/>
        <v>12.945452678399999</v>
      </c>
      <c r="O268" s="15"/>
      <c r="P268" s="20">
        <f t="shared" si="26"/>
        <v>0</v>
      </c>
      <c r="Q268" s="15"/>
      <c r="R268" s="20">
        <f t="shared" si="27"/>
        <v>0</v>
      </c>
      <c r="S268" s="130"/>
      <c r="T268" s="20">
        <f t="shared" si="28"/>
        <v>13.675466200000001</v>
      </c>
    </row>
    <row r="269" spans="1:20">
      <c r="A269" s="23" t="s">
        <v>29</v>
      </c>
      <c r="B269" s="14" t="s">
        <v>124</v>
      </c>
      <c r="C269" s="14" t="s">
        <v>125</v>
      </c>
      <c r="D269" s="13" t="s">
        <v>50</v>
      </c>
      <c r="E269" s="14" t="s">
        <v>126</v>
      </c>
      <c r="F269" s="13" t="s">
        <v>52</v>
      </c>
      <c r="G269" s="14" t="s">
        <v>20</v>
      </c>
      <c r="H269" s="14"/>
      <c r="I269" s="14">
        <v>201404</v>
      </c>
      <c r="J269" s="15">
        <v>16556.64</v>
      </c>
      <c r="K269" s="21">
        <f t="shared" si="29"/>
        <v>42675</v>
      </c>
      <c r="L269" s="16">
        <f t="shared" si="24"/>
        <v>6</v>
      </c>
      <c r="M269" s="17">
        <v>2.23333E-3</v>
      </c>
      <c r="N269" s="18">
        <f t="shared" si="25"/>
        <v>221.85864486719998</v>
      </c>
      <c r="O269" s="15"/>
      <c r="P269" s="20">
        <f t="shared" si="26"/>
        <v>0</v>
      </c>
      <c r="Q269" s="15"/>
      <c r="R269" s="20">
        <f t="shared" si="27"/>
        <v>0</v>
      </c>
      <c r="S269" s="130"/>
      <c r="T269" s="20">
        <f t="shared" si="28"/>
        <v>234.36958709999999</v>
      </c>
    </row>
    <row r="270" spans="1:20">
      <c r="A270" s="13" t="s">
        <v>21</v>
      </c>
      <c r="B270" s="14" t="s">
        <v>558</v>
      </c>
      <c r="C270" s="14" t="s">
        <v>559</v>
      </c>
      <c r="D270" s="13" t="s">
        <v>560</v>
      </c>
      <c r="E270" s="14" t="s">
        <v>87</v>
      </c>
      <c r="F270" s="13" t="s">
        <v>88</v>
      </c>
      <c r="G270" s="14" t="s">
        <v>20</v>
      </c>
      <c r="H270" s="14"/>
      <c r="I270" s="14">
        <v>201404</v>
      </c>
      <c r="J270" s="15">
        <v>2845.41</v>
      </c>
      <c r="K270" s="21">
        <f t="shared" si="29"/>
        <v>42675</v>
      </c>
      <c r="L270" s="16">
        <f t="shared" si="24"/>
        <v>6</v>
      </c>
      <c r="M270" s="17">
        <v>1.4833299999999999E-3</v>
      </c>
      <c r="N270" s="18">
        <f t="shared" si="25"/>
        <v>25.324092091799997</v>
      </c>
      <c r="O270" s="15"/>
      <c r="P270" s="20">
        <f t="shared" si="26"/>
        <v>0</v>
      </c>
      <c r="Q270" s="15"/>
      <c r="R270" s="20">
        <f t="shared" si="27"/>
        <v>0</v>
      </c>
      <c r="S270" s="130"/>
      <c r="T270" s="20">
        <f t="shared" si="28"/>
        <v>40.278556931249994</v>
      </c>
    </row>
    <row r="271" spans="1:20">
      <c r="A271" s="13" t="s">
        <v>21</v>
      </c>
      <c r="B271" s="14" t="s">
        <v>561</v>
      </c>
      <c r="C271" s="14" t="s">
        <v>562</v>
      </c>
      <c r="D271" s="13" t="s">
        <v>563</v>
      </c>
      <c r="E271" s="14" t="s">
        <v>75</v>
      </c>
      <c r="F271" s="13" t="s">
        <v>26</v>
      </c>
      <c r="G271" s="14" t="s">
        <v>20</v>
      </c>
      <c r="H271" s="14"/>
      <c r="I271" s="14">
        <v>201404</v>
      </c>
      <c r="J271" s="15">
        <v>-110.43</v>
      </c>
      <c r="K271" s="21">
        <f t="shared" si="29"/>
        <v>42675</v>
      </c>
      <c r="L271" s="16">
        <f t="shared" si="24"/>
        <v>6</v>
      </c>
      <c r="M271" s="17">
        <v>1.4833299999999999E-3</v>
      </c>
      <c r="N271" s="18">
        <f t="shared" si="25"/>
        <v>-0.98282479140000012</v>
      </c>
      <c r="O271" s="15"/>
      <c r="P271" s="20">
        <f t="shared" si="26"/>
        <v>0</v>
      </c>
      <c r="Q271" s="15"/>
      <c r="R271" s="20">
        <f t="shared" si="27"/>
        <v>0</v>
      </c>
      <c r="S271" s="130"/>
      <c r="T271" s="20">
        <f t="shared" si="28"/>
        <v>-1.56320566875</v>
      </c>
    </row>
    <row r="272" spans="1:20">
      <c r="A272" s="13" t="s">
        <v>127</v>
      </c>
      <c r="B272" s="14" t="s">
        <v>128</v>
      </c>
      <c r="C272" s="14" t="s">
        <v>129</v>
      </c>
      <c r="D272" s="13" t="s">
        <v>130</v>
      </c>
      <c r="E272" s="14" t="s">
        <v>131</v>
      </c>
      <c r="F272" s="13" t="s">
        <v>132</v>
      </c>
      <c r="G272" s="14" t="s">
        <v>20</v>
      </c>
      <c r="H272" s="14"/>
      <c r="I272" s="14">
        <v>201404</v>
      </c>
      <c r="J272" s="15">
        <v>829.58</v>
      </c>
      <c r="K272" s="21">
        <f t="shared" si="29"/>
        <v>42675</v>
      </c>
      <c r="L272" s="16">
        <f t="shared" si="24"/>
        <v>6</v>
      </c>
      <c r="M272" s="17">
        <v>2.3833299999999999E-3</v>
      </c>
      <c r="N272" s="18">
        <f t="shared" si="25"/>
        <v>11.862977408400001</v>
      </c>
      <c r="O272" s="15"/>
      <c r="P272" s="20">
        <f t="shared" si="26"/>
        <v>0</v>
      </c>
      <c r="Q272" s="15"/>
      <c r="R272" s="20">
        <f t="shared" si="27"/>
        <v>0</v>
      </c>
      <c r="S272" s="130"/>
      <c r="T272" s="20">
        <f t="shared" si="28"/>
        <v>11.743223387499999</v>
      </c>
    </row>
    <row r="273" spans="1:20">
      <c r="A273" s="13" t="s">
        <v>21</v>
      </c>
      <c r="B273" s="14" t="s">
        <v>564</v>
      </c>
      <c r="C273" s="14" t="s">
        <v>565</v>
      </c>
      <c r="D273" s="13" t="s">
        <v>566</v>
      </c>
      <c r="E273" s="14" t="s">
        <v>75</v>
      </c>
      <c r="F273" s="13" t="s">
        <v>26</v>
      </c>
      <c r="G273" s="14" t="s">
        <v>20</v>
      </c>
      <c r="H273" s="14"/>
      <c r="I273" s="14">
        <v>201404</v>
      </c>
      <c r="J273" s="15">
        <v>6.55</v>
      </c>
      <c r="K273" s="21">
        <f t="shared" si="29"/>
        <v>42675</v>
      </c>
      <c r="L273" s="16">
        <f t="shared" si="24"/>
        <v>6</v>
      </c>
      <c r="M273" s="17">
        <v>1.4833299999999999E-3</v>
      </c>
      <c r="N273" s="18">
        <f t="shared" si="25"/>
        <v>5.8294868999999999E-2</v>
      </c>
      <c r="O273" s="15"/>
      <c r="P273" s="20">
        <f t="shared" si="26"/>
        <v>0</v>
      </c>
      <c r="Q273" s="15"/>
      <c r="R273" s="20">
        <f t="shared" si="27"/>
        <v>0</v>
      </c>
      <c r="S273" s="130"/>
      <c r="T273" s="20">
        <f t="shared" si="28"/>
        <v>9.2719343749999988E-2</v>
      </c>
    </row>
    <row r="274" spans="1:20">
      <c r="A274" s="13" t="s">
        <v>21</v>
      </c>
      <c r="B274" s="14" t="s">
        <v>567</v>
      </c>
      <c r="C274" s="14" t="s">
        <v>565</v>
      </c>
      <c r="D274" s="13" t="s">
        <v>566</v>
      </c>
      <c r="E274" s="14" t="s">
        <v>75</v>
      </c>
      <c r="F274" s="13" t="s">
        <v>26</v>
      </c>
      <c r="G274" s="14" t="s">
        <v>20</v>
      </c>
      <c r="H274" s="14"/>
      <c r="I274" s="14">
        <v>201404</v>
      </c>
      <c r="J274" s="15">
        <v>5884.54</v>
      </c>
      <c r="K274" s="21">
        <f t="shared" si="29"/>
        <v>42675</v>
      </c>
      <c r="L274" s="16">
        <f t="shared" si="24"/>
        <v>6</v>
      </c>
      <c r="M274" s="17">
        <v>1.4833299999999999E-3</v>
      </c>
      <c r="N274" s="18">
        <f t="shared" si="25"/>
        <v>52.372288309200002</v>
      </c>
      <c r="O274" s="15"/>
      <c r="P274" s="20">
        <f t="shared" si="26"/>
        <v>0</v>
      </c>
      <c r="Q274" s="15"/>
      <c r="R274" s="20">
        <f t="shared" si="27"/>
        <v>0</v>
      </c>
      <c r="S274" s="130"/>
      <c r="T274" s="20">
        <f t="shared" si="28"/>
        <v>83.299341537499998</v>
      </c>
    </row>
    <row r="275" spans="1:20">
      <c r="A275" s="13" t="s">
        <v>21</v>
      </c>
      <c r="B275" s="14" t="s">
        <v>373</v>
      </c>
      <c r="C275" s="14" t="s">
        <v>374</v>
      </c>
      <c r="D275" s="13" t="s">
        <v>375</v>
      </c>
      <c r="E275" s="14" t="s">
        <v>164</v>
      </c>
      <c r="F275" s="13" t="s">
        <v>165</v>
      </c>
      <c r="G275" s="14" t="s">
        <v>20</v>
      </c>
      <c r="H275" s="14"/>
      <c r="I275" s="14">
        <v>201404</v>
      </c>
      <c r="J275" s="15">
        <v>2371.11</v>
      </c>
      <c r="K275" s="21">
        <f t="shared" si="29"/>
        <v>42675</v>
      </c>
      <c r="L275" s="16">
        <f t="shared" si="24"/>
        <v>6</v>
      </c>
      <c r="M275" s="17">
        <v>1.4833299999999999E-3</v>
      </c>
      <c r="N275" s="18">
        <f t="shared" si="25"/>
        <v>21.1028315778</v>
      </c>
      <c r="O275" s="15"/>
      <c r="P275" s="20">
        <f t="shared" si="26"/>
        <v>0</v>
      </c>
      <c r="Q275" s="15"/>
      <c r="R275" s="20">
        <f t="shared" si="27"/>
        <v>0</v>
      </c>
      <c r="S275" s="130"/>
      <c r="T275" s="20">
        <f t="shared" si="28"/>
        <v>33.56454399375</v>
      </c>
    </row>
    <row r="276" spans="1:20">
      <c r="A276" s="13" t="s">
        <v>21</v>
      </c>
      <c r="B276" s="14" t="s">
        <v>139</v>
      </c>
      <c r="C276" s="14" t="s">
        <v>140</v>
      </c>
      <c r="D276" s="13" t="s">
        <v>141</v>
      </c>
      <c r="E276" s="14" t="s">
        <v>142</v>
      </c>
      <c r="F276" s="13" t="s">
        <v>143</v>
      </c>
      <c r="G276" s="14" t="s">
        <v>20</v>
      </c>
      <c r="H276" s="14"/>
      <c r="I276" s="14">
        <v>201404</v>
      </c>
      <c r="J276" s="15">
        <v>2363.61</v>
      </c>
      <c r="K276" s="21">
        <f t="shared" si="29"/>
        <v>42675</v>
      </c>
      <c r="L276" s="16">
        <f t="shared" si="24"/>
        <v>6</v>
      </c>
      <c r="M276" s="17">
        <v>1.4833299999999999E-3</v>
      </c>
      <c r="N276" s="18">
        <f t="shared" si="25"/>
        <v>21.036081727800003</v>
      </c>
      <c r="O276" s="15"/>
      <c r="P276" s="20">
        <f t="shared" si="26"/>
        <v>0</v>
      </c>
      <c r="Q276" s="15"/>
      <c r="R276" s="20">
        <f t="shared" si="27"/>
        <v>0</v>
      </c>
      <c r="S276" s="130"/>
      <c r="T276" s="20">
        <f t="shared" si="28"/>
        <v>33.458376806249994</v>
      </c>
    </row>
    <row r="277" spans="1:20">
      <c r="A277" s="13" t="s">
        <v>21</v>
      </c>
      <c r="B277" s="14" t="s">
        <v>144</v>
      </c>
      <c r="C277" s="14" t="s">
        <v>145</v>
      </c>
      <c r="D277" s="13" t="s">
        <v>146</v>
      </c>
      <c r="E277" s="14" t="s">
        <v>142</v>
      </c>
      <c r="F277" s="13" t="s">
        <v>143</v>
      </c>
      <c r="G277" s="14" t="s">
        <v>20</v>
      </c>
      <c r="H277" s="14"/>
      <c r="I277" s="14">
        <v>201404</v>
      </c>
      <c r="J277" s="15">
        <v>3805.98</v>
      </c>
      <c r="K277" s="21">
        <f t="shared" si="29"/>
        <v>42675</v>
      </c>
      <c r="L277" s="16">
        <f t="shared" si="24"/>
        <v>6</v>
      </c>
      <c r="M277" s="17">
        <v>1.4833299999999999E-3</v>
      </c>
      <c r="N277" s="18">
        <f t="shared" si="25"/>
        <v>33.873145880400003</v>
      </c>
      <c r="O277" s="15"/>
      <c r="P277" s="20">
        <f t="shared" si="26"/>
        <v>0</v>
      </c>
      <c r="Q277" s="15"/>
      <c r="R277" s="20">
        <f t="shared" si="27"/>
        <v>0</v>
      </c>
      <c r="S277" s="130"/>
      <c r="T277" s="20">
        <f t="shared" si="28"/>
        <v>53.876025637499993</v>
      </c>
    </row>
    <row r="278" spans="1:20">
      <c r="A278" s="13" t="s">
        <v>21</v>
      </c>
      <c r="B278" s="14" t="s">
        <v>147</v>
      </c>
      <c r="C278" s="14" t="s">
        <v>148</v>
      </c>
      <c r="D278" s="13" t="s">
        <v>149</v>
      </c>
      <c r="E278" s="14" t="s">
        <v>75</v>
      </c>
      <c r="F278" s="13" t="s">
        <v>26</v>
      </c>
      <c r="G278" s="14" t="s">
        <v>20</v>
      </c>
      <c r="H278" s="14"/>
      <c r="I278" s="14">
        <v>201404</v>
      </c>
      <c r="J278" s="15">
        <v>3515.67</v>
      </c>
      <c r="K278" s="21">
        <f t="shared" si="29"/>
        <v>42675</v>
      </c>
      <c r="L278" s="16">
        <f t="shared" si="24"/>
        <v>6</v>
      </c>
      <c r="M278" s="17">
        <v>1.4833299999999999E-3</v>
      </c>
      <c r="N278" s="18">
        <f t="shared" si="25"/>
        <v>31.289392686599999</v>
      </c>
      <c r="O278" s="15"/>
      <c r="P278" s="20">
        <f t="shared" si="26"/>
        <v>0</v>
      </c>
      <c r="Q278" s="15"/>
      <c r="R278" s="20">
        <f t="shared" si="27"/>
        <v>0</v>
      </c>
      <c r="S278" s="130"/>
      <c r="T278" s="20">
        <f t="shared" si="28"/>
        <v>49.76650614375</v>
      </c>
    </row>
    <row r="279" spans="1:20">
      <c r="A279" s="13" t="s">
        <v>21</v>
      </c>
      <c r="B279" s="14" t="s">
        <v>568</v>
      </c>
      <c r="C279" s="14" t="s">
        <v>569</v>
      </c>
      <c r="D279" s="13" t="s">
        <v>570</v>
      </c>
      <c r="E279" s="14" t="s">
        <v>209</v>
      </c>
      <c r="F279" s="13" t="s">
        <v>88</v>
      </c>
      <c r="G279" s="14" t="s">
        <v>20</v>
      </c>
      <c r="H279" s="14"/>
      <c r="I279" s="14">
        <v>201404</v>
      </c>
      <c r="J279" s="15">
        <v>375.17</v>
      </c>
      <c r="K279" s="21">
        <f t="shared" si="29"/>
        <v>42675</v>
      </c>
      <c r="L279" s="16">
        <f t="shared" si="24"/>
        <v>6</v>
      </c>
      <c r="M279" s="17">
        <v>1.4833299999999999E-3</v>
      </c>
      <c r="N279" s="18">
        <f t="shared" si="25"/>
        <v>3.3390054966</v>
      </c>
      <c r="O279" s="15"/>
      <c r="P279" s="20">
        <f t="shared" si="26"/>
        <v>0</v>
      </c>
      <c r="Q279" s="15"/>
      <c r="R279" s="20">
        <f t="shared" si="27"/>
        <v>0</v>
      </c>
      <c r="S279" s="130"/>
      <c r="T279" s="20">
        <f t="shared" si="28"/>
        <v>5.3107658312500003</v>
      </c>
    </row>
    <row r="280" spans="1:20">
      <c r="A280" s="13" t="s">
        <v>21</v>
      </c>
      <c r="B280" s="14" t="s">
        <v>150</v>
      </c>
      <c r="C280" s="14" t="s">
        <v>151</v>
      </c>
      <c r="D280" s="13" t="s">
        <v>152</v>
      </c>
      <c r="E280" s="14" t="s">
        <v>75</v>
      </c>
      <c r="F280" s="13" t="s">
        <v>26</v>
      </c>
      <c r="G280" s="14" t="s">
        <v>20</v>
      </c>
      <c r="H280" s="14"/>
      <c r="I280" s="14">
        <v>201404</v>
      </c>
      <c r="J280" s="15">
        <v>2155.64</v>
      </c>
      <c r="K280" s="21">
        <f t="shared" si="29"/>
        <v>42675</v>
      </c>
      <c r="L280" s="16">
        <f t="shared" si="24"/>
        <v>6</v>
      </c>
      <c r="M280" s="17">
        <v>1.4833299999999999E-3</v>
      </c>
      <c r="N280" s="18">
        <f t="shared" si="25"/>
        <v>19.185152887199997</v>
      </c>
      <c r="O280" s="15"/>
      <c r="P280" s="20">
        <f t="shared" si="26"/>
        <v>0</v>
      </c>
      <c r="Q280" s="15"/>
      <c r="R280" s="20">
        <f t="shared" si="27"/>
        <v>0</v>
      </c>
      <c r="S280" s="130"/>
      <c r="T280" s="20">
        <f t="shared" si="28"/>
        <v>30.514431474999995</v>
      </c>
    </row>
    <row r="281" spans="1:20">
      <c r="A281" s="13" t="s">
        <v>21</v>
      </c>
      <c r="B281" s="14" t="s">
        <v>571</v>
      </c>
      <c r="C281" s="14" t="s">
        <v>572</v>
      </c>
      <c r="D281" s="13" t="s">
        <v>573</v>
      </c>
      <c r="E281" s="14" t="s">
        <v>79</v>
      </c>
      <c r="F281" s="13" t="s">
        <v>26</v>
      </c>
      <c r="G281" s="14" t="s">
        <v>20</v>
      </c>
      <c r="H281" s="14"/>
      <c r="I281" s="14">
        <v>201404</v>
      </c>
      <c r="J281" s="15">
        <v>36639.24</v>
      </c>
      <c r="K281" s="21">
        <f t="shared" si="29"/>
        <v>42675</v>
      </c>
      <c r="L281" s="16">
        <f t="shared" si="24"/>
        <v>6</v>
      </c>
      <c r="M281" s="17">
        <v>1.4833299999999999E-3</v>
      </c>
      <c r="N281" s="18">
        <f t="shared" si="25"/>
        <v>326.08850321519998</v>
      </c>
      <c r="O281" s="15"/>
      <c r="P281" s="20">
        <f t="shared" si="26"/>
        <v>0</v>
      </c>
      <c r="Q281" s="15"/>
      <c r="R281" s="20">
        <f t="shared" si="27"/>
        <v>0</v>
      </c>
      <c r="S281" s="130"/>
      <c r="T281" s="20">
        <f t="shared" si="28"/>
        <v>518.65134172499995</v>
      </c>
    </row>
    <row r="282" spans="1:20">
      <c r="A282" s="13" t="s">
        <v>21</v>
      </c>
      <c r="B282" s="14" t="s">
        <v>574</v>
      </c>
      <c r="C282" s="14" t="s">
        <v>575</v>
      </c>
      <c r="D282" s="13" t="s">
        <v>576</v>
      </c>
      <c r="E282" s="14" t="s">
        <v>87</v>
      </c>
      <c r="F282" s="13" t="s">
        <v>88</v>
      </c>
      <c r="G282" s="14" t="s">
        <v>20</v>
      </c>
      <c r="H282" s="14"/>
      <c r="I282" s="14">
        <v>201404</v>
      </c>
      <c r="J282" s="15">
        <v>28377.5</v>
      </c>
      <c r="K282" s="21">
        <f t="shared" si="29"/>
        <v>42675</v>
      </c>
      <c r="L282" s="16">
        <f t="shared" si="24"/>
        <v>6</v>
      </c>
      <c r="M282" s="17">
        <v>1.4833299999999999E-3</v>
      </c>
      <c r="N282" s="18">
        <f t="shared" si="25"/>
        <v>252.55918245000001</v>
      </c>
      <c r="O282" s="15"/>
      <c r="P282" s="20">
        <f t="shared" si="26"/>
        <v>0</v>
      </c>
      <c r="Q282" s="15"/>
      <c r="R282" s="20">
        <f t="shared" si="27"/>
        <v>0</v>
      </c>
      <c r="S282" s="130"/>
      <c r="T282" s="20">
        <f t="shared" si="28"/>
        <v>401.7012484375</v>
      </c>
    </row>
    <row r="283" spans="1:20">
      <c r="A283" s="13" t="s">
        <v>21</v>
      </c>
      <c r="B283" s="14" t="s">
        <v>153</v>
      </c>
      <c r="C283" s="14" t="s">
        <v>154</v>
      </c>
      <c r="D283" s="13" t="s">
        <v>155</v>
      </c>
      <c r="E283" s="14" t="s">
        <v>156</v>
      </c>
      <c r="F283" s="13" t="s">
        <v>26</v>
      </c>
      <c r="G283" s="14" t="s">
        <v>20</v>
      </c>
      <c r="H283" s="14"/>
      <c r="I283" s="14">
        <v>201404</v>
      </c>
      <c r="J283" s="15">
        <v>2282.4699999999998</v>
      </c>
      <c r="K283" s="21">
        <f t="shared" si="29"/>
        <v>42675</v>
      </c>
      <c r="L283" s="16">
        <f t="shared" si="24"/>
        <v>6</v>
      </c>
      <c r="M283" s="17">
        <v>1.4833299999999999E-3</v>
      </c>
      <c r="N283" s="18">
        <f t="shared" si="25"/>
        <v>20.3139373506</v>
      </c>
      <c r="O283" s="15"/>
      <c r="P283" s="20">
        <f t="shared" si="26"/>
        <v>0</v>
      </c>
      <c r="Q283" s="15"/>
      <c r="R283" s="20">
        <f t="shared" si="27"/>
        <v>0</v>
      </c>
      <c r="S283" s="130"/>
      <c r="T283" s="20">
        <f t="shared" si="28"/>
        <v>32.309789393749995</v>
      </c>
    </row>
    <row r="284" spans="1:20">
      <c r="A284" s="13" t="s">
        <v>21</v>
      </c>
      <c r="B284" s="14" t="s">
        <v>577</v>
      </c>
      <c r="C284" s="14" t="s">
        <v>578</v>
      </c>
      <c r="D284" s="13" t="s">
        <v>579</v>
      </c>
      <c r="E284" s="14" t="s">
        <v>75</v>
      </c>
      <c r="F284" s="13" t="s">
        <v>26</v>
      </c>
      <c r="G284" s="14" t="s">
        <v>20</v>
      </c>
      <c r="H284" s="14"/>
      <c r="I284" s="14">
        <v>201404</v>
      </c>
      <c r="J284" s="15">
        <v>2070.58</v>
      </c>
      <c r="K284" s="21">
        <f t="shared" si="29"/>
        <v>42675</v>
      </c>
      <c r="L284" s="16">
        <f t="shared" si="24"/>
        <v>6</v>
      </c>
      <c r="M284" s="17">
        <v>1.4833299999999999E-3</v>
      </c>
      <c r="N284" s="18">
        <f t="shared" si="25"/>
        <v>18.428120588399999</v>
      </c>
      <c r="O284" s="15"/>
      <c r="P284" s="20">
        <f t="shared" si="26"/>
        <v>0</v>
      </c>
      <c r="Q284" s="15"/>
      <c r="R284" s="20">
        <f t="shared" si="27"/>
        <v>0</v>
      </c>
      <c r="S284" s="130"/>
      <c r="T284" s="20">
        <f t="shared" si="28"/>
        <v>29.310354012499996</v>
      </c>
    </row>
    <row r="285" spans="1:20">
      <c r="A285" s="13" t="s">
        <v>21</v>
      </c>
      <c r="B285" s="14" t="s">
        <v>157</v>
      </c>
      <c r="C285" s="14" t="s">
        <v>158</v>
      </c>
      <c r="D285" s="13" t="s">
        <v>159</v>
      </c>
      <c r="E285" s="14" t="s">
        <v>160</v>
      </c>
      <c r="F285" s="13" t="s">
        <v>19</v>
      </c>
      <c r="G285" s="14" t="s">
        <v>20</v>
      </c>
      <c r="H285" s="14"/>
      <c r="I285" s="14">
        <v>201404</v>
      </c>
      <c r="J285" s="15">
        <v>959.79</v>
      </c>
      <c r="K285" s="21">
        <f t="shared" si="29"/>
        <v>42675</v>
      </c>
      <c r="L285" s="16">
        <f t="shared" si="24"/>
        <v>6</v>
      </c>
      <c r="M285" s="17">
        <v>1.4833299999999999E-3</v>
      </c>
      <c r="N285" s="18">
        <f t="shared" si="25"/>
        <v>8.5421118041999993</v>
      </c>
      <c r="O285" s="15"/>
      <c r="P285" s="20">
        <f t="shared" si="26"/>
        <v>0</v>
      </c>
      <c r="Q285" s="15"/>
      <c r="R285" s="20">
        <f t="shared" si="27"/>
        <v>0</v>
      </c>
      <c r="S285" s="130"/>
      <c r="T285" s="20">
        <f t="shared" si="28"/>
        <v>13.586427318749999</v>
      </c>
    </row>
    <row r="286" spans="1:20">
      <c r="A286" s="13" t="s">
        <v>21</v>
      </c>
      <c r="B286" s="14" t="s">
        <v>376</v>
      </c>
      <c r="C286" s="14" t="s">
        <v>377</v>
      </c>
      <c r="D286" s="13" t="s">
        <v>378</v>
      </c>
      <c r="E286" s="14" t="s">
        <v>156</v>
      </c>
      <c r="F286" s="13" t="s">
        <v>26</v>
      </c>
      <c r="G286" s="14" t="s">
        <v>20</v>
      </c>
      <c r="H286" s="14"/>
      <c r="I286" s="14">
        <v>201404</v>
      </c>
      <c r="J286" s="15">
        <v>20696.169999999998</v>
      </c>
      <c r="K286" s="21">
        <f t="shared" si="29"/>
        <v>42675</v>
      </c>
      <c r="L286" s="16">
        <f t="shared" si="24"/>
        <v>6</v>
      </c>
      <c r="M286" s="17">
        <v>1.4833299999999999E-3</v>
      </c>
      <c r="N286" s="18">
        <f t="shared" si="25"/>
        <v>184.19549907659999</v>
      </c>
      <c r="O286" s="15"/>
      <c r="P286" s="20">
        <f t="shared" si="26"/>
        <v>0</v>
      </c>
      <c r="Q286" s="15"/>
      <c r="R286" s="20">
        <f t="shared" si="27"/>
        <v>0</v>
      </c>
      <c r="S286" s="130"/>
      <c r="T286" s="20">
        <f t="shared" si="28"/>
        <v>292.96722145624994</v>
      </c>
    </row>
    <row r="287" spans="1:20">
      <c r="A287" s="13" t="s">
        <v>21</v>
      </c>
      <c r="B287" s="14" t="s">
        <v>161</v>
      </c>
      <c r="C287" s="14" t="s">
        <v>162</v>
      </c>
      <c r="D287" s="13" t="s">
        <v>163</v>
      </c>
      <c r="E287" s="14" t="s">
        <v>164</v>
      </c>
      <c r="F287" s="13" t="s">
        <v>165</v>
      </c>
      <c r="G287" s="14" t="s">
        <v>20</v>
      </c>
      <c r="H287" s="14"/>
      <c r="I287" s="14">
        <v>201404</v>
      </c>
      <c r="J287" s="15">
        <v>5475.24</v>
      </c>
      <c r="K287" s="21">
        <f t="shared" si="29"/>
        <v>42675</v>
      </c>
      <c r="L287" s="16">
        <f t="shared" si="24"/>
        <v>6</v>
      </c>
      <c r="M287" s="17">
        <v>1.4833299999999999E-3</v>
      </c>
      <c r="N287" s="18">
        <f t="shared" si="25"/>
        <v>48.729526495199998</v>
      </c>
      <c r="O287" s="15"/>
      <c r="P287" s="20">
        <f t="shared" si="26"/>
        <v>0</v>
      </c>
      <c r="Q287" s="15"/>
      <c r="R287" s="20">
        <f t="shared" si="27"/>
        <v>0</v>
      </c>
      <c r="S287" s="130"/>
      <c r="T287" s="20">
        <f t="shared" si="28"/>
        <v>77.505444224999991</v>
      </c>
    </row>
    <row r="288" spans="1:20">
      <c r="A288" s="13" t="s">
        <v>21</v>
      </c>
      <c r="B288" s="14" t="s">
        <v>166</v>
      </c>
      <c r="C288" s="14" t="s">
        <v>167</v>
      </c>
      <c r="D288" s="13" t="s">
        <v>168</v>
      </c>
      <c r="E288" s="14" t="s">
        <v>102</v>
      </c>
      <c r="F288" s="13" t="s">
        <v>19</v>
      </c>
      <c r="G288" s="14" t="s">
        <v>20</v>
      </c>
      <c r="H288" s="14"/>
      <c r="I288" s="14">
        <v>201404</v>
      </c>
      <c r="J288" s="15">
        <v>793</v>
      </c>
      <c r="K288" s="21">
        <f t="shared" si="29"/>
        <v>42675</v>
      </c>
      <c r="L288" s="16">
        <f t="shared" si="24"/>
        <v>6</v>
      </c>
      <c r="M288" s="17">
        <v>1.4833299999999999E-3</v>
      </c>
      <c r="N288" s="18">
        <f t="shared" si="25"/>
        <v>7.0576841400000001</v>
      </c>
      <c r="O288" s="15"/>
      <c r="P288" s="20">
        <f t="shared" si="26"/>
        <v>0</v>
      </c>
      <c r="Q288" s="15"/>
      <c r="R288" s="20">
        <f t="shared" si="27"/>
        <v>0</v>
      </c>
      <c r="S288" s="130"/>
      <c r="T288" s="20">
        <f t="shared" si="28"/>
        <v>11.225410624999999</v>
      </c>
    </row>
    <row r="289" spans="1:20">
      <c r="A289" s="13" t="s">
        <v>21</v>
      </c>
      <c r="B289" s="14" t="s">
        <v>379</v>
      </c>
      <c r="C289" s="14" t="s">
        <v>380</v>
      </c>
      <c r="D289" s="13" t="s">
        <v>381</v>
      </c>
      <c r="E289" s="14" t="s">
        <v>164</v>
      </c>
      <c r="F289" s="13" t="s">
        <v>165</v>
      </c>
      <c r="G289" s="14" t="s">
        <v>20</v>
      </c>
      <c r="H289" s="14"/>
      <c r="I289" s="14">
        <v>201404</v>
      </c>
      <c r="J289" s="15">
        <v>5399.77</v>
      </c>
      <c r="K289" s="21">
        <f t="shared" si="29"/>
        <v>42675</v>
      </c>
      <c r="L289" s="16">
        <f t="shared" si="24"/>
        <v>6</v>
      </c>
      <c r="M289" s="17">
        <v>1.4833299999999999E-3</v>
      </c>
      <c r="N289" s="18">
        <f t="shared" si="25"/>
        <v>48.057845004600004</v>
      </c>
      <c r="O289" s="15"/>
      <c r="P289" s="20">
        <f t="shared" si="26"/>
        <v>0</v>
      </c>
      <c r="Q289" s="15"/>
      <c r="R289" s="20">
        <f t="shared" si="27"/>
        <v>0</v>
      </c>
      <c r="S289" s="130"/>
      <c r="T289" s="20">
        <f t="shared" si="28"/>
        <v>76.437119206250003</v>
      </c>
    </row>
    <row r="290" spans="1:20">
      <c r="A290" s="13" t="s">
        <v>21</v>
      </c>
      <c r="B290" s="14" t="s">
        <v>385</v>
      </c>
      <c r="C290" s="14" t="s">
        <v>386</v>
      </c>
      <c r="D290" s="13" t="s">
        <v>387</v>
      </c>
      <c r="E290" s="14" t="s">
        <v>164</v>
      </c>
      <c r="F290" s="13" t="s">
        <v>165</v>
      </c>
      <c r="G290" s="14" t="s">
        <v>20</v>
      </c>
      <c r="H290" s="14"/>
      <c r="I290" s="14">
        <v>201404</v>
      </c>
      <c r="J290" s="15">
        <v>6293.74</v>
      </c>
      <c r="K290" s="21">
        <f t="shared" si="29"/>
        <v>42675</v>
      </c>
      <c r="L290" s="16">
        <f t="shared" si="24"/>
        <v>6</v>
      </c>
      <c r="M290" s="17">
        <v>1.4833299999999999E-3</v>
      </c>
      <c r="N290" s="18">
        <f t="shared" si="25"/>
        <v>56.0141601252</v>
      </c>
      <c r="O290" s="15"/>
      <c r="P290" s="20">
        <f t="shared" si="26"/>
        <v>0</v>
      </c>
      <c r="Q290" s="15"/>
      <c r="R290" s="20">
        <f t="shared" si="27"/>
        <v>0</v>
      </c>
      <c r="S290" s="130"/>
      <c r="T290" s="20">
        <f t="shared" si="28"/>
        <v>89.091823287499992</v>
      </c>
    </row>
    <row r="291" spans="1:20">
      <c r="A291" s="13" t="s">
        <v>21</v>
      </c>
      <c r="B291" s="14" t="s">
        <v>169</v>
      </c>
      <c r="C291" s="14" t="s">
        <v>170</v>
      </c>
      <c r="D291" s="13" t="s">
        <v>171</v>
      </c>
      <c r="E291" s="14" t="s">
        <v>172</v>
      </c>
      <c r="F291" s="13" t="s">
        <v>173</v>
      </c>
      <c r="G291" s="14" t="s">
        <v>20</v>
      </c>
      <c r="H291" s="14"/>
      <c r="I291" s="14">
        <v>201404</v>
      </c>
      <c r="J291" s="15">
        <v>4653.93</v>
      </c>
      <c r="K291" s="21">
        <f t="shared" si="29"/>
        <v>42675</v>
      </c>
      <c r="L291" s="16">
        <f t="shared" si="24"/>
        <v>6</v>
      </c>
      <c r="M291" s="17">
        <v>1.4833299999999999E-3</v>
      </c>
      <c r="N291" s="18">
        <f t="shared" si="25"/>
        <v>41.4198839214</v>
      </c>
      <c r="O291" s="15"/>
      <c r="P291" s="20">
        <f t="shared" si="26"/>
        <v>0</v>
      </c>
      <c r="Q291" s="15"/>
      <c r="R291" s="20">
        <f t="shared" si="27"/>
        <v>0</v>
      </c>
      <c r="S291" s="130"/>
      <c r="T291" s="20">
        <f t="shared" si="28"/>
        <v>65.879287856250002</v>
      </c>
    </row>
    <row r="292" spans="1:20">
      <c r="A292" s="13" t="s">
        <v>21</v>
      </c>
      <c r="B292" s="14" t="s">
        <v>443</v>
      </c>
      <c r="C292" s="14" t="s">
        <v>444</v>
      </c>
      <c r="D292" s="13" t="s">
        <v>445</v>
      </c>
      <c r="E292" s="14" t="s">
        <v>25</v>
      </c>
      <c r="F292" s="13" t="s">
        <v>26</v>
      </c>
      <c r="G292" s="14" t="s">
        <v>20</v>
      </c>
      <c r="H292" s="14"/>
      <c r="I292" s="14">
        <v>201404</v>
      </c>
      <c r="J292" s="15">
        <v>10096.4</v>
      </c>
      <c r="K292" s="21">
        <f t="shared" si="29"/>
        <v>42675</v>
      </c>
      <c r="L292" s="16">
        <f t="shared" si="24"/>
        <v>6</v>
      </c>
      <c r="M292" s="17">
        <v>1.4833299999999999E-3</v>
      </c>
      <c r="N292" s="18">
        <f t="shared" si="25"/>
        <v>89.857758071999996</v>
      </c>
      <c r="O292" s="15"/>
      <c r="P292" s="20">
        <f t="shared" si="26"/>
        <v>0</v>
      </c>
      <c r="Q292" s="15"/>
      <c r="R292" s="20">
        <f t="shared" si="27"/>
        <v>0</v>
      </c>
      <c r="S292" s="130"/>
      <c r="T292" s="20">
        <f t="shared" si="28"/>
        <v>142.92085225</v>
      </c>
    </row>
    <row r="293" spans="1:20">
      <c r="A293" s="13" t="s">
        <v>21</v>
      </c>
      <c r="B293" s="14" t="s">
        <v>446</v>
      </c>
      <c r="C293" s="14" t="s">
        <v>447</v>
      </c>
      <c r="D293" s="13" t="s">
        <v>448</v>
      </c>
      <c r="E293" s="14" t="s">
        <v>63</v>
      </c>
      <c r="F293" s="13" t="s">
        <v>19</v>
      </c>
      <c r="G293" s="14" t="s">
        <v>20</v>
      </c>
      <c r="H293" s="14"/>
      <c r="I293" s="14">
        <v>201404</v>
      </c>
      <c r="J293" s="15">
        <v>3899.33</v>
      </c>
      <c r="K293" s="21">
        <f t="shared" si="29"/>
        <v>42675</v>
      </c>
      <c r="L293" s="16">
        <f t="shared" si="24"/>
        <v>6</v>
      </c>
      <c r="M293" s="17">
        <v>1.4833299999999999E-3</v>
      </c>
      <c r="N293" s="18">
        <f t="shared" si="25"/>
        <v>34.703959013400002</v>
      </c>
      <c r="O293" s="15"/>
      <c r="P293" s="20">
        <f t="shared" si="26"/>
        <v>0</v>
      </c>
      <c r="Q293" s="15"/>
      <c r="R293" s="20">
        <f t="shared" si="27"/>
        <v>0</v>
      </c>
      <c r="S293" s="130"/>
      <c r="T293" s="20">
        <f t="shared" si="28"/>
        <v>55.197453231249995</v>
      </c>
    </row>
    <row r="294" spans="1:20">
      <c r="A294" s="13" t="s">
        <v>21</v>
      </c>
      <c r="B294" s="14" t="s">
        <v>580</v>
      </c>
      <c r="C294" s="14" t="s">
        <v>581</v>
      </c>
      <c r="D294" s="13" t="s">
        <v>582</v>
      </c>
      <c r="E294" s="14" t="s">
        <v>79</v>
      </c>
      <c r="F294" s="13" t="s">
        <v>26</v>
      </c>
      <c r="G294" s="14" t="s">
        <v>20</v>
      </c>
      <c r="H294" s="14"/>
      <c r="I294" s="14">
        <v>201404</v>
      </c>
      <c r="J294" s="15">
        <v>21924.42</v>
      </c>
      <c r="K294" s="21">
        <f t="shared" si="29"/>
        <v>42675</v>
      </c>
      <c r="L294" s="16">
        <f t="shared" si="24"/>
        <v>6</v>
      </c>
      <c r="M294" s="17">
        <v>1.4833299999999999E-3</v>
      </c>
      <c r="N294" s="18">
        <f t="shared" si="25"/>
        <v>195.12689951159999</v>
      </c>
      <c r="O294" s="15"/>
      <c r="P294" s="20">
        <f t="shared" si="26"/>
        <v>0</v>
      </c>
      <c r="Q294" s="15"/>
      <c r="R294" s="20">
        <f t="shared" si="27"/>
        <v>0</v>
      </c>
      <c r="S294" s="130"/>
      <c r="T294" s="20">
        <f t="shared" si="28"/>
        <v>310.35386786249995</v>
      </c>
    </row>
    <row r="295" spans="1:20">
      <c r="A295" s="13" t="s">
        <v>21</v>
      </c>
      <c r="B295" s="14" t="s">
        <v>583</v>
      </c>
      <c r="C295" s="14" t="s">
        <v>584</v>
      </c>
      <c r="D295" s="13" t="s">
        <v>585</v>
      </c>
      <c r="E295" s="14" t="s">
        <v>75</v>
      </c>
      <c r="F295" s="13" t="s">
        <v>26</v>
      </c>
      <c r="G295" s="14" t="s">
        <v>20</v>
      </c>
      <c r="H295" s="14"/>
      <c r="I295" s="14">
        <v>201404</v>
      </c>
      <c r="J295" s="15">
        <v>15653.94</v>
      </c>
      <c r="K295" s="21">
        <f t="shared" si="29"/>
        <v>42675</v>
      </c>
      <c r="L295" s="16">
        <f t="shared" si="24"/>
        <v>6</v>
      </c>
      <c r="M295" s="17">
        <v>1.4833299999999999E-3</v>
      </c>
      <c r="N295" s="18">
        <f t="shared" si="25"/>
        <v>139.31975292120001</v>
      </c>
      <c r="O295" s="15"/>
      <c r="P295" s="20">
        <f t="shared" si="26"/>
        <v>0</v>
      </c>
      <c r="Q295" s="15"/>
      <c r="R295" s="20">
        <f t="shared" si="27"/>
        <v>0</v>
      </c>
      <c r="S295" s="130"/>
      <c r="T295" s="20">
        <f t="shared" si="28"/>
        <v>221.59130441249999</v>
      </c>
    </row>
    <row r="296" spans="1:20">
      <c r="A296" s="13" t="s">
        <v>21</v>
      </c>
      <c r="B296" s="14" t="s">
        <v>586</v>
      </c>
      <c r="C296" s="14" t="s">
        <v>587</v>
      </c>
      <c r="D296" s="13" t="s">
        <v>588</v>
      </c>
      <c r="E296" s="14" t="s">
        <v>75</v>
      </c>
      <c r="F296" s="13" t="s">
        <v>26</v>
      </c>
      <c r="G296" s="14" t="s">
        <v>20</v>
      </c>
      <c r="H296" s="14"/>
      <c r="I296" s="14">
        <v>201404</v>
      </c>
      <c r="J296" s="15">
        <v>-2316.3000000000002</v>
      </c>
      <c r="K296" s="21">
        <f t="shared" si="29"/>
        <v>42675</v>
      </c>
      <c r="L296" s="16">
        <f t="shared" si="24"/>
        <v>6</v>
      </c>
      <c r="M296" s="17">
        <v>1.4833299999999999E-3</v>
      </c>
      <c r="N296" s="18">
        <f t="shared" si="25"/>
        <v>-20.615023674000003</v>
      </c>
      <c r="O296" s="15"/>
      <c r="P296" s="20">
        <f t="shared" si="26"/>
        <v>0</v>
      </c>
      <c r="Q296" s="15"/>
      <c r="R296" s="20">
        <f t="shared" si="27"/>
        <v>0</v>
      </c>
      <c r="S296" s="130"/>
      <c r="T296" s="20">
        <f t="shared" si="28"/>
        <v>-32.7886741875</v>
      </c>
    </row>
    <row r="297" spans="1:20">
      <c r="A297" s="13" t="s">
        <v>21</v>
      </c>
      <c r="B297" s="14" t="s">
        <v>174</v>
      </c>
      <c r="C297" s="14" t="s">
        <v>175</v>
      </c>
      <c r="D297" s="13" t="s">
        <v>176</v>
      </c>
      <c r="E297" s="14" t="s">
        <v>93</v>
      </c>
      <c r="F297" s="13" t="s">
        <v>88</v>
      </c>
      <c r="G297" s="14" t="s">
        <v>20</v>
      </c>
      <c r="H297" s="14"/>
      <c r="I297" s="14">
        <v>201404</v>
      </c>
      <c r="J297" s="15">
        <v>14365.65</v>
      </c>
      <c r="K297" s="21">
        <f t="shared" si="29"/>
        <v>42675</v>
      </c>
      <c r="L297" s="16">
        <f t="shared" si="24"/>
        <v>6</v>
      </c>
      <c r="M297" s="17">
        <v>1.4833299999999999E-3</v>
      </c>
      <c r="N297" s="18">
        <f t="shared" si="25"/>
        <v>127.853997687</v>
      </c>
      <c r="O297" s="15"/>
      <c r="P297" s="20">
        <f t="shared" si="26"/>
        <v>0</v>
      </c>
      <c r="Q297" s="15"/>
      <c r="R297" s="20">
        <f t="shared" si="27"/>
        <v>0</v>
      </c>
      <c r="S297" s="130"/>
      <c r="T297" s="20">
        <f t="shared" si="28"/>
        <v>203.35475428125</v>
      </c>
    </row>
    <row r="298" spans="1:20">
      <c r="A298" s="13" t="s">
        <v>21</v>
      </c>
      <c r="B298" s="14" t="s">
        <v>177</v>
      </c>
      <c r="C298" s="14" t="s">
        <v>178</v>
      </c>
      <c r="D298" s="13" t="s">
        <v>179</v>
      </c>
      <c r="E298" s="14" t="s">
        <v>172</v>
      </c>
      <c r="F298" s="13" t="s">
        <v>173</v>
      </c>
      <c r="G298" s="14" t="s">
        <v>20</v>
      </c>
      <c r="H298" s="14"/>
      <c r="I298" s="14">
        <v>201404</v>
      </c>
      <c r="J298" s="15">
        <v>2217.19</v>
      </c>
      <c r="K298" s="21">
        <f t="shared" si="29"/>
        <v>42675</v>
      </c>
      <c r="L298" s="16">
        <f t="shared" si="24"/>
        <v>6</v>
      </c>
      <c r="M298" s="17">
        <v>1.4833299999999999E-3</v>
      </c>
      <c r="N298" s="18">
        <f t="shared" si="25"/>
        <v>19.732946656199999</v>
      </c>
      <c r="O298" s="15"/>
      <c r="P298" s="20">
        <f t="shared" si="26"/>
        <v>0</v>
      </c>
      <c r="Q298" s="15"/>
      <c r="R298" s="20">
        <f t="shared" si="27"/>
        <v>0</v>
      </c>
      <c r="S298" s="130"/>
      <c r="T298" s="20">
        <f t="shared" si="28"/>
        <v>31.38571019375</v>
      </c>
    </row>
    <row r="299" spans="1:20">
      <c r="A299" s="13" t="s">
        <v>21</v>
      </c>
      <c r="B299" s="14" t="s">
        <v>589</v>
      </c>
      <c r="C299" s="14" t="s">
        <v>590</v>
      </c>
      <c r="D299" s="13" t="s">
        <v>591</v>
      </c>
      <c r="E299" s="14" t="s">
        <v>63</v>
      </c>
      <c r="F299" s="13" t="s">
        <v>19</v>
      </c>
      <c r="G299" s="14" t="s">
        <v>20</v>
      </c>
      <c r="H299" s="14"/>
      <c r="I299" s="14">
        <v>201404</v>
      </c>
      <c r="J299" s="15">
        <v>2092.7199999999998</v>
      </c>
      <c r="K299" s="21">
        <f t="shared" si="29"/>
        <v>42675</v>
      </c>
      <c r="L299" s="16">
        <f t="shared" si="24"/>
        <v>6</v>
      </c>
      <c r="M299" s="17">
        <v>1.4833299999999999E-3</v>
      </c>
      <c r="N299" s="18">
        <f t="shared" si="25"/>
        <v>18.625166145599998</v>
      </c>
      <c r="O299" s="15"/>
      <c r="P299" s="20">
        <f t="shared" si="26"/>
        <v>0</v>
      </c>
      <c r="Q299" s="15"/>
      <c r="R299" s="20">
        <f t="shared" si="27"/>
        <v>0</v>
      </c>
      <c r="S299" s="130"/>
      <c r="T299" s="20">
        <f t="shared" si="28"/>
        <v>29.623759549999992</v>
      </c>
    </row>
    <row r="300" spans="1:20">
      <c r="A300" s="13" t="s">
        <v>21</v>
      </c>
      <c r="B300" s="14" t="s">
        <v>180</v>
      </c>
      <c r="C300" s="14" t="s">
        <v>181</v>
      </c>
      <c r="D300" s="13" t="s">
        <v>182</v>
      </c>
      <c r="E300" s="14" t="s">
        <v>75</v>
      </c>
      <c r="F300" s="13" t="s">
        <v>26</v>
      </c>
      <c r="G300" s="14" t="s">
        <v>20</v>
      </c>
      <c r="H300" s="14"/>
      <c r="I300" s="14">
        <v>201404</v>
      </c>
      <c r="J300" s="15">
        <v>10465.06</v>
      </c>
      <c r="K300" s="21">
        <f t="shared" si="29"/>
        <v>42675</v>
      </c>
      <c r="L300" s="16">
        <f t="shared" si="24"/>
        <v>6</v>
      </c>
      <c r="M300" s="17">
        <v>1.4833299999999999E-3</v>
      </c>
      <c r="N300" s="18">
        <f t="shared" si="25"/>
        <v>93.138824698799993</v>
      </c>
      <c r="O300" s="15"/>
      <c r="P300" s="20">
        <f t="shared" si="26"/>
        <v>0</v>
      </c>
      <c r="Q300" s="15"/>
      <c r="R300" s="20">
        <f t="shared" si="27"/>
        <v>0</v>
      </c>
      <c r="S300" s="130"/>
      <c r="T300" s="20">
        <f t="shared" si="28"/>
        <v>148.1394649625</v>
      </c>
    </row>
    <row r="301" spans="1:20">
      <c r="A301" s="13" t="s">
        <v>127</v>
      </c>
      <c r="B301" s="14" t="s">
        <v>388</v>
      </c>
      <c r="C301" s="14" t="s">
        <v>389</v>
      </c>
      <c r="D301" s="13" t="s">
        <v>390</v>
      </c>
      <c r="E301" s="14" t="s">
        <v>131</v>
      </c>
      <c r="F301" s="13" t="s">
        <v>132</v>
      </c>
      <c r="G301" s="14" t="s">
        <v>20</v>
      </c>
      <c r="H301" s="14"/>
      <c r="I301" s="14">
        <v>201404</v>
      </c>
      <c r="J301" s="15">
        <v>17774.849999999999</v>
      </c>
      <c r="K301" s="21">
        <f t="shared" si="29"/>
        <v>42675</v>
      </c>
      <c r="L301" s="16">
        <f t="shared" si="24"/>
        <v>6</v>
      </c>
      <c r="M301" s="17">
        <v>2.3833299999999999E-3</v>
      </c>
      <c r="N301" s="18">
        <f t="shared" si="25"/>
        <v>254.17999950299998</v>
      </c>
      <c r="O301" s="15"/>
      <c r="P301" s="20">
        <f t="shared" si="26"/>
        <v>0</v>
      </c>
      <c r="Q301" s="15"/>
      <c r="R301" s="20">
        <f t="shared" si="27"/>
        <v>0</v>
      </c>
      <c r="S301" s="130"/>
      <c r="T301" s="20">
        <f t="shared" si="28"/>
        <v>251.61411103124996</v>
      </c>
    </row>
    <row r="302" spans="1:20">
      <c r="A302" s="13" t="s">
        <v>21</v>
      </c>
      <c r="B302" s="14" t="s">
        <v>592</v>
      </c>
      <c r="C302" s="14" t="s">
        <v>593</v>
      </c>
      <c r="D302" s="13" t="s">
        <v>594</v>
      </c>
      <c r="E302" s="14" t="s">
        <v>156</v>
      </c>
      <c r="F302" s="13" t="s">
        <v>26</v>
      </c>
      <c r="G302" s="14" t="s">
        <v>20</v>
      </c>
      <c r="H302" s="14"/>
      <c r="I302" s="14">
        <v>201404</v>
      </c>
      <c r="J302" s="15">
        <v>3121.86</v>
      </c>
      <c r="K302" s="21">
        <f t="shared" si="29"/>
        <v>42675</v>
      </c>
      <c r="L302" s="16">
        <f t="shared" si="24"/>
        <v>6</v>
      </c>
      <c r="M302" s="17">
        <v>1.4833299999999999E-3</v>
      </c>
      <c r="N302" s="18">
        <f t="shared" si="25"/>
        <v>27.7844915628</v>
      </c>
      <c r="O302" s="15"/>
      <c r="P302" s="20">
        <f t="shared" si="26"/>
        <v>0</v>
      </c>
      <c r="Q302" s="15"/>
      <c r="R302" s="20">
        <f t="shared" si="27"/>
        <v>0</v>
      </c>
      <c r="S302" s="130"/>
      <c r="T302" s="20">
        <f t="shared" si="28"/>
        <v>44.191879462499998</v>
      </c>
    </row>
    <row r="303" spans="1:20">
      <c r="A303" s="23" t="s">
        <v>29</v>
      </c>
      <c r="B303" s="14" t="s">
        <v>183</v>
      </c>
      <c r="C303" s="14" t="s">
        <v>184</v>
      </c>
      <c r="D303" s="13" t="s">
        <v>45</v>
      </c>
      <c r="E303" s="14" t="s">
        <v>185</v>
      </c>
      <c r="F303" s="13" t="s">
        <v>41</v>
      </c>
      <c r="G303" s="14" t="s">
        <v>20</v>
      </c>
      <c r="H303" s="14"/>
      <c r="I303" s="14">
        <v>201404</v>
      </c>
      <c r="J303" s="15">
        <v>42881.1</v>
      </c>
      <c r="K303" s="21">
        <f t="shared" si="29"/>
        <v>42675</v>
      </c>
      <c r="L303" s="16">
        <f t="shared" si="24"/>
        <v>6</v>
      </c>
      <c r="M303" s="17">
        <v>2.23333E-3</v>
      </c>
      <c r="N303" s="18">
        <f t="shared" si="25"/>
        <v>574.60588237799993</v>
      </c>
      <c r="O303" s="15"/>
      <c r="P303" s="20">
        <f t="shared" si="26"/>
        <v>0</v>
      </c>
      <c r="Q303" s="15"/>
      <c r="R303" s="20">
        <f t="shared" si="27"/>
        <v>0</v>
      </c>
      <c r="S303" s="130"/>
      <c r="T303" s="20">
        <f t="shared" si="28"/>
        <v>607.00877118749997</v>
      </c>
    </row>
    <row r="304" spans="1:20">
      <c r="A304" s="23" t="s">
        <v>29</v>
      </c>
      <c r="B304" s="14" t="s">
        <v>186</v>
      </c>
      <c r="C304" s="14" t="s">
        <v>187</v>
      </c>
      <c r="D304" s="13" t="s">
        <v>188</v>
      </c>
      <c r="E304" s="14" t="s">
        <v>189</v>
      </c>
      <c r="F304" s="13" t="s">
        <v>190</v>
      </c>
      <c r="G304" s="14" t="s">
        <v>20</v>
      </c>
      <c r="H304" s="14"/>
      <c r="I304" s="14">
        <v>201404</v>
      </c>
      <c r="J304" s="15">
        <v>4199.7299999999996</v>
      </c>
      <c r="K304" s="21">
        <f t="shared" si="29"/>
        <v>42675</v>
      </c>
      <c r="L304" s="16">
        <f t="shared" si="24"/>
        <v>6</v>
      </c>
      <c r="M304" s="17">
        <v>2.23333E-3</v>
      </c>
      <c r="N304" s="18">
        <f t="shared" si="25"/>
        <v>56.276298005399987</v>
      </c>
      <c r="O304" s="15"/>
      <c r="P304" s="20">
        <f t="shared" si="26"/>
        <v>0</v>
      </c>
      <c r="Q304" s="15"/>
      <c r="R304" s="20">
        <f t="shared" si="27"/>
        <v>0</v>
      </c>
      <c r="S304" s="130"/>
      <c r="T304" s="20">
        <f t="shared" si="28"/>
        <v>59.449802981249995</v>
      </c>
    </row>
    <row r="305" spans="1:20">
      <c r="A305" s="23" t="s">
        <v>29</v>
      </c>
      <c r="B305" s="14" t="s">
        <v>191</v>
      </c>
      <c r="C305" s="14" t="s">
        <v>192</v>
      </c>
      <c r="D305" s="13" t="s">
        <v>193</v>
      </c>
      <c r="E305" s="14" t="s">
        <v>194</v>
      </c>
      <c r="F305" s="13" t="s">
        <v>115</v>
      </c>
      <c r="G305" s="14" t="s">
        <v>20</v>
      </c>
      <c r="H305" s="14"/>
      <c r="I305" s="14">
        <v>201404</v>
      </c>
      <c r="J305" s="15">
        <v>8117.9</v>
      </c>
      <c r="K305" s="21">
        <f t="shared" si="29"/>
        <v>42675</v>
      </c>
      <c r="L305" s="16">
        <f t="shared" si="24"/>
        <v>6</v>
      </c>
      <c r="M305" s="17">
        <v>2.23333E-3</v>
      </c>
      <c r="N305" s="18">
        <f t="shared" si="25"/>
        <v>108.77969764199999</v>
      </c>
      <c r="O305" s="15"/>
      <c r="P305" s="20">
        <f t="shared" si="26"/>
        <v>0</v>
      </c>
      <c r="Q305" s="15"/>
      <c r="R305" s="20">
        <f t="shared" si="27"/>
        <v>0</v>
      </c>
      <c r="S305" s="130"/>
      <c r="T305" s="20">
        <f t="shared" si="28"/>
        <v>114.9139481875</v>
      </c>
    </row>
    <row r="306" spans="1:20">
      <c r="A306" s="23" t="s">
        <v>29</v>
      </c>
      <c r="B306" s="14" t="s">
        <v>195</v>
      </c>
      <c r="C306" s="14" t="s">
        <v>196</v>
      </c>
      <c r="D306" s="13" t="s">
        <v>197</v>
      </c>
      <c r="E306" s="14" t="s">
        <v>198</v>
      </c>
      <c r="F306" s="13" t="s">
        <v>199</v>
      </c>
      <c r="G306" s="14" t="s">
        <v>20</v>
      </c>
      <c r="H306" s="14"/>
      <c r="I306" s="14">
        <v>201404</v>
      </c>
      <c r="J306" s="15">
        <v>223964.32</v>
      </c>
      <c r="K306" s="21">
        <f t="shared" si="29"/>
        <v>42675</v>
      </c>
      <c r="L306" s="16">
        <f t="shared" si="24"/>
        <v>6</v>
      </c>
      <c r="M306" s="17">
        <v>2.23333E-3</v>
      </c>
      <c r="N306" s="18">
        <f t="shared" si="25"/>
        <v>3001.1174087135996</v>
      </c>
      <c r="O306" s="15"/>
      <c r="P306" s="20">
        <f t="shared" si="26"/>
        <v>0</v>
      </c>
      <c r="Q306" s="15"/>
      <c r="R306" s="20">
        <f t="shared" si="27"/>
        <v>0</v>
      </c>
      <c r="S306" s="130"/>
      <c r="T306" s="20">
        <f t="shared" si="28"/>
        <v>3170.3549272999999</v>
      </c>
    </row>
    <row r="307" spans="1:20">
      <c r="A307" s="23" t="s">
        <v>29</v>
      </c>
      <c r="B307" s="14" t="s">
        <v>200</v>
      </c>
      <c r="C307" s="14" t="s">
        <v>201</v>
      </c>
      <c r="D307" s="13" t="s">
        <v>197</v>
      </c>
      <c r="E307" s="14" t="s">
        <v>202</v>
      </c>
      <c r="F307" s="13" t="s">
        <v>199</v>
      </c>
      <c r="G307" s="14" t="s">
        <v>20</v>
      </c>
      <c r="H307" s="14"/>
      <c r="I307" s="14">
        <v>201404</v>
      </c>
      <c r="J307" s="15">
        <v>203251.89</v>
      </c>
      <c r="K307" s="21">
        <f t="shared" si="29"/>
        <v>42675</v>
      </c>
      <c r="L307" s="16">
        <f t="shared" si="24"/>
        <v>6</v>
      </c>
      <c r="M307" s="17">
        <v>2.23333E-3</v>
      </c>
      <c r="N307" s="18">
        <f t="shared" si="25"/>
        <v>2723.5712609622001</v>
      </c>
      <c r="O307" s="15"/>
      <c r="P307" s="20">
        <f t="shared" si="26"/>
        <v>0</v>
      </c>
      <c r="Q307" s="15"/>
      <c r="R307" s="20">
        <f t="shared" si="27"/>
        <v>0</v>
      </c>
      <c r="S307" s="130"/>
      <c r="T307" s="20">
        <f t="shared" si="28"/>
        <v>2877.15753538125</v>
      </c>
    </row>
    <row r="308" spans="1:20">
      <c r="A308" s="13" t="s">
        <v>21</v>
      </c>
      <c r="B308" s="14" t="s">
        <v>449</v>
      </c>
      <c r="C308" s="14" t="s">
        <v>450</v>
      </c>
      <c r="D308" s="13" t="s">
        <v>451</v>
      </c>
      <c r="E308" s="14" t="s">
        <v>452</v>
      </c>
      <c r="F308" s="13" t="s">
        <v>398</v>
      </c>
      <c r="G308" s="14" t="s">
        <v>20</v>
      </c>
      <c r="H308" s="14"/>
      <c r="I308" s="14">
        <v>201404</v>
      </c>
      <c r="J308" s="15">
        <v>1611.1</v>
      </c>
      <c r="K308" s="21">
        <f t="shared" si="29"/>
        <v>42675</v>
      </c>
      <c r="L308" s="16">
        <f t="shared" si="24"/>
        <v>6</v>
      </c>
      <c r="M308" s="17">
        <v>1.4833299999999999E-3</v>
      </c>
      <c r="N308" s="18">
        <f t="shared" si="25"/>
        <v>14.338757778</v>
      </c>
      <c r="O308" s="15"/>
      <c r="P308" s="20">
        <f t="shared" si="26"/>
        <v>0</v>
      </c>
      <c r="Q308" s="15"/>
      <c r="R308" s="20">
        <f t="shared" si="27"/>
        <v>0</v>
      </c>
      <c r="S308" s="130"/>
      <c r="T308" s="20">
        <f t="shared" si="28"/>
        <v>22.806127437499999</v>
      </c>
    </row>
    <row r="309" spans="1:20">
      <c r="A309" s="13" t="s">
        <v>21</v>
      </c>
      <c r="B309" s="14" t="s">
        <v>595</v>
      </c>
      <c r="C309" s="14" t="s">
        <v>596</v>
      </c>
      <c r="D309" s="13" t="s">
        <v>597</v>
      </c>
      <c r="E309" s="14" t="s">
        <v>531</v>
      </c>
      <c r="F309" s="13" t="s">
        <v>26</v>
      </c>
      <c r="G309" s="14" t="s">
        <v>20</v>
      </c>
      <c r="H309" s="14"/>
      <c r="I309" s="14">
        <v>201404</v>
      </c>
      <c r="J309" s="15">
        <v>343.61</v>
      </c>
      <c r="K309" s="21">
        <f t="shared" si="29"/>
        <v>42675</v>
      </c>
      <c r="L309" s="16">
        <f t="shared" si="24"/>
        <v>6</v>
      </c>
      <c r="M309" s="17">
        <v>1.4833299999999999E-3</v>
      </c>
      <c r="N309" s="18">
        <f t="shared" si="25"/>
        <v>3.0581221277999999</v>
      </c>
      <c r="O309" s="15"/>
      <c r="P309" s="20">
        <f t="shared" si="26"/>
        <v>0</v>
      </c>
      <c r="Q309" s="15"/>
      <c r="R309" s="20">
        <f t="shared" si="27"/>
        <v>0</v>
      </c>
      <c r="S309" s="130"/>
      <c r="T309" s="20">
        <f t="shared" si="28"/>
        <v>4.8640143062499996</v>
      </c>
    </row>
    <row r="310" spans="1:20">
      <c r="A310" s="13" t="s">
        <v>127</v>
      </c>
      <c r="B310" s="14" t="s">
        <v>598</v>
      </c>
      <c r="C310" s="14" t="s">
        <v>599</v>
      </c>
      <c r="D310" s="13" t="s">
        <v>600</v>
      </c>
      <c r="E310" s="14" t="s">
        <v>131</v>
      </c>
      <c r="F310" s="13" t="s">
        <v>132</v>
      </c>
      <c r="G310" s="14" t="s">
        <v>20</v>
      </c>
      <c r="H310" s="14"/>
      <c r="I310" s="14">
        <v>201404</v>
      </c>
      <c r="J310" s="15">
        <v>3405.7</v>
      </c>
      <c r="K310" s="21">
        <f t="shared" si="29"/>
        <v>42675</v>
      </c>
      <c r="L310" s="16">
        <f t="shared" si="24"/>
        <v>6</v>
      </c>
      <c r="M310" s="17">
        <v>2.3833299999999999E-3</v>
      </c>
      <c r="N310" s="18">
        <f t="shared" si="25"/>
        <v>48.701441885999998</v>
      </c>
      <c r="O310" s="15"/>
      <c r="P310" s="20">
        <f t="shared" si="26"/>
        <v>0</v>
      </c>
      <c r="Q310" s="15"/>
      <c r="R310" s="20">
        <f t="shared" si="27"/>
        <v>0</v>
      </c>
      <c r="S310" s="130"/>
      <c r="T310" s="20">
        <f t="shared" si="28"/>
        <v>48.209812062499992</v>
      </c>
    </row>
    <row r="311" spans="1:20">
      <c r="A311" s="13" t="s">
        <v>21</v>
      </c>
      <c r="B311" s="14" t="s">
        <v>601</v>
      </c>
      <c r="C311" s="14" t="s">
        <v>602</v>
      </c>
      <c r="D311" s="13" t="s">
        <v>603</v>
      </c>
      <c r="E311" s="14" t="s">
        <v>497</v>
      </c>
      <c r="F311" s="13" t="s">
        <v>26</v>
      </c>
      <c r="G311" s="14" t="s">
        <v>20</v>
      </c>
      <c r="H311" s="14"/>
      <c r="I311" s="14">
        <v>201404</v>
      </c>
      <c r="J311" s="15">
        <v>3493.31</v>
      </c>
      <c r="K311" s="21">
        <f t="shared" si="29"/>
        <v>42675</v>
      </c>
      <c r="L311" s="16">
        <f t="shared" si="24"/>
        <v>6</v>
      </c>
      <c r="M311" s="17">
        <v>1.4833299999999999E-3</v>
      </c>
      <c r="N311" s="18">
        <f t="shared" si="25"/>
        <v>31.090389133799999</v>
      </c>
      <c r="O311" s="15"/>
      <c r="P311" s="20">
        <f t="shared" si="26"/>
        <v>0</v>
      </c>
      <c r="Q311" s="15"/>
      <c r="R311" s="20">
        <f t="shared" si="27"/>
        <v>0</v>
      </c>
      <c r="S311" s="130"/>
      <c r="T311" s="20">
        <f t="shared" si="28"/>
        <v>49.449986368749997</v>
      </c>
    </row>
    <row r="312" spans="1:20">
      <c r="A312" s="13" t="s">
        <v>21</v>
      </c>
      <c r="B312" s="14" t="s">
        <v>203</v>
      </c>
      <c r="C312" s="14" t="s">
        <v>204</v>
      </c>
      <c r="D312" s="13" t="s">
        <v>205</v>
      </c>
      <c r="E312" s="14" t="s">
        <v>93</v>
      </c>
      <c r="F312" s="13" t="s">
        <v>88</v>
      </c>
      <c r="G312" s="14" t="s">
        <v>20</v>
      </c>
      <c r="H312" s="14"/>
      <c r="I312" s="14">
        <v>201404</v>
      </c>
      <c r="J312" s="15">
        <v>1279.58</v>
      </c>
      <c r="K312" s="21">
        <f t="shared" si="29"/>
        <v>42675</v>
      </c>
      <c r="L312" s="16">
        <f t="shared" si="24"/>
        <v>6</v>
      </c>
      <c r="M312" s="17">
        <v>1.4833299999999999E-3</v>
      </c>
      <c r="N312" s="18">
        <f t="shared" si="25"/>
        <v>11.388236408399999</v>
      </c>
      <c r="O312" s="15"/>
      <c r="P312" s="20">
        <f t="shared" si="26"/>
        <v>0</v>
      </c>
      <c r="Q312" s="15"/>
      <c r="R312" s="20">
        <f t="shared" si="27"/>
        <v>0</v>
      </c>
      <c r="S312" s="130"/>
      <c r="T312" s="20">
        <f t="shared" si="28"/>
        <v>18.113254637499999</v>
      </c>
    </row>
    <row r="313" spans="1:20">
      <c r="A313" s="13" t="s">
        <v>21</v>
      </c>
      <c r="B313" s="14" t="s">
        <v>453</v>
      </c>
      <c r="C313" s="14" t="s">
        <v>454</v>
      </c>
      <c r="D313" s="13" t="s">
        <v>455</v>
      </c>
      <c r="E313" s="14" t="s">
        <v>75</v>
      </c>
      <c r="F313" s="13" t="s">
        <v>26</v>
      </c>
      <c r="G313" s="14" t="s">
        <v>20</v>
      </c>
      <c r="H313" s="14"/>
      <c r="I313" s="14">
        <v>201404</v>
      </c>
      <c r="J313" s="15">
        <v>4325.72</v>
      </c>
      <c r="K313" s="21">
        <f t="shared" si="29"/>
        <v>42675</v>
      </c>
      <c r="L313" s="16">
        <f t="shared" si="24"/>
        <v>6</v>
      </c>
      <c r="M313" s="17">
        <v>1.4833299999999999E-3</v>
      </c>
      <c r="N313" s="18">
        <f t="shared" si="25"/>
        <v>38.498821485600004</v>
      </c>
      <c r="O313" s="15"/>
      <c r="P313" s="20">
        <f t="shared" si="26"/>
        <v>0</v>
      </c>
      <c r="Q313" s="15"/>
      <c r="R313" s="20">
        <f t="shared" si="27"/>
        <v>0</v>
      </c>
      <c r="S313" s="130"/>
      <c r="T313" s="20">
        <f t="shared" si="28"/>
        <v>61.233270175000008</v>
      </c>
    </row>
    <row r="314" spans="1:20">
      <c r="A314" s="13" t="s">
        <v>21</v>
      </c>
      <c r="B314" s="14" t="s">
        <v>206</v>
      </c>
      <c r="C314" s="14" t="s">
        <v>207</v>
      </c>
      <c r="D314" s="13" t="s">
        <v>208</v>
      </c>
      <c r="E314" s="14" t="s">
        <v>209</v>
      </c>
      <c r="F314" s="13" t="s">
        <v>88</v>
      </c>
      <c r="G314" s="14" t="s">
        <v>20</v>
      </c>
      <c r="H314" s="14"/>
      <c r="I314" s="14">
        <v>201404</v>
      </c>
      <c r="J314" s="15">
        <v>7900.69</v>
      </c>
      <c r="K314" s="21">
        <f t="shared" si="29"/>
        <v>42675</v>
      </c>
      <c r="L314" s="16">
        <f t="shared" si="24"/>
        <v>6</v>
      </c>
      <c r="M314" s="17">
        <v>1.4833299999999999E-3</v>
      </c>
      <c r="N314" s="18">
        <f t="shared" si="25"/>
        <v>70.315982986199998</v>
      </c>
      <c r="O314" s="15"/>
      <c r="P314" s="20">
        <f t="shared" si="26"/>
        <v>0</v>
      </c>
      <c r="Q314" s="15"/>
      <c r="R314" s="20">
        <f t="shared" si="27"/>
        <v>0</v>
      </c>
      <c r="S314" s="130"/>
      <c r="T314" s="20">
        <f t="shared" si="28"/>
        <v>111.83920488124998</v>
      </c>
    </row>
    <row r="315" spans="1:20">
      <c r="A315" s="13" t="s">
        <v>21</v>
      </c>
      <c r="B315" s="14" t="s">
        <v>456</v>
      </c>
      <c r="C315" s="14" t="s">
        <v>457</v>
      </c>
      <c r="D315" s="13" t="s">
        <v>458</v>
      </c>
      <c r="E315" s="14" t="s">
        <v>164</v>
      </c>
      <c r="F315" s="13" t="s">
        <v>165</v>
      </c>
      <c r="G315" s="14" t="s">
        <v>20</v>
      </c>
      <c r="H315" s="14"/>
      <c r="I315" s="14">
        <v>201404</v>
      </c>
      <c r="J315" s="15">
        <v>48259.27</v>
      </c>
      <c r="K315" s="21">
        <f t="shared" si="29"/>
        <v>42675</v>
      </c>
      <c r="L315" s="16">
        <f t="shared" si="24"/>
        <v>6</v>
      </c>
      <c r="M315" s="17">
        <v>1.4833299999999999E-3</v>
      </c>
      <c r="N315" s="18">
        <f t="shared" si="25"/>
        <v>429.50653781459999</v>
      </c>
      <c r="O315" s="15"/>
      <c r="P315" s="20">
        <f t="shared" si="26"/>
        <v>0</v>
      </c>
      <c r="Q315" s="15"/>
      <c r="R315" s="20">
        <f t="shared" si="27"/>
        <v>0</v>
      </c>
      <c r="S315" s="130"/>
      <c r="T315" s="20">
        <f t="shared" si="28"/>
        <v>683.14012889374987</v>
      </c>
    </row>
    <row r="316" spans="1:20">
      <c r="A316" s="13" t="s">
        <v>21</v>
      </c>
      <c r="B316" s="14" t="s">
        <v>210</v>
      </c>
      <c r="C316" s="14" t="s">
        <v>211</v>
      </c>
      <c r="D316" s="13" t="s">
        <v>212</v>
      </c>
      <c r="E316" s="14" t="s">
        <v>137</v>
      </c>
      <c r="F316" s="13" t="s">
        <v>138</v>
      </c>
      <c r="G316" s="14" t="s">
        <v>20</v>
      </c>
      <c r="H316" s="14"/>
      <c r="I316" s="14">
        <v>201404</v>
      </c>
      <c r="J316" s="15">
        <v>2800.18</v>
      </c>
      <c r="K316" s="21">
        <f t="shared" si="29"/>
        <v>42675</v>
      </c>
      <c r="L316" s="16">
        <f t="shared" si="24"/>
        <v>6</v>
      </c>
      <c r="M316" s="17">
        <v>1.4833299999999999E-3</v>
      </c>
      <c r="N316" s="18">
        <f t="shared" si="25"/>
        <v>24.921545996399999</v>
      </c>
      <c r="O316" s="15"/>
      <c r="P316" s="20">
        <f t="shared" si="26"/>
        <v>0</v>
      </c>
      <c r="Q316" s="15"/>
      <c r="R316" s="20">
        <f t="shared" si="27"/>
        <v>0</v>
      </c>
      <c r="S316" s="130"/>
      <c r="T316" s="20">
        <f t="shared" si="28"/>
        <v>39.638298012499995</v>
      </c>
    </row>
    <row r="317" spans="1:20">
      <c r="A317" s="13" t="s">
        <v>21</v>
      </c>
      <c r="B317" s="14" t="s">
        <v>218</v>
      </c>
      <c r="C317" s="14" t="s">
        <v>219</v>
      </c>
      <c r="D317" s="13" t="s">
        <v>220</v>
      </c>
      <c r="E317" s="14" t="s">
        <v>209</v>
      </c>
      <c r="F317" s="13" t="s">
        <v>88</v>
      </c>
      <c r="G317" s="14" t="s">
        <v>20</v>
      </c>
      <c r="H317" s="14"/>
      <c r="I317" s="14">
        <v>201404</v>
      </c>
      <c r="J317" s="15">
        <v>814.22</v>
      </c>
      <c r="K317" s="21">
        <f t="shared" si="29"/>
        <v>42675</v>
      </c>
      <c r="L317" s="16">
        <f t="shared" si="24"/>
        <v>6</v>
      </c>
      <c r="M317" s="17">
        <v>1.4833299999999999E-3</v>
      </c>
      <c r="N317" s="18">
        <f t="shared" si="25"/>
        <v>7.2465417156000003</v>
      </c>
      <c r="O317" s="15"/>
      <c r="P317" s="20">
        <f t="shared" si="26"/>
        <v>0</v>
      </c>
      <c r="Q317" s="15"/>
      <c r="R317" s="20">
        <f t="shared" si="27"/>
        <v>0</v>
      </c>
      <c r="S317" s="130"/>
      <c r="T317" s="20">
        <f t="shared" si="28"/>
        <v>11.525792987499999</v>
      </c>
    </row>
    <row r="318" spans="1:20">
      <c r="A318" s="13" t="s">
        <v>21</v>
      </c>
      <c r="B318" s="14" t="s">
        <v>221</v>
      </c>
      <c r="C318" s="14" t="s">
        <v>222</v>
      </c>
      <c r="D318" s="13" t="s">
        <v>223</v>
      </c>
      <c r="E318" s="14" t="s">
        <v>25</v>
      </c>
      <c r="F318" s="13" t="s">
        <v>26</v>
      </c>
      <c r="G318" s="14" t="s">
        <v>20</v>
      </c>
      <c r="H318" s="14"/>
      <c r="I318" s="14">
        <v>201404</v>
      </c>
      <c r="J318" s="15">
        <v>4424.75</v>
      </c>
      <c r="K318" s="21">
        <f t="shared" si="29"/>
        <v>42675</v>
      </c>
      <c r="L318" s="16">
        <f t="shared" si="24"/>
        <v>6</v>
      </c>
      <c r="M318" s="17">
        <v>1.4833299999999999E-3</v>
      </c>
      <c r="N318" s="18">
        <f t="shared" si="25"/>
        <v>39.380186504999998</v>
      </c>
      <c r="O318" s="15"/>
      <c r="P318" s="20">
        <f t="shared" si="26"/>
        <v>0</v>
      </c>
      <c r="Q318" s="15"/>
      <c r="R318" s="20">
        <f t="shared" si="27"/>
        <v>0</v>
      </c>
      <c r="S318" s="130"/>
      <c r="T318" s="20">
        <f t="shared" si="28"/>
        <v>62.635101718749993</v>
      </c>
    </row>
    <row r="319" spans="1:20">
      <c r="A319" s="13" t="s">
        <v>21</v>
      </c>
      <c r="B319" s="14" t="s">
        <v>224</v>
      </c>
      <c r="C319" s="14" t="s">
        <v>225</v>
      </c>
      <c r="D319" s="13" t="s">
        <v>226</v>
      </c>
      <c r="E319" s="14" t="s">
        <v>142</v>
      </c>
      <c r="F319" s="13" t="s">
        <v>143</v>
      </c>
      <c r="G319" s="14" t="s">
        <v>20</v>
      </c>
      <c r="H319" s="14"/>
      <c r="I319" s="14">
        <v>201404</v>
      </c>
      <c r="J319" s="15">
        <v>1525.94</v>
      </c>
      <c r="K319" s="21">
        <f t="shared" si="29"/>
        <v>42675</v>
      </c>
      <c r="L319" s="16">
        <f t="shared" si="24"/>
        <v>6</v>
      </c>
      <c r="M319" s="17">
        <v>1.4833299999999999E-3</v>
      </c>
      <c r="N319" s="18">
        <f t="shared" si="25"/>
        <v>13.580835481200001</v>
      </c>
      <c r="O319" s="15"/>
      <c r="P319" s="20">
        <f t="shared" si="26"/>
        <v>0</v>
      </c>
      <c r="Q319" s="15"/>
      <c r="R319" s="20">
        <f t="shared" si="27"/>
        <v>0</v>
      </c>
      <c r="S319" s="130"/>
      <c r="T319" s="20">
        <f t="shared" si="28"/>
        <v>21.6006344125</v>
      </c>
    </row>
    <row r="320" spans="1:20">
      <c r="A320" s="13" t="s">
        <v>21</v>
      </c>
      <c r="B320" s="14" t="s">
        <v>604</v>
      </c>
      <c r="C320" s="14" t="s">
        <v>605</v>
      </c>
      <c r="D320" s="13" t="s">
        <v>606</v>
      </c>
      <c r="E320" s="14" t="s">
        <v>360</v>
      </c>
      <c r="F320" s="13" t="s">
        <v>19</v>
      </c>
      <c r="G320" s="14" t="s">
        <v>20</v>
      </c>
      <c r="H320" s="14"/>
      <c r="I320" s="14">
        <v>201404</v>
      </c>
      <c r="J320" s="15">
        <v>1483.06</v>
      </c>
      <c r="K320" s="21">
        <f t="shared" si="29"/>
        <v>42675</v>
      </c>
      <c r="L320" s="16">
        <f t="shared" si="24"/>
        <v>6</v>
      </c>
      <c r="M320" s="17">
        <v>1.4833299999999999E-3</v>
      </c>
      <c r="N320" s="18">
        <f t="shared" si="25"/>
        <v>13.1992043388</v>
      </c>
      <c r="O320" s="15"/>
      <c r="P320" s="20">
        <f t="shared" si="26"/>
        <v>0</v>
      </c>
      <c r="Q320" s="15"/>
      <c r="R320" s="20">
        <f t="shared" si="27"/>
        <v>0</v>
      </c>
      <c r="S320" s="130"/>
      <c r="T320" s="20">
        <f t="shared" si="28"/>
        <v>20.993641212499998</v>
      </c>
    </row>
    <row r="321" spans="1:20">
      <c r="A321" s="13" t="s">
        <v>21</v>
      </c>
      <c r="B321" s="14" t="s">
        <v>607</v>
      </c>
      <c r="C321" s="14" t="s">
        <v>608</v>
      </c>
      <c r="D321" s="13" t="s">
        <v>609</v>
      </c>
      <c r="E321" s="14" t="s">
        <v>75</v>
      </c>
      <c r="F321" s="13" t="s">
        <v>26</v>
      </c>
      <c r="G321" s="14" t="s">
        <v>20</v>
      </c>
      <c r="H321" s="14"/>
      <c r="I321" s="14">
        <v>201404</v>
      </c>
      <c r="J321" s="15">
        <v>48818.44</v>
      </c>
      <c r="K321" s="21">
        <f t="shared" si="29"/>
        <v>42675</v>
      </c>
      <c r="L321" s="16">
        <f t="shared" si="24"/>
        <v>6</v>
      </c>
      <c r="M321" s="17">
        <v>1.4833299999999999E-3</v>
      </c>
      <c r="N321" s="18">
        <f t="shared" si="25"/>
        <v>434.4831396312</v>
      </c>
      <c r="O321" s="15"/>
      <c r="P321" s="20">
        <f t="shared" si="26"/>
        <v>0</v>
      </c>
      <c r="Q321" s="15"/>
      <c r="R321" s="20">
        <f t="shared" si="27"/>
        <v>0</v>
      </c>
      <c r="S321" s="130"/>
      <c r="T321" s="20">
        <f t="shared" si="28"/>
        <v>691.05552972500004</v>
      </c>
    </row>
    <row r="322" spans="1:20">
      <c r="A322" s="13" t="s">
        <v>21</v>
      </c>
      <c r="B322" s="14" t="s">
        <v>459</v>
      </c>
      <c r="C322" s="14" t="s">
        <v>460</v>
      </c>
      <c r="D322" s="13" t="s">
        <v>461</v>
      </c>
      <c r="E322" s="14" t="s">
        <v>160</v>
      </c>
      <c r="F322" s="13" t="s">
        <v>19</v>
      </c>
      <c r="G322" s="14" t="s">
        <v>20</v>
      </c>
      <c r="H322" s="14"/>
      <c r="I322" s="14">
        <v>201404</v>
      </c>
      <c r="J322" s="15">
        <v>5840.97</v>
      </c>
      <c r="K322" s="21">
        <f t="shared" si="29"/>
        <v>42675</v>
      </c>
      <c r="L322" s="16">
        <f t="shared" si="24"/>
        <v>6</v>
      </c>
      <c r="M322" s="17">
        <v>1.4833299999999999E-3</v>
      </c>
      <c r="N322" s="18">
        <f t="shared" si="25"/>
        <v>51.984516180600004</v>
      </c>
      <c r="O322" s="15"/>
      <c r="P322" s="20">
        <f t="shared" si="26"/>
        <v>0</v>
      </c>
      <c r="Q322" s="15"/>
      <c r="R322" s="20">
        <f t="shared" si="27"/>
        <v>0</v>
      </c>
      <c r="S322" s="130"/>
      <c r="T322" s="20">
        <f t="shared" si="28"/>
        <v>82.682580956250007</v>
      </c>
    </row>
    <row r="323" spans="1:20">
      <c r="A323" s="13" t="s">
        <v>21</v>
      </c>
      <c r="B323" s="14" t="s">
        <v>462</v>
      </c>
      <c r="C323" s="14" t="s">
        <v>463</v>
      </c>
      <c r="D323" s="13" t="s">
        <v>464</v>
      </c>
      <c r="E323" s="14" t="s">
        <v>280</v>
      </c>
      <c r="F323" s="13" t="s">
        <v>26</v>
      </c>
      <c r="G323" s="14" t="s">
        <v>20</v>
      </c>
      <c r="H323" s="14"/>
      <c r="I323" s="14">
        <v>201404</v>
      </c>
      <c r="J323" s="15">
        <v>6044.66</v>
      </c>
      <c r="K323" s="21">
        <f t="shared" si="29"/>
        <v>42675</v>
      </c>
      <c r="L323" s="16">
        <f t="shared" si="24"/>
        <v>6</v>
      </c>
      <c r="M323" s="17">
        <v>1.4833299999999999E-3</v>
      </c>
      <c r="N323" s="18">
        <f t="shared" si="25"/>
        <v>53.797353106799996</v>
      </c>
      <c r="O323" s="15"/>
      <c r="P323" s="20">
        <f t="shared" si="26"/>
        <v>0</v>
      </c>
      <c r="Q323" s="15"/>
      <c r="R323" s="20">
        <f t="shared" si="27"/>
        <v>0</v>
      </c>
      <c r="S323" s="130"/>
      <c r="T323" s="20">
        <f t="shared" si="28"/>
        <v>85.565940212499996</v>
      </c>
    </row>
    <row r="324" spans="1:20">
      <c r="A324" s="13" t="s">
        <v>21</v>
      </c>
      <c r="B324" s="14" t="s">
        <v>465</v>
      </c>
      <c r="C324" s="14" t="s">
        <v>466</v>
      </c>
      <c r="D324" s="13" t="s">
        <v>467</v>
      </c>
      <c r="E324" s="14" t="s">
        <v>75</v>
      </c>
      <c r="F324" s="13" t="s">
        <v>26</v>
      </c>
      <c r="G324" s="14" t="s">
        <v>20</v>
      </c>
      <c r="H324" s="14"/>
      <c r="I324" s="14">
        <v>201404</v>
      </c>
      <c r="J324" s="15">
        <v>9545.69</v>
      </c>
      <c r="K324" s="21">
        <f t="shared" si="29"/>
        <v>42675</v>
      </c>
      <c r="L324" s="16">
        <f t="shared" si="24"/>
        <v>6</v>
      </c>
      <c r="M324" s="17">
        <v>1.4833299999999999E-3</v>
      </c>
      <c r="N324" s="18">
        <f t="shared" si="25"/>
        <v>84.956450086200007</v>
      </c>
      <c r="O324" s="15"/>
      <c r="P324" s="20">
        <f t="shared" si="26"/>
        <v>0</v>
      </c>
      <c r="Q324" s="15"/>
      <c r="R324" s="20">
        <f t="shared" si="27"/>
        <v>0</v>
      </c>
      <c r="S324" s="130"/>
      <c r="T324" s="20">
        <f t="shared" si="28"/>
        <v>135.12520800625001</v>
      </c>
    </row>
    <row r="325" spans="1:20">
      <c r="A325" s="13" t="s">
        <v>21</v>
      </c>
      <c r="B325" s="14" t="s">
        <v>391</v>
      </c>
      <c r="C325" s="14" t="s">
        <v>392</v>
      </c>
      <c r="D325" s="13" t="s">
        <v>393</v>
      </c>
      <c r="E325" s="14" t="s">
        <v>156</v>
      </c>
      <c r="F325" s="13" t="s">
        <v>26</v>
      </c>
      <c r="G325" s="14" t="s">
        <v>20</v>
      </c>
      <c r="H325" s="14"/>
      <c r="I325" s="14">
        <v>201404</v>
      </c>
      <c r="J325" s="15">
        <v>10719.7</v>
      </c>
      <c r="K325" s="21">
        <f t="shared" si="29"/>
        <v>42675</v>
      </c>
      <c r="L325" s="16">
        <f t="shared" si="24"/>
        <v>6</v>
      </c>
      <c r="M325" s="17">
        <v>1.4833299999999999E-3</v>
      </c>
      <c r="N325" s="18">
        <f t="shared" si="25"/>
        <v>95.40511560600001</v>
      </c>
      <c r="O325" s="15"/>
      <c r="P325" s="20">
        <f t="shared" si="26"/>
        <v>0</v>
      </c>
      <c r="Q325" s="15"/>
      <c r="R325" s="20">
        <f t="shared" si="27"/>
        <v>0</v>
      </c>
      <c r="S325" s="130"/>
      <c r="T325" s="20">
        <f t="shared" si="28"/>
        <v>151.7440533125</v>
      </c>
    </row>
    <row r="326" spans="1:20">
      <c r="A326" s="13" t="s">
        <v>21</v>
      </c>
      <c r="B326" s="14" t="s">
        <v>468</v>
      </c>
      <c r="C326" s="14" t="s">
        <v>469</v>
      </c>
      <c r="D326" s="13" t="s">
        <v>470</v>
      </c>
      <c r="E326" s="14" t="s">
        <v>471</v>
      </c>
      <c r="F326" s="13" t="s">
        <v>165</v>
      </c>
      <c r="G326" s="14" t="s">
        <v>20</v>
      </c>
      <c r="H326" s="14"/>
      <c r="I326" s="14">
        <v>201404</v>
      </c>
      <c r="J326" s="15">
        <v>9882.2199999999993</v>
      </c>
      <c r="K326" s="21">
        <f t="shared" si="29"/>
        <v>42675</v>
      </c>
      <c r="L326" s="16">
        <f t="shared" ref="L326:L389" si="30">((YEAR($L$1)-YEAR(K326))*12+MONTH($L$1)-MONTH(K326))</f>
        <v>6</v>
      </c>
      <c r="M326" s="17">
        <v>1.4833299999999999E-3</v>
      </c>
      <c r="N326" s="18">
        <f t="shared" ref="N326:N389" si="31">M326*L326*J326</f>
        <v>87.951560355599995</v>
      </c>
      <c r="O326" s="15"/>
      <c r="P326" s="20">
        <f t="shared" ref="P326:P389" si="32">$P$4*(J326*0.5)*$V$10</f>
        <v>0</v>
      </c>
      <c r="Q326" s="15"/>
      <c r="R326" s="20">
        <f t="shared" ref="R326:R389" si="33">$R$4*(J326*0.5)*$V$9</f>
        <v>0</v>
      </c>
      <c r="S326" s="130"/>
      <c r="T326" s="20">
        <f t="shared" ref="T326:T389" si="34">$T$4*(J326*0.5)*$V$11</f>
        <v>139.88900048749997</v>
      </c>
    </row>
    <row r="327" spans="1:20">
      <c r="A327" s="13" t="s">
        <v>21</v>
      </c>
      <c r="B327" s="14" t="s">
        <v>610</v>
      </c>
      <c r="C327" s="14" t="s">
        <v>611</v>
      </c>
      <c r="D327" s="13" t="s">
        <v>612</v>
      </c>
      <c r="E327" s="14" t="s">
        <v>613</v>
      </c>
      <c r="F327" s="13" t="s">
        <v>398</v>
      </c>
      <c r="G327" s="14" t="s">
        <v>20</v>
      </c>
      <c r="H327" s="14"/>
      <c r="I327" s="14">
        <v>201404</v>
      </c>
      <c r="J327" s="15">
        <v>64657.3</v>
      </c>
      <c r="K327" s="21">
        <f t="shared" ref="K327:K390" si="35">+K326</f>
        <v>42675</v>
      </c>
      <c r="L327" s="16">
        <f t="shared" si="30"/>
        <v>6</v>
      </c>
      <c r="M327" s="17">
        <v>1.4833299999999999E-3</v>
      </c>
      <c r="N327" s="18">
        <f t="shared" si="31"/>
        <v>575.44867685400004</v>
      </c>
      <c r="O327" s="15"/>
      <c r="P327" s="20">
        <f t="shared" si="32"/>
        <v>0</v>
      </c>
      <c r="Q327" s="15"/>
      <c r="R327" s="20">
        <f t="shared" si="33"/>
        <v>0</v>
      </c>
      <c r="S327" s="130"/>
      <c r="T327" s="20">
        <f t="shared" si="34"/>
        <v>915.26449231250001</v>
      </c>
    </row>
    <row r="328" spans="1:20">
      <c r="A328" s="13" t="s">
        <v>21</v>
      </c>
      <c r="B328" s="14" t="s">
        <v>614</v>
      </c>
      <c r="C328" s="14" t="s">
        <v>615</v>
      </c>
      <c r="D328" s="13" t="s">
        <v>616</v>
      </c>
      <c r="E328" s="14" t="s">
        <v>18</v>
      </c>
      <c r="F328" s="13" t="s">
        <v>19</v>
      </c>
      <c r="G328" s="14" t="s">
        <v>20</v>
      </c>
      <c r="H328" s="14"/>
      <c r="I328" s="14">
        <v>201404</v>
      </c>
      <c r="J328" s="15">
        <v>1591.44</v>
      </c>
      <c r="K328" s="21">
        <f t="shared" si="35"/>
        <v>42675</v>
      </c>
      <c r="L328" s="16">
        <f t="shared" si="30"/>
        <v>6</v>
      </c>
      <c r="M328" s="17">
        <v>1.4833299999999999E-3</v>
      </c>
      <c r="N328" s="18">
        <f t="shared" si="31"/>
        <v>14.163784171200001</v>
      </c>
      <c r="O328" s="15"/>
      <c r="P328" s="20">
        <f t="shared" si="32"/>
        <v>0</v>
      </c>
      <c r="Q328" s="15"/>
      <c r="R328" s="20">
        <f t="shared" si="33"/>
        <v>0</v>
      </c>
      <c r="S328" s="130"/>
      <c r="T328" s="20">
        <f t="shared" si="34"/>
        <v>22.527827850000001</v>
      </c>
    </row>
    <row r="329" spans="1:20">
      <c r="A329" s="13" t="s">
        <v>21</v>
      </c>
      <c r="B329" s="14" t="s">
        <v>472</v>
      </c>
      <c r="C329" s="14" t="s">
        <v>473</v>
      </c>
      <c r="D329" s="13" t="s">
        <v>474</v>
      </c>
      <c r="E329" s="14" t="s">
        <v>87</v>
      </c>
      <c r="F329" s="13" t="s">
        <v>88</v>
      </c>
      <c r="G329" s="14" t="s">
        <v>20</v>
      </c>
      <c r="H329" s="14"/>
      <c r="I329" s="14">
        <v>201404</v>
      </c>
      <c r="J329" s="15">
        <v>36847</v>
      </c>
      <c r="K329" s="21">
        <f t="shared" si="35"/>
        <v>42675</v>
      </c>
      <c r="L329" s="16">
        <f t="shared" si="30"/>
        <v>6</v>
      </c>
      <c r="M329" s="17">
        <v>1.4833299999999999E-3</v>
      </c>
      <c r="N329" s="18">
        <f t="shared" si="31"/>
        <v>327.93756306</v>
      </c>
      <c r="O329" s="15"/>
      <c r="P329" s="20">
        <f t="shared" si="32"/>
        <v>0</v>
      </c>
      <c r="Q329" s="15"/>
      <c r="R329" s="20">
        <f t="shared" si="33"/>
        <v>0</v>
      </c>
      <c r="S329" s="130"/>
      <c r="T329" s="20">
        <f t="shared" si="34"/>
        <v>521.592314375</v>
      </c>
    </row>
    <row r="330" spans="1:20">
      <c r="A330" s="13" t="s">
        <v>21</v>
      </c>
      <c r="B330" s="14" t="s">
        <v>475</v>
      </c>
      <c r="C330" s="14" t="s">
        <v>476</v>
      </c>
      <c r="D330" s="13" t="s">
        <v>477</v>
      </c>
      <c r="E330" s="14" t="s">
        <v>360</v>
      </c>
      <c r="F330" s="13" t="s">
        <v>19</v>
      </c>
      <c r="G330" s="14" t="s">
        <v>20</v>
      </c>
      <c r="H330" s="14"/>
      <c r="I330" s="14">
        <v>201404</v>
      </c>
      <c r="J330" s="15">
        <v>1253.17</v>
      </c>
      <c r="K330" s="21">
        <f t="shared" si="35"/>
        <v>42675</v>
      </c>
      <c r="L330" s="16">
        <f t="shared" si="30"/>
        <v>6</v>
      </c>
      <c r="M330" s="17">
        <v>1.4833299999999999E-3</v>
      </c>
      <c r="N330" s="18">
        <f t="shared" si="31"/>
        <v>11.1531879366</v>
      </c>
      <c r="O330" s="15"/>
      <c r="P330" s="20">
        <f t="shared" si="32"/>
        <v>0</v>
      </c>
      <c r="Q330" s="15"/>
      <c r="R330" s="20">
        <f t="shared" si="33"/>
        <v>0</v>
      </c>
      <c r="S330" s="130"/>
      <c r="T330" s="20">
        <f t="shared" si="34"/>
        <v>17.73940458125</v>
      </c>
    </row>
    <row r="331" spans="1:20">
      <c r="A331" s="13" t="s">
        <v>21</v>
      </c>
      <c r="B331" s="14" t="s">
        <v>230</v>
      </c>
      <c r="C331" s="14" t="s">
        <v>231</v>
      </c>
      <c r="D331" s="13" t="s">
        <v>232</v>
      </c>
      <c r="E331" s="14" t="s">
        <v>164</v>
      </c>
      <c r="F331" s="13" t="s">
        <v>165</v>
      </c>
      <c r="G331" s="14" t="s">
        <v>20</v>
      </c>
      <c r="H331" s="14"/>
      <c r="I331" s="14">
        <v>201404</v>
      </c>
      <c r="J331" s="15">
        <v>4227.45</v>
      </c>
      <c r="K331" s="21">
        <f t="shared" si="35"/>
        <v>42675</v>
      </c>
      <c r="L331" s="16">
        <f t="shared" si="30"/>
        <v>6</v>
      </c>
      <c r="M331" s="17">
        <v>1.4833299999999999E-3</v>
      </c>
      <c r="N331" s="18">
        <f t="shared" si="31"/>
        <v>37.624220450999999</v>
      </c>
      <c r="O331" s="15"/>
      <c r="P331" s="20">
        <f t="shared" si="32"/>
        <v>0</v>
      </c>
      <c r="Q331" s="15"/>
      <c r="R331" s="20">
        <f t="shared" si="33"/>
        <v>0</v>
      </c>
      <c r="S331" s="130"/>
      <c r="T331" s="20">
        <f t="shared" si="34"/>
        <v>59.842196906249988</v>
      </c>
    </row>
    <row r="332" spans="1:20">
      <c r="A332" s="13" t="s">
        <v>21</v>
      </c>
      <c r="B332" s="14" t="s">
        <v>233</v>
      </c>
      <c r="C332" s="14" t="s">
        <v>234</v>
      </c>
      <c r="D332" s="13" t="s">
        <v>235</v>
      </c>
      <c r="E332" s="14" t="s">
        <v>172</v>
      </c>
      <c r="F332" s="13" t="s">
        <v>173</v>
      </c>
      <c r="G332" s="14" t="s">
        <v>20</v>
      </c>
      <c r="H332" s="14"/>
      <c r="I332" s="14">
        <v>201404</v>
      </c>
      <c r="J332" s="15">
        <v>4469.59</v>
      </c>
      <c r="K332" s="21">
        <f t="shared" si="35"/>
        <v>42675</v>
      </c>
      <c r="L332" s="16">
        <f t="shared" si="30"/>
        <v>6</v>
      </c>
      <c r="M332" s="17">
        <v>1.4833299999999999E-3</v>
      </c>
      <c r="N332" s="18">
        <f t="shared" si="31"/>
        <v>39.779261608200002</v>
      </c>
      <c r="O332" s="15"/>
      <c r="P332" s="20">
        <f t="shared" si="32"/>
        <v>0</v>
      </c>
      <c r="Q332" s="15"/>
      <c r="R332" s="20">
        <f t="shared" si="33"/>
        <v>0</v>
      </c>
      <c r="S332" s="130"/>
      <c r="T332" s="20">
        <f t="shared" si="34"/>
        <v>63.269839943749993</v>
      </c>
    </row>
    <row r="333" spans="1:20">
      <c r="A333" s="13" t="s">
        <v>21</v>
      </c>
      <c r="B333" s="14" t="s">
        <v>478</v>
      </c>
      <c r="C333" s="14" t="s">
        <v>479</v>
      </c>
      <c r="D333" s="13" t="s">
        <v>480</v>
      </c>
      <c r="E333" s="14" t="s">
        <v>164</v>
      </c>
      <c r="F333" s="13" t="s">
        <v>165</v>
      </c>
      <c r="G333" s="14" t="s">
        <v>20</v>
      </c>
      <c r="H333" s="14"/>
      <c r="I333" s="14">
        <v>201404</v>
      </c>
      <c r="J333" s="15">
        <v>6086.43</v>
      </c>
      <c r="K333" s="21">
        <f t="shared" si="35"/>
        <v>42675</v>
      </c>
      <c r="L333" s="16">
        <f t="shared" si="30"/>
        <v>6</v>
      </c>
      <c r="M333" s="17">
        <v>1.4833299999999999E-3</v>
      </c>
      <c r="N333" s="18">
        <f t="shared" si="31"/>
        <v>54.169105271399999</v>
      </c>
      <c r="O333" s="15"/>
      <c r="P333" s="20">
        <f t="shared" si="32"/>
        <v>0</v>
      </c>
      <c r="Q333" s="15"/>
      <c r="R333" s="20">
        <f t="shared" si="33"/>
        <v>0</v>
      </c>
      <c r="S333" s="130"/>
      <c r="T333" s="20">
        <f t="shared" si="34"/>
        <v>86.15722066875</v>
      </c>
    </row>
    <row r="334" spans="1:20">
      <c r="A334" s="23" t="s">
        <v>29</v>
      </c>
      <c r="B334" s="14" t="s">
        <v>481</v>
      </c>
      <c r="C334" s="14" t="s">
        <v>482</v>
      </c>
      <c r="D334" s="13" t="s">
        <v>483</v>
      </c>
      <c r="E334" s="14" t="s">
        <v>484</v>
      </c>
      <c r="F334" s="13" t="s">
        <v>190</v>
      </c>
      <c r="G334" s="14" t="s">
        <v>20</v>
      </c>
      <c r="H334" s="14"/>
      <c r="I334" s="14">
        <v>201404</v>
      </c>
      <c r="J334" s="15">
        <v>16158.98</v>
      </c>
      <c r="K334" s="21">
        <f t="shared" si="35"/>
        <v>42675</v>
      </c>
      <c r="L334" s="16">
        <f t="shared" si="30"/>
        <v>6</v>
      </c>
      <c r="M334" s="17">
        <v>2.23333E-3</v>
      </c>
      <c r="N334" s="18">
        <f t="shared" si="31"/>
        <v>216.53000882039998</v>
      </c>
      <c r="O334" s="15"/>
      <c r="P334" s="20">
        <f t="shared" si="32"/>
        <v>0</v>
      </c>
      <c r="Q334" s="15"/>
      <c r="R334" s="20">
        <f t="shared" si="33"/>
        <v>0</v>
      </c>
      <c r="S334" s="130"/>
      <c r="T334" s="20">
        <f t="shared" si="34"/>
        <v>228.74046126249999</v>
      </c>
    </row>
    <row r="335" spans="1:20">
      <c r="A335" s="13" t="s">
        <v>21</v>
      </c>
      <c r="B335" s="14" t="s">
        <v>485</v>
      </c>
      <c r="C335" s="14" t="s">
        <v>486</v>
      </c>
      <c r="D335" s="13" t="s">
        <v>487</v>
      </c>
      <c r="E335" s="14" t="s">
        <v>75</v>
      </c>
      <c r="F335" s="13" t="s">
        <v>26</v>
      </c>
      <c r="G335" s="14" t="s">
        <v>20</v>
      </c>
      <c r="H335" s="14"/>
      <c r="I335" s="14">
        <v>201404</v>
      </c>
      <c r="J335" s="15">
        <v>161.30000000000001</v>
      </c>
      <c r="K335" s="21">
        <f t="shared" si="35"/>
        <v>42675</v>
      </c>
      <c r="L335" s="16">
        <f t="shared" si="30"/>
        <v>6</v>
      </c>
      <c r="M335" s="17">
        <v>1.4833299999999999E-3</v>
      </c>
      <c r="N335" s="18">
        <f t="shared" si="31"/>
        <v>1.4355667740000002</v>
      </c>
      <c r="O335" s="15"/>
      <c r="P335" s="20">
        <f t="shared" si="32"/>
        <v>0</v>
      </c>
      <c r="Q335" s="15"/>
      <c r="R335" s="20">
        <f t="shared" si="33"/>
        <v>0</v>
      </c>
      <c r="S335" s="130"/>
      <c r="T335" s="20">
        <f t="shared" si="34"/>
        <v>2.2833023125</v>
      </c>
    </row>
    <row r="336" spans="1:20">
      <c r="A336" s="23" t="s">
        <v>29</v>
      </c>
      <c r="B336" s="14" t="s">
        <v>236</v>
      </c>
      <c r="C336" s="14" t="s">
        <v>237</v>
      </c>
      <c r="D336" s="13" t="s">
        <v>188</v>
      </c>
      <c r="E336" s="14" t="s">
        <v>238</v>
      </c>
      <c r="F336" s="13" t="s">
        <v>190</v>
      </c>
      <c r="G336" s="14" t="s">
        <v>20</v>
      </c>
      <c r="H336" s="14"/>
      <c r="I336" s="14">
        <v>201404</v>
      </c>
      <c r="J336" s="15">
        <v>158603.71</v>
      </c>
      <c r="K336" s="21">
        <f t="shared" si="35"/>
        <v>42675</v>
      </c>
      <c r="L336" s="16">
        <f t="shared" si="30"/>
        <v>6</v>
      </c>
      <c r="M336" s="17">
        <v>2.23333E-3</v>
      </c>
      <c r="N336" s="18">
        <f t="shared" si="31"/>
        <v>2125.2865419257996</v>
      </c>
      <c r="O336" s="15"/>
      <c r="P336" s="20">
        <f t="shared" si="32"/>
        <v>0</v>
      </c>
      <c r="Q336" s="15"/>
      <c r="R336" s="20">
        <f t="shared" si="33"/>
        <v>0</v>
      </c>
      <c r="S336" s="130"/>
      <c r="T336" s="20">
        <f t="shared" si="34"/>
        <v>2245.1346423687496</v>
      </c>
    </row>
    <row r="337" spans="1:20">
      <c r="A337" s="23" t="s">
        <v>29</v>
      </c>
      <c r="B337" s="14" t="s">
        <v>239</v>
      </c>
      <c r="C337" s="14" t="s">
        <v>240</v>
      </c>
      <c r="D337" s="13" t="s">
        <v>197</v>
      </c>
      <c r="E337" s="14" t="s">
        <v>241</v>
      </c>
      <c r="F337" s="13" t="s">
        <v>199</v>
      </c>
      <c r="G337" s="14" t="s">
        <v>20</v>
      </c>
      <c r="H337" s="14"/>
      <c r="I337" s="14">
        <v>201404</v>
      </c>
      <c r="J337" s="15">
        <v>68743.61</v>
      </c>
      <c r="K337" s="21">
        <f t="shared" si="35"/>
        <v>42675</v>
      </c>
      <c r="L337" s="16">
        <f t="shared" si="30"/>
        <v>6</v>
      </c>
      <c r="M337" s="17">
        <v>2.23333E-3</v>
      </c>
      <c r="N337" s="18">
        <f t="shared" si="31"/>
        <v>921.16299912779994</v>
      </c>
      <c r="O337" s="15"/>
      <c r="P337" s="20">
        <f t="shared" si="32"/>
        <v>0</v>
      </c>
      <c r="Q337" s="15"/>
      <c r="R337" s="20">
        <f t="shared" si="33"/>
        <v>0</v>
      </c>
      <c r="S337" s="130"/>
      <c r="T337" s="20">
        <f t="shared" si="34"/>
        <v>973.1087643062499</v>
      </c>
    </row>
    <row r="338" spans="1:20">
      <c r="A338" s="13" t="s">
        <v>21</v>
      </c>
      <c r="B338" s="14" t="s">
        <v>617</v>
      </c>
      <c r="C338" s="14" t="s">
        <v>618</v>
      </c>
      <c r="D338" s="13" t="s">
        <v>619</v>
      </c>
      <c r="E338" s="14" t="s">
        <v>87</v>
      </c>
      <c r="F338" s="13" t="s">
        <v>88</v>
      </c>
      <c r="G338" s="14" t="s">
        <v>20</v>
      </c>
      <c r="H338" s="14"/>
      <c r="I338" s="14">
        <v>201404</v>
      </c>
      <c r="J338" s="15">
        <v>191.34</v>
      </c>
      <c r="K338" s="21">
        <f t="shared" si="35"/>
        <v>42675</v>
      </c>
      <c r="L338" s="16">
        <f t="shared" si="30"/>
        <v>6</v>
      </c>
      <c r="M338" s="17">
        <v>1.4833299999999999E-3</v>
      </c>
      <c r="N338" s="18">
        <f t="shared" si="31"/>
        <v>1.7029221731999999</v>
      </c>
      <c r="O338" s="15"/>
      <c r="P338" s="20">
        <f t="shared" si="32"/>
        <v>0</v>
      </c>
      <c r="Q338" s="15"/>
      <c r="R338" s="20">
        <f t="shared" si="33"/>
        <v>0</v>
      </c>
      <c r="S338" s="130"/>
      <c r="T338" s="20">
        <f t="shared" si="34"/>
        <v>2.7085372875</v>
      </c>
    </row>
    <row r="339" spans="1:20">
      <c r="A339" s="13" t="s">
        <v>21</v>
      </c>
      <c r="B339" s="14" t="s">
        <v>620</v>
      </c>
      <c r="C339" s="14" t="s">
        <v>621</v>
      </c>
      <c r="D339" s="13" t="s">
        <v>622</v>
      </c>
      <c r="E339" s="14" t="s">
        <v>209</v>
      </c>
      <c r="F339" s="13" t="s">
        <v>88</v>
      </c>
      <c r="G339" s="14" t="s">
        <v>20</v>
      </c>
      <c r="H339" s="14"/>
      <c r="I339" s="14">
        <v>201404</v>
      </c>
      <c r="J339" s="15">
        <v>181.64</v>
      </c>
      <c r="K339" s="21">
        <f t="shared" si="35"/>
        <v>42675</v>
      </c>
      <c r="L339" s="16">
        <f t="shared" si="30"/>
        <v>6</v>
      </c>
      <c r="M339" s="17">
        <v>1.4833299999999999E-3</v>
      </c>
      <c r="N339" s="18">
        <f t="shared" si="31"/>
        <v>1.6165923672</v>
      </c>
      <c r="O339" s="15"/>
      <c r="P339" s="20">
        <f t="shared" si="32"/>
        <v>0</v>
      </c>
      <c r="Q339" s="15"/>
      <c r="R339" s="20">
        <f t="shared" si="33"/>
        <v>0</v>
      </c>
      <c r="S339" s="130"/>
      <c r="T339" s="20">
        <f t="shared" si="34"/>
        <v>2.5712277249999995</v>
      </c>
    </row>
    <row r="340" spans="1:20">
      <c r="A340" s="13" t="s">
        <v>21</v>
      </c>
      <c r="B340" s="14" t="s">
        <v>242</v>
      </c>
      <c r="C340" s="14" t="s">
        <v>243</v>
      </c>
      <c r="D340" s="13" t="s">
        <v>244</v>
      </c>
      <c r="E340" s="14" t="s">
        <v>18</v>
      </c>
      <c r="F340" s="13" t="s">
        <v>19</v>
      </c>
      <c r="G340" s="14" t="s">
        <v>20</v>
      </c>
      <c r="H340" s="14"/>
      <c r="I340" s="14">
        <v>201404</v>
      </c>
      <c r="J340" s="15">
        <v>3270.39</v>
      </c>
      <c r="K340" s="21">
        <f t="shared" si="35"/>
        <v>42675</v>
      </c>
      <c r="L340" s="16">
        <f t="shared" si="30"/>
        <v>6</v>
      </c>
      <c r="M340" s="17">
        <v>1.4833299999999999E-3</v>
      </c>
      <c r="N340" s="18">
        <f t="shared" si="31"/>
        <v>29.106405592199998</v>
      </c>
      <c r="O340" s="15"/>
      <c r="P340" s="20">
        <f t="shared" si="32"/>
        <v>0</v>
      </c>
      <c r="Q340" s="15"/>
      <c r="R340" s="20">
        <f t="shared" si="33"/>
        <v>0</v>
      </c>
      <c r="S340" s="130"/>
      <c r="T340" s="20">
        <f t="shared" si="34"/>
        <v>46.294414443749993</v>
      </c>
    </row>
    <row r="341" spans="1:20">
      <c r="A341" s="13" t="s">
        <v>21</v>
      </c>
      <c r="B341" s="14" t="s">
        <v>623</v>
      </c>
      <c r="C341" s="14" t="s">
        <v>624</v>
      </c>
      <c r="D341" s="13" t="s">
        <v>625</v>
      </c>
      <c r="E341" s="14" t="s">
        <v>531</v>
      </c>
      <c r="F341" s="13" t="s">
        <v>26</v>
      </c>
      <c r="G341" s="14" t="s">
        <v>20</v>
      </c>
      <c r="H341" s="14"/>
      <c r="I341" s="14">
        <v>201404</v>
      </c>
      <c r="J341" s="15">
        <v>307.55</v>
      </c>
      <c r="K341" s="21">
        <f t="shared" si="35"/>
        <v>42675</v>
      </c>
      <c r="L341" s="16">
        <f t="shared" si="30"/>
        <v>6</v>
      </c>
      <c r="M341" s="17">
        <v>1.4833299999999999E-3</v>
      </c>
      <c r="N341" s="18">
        <f t="shared" si="31"/>
        <v>2.7371888490000003</v>
      </c>
      <c r="O341" s="15"/>
      <c r="P341" s="20">
        <f t="shared" si="32"/>
        <v>0</v>
      </c>
      <c r="Q341" s="15"/>
      <c r="R341" s="20">
        <f t="shared" si="33"/>
        <v>0</v>
      </c>
      <c r="S341" s="130"/>
      <c r="T341" s="20">
        <f t="shared" si="34"/>
        <v>4.3535624687499999</v>
      </c>
    </row>
    <row r="342" spans="1:20">
      <c r="A342" s="13" t="s">
        <v>21</v>
      </c>
      <c r="B342" s="14" t="s">
        <v>245</v>
      </c>
      <c r="C342" s="14" t="s">
        <v>246</v>
      </c>
      <c r="D342" s="13" t="s">
        <v>247</v>
      </c>
      <c r="E342" s="14" t="s">
        <v>70</v>
      </c>
      <c r="F342" s="13" t="s">
        <v>71</v>
      </c>
      <c r="G342" s="14" t="s">
        <v>20</v>
      </c>
      <c r="H342" s="14"/>
      <c r="I342" s="14">
        <v>201404</v>
      </c>
      <c r="J342" s="15">
        <v>3470.21</v>
      </c>
      <c r="K342" s="21">
        <f t="shared" si="35"/>
        <v>42675</v>
      </c>
      <c r="L342" s="16">
        <f t="shared" si="30"/>
        <v>6</v>
      </c>
      <c r="M342" s="17">
        <v>1.4833299999999999E-3</v>
      </c>
      <c r="N342" s="18">
        <f t="shared" si="31"/>
        <v>30.884799595800001</v>
      </c>
      <c r="O342" s="15"/>
      <c r="P342" s="20">
        <f t="shared" si="32"/>
        <v>0</v>
      </c>
      <c r="Q342" s="15"/>
      <c r="R342" s="20">
        <f t="shared" si="33"/>
        <v>0</v>
      </c>
      <c r="S342" s="130"/>
      <c r="T342" s="20">
        <f t="shared" si="34"/>
        <v>49.122991431249993</v>
      </c>
    </row>
    <row r="343" spans="1:20">
      <c r="A343" s="13" t="s">
        <v>21</v>
      </c>
      <c r="B343" s="14" t="s">
        <v>248</v>
      </c>
      <c r="C343" s="14" t="s">
        <v>249</v>
      </c>
      <c r="D343" s="13" t="s">
        <v>250</v>
      </c>
      <c r="E343" s="14" t="s">
        <v>70</v>
      </c>
      <c r="F343" s="13" t="s">
        <v>71</v>
      </c>
      <c r="G343" s="14" t="s">
        <v>20</v>
      </c>
      <c r="H343" s="14"/>
      <c r="I343" s="14">
        <v>201404</v>
      </c>
      <c r="J343" s="15">
        <v>5876.64</v>
      </c>
      <c r="K343" s="21">
        <f t="shared" si="35"/>
        <v>42675</v>
      </c>
      <c r="L343" s="16">
        <f t="shared" si="30"/>
        <v>6</v>
      </c>
      <c r="M343" s="17">
        <v>1.4833299999999999E-3</v>
      </c>
      <c r="N343" s="18">
        <f t="shared" si="31"/>
        <v>52.301978467200001</v>
      </c>
      <c r="O343" s="15"/>
      <c r="P343" s="20">
        <f t="shared" si="32"/>
        <v>0</v>
      </c>
      <c r="Q343" s="15"/>
      <c r="R343" s="20">
        <f t="shared" si="33"/>
        <v>0</v>
      </c>
      <c r="S343" s="130"/>
      <c r="T343" s="20">
        <f t="shared" si="34"/>
        <v>83.187512099999992</v>
      </c>
    </row>
    <row r="344" spans="1:20">
      <c r="A344" s="13" t="s">
        <v>21</v>
      </c>
      <c r="B344" s="14" t="s">
        <v>251</v>
      </c>
      <c r="C344" s="14" t="s">
        <v>252</v>
      </c>
      <c r="D344" s="13" t="s">
        <v>253</v>
      </c>
      <c r="E344" s="14" t="s">
        <v>164</v>
      </c>
      <c r="F344" s="13" t="s">
        <v>165</v>
      </c>
      <c r="G344" s="14" t="s">
        <v>20</v>
      </c>
      <c r="H344" s="14"/>
      <c r="I344" s="14">
        <v>201404</v>
      </c>
      <c r="J344" s="15">
        <v>1494.91</v>
      </c>
      <c r="K344" s="21">
        <f t="shared" si="35"/>
        <v>42675</v>
      </c>
      <c r="L344" s="16">
        <f t="shared" si="30"/>
        <v>6</v>
      </c>
      <c r="M344" s="17">
        <v>1.4833299999999999E-3</v>
      </c>
      <c r="N344" s="18">
        <f t="shared" si="31"/>
        <v>13.3046691018</v>
      </c>
      <c r="O344" s="15"/>
      <c r="P344" s="20">
        <f t="shared" si="32"/>
        <v>0</v>
      </c>
      <c r="Q344" s="15"/>
      <c r="R344" s="20">
        <f t="shared" si="33"/>
        <v>0</v>
      </c>
      <c r="S344" s="130"/>
      <c r="T344" s="20">
        <f t="shared" si="34"/>
        <v>21.16138536875</v>
      </c>
    </row>
    <row r="345" spans="1:20">
      <c r="A345" s="13" t="s">
        <v>21</v>
      </c>
      <c r="B345" s="14" t="s">
        <v>254</v>
      </c>
      <c r="C345" s="14" t="s">
        <v>255</v>
      </c>
      <c r="D345" s="13" t="s">
        <v>256</v>
      </c>
      <c r="E345" s="14" t="s">
        <v>164</v>
      </c>
      <c r="F345" s="13" t="s">
        <v>165</v>
      </c>
      <c r="G345" s="14" t="s">
        <v>20</v>
      </c>
      <c r="H345" s="14"/>
      <c r="I345" s="14">
        <v>201404</v>
      </c>
      <c r="J345" s="15">
        <v>3977.65</v>
      </c>
      <c r="K345" s="21">
        <f t="shared" si="35"/>
        <v>42675</v>
      </c>
      <c r="L345" s="16">
        <f t="shared" si="30"/>
        <v>6</v>
      </c>
      <c r="M345" s="17">
        <v>1.4833299999999999E-3</v>
      </c>
      <c r="N345" s="18">
        <f t="shared" si="31"/>
        <v>35.401005447000003</v>
      </c>
      <c r="O345" s="15"/>
      <c r="P345" s="20">
        <f t="shared" si="32"/>
        <v>0</v>
      </c>
      <c r="Q345" s="15"/>
      <c r="R345" s="20">
        <f t="shared" si="33"/>
        <v>0</v>
      </c>
      <c r="S345" s="130"/>
      <c r="T345" s="20">
        <f t="shared" si="34"/>
        <v>56.306121781249999</v>
      </c>
    </row>
    <row r="346" spans="1:20">
      <c r="A346" s="13" t="s">
        <v>21</v>
      </c>
      <c r="B346" s="14" t="s">
        <v>488</v>
      </c>
      <c r="C346" s="14" t="s">
        <v>489</v>
      </c>
      <c r="D346" s="13" t="s">
        <v>490</v>
      </c>
      <c r="E346" s="14" t="s">
        <v>93</v>
      </c>
      <c r="F346" s="13" t="s">
        <v>88</v>
      </c>
      <c r="G346" s="14" t="s">
        <v>20</v>
      </c>
      <c r="H346" s="14"/>
      <c r="I346" s="14">
        <v>201404</v>
      </c>
      <c r="J346" s="15">
        <v>5297.81</v>
      </c>
      <c r="K346" s="21">
        <f t="shared" si="35"/>
        <v>42675</v>
      </c>
      <c r="L346" s="16">
        <f t="shared" si="30"/>
        <v>6</v>
      </c>
      <c r="M346" s="17">
        <v>1.4833299999999999E-3</v>
      </c>
      <c r="N346" s="18">
        <f t="shared" si="31"/>
        <v>47.150403043800004</v>
      </c>
      <c r="O346" s="15"/>
      <c r="P346" s="20">
        <f t="shared" si="32"/>
        <v>0</v>
      </c>
      <c r="Q346" s="15"/>
      <c r="R346" s="20">
        <f t="shared" si="33"/>
        <v>0</v>
      </c>
      <c r="S346" s="130"/>
      <c r="T346" s="20">
        <f t="shared" si="34"/>
        <v>74.993811681250008</v>
      </c>
    </row>
    <row r="347" spans="1:20">
      <c r="A347" s="13" t="s">
        <v>21</v>
      </c>
      <c r="B347" s="14" t="s">
        <v>257</v>
      </c>
      <c r="C347" s="14" t="s">
        <v>258</v>
      </c>
      <c r="D347" s="13" t="s">
        <v>259</v>
      </c>
      <c r="E347" s="14" t="s">
        <v>260</v>
      </c>
      <c r="F347" s="13" t="s">
        <v>26</v>
      </c>
      <c r="G347" s="14" t="s">
        <v>20</v>
      </c>
      <c r="H347" s="14"/>
      <c r="I347" s="14">
        <v>201404</v>
      </c>
      <c r="J347" s="15">
        <v>1173.0999999999999</v>
      </c>
      <c r="K347" s="21">
        <f t="shared" si="35"/>
        <v>42675</v>
      </c>
      <c r="L347" s="16">
        <f t="shared" si="30"/>
        <v>6</v>
      </c>
      <c r="M347" s="17">
        <v>1.4833299999999999E-3</v>
      </c>
      <c r="N347" s="18">
        <f t="shared" si="31"/>
        <v>10.440566537999999</v>
      </c>
      <c r="O347" s="15"/>
      <c r="P347" s="20">
        <f t="shared" si="32"/>
        <v>0</v>
      </c>
      <c r="Q347" s="15"/>
      <c r="R347" s="20">
        <f t="shared" si="33"/>
        <v>0</v>
      </c>
      <c r="S347" s="130"/>
      <c r="T347" s="20">
        <f t="shared" si="34"/>
        <v>16.605963687499997</v>
      </c>
    </row>
    <row r="348" spans="1:20">
      <c r="A348" s="13" t="s">
        <v>21</v>
      </c>
      <c r="B348" s="14" t="s">
        <v>261</v>
      </c>
      <c r="C348" s="14" t="s">
        <v>262</v>
      </c>
      <c r="D348" s="13" t="s">
        <v>263</v>
      </c>
      <c r="E348" s="14" t="s">
        <v>75</v>
      </c>
      <c r="F348" s="13" t="s">
        <v>26</v>
      </c>
      <c r="G348" s="14" t="s">
        <v>20</v>
      </c>
      <c r="H348" s="14"/>
      <c r="I348" s="14">
        <v>201404</v>
      </c>
      <c r="J348" s="15">
        <v>9180.09</v>
      </c>
      <c r="K348" s="21">
        <f t="shared" si="35"/>
        <v>42675</v>
      </c>
      <c r="L348" s="16">
        <f t="shared" si="30"/>
        <v>6</v>
      </c>
      <c r="M348" s="17">
        <v>1.4833299999999999E-3</v>
      </c>
      <c r="N348" s="18">
        <f t="shared" si="31"/>
        <v>81.702617398200005</v>
      </c>
      <c r="O348" s="15"/>
      <c r="P348" s="20">
        <f t="shared" si="32"/>
        <v>0</v>
      </c>
      <c r="Q348" s="15"/>
      <c r="R348" s="20">
        <f t="shared" si="33"/>
        <v>0</v>
      </c>
      <c r="S348" s="130"/>
      <c r="T348" s="20">
        <f t="shared" si="34"/>
        <v>129.94991150625</v>
      </c>
    </row>
    <row r="349" spans="1:20">
      <c r="A349" s="13" t="s">
        <v>626</v>
      </c>
      <c r="B349" s="14" t="s">
        <v>627</v>
      </c>
      <c r="C349" s="14" t="s">
        <v>628</v>
      </c>
      <c r="D349" s="13" t="s">
        <v>629</v>
      </c>
      <c r="E349" s="14" t="s">
        <v>79</v>
      </c>
      <c r="F349" s="13" t="s">
        <v>26</v>
      </c>
      <c r="G349" s="14" t="s">
        <v>20</v>
      </c>
      <c r="H349" s="14"/>
      <c r="I349" s="14">
        <v>201404</v>
      </c>
      <c r="J349" s="15">
        <v>32317.599999999999</v>
      </c>
      <c r="K349" s="21">
        <f t="shared" si="35"/>
        <v>42675</v>
      </c>
      <c r="L349" s="16">
        <f t="shared" si="30"/>
        <v>6</v>
      </c>
      <c r="M349" s="17">
        <v>1.4833299999999999E-3</v>
      </c>
      <c r="N349" s="18">
        <f t="shared" si="31"/>
        <v>287.62599364799996</v>
      </c>
      <c r="O349" s="15"/>
      <c r="P349" s="20">
        <f t="shared" si="32"/>
        <v>0</v>
      </c>
      <c r="Q349" s="15"/>
      <c r="R349" s="20">
        <f t="shared" si="33"/>
        <v>0</v>
      </c>
      <c r="S349" s="130"/>
      <c r="T349" s="20">
        <f t="shared" si="34"/>
        <v>457.47582649999998</v>
      </c>
    </row>
    <row r="350" spans="1:20">
      <c r="A350" s="13" t="s">
        <v>21</v>
      </c>
      <c r="B350" s="14" t="s">
        <v>394</v>
      </c>
      <c r="C350" s="14" t="s">
        <v>395</v>
      </c>
      <c r="D350" s="13" t="s">
        <v>396</v>
      </c>
      <c r="E350" s="14" t="s">
        <v>397</v>
      </c>
      <c r="F350" s="13" t="s">
        <v>398</v>
      </c>
      <c r="G350" s="14" t="s">
        <v>20</v>
      </c>
      <c r="H350" s="14"/>
      <c r="I350" s="14">
        <v>201404</v>
      </c>
      <c r="J350" s="15">
        <v>4974.08</v>
      </c>
      <c r="K350" s="21">
        <f t="shared" si="35"/>
        <v>42675</v>
      </c>
      <c r="L350" s="16">
        <f t="shared" si="30"/>
        <v>6</v>
      </c>
      <c r="M350" s="17">
        <v>1.4833299999999999E-3</v>
      </c>
      <c r="N350" s="18">
        <f t="shared" si="31"/>
        <v>44.269212518399996</v>
      </c>
      <c r="O350" s="15"/>
      <c r="P350" s="20">
        <f t="shared" si="32"/>
        <v>0</v>
      </c>
      <c r="Q350" s="15"/>
      <c r="R350" s="20">
        <f t="shared" si="33"/>
        <v>0</v>
      </c>
      <c r="S350" s="130"/>
      <c r="T350" s="20">
        <f t="shared" si="34"/>
        <v>70.411211199999983</v>
      </c>
    </row>
    <row r="351" spans="1:20">
      <c r="A351" s="13" t="s">
        <v>21</v>
      </c>
      <c r="B351" s="14" t="s">
        <v>264</v>
      </c>
      <c r="C351" s="14" t="s">
        <v>265</v>
      </c>
      <c r="D351" s="13" t="s">
        <v>266</v>
      </c>
      <c r="E351" s="14" t="s">
        <v>172</v>
      </c>
      <c r="F351" s="13" t="s">
        <v>173</v>
      </c>
      <c r="G351" s="14" t="s">
        <v>20</v>
      </c>
      <c r="H351" s="14"/>
      <c r="I351" s="14">
        <v>201404</v>
      </c>
      <c r="J351" s="15">
        <v>1658.95</v>
      </c>
      <c r="K351" s="21">
        <f t="shared" si="35"/>
        <v>42675</v>
      </c>
      <c r="L351" s="16">
        <f t="shared" si="30"/>
        <v>6</v>
      </c>
      <c r="M351" s="17">
        <v>1.4833299999999999E-3</v>
      </c>
      <c r="N351" s="18">
        <f t="shared" si="31"/>
        <v>14.764621821</v>
      </c>
      <c r="O351" s="15"/>
      <c r="P351" s="20">
        <f t="shared" si="32"/>
        <v>0</v>
      </c>
      <c r="Q351" s="15"/>
      <c r="R351" s="20">
        <f t="shared" si="33"/>
        <v>0</v>
      </c>
      <c r="S351" s="130"/>
      <c r="T351" s="20">
        <f t="shared" si="34"/>
        <v>23.483474093750001</v>
      </c>
    </row>
    <row r="352" spans="1:20">
      <c r="A352" s="13" t="s">
        <v>21</v>
      </c>
      <c r="B352" s="14" t="s">
        <v>399</v>
      </c>
      <c r="C352" s="14" t="s">
        <v>400</v>
      </c>
      <c r="D352" s="13" t="s">
        <v>401</v>
      </c>
      <c r="E352" s="14" t="s">
        <v>402</v>
      </c>
      <c r="F352" s="13" t="s">
        <v>19</v>
      </c>
      <c r="G352" s="14" t="s">
        <v>20</v>
      </c>
      <c r="H352" s="14"/>
      <c r="I352" s="14">
        <v>201404</v>
      </c>
      <c r="J352" s="15">
        <v>3148.25</v>
      </c>
      <c r="K352" s="21">
        <f t="shared" si="35"/>
        <v>42675</v>
      </c>
      <c r="L352" s="16">
        <f t="shared" si="30"/>
        <v>6</v>
      </c>
      <c r="M352" s="17">
        <v>1.4833299999999999E-3</v>
      </c>
      <c r="N352" s="18">
        <f t="shared" si="31"/>
        <v>28.019362035</v>
      </c>
      <c r="O352" s="15"/>
      <c r="P352" s="20">
        <f t="shared" si="32"/>
        <v>0</v>
      </c>
      <c r="Q352" s="15"/>
      <c r="R352" s="20">
        <f t="shared" si="33"/>
        <v>0</v>
      </c>
      <c r="S352" s="130"/>
      <c r="T352" s="20">
        <f t="shared" si="34"/>
        <v>44.565446406249997</v>
      </c>
    </row>
    <row r="353" spans="1:20">
      <c r="A353" s="13" t="s">
        <v>21</v>
      </c>
      <c r="B353" s="14" t="s">
        <v>630</v>
      </c>
      <c r="C353" s="14" t="s">
        <v>631</v>
      </c>
      <c r="D353" s="13" t="s">
        <v>632</v>
      </c>
      <c r="E353" s="14" t="s">
        <v>613</v>
      </c>
      <c r="F353" s="13" t="s">
        <v>398</v>
      </c>
      <c r="G353" s="14" t="s">
        <v>20</v>
      </c>
      <c r="H353" s="14"/>
      <c r="I353" s="14">
        <v>201404</v>
      </c>
      <c r="J353" s="15">
        <v>18496.91</v>
      </c>
      <c r="K353" s="21">
        <f t="shared" si="35"/>
        <v>42675</v>
      </c>
      <c r="L353" s="16">
        <f t="shared" si="30"/>
        <v>6</v>
      </c>
      <c r="M353" s="17">
        <v>1.4833299999999999E-3</v>
      </c>
      <c r="N353" s="18">
        <f t="shared" si="31"/>
        <v>164.6221290618</v>
      </c>
      <c r="O353" s="15"/>
      <c r="P353" s="20">
        <f t="shared" si="32"/>
        <v>0</v>
      </c>
      <c r="Q353" s="15"/>
      <c r="R353" s="20">
        <f t="shared" si="33"/>
        <v>0</v>
      </c>
      <c r="S353" s="130"/>
      <c r="T353" s="20">
        <f t="shared" si="34"/>
        <v>261.83532161874996</v>
      </c>
    </row>
    <row r="354" spans="1:20">
      <c r="A354" s="13" t="s">
        <v>21</v>
      </c>
      <c r="B354" s="14" t="s">
        <v>403</v>
      </c>
      <c r="C354" s="14" t="s">
        <v>404</v>
      </c>
      <c r="D354" s="13" t="s">
        <v>405</v>
      </c>
      <c r="E354" s="14" t="s">
        <v>75</v>
      </c>
      <c r="F354" s="13" t="s">
        <v>26</v>
      </c>
      <c r="G354" s="14" t="s">
        <v>20</v>
      </c>
      <c r="H354" s="14"/>
      <c r="I354" s="14">
        <v>201404</v>
      </c>
      <c r="J354" s="15">
        <v>51898.69</v>
      </c>
      <c r="K354" s="21">
        <f t="shared" si="35"/>
        <v>42675</v>
      </c>
      <c r="L354" s="16">
        <f t="shared" si="30"/>
        <v>6</v>
      </c>
      <c r="M354" s="17">
        <v>1.4833299999999999E-3</v>
      </c>
      <c r="N354" s="18">
        <f t="shared" si="31"/>
        <v>461.89730302620001</v>
      </c>
      <c r="O354" s="15"/>
      <c r="P354" s="20">
        <f t="shared" si="32"/>
        <v>0</v>
      </c>
      <c r="Q354" s="15"/>
      <c r="R354" s="20">
        <f t="shared" si="33"/>
        <v>0</v>
      </c>
      <c r="S354" s="130"/>
      <c r="T354" s="20">
        <f t="shared" si="34"/>
        <v>734.65839363124996</v>
      </c>
    </row>
    <row r="355" spans="1:20">
      <c r="A355" s="23" t="s">
        <v>29</v>
      </c>
      <c r="B355" s="14" t="s">
        <v>633</v>
      </c>
      <c r="C355" s="14" t="s">
        <v>634</v>
      </c>
      <c r="D355" s="13" t="s">
        <v>193</v>
      </c>
      <c r="E355" s="14" t="s">
        <v>635</v>
      </c>
      <c r="F355" s="13" t="s">
        <v>115</v>
      </c>
      <c r="G355" s="14" t="s">
        <v>20</v>
      </c>
      <c r="H355" s="14"/>
      <c r="I355" s="14">
        <v>201404</v>
      </c>
      <c r="J355" s="15">
        <v>10677.91</v>
      </c>
      <c r="K355" s="21">
        <f t="shared" si="35"/>
        <v>42675</v>
      </c>
      <c r="L355" s="16">
        <f t="shared" si="30"/>
        <v>6</v>
      </c>
      <c r="M355" s="17">
        <v>2.23333E-3</v>
      </c>
      <c r="N355" s="18">
        <f t="shared" si="31"/>
        <v>143.08378044179997</v>
      </c>
      <c r="O355" s="15"/>
      <c r="P355" s="20">
        <f t="shared" si="32"/>
        <v>0</v>
      </c>
      <c r="Q355" s="15"/>
      <c r="R355" s="20">
        <f t="shared" si="33"/>
        <v>0</v>
      </c>
      <c r="S355" s="130"/>
      <c r="T355" s="20">
        <f t="shared" si="34"/>
        <v>151.15248974374998</v>
      </c>
    </row>
    <row r="356" spans="1:20">
      <c r="A356" s="23" t="s">
        <v>29</v>
      </c>
      <c r="B356" s="14" t="s">
        <v>267</v>
      </c>
      <c r="C356" s="14" t="s">
        <v>268</v>
      </c>
      <c r="D356" s="13" t="s">
        <v>269</v>
      </c>
      <c r="E356" s="14" t="s">
        <v>270</v>
      </c>
      <c r="F356" s="13" t="s">
        <v>115</v>
      </c>
      <c r="G356" s="14" t="s">
        <v>20</v>
      </c>
      <c r="H356" s="14"/>
      <c r="I356" s="14">
        <v>201404</v>
      </c>
      <c r="J356" s="15">
        <v>111430.55</v>
      </c>
      <c r="K356" s="21">
        <f t="shared" si="35"/>
        <v>42675</v>
      </c>
      <c r="L356" s="16">
        <f t="shared" si="30"/>
        <v>6</v>
      </c>
      <c r="M356" s="17">
        <v>2.23333E-3</v>
      </c>
      <c r="N356" s="18">
        <f t="shared" si="31"/>
        <v>1493.1671413889999</v>
      </c>
      <c r="O356" s="15"/>
      <c r="P356" s="20">
        <f t="shared" si="32"/>
        <v>0</v>
      </c>
      <c r="Q356" s="15"/>
      <c r="R356" s="20">
        <f t="shared" si="33"/>
        <v>0</v>
      </c>
      <c r="S356" s="130"/>
      <c r="T356" s="20">
        <f t="shared" si="34"/>
        <v>1577.3690793437499</v>
      </c>
    </row>
    <row r="357" spans="1:20">
      <c r="A357" s="23" t="s">
        <v>29</v>
      </c>
      <c r="B357" s="14" t="s">
        <v>271</v>
      </c>
      <c r="C357" s="14" t="s">
        <v>272</v>
      </c>
      <c r="D357" s="13" t="s">
        <v>197</v>
      </c>
      <c r="E357" s="14" t="s">
        <v>273</v>
      </c>
      <c r="F357" s="13" t="s">
        <v>199</v>
      </c>
      <c r="G357" s="14" t="s">
        <v>20</v>
      </c>
      <c r="H357" s="14"/>
      <c r="I357" s="14">
        <v>201404</v>
      </c>
      <c r="J357" s="15">
        <v>36239.269999999997</v>
      </c>
      <c r="K357" s="21">
        <f t="shared" si="35"/>
        <v>42675</v>
      </c>
      <c r="L357" s="16">
        <f t="shared" si="30"/>
        <v>6</v>
      </c>
      <c r="M357" s="17">
        <v>2.23333E-3</v>
      </c>
      <c r="N357" s="18">
        <f t="shared" si="31"/>
        <v>485.6054932145999</v>
      </c>
      <c r="O357" s="15"/>
      <c r="P357" s="20">
        <f t="shared" si="32"/>
        <v>0</v>
      </c>
      <c r="Q357" s="15"/>
      <c r="R357" s="20">
        <f t="shared" si="33"/>
        <v>0</v>
      </c>
      <c r="S357" s="130"/>
      <c r="T357" s="20">
        <f t="shared" si="34"/>
        <v>512.98951639375002</v>
      </c>
    </row>
    <row r="358" spans="1:20">
      <c r="A358" s="13" t="s">
        <v>21</v>
      </c>
      <c r="B358" s="14" t="s">
        <v>636</v>
      </c>
      <c r="C358" s="14" t="s">
        <v>637</v>
      </c>
      <c r="D358" s="13" t="s">
        <v>638</v>
      </c>
      <c r="E358" s="14" t="s">
        <v>497</v>
      </c>
      <c r="F358" s="13" t="s">
        <v>26</v>
      </c>
      <c r="G358" s="14" t="s">
        <v>20</v>
      </c>
      <c r="H358" s="14"/>
      <c r="I358" s="14">
        <v>201404</v>
      </c>
      <c r="J358" s="15">
        <v>-340.28</v>
      </c>
      <c r="K358" s="21">
        <f t="shared" si="35"/>
        <v>42675</v>
      </c>
      <c r="L358" s="16">
        <f t="shared" si="30"/>
        <v>6</v>
      </c>
      <c r="M358" s="17">
        <v>1.4833299999999999E-3</v>
      </c>
      <c r="N358" s="18">
        <f t="shared" si="31"/>
        <v>-3.0284851944</v>
      </c>
      <c r="O358" s="15"/>
      <c r="P358" s="20">
        <f t="shared" si="32"/>
        <v>0</v>
      </c>
      <c r="Q358" s="15"/>
      <c r="R358" s="20">
        <f t="shared" si="33"/>
        <v>0</v>
      </c>
      <c r="S358" s="130"/>
      <c r="T358" s="20">
        <f t="shared" si="34"/>
        <v>-4.8168760749999988</v>
      </c>
    </row>
    <row r="359" spans="1:20">
      <c r="A359" s="13" t="s">
        <v>21</v>
      </c>
      <c r="B359" s="14" t="s">
        <v>274</v>
      </c>
      <c r="C359" s="14" t="s">
        <v>275</v>
      </c>
      <c r="D359" s="13" t="s">
        <v>276</v>
      </c>
      <c r="E359" s="14" t="s">
        <v>75</v>
      </c>
      <c r="F359" s="13" t="s">
        <v>26</v>
      </c>
      <c r="G359" s="14" t="s">
        <v>20</v>
      </c>
      <c r="H359" s="14"/>
      <c r="I359" s="14">
        <v>201404</v>
      </c>
      <c r="J359" s="15">
        <v>12471.72</v>
      </c>
      <c r="K359" s="21">
        <f t="shared" si="35"/>
        <v>42675</v>
      </c>
      <c r="L359" s="16">
        <f t="shared" si="30"/>
        <v>6</v>
      </c>
      <c r="M359" s="17">
        <v>1.4833299999999999E-3</v>
      </c>
      <c r="N359" s="18">
        <f t="shared" si="31"/>
        <v>110.99805856559999</v>
      </c>
      <c r="O359" s="15"/>
      <c r="P359" s="20">
        <f t="shared" si="32"/>
        <v>0</v>
      </c>
      <c r="Q359" s="15"/>
      <c r="R359" s="20">
        <f t="shared" si="33"/>
        <v>0</v>
      </c>
      <c r="S359" s="130"/>
      <c r="T359" s="20">
        <f t="shared" si="34"/>
        <v>176.54499142499998</v>
      </c>
    </row>
    <row r="360" spans="1:20">
      <c r="A360" s="13" t="s">
        <v>21</v>
      </c>
      <c r="B360" s="14" t="s">
        <v>277</v>
      </c>
      <c r="C360" s="14" t="s">
        <v>278</v>
      </c>
      <c r="D360" s="13" t="s">
        <v>279</v>
      </c>
      <c r="E360" s="14" t="s">
        <v>280</v>
      </c>
      <c r="F360" s="13" t="s">
        <v>26</v>
      </c>
      <c r="G360" s="14" t="s">
        <v>20</v>
      </c>
      <c r="H360" s="14"/>
      <c r="I360" s="14">
        <v>201404</v>
      </c>
      <c r="J360" s="15">
        <v>9760.34</v>
      </c>
      <c r="K360" s="21">
        <f t="shared" si="35"/>
        <v>42675</v>
      </c>
      <c r="L360" s="16">
        <f t="shared" si="30"/>
        <v>6</v>
      </c>
      <c r="M360" s="17">
        <v>1.4833299999999999E-3</v>
      </c>
      <c r="N360" s="18">
        <f t="shared" si="31"/>
        <v>86.866830793199995</v>
      </c>
      <c r="O360" s="15"/>
      <c r="P360" s="20">
        <f t="shared" si="32"/>
        <v>0</v>
      </c>
      <c r="Q360" s="15"/>
      <c r="R360" s="20">
        <f t="shared" si="33"/>
        <v>0</v>
      </c>
      <c r="S360" s="130"/>
      <c r="T360" s="20">
        <f t="shared" si="34"/>
        <v>138.16371291249999</v>
      </c>
    </row>
    <row r="361" spans="1:20">
      <c r="A361" s="13" t="s">
        <v>21</v>
      </c>
      <c r="B361" s="14" t="s">
        <v>406</v>
      </c>
      <c r="C361" s="14" t="s">
        <v>407</v>
      </c>
      <c r="D361" s="13" t="s">
        <v>408</v>
      </c>
      <c r="E361" s="14" t="s">
        <v>87</v>
      </c>
      <c r="F361" s="13" t="s">
        <v>88</v>
      </c>
      <c r="G361" s="14" t="s">
        <v>20</v>
      </c>
      <c r="H361" s="14"/>
      <c r="I361" s="14">
        <v>201404</v>
      </c>
      <c r="J361" s="15">
        <v>2551.35</v>
      </c>
      <c r="K361" s="21">
        <f t="shared" si="35"/>
        <v>42675</v>
      </c>
      <c r="L361" s="16">
        <f t="shared" si="30"/>
        <v>6</v>
      </c>
      <c r="M361" s="17">
        <v>1.4833299999999999E-3</v>
      </c>
      <c r="N361" s="18">
        <f t="shared" si="31"/>
        <v>22.706963973000001</v>
      </c>
      <c r="O361" s="15"/>
      <c r="P361" s="20">
        <f t="shared" si="32"/>
        <v>0</v>
      </c>
      <c r="Q361" s="15"/>
      <c r="R361" s="20">
        <f t="shared" si="33"/>
        <v>0</v>
      </c>
      <c r="S361" s="130"/>
      <c r="T361" s="20">
        <f t="shared" si="34"/>
        <v>36.115953843749999</v>
      </c>
    </row>
    <row r="362" spans="1:20">
      <c r="A362" s="13" t="s">
        <v>21</v>
      </c>
      <c r="B362" s="14" t="s">
        <v>639</v>
      </c>
      <c r="C362" s="14" t="s">
        <v>640</v>
      </c>
      <c r="D362" s="13" t="s">
        <v>641</v>
      </c>
      <c r="E362" s="14" t="s">
        <v>164</v>
      </c>
      <c r="F362" s="13" t="s">
        <v>165</v>
      </c>
      <c r="G362" s="14" t="s">
        <v>20</v>
      </c>
      <c r="H362" s="14"/>
      <c r="I362" s="14">
        <v>201404</v>
      </c>
      <c r="J362" s="15">
        <v>6042.78</v>
      </c>
      <c r="K362" s="21">
        <f t="shared" si="35"/>
        <v>42675</v>
      </c>
      <c r="L362" s="16">
        <f t="shared" si="30"/>
        <v>6</v>
      </c>
      <c r="M362" s="17">
        <v>1.4833299999999999E-3</v>
      </c>
      <c r="N362" s="18">
        <f t="shared" si="31"/>
        <v>53.780621144400001</v>
      </c>
      <c r="O362" s="15"/>
      <c r="P362" s="20">
        <f t="shared" si="32"/>
        <v>0</v>
      </c>
      <c r="Q362" s="15"/>
      <c r="R362" s="20">
        <f t="shared" si="33"/>
        <v>0</v>
      </c>
      <c r="S362" s="130"/>
      <c r="T362" s="20">
        <f t="shared" si="34"/>
        <v>85.539327637499994</v>
      </c>
    </row>
    <row r="363" spans="1:20">
      <c r="A363" s="23" t="s">
        <v>29</v>
      </c>
      <c r="B363" s="14" t="s">
        <v>281</v>
      </c>
      <c r="C363" s="14" t="s">
        <v>282</v>
      </c>
      <c r="D363" s="13" t="s">
        <v>283</v>
      </c>
      <c r="E363" s="14" t="s">
        <v>284</v>
      </c>
      <c r="F363" s="13" t="s">
        <v>285</v>
      </c>
      <c r="G363" s="14" t="s">
        <v>20</v>
      </c>
      <c r="H363" s="14"/>
      <c r="I363" s="14">
        <v>201404</v>
      </c>
      <c r="J363" s="15">
        <v>1757.73</v>
      </c>
      <c r="K363" s="21">
        <f t="shared" si="35"/>
        <v>42675</v>
      </c>
      <c r="L363" s="16">
        <f t="shared" si="30"/>
        <v>6</v>
      </c>
      <c r="M363" s="17">
        <v>2.23333E-3</v>
      </c>
      <c r="N363" s="18">
        <f t="shared" si="31"/>
        <v>23.5535468454</v>
      </c>
      <c r="O363" s="15"/>
      <c r="P363" s="20">
        <f t="shared" si="32"/>
        <v>0</v>
      </c>
      <c r="Q363" s="15"/>
      <c r="R363" s="20">
        <f t="shared" si="33"/>
        <v>0</v>
      </c>
      <c r="S363" s="130"/>
      <c r="T363" s="20">
        <f t="shared" si="34"/>
        <v>24.88176673125</v>
      </c>
    </row>
    <row r="364" spans="1:20">
      <c r="A364" s="13" t="s">
        <v>21</v>
      </c>
      <c r="B364" s="14" t="s">
        <v>409</v>
      </c>
      <c r="C364" s="14" t="s">
        <v>410</v>
      </c>
      <c r="D364" s="13" t="s">
        <v>411</v>
      </c>
      <c r="E364" s="14" t="s">
        <v>75</v>
      </c>
      <c r="F364" s="13" t="s">
        <v>26</v>
      </c>
      <c r="G364" s="14" t="s">
        <v>20</v>
      </c>
      <c r="H364" s="14"/>
      <c r="I364" s="14">
        <v>201404</v>
      </c>
      <c r="J364" s="15">
        <v>7576.7</v>
      </c>
      <c r="K364" s="21">
        <f t="shared" si="35"/>
        <v>42675</v>
      </c>
      <c r="L364" s="16">
        <f t="shared" si="30"/>
        <v>6</v>
      </c>
      <c r="M364" s="17">
        <v>1.4833299999999999E-3</v>
      </c>
      <c r="N364" s="18">
        <f t="shared" si="31"/>
        <v>67.432478465999992</v>
      </c>
      <c r="O364" s="15"/>
      <c r="P364" s="20">
        <f t="shared" si="32"/>
        <v>0</v>
      </c>
      <c r="Q364" s="15"/>
      <c r="R364" s="20">
        <f t="shared" si="33"/>
        <v>0</v>
      </c>
      <c r="S364" s="130"/>
      <c r="T364" s="20">
        <f t="shared" si="34"/>
        <v>107.25292393749999</v>
      </c>
    </row>
    <row r="365" spans="1:20">
      <c r="A365" s="13" t="s">
        <v>21</v>
      </c>
      <c r="B365" s="14" t="s">
        <v>642</v>
      </c>
      <c r="C365" s="14" t="s">
        <v>643</v>
      </c>
      <c r="D365" s="13" t="s">
        <v>644</v>
      </c>
      <c r="E365" s="14" t="s">
        <v>360</v>
      </c>
      <c r="F365" s="13" t="s">
        <v>19</v>
      </c>
      <c r="G365" s="14" t="s">
        <v>20</v>
      </c>
      <c r="H365" s="14"/>
      <c r="I365" s="14">
        <v>201404</v>
      </c>
      <c r="J365" s="15">
        <v>4155.53</v>
      </c>
      <c r="K365" s="21">
        <f t="shared" si="35"/>
        <v>42675</v>
      </c>
      <c r="L365" s="16">
        <f t="shared" si="30"/>
        <v>6</v>
      </c>
      <c r="M365" s="17">
        <v>1.4833299999999999E-3</v>
      </c>
      <c r="N365" s="18">
        <f t="shared" si="31"/>
        <v>36.984133889399999</v>
      </c>
      <c r="O365" s="15"/>
      <c r="P365" s="20">
        <f t="shared" si="32"/>
        <v>0</v>
      </c>
      <c r="Q365" s="15"/>
      <c r="R365" s="20">
        <f t="shared" si="33"/>
        <v>0</v>
      </c>
      <c r="S365" s="130"/>
      <c r="T365" s="20">
        <f t="shared" si="34"/>
        <v>58.824124356249996</v>
      </c>
    </row>
    <row r="366" spans="1:20">
      <c r="A366" s="13" t="s">
        <v>21</v>
      </c>
      <c r="B366" s="14" t="s">
        <v>286</v>
      </c>
      <c r="C366" s="14" t="s">
        <v>287</v>
      </c>
      <c r="D366" s="13" t="s">
        <v>288</v>
      </c>
      <c r="E366" s="14" t="s">
        <v>25</v>
      </c>
      <c r="F366" s="13" t="s">
        <v>26</v>
      </c>
      <c r="G366" s="14" t="s">
        <v>20</v>
      </c>
      <c r="H366" s="14"/>
      <c r="I366" s="14">
        <v>201404</v>
      </c>
      <c r="J366" s="15">
        <v>4919.08</v>
      </c>
      <c r="K366" s="21">
        <f t="shared" si="35"/>
        <v>42675</v>
      </c>
      <c r="L366" s="16">
        <f t="shared" si="30"/>
        <v>6</v>
      </c>
      <c r="M366" s="17">
        <v>1.4833299999999999E-3</v>
      </c>
      <c r="N366" s="18">
        <f t="shared" si="31"/>
        <v>43.779713618400002</v>
      </c>
      <c r="O366" s="15"/>
      <c r="P366" s="20">
        <f t="shared" si="32"/>
        <v>0</v>
      </c>
      <c r="Q366" s="15"/>
      <c r="R366" s="20">
        <f t="shared" si="33"/>
        <v>0</v>
      </c>
      <c r="S366" s="130"/>
      <c r="T366" s="20">
        <f t="shared" si="34"/>
        <v>69.632651824999996</v>
      </c>
    </row>
    <row r="367" spans="1:20">
      <c r="A367" s="13" t="s">
        <v>21</v>
      </c>
      <c r="B367" s="14" t="s">
        <v>645</v>
      </c>
      <c r="C367" s="14" t="s">
        <v>646</v>
      </c>
      <c r="D367" s="13" t="s">
        <v>647</v>
      </c>
      <c r="E367" s="14" t="s">
        <v>397</v>
      </c>
      <c r="F367" s="13" t="s">
        <v>398</v>
      </c>
      <c r="G367" s="14" t="s">
        <v>20</v>
      </c>
      <c r="H367" s="14"/>
      <c r="I367" s="14">
        <v>201404</v>
      </c>
      <c r="J367" s="15">
        <v>709294.75</v>
      </c>
      <c r="K367" s="21">
        <f t="shared" si="35"/>
        <v>42675</v>
      </c>
      <c r="L367" s="16">
        <f t="shared" si="30"/>
        <v>6</v>
      </c>
      <c r="M367" s="17">
        <v>1.4833299999999999E-3</v>
      </c>
      <c r="N367" s="18">
        <f t="shared" si="31"/>
        <v>6312.7090891050002</v>
      </c>
      <c r="O367" s="15"/>
      <c r="P367" s="20">
        <f t="shared" si="32"/>
        <v>0</v>
      </c>
      <c r="Q367" s="15"/>
      <c r="R367" s="20">
        <f t="shared" si="33"/>
        <v>0</v>
      </c>
      <c r="S367" s="130"/>
      <c r="T367" s="20">
        <f t="shared" si="34"/>
        <v>10040.51049546875</v>
      </c>
    </row>
    <row r="368" spans="1:20">
      <c r="A368" s="13" t="s">
        <v>21</v>
      </c>
      <c r="B368" s="14" t="s">
        <v>412</v>
      </c>
      <c r="C368" s="14" t="s">
        <v>413</v>
      </c>
      <c r="D368" s="13" t="s">
        <v>414</v>
      </c>
      <c r="E368" s="14" t="s">
        <v>415</v>
      </c>
      <c r="F368" s="13" t="s">
        <v>88</v>
      </c>
      <c r="G368" s="14" t="s">
        <v>20</v>
      </c>
      <c r="H368" s="14"/>
      <c r="I368" s="14">
        <v>201404</v>
      </c>
      <c r="J368" s="15">
        <v>770.71</v>
      </c>
      <c r="K368" s="21">
        <f t="shared" si="35"/>
        <v>42675</v>
      </c>
      <c r="L368" s="16">
        <f t="shared" si="30"/>
        <v>6</v>
      </c>
      <c r="M368" s="17">
        <v>1.4833299999999999E-3</v>
      </c>
      <c r="N368" s="18">
        <f t="shared" si="31"/>
        <v>6.8593035858000002</v>
      </c>
      <c r="O368" s="15"/>
      <c r="P368" s="20">
        <f t="shared" si="32"/>
        <v>0</v>
      </c>
      <c r="Q368" s="15"/>
      <c r="R368" s="20">
        <f t="shared" si="33"/>
        <v>0</v>
      </c>
      <c r="S368" s="130"/>
      <c r="T368" s="20">
        <f t="shared" si="34"/>
        <v>10.909881743749999</v>
      </c>
    </row>
    <row r="369" spans="1:20">
      <c r="A369" s="13" t="s">
        <v>21</v>
      </c>
      <c r="B369" s="14" t="s">
        <v>289</v>
      </c>
      <c r="C369" s="14" t="s">
        <v>290</v>
      </c>
      <c r="D369" s="13" t="s">
        <v>291</v>
      </c>
      <c r="E369" s="14" t="s">
        <v>164</v>
      </c>
      <c r="F369" s="13" t="s">
        <v>165</v>
      </c>
      <c r="G369" s="14" t="s">
        <v>20</v>
      </c>
      <c r="H369" s="14"/>
      <c r="I369" s="14">
        <v>201404</v>
      </c>
      <c r="J369" s="15">
        <v>7120.16</v>
      </c>
      <c r="K369" s="21">
        <f t="shared" si="35"/>
        <v>42675</v>
      </c>
      <c r="L369" s="16">
        <f t="shared" si="30"/>
        <v>6</v>
      </c>
      <c r="M369" s="17">
        <v>1.4833299999999999E-3</v>
      </c>
      <c r="N369" s="18">
        <f t="shared" si="31"/>
        <v>63.369281596800001</v>
      </c>
      <c r="O369" s="15"/>
      <c r="P369" s="20">
        <f t="shared" si="32"/>
        <v>0</v>
      </c>
      <c r="Q369" s="15"/>
      <c r="R369" s="20">
        <f t="shared" si="33"/>
        <v>0</v>
      </c>
      <c r="S369" s="130"/>
      <c r="T369" s="20">
        <f t="shared" si="34"/>
        <v>100.79031489999998</v>
      </c>
    </row>
    <row r="370" spans="1:20">
      <c r="A370" s="13" t="s">
        <v>21</v>
      </c>
      <c r="B370" s="14" t="s">
        <v>491</v>
      </c>
      <c r="C370" s="14" t="s">
        <v>492</v>
      </c>
      <c r="D370" s="13" t="s">
        <v>493</v>
      </c>
      <c r="E370" s="14" t="s">
        <v>87</v>
      </c>
      <c r="F370" s="13" t="s">
        <v>88</v>
      </c>
      <c r="G370" s="14" t="s">
        <v>20</v>
      </c>
      <c r="H370" s="14"/>
      <c r="I370" s="14">
        <v>201404</v>
      </c>
      <c r="J370" s="15">
        <v>-1808.23</v>
      </c>
      <c r="K370" s="21">
        <f t="shared" si="35"/>
        <v>42675</v>
      </c>
      <c r="L370" s="16">
        <f t="shared" si="30"/>
        <v>6</v>
      </c>
      <c r="M370" s="17">
        <v>1.4833299999999999E-3</v>
      </c>
      <c r="N370" s="18">
        <f t="shared" si="31"/>
        <v>-16.093210835400001</v>
      </c>
      <c r="O370" s="15"/>
      <c r="P370" s="20">
        <f t="shared" si="32"/>
        <v>0</v>
      </c>
      <c r="Q370" s="15"/>
      <c r="R370" s="20">
        <f t="shared" si="33"/>
        <v>0</v>
      </c>
      <c r="S370" s="130"/>
      <c r="T370" s="20">
        <f t="shared" si="34"/>
        <v>-25.596625793749997</v>
      </c>
    </row>
    <row r="371" spans="1:20">
      <c r="A371" s="13" t="s">
        <v>21</v>
      </c>
      <c r="B371" s="14" t="s">
        <v>648</v>
      </c>
      <c r="C371" s="14" t="s">
        <v>649</v>
      </c>
      <c r="D371" s="13" t="s">
        <v>650</v>
      </c>
      <c r="E371" s="14" t="s">
        <v>79</v>
      </c>
      <c r="F371" s="13" t="s">
        <v>26</v>
      </c>
      <c r="G371" s="14" t="s">
        <v>20</v>
      </c>
      <c r="H371" s="14"/>
      <c r="I371" s="14">
        <v>201404</v>
      </c>
      <c r="J371" s="15">
        <v>4064.94</v>
      </c>
      <c r="K371" s="21">
        <f t="shared" si="35"/>
        <v>42675</v>
      </c>
      <c r="L371" s="16">
        <f t="shared" si="30"/>
        <v>6</v>
      </c>
      <c r="M371" s="17">
        <v>1.4833299999999999E-3</v>
      </c>
      <c r="N371" s="18">
        <f t="shared" si="31"/>
        <v>36.1778847012</v>
      </c>
      <c r="O371" s="15"/>
      <c r="P371" s="20">
        <f t="shared" si="32"/>
        <v>0</v>
      </c>
      <c r="Q371" s="15"/>
      <c r="R371" s="20">
        <f t="shared" si="33"/>
        <v>0</v>
      </c>
      <c r="S371" s="130"/>
      <c r="T371" s="20">
        <f t="shared" si="34"/>
        <v>57.541766287499996</v>
      </c>
    </row>
    <row r="372" spans="1:20">
      <c r="A372" s="13" t="s">
        <v>21</v>
      </c>
      <c r="B372" s="14" t="s">
        <v>651</v>
      </c>
      <c r="C372" s="14" t="s">
        <v>652</v>
      </c>
      <c r="D372" s="13" t="s">
        <v>653</v>
      </c>
      <c r="E372" s="14" t="s">
        <v>360</v>
      </c>
      <c r="F372" s="13" t="s">
        <v>19</v>
      </c>
      <c r="G372" s="14" t="s">
        <v>20</v>
      </c>
      <c r="H372" s="14"/>
      <c r="I372" s="14">
        <v>201404</v>
      </c>
      <c r="J372" s="15">
        <v>1942.37</v>
      </c>
      <c r="K372" s="21">
        <f t="shared" si="35"/>
        <v>42675</v>
      </c>
      <c r="L372" s="16">
        <f t="shared" si="30"/>
        <v>6</v>
      </c>
      <c r="M372" s="17">
        <v>1.4833299999999999E-3</v>
      </c>
      <c r="N372" s="18">
        <f t="shared" si="31"/>
        <v>17.2870541526</v>
      </c>
      <c r="O372" s="15"/>
      <c r="P372" s="20">
        <f t="shared" si="32"/>
        <v>0</v>
      </c>
      <c r="Q372" s="15"/>
      <c r="R372" s="20">
        <f t="shared" si="33"/>
        <v>0</v>
      </c>
      <c r="S372" s="130"/>
      <c r="T372" s="20">
        <f t="shared" si="34"/>
        <v>27.495461331249995</v>
      </c>
    </row>
    <row r="373" spans="1:20">
      <c r="A373" s="13" t="s">
        <v>21</v>
      </c>
      <c r="B373" s="14" t="s">
        <v>654</v>
      </c>
      <c r="C373" s="14" t="s">
        <v>655</v>
      </c>
      <c r="D373" s="13" t="s">
        <v>656</v>
      </c>
      <c r="E373" s="14" t="s">
        <v>87</v>
      </c>
      <c r="F373" s="13" t="s">
        <v>88</v>
      </c>
      <c r="G373" s="14" t="s">
        <v>20</v>
      </c>
      <c r="H373" s="14"/>
      <c r="I373" s="14">
        <v>201404</v>
      </c>
      <c r="J373" s="15">
        <v>3451.36</v>
      </c>
      <c r="K373" s="21">
        <f t="shared" si="35"/>
        <v>42675</v>
      </c>
      <c r="L373" s="16">
        <f t="shared" si="30"/>
        <v>6</v>
      </c>
      <c r="M373" s="17">
        <v>1.4833299999999999E-3</v>
      </c>
      <c r="N373" s="18">
        <f t="shared" si="31"/>
        <v>30.717034972800001</v>
      </c>
      <c r="O373" s="15"/>
      <c r="P373" s="20">
        <f t="shared" si="32"/>
        <v>0</v>
      </c>
      <c r="Q373" s="15"/>
      <c r="R373" s="20">
        <f t="shared" si="33"/>
        <v>0</v>
      </c>
      <c r="S373" s="130"/>
      <c r="T373" s="20">
        <f t="shared" si="34"/>
        <v>48.856157899999999</v>
      </c>
    </row>
    <row r="374" spans="1:20">
      <c r="A374" s="13" t="s">
        <v>21</v>
      </c>
      <c r="B374" s="14" t="s">
        <v>657</v>
      </c>
      <c r="C374" s="14" t="s">
        <v>658</v>
      </c>
      <c r="D374" s="13" t="s">
        <v>659</v>
      </c>
      <c r="E374" s="14" t="s">
        <v>356</v>
      </c>
      <c r="F374" s="13" t="s">
        <v>19</v>
      </c>
      <c r="G374" s="14" t="s">
        <v>20</v>
      </c>
      <c r="H374" s="14"/>
      <c r="I374" s="14">
        <v>201404</v>
      </c>
      <c r="J374" s="15">
        <v>749.64</v>
      </c>
      <c r="K374" s="21">
        <f t="shared" si="35"/>
        <v>42675</v>
      </c>
      <c r="L374" s="16">
        <f t="shared" si="30"/>
        <v>6</v>
      </c>
      <c r="M374" s="17">
        <v>1.4833299999999999E-3</v>
      </c>
      <c r="N374" s="18">
        <f t="shared" si="31"/>
        <v>6.6717810071999999</v>
      </c>
      <c r="O374" s="15"/>
      <c r="P374" s="20">
        <f t="shared" si="32"/>
        <v>0</v>
      </c>
      <c r="Q374" s="15"/>
      <c r="R374" s="20">
        <f t="shared" si="33"/>
        <v>0</v>
      </c>
      <c r="S374" s="130"/>
      <c r="T374" s="20">
        <f t="shared" si="34"/>
        <v>10.611622725</v>
      </c>
    </row>
    <row r="375" spans="1:20">
      <c r="A375" s="13" t="s">
        <v>21</v>
      </c>
      <c r="B375" s="14" t="s">
        <v>660</v>
      </c>
      <c r="C375" s="14" t="s">
        <v>661</v>
      </c>
      <c r="D375" s="13" t="s">
        <v>662</v>
      </c>
      <c r="E375" s="14" t="s">
        <v>280</v>
      </c>
      <c r="F375" s="13" t="s">
        <v>26</v>
      </c>
      <c r="G375" s="14" t="s">
        <v>20</v>
      </c>
      <c r="H375" s="14"/>
      <c r="I375" s="14">
        <v>201404</v>
      </c>
      <c r="J375" s="15">
        <v>1291.75</v>
      </c>
      <c r="K375" s="21">
        <f t="shared" si="35"/>
        <v>42675</v>
      </c>
      <c r="L375" s="16">
        <f t="shared" si="30"/>
        <v>6</v>
      </c>
      <c r="M375" s="17">
        <v>1.4833299999999999E-3</v>
      </c>
      <c r="N375" s="18">
        <f t="shared" si="31"/>
        <v>11.496549164999999</v>
      </c>
      <c r="O375" s="15"/>
      <c r="P375" s="20">
        <f t="shared" si="32"/>
        <v>0</v>
      </c>
      <c r="Q375" s="15"/>
      <c r="R375" s="20">
        <f t="shared" si="33"/>
        <v>0</v>
      </c>
      <c r="S375" s="130"/>
      <c r="T375" s="20">
        <f t="shared" si="34"/>
        <v>18.285528593750001</v>
      </c>
    </row>
    <row r="376" spans="1:20">
      <c r="A376" s="23" t="s">
        <v>29</v>
      </c>
      <c r="B376" s="14" t="s">
        <v>292</v>
      </c>
      <c r="C376" s="14" t="s">
        <v>293</v>
      </c>
      <c r="D376" s="13" t="s">
        <v>197</v>
      </c>
      <c r="E376" s="14" t="s">
        <v>294</v>
      </c>
      <c r="F376" s="13" t="s">
        <v>199</v>
      </c>
      <c r="G376" s="14" t="s">
        <v>20</v>
      </c>
      <c r="H376" s="14"/>
      <c r="I376" s="14">
        <v>201404</v>
      </c>
      <c r="J376" s="15">
        <v>25924.26</v>
      </c>
      <c r="K376" s="21">
        <f t="shared" si="35"/>
        <v>42675</v>
      </c>
      <c r="L376" s="16">
        <f t="shared" si="30"/>
        <v>6</v>
      </c>
      <c r="M376" s="17">
        <v>2.23333E-3</v>
      </c>
      <c r="N376" s="18">
        <f t="shared" si="31"/>
        <v>347.38456551479993</v>
      </c>
      <c r="O376" s="15"/>
      <c r="P376" s="20">
        <f t="shared" si="32"/>
        <v>0</v>
      </c>
      <c r="Q376" s="15"/>
      <c r="R376" s="20">
        <f t="shared" si="33"/>
        <v>0</v>
      </c>
      <c r="S376" s="130"/>
      <c r="T376" s="20">
        <f t="shared" si="34"/>
        <v>366.97410296249996</v>
      </c>
    </row>
    <row r="377" spans="1:20">
      <c r="A377" s="13" t="s">
        <v>21</v>
      </c>
      <c r="B377" s="14" t="s">
        <v>663</v>
      </c>
      <c r="C377" s="14" t="s">
        <v>664</v>
      </c>
      <c r="D377" s="13" t="s">
        <v>665</v>
      </c>
      <c r="E377" s="14" t="s">
        <v>260</v>
      </c>
      <c r="F377" s="13" t="s">
        <v>26</v>
      </c>
      <c r="G377" s="14" t="s">
        <v>20</v>
      </c>
      <c r="H377" s="14"/>
      <c r="I377" s="14">
        <v>201404</v>
      </c>
      <c r="J377" s="15">
        <v>-42.59</v>
      </c>
      <c r="K377" s="21">
        <f t="shared" si="35"/>
        <v>42675</v>
      </c>
      <c r="L377" s="16">
        <f t="shared" si="30"/>
        <v>6</v>
      </c>
      <c r="M377" s="17">
        <v>1.4833299999999999E-3</v>
      </c>
      <c r="N377" s="18">
        <f t="shared" si="31"/>
        <v>-0.37905014820000005</v>
      </c>
      <c r="O377" s="15"/>
      <c r="P377" s="20">
        <f t="shared" si="32"/>
        <v>0</v>
      </c>
      <c r="Q377" s="15"/>
      <c r="R377" s="20">
        <f t="shared" si="33"/>
        <v>0</v>
      </c>
      <c r="S377" s="130"/>
      <c r="T377" s="20">
        <f t="shared" si="34"/>
        <v>-0.60288806875000001</v>
      </c>
    </row>
    <row r="378" spans="1:20">
      <c r="A378" s="13" t="s">
        <v>127</v>
      </c>
      <c r="B378" s="14" t="s">
        <v>295</v>
      </c>
      <c r="C378" s="14" t="s">
        <v>296</v>
      </c>
      <c r="D378" s="13" t="s">
        <v>297</v>
      </c>
      <c r="E378" s="14" t="s">
        <v>216</v>
      </c>
      <c r="F378" s="13" t="s">
        <v>217</v>
      </c>
      <c r="G378" s="14" t="s">
        <v>20</v>
      </c>
      <c r="H378" s="14"/>
      <c r="I378" s="14">
        <v>201404</v>
      </c>
      <c r="J378" s="15">
        <v>1443.29</v>
      </c>
      <c r="K378" s="21">
        <f t="shared" si="35"/>
        <v>42675</v>
      </c>
      <c r="L378" s="16">
        <f t="shared" si="30"/>
        <v>6</v>
      </c>
      <c r="M378" s="17">
        <v>2.3833299999999999E-3</v>
      </c>
      <c r="N378" s="18">
        <f t="shared" si="31"/>
        <v>20.639018134200001</v>
      </c>
      <c r="O378" s="15"/>
      <c r="P378" s="20">
        <f t="shared" si="32"/>
        <v>0</v>
      </c>
      <c r="Q378" s="15"/>
      <c r="R378" s="20">
        <f t="shared" si="33"/>
        <v>0</v>
      </c>
      <c r="S378" s="130"/>
      <c r="T378" s="20">
        <f t="shared" si="34"/>
        <v>20.430672006249999</v>
      </c>
    </row>
    <row r="379" spans="1:20">
      <c r="A379" s="13" t="s">
        <v>21</v>
      </c>
      <c r="B379" s="14" t="s">
        <v>666</v>
      </c>
      <c r="C379" s="14" t="s">
        <v>667</v>
      </c>
      <c r="D379" s="13" t="s">
        <v>668</v>
      </c>
      <c r="E379" s="14" t="s">
        <v>87</v>
      </c>
      <c r="F379" s="13" t="s">
        <v>88</v>
      </c>
      <c r="G379" s="14" t="s">
        <v>20</v>
      </c>
      <c r="H379" s="14"/>
      <c r="I379" s="14">
        <v>201404</v>
      </c>
      <c r="J379" s="15">
        <v>15955.56</v>
      </c>
      <c r="K379" s="21">
        <f t="shared" si="35"/>
        <v>42675</v>
      </c>
      <c r="L379" s="16">
        <f t="shared" si="30"/>
        <v>6</v>
      </c>
      <c r="M379" s="17">
        <v>1.4833299999999999E-3</v>
      </c>
      <c r="N379" s="18">
        <f t="shared" si="31"/>
        <v>142.00416488880001</v>
      </c>
      <c r="O379" s="15"/>
      <c r="P379" s="20">
        <f t="shared" si="32"/>
        <v>0</v>
      </c>
      <c r="Q379" s="15"/>
      <c r="R379" s="20">
        <f t="shared" si="33"/>
        <v>0</v>
      </c>
      <c r="S379" s="130"/>
      <c r="T379" s="20">
        <f t="shared" si="34"/>
        <v>225.86092402499997</v>
      </c>
    </row>
    <row r="380" spans="1:20">
      <c r="A380" s="13" t="s">
        <v>21</v>
      </c>
      <c r="B380" s="14" t="s">
        <v>298</v>
      </c>
      <c r="C380" s="14" t="s">
        <v>299</v>
      </c>
      <c r="D380" s="13" t="s">
        <v>300</v>
      </c>
      <c r="E380" s="14" t="s">
        <v>164</v>
      </c>
      <c r="F380" s="13" t="s">
        <v>165</v>
      </c>
      <c r="G380" s="14" t="s">
        <v>20</v>
      </c>
      <c r="H380" s="14"/>
      <c r="I380" s="14">
        <v>201404</v>
      </c>
      <c r="J380" s="15">
        <v>18201.509999999998</v>
      </c>
      <c r="K380" s="21">
        <f t="shared" si="35"/>
        <v>42675</v>
      </c>
      <c r="L380" s="16">
        <f t="shared" si="30"/>
        <v>6</v>
      </c>
      <c r="M380" s="17">
        <v>1.4833299999999999E-3</v>
      </c>
      <c r="N380" s="18">
        <f t="shared" si="31"/>
        <v>161.99307496979998</v>
      </c>
      <c r="O380" s="15"/>
      <c r="P380" s="20">
        <f t="shared" si="32"/>
        <v>0</v>
      </c>
      <c r="Q380" s="15"/>
      <c r="R380" s="20">
        <f t="shared" si="33"/>
        <v>0</v>
      </c>
      <c r="S380" s="130"/>
      <c r="T380" s="20">
        <f t="shared" si="34"/>
        <v>257.65374999374995</v>
      </c>
    </row>
    <row r="381" spans="1:20">
      <c r="A381" s="13" t="s">
        <v>21</v>
      </c>
      <c r="B381" s="14" t="s">
        <v>669</v>
      </c>
      <c r="C381" s="14" t="s">
        <v>670</v>
      </c>
      <c r="D381" s="13" t="s">
        <v>671</v>
      </c>
      <c r="E381" s="14" t="s">
        <v>497</v>
      </c>
      <c r="F381" s="13" t="s">
        <v>26</v>
      </c>
      <c r="G381" s="14" t="s">
        <v>20</v>
      </c>
      <c r="H381" s="14"/>
      <c r="I381" s="14">
        <v>201404</v>
      </c>
      <c r="J381" s="15">
        <v>773.72</v>
      </c>
      <c r="K381" s="21">
        <f t="shared" si="35"/>
        <v>42675</v>
      </c>
      <c r="L381" s="16">
        <f t="shared" si="30"/>
        <v>6</v>
      </c>
      <c r="M381" s="17">
        <v>1.4833299999999999E-3</v>
      </c>
      <c r="N381" s="18">
        <f t="shared" si="31"/>
        <v>6.8860925256000005</v>
      </c>
      <c r="O381" s="15"/>
      <c r="P381" s="20">
        <f t="shared" si="32"/>
        <v>0</v>
      </c>
      <c r="Q381" s="15"/>
      <c r="R381" s="20">
        <f t="shared" si="33"/>
        <v>0</v>
      </c>
      <c r="S381" s="130"/>
      <c r="T381" s="20">
        <f t="shared" si="34"/>
        <v>10.952490174999999</v>
      </c>
    </row>
    <row r="382" spans="1:20">
      <c r="A382" s="13" t="s">
        <v>21</v>
      </c>
      <c r="B382" s="14" t="s">
        <v>672</v>
      </c>
      <c r="C382" s="14" t="s">
        <v>673</v>
      </c>
      <c r="D382" s="13" t="s">
        <v>674</v>
      </c>
      <c r="E382" s="14" t="s">
        <v>164</v>
      </c>
      <c r="F382" s="13" t="s">
        <v>165</v>
      </c>
      <c r="G382" s="14" t="s">
        <v>20</v>
      </c>
      <c r="H382" s="14"/>
      <c r="I382" s="14">
        <v>201404</v>
      </c>
      <c r="J382" s="15">
        <v>601.87</v>
      </c>
      <c r="K382" s="21">
        <f t="shared" si="35"/>
        <v>42675</v>
      </c>
      <c r="L382" s="16">
        <f t="shared" si="30"/>
        <v>6</v>
      </c>
      <c r="M382" s="17">
        <v>1.4833299999999999E-3</v>
      </c>
      <c r="N382" s="18">
        <f t="shared" si="31"/>
        <v>5.3566309625999997</v>
      </c>
      <c r="O382" s="15"/>
      <c r="P382" s="20">
        <f t="shared" si="32"/>
        <v>0</v>
      </c>
      <c r="Q382" s="15"/>
      <c r="R382" s="20">
        <f t="shared" si="33"/>
        <v>0</v>
      </c>
      <c r="S382" s="130"/>
      <c r="T382" s="20">
        <f t="shared" si="34"/>
        <v>8.5198460187499983</v>
      </c>
    </row>
    <row r="383" spans="1:20">
      <c r="A383" s="13" t="s">
        <v>127</v>
      </c>
      <c r="B383" s="14" t="s">
        <v>675</v>
      </c>
      <c r="C383" s="14" t="s">
        <v>676</v>
      </c>
      <c r="D383" s="13" t="s">
        <v>677</v>
      </c>
      <c r="E383" s="14" t="s">
        <v>131</v>
      </c>
      <c r="F383" s="13" t="s">
        <v>132</v>
      </c>
      <c r="G383" s="14" t="s">
        <v>20</v>
      </c>
      <c r="H383" s="14"/>
      <c r="I383" s="14">
        <v>201404</v>
      </c>
      <c r="J383" s="15">
        <v>16565.98</v>
      </c>
      <c r="K383" s="21">
        <f t="shared" si="35"/>
        <v>42675</v>
      </c>
      <c r="L383" s="16">
        <f t="shared" si="30"/>
        <v>6</v>
      </c>
      <c r="M383" s="17">
        <v>2.3833299999999999E-3</v>
      </c>
      <c r="N383" s="18">
        <f t="shared" si="31"/>
        <v>236.8931826804</v>
      </c>
      <c r="O383" s="15"/>
      <c r="P383" s="20">
        <f t="shared" si="32"/>
        <v>0</v>
      </c>
      <c r="Q383" s="15"/>
      <c r="R383" s="20">
        <f t="shared" si="33"/>
        <v>0</v>
      </c>
      <c r="S383" s="130"/>
      <c r="T383" s="20">
        <f t="shared" si="34"/>
        <v>234.5018006375</v>
      </c>
    </row>
    <row r="384" spans="1:20">
      <c r="A384" s="13" t="s">
        <v>21</v>
      </c>
      <c r="B384" s="14" t="s">
        <v>301</v>
      </c>
      <c r="C384" s="14" t="s">
        <v>302</v>
      </c>
      <c r="D384" s="13" t="s">
        <v>303</v>
      </c>
      <c r="E384" s="14" t="s">
        <v>63</v>
      </c>
      <c r="F384" s="13" t="s">
        <v>19</v>
      </c>
      <c r="G384" s="14" t="s">
        <v>20</v>
      </c>
      <c r="H384" s="14"/>
      <c r="I384" s="14">
        <v>201404</v>
      </c>
      <c r="J384" s="15">
        <v>409.79</v>
      </c>
      <c r="K384" s="21">
        <f t="shared" si="35"/>
        <v>42675</v>
      </c>
      <c r="L384" s="16">
        <f t="shared" si="30"/>
        <v>6</v>
      </c>
      <c r="M384" s="17">
        <v>1.4833299999999999E-3</v>
      </c>
      <c r="N384" s="18">
        <f t="shared" si="31"/>
        <v>3.6471228042000003</v>
      </c>
      <c r="O384" s="15"/>
      <c r="P384" s="20">
        <f t="shared" si="32"/>
        <v>0</v>
      </c>
      <c r="Q384" s="15"/>
      <c r="R384" s="20">
        <f t="shared" si="33"/>
        <v>0</v>
      </c>
      <c r="S384" s="130"/>
      <c r="T384" s="20">
        <f t="shared" si="34"/>
        <v>5.8008335687499999</v>
      </c>
    </row>
    <row r="385" spans="1:20">
      <c r="A385" s="13" t="s">
        <v>21</v>
      </c>
      <c r="B385" s="14" t="s">
        <v>304</v>
      </c>
      <c r="C385" s="14" t="s">
        <v>305</v>
      </c>
      <c r="D385" s="13" t="s">
        <v>306</v>
      </c>
      <c r="E385" s="14" t="s">
        <v>307</v>
      </c>
      <c r="F385" s="13" t="s">
        <v>165</v>
      </c>
      <c r="G385" s="14" t="s">
        <v>20</v>
      </c>
      <c r="H385" s="14"/>
      <c r="I385" s="14">
        <v>201404</v>
      </c>
      <c r="J385" s="15">
        <v>13461.34</v>
      </c>
      <c r="K385" s="21">
        <f t="shared" si="35"/>
        <v>42675</v>
      </c>
      <c r="L385" s="16">
        <f t="shared" si="30"/>
        <v>6</v>
      </c>
      <c r="M385" s="17">
        <v>1.4833299999999999E-3</v>
      </c>
      <c r="N385" s="18">
        <f t="shared" si="31"/>
        <v>119.8056567732</v>
      </c>
      <c r="O385" s="15"/>
      <c r="P385" s="20">
        <f t="shared" si="32"/>
        <v>0</v>
      </c>
      <c r="Q385" s="15"/>
      <c r="R385" s="20">
        <f t="shared" si="33"/>
        <v>0</v>
      </c>
      <c r="S385" s="130"/>
      <c r="T385" s="20">
        <f t="shared" si="34"/>
        <v>190.55368103749998</v>
      </c>
    </row>
    <row r="386" spans="1:20">
      <c r="A386" s="13" t="s">
        <v>21</v>
      </c>
      <c r="B386" s="14" t="s">
        <v>494</v>
      </c>
      <c r="C386" s="14" t="s">
        <v>495</v>
      </c>
      <c r="D386" s="13" t="s">
        <v>496</v>
      </c>
      <c r="E386" s="14" t="s">
        <v>497</v>
      </c>
      <c r="F386" s="13" t="s">
        <v>26</v>
      </c>
      <c r="G386" s="14" t="s">
        <v>20</v>
      </c>
      <c r="H386" s="14"/>
      <c r="I386" s="14">
        <v>201404</v>
      </c>
      <c r="J386" s="15">
        <v>40930.53</v>
      </c>
      <c r="K386" s="21">
        <f t="shared" si="35"/>
        <v>42675</v>
      </c>
      <c r="L386" s="16">
        <f t="shared" si="30"/>
        <v>6</v>
      </c>
      <c r="M386" s="17">
        <v>1.4833299999999999E-3</v>
      </c>
      <c r="N386" s="18">
        <f t="shared" si="31"/>
        <v>364.28089838939997</v>
      </c>
      <c r="O386" s="15"/>
      <c r="P386" s="20">
        <f t="shared" si="32"/>
        <v>0</v>
      </c>
      <c r="Q386" s="15"/>
      <c r="R386" s="20">
        <f t="shared" si="33"/>
        <v>0</v>
      </c>
      <c r="S386" s="130"/>
      <c r="T386" s="20">
        <f t="shared" si="34"/>
        <v>579.39723373125003</v>
      </c>
    </row>
    <row r="387" spans="1:20">
      <c r="A387" s="13" t="s">
        <v>21</v>
      </c>
      <c r="B387" s="14" t="s">
        <v>498</v>
      </c>
      <c r="C387" s="14" t="s">
        <v>499</v>
      </c>
      <c r="D387" s="13" t="s">
        <v>500</v>
      </c>
      <c r="E387" s="14" t="s">
        <v>75</v>
      </c>
      <c r="F387" s="13" t="s">
        <v>26</v>
      </c>
      <c r="G387" s="14" t="s">
        <v>20</v>
      </c>
      <c r="H387" s="14"/>
      <c r="I387" s="14">
        <v>201404</v>
      </c>
      <c r="J387" s="15">
        <v>42977.84</v>
      </c>
      <c r="K387" s="21">
        <f t="shared" si="35"/>
        <v>42675</v>
      </c>
      <c r="L387" s="16">
        <f t="shared" si="30"/>
        <v>6</v>
      </c>
      <c r="M387" s="17">
        <v>1.4833299999999999E-3</v>
      </c>
      <c r="N387" s="18">
        <f t="shared" si="31"/>
        <v>382.50191644319995</v>
      </c>
      <c r="O387" s="15"/>
      <c r="P387" s="20">
        <f t="shared" si="32"/>
        <v>0</v>
      </c>
      <c r="Q387" s="15"/>
      <c r="R387" s="20">
        <f t="shared" si="33"/>
        <v>0</v>
      </c>
      <c r="S387" s="130"/>
      <c r="T387" s="20">
        <f t="shared" si="34"/>
        <v>608.37818634999996</v>
      </c>
    </row>
    <row r="388" spans="1:20">
      <c r="A388" s="13" t="s">
        <v>21</v>
      </c>
      <c r="B388" s="14" t="s">
        <v>501</v>
      </c>
      <c r="C388" s="14" t="s">
        <v>502</v>
      </c>
      <c r="D388" s="13" t="s">
        <v>503</v>
      </c>
      <c r="E388" s="14" t="s">
        <v>280</v>
      </c>
      <c r="F388" s="13" t="s">
        <v>26</v>
      </c>
      <c r="G388" s="14" t="s">
        <v>20</v>
      </c>
      <c r="H388" s="14"/>
      <c r="I388" s="14">
        <v>201404</v>
      </c>
      <c r="J388" s="15">
        <v>44248.25</v>
      </c>
      <c r="K388" s="21">
        <f t="shared" si="35"/>
        <v>42675</v>
      </c>
      <c r="L388" s="16">
        <f t="shared" si="30"/>
        <v>6</v>
      </c>
      <c r="M388" s="17">
        <v>1.4833299999999999E-3</v>
      </c>
      <c r="N388" s="18">
        <f t="shared" si="31"/>
        <v>393.80854003500002</v>
      </c>
      <c r="O388" s="15"/>
      <c r="P388" s="20">
        <f t="shared" si="32"/>
        <v>0</v>
      </c>
      <c r="Q388" s="15"/>
      <c r="R388" s="20">
        <f t="shared" si="33"/>
        <v>0</v>
      </c>
      <c r="S388" s="130"/>
      <c r="T388" s="20">
        <f t="shared" si="34"/>
        <v>626.36163390624995</v>
      </c>
    </row>
    <row r="389" spans="1:20">
      <c r="A389" s="13" t="s">
        <v>21</v>
      </c>
      <c r="B389" s="14" t="s">
        <v>308</v>
      </c>
      <c r="C389" s="14" t="s">
        <v>309</v>
      </c>
      <c r="D389" s="13" t="s">
        <v>310</v>
      </c>
      <c r="E389" s="14" t="s">
        <v>142</v>
      </c>
      <c r="F389" s="13" t="s">
        <v>143</v>
      </c>
      <c r="G389" s="14" t="s">
        <v>20</v>
      </c>
      <c r="H389" s="14"/>
      <c r="I389" s="14">
        <v>201404</v>
      </c>
      <c r="J389" s="15">
        <v>2703.86</v>
      </c>
      <c r="K389" s="21">
        <f t="shared" si="35"/>
        <v>42675</v>
      </c>
      <c r="L389" s="16">
        <f t="shared" si="30"/>
        <v>6</v>
      </c>
      <c r="M389" s="17">
        <v>1.4833299999999999E-3</v>
      </c>
      <c r="N389" s="18">
        <f t="shared" si="31"/>
        <v>24.0642999228</v>
      </c>
      <c r="O389" s="15"/>
      <c r="P389" s="20">
        <f t="shared" si="32"/>
        <v>0</v>
      </c>
      <c r="Q389" s="15"/>
      <c r="R389" s="20">
        <f t="shared" si="33"/>
        <v>0</v>
      </c>
      <c r="S389" s="130"/>
      <c r="T389" s="20">
        <f t="shared" si="34"/>
        <v>38.274828212499997</v>
      </c>
    </row>
    <row r="390" spans="1:20">
      <c r="A390" s="13" t="s">
        <v>21</v>
      </c>
      <c r="B390" s="14" t="s">
        <v>416</v>
      </c>
      <c r="C390" s="14" t="s">
        <v>417</v>
      </c>
      <c r="D390" s="13" t="s">
        <v>418</v>
      </c>
      <c r="E390" s="14" t="s">
        <v>209</v>
      </c>
      <c r="F390" s="13" t="s">
        <v>88</v>
      </c>
      <c r="G390" s="14" t="s">
        <v>20</v>
      </c>
      <c r="H390" s="14"/>
      <c r="I390" s="14">
        <v>201404</v>
      </c>
      <c r="J390" s="15">
        <v>2821.21</v>
      </c>
      <c r="K390" s="21">
        <f t="shared" si="35"/>
        <v>42675</v>
      </c>
      <c r="L390" s="16">
        <f t="shared" ref="L390:L453" si="36">((YEAR($L$1)-YEAR(K390))*12+MONTH($L$1)-MONTH(K390))</f>
        <v>6</v>
      </c>
      <c r="M390" s="17">
        <v>1.4833299999999999E-3</v>
      </c>
      <c r="N390" s="18">
        <f t="shared" ref="N390:N453" si="37">M390*L390*J390</f>
        <v>25.108712575800002</v>
      </c>
      <c r="O390" s="15"/>
      <c r="P390" s="20">
        <f t="shared" ref="P390:P453" si="38">$P$4*(J390*0.5)*$V$10</f>
        <v>0</v>
      </c>
      <c r="Q390" s="15"/>
      <c r="R390" s="20">
        <f t="shared" ref="R390:R453" si="39">$R$4*(J390*0.5)*$V$9</f>
        <v>0</v>
      </c>
      <c r="S390" s="130"/>
      <c r="T390" s="20">
        <f t="shared" ref="T390:T453" si="40">$T$4*(J390*0.5)*$V$11</f>
        <v>39.935990806249997</v>
      </c>
    </row>
    <row r="391" spans="1:20">
      <c r="A391" s="13" t="s">
        <v>21</v>
      </c>
      <c r="B391" s="14" t="s">
        <v>311</v>
      </c>
      <c r="C391" s="14" t="s">
        <v>312</v>
      </c>
      <c r="D391" s="13" t="s">
        <v>313</v>
      </c>
      <c r="E391" s="14" t="s">
        <v>164</v>
      </c>
      <c r="F391" s="13" t="s">
        <v>165</v>
      </c>
      <c r="G391" s="14" t="s">
        <v>20</v>
      </c>
      <c r="H391" s="14"/>
      <c r="I391" s="14">
        <v>201404</v>
      </c>
      <c r="J391" s="15">
        <v>13163.59</v>
      </c>
      <c r="K391" s="21">
        <f t="shared" ref="K391:K454" si="41">+K390</f>
        <v>42675</v>
      </c>
      <c r="L391" s="16">
        <f t="shared" si="36"/>
        <v>6</v>
      </c>
      <c r="M391" s="17">
        <v>1.4833299999999999E-3</v>
      </c>
      <c r="N391" s="18">
        <f t="shared" si="37"/>
        <v>117.15568772820001</v>
      </c>
      <c r="O391" s="15"/>
      <c r="P391" s="20">
        <f t="shared" si="38"/>
        <v>0</v>
      </c>
      <c r="Q391" s="15"/>
      <c r="R391" s="20">
        <f t="shared" si="39"/>
        <v>0</v>
      </c>
      <c r="S391" s="130"/>
      <c r="T391" s="20">
        <f t="shared" si="40"/>
        <v>186.33884369374999</v>
      </c>
    </row>
    <row r="392" spans="1:20">
      <c r="A392" s="13" t="s">
        <v>21</v>
      </c>
      <c r="B392" s="14" t="s">
        <v>504</v>
      </c>
      <c r="C392" s="14" t="s">
        <v>505</v>
      </c>
      <c r="D392" s="13" t="s">
        <v>506</v>
      </c>
      <c r="E392" s="14" t="s">
        <v>164</v>
      </c>
      <c r="F392" s="13" t="s">
        <v>165</v>
      </c>
      <c r="G392" s="14" t="s">
        <v>20</v>
      </c>
      <c r="H392" s="14"/>
      <c r="I392" s="14">
        <v>201404</v>
      </c>
      <c r="J392" s="15">
        <v>4296.0600000000004</v>
      </c>
      <c r="K392" s="21">
        <f t="shared" si="41"/>
        <v>42675</v>
      </c>
      <c r="L392" s="16">
        <f t="shared" si="36"/>
        <v>6</v>
      </c>
      <c r="M392" s="17">
        <v>1.4833299999999999E-3</v>
      </c>
      <c r="N392" s="18">
        <f t="shared" si="37"/>
        <v>38.234848078800006</v>
      </c>
      <c r="O392" s="15"/>
      <c r="P392" s="20">
        <f t="shared" si="38"/>
        <v>0</v>
      </c>
      <c r="Q392" s="15"/>
      <c r="R392" s="20">
        <f t="shared" si="39"/>
        <v>0</v>
      </c>
      <c r="S392" s="130"/>
      <c r="T392" s="20">
        <f t="shared" si="40"/>
        <v>60.813414337499999</v>
      </c>
    </row>
    <row r="393" spans="1:20">
      <c r="A393" s="23" t="s">
        <v>29</v>
      </c>
      <c r="B393" s="14" t="s">
        <v>314</v>
      </c>
      <c r="C393" s="14" t="s">
        <v>315</v>
      </c>
      <c r="D393" s="13" t="s">
        <v>316</v>
      </c>
      <c r="E393" s="14" t="s">
        <v>317</v>
      </c>
      <c r="F393" s="13" t="s">
        <v>285</v>
      </c>
      <c r="G393" s="14" t="s">
        <v>20</v>
      </c>
      <c r="H393" s="14"/>
      <c r="I393" s="14">
        <v>201404</v>
      </c>
      <c r="J393" s="15">
        <v>3035.57</v>
      </c>
      <c r="K393" s="21">
        <f t="shared" si="41"/>
        <v>42675</v>
      </c>
      <c r="L393" s="16">
        <f t="shared" si="36"/>
        <v>6</v>
      </c>
      <c r="M393" s="17">
        <v>2.23333E-3</v>
      </c>
      <c r="N393" s="18">
        <f t="shared" si="37"/>
        <v>40.676577288600001</v>
      </c>
      <c r="O393" s="15"/>
      <c r="P393" s="20">
        <f t="shared" si="38"/>
        <v>0</v>
      </c>
      <c r="Q393" s="15"/>
      <c r="R393" s="20">
        <f t="shared" si="39"/>
        <v>0</v>
      </c>
      <c r="S393" s="130"/>
      <c r="T393" s="20">
        <f t="shared" si="40"/>
        <v>42.970390581250001</v>
      </c>
    </row>
    <row r="394" spans="1:20">
      <c r="A394" s="23" t="s">
        <v>29</v>
      </c>
      <c r="B394" s="14" t="s">
        <v>318</v>
      </c>
      <c r="C394" s="14" t="s">
        <v>319</v>
      </c>
      <c r="D394" s="13" t="s">
        <v>105</v>
      </c>
      <c r="E394" s="14" t="s">
        <v>320</v>
      </c>
      <c r="F394" s="13" t="s">
        <v>34</v>
      </c>
      <c r="G394" s="14" t="s">
        <v>20</v>
      </c>
      <c r="H394" s="14"/>
      <c r="I394" s="14">
        <v>201404</v>
      </c>
      <c r="J394" s="15">
        <v>9285.49</v>
      </c>
      <c r="K394" s="21">
        <f t="shared" si="41"/>
        <v>42675</v>
      </c>
      <c r="L394" s="16">
        <f t="shared" si="36"/>
        <v>6</v>
      </c>
      <c r="M394" s="17">
        <v>2.23333E-3</v>
      </c>
      <c r="N394" s="18">
        <f t="shared" si="37"/>
        <v>124.42538029019998</v>
      </c>
      <c r="O394" s="15"/>
      <c r="P394" s="20">
        <f t="shared" si="38"/>
        <v>0</v>
      </c>
      <c r="Q394" s="15"/>
      <c r="R394" s="20">
        <f t="shared" si="39"/>
        <v>0</v>
      </c>
      <c r="S394" s="130"/>
      <c r="T394" s="20">
        <f t="shared" si="40"/>
        <v>131.44191438125</v>
      </c>
    </row>
    <row r="395" spans="1:20">
      <c r="A395" s="23" t="s">
        <v>29</v>
      </c>
      <c r="B395" s="14" t="s">
        <v>321</v>
      </c>
      <c r="C395" s="14" t="s">
        <v>322</v>
      </c>
      <c r="D395" s="13" t="s">
        <v>323</v>
      </c>
      <c r="E395" s="14" t="s">
        <v>324</v>
      </c>
      <c r="F395" s="13" t="s">
        <v>52</v>
      </c>
      <c r="G395" s="14" t="s">
        <v>20</v>
      </c>
      <c r="H395" s="14"/>
      <c r="I395" s="14">
        <v>201404</v>
      </c>
      <c r="J395" s="15">
        <v>4648.12</v>
      </c>
      <c r="K395" s="21">
        <f t="shared" si="41"/>
        <v>42675</v>
      </c>
      <c r="L395" s="16">
        <f t="shared" si="36"/>
        <v>6</v>
      </c>
      <c r="M395" s="17">
        <v>2.23333E-3</v>
      </c>
      <c r="N395" s="18">
        <f t="shared" si="37"/>
        <v>62.284715037599995</v>
      </c>
      <c r="O395" s="15"/>
      <c r="P395" s="20">
        <f t="shared" si="38"/>
        <v>0</v>
      </c>
      <c r="Q395" s="15"/>
      <c r="R395" s="20">
        <f t="shared" si="39"/>
        <v>0</v>
      </c>
      <c r="S395" s="130"/>
      <c r="T395" s="20">
        <f t="shared" si="40"/>
        <v>65.797043674999998</v>
      </c>
    </row>
    <row r="396" spans="1:20">
      <c r="A396" s="23" t="s">
        <v>29</v>
      </c>
      <c r="B396" s="14" t="s">
        <v>419</v>
      </c>
      <c r="C396" s="14" t="s">
        <v>420</v>
      </c>
      <c r="D396" s="13" t="s">
        <v>50</v>
      </c>
      <c r="E396" s="14" t="s">
        <v>421</v>
      </c>
      <c r="F396" s="13" t="s">
        <v>52</v>
      </c>
      <c r="G396" s="14" t="s">
        <v>20</v>
      </c>
      <c r="H396" s="14"/>
      <c r="I396" s="14">
        <v>201404</v>
      </c>
      <c r="J396" s="15">
        <v>11598.89</v>
      </c>
      <c r="K396" s="21">
        <f t="shared" si="41"/>
        <v>42675</v>
      </c>
      <c r="L396" s="16">
        <f t="shared" si="36"/>
        <v>6</v>
      </c>
      <c r="M396" s="17">
        <v>2.23333E-3</v>
      </c>
      <c r="N396" s="18">
        <f t="shared" si="37"/>
        <v>155.42489402219996</v>
      </c>
      <c r="O396" s="15"/>
      <c r="P396" s="20">
        <f t="shared" si="38"/>
        <v>0</v>
      </c>
      <c r="Q396" s="15"/>
      <c r="R396" s="20">
        <f t="shared" si="39"/>
        <v>0</v>
      </c>
      <c r="S396" s="130"/>
      <c r="T396" s="20">
        <f t="shared" si="40"/>
        <v>164.18953725624996</v>
      </c>
    </row>
    <row r="397" spans="1:20">
      <c r="A397" s="23" t="s">
        <v>29</v>
      </c>
      <c r="B397" s="14" t="s">
        <v>325</v>
      </c>
      <c r="C397" s="14" t="s">
        <v>326</v>
      </c>
      <c r="D397" s="13" t="s">
        <v>327</v>
      </c>
      <c r="E397" s="14" t="s">
        <v>328</v>
      </c>
      <c r="F397" s="13" t="s">
        <v>58</v>
      </c>
      <c r="G397" s="14" t="s">
        <v>20</v>
      </c>
      <c r="H397" s="14"/>
      <c r="I397" s="14">
        <v>201404</v>
      </c>
      <c r="J397" s="15">
        <v>20167.71</v>
      </c>
      <c r="K397" s="21">
        <f t="shared" si="41"/>
        <v>42675</v>
      </c>
      <c r="L397" s="16">
        <f t="shared" si="36"/>
        <v>6</v>
      </c>
      <c r="M397" s="17">
        <v>2.23333E-3</v>
      </c>
      <c r="N397" s="18">
        <f t="shared" si="37"/>
        <v>270.24691064579997</v>
      </c>
      <c r="O397" s="15"/>
      <c r="P397" s="20">
        <f t="shared" si="38"/>
        <v>0</v>
      </c>
      <c r="Q397" s="15"/>
      <c r="R397" s="20">
        <f t="shared" si="39"/>
        <v>0</v>
      </c>
      <c r="S397" s="130"/>
      <c r="T397" s="20">
        <f t="shared" si="40"/>
        <v>285.48653986874996</v>
      </c>
    </row>
    <row r="398" spans="1:20">
      <c r="A398" s="13" t="s">
        <v>21</v>
      </c>
      <c r="B398" s="14" t="s">
        <v>329</v>
      </c>
      <c r="C398" s="14" t="s">
        <v>330</v>
      </c>
      <c r="D398" s="13" t="s">
        <v>331</v>
      </c>
      <c r="E398" s="14" t="s">
        <v>164</v>
      </c>
      <c r="F398" s="13" t="s">
        <v>165</v>
      </c>
      <c r="G398" s="14" t="s">
        <v>20</v>
      </c>
      <c r="H398" s="14"/>
      <c r="I398" s="14">
        <v>201404</v>
      </c>
      <c r="J398" s="15">
        <v>43344.160000000003</v>
      </c>
      <c r="K398" s="21">
        <f t="shared" si="41"/>
        <v>42675</v>
      </c>
      <c r="L398" s="16">
        <f t="shared" si="36"/>
        <v>6</v>
      </c>
      <c r="M398" s="17">
        <v>1.4833299999999999E-3</v>
      </c>
      <c r="N398" s="18">
        <f t="shared" si="37"/>
        <v>385.76215711680004</v>
      </c>
      <c r="O398" s="15"/>
      <c r="P398" s="20">
        <f t="shared" si="38"/>
        <v>0</v>
      </c>
      <c r="Q398" s="15"/>
      <c r="R398" s="20">
        <f t="shared" si="39"/>
        <v>0</v>
      </c>
      <c r="S398" s="130"/>
      <c r="T398" s="20">
        <f t="shared" si="40"/>
        <v>613.56367490000002</v>
      </c>
    </row>
    <row r="399" spans="1:20">
      <c r="A399" s="13" t="s">
        <v>21</v>
      </c>
      <c r="B399" s="14" t="s">
        <v>678</v>
      </c>
      <c r="C399" s="14" t="s">
        <v>679</v>
      </c>
      <c r="D399" s="13" t="s">
        <v>680</v>
      </c>
      <c r="E399" s="14" t="s">
        <v>75</v>
      </c>
      <c r="F399" s="13" t="s">
        <v>26</v>
      </c>
      <c r="G399" s="14" t="s">
        <v>20</v>
      </c>
      <c r="H399" s="14"/>
      <c r="I399" s="14">
        <v>201404</v>
      </c>
      <c r="J399" s="15">
        <v>562.53</v>
      </c>
      <c r="K399" s="21">
        <f t="shared" si="41"/>
        <v>42675</v>
      </c>
      <c r="L399" s="16">
        <f t="shared" si="36"/>
        <v>6</v>
      </c>
      <c r="M399" s="17">
        <v>1.4833299999999999E-3</v>
      </c>
      <c r="N399" s="18">
        <f t="shared" si="37"/>
        <v>5.0065057493999996</v>
      </c>
      <c r="O399" s="15"/>
      <c r="P399" s="20">
        <f t="shared" si="38"/>
        <v>0</v>
      </c>
      <c r="Q399" s="15"/>
      <c r="R399" s="20">
        <f t="shared" si="39"/>
        <v>0</v>
      </c>
      <c r="S399" s="130"/>
      <c r="T399" s="20">
        <f t="shared" si="40"/>
        <v>7.9629637312499986</v>
      </c>
    </row>
    <row r="400" spans="1:20">
      <c r="A400" s="13" t="s">
        <v>127</v>
      </c>
      <c r="B400" s="14" t="s">
        <v>681</v>
      </c>
      <c r="C400" s="14" t="s">
        <v>682</v>
      </c>
      <c r="D400" s="13" t="s">
        <v>683</v>
      </c>
      <c r="E400" s="14" t="s">
        <v>131</v>
      </c>
      <c r="F400" s="13" t="s">
        <v>132</v>
      </c>
      <c r="G400" s="14" t="s">
        <v>20</v>
      </c>
      <c r="H400" s="14"/>
      <c r="I400" s="14">
        <v>201404</v>
      </c>
      <c r="J400" s="15">
        <v>13875.97</v>
      </c>
      <c r="K400" s="21">
        <f t="shared" si="41"/>
        <v>42675</v>
      </c>
      <c r="L400" s="16">
        <f t="shared" si="36"/>
        <v>6</v>
      </c>
      <c r="M400" s="17">
        <v>2.3833299999999999E-3</v>
      </c>
      <c r="N400" s="18">
        <f t="shared" si="37"/>
        <v>198.4260934806</v>
      </c>
      <c r="O400" s="15"/>
      <c r="P400" s="20">
        <f t="shared" si="38"/>
        <v>0</v>
      </c>
      <c r="Q400" s="15"/>
      <c r="R400" s="20">
        <f t="shared" si="39"/>
        <v>0</v>
      </c>
      <c r="S400" s="130"/>
      <c r="T400" s="20">
        <f t="shared" si="40"/>
        <v>196.42302783124998</v>
      </c>
    </row>
    <row r="401" spans="1:20">
      <c r="A401" s="13" t="s">
        <v>21</v>
      </c>
      <c r="B401" s="14" t="s">
        <v>507</v>
      </c>
      <c r="C401" s="14" t="s">
        <v>508</v>
      </c>
      <c r="D401" s="13" t="s">
        <v>509</v>
      </c>
      <c r="E401" s="14" t="s">
        <v>260</v>
      </c>
      <c r="F401" s="13" t="s">
        <v>26</v>
      </c>
      <c r="G401" s="14" t="s">
        <v>20</v>
      </c>
      <c r="H401" s="14"/>
      <c r="I401" s="14">
        <v>201404</v>
      </c>
      <c r="J401" s="15">
        <v>11617.57</v>
      </c>
      <c r="K401" s="21">
        <f t="shared" si="41"/>
        <v>42675</v>
      </c>
      <c r="L401" s="16">
        <f t="shared" si="36"/>
        <v>6</v>
      </c>
      <c r="M401" s="17">
        <v>1.4833299999999999E-3</v>
      </c>
      <c r="N401" s="18">
        <f t="shared" si="37"/>
        <v>103.3961406486</v>
      </c>
      <c r="O401" s="15"/>
      <c r="P401" s="20">
        <f t="shared" si="38"/>
        <v>0</v>
      </c>
      <c r="Q401" s="15"/>
      <c r="R401" s="20">
        <f t="shared" si="39"/>
        <v>0</v>
      </c>
      <c r="S401" s="130"/>
      <c r="T401" s="20">
        <f t="shared" si="40"/>
        <v>164.45396433124998</v>
      </c>
    </row>
    <row r="402" spans="1:20">
      <c r="A402" s="13" t="s">
        <v>21</v>
      </c>
      <c r="B402" s="14" t="s">
        <v>332</v>
      </c>
      <c r="C402" s="14" t="s">
        <v>333</v>
      </c>
      <c r="D402" s="13" t="s">
        <v>334</v>
      </c>
      <c r="E402" s="14" t="s">
        <v>209</v>
      </c>
      <c r="F402" s="13" t="s">
        <v>88</v>
      </c>
      <c r="G402" s="14" t="s">
        <v>20</v>
      </c>
      <c r="H402" s="14"/>
      <c r="I402" s="14">
        <v>201404</v>
      </c>
      <c r="J402" s="15">
        <v>5244.88</v>
      </c>
      <c r="K402" s="21">
        <f t="shared" si="41"/>
        <v>42675</v>
      </c>
      <c r="L402" s="16">
        <f t="shared" si="36"/>
        <v>6</v>
      </c>
      <c r="M402" s="17">
        <v>1.4833299999999999E-3</v>
      </c>
      <c r="N402" s="18">
        <f t="shared" si="37"/>
        <v>46.679327102400002</v>
      </c>
      <c r="O402" s="15"/>
      <c r="P402" s="20">
        <f t="shared" si="38"/>
        <v>0</v>
      </c>
      <c r="Q402" s="15"/>
      <c r="R402" s="20">
        <f t="shared" si="39"/>
        <v>0</v>
      </c>
      <c r="S402" s="130"/>
      <c r="T402" s="20">
        <f t="shared" si="40"/>
        <v>74.244554449999995</v>
      </c>
    </row>
    <row r="403" spans="1:20">
      <c r="A403" s="13" t="s">
        <v>127</v>
      </c>
      <c r="B403" s="14" t="s">
        <v>684</v>
      </c>
      <c r="C403" s="14" t="s">
        <v>685</v>
      </c>
      <c r="D403" s="13" t="s">
        <v>686</v>
      </c>
      <c r="E403" s="14" t="s">
        <v>131</v>
      </c>
      <c r="F403" s="13" t="s">
        <v>132</v>
      </c>
      <c r="G403" s="14" t="s">
        <v>20</v>
      </c>
      <c r="H403" s="14"/>
      <c r="I403" s="14">
        <v>201404</v>
      </c>
      <c r="J403" s="15">
        <v>6005.35</v>
      </c>
      <c r="K403" s="21">
        <f t="shared" si="41"/>
        <v>42675</v>
      </c>
      <c r="L403" s="16">
        <f t="shared" si="36"/>
        <v>6</v>
      </c>
      <c r="M403" s="17">
        <v>2.3833299999999999E-3</v>
      </c>
      <c r="N403" s="18">
        <f t="shared" si="37"/>
        <v>85.876384893000008</v>
      </c>
      <c r="O403" s="15"/>
      <c r="P403" s="20">
        <f t="shared" si="38"/>
        <v>0</v>
      </c>
      <c r="Q403" s="15"/>
      <c r="R403" s="20">
        <f t="shared" si="39"/>
        <v>0</v>
      </c>
      <c r="S403" s="130"/>
      <c r="T403" s="20">
        <f t="shared" si="40"/>
        <v>85.009482593749993</v>
      </c>
    </row>
    <row r="404" spans="1:20">
      <c r="A404" s="13" t="s">
        <v>127</v>
      </c>
      <c r="B404" s="14" t="s">
        <v>422</v>
      </c>
      <c r="C404" s="14" t="s">
        <v>423</v>
      </c>
      <c r="D404" s="13" t="s">
        <v>424</v>
      </c>
      <c r="E404" s="14" t="s">
        <v>131</v>
      </c>
      <c r="F404" s="13" t="s">
        <v>132</v>
      </c>
      <c r="G404" s="14" t="s">
        <v>20</v>
      </c>
      <c r="H404" s="14"/>
      <c r="I404" s="14">
        <v>201404</v>
      </c>
      <c r="J404" s="15">
        <v>780.94</v>
      </c>
      <c r="K404" s="21">
        <f t="shared" si="41"/>
        <v>42675</v>
      </c>
      <c r="L404" s="16">
        <f t="shared" si="36"/>
        <v>6</v>
      </c>
      <c r="M404" s="17">
        <v>2.3833299999999999E-3</v>
      </c>
      <c r="N404" s="18">
        <f t="shared" si="37"/>
        <v>11.1674263812</v>
      </c>
      <c r="O404" s="15"/>
      <c r="P404" s="20">
        <f t="shared" si="38"/>
        <v>0</v>
      </c>
      <c r="Q404" s="15"/>
      <c r="R404" s="20">
        <f t="shared" si="39"/>
        <v>0</v>
      </c>
      <c r="S404" s="130"/>
      <c r="T404" s="20">
        <f t="shared" si="40"/>
        <v>11.0546937875</v>
      </c>
    </row>
    <row r="405" spans="1:20">
      <c r="A405" s="13" t="s">
        <v>21</v>
      </c>
      <c r="B405" s="14" t="s">
        <v>335</v>
      </c>
      <c r="C405" s="14" t="s">
        <v>336</v>
      </c>
      <c r="D405" s="13" t="s">
        <v>337</v>
      </c>
      <c r="E405" s="14" t="s">
        <v>75</v>
      </c>
      <c r="F405" s="13" t="s">
        <v>26</v>
      </c>
      <c r="G405" s="14" t="s">
        <v>20</v>
      </c>
      <c r="H405" s="14"/>
      <c r="I405" s="14">
        <v>201404</v>
      </c>
      <c r="J405" s="15">
        <v>442.27</v>
      </c>
      <c r="K405" s="21">
        <f t="shared" si="41"/>
        <v>42675</v>
      </c>
      <c r="L405" s="16">
        <f t="shared" si="36"/>
        <v>6</v>
      </c>
      <c r="M405" s="17">
        <v>1.4833299999999999E-3</v>
      </c>
      <c r="N405" s="18">
        <f t="shared" si="37"/>
        <v>3.9361941545999999</v>
      </c>
      <c r="O405" s="15"/>
      <c r="P405" s="20">
        <f t="shared" si="38"/>
        <v>0</v>
      </c>
      <c r="Q405" s="15"/>
      <c r="R405" s="20">
        <f t="shared" si="39"/>
        <v>0</v>
      </c>
      <c r="S405" s="130"/>
      <c r="T405" s="20">
        <f t="shared" si="40"/>
        <v>6.2606082687499995</v>
      </c>
    </row>
    <row r="406" spans="1:20">
      <c r="A406" s="13" t="s">
        <v>21</v>
      </c>
      <c r="B406" s="14" t="s">
        <v>338</v>
      </c>
      <c r="C406" s="14" t="s">
        <v>339</v>
      </c>
      <c r="D406" s="13" t="s">
        <v>340</v>
      </c>
      <c r="E406" s="14" t="s">
        <v>164</v>
      </c>
      <c r="F406" s="13" t="s">
        <v>165</v>
      </c>
      <c r="G406" s="14" t="s">
        <v>20</v>
      </c>
      <c r="H406" s="14"/>
      <c r="I406" s="14">
        <v>201404</v>
      </c>
      <c r="J406" s="15">
        <v>15872.01</v>
      </c>
      <c r="K406" s="21">
        <f t="shared" si="41"/>
        <v>42675</v>
      </c>
      <c r="L406" s="16">
        <f t="shared" si="36"/>
        <v>6</v>
      </c>
      <c r="M406" s="17">
        <v>1.4833299999999999E-3</v>
      </c>
      <c r="N406" s="18">
        <f t="shared" si="37"/>
        <v>141.26057155980001</v>
      </c>
      <c r="O406" s="15"/>
      <c r="P406" s="20">
        <f t="shared" si="38"/>
        <v>0</v>
      </c>
      <c r="Q406" s="15"/>
      <c r="R406" s="20">
        <f t="shared" si="39"/>
        <v>0</v>
      </c>
      <c r="S406" s="130"/>
      <c r="T406" s="20">
        <f t="shared" si="40"/>
        <v>224.67822155624998</v>
      </c>
    </row>
    <row r="407" spans="1:20">
      <c r="A407" s="13" t="s">
        <v>21</v>
      </c>
      <c r="B407" s="14" t="s">
        <v>687</v>
      </c>
      <c r="C407" s="14" t="s">
        <v>688</v>
      </c>
      <c r="D407" s="13" t="s">
        <v>689</v>
      </c>
      <c r="E407" s="14" t="s">
        <v>164</v>
      </c>
      <c r="F407" s="13" t="s">
        <v>165</v>
      </c>
      <c r="G407" s="14" t="s">
        <v>20</v>
      </c>
      <c r="H407" s="14"/>
      <c r="I407" s="14">
        <v>201404</v>
      </c>
      <c r="J407" s="15">
        <v>13360.14</v>
      </c>
      <c r="K407" s="21">
        <f t="shared" si="41"/>
        <v>42675</v>
      </c>
      <c r="L407" s="16">
        <f t="shared" si="36"/>
        <v>6</v>
      </c>
      <c r="M407" s="17">
        <v>1.4833299999999999E-3</v>
      </c>
      <c r="N407" s="18">
        <f t="shared" si="37"/>
        <v>118.9049787972</v>
      </c>
      <c r="O407" s="15"/>
      <c r="P407" s="20">
        <f t="shared" si="38"/>
        <v>0</v>
      </c>
      <c r="Q407" s="15"/>
      <c r="R407" s="20">
        <f t="shared" si="39"/>
        <v>0</v>
      </c>
      <c r="S407" s="130"/>
      <c r="T407" s="20">
        <f t="shared" si="40"/>
        <v>189.12113178749999</v>
      </c>
    </row>
    <row r="408" spans="1:20">
      <c r="A408" s="13" t="s">
        <v>21</v>
      </c>
      <c r="B408" s="14" t="s">
        <v>344</v>
      </c>
      <c r="C408" s="14" t="s">
        <v>345</v>
      </c>
      <c r="D408" s="13" t="s">
        <v>346</v>
      </c>
      <c r="E408" s="14" t="s">
        <v>137</v>
      </c>
      <c r="F408" s="13" t="s">
        <v>138</v>
      </c>
      <c r="G408" s="14" t="s">
        <v>20</v>
      </c>
      <c r="H408" s="14"/>
      <c r="I408" s="14">
        <v>201404</v>
      </c>
      <c r="J408" s="15">
        <v>12677.61</v>
      </c>
      <c r="K408" s="21">
        <f t="shared" si="41"/>
        <v>42675</v>
      </c>
      <c r="L408" s="16">
        <f t="shared" si="36"/>
        <v>6</v>
      </c>
      <c r="M408" s="17">
        <v>1.4833299999999999E-3</v>
      </c>
      <c r="N408" s="18">
        <f t="shared" si="37"/>
        <v>112.83047544780001</v>
      </c>
      <c r="O408" s="15"/>
      <c r="P408" s="20">
        <f t="shared" si="38"/>
        <v>0</v>
      </c>
      <c r="Q408" s="15"/>
      <c r="R408" s="20">
        <f t="shared" si="39"/>
        <v>0</v>
      </c>
      <c r="S408" s="130"/>
      <c r="T408" s="20">
        <f t="shared" si="40"/>
        <v>179.45949305625001</v>
      </c>
    </row>
    <row r="409" spans="1:20">
      <c r="A409" s="13" t="s">
        <v>21</v>
      </c>
      <c r="B409" s="14" t="s">
        <v>510</v>
      </c>
      <c r="C409" s="14" t="s">
        <v>511</v>
      </c>
      <c r="D409" s="13" t="s">
        <v>512</v>
      </c>
      <c r="E409" s="14" t="s">
        <v>497</v>
      </c>
      <c r="F409" s="13" t="s">
        <v>26</v>
      </c>
      <c r="G409" s="14" t="s">
        <v>20</v>
      </c>
      <c r="H409" s="14"/>
      <c r="I409" s="14">
        <v>201404</v>
      </c>
      <c r="J409" s="15">
        <v>13139.37</v>
      </c>
      <c r="K409" s="21">
        <f t="shared" si="41"/>
        <v>42675</v>
      </c>
      <c r="L409" s="16">
        <f t="shared" si="36"/>
        <v>6</v>
      </c>
      <c r="M409" s="17">
        <v>1.4833299999999999E-3</v>
      </c>
      <c r="N409" s="18">
        <f t="shared" si="37"/>
        <v>116.94013021260001</v>
      </c>
      <c r="O409" s="15"/>
      <c r="P409" s="20">
        <f t="shared" si="38"/>
        <v>0</v>
      </c>
      <c r="Q409" s="15"/>
      <c r="R409" s="20">
        <f t="shared" si="39"/>
        <v>0</v>
      </c>
      <c r="S409" s="130"/>
      <c r="T409" s="20">
        <f t="shared" si="40"/>
        <v>185.99599445625</v>
      </c>
    </row>
    <row r="410" spans="1:20">
      <c r="A410" s="13" t="s">
        <v>21</v>
      </c>
      <c r="B410" s="14" t="s">
        <v>347</v>
      </c>
      <c r="C410" s="14" t="s">
        <v>348</v>
      </c>
      <c r="D410" s="13" t="s">
        <v>349</v>
      </c>
      <c r="E410" s="14" t="s">
        <v>102</v>
      </c>
      <c r="F410" s="13" t="s">
        <v>19</v>
      </c>
      <c r="G410" s="14" t="s">
        <v>20</v>
      </c>
      <c r="H410" s="14"/>
      <c r="I410" s="14">
        <v>201404</v>
      </c>
      <c r="J410" s="15">
        <v>2482.11</v>
      </c>
      <c r="K410" s="21">
        <f t="shared" si="41"/>
        <v>42675</v>
      </c>
      <c r="L410" s="16">
        <f t="shared" si="36"/>
        <v>6</v>
      </c>
      <c r="M410" s="17">
        <v>1.4833299999999999E-3</v>
      </c>
      <c r="N410" s="18">
        <f t="shared" si="37"/>
        <v>22.090729357800001</v>
      </c>
      <c r="O410" s="15"/>
      <c r="P410" s="20">
        <f t="shared" si="38"/>
        <v>0</v>
      </c>
      <c r="Q410" s="15"/>
      <c r="R410" s="20">
        <f t="shared" si="39"/>
        <v>0</v>
      </c>
      <c r="S410" s="130"/>
      <c r="T410" s="20">
        <f t="shared" si="40"/>
        <v>35.135818368750002</v>
      </c>
    </row>
    <row r="411" spans="1:20">
      <c r="A411" s="13" t="s">
        <v>21</v>
      </c>
      <c r="B411" s="14" t="s">
        <v>350</v>
      </c>
      <c r="C411" s="14" t="s">
        <v>351</v>
      </c>
      <c r="D411" s="13" t="s">
        <v>352</v>
      </c>
      <c r="E411" s="14" t="s">
        <v>75</v>
      </c>
      <c r="F411" s="13" t="s">
        <v>26</v>
      </c>
      <c r="G411" s="14" t="s">
        <v>20</v>
      </c>
      <c r="H411" s="14"/>
      <c r="I411" s="14">
        <v>201404</v>
      </c>
      <c r="J411" s="15">
        <v>1277.8900000000001</v>
      </c>
      <c r="K411" s="21">
        <f t="shared" si="41"/>
        <v>42675</v>
      </c>
      <c r="L411" s="16">
        <f t="shared" si="36"/>
        <v>6</v>
      </c>
      <c r="M411" s="17">
        <v>1.4833299999999999E-3</v>
      </c>
      <c r="N411" s="18">
        <f t="shared" si="37"/>
        <v>11.3731954422</v>
      </c>
      <c r="O411" s="15"/>
      <c r="P411" s="20">
        <f t="shared" si="38"/>
        <v>0</v>
      </c>
      <c r="Q411" s="15"/>
      <c r="R411" s="20">
        <f t="shared" si="39"/>
        <v>0</v>
      </c>
      <c r="S411" s="130"/>
      <c r="T411" s="20">
        <f t="shared" si="40"/>
        <v>18.089331631249998</v>
      </c>
    </row>
    <row r="412" spans="1:20">
      <c r="A412" s="13" t="s">
        <v>21</v>
      </c>
      <c r="B412" s="14" t="s">
        <v>353</v>
      </c>
      <c r="C412" s="14" t="s">
        <v>354</v>
      </c>
      <c r="D412" s="13" t="s">
        <v>355</v>
      </c>
      <c r="E412" s="14" t="s">
        <v>356</v>
      </c>
      <c r="F412" s="13" t="s">
        <v>19</v>
      </c>
      <c r="G412" s="14" t="s">
        <v>20</v>
      </c>
      <c r="H412" s="14"/>
      <c r="I412" s="14">
        <v>201404</v>
      </c>
      <c r="J412" s="15">
        <v>1224.0899999999999</v>
      </c>
      <c r="K412" s="21">
        <f t="shared" si="41"/>
        <v>42675</v>
      </c>
      <c r="L412" s="16">
        <f t="shared" si="36"/>
        <v>6</v>
      </c>
      <c r="M412" s="17">
        <v>1.4833299999999999E-3</v>
      </c>
      <c r="N412" s="18">
        <f t="shared" si="37"/>
        <v>10.8943765182</v>
      </c>
      <c r="O412" s="15"/>
      <c r="P412" s="20">
        <f t="shared" si="38"/>
        <v>0</v>
      </c>
      <c r="Q412" s="15"/>
      <c r="R412" s="20">
        <f t="shared" si="39"/>
        <v>0</v>
      </c>
      <c r="S412" s="130"/>
      <c r="T412" s="20">
        <f t="shared" si="40"/>
        <v>17.327759006249998</v>
      </c>
    </row>
    <row r="413" spans="1:20">
      <c r="A413" s="13" t="s">
        <v>21</v>
      </c>
      <c r="B413" s="14" t="s">
        <v>357</v>
      </c>
      <c r="C413" s="14" t="s">
        <v>358</v>
      </c>
      <c r="D413" s="13" t="s">
        <v>359</v>
      </c>
      <c r="E413" s="14" t="s">
        <v>360</v>
      </c>
      <c r="F413" s="13" t="s">
        <v>19</v>
      </c>
      <c r="G413" s="14" t="s">
        <v>20</v>
      </c>
      <c r="H413" s="14"/>
      <c r="I413" s="14">
        <v>201404</v>
      </c>
      <c r="J413" s="15">
        <v>4665.88</v>
      </c>
      <c r="K413" s="21">
        <f t="shared" si="41"/>
        <v>42675</v>
      </c>
      <c r="L413" s="16">
        <f t="shared" si="36"/>
        <v>6</v>
      </c>
      <c r="M413" s="17">
        <v>1.4833299999999999E-3</v>
      </c>
      <c r="N413" s="18">
        <f t="shared" si="37"/>
        <v>41.526238682399999</v>
      </c>
      <c r="O413" s="15"/>
      <c r="P413" s="20">
        <f t="shared" si="38"/>
        <v>0</v>
      </c>
      <c r="Q413" s="15"/>
      <c r="R413" s="20">
        <f t="shared" si="39"/>
        <v>0</v>
      </c>
      <c r="S413" s="130"/>
      <c r="T413" s="20">
        <f t="shared" si="40"/>
        <v>66.048447574999997</v>
      </c>
    </row>
    <row r="414" spans="1:20">
      <c r="A414" s="13" t="s">
        <v>21</v>
      </c>
      <c r="B414" s="14" t="s">
        <v>361</v>
      </c>
      <c r="C414" s="14" t="s">
        <v>362</v>
      </c>
      <c r="D414" s="13" t="s">
        <v>363</v>
      </c>
      <c r="E414" s="14" t="s">
        <v>164</v>
      </c>
      <c r="F414" s="13" t="s">
        <v>165</v>
      </c>
      <c r="G414" s="14" t="s">
        <v>20</v>
      </c>
      <c r="H414" s="14"/>
      <c r="I414" s="14">
        <v>201404</v>
      </c>
      <c r="J414" s="15">
        <v>7576.58</v>
      </c>
      <c r="K414" s="21">
        <f t="shared" si="41"/>
        <v>42675</v>
      </c>
      <c r="L414" s="16">
        <f t="shared" si="36"/>
        <v>6</v>
      </c>
      <c r="M414" s="17">
        <v>1.4833299999999999E-3</v>
      </c>
      <c r="N414" s="18">
        <f t="shared" si="37"/>
        <v>67.431410468400003</v>
      </c>
      <c r="O414" s="15"/>
      <c r="P414" s="20">
        <f t="shared" si="38"/>
        <v>0</v>
      </c>
      <c r="Q414" s="15"/>
      <c r="R414" s="20">
        <f t="shared" si="39"/>
        <v>0</v>
      </c>
      <c r="S414" s="130"/>
      <c r="T414" s="20">
        <f t="shared" si="40"/>
        <v>107.2512252625</v>
      </c>
    </row>
    <row r="415" spans="1:20">
      <c r="A415" s="13" t="s">
        <v>21</v>
      </c>
      <c r="B415" s="14" t="s">
        <v>690</v>
      </c>
      <c r="C415" s="14" t="s">
        <v>691</v>
      </c>
      <c r="D415" s="13" t="s">
        <v>692</v>
      </c>
      <c r="E415" s="14" t="s">
        <v>63</v>
      </c>
      <c r="F415" s="13" t="s">
        <v>19</v>
      </c>
      <c r="G415" s="14" t="s">
        <v>20</v>
      </c>
      <c r="H415" s="14"/>
      <c r="I415" s="14">
        <v>201404</v>
      </c>
      <c r="J415" s="15">
        <v>3804.45</v>
      </c>
      <c r="K415" s="21">
        <f t="shared" si="41"/>
        <v>42675</v>
      </c>
      <c r="L415" s="16">
        <f t="shared" si="36"/>
        <v>6</v>
      </c>
      <c r="M415" s="17">
        <v>1.4833299999999999E-3</v>
      </c>
      <c r="N415" s="18">
        <f t="shared" si="37"/>
        <v>33.859528910999998</v>
      </c>
      <c r="O415" s="15"/>
      <c r="P415" s="20">
        <f t="shared" si="38"/>
        <v>0</v>
      </c>
      <c r="Q415" s="15"/>
      <c r="R415" s="20">
        <f t="shared" si="39"/>
        <v>0</v>
      </c>
      <c r="S415" s="130"/>
      <c r="T415" s="20">
        <f t="shared" si="40"/>
        <v>53.854367531249991</v>
      </c>
    </row>
    <row r="416" spans="1:20">
      <c r="A416" s="13" t="s">
        <v>21</v>
      </c>
      <c r="B416" s="14" t="s">
        <v>513</v>
      </c>
      <c r="C416" s="14" t="s">
        <v>514</v>
      </c>
      <c r="D416" s="13" t="s">
        <v>515</v>
      </c>
      <c r="E416" s="14" t="s">
        <v>209</v>
      </c>
      <c r="F416" s="13" t="s">
        <v>88</v>
      </c>
      <c r="G416" s="14" t="s">
        <v>20</v>
      </c>
      <c r="H416" s="14"/>
      <c r="I416" s="14">
        <v>201404</v>
      </c>
      <c r="J416" s="15">
        <v>17172</v>
      </c>
      <c r="K416" s="21">
        <f t="shared" si="41"/>
        <v>42675</v>
      </c>
      <c r="L416" s="16">
        <f t="shared" si="36"/>
        <v>6</v>
      </c>
      <c r="M416" s="17">
        <v>1.4833299999999999E-3</v>
      </c>
      <c r="N416" s="18">
        <f t="shared" si="37"/>
        <v>152.83045655999999</v>
      </c>
      <c r="O416" s="15"/>
      <c r="P416" s="20">
        <f t="shared" si="38"/>
        <v>0</v>
      </c>
      <c r="Q416" s="15"/>
      <c r="R416" s="20">
        <f t="shared" si="39"/>
        <v>0</v>
      </c>
      <c r="S416" s="130"/>
      <c r="T416" s="20">
        <f t="shared" si="40"/>
        <v>243.08039249999999</v>
      </c>
    </row>
    <row r="417" spans="1:20">
      <c r="A417" s="13" t="s">
        <v>21</v>
      </c>
      <c r="B417" s="14" t="s">
        <v>425</v>
      </c>
      <c r="C417" s="14" t="s">
        <v>426</v>
      </c>
      <c r="D417" s="13" t="s">
        <v>427</v>
      </c>
      <c r="E417" s="14" t="s">
        <v>156</v>
      </c>
      <c r="F417" s="13" t="s">
        <v>26</v>
      </c>
      <c r="G417" s="14" t="s">
        <v>20</v>
      </c>
      <c r="H417" s="14"/>
      <c r="I417" s="14">
        <v>201405</v>
      </c>
      <c r="J417" s="15">
        <v>-3633.97</v>
      </c>
      <c r="K417" s="21">
        <f t="shared" si="41"/>
        <v>42675</v>
      </c>
      <c r="L417" s="16">
        <f t="shared" si="36"/>
        <v>6</v>
      </c>
      <c r="M417" s="17">
        <v>1.4833299999999999E-3</v>
      </c>
      <c r="N417" s="18">
        <f t="shared" si="37"/>
        <v>-32.342260320599998</v>
      </c>
      <c r="O417" s="15"/>
      <c r="P417" s="20">
        <f t="shared" si="38"/>
        <v>0</v>
      </c>
      <c r="Q417" s="15"/>
      <c r="R417" s="20">
        <f t="shared" si="39"/>
        <v>0</v>
      </c>
      <c r="S417" s="130"/>
      <c r="T417" s="20">
        <f t="shared" si="40"/>
        <v>-51.441116581249993</v>
      </c>
    </row>
    <row r="418" spans="1:20">
      <c r="A418" s="13" t="s">
        <v>21</v>
      </c>
      <c r="B418" s="14" t="s">
        <v>15</v>
      </c>
      <c r="C418" s="14" t="s">
        <v>16</v>
      </c>
      <c r="D418" s="13" t="s">
        <v>17</v>
      </c>
      <c r="E418" s="14" t="s">
        <v>18</v>
      </c>
      <c r="F418" s="13" t="s">
        <v>19</v>
      </c>
      <c r="G418" s="14" t="s">
        <v>20</v>
      </c>
      <c r="H418" s="14"/>
      <c r="I418" s="14">
        <v>201405</v>
      </c>
      <c r="J418" s="15">
        <v>-1197.5</v>
      </c>
      <c r="K418" s="21">
        <f t="shared" si="41"/>
        <v>42675</v>
      </c>
      <c r="L418" s="16">
        <f t="shared" si="36"/>
        <v>6</v>
      </c>
      <c r="M418" s="17">
        <v>1.4833299999999999E-3</v>
      </c>
      <c r="N418" s="18">
        <f t="shared" si="37"/>
        <v>-10.657726050000001</v>
      </c>
      <c r="O418" s="15"/>
      <c r="P418" s="20">
        <f t="shared" si="38"/>
        <v>0</v>
      </c>
      <c r="Q418" s="15"/>
      <c r="R418" s="20">
        <f t="shared" si="39"/>
        <v>0</v>
      </c>
      <c r="S418" s="130"/>
      <c r="T418" s="20">
        <f t="shared" si="40"/>
        <v>-16.951360937499999</v>
      </c>
    </row>
    <row r="419" spans="1:20">
      <c r="A419" s="13" t="s">
        <v>21</v>
      </c>
      <c r="B419" s="14" t="s">
        <v>516</v>
      </c>
      <c r="C419" s="14" t="s">
        <v>517</v>
      </c>
      <c r="D419" s="13" t="s">
        <v>518</v>
      </c>
      <c r="E419" s="14" t="s">
        <v>25</v>
      </c>
      <c r="F419" s="13" t="s">
        <v>26</v>
      </c>
      <c r="G419" s="14" t="s">
        <v>20</v>
      </c>
      <c r="H419" s="14"/>
      <c r="I419" s="14">
        <v>201405</v>
      </c>
      <c r="J419" s="15">
        <v>-2784.07</v>
      </c>
      <c r="K419" s="21">
        <f t="shared" si="41"/>
        <v>42675</v>
      </c>
      <c r="L419" s="16">
        <f t="shared" si="36"/>
        <v>6</v>
      </c>
      <c r="M419" s="17">
        <v>1.4833299999999999E-3</v>
      </c>
      <c r="N419" s="18">
        <f t="shared" si="37"/>
        <v>-24.778167318600001</v>
      </c>
      <c r="O419" s="15"/>
      <c r="P419" s="20">
        <f t="shared" si="38"/>
        <v>0</v>
      </c>
      <c r="Q419" s="15"/>
      <c r="R419" s="20">
        <f t="shared" si="39"/>
        <v>0</v>
      </c>
      <c r="S419" s="130"/>
      <c r="T419" s="20">
        <f t="shared" si="40"/>
        <v>-39.410250893749996</v>
      </c>
    </row>
    <row r="420" spans="1:20">
      <c r="A420" s="13" t="s">
        <v>21</v>
      </c>
      <c r="B420" s="14" t="s">
        <v>519</v>
      </c>
      <c r="C420" s="14" t="s">
        <v>520</v>
      </c>
      <c r="D420" s="13" t="s">
        <v>521</v>
      </c>
      <c r="E420" s="14" t="s">
        <v>79</v>
      </c>
      <c r="F420" s="13" t="s">
        <v>26</v>
      </c>
      <c r="G420" s="14" t="s">
        <v>20</v>
      </c>
      <c r="H420" s="14"/>
      <c r="I420" s="14">
        <v>201405</v>
      </c>
      <c r="J420" s="15">
        <v>3569.7</v>
      </c>
      <c r="K420" s="21">
        <f t="shared" si="41"/>
        <v>42675</v>
      </c>
      <c r="L420" s="16">
        <f t="shared" si="36"/>
        <v>6</v>
      </c>
      <c r="M420" s="17">
        <v>1.4833299999999999E-3</v>
      </c>
      <c r="N420" s="18">
        <f t="shared" si="37"/>
        <v>31.770258605999999</v>
      </c>
      <c r="O420" s="15"/>
      <c r="P420" s="20">
        <f t="shared" si="38"/>
        <v>0</v>
      </c>
      <c r="Q420" s="15"/>
      <c r="R420" s="20">
        <f t="shared" si="39"/>
        <v>0</v>
      </c>
      <c r="S420" s="130"/>
      <c r="T420" s="20">
        <f t="shared" si="40"/>
        <v>50.531334562499993</v>
      </c>
    </row>
    <row r="421" spans="1:20">
      <c r="A421" s="13" t="s">
        <v>21</v>
      </c>
      <c r="B421" s="14" t="s">
        <v>522</v>
      </c>
      <c r="C421" s="14" t="s">
        <v>523</v>
      </c>
      <c r="D421" s="13" t="s">
        <v>524</v>
      </c>
      <c r="E421" s="14" t="s">
        <v>87</v>
      </c>
      <c r="F421" s="13" t="s">
        <v>88</v>
      </c>
      <c r="G421" s="14" t="s">
        <v>20</v>
      </c>
      <c r="H421" s="14"/>
      <c r="I421" s="14">
        <v>201405</v>
      </c>
      <c r="J421" s="15">
        <v>-1321.93</v>
      </c>
      <c r="K421" s="21">
        <f t="shared" si="41"/>
        <v>42675</v>
      </c>
      <c r="L421" s="16">
        <f t="shared" si="36"/>
        <v>6</v>
      </c>
      <c r="M421" s="17">
        <v>1.4833299999999999E-3</v>
      </c>
      <c r="N421" s="18">
        <f t="shared" si="37"/>
        <v>-11.7651505614</v>
      </c>
      <c r="O421" s="15"/>
      <c r="P421" s="20">
        <f t="shared" si="38"/>
        <v>0</v>
      </c>
      <c r="Q421" s="15"/>
      <c r="R421" s="20">
        <f t="shared" si="39"/>
        <v>0</v>
      </c>
      <c r="S421" s="130"/>
      <c r="T421" s="20">
        <f t="shared" si="40"/>
        <v>-18.71274535625</v>
      </c>
    </row>
    <row r="422" spans="1:20">
      <c r="A422" s="13" t="s">
        <v>21</v>
      </c>
      <c r="B422" s="14" t="s">
        <v>525</v>
      </c>
      <c r="C422" s="14" t="s">
        <v>526</v>
      </c>
      <c r="D422" s="13" t="s">
        <v>527</v>
      </c>
      <c r="E422" s="14" t="s">
        <v>280</v>
      </c>
      <c r="F422" s="13" t="s">
        <v>26</v>
      </c>
      <c r="G422" s="14" t="s">
        <v>20</v>
      </c>
      <c r="H422" s="14"/>
      <c r="I422" s="14">
        <v>201405</v>
      </c>
      <c r="J422" s="15">
        <v>-2007.48</v>
      </c>
      <c r="K422" s="21">
        <f t="shared" si="41"/>
        <v>42675</v>
      </c>
      <c r="L422" s="16">
        <f t="shared" si="36"/>
        <v>6</v>
      </c>
      <c r="M422" s="17">
        <v>1.4833299999999999E-3</v>
      </c>
      <c r="N422" s="18">
        <f t="shared" si="37"/>
        <v>-17.866531850400001</v>
      </c>
      <c r="O422" s="15"/>
      <c r="P422" s="20">
        <f t="shared" si="38"/>
        <v>0</v>
      </c>
      <c r="Q422" s="15"/>
      <c r="R422" s="20">
        <f t="shared" si="39"/>
        <v>0</v>
      </c>
      <c r="S422" s="130"/>
      <c r="T422" s="20">
        <f t="shared" si="40"/>
        <v>-28.417134075</v>
      </c>
    </row>
    <row r="423" spans="1:20">
      <c r="A423" s="13" t="s">
        <v>21</v>
      </c>
      <c r="B423" s="14" t="s">
        <v>528</v>
      </c>
      <c r="C423" s="14" t="s">
        <v>529</v>
      </c>
      <c r="D423" s="13" t="s">
        <v>530</v>
      </c>
      <c r="E423" s="14" t="s">
        <v>531</v>
      </c>
      <c r="F423" s="13" t="s">
        <v>26</v>
      </c>
      <c r="G423" s="14" t="s">
        <v>20</v>
      </c>
      <c r="H423" s="14"/>
      <c r="I423" s="14">
        <v>201405</v>
      </c>
      <c r="J423" s="15">
        <v>-1916.18</v>
      </c>
      <c r="K423" s="21">
        <f t="shared" si="41"/>
        <v>42675</v>
      </c>
      <c r="L423" s="16">
        <f t="shared" si="36"/>
        <v>6</v>
      </c>
      <c r="M423" s="17">
        <v>1.4833299999999999E-3</v>
      </c>
      <c r="N423" s="18">
        <f t="shared" si="37"/>
        <v>-17.053963676400002</v>
      </c>
      <c r="O423" s="15"/>
      <c r="P423" s="20">
        <f t="shared" si="38"/>
        <v>0</v>
      </c>
      <c r="Q423" s="15"/>
      <c r="R423" s="20">
        <f t="shared" si="39"/>
        <v>0</v>
      </c>
      <c r="S423" s="130"/>
      <c r="T423" s="20">
        <f t="shared" si="40"/>
        <v>-27.1247255125</v>
      </c>
    </row>
    <row r="424" spans="1:20">
      <c r="A424" s="13" t="s">
        <v>21</v>
      </c>
      <c r="B424" s="14" t="s">
        <v>22</v>
      </c>
      <c r="C424" s="14" t="s">
        <v>23</v>
      </c>
      <c r="D424" s="13" t="s">
        <v>24</v>
      </c>
      <c r="E424" s="14" t="s">
        <v>25</v>
      </c>
      <c r="F424" s="13" t="s">
        <v>26</v>
      </c>
      <c r="G424" s="14" t="s">
        <v>20</v>
      </c>
      <c r="H424" s="14"/>
      <c r="I424" s="14">
        <v>201405</v>
      </c>
      <c r="J424" s="15">
        <v>-3717.14</v>
      </c>
      <c r="K424" s="21">
        <f t="shared" si="41"/>
        <v>42675</v>
      </c>
      <c r="L424" s="16">
        <f t="shared" si="36"/>
        <v>6</v>
      </c>
      <c r="M424" s="17">
        <v>1.4833299999999999E-3</v>
      </c>
      <c r="N424" s="18">
        <f t="shared" si="37"/>
        <v>-33.082471657199996</v>
      </c>
      <c r="O424" s="15"/>
      <c r="P424" s="20">
        <f t="shared" si="38"/>
        <v>0</v>
      </c>
      <c r="Q424" s="15"/>
      <c r="R424" s="20">
        <f t="shared" si="39"/>
        <v>0</v>
      </c>
      <c r="S424" s="130"/>
      <c r="T424" s="20">
        <f t="shared" si="40"/>
        <v>-52.618439912499994</v>
      </c>
    </row>
    <row r="425" spans="1:20">
      <c r="A425" s="23" t="s">
        <v>29</v>
      </c>
      <c r="B425" s="14" t="s">
        <v>30</v>
      </c>
      <c r="C425" s="14" t="s">
        <v>31</v>
      </c>
      <c r="D425" s="13" t="s">
        <v>32</v>
      </c>
      <c r="E425" s="14" t="s">
        <v>33</v>
      </c>
      <c r="F425" s="13" t="s">
        <v>34</v>
      </c>
      <c r="G425" s="14" t="s">
        <v>20</v>
      </c>
      <c r="H425" s="14"/>
      <c r="I425" s="14">
        <v>201405</v>
      </c>
      <c r="J425" s="15">
        <v>-21939.040000000001</v>
      </c>
      <c r="K425" s="21">
        <f t="shared" si="41"/>
        <v>42675</v>
      </c>
      <c r="L425" s="16">
        <f t="shared" si="36"/>
        <v>6</v>
      </c>
      <c r="M425" s="17">
        <v>2.23333E-3</v>
      </c>
      <c r="N425" s="18">
        <f t="shared" si="37"/>
        <v>-293.98269721919996</v>
      </c>
      <c r="O425" s="15"/>
      <c r="P425" s="20">
        <f t="shared" si="38"/>
        <v>0</v>
      </c>
      <c r="Q425" s="15"/>
      <c r="R425" s="20">
        <f t="shared" si="39"/>
        <v>0</v>
      </c>
      <c r="S425" s="130"/>
      <c r="T425" s="20">
        <f t="shared" si="40"/>
        <v>-310.56082309999999</v>
      </c>
    </row>
    <row r="426" spans="1:20">
      <c r="A426" s="23" t="s">
        <v>29</v>
      </c>
      <c r="B426" s="14" t="s">
        <v>532</v>
      </c>
      <c r="C426" s="14" t="s">
        <v>533</v>
      </c>
      <c r="D426" s="13" t="s">
        <v>50</v>
      </c>
      <c r="E426" s="14" t="s">
        <v>534</v>
      </c>
      <c r="F426" s="13" t="s">
        <v>52</v>
      </c>
      <c r="G426" s="14" t="s">
        <v>20</v>
      </c>
      <c r="H426" s="14"/>
      <c r="I426" s="14">
        <v>201405</v>
      </c>
      <c r="J426" s="15">
        <v>2018.95</v>
      </c>
      <c r="K426" s="21">
        <f t="shared" si="41"/>
        <v>42675</v>
      </c>
      <c r="L426" s="16">
        <f t="shared" si="36"/>
        <v>6</v>
      </c>
      <c r="M426" s="17">
        <v>2.23333E-3</v>
      </c>
      <c r="N426" s="18">
        <f t="shared" si="37"/>
        <v>27.053889621</v>
      </c>
      <c r="O426" s="15"/>
      <c r="P426" s="20">
        <f t="shared" si="38"/>
        <v>0</v>
      </c>
      <c r="Q426" s="15"/>
      <c r="R426" s="20">
        <f t="shared" si="39"/>
        <v>0</v>
      </c>
      <c r="S426" s="130"/>
      <c r="T426" s="20">
        <f t="shared" si="40"/>
        <v>28.579499093750002</v>
      </c>
    </row>
    <row r="427" spans="1:20">
      <c r="A427" s="23" t="s">
        <v>29</v>
      </c>
      <c r="B427" s="14" t="s">
        <v>37</v>
      </c>
      <c r="C427" s="14" t="s">
        <v>38</v>
      </c>
      <c r="D427" s="13" t="s">
        <v>39</v>
      </c>
      <c r="E427" s="14" t="s">
        <v>40</v>
      </c>
      <c r="F427" s="13" t="s">
        <v>41</v>
      </c>
      <c r="G427" s="14" t="s">
        <v>20</v>
      </c>
      <c r="H427" s="14"/>
      <c r="I427" s="14">
        <v>201405</v>
      </c>
      <c r="J427" s="15">
        <v>-1668.16</v>
      </c>
      <c r="K427" s="21">
        <f t="shared" si="41"/>
        <v>42675</v>
      </c>
      <c r="L427" s="16">
        <f t="shared" si="36"/>
        <v>6</v>
      </c>
      <c r="M427" s="17">
        <v>2.23333E-3</v>
      </c>
      <c r="N427" s="18">
        <f t="shared" si="37"/>
        <v>-22.3533106368</v>
      </c>
      <c r="O427" s="15"/>
      <c r="P427" s="20">
        <f t="shared" si="38"/>
        <v>0</v>
      </c>
      <c r="Q427" s="15"/>
      <c r="R427" s="20">
        <f t="shared" si="39"/>
        <v>0</v>
      </c>
      <c r="S427" s="130"/>
      <c r="T427" s="20">
        <f t="shared" si="40"/>
        <v>-23.613847400000001</v>
      </c>
    </row>
    <row r="428" spans="1:20">
      <c r="A428" s="23" t="s">
        <v>29</v>
      </c>
      <c r="B428" s="14" t="s">
        <v>43</v>
      </c>
      <c r="C428" s="14" t="s">
        <v>44</v>
      </c>
      <c r="D428" s="13" t="s">
        <v>45</v>
      </c>
      <c r="E428" s="14" t="s">
        <v>46</v>
      </c>
      <c r="F428" s="13" t="s">
        <v>41</v>
      </c>
      <c r="G428" s="14" t="s">
        <v>20</v>
      </c>
      <c r="H428" s="14"/>
      <c r="I428" s="14">
        <v>201405</v>
      </c>
      <c r="J428" s="15">
        <v>-7.18</v>
      </c>
      <c r="K428" s="21">
        <f t="shared" si="41"/>
        <v>42675</v>
      </c>
      <c r="L428" s="16">
        <f t="shared" si="36"/>
        <v>6</v>
      </c>
      <c r="M428" s="17">
        <v>2.23333E-3</v>
      </c>
      <c r="N428" s="18">
        <f t="shared" si="37"/>
        <v>-9.621185639999999E-2</v>
      </c>
      <c r="O428" s="15"/>
      <c r="P428" s="20">
        <f t="shared" si="38"/>
        <v>0</v>
      </c>
      <c r="Q428" s="15"/>
      <c r="R428" s="20">
        <f t="shared" si="39"/>
        <v>0</v>
      </c>
      <c r="S428" s="130"/>
      <c r="T428" s="20">
        <f t="shared" si="40"/>
        <v>-0.1016373875</v>
      </c>
    </row>
    <row r="429" spans="1:20">
      <c r="A429" s="23" t="s">
        <v>29</v>
      </c>
      <c r="B429" s="14" t="s">
        <v>48</v>
      </c>
      <c r="C429" s="14" t="s">
        <v>49</v>
      </c>
      <c r="D429" s="13" t="s">
        <v>50</v>
      </c>
      <c r="E429" s="14" t="s">
        <v>51</v>
      </c>
      <c r="F429" s="13" t="s">
        <v>52</v>
      </c>
      <c r="G429" s="14" t="s">
        <v>20</v>
      </c>
      <c r="H429" s="14"/>
      <c r="I429" s="14">
        <v>201405</v>
      </c>
      <c r="J429" s="15">
        <v>-1646.62</v>
      </c>
      <c r="K429" s="21">
        <f t="shared" si="41"/>
        <v>42675</v>
      </c>
      <c r="L429" s="16">
        <f t="shared" si="36"/>
        <v>6</v>
      </c>
      <c r="M429" s="17">
        <v>2.23333E-3</v>
      </c>
      <c r="N429" s="18">
        <f t="shared" si="37"/>
        <v>-22.064675067599996</v>
      </c>
      <c r="O429" s="15"/>
      <c r="P429" s="20">
        <f t="shared" si="38"/>
        <v>0</v>
      </c>
      <c r="Q429" s="15"/>
      <c r="R429" s="20">
        <f t="shared" si="39"/>
        <v>0</v>
      </c>
      <c r="S429" s="130"/>
      <c r="T429" s="20">
        <f t="shared" si="40"/>
        <v>-23.308935237499998</v>
      </c>
    </row>
    <row r="430" spans="1:20">
      <c r="A430" s="23" t="s">
        <v>29</v>
      </c>
      <c r="B430" s="14" t="s">
        <v>54</v>
      </c>
      <c r="C430" s="14" t="s">
        <v>55</v>
      </c>
      <c r="D430" s="13" t="s">
        <v>56</v>
      </c>
      <c r="E430" s="14" t="s">
        <v>57</v>
      </c>
      <c r="F430" s="13" t="s">
        <v>58</v>
      </c>
      <c r="G430" s="14" t="s">
        <v>20</v>
      </c>
      <c r="H430" s="14"/>
      <c r="I430" s="14">
        <v>201405</v>
      </c>
      <c r="J430" s="15">
        <v>-2544.38</v>
      </c>
      <c r="K430" s="21">
        <f t="shared" si="41"/>
        <v>42675</v>
      </c>
      <c r="L430" s="16">
        <f t="shared" si="36"/>
        <v>6</v>
      </c>
      <c r="M430" s="17">
        <v>2.23333E-3</v>
      </c>
      <c r="N430" s="18">
        <f t="shared" si="37"/>
        <v>-34.094641112399998</v>
      </c>
      <c r="O430" s="15"/>
      <c r="P430" s="20">
        <f t="shared" si="38"/>
        <v>0</v>
      </c>
      <c r="Q430" s="15"/>
      <c r="R430" s="20">
        <f t="shared" si="39"/>
        <v>0</v>
      </c>
      <c r="S430" s="130"/>
      <c r="T430" s="20">
        <f t="shared" si="40"/>
        <v>-36.017289137500001</v>
      </c>
    </row>
    <row r="431" spans="1:20">
      <c r="A431" s="13" t="s">
        <v>21</v>
      </c>
      <c r="B431" s="14" t="s">
        <v>535</v>
      </c>
      <c r="C431" s="14" t="s">
        <v>536</v>
      </c>
      <c r="D431" s="13" t="s">
        <v>537</v>
      </c>
      <c r="E431" s="14" t="s">
        <v>75</v>
      </c>
      <c r="F431" s="13" t="s">
        <v>26</v>
      </c>
      <c r="G431" s="14" t="s">
        <v>20</v>
      </c>
      <c r="H431" s="14"/>
      <c r="I431" s="14">
        <v>201405</v>
      </c>
      <c r="J431" s="15">
        <v>-2843.84</v>
      </c>
      <c r="K431" s="21">
        <f t="shared" si="41"/>
        <v>42675</v>
      </c>
      <c r="L431" s="16">
        <f t="shared" si="36"/>
        <v>6</v>
      </c>
      <c r="M431" s="17">
        <v>1.4833299999999999E-3</v>
      </c>
      <c r="N431" s="18">
        <f t="shared" si="37"/>
        <v>-25.3101191232</v>
      </c>
      <c r="O431" s="15"/>
      <c r="P431" s="20">
        <f t="shared" si="38"/>
        <v>0</v>
      </c>
      <c r="Q431" s="15"/>
      <c r="R431" s="20">
        <f t="shared" si="39"/>
        <v>0</v>
      </c>
      <c r="S431" s="130"/>
      <c r="T431" s="20">
        <f t="shared" si="40"/>
        <v>-40.2563326</v>
      </c>
    </row>
    <row r="432" spans="1:20">
      <c r="A432" s="13" t="s">
        <v>21</v>
      </c>
      <c r="B432" s="14" t="s">
        <v>538</v>
      </c>
      <c r="C432" s="14" t="s">
        <v>539</v>
      </c>
      <c r="D432" s="13" t="s">
        <v>540</v>
      </c>
      <c r="E432" s="14" t="s">
        <v>209</v>
      </c>
      <c r="F432" s="13" t="s">
        <v>88</v>
      </c>
      <c r="G432" s="14" t="s">
        <v>20</v>
      </c>
      <c r="H432" s="14"/>
      <c r="I432" s="14">
        <v>201405</v>
      </c>
      <c r="J432" s="15">
        <v>785.09</v>
      </c>
      <c r="K432" s="21">
        <f t="shared" si="41"/>
        <v>42675</v>
      </c>
      <c r="L432" s="16">
        <f t="shared" si="36"/>
        <v>6</v>
      </c>
      <c r="M432" s="17">
        <v>1.4833299999999999E-3</v>
      </c>
      <c r="N432" s="18">
        <f t="shared" si="37"/>
        <v>6.9872852982000007</v>
      </c>
      <c r="O432" s="15"/>
      <c r="P432" s="20">
        <f t="shared" si="38"/>
        <v>0</v>
      </c>
      <c r="Q432" s="15"/>
      <c r="R432" s="20">
        <f t="shared" si="39"/>
        <v>0</v>
      </c>
      <c r="S432" s="130"/>
      <c r="T432" s="20">
        <f t="shared" si="40"/>
        <v>11.113439631249999</v>
      </c>
    </row>
    <row r="433" spans="1:20">
      <c r="A433" s="13" t="s">
        <v>21</v>
      </c>
      <c r="B433" s="14" t="s">
        <v>60</v>
      </c>
      <c r="C433" s="14" t="s">
        <v>61</v>
      </c>
      <c r="D433" s="13" t="s">
        <v>62</v>
      </c>
      <c r="E433" s="14" t="s">
        <v>63</v>
      </c>
      <c r="F433" s="13" t="s">
        <v>19</v>
      </c>
      <c r="G433" s="14" t="s">
        <v>20</v>
      </c>
      <c r="H433" s="14"/>
      <c r="I433" s="14">
        <v>201405</v>
      </c>
      <c r="J433" s="15">
        <v>-50638.84</v>
      </c>
      <c r="K433" s="21">
        <f t="shared" si="41"/>
        <v>42675</v>
      </c>
      <c r="L433" s="16">
        <f t="shared" si="36"/>
        <v>6</v>
      </c>
      <c r="M433" s="17">
        <v>1.4833299999999999E-3</v>
      </c>
      <c r="N433" s="18">
        <f t="shared" si="37"/>
        <v>-450.68466322319995</v>
      </c>
      <c r="O433" s="15"/>
      <c r="P433" s="20">
        <f t="shared" si="38"/>
        <v>0</v>
      </c>
      <c r="Q433" s="15"/>
      <c r="R433" s="20">
        <f t="shared" si="39"/>
        <v>0</v>
      </c>
      <c r="S433" s="130"/>
      <c r="T433" s="20">
        <f t="shared" si="40"/>
        <v>-716.82442947499987</v>
      </c>
    </row>
    <row r="434" spans="1:20">
      <c r="A434" s="13" t="s">
        <v>21</v>
      </c>
      <c r="B434" s="14" t="s">
        <v>541</v>
      </c>
      <c r="C434" s="14" t="s">
        <v>542</v>
      </c>
      <c r="D434" s="13" t="s">
        <v>543</v>
      </c>
      <c r="E434" s="14" t="s">
        <v>544</v>
      </c>
      <c r="F434" s="13" t="s">
        <v>26</v>
      </c>
      <c r="G434" s="14" t="s">
        <v>20</v>
      </c>
      <c r="H434" s="14"/>
      <c r="I434" s="14">
        <v>201405</v>
      </c>
      <c r="J434" s="15">
        <v>586.69000000000005</v>
      </c>
      <c r="K434" s="21">
        <f t="shared" si="41"/>
        <v>42675</v>
      </c>
      <c r="L434" s="16">
        <f t="shared" si="36"/>
        <v>6</v>
      </c>
      <c r="M434" s="17">
        <v>1.4833299999999999E-3</v>
      </c>
      <c r="N434" s="18">
        <f t="shared" si="37"/>
        <v>5.2215292662000001</v>
      </c>
      <c r="O434" s="15"/>
      <c r="P434" s="20">
        <f t="shared" si="38"/>
        <v>0</v>
      </c>
      <c r="Q434" s="15"/>
      <c r="R434" s="20">
        <f t="shared" si="39"/>
        <v>0</v>
      </c>
      <c r="S434" s="130"/>
      <c r="T434" s="20">
        <f t="shared" si="40"/>
        <v>8.3049636312500006</v>
      </c>
    </row>
    <row r="435" spans="1:20">
      <c r="A435" s="13" t="s">
        <v>21</v>
      </c>
      <c r="B435" s="14" t="s">
        <v>545</v>
      </c>
      <c r="C435" s="14" t="s">
        <v>546</v>
      </c>
      <c r="D435" s="13" t="s">
        <v>547</v>
      </c>
      <c r="E435" s="14" t="s">
        <v>497</v>
      </c>
      <c r="F435" s="13" t="s">
        <v>26</v>
      </c>
      <c r="G435" s="14" t="s">
        <v>20</v>
      </c>
      <c r="H435" s="14"/>
      <c r="I435" s="14">
        <v>201405</v>
      </c>
      <c r="J435" s="15">
        <v>-728.52</v>
      </c>
      <c r="K435" s="21">
        <f t="shared" si="41"/>
        <v>42675</v>
      </c>
      <c r="L435" s="16">
        <f t="shared" si="36"/>
        <v>6</v>
      </c>
      <c r="M435" s="17">
        <v>1.4833299999999999E-3</v>
      </c>
      <c r="N435" s="18">
        <f t="shared" si="37"/>
        <v>-6.4838134295999996</v>
      </c>
      <c r="O435" s="15"/>
      <c r="P435" s="20">
        <f t="shared" si="38"/>
        <v>0</v>
      </c>
      <c r="Q435" s="15"/>
      <c r="R435" s="20">
        <f t="shared" si="39"/>
        <v>0</v>
      </c>
      <c r="S435" s="130"/>
      <c r="T435" s="20">
        <f t="shared" si="40"/>
        <v>-10.312655925</v>
      </c>
    </row>
    <row r="436" spans="1:20">
      <c r="A436" s="13" t="s">
        <v>21</v>
      </c>
      <c r="B436" s="14" t="s">
        <v>64</v>
      </c>
      <c r="C436" s="14" t="s">
        <v>65</v>
      </c>
      <c r="D436" s="13" t="s">
        <v>66</v>
      </c>
      <c r="E436" s="14" t="s">
        <v>25</v>
      </c>
      <c r="F436" s="13" t="s">
        <v>26</v>
      </c>
      <c r="G436" s="14" t="s">
        <v>20</v>
      </c>
      <c r="H436" s="14"/>
      <c r="I436" s="14">
        <v>201405</v>
      </c>
      <c r="J436" s="15">
        <v>-6104.73</v>
      </c>
      <c r="K436" s="21">
        <f t="shared" si="41"/>
        <v>42675</v>
      </c>
      <c r="L436" s="16">
        <f t="shared" si="36"/>
        <v>6</v>
      </c>
      <c r="M436" s="17">
        <v>1.4833299999999999E-3</v>
      </c>
      <c r="N436" s="18">
        <f t="shared" si="37"/>
        <v>-54.331974905399996</v>
      </c>
      <c r="O436" s="15"/>
      <c r="P436" s="20">
        <f t="shared" si="38"/>
        <v>0</v>
      </c>
      <c r="Q436" s="15"/>
      <c r="R436" s="20">
        <f t="shared" si="39"/>
        <v>0</v>
      </c>
      <c r="S436" s="130"/>
      <c r="T436" s="20">
        <f t="shared" si="40"/>
        <v>-86.41626860625</v>
      </c>
    </row>
    <row r="437" spans="1:20">
      <c r="A437" s="13" t="s">
        <v>21</v>
      </c>
      <c r="B437" s="14" t="s">
        <v>67</v>
      </c>
      <c r="C437" s="14" t="s">
        <v>68</v>
      </c>
      <c r="D437" s="13" t="s">
        <v>69</v>
      </c>
      <c r="E437" s="14" t="s">
        <v>70</v>
      </c>
      <c r="F437" s="13" t="s">
        <v>71</v>
      </c>
      <c r="G437" s="14" t="s">
        <v>20</v>
      </c>
      <c r="H437" s="14"/>
      <c r="I437" s="14">
        <v>201405</v>
      </c>
      <c r="J437" s="15">
        <v>-3481.52</v>
      </c>
      <c r="K437" s="21">
        <f t="shared" si="41"/>
        <v>42675</v>
      </c>
      <c r="L437" s="16">
        <f t="shared" si="36"/>
        <v>6</v>
      </c>
      <c r="M437" s="17">
        <v>1.4833299999999999E-3</v>
      </c>
      <c r="N437" s="18">
        <f t="shared" si="37"/>
        <v>-30.9854583696</v>
      </c>
      <c r="O437" s="15"/>
      <c r="P437" s="20">
        <f t="shared" si="38"/>
        <v>0</v>
      </c>
      <c r="Q437" s="15"/>
      <c r="R437" s="20">
        <f t="shared" si="39"/>
        <v>0</v>
      </c>
      <c r="S437" s="130"/>
      <c r="T437" s="20">
        <f t="shared" si="40"/>
        <v>-49.283091549999995</v>
      </c>
    </row>
    <row r="438" spans="1:20">
      <c r="A438" s="13" t="s">
        <v>21</v>
      </c>
      <c r="B438" s="14" t="s">
        <v>72</v>
      </c>
      <c r="C438" s="14" t="s">
        <v>73</v>
      </c>
      <c r="D438" s="13" t="s">
        <v>74</v>
      </c>
      <c r="E438" s="14" t="s">
        <v>75</v>
      </c>
      <c r="F438" s="13" t="s">
        <v>26</v>
      </c>
      <c r="G438" s="14" t="s">
        <v>20</v>
      </c>
      <c r="H438" s="14"/>
      <c r="I438" s="14">
        <v>201405</v>
      </c>
      <c r="J438" s="15">
        <v>-11632.93</v>
      </c>
      <c r="K438" s="21">
        <f t="shared" si="41"/>
        <v>42675</v>
      </c>
      <c r="L438" s="16">
        <f t="shared" si="36"/>
        <v>6</v>
      </c>
      <c r="M438" s="17">
        <v>1.4833299999999999E-3</v>
      </c>
      <c r="N438" s="18">
        <f t="shared" si="37"/>
        <v>-103.53284434140001</v>
      </c>
      <c r="O438" s="15"/>
      <c r="P438" s="20">
        <f t="shared" si="38"/>
        <v>0</v>
      </c>
      <c r="Q438" s="15"/>
      <c r="R438" s="20">
        <f t="shared" si="39"/>
        <v>0</v>
      </c>
      <c r="S438" s="130"/>
      <c r="T438" s="20">
        <f t="shared" si="40"/>
        <v>-164.67139473124999</v>
      </c>
    </row>
    <row r="439" spans="1:20">
      <c r="A439" s="13" t="s">
        <v>21</v>
      </c>
      <c r="B439" s="14" t="s">
        <v>76</v>
      </c>
      <c r="C439" s="14" t="s">
        <v>77</v>
      </c>
      <c r="D439" s="13" t="s">
        <v>78</v>
      </c>
      <c r="E439" s="14" t="s">
        <v>79</v>
      </c>
      <c r="F439" s="13" t="s">
        <v>26</v>
      </c>
      <c r="G439" s="14" t="s">
        <v>20</v>
      </c>
      <c r="H439" s="14"/>
      <c r="I439" s="14">
        <v>201405</v>
      </c>
      <c r="J439" s="15">
        <v>-5147.97</v>
      </c>
      <c r="K439" s="21">
        <f t="shared" si="41"/>
        <v>42675</v>
      </c>
      <c r="L439" s="16">
        <f t="shared" si="36"/>
        <v>6</v>
      </c>
      <c r="M439" s="17">
        <v>1.4833299999999999E-3</v>
      </c>
      <c r="N439" s="18">
        <f t="shared" si="37"/>
        <v>-45.816830040600003</v>
      </c>
      <c r="O439" s="15"/>
      <c r="P439" s="20">
        <f t="shared" si="38"/>
        <v>0</v>
      </c>
      <c r="Q439" s="15"/>
      <c r="R439" s="20">
        <f t="shared" si="39"/>
        <v>0</v>
      </c>
      <c r="S439" s="130"/>
      <c r="T439" s="20">
        <f t="shared" si="40"/>
        <v>-72.872732831249991</v>
      </c>
    </row>
    <row r="440" spans="1:20">
      <c r="A440" s="13" t="s">
        <v>21</v>
      </c>
      <c r="B440" s="14" t="s">
        <v>428</v>
      </c>
      <c r="C440" s="14" t="s">
        <v>429</v>
      </c>
      <c r="D440" s="13" t="s">
        <v>430</v>
      </c>
      <c r="E440" s="14" t="s">
        <v>164</v>
      </c>
      <c r="F440" s="13" t="s">
        <v>165</v>
      </c>
      <c r="G440" s="14" t="s">
        <v>20</v>
      </c>
      <c r="H440" s="14"/>
      <c r="I440" s="14">
        <v>201405</v>
      </c>
      <c r="J440" s="15">
        <v>26509.919999999998</v>
      </c>
      <c r="K440" s="21">
        <f t="shared" si="41"/>
        <v>42675</v>
      </c>
      <c r="L440" s="16">
        <f t="shared" si="36"/>
        <v>6</v>
      </c>
      <c r="M440" s="17">
        <v>1.4833299999999999E-3</v>
      </c>
      <c r="N440" s="18">
        <f t="shared" si="37"/>
        <v>235.93775780159999</v>
      </c>
      <c r="O440" s="15"/>
      <c r="P440" s="20">
        <f t="shared" si="38"/>
        <v>0</v>
      </c>
      <c r="Q440" s="15"/>
      <c r="R440" s="20">
        <f t="shared" si="39"/>
        <v>0</v>
      </c>
      <c r="S440" s="130"/>
      <c r="T440" s="20">
        <f t="shared" si="40"/>
        <v>375.26448629999993</v>
      </c>
    </row>
    <row r="441" spans="1:20">
      <c r="A441" s="13" t="s">
        <v>21</v>
      </c>
      <c r="B441" s="14" t="s">
        <v>81</v>
      </c>
      <c r="C441" s="14" t="s">
        <v>82</v>
      </c>
      <c r="D441" s="13" t="s">
        <v>83</v>
      </c>
      <c r="E441" s="14" t="s">
        <v>75</v>
      </c>
      <c r="F441" s="13" t="s">
        <v>26</v>
      </c>
      <c r="G441" s="14" t="s">
        <v>20</v>
      </c>
      <c r="H441" s="14"/>
      <c r="I441" s="14">
        <v>201405</v>
      </c>
      <c r="J441" s="15">
        <v>-8178.68</v>
      </c>
      <c r="K441" s="21">
        <f t="shared" si="41"/>
        <v>42675</v>
      </c>
      <c r="L441" s="16">
        <f t="shared" si="36"/>
        <v>6</v>
      </c>
      <c r="M441" s="17">
        <v>1.4833299999999999E-3</v>
      </c>
      <c r="N441" s="18">
        <f t="shared" si="37"/>
        <v>-72.790088426400004</v>
      </c>
      <c r="O441" s="15"/>
      <c r="P441" s="20">
        <f t="shared" si="38"/>
        <v>0</v>
      </c>
      <c r="Q441" s="15"/>
      <c r="R441" s="20">
        <f t="shared" si="39"/>
        <v>0</v>
      </c>
      <c r="S441" s="130"/>
      <c r="T441" s="20">
        <f t="shared" si="40"/>
        <v>-115.77432707499999</v>
      </c>
    </row>
    <row r="442" spans="1:20">
      <c r="A442" s="13" t="s">
        <v>21</v>
      </c>
      <c r="B442" s="14" t="s">
        <v>84</v>
      </c>
      <c r="C442" s="14" t="s">
        <v>85</v>
      </c>
      <c r="D442" s="13" t="s">
        <v>86</v>
      </c>
      <c r="E442" s="14" t="s">
        <v>87</v>
      </c>
      <c r="F442" s="13" t="s">
        <v>88</v>
      </c>
      <c r="G442" s="14" t="s">
        <v>20</v>
      </c>
      <c r="H442" s="14"/>
      <c r="I442" s="14">
        <v>201405</v>
      </c>
      <c r="J442" s="15">
        <v>-4285.13</v>
      </c>
      <c r="K442" s="21">
        <f t="shared" si="41"/>
        <v>42675</v>
      </c>
      <c r="L442" s="16">
        <f t="shared" si="36"/>
        <v>6</v>
      </c>
      <c r="M442" s="17">
        <v>1.4833299999999999E-3</v>
      </c>
      <c r="N442" s="18">
        <f t="shared" si="37"/>
        <v>-38.137571297400001</v>
      </c>
      <c r="O442" s="15"/>
      <c r="P442" s="20">
        <f t="shared" si="38"/>
        <v>0</v>
      </c>
      <c r="Q442" s="15"/>
      <c r="R442" s="20">
        <f t="shared" si="39"/>
        <v>0</v>
      </c>
      <c r="S442" s="130"/>
      <c r="T442" s="20">
        <f t="shared" si="40"/>
        <v>-60.658693356249998</v>
      </c>
    </row>
    <row r="443" spans="1:20">
      <c r="A443" s="13" t="s">
        <v>21</v>
      </c>
      <c r="B443" s="14" t="s">
        <v>90</v>
      </c>
      <c r="C443" s="14" t="s">
        <v>91</v>
      </c>
      <c r="D443" s="13" t="s">
        <v>92</v>
      </c>
      <c r="E443" s="14" t="s">
        <v>93</v>
      </c>
      <c r="F443" s="13" t="s">
        <v>88</v>
      </c>
      <c r="G443" s="14" t="s">
        <v>20</v>
      </c>
      <c r="H443" s="14"/>
      <c r="I443" s="14">
        <v>201405</v>
      </c>
      <c r="J443" s="15">
        <v>-950.54</v>
      </c>
      <c r="K443" s="21">
        <f t="shared" si="41"/>
        <v>42675</v>
      </c>
      <c r="L443" s="16">
        <f t="shared" si="36"/>
        <v>6</v>
      </c>
      <c r="M443" s="17">
        <v>1.4833299999999999E-3</v>
      </c>
      <c r="N443" s="18">
        <f t="shared" si="37"/>
        <v>-8.4597869891999995</v>
      </c>
      <c r="O443" s="15"/>
      <c r="P443" s="20">
        <f t="shared" si="38"/>
        <v>0</v>
      </c>
      <c r="Q443" s="15"/>
      <c r="R443" s="20">
        <f t="shared" si="39"/>
        <v>0</v>
      </c>
      <c r="S443" s="130"/>
      <c r="T443" s="20">
        <f t="shared" si="40"/>
        <v>-13.455487787499999</v>
      </c>
    </row>
    <row r="444" spans="1:20">
      <c r="A444" s="13" t="s">
        <v>21</v>
      </c>
      <c r="B444" s="14" t="s">
        <v>364</v>
      </c>
      <c r="C444" s="14" t="s">
        <v>365</v>
      </c>
      <c r="D444" s="13" t="s">
        <v>366</v>
      </c>
      <c r="E444" s="14" t="s">
        <v>25</v>
      </c>
      <c r="F444" s="13" t="s">
        <v>26</v>
      </c>
      <c r="G444" s="14" t="s">
        <v>20</v>
      </c>
      <c r="H444" s="14"/>
      <c r="I444" s="14">
        <v>201405</v>
      </c>
      <c r="J444" s="15">
        <v>-5583.19</v>
      </c>
      <c r="K444" s="21">
        <f t="shared" si="41"/>
        <v>42675</v>
      </c>
      <c r="L444" s="16">
        <f t="shared" si="36"/>
        <v>6</v>
      </c>
      <c r="M444" s="17">
        <v>1.4833299999999999E-3</v>
      </c>
      <c r="N444" s="18">
        <f t="shared" si="37"/>
        <v>-49.6902793362</v>
      </c>
      <c r="O444" s="15"/>
      <c r="P444" s="20">
        <f t="shared" si="38"/>
        <v>0</v>
      </c>
      <c r="Q444" s="15"/>
      <c r="R444" s="20">
        <f t="shared" si="39"/>
        <v>0</v>
      </c>
      <c r="S444" s="130"/>
      <c r="T444" s="20">
        <f t="shared" si="40"/>
        <v>-79.03354394374999</v>
      </c>
    </row>
    <row r="445" spans="1:20">
      <c r="A445" s="13" t="s">
        <v>21</v>
      </c>
      <c r="B445" s="14" t="s">
        <v>367</v>
      </c>
      <c r="C445" s="14" t="s">
        <v>368</v>
      </c>
      <c r="D445" s="13" t="s">
        <v>369</v>
      </c>
      <c r="E445" s="14" t="s">
        <v>63</v>
      </c>
      <c r="F445" s="13" t="s">
        <v>19</v>
      </c>
      <c r="G445" s="14" t="s">
        <v>20</v>
      </c>
      <c r="H445" s="14"/>
      <c r="I445" s="14">
        <v>201405</v>
      </c>
      <c r="J445" s="15">
        <v>-929</v>
      </c>
      <c r="K445" s="21">
        <f t="shared" si="41"/>
        <v>42675</v>
      </c>
      <c r="L445" s="16">
        <f t="shared" si="36"/>
        <v>6</v>
      </c>
      <c r="M445" s="17">
        <v>1.4833299999999999E-3</v>
      </c>
      <c r="N445" s="18">
        <f t="shared" si="37"/>
        <v>-8.2680814199999997</v>
      </c>
      <c r="O445" s="15"/>
      <c r="P445" s="20">
        <f t="shared" si="38"/>
        <v>0</v>
      </c>
      <c r="Q445" s="15"/>
      <c r="R445" s="20">
        <f t="shared" si="39"/>
        <v>0</v>
      </c>
      <c r="S445" s="130"/>
      <c r="T445" s="20">
        <f t="shared" si="40"/>
        <v>-13.150575624999998</v>
      </c>
    </row>
    <row r="446" spans="1:20">
      <c r="A446" s="13" t="s">
        <v>21</v>
      </c>
      <c r="B446" s="14" t="s">
        <v>95</v>
      </c>
      <c r="C446" s="14" t="s">
        <v>96</v>
      </c>
      <c r="D446" s="13" t="s">
        <v>97</v>
      </c>
      <c r="E446" s="14" t="s">
        <v>75</v>
      </c>
      <c r="F446" s="13" t="s">
        <v>26</v>
      </c>
      <c r="G446" s="14" t="s">
        <v>20</v>
      </c>
      <c r="H446" s="14"/>
      <c r="I446" s="14">
        <v>201405</v>
      </c>
      <c r="J446" s="15">
        <v>-3756.1</v>
      </c>
      <c r="K446" s="21">
        <f t="shared" si="41"/>
        <v>42675</v>
      </c>
      <c r="L446" s="16">
        <f t="shared" si="36"/>
        <v>6</v>
      </c>
      <c r="M446" s="17">
        <v>1.4833299999999999E-3</v>
      </c>
      <c r="N446" s="18">
        <f t="shared" si="37"/>
        <v>-33.429214877999996</v>
      </c>
      <c r="O446" s="15"/>
      <c r="P446" s="20">
        <f t="shared" si="38"/>
        <v>0</v>
      </c>
      <c r="Q446" s="15"/>
      <c r="R446" s="20">
        <f t="shared" si="39"/>
        <v>0</v>
      </c>
      <c r="S446" s="130"/>
      <c r="T446" s="20">
        <f t="shared" si="40"/>
        <v>-53.169943062499996</v>
      </c>
    </row>
    <row r="447" spans="1:20">
      <c r="A447" s="13" t="s">
        <v>693</v>
      </c>
      <c r="B447" s="14" t="s">
        <v>694</v>
      </c>
      <c r="C447" s="14" t="s">
        <v>695</v>
      </c>
      <c r="D447" s="13" t="s">
        <v>696</v>
      </c>
      <c r="E447" s="14" t="s">
        <v>131</v>
      </c>
      <c r="F447" s="13" t="s">
        <v>132</v>
      </c>
      <c r="G447" s="14" t="s">
        <v>20</v>
      </c>
      <c r="H447" s="14"/>
      <c r="I447" s="14">
        <v>201405</v>
      </c>
      <c r="J447" s="15">
        <v>3995.9</v>
      </c>
      <c r="K447" s="21">
        <f t="shared" si="41"/>
        <v>42675</v>
      </c>
      <c r="L447" s="16">
        <f t="shared" si="36"/>
        <v>6</v>
      </c>
      <c r="M447" s="17">
        <v>2.1916700000000002E-3</v>
      </c>
      <c r="N447" s="18">
        <f t="shared" si="37"/>
        <v>52.546164918000009</v>
      </c>
      <c r="O447" s="15"/>
      <c r="P447" s="20">
        <f t="shared" si="38"/>
        <v>0</v>
      </c>
      <c r="Q447" s="15"/>
      <c r="R447" s="20">
        <f t="shared" si="39"/>
        <v>0</v>
      </c>
      <c r="S447" s="130"/>
      <c r="T447" s="20">
        <f t="shared" si="40"/>
        <v>56.564461937499999</v>
      </c>
    </row>
    <row r="448" spans="1:20">
      <c r="A448" s="13" t="s">
        <v>21</v>
      </c>
      <c r="B448" s="14" t="s">
        <v>431</v>
      </c>
      <c r="C448" s="14" t="s">
        <v>432</v>
      </c>
      <c r="D448" s="13" t="s">
        <v>433</v>
      </c>
      <c r="E448" s="14" t="s">
        <v>75</v>
      </c>
      <c r="F448" s="13" t="s">
        <v>26</v>
      </c>
      <c r="G448" s="14" t="s">
        <v>20</v>
      </c>
      <c r="H448" s="14"/>
      <c r="I448" s="14">
        <v>201405</v>
      </c>
      <c r="J448" s="15">
        <v>-28517.41</v>
      </c>
      <c r="K448" s="21">
        <f t="shared" si="41"/>
        <v>42675</v>
      </c>
      <c r="L448" s="16">
        <f t="shared" si="36"/>
        <v>6</v>
      </c>
      <c r="M448" s="17">
        <v>1.4833299999999999E-3</v>
      </c>
      <c r="N448" s="18">
        <f t="shared" si="37"/>
        <v>-253.80437865179999</v>
      </c>
      <c r="O448" s="15"/>
      <c r="P448" s="20">
        <f t="shared" si="38"/>
        <v>0</v>
      </c>
      <c r="Q448" s="15"/>
      <c r="R448" s="20">
        <f t="shared" si="39"/>
        <v>0</v>
      </c>
      <c r="S448" s="130"/>
      <c r="T448" s="20">
        <f t="shared" si="40"/>
        <v>-403.68176193124998</v>
      </c>
    </row>
    <row r="449" spans="1:20">
      <c r="A449" s="13" t="s">
        <v>21</v>
      </c>
      <c r="B449" s="14" t="s">
        <v>99</v>
      </c>
      <c r="C449" s="14" t="s">
        <v>100</v>
      </c>
      <c r="D449" s="13" t="s">
        <v>101</v>
      </c>
      <c r="E449" s="14" t="s">
        <v>102</v>
      </c>
      <c r="F449" s="13" t="s">
        <v>19</v>
      </c>
      <c r="G449" s="14" t="s">
        <v>20</v>
      </c>
      <c r="H449" s="14"/>
      <c r="I449" s="14">
        <v>201405</v>
      </c>
      <c r="J449" s="15">
        <v>-4898.51</v>
      </c>
      <c r="K449" s="21">
        <f t="shared" si="41"/>
        <v>42675</v>
      </c>
      <c r="L449" s="16">
        <f t="shared" si="36"/>
        <v>6</v>
      </c>
      <c r="M449" s="17">
        <v>1.4833299999999999E-3</v>
      </c>
      <c r="N449" s="18">
        <f t="shared" si="37"/>
        <v>-43.596641029800004</v>
      </c>
      <c r="O449" s="15"/>
      <c r="P449" s="20">
        <f t="shared" si="38"/>
        <v>0</v>
      </c>
      <c r="Q449" s="15"/>
      <c r="R449" s="20">
        <f t="shared" si="39"/>
        <v>0</v>
      </c>
      <c r="S449" s="130"/>
      <c r="T449" s="20">
        <f t="shared" si="40"/>
        <v>-69.341470618749995</v>
      </c>
    </row>
    <row r="450" spans="1:20">
      <c r="A450" s="13" t="s">
        <v>21</v>
      </c>
      <c r="B450" s="14" t="s">
        <v>434</v>
      </c>
      <c r="C450" s="14" t="s">
        <v>435</v>
      </c>
      <c r="D450" s="13" t="s">
        <v>436</v>
      </c>
      <c r="E450" s="14" t="s">
        <v>93</v>
      </c>
      <c r="F450" s="13" t="s">
        <v>88</v>
      </c>
      <c r="G450" s="14" t="s">
        <v>20</v>
      </c>
      <c r="H450" s="14"/>
      <c r="I450" s="14">
        <v>201405</v>
      </c>
      <c r="J450" s="15">
        <v>-6859.64</v>
      </c>
      <c r="K450" s="21">
        <f t="shared" si="41"/>
        <v>42675</v>
      </c>
      <c r="L450" s="16">
        <f t="shared" si="36"/>
        <v>6</v>
      </c>
      <c r="M450" s="17">
        <v>1.4833299999999999E-3</v>
      </c>
      <c r="N450" s="18">
        <f t="shared" si="37"/>
        <v>-61.050658807200001</v>
      </c>
      <c r="O450" s="15"/>
      <c r="P450" s="20">
        <f t="shared" si="38"/>
        <v>0</v>
      </c>
      <c r="Q450" s="15"/>
      <c r="R450" s="20">
        <f t="shared" si="39"/>
        <v>0</v>
      </c>
      <c r="S450" s="130"/>
      <c r="T450" s="20">
        <f t="shared" si="40"/>
        <v>-97.102491474999994</v>
      </c>
    </row>
    <row r="451" spans="1:20">
      <c r="A451" s="13" t="s">
        <v>21</v>
      </c>
      <c r="B451" s="14" t="s">
        <v>370</v>
      </c>
      <c r="C451" s="14" t="s">
        <v>371</v>
      </c>
      <c r="D451" s="13" t="s">
        <v>372</v>
      </c>
      <c r="E451" s="14" t="s">
        <v>63</v>
      </c>
      <c r="F451" s="13" t="s">
        <v>19</v>
      </c>
      <c r="G451" s="14" t="s">
        <v>20</v>
      </c>
      <c r="H451" s="14"/>
      <c r="I451" s="14">
        <v>201405</v>
      </c>
      <c r="J451" s="15">
        <v>-4833.3500000000004</v>
      </c>
      <c r="K451" s="21">
        <f t="shared" si="41"/>
        <v>42675</v>
      </c>
      <c r="L451" s="16">
        <f t="shared" si="36"/>
        <v>6</v>
      </c>
      <c r="M451" s="17">
        <v>1.4833299999999999E-3</v>
      </c>
      <c r="N451" s="18">
        <f t="shared" si="37"/>
        <v>-43.016718333</v>
      </c>
      <c r="O451" s="15"/>
      <c r="P451" s="20">
        <f t="shared" si="38"/>
        <v>0</v>
      </c>
      <c r="Q451" s="15"/>
      <c r="R451" s="20">
        <f t="shared" si="39"/>
        <v>0</v>
      </c>
      <c r="S451" s="130"/>
      <c r="T451" s="20">
        <f t="shared" si="40"/>
        <v>-68.41909009375</v>
      </c>
    </row>
    <row r="452" spans="1:20">
      <c r="A452" s="23" t="s">
        <v>29</v>
      </c>
      <c r="B452" s="14" t="s">
        <v>103</v>
      </c>
      <c r="C452" s="14" t="s">
        <v>104</v>
      </c>
      <c r="D452" s="13" t="s">
        <v>105</v>
      </c>
      <c r="E452" s="14" t="s">
        <v>106</v>
      </c>
      <c r="F452" s="13" t="s">
        <v>34</v>
      </c>
      <c r="G452" s="14" t="s">
        <v>20</v>
      </c>
      <c r="H452" s="14"/>
      <c r="I452" s="14">
        <v>201405</v>
      </c>
      <c r="J452" s="15">
        <v>-3439.48</v>
      </c>
      <c r="K452" s="21">
        <f t="shared" si="41"/>
        <v>42675</v>
      </c>
      <c r="L452" s="16">
        <f t="shared" si="36"/>
        <v>6</v>
      </c>
      <c r="M452" s="17">
        <v>2.23333E-3</v>
      </c>
      <c r="N452" s="18">
        <f t="shared" si="37"/>
        <v>-46.088963210399996</v>
      </c>
      <c r="O452" s="15"/>
      <c r="P452" s="20">
        <f t="shared" si="38"/>
        <v>0</v>
      </c>
      <c r="Q452" s="15"/>
      <c r="R452" s="20">
        <f t="shared" si="39"/>
        <v>0</v>
      </c>
      <c r="S452" s="130"/>
      <c r="T452" s="20">
        <f t="shared" si="40"/>
        <v>-48.687989074999997</v>
      </c>
    </row>
    <row r="453" spans="1:20">
      <c r="A453" s="23" t="s">
        <v>29</v>
      </c>
      <c r="B453" s="14" t="s">
        <v>107</v>
      </c>
      <c r="C453" s="14" t="s">
        <v>108</v>
      </c>
      <c r="D453" s="13" t="s">
        <v>109</v>
      </c>
      <c r="E453" s="14" t="s">
        <v>110</v>
      </c>
      <c r="F453" s="13" t="s">
        <v>52</v>
      </c>
      <c r="G453" s="14" t="s">
        <v>20</v>
      </c>
      <c r="H453" s="14"/>
      <c r="I453" s="14">
        <v>201405</v>
      </c>
      <c r="J453" s="15">
        <v>-44563.98</v>
      </c>
      <c r="K453" s="21">
        <f t="shared" si="41"/>
        <v>42675</v>
      </c>
      <c r="L453" s="16">
        <f t="shared" si="36"/>
        <v>6</v>
      </c>
      <c r="M453" s="17">
        <v>2.23333E-3</v>
      </c>
      <c r="N453" s="18">
        <f t="shared" si="37"/>
        <v>-597.15644072040004</v>
      </c>
      <c r="O453" s="15"/>
      <c r="P453" s="20">
        <f t="shared" si="38"/>
        <v>0</v>
      </c>
      <c r="Q453" s="15"/>
      <c r="R453" s="20">
        <f t="shared" si="39"/>
        <v>0</v>
      </c>
      <c r="S453" s="130"/>
      <c r="T453" s="20">
        <f t="shared" si="40"/>
        <v>-630.83098938749993</v>
      </c>
    </row>
    <row r="454" spans="1:20">
      <c r="A454" s="23" t="s">
        <v>29</v>
      </c>
      <c r="B454" s="14" t="s">
        <v>548</v>
      </c>
      <c r="C454" s="14" t="s">
        <v>549</v>
      </c>
      <c r="D454" s="13" t="s">
        <v>327</v>
      </c>
      <c r="E454" s="14" t="s">
        <v>550</v>
      </c>
      <c r="F454" s="13" t="s">
        <v>58</v>
      </c>
      <c r="G454" s="14" t="s">
        <v>20</v>
      </c>
      <c r="H454" s="14"/>
      <c r="I454" s="14">
        <v>201405</v>
      </c>
      <c r="J454" s="15">
        <v>-198.97</v>
      </c>
      <c r="K454" s="21">
        <f t="shared" si="41"/>
        <v>42675</v>
      </c>
      <c r="L454" s="16">
        <f t="shared" ref="L454:L517" si="42">((YEAR($L$1)-YEAR(K454))*12+MONTH($L$1)-MONTH(K454))</f>
        <v>6</v>
      </c>
      <c r="M454" s="17">
        <v>2.23333E-3</v>
      </c>
      <c r="N454" s="18">
        <f t="shared" ref="N454:N517" si="43">M454*L454*J454</f>
        <v>-2.6661940205999999</v>
      </c>
      <c r="O454" s="15"/>
      <c r="P454" s="20">
        <f t="shared" ref="P454:P517" si="44">$P$4*(J454*0.5)*$V$10</f>
        <v>0</v>
      </c>
      <c r="Q454" s="15"/>
      <c r="R454" s="20">
        <f t="shared" ref="R454:R517" si="45">$R$4*(J454*0.5)*$V$9</f>
        <v>0</v>
      </c>
      <c r="S454" s="130"/>
      <c r="T454" s="20">
        <f t="shared" ref="T454:T517" si="46">$T$4*(J454*0.5)*$V$11</f>
        <v>-2.8165447062499998</v>
      </c>
    </row>
    <row r="455" spans="1:20">
      <c r="A455" s="23" t="s">
        <v>29</v>
      </c>
      <c r="B455" s="14" t="s">
        <v>111</v>
      </c>
      <c r="C455" s="14" t="s">
        <v>112</v>
      </c>
      <c r="D455" s="13" t="s">
        <v>113</v>
      </c>
      <c r="E455" s="14" t="s">
        <v>114</v>
      </c>
      <c r="F455" s="13" t="s">
        <v>115</v>
      </c>
      <c r="G455" s="14" t="s">
        <v>20</v>
      </c>
      <c r="H455" s="14"/>
      <c r="I455" s="14">
        <v>201405</v>
      </c>
      <c r="J455" s="15">
        <v>-2151.09</v>
      </c>
      <c r="K455" s="21">
        <f t="shared" ref="K455:K518" si="47">+K454</f>
        <v>42675</v>
      </c>
      <c r="L455" s="16">
        <f t="shared" si="42"/>
        <v>6</v>
      </c>
      <c r="M455" s="17">
        <v>2.23333E-3</v>
      </c>
      <c r="N455" s="18">
        <f t="shared" si="43"/>
        <v>-28.824562978199999</v>
      </c>
      <c r="O455" s="15"/>
      <c r="P455" s="20">
        <f t="shared" si="44"/>
        <v>0</v>
      </c>
      <c r="Q455" s="15"/>
      <c r="R455" s="20">
        <f t="shared" si="45"/>
        <v>0</v>
      </c>
      <c r="S455" s="130"/>
      <c r="T455" s="20">
        <f t="shared" si="46"/>
        <v>-30.450023381249999</v>
      </c>
    </row>
    <row r="456" spans="1:20">
      <c r="A456" s="13" t="s">
        <v>21</v>
      </c>
      <c r="B456" s="14" t="s">
        <v>551</v>
      </c>
      <c r="C456" s="14" t="s">
        <v>552</v>
      </c>
      <c r="D456" s="13" t="s">
        <v>553</v>
      </c>
      <c r="E456" s="14" t="s">
        <v>260</v>
      </c>
      <c r="F456" s="13" t="s">
        <v>26</v>
      </c>
      <c r="G456" s="14" t="s">
        <v>20</v>
      </c>
      <c r="H456" s="14"/>
      <c r="I456" s="14">
        <v>201405</v>
      </c>
      <c r="J456" s="15">
        <v>-1696.72</v>
      </c>
      <c r="K456" s="21">
        <f t="shared" si="47"/>
        <v>42675</v>
      </c>
      <c r="L456" s="16">
        <f t="shared" si="42"/>
        <v>6</v>
      </c>
      <c r="M456" s="17">
        <v>1.4833299999999999E-3</v>
      </c>
      <c r="N456" s="18">
        <f t="shared" si="43"/>
        <v>-15.1007740656</v>
      </c>
      <c r="O456" s="15"/>
      <c r="P456" s="20">
        <f t="shared" si="44"/>
        <v>0</v>
      </c>
      <c r="Q456" s="15"/>
      <c r="R456" s="20">
        <f t="shared" si="45"/>
        <v>0</v>
      </c>
      <c r="S456" s="130"/>
      <c r="T456" s="20">
        <f t="shared" si="46"/>
        <v>-24.018132049999998</v>
      </c>
    </row>
    <row r="457" spans="1:20">
      <c r="A457" s="13" t="s">
        <v>554</v>
      </c>
      <c r="B457" s="14" t="s">
        <v>116</v>
      </c>
      <c r="C457" s="14" t="s">
        <v>117</v>
      </c>
      <c r="D457" s="13" t="s">
        <v>118</v>
      </c>
      <c r="E457" s="14" t="s">
        <v>119</v>
      </c>
      <c r="F457" s="13" t="s">
        <v>120</v>
      </c>
      <c r="G457" s="14" t="s">
        <v>20</v>
      </c>
      <c r="H457" s="14"/>
      <c r="I457" s="14">
        <v>201405</v>
      </c>
      <c r="J457" s="15">
        <v>32706.04</v>
      </c>
      <c r="K457" s="21">
        <f t="shared" si="47"/>
        <v>42675</v>
      </c>
      <c r="L457" s="16">
        <f t="shared" si="42"/>
        <v>6</v>
      </c>
      <c r="M457" s="17">
        <v>1.4833299999999999E-3</v>
      </c>
      <c r="N457" s="18">
        <f t="shared" si="43"/>
        <v>291.0831018792</v>
      </c>
      <c r="O457" s="15"/>
      <c r="P457" s="20">
        <f t="shared" si="44"/>
        <v>0</v>
      </c>
      <c r="Q457" s="15"/>
      <c r="R457" s="20">
        <f t="shared" si="45"/>
        <v>0</v>
      </c>
      <c r="S457" s="130"/>
      <c r="T457" s="20">
        <f t="shared" si="46"/>
        <v>462.97443747499995</v>
      </c>
    </row>
    <row r="458" spans="1:20">
      <c r="A458" s="23" t="s">
        <v>29</v>
      </c>
      <c r="B458" s="14" t="s">
        <v>555</v>
      </c>
      <c r="C458" s="14" t="s">
        <v>556</v>
      </c>
      <c r="D458" s="13" t="s">
        <v>45</v>
      </c>
      <c r="E458" s="14" t="s">
        <v>557</v>
      </c>
      <c r="F458" s="13" t="s">
        <v>41</v>
      </c>
      <c r="G458" s="14" t="s">
        <v>20</v>
      </c>
      <c r="H458" s="14"/>
      <c r="I458" s="14">
        <v>201405</v>
      </c>
      <c r="J458" s="15">
        <v>-4003.07</v>
      </c>
      <c r="K458" s="21">
        <f t="shared" si="47"/>
        <v>42675</v>
      </c>
      <c r="L458" s="16">
        <f t="shared" si="42"/>
        <v>6</v>
      </c>
      <c r="M458" s="17">
        <v>2.23333E-3</v>
      </c>
      <c r="N458" s="18">
        <f t="shared" si="43"/>
        <v>-53.641057938599999</v>
      </c>
      <c r="O458" s="15"/>
      <c r="P458" s="20">
        <f t="shared" si="44"/>
        <v>0</v>
      </c>
      <c r="Q458" s="15"/>
      <c r="R458" s="20">
        <f t="shared" si="45"/>
        <v>0</v>
      </c>
      <c r="S458" s="130"/>
      <c r="T458" s="20">
        <f t="shared" si="46"/>
        <v>-56.665957768749998</v>
      </c>
    </row>
    <row r="459" spans="1:20">
      <c r="A459" s="23" t="s">
        <v>29</v>
      </c>
      <c r="B459" s="14" t="s">
        <v>121</v>
      </c>
      <c r="C459" s="14" t="s">
        <v>122</v>
      </c>
      <c r="D459" s="13" t="s">
        <v>50</v>
      </c>
      <c r="E459" s="14" t="s">
        <v>123</v>
      </c>
      <c r="F459" s="13" t="s">
        <v>52</v>
      </c>
      <c r="G459" s="14" t="s">
        <v>20</v>
      </c>
      <c r="H459" s="14"/>
      <c r="I459" s="14">
        <v>201405</v>
      </c>
      <c r="J459" s="15">
        <v>-999.21</v>
      </c>
      <c r="K459" s="21">
        <f t="shared" si="47"/>
        <v>42675</v>
      </c>
      <c r="L459" s="16">
        <f t="shared" si="42"/>
        <v>6</v>
      </c>
      <c r="M459" s="17">
        <v>2.23333E-3</v>
      </c>
      <c r="N459" s="18">
        <f t="shared" si="43"/>
        <v>-13.389394015799999</v>
      </c>
      <c r="O459" s="15"/>
      <c r="P459" s="20">
        <f t="shared" si="44"/>
        <v>0</v>
      </c>
      <c r="Q459" s="15"/>
      <c r="R459" s="20">
        <f t="shared" si="45"/>
        <v>0</v>
      </c>
      <c r="S459" s="130"/>
      <c r="T459" s="20">
        <f t="shared" si="46"/>
        <v>-14.14444205625</v>
      </c>
    </row>
    <row r="460" spans="1:20">
      <c r="A460" s="23" t="s">
        <v>29</v>
      </c>
      <c r="B460" s="14" t="s">
        <v>124</v>
      </c>
      <c r="C460" s="14" t="s">
        <v>125</v>
      </c>
      <c r="D460" s="13" t="s">
        <v>50</v>
      </c>
      <c r="E460" s="14" t="s">
        <v>126</v>
      </c>
      <c r="F460" s="13" t="s">
        <v>52</v>
      </c>
      <c r="G460" s="14" t="s">
        <v>20</v>
      </c>
      <c r="H460" s="14"/>
      <c r="I460" s="14">
        <v>201405</v>
      </c>
      <c r="J460" s="15">
        <v>-8089.39</v>
      </c>
      <c r="K460" s="21">
        <f t="shared" si="47"/>
        <v>42675</v>
      </c>
      <c r="L460" s="16">
        <f t="shared" si="42"/>
        <v>6</v>
      </c>
      <c r="M460" s="17">
        <v>2.23333E-3</v>
      </c>
      <c r="N460" s="18">
        <f t="shared" si="43"/>
        <v>-108.3976642122</v>
      </c>
      <c r="O460" s="15"/>
      <c r="P460" s="20">
        <f t="shared" si="44"/>
        <v>0</v>
      </c>
      <c r="Q460" s="15"/>
      <c r="R460" s="20">
        <f t="shared" si="45"/>
        <v>0</v>
      </c>
      <c r="S460" s="130"/>
      <c r="T460" s="20">
        <f t="shared" si="46"/>
        <v>-114.51037131875</v>
      </c>
    </row>
    <row r="461" spans="1:20">
      <c r="A461" s="13" t="s">
        <v>21</v>
      </c>
      <c r="B461" s="14" t="s">
        <v>558</v>
      </c>
      <c r="C461" s="14" t="s">
        <v>559</v>
      </c>
      <c r="D461" s="13" t="s">
        <v>560</v>
      </c>
      <c r="E461" s="14" t="s">
        <v>87</v>
      </c>
      <c r="F461" s="13" t="s">
        <v>88</v>
      </c>
      <c r="G461" s="14" t="s">
        <v>20</v>
      </c>
      <c r="H461" s="14"/>
      <c r="I461" s="14">
        <v>201405</v>
      </c>
      <c r="J461" s="15">
        <v>-2973.38</v>
      </c>
      <c r="K461" s="21">
        <f t="shared" si="47"/>
        <v>42675</v>
      </c>
      <c r="L461" s="16">
        <f t="shared" si="42"/>
        <v>6</v>
      </c>
      <c r="M461" s="17">
        <v>1.4833299999999999E-3</v>
      </c>
      <c r="N461" s="18">
        <f t="shared" si="43"/>
        <v>-26.4630225324</v>
      </c>
      <c r="O461" s="15"/>
      <c r="P461" s="20">
        <f t="shared" si="44"/>
        <v>0</v>
      </c>
      <c r="Q461" s="15"/>
      <c r="R461" s="20">
        <f t="shared" si="45"/>
        <v>0</v>
      </c>
      <c r="S461" s="130"/>
      <c r="T461" s="20">
        <f t="shared" si="46"/>
        <v>-42.090052262499995</v>
      </c>
    </row>
    <row r="462" spans="1:20">
      <c r="A462" s="13" t="s">
        <v>21</v>
      </c>
      <c r="B462" s="14" t="s">
        <v>561</v>
      </c>
      <c r="C462" s="14" t="s">
        <v>562</v>
      </c>
      <c r="D462" s="13" t="s">
        <v>563</v>
      </c>
      <c r="E462" s="14" t="s">
        <v>75</v>
      </c>
      <c r="F462" s="13" t="s">
        <v>26</v>
      </c>
      <c r="G462" s="14" t="s">
        <v>20</v>
      </c>
      <c r="H462" s="14"/>
      <c r="I462" s="14">
        <v>201405</v>
      </c>
      <c r="J462" s="15">
        <v>70.489999999999995</v>
      </c>
      <c r="K462" s="21">
        <f t="shared" si="47"/>
        <v>42675</v>
      </c>
      <c r="L462" s="16">
        <f t="shared" si="42"/>
        <v>6</v>
      </c>
      <c r="M462" s="17">
        <v>1.4833299999999999E-3</v>
      </c>
      <c r="N462" s="18">
        <f t="shared" si="43"/>
        <v>0.62735959019999998</v>
      </c>
      <c r="O462" s="15"/>
      <c r="P462" s="20">
        <f t="shared" si="44"/>
        <v>0</v>
      </c>
      <c r="Q462" s="15"/>
      <c r="R462" s="20">
        <f t="shared" si="45"/>
        <v>0</v>
      </c>
      <c r="S462" s="130"/>
      <c r="T462" s="20">
        <f t="shared" si="46"/>
        <v>0.99783000624999985</v>
      </c>
    </row>
    <row r="463" spans="1:20">
      <c r="A463" s="13" t="s">
        <v>127</v>
      </c>
      <c r="B463" s="14" t="s">
        <v>128</v>
      </c>
      <c r="C463" s="14" t="s">
        <v>129</v>
      </c>
      <c r="D463" s="13" t="s">
        <v>130</v>
      </c>
      <c r="E463" s="14" t="s">
        <v>131</v>
      </c>
      <c r="F463" s="13" t="s">
        <v>132</v>
      </c>
      <c r="G463" s="14" t="s">
        <v>20</v>
      </c>
      <c r="H463" s="14"/>
      <c r="I463" s="14">
        <v>201405</v>
      </c>
      <c r="J463" s="15">
        <v>-854.98</v>
      </c>
      <c r="K463" s="21">
        <f t="shared" si="47"/>
        <v>42675</v>
      </c>
      <c r="L463" s="16">
        <f t="shared" si="42"/>
        <v>6</v>
      </c>
      <c r="M463" s="17">
        <v>2.3833299999999999E-3</v>
      </c>
      <c r="N463" s="18">
        <f t="shared" si="43"/>
        <v>-12.2261969004</v>
      </c>
      <c r="O463" s="15"/>
      <c r="P463" s="20">
        <f t="shared" si="44"/>
        <v>0</v>
      </c>
      <c r="Q463" s="15"/>
      <c r="R463" s="20">
        <f t="shared" si="45"/>
        <v>0</v>
      </c>
      <c r="S463" s="130"/>
      <c r="T463" s="20">
        <f t="shared" si="46"/>
        <v>-12.102776262499999</v>
      </c>
    </row>
    <row r="464" spans="1:20">
      <c r="A464" s="13" t="s">
        <v>21</v>
      </c>
      <c r="B464" s="14" t="s">
        <v>134</v>
      </c>
      <c r="C464" s="14" t="s">
        <v>135</v>
      </c>
      <c r="D464" s="13" t="s">
        <v>136</v>
      </c>
      <c r="E464" s="14" t="s">
        <v>137</v>
      </c>
      <c r="F464" s="13" t="s">
        <v>138</v>
      </c>
      <c r="G464" s="14" t="s">
        <v>20</v>
      </c>
      <c r="H464" s="14"/>
      <c r="I464" s="14">
        <v>201405</v>
      </c>
      <c r="J464" s="15">
        <v>7197.37</v>
      </c>
      <c r="K464" s="21">
        <f t="shared" si="47"/>
        <v>42675</v>
      </c>
      <c r="L464" s="16">
        <f t="shared" si="42"/>
        <v>6</v>
      </c>
      <c r="M464" s="17">
        <v>1.4833299999999999E-3</v>
      </c>
      <c r="N464" s="18">
        <f t="shared" si="43"/>
        <v>64.056449052600001</v>
      </c>
      <c r="O464" s="15"/>
      <c r="P464" s="20">
        <f t="shared" si="44"/>
        <v>0</v>
      </c>
      <c r="Q464" s="15"/>
      <c r="R464" s="20">
        <f t="shared" si="45"/>
        <v>0</v>
      </c>
      <c r="S464" s="130"/>
      <c r="T464" s="20">
        <f t="shared" si="46"/>
        <v>101.88327070624999</v>
      </c>
    </row>
    <row r="465" spans="1:20">
      <c r="A465" s="13" t="s">
        <v>133</v>
      </c>
      <c r="B465" s="14" t="s">
        <v>134</v>
      </c>
      <c r="C465" s="14" t="s">
        <v>135</v>
      </c>
      <c r="D465" s="13" t="s">
        <v>136</v>
      </c>
      <c r="E465" s="14" t="s">
        <v>137</v>
      </c>
      <c r="F465" s="13" t="s">
        <v>138</v>
      </c>
      <c r="G465" s="14" t="s">
        <v>20</v>
      </c>
      <c r="H465" s="14"/>
      <c r="I465" s="14">
        <v>201405</v>
      </c>
      <c r="J465" s="15">
        <v>15660.17</v>
      </c>
      <c r="K465" s="21">
        <f t="shared" si="47"/>
        <v>42675</v>
      </c>
      <c r="L465" s="16">
        <f t="shared" si="42"/>
        <v>6</v>
      </c>
      <c r="M465" s="17">
        <v>1.4833299999999999E-3</v>
      </c>
      <c r="N465" s="18">
        <f t="shared" si="43"/>
        <v>139.37519979660001</v>
      </c>
      <c r="O465" s="15"/>
      <c r="P465" s="20">
        <f t="shared" si="44"/>
        <v>0</v>
      </c>
      <c r="Q465" s="15"/>
      <c r="R465" s="20">
        <f t="shared" si="45"/>
        <v>0</v>
      </c>
      <c r="S465" s="130"/>
      <c r="T465" s="20">
        <f t="shared" si="46"/>
        <v>221.67949395624998</v>
      </c>
    </row>
    <row r="466" spans="1:20">
      <c r="A466" s="13" t="s">
        <v>21</v>
      </c>
      <c r="B466" s="14" t="s">
        <v>567</v>
      </c>
      <c r="C466" s="14" t="s">
        <v>565</v>
      </c>
      <c r="D466" s="13" t="s">
        <v>566</v>
      </c>
      <c r="E466" s="14" t="s">
        <v>75</v>
      </c>
      <c r="F466" s="13" t="s">
        <v>26</v>
      </c>
      <c r="G466" s="14" t="s">
        <v>20</v>
      </c>
      <c r="H466" s="14"/>
      <c r="I466" s="14">
        <v>201405</v>
      </c>
      <c r="J466" s="15">
        <v>-4120.3900000000003</v>
      </c>
      <c r="K466" s="21">
        <f t="shared" si="47"/>
        <v>42675</v>
      </c>
      <c r="L466" s="16">
        <f t="shared" si="42"/>
        <v>6</v>
      </c>
      <c r="M466" s="17">
        <v>1.4833299999999999E-3</v>
      </c>
      <c r="N466" s="18">
        <f t="shared" si="43"/>
        <v>-36.671388592200003</v>
      </c>
      <c r="O466" s="15"/>
      <c r="P466" s="20">
        <f t="shared" si="44"/>
        <v>0</v>
      </c>
      <c r="Q466" s="15"/>
      <c r="R466" s="20">
        <f t="shared" si="45"/>
        <v>0</v>
      </c>
      <c r="S466" s="130"/>
      <c r="T466" s="20">
        <f t="shared" si="46"/>
        <v>-58.326695693750004</v>
      </c>
    </row>
    <row r="467" spans="1:20">
      <c r="A467" s="13" t="s">
        <v>21</v>
      </c>
      <c r="B467" s="14" t="s">
        <v>564</v>
      </c>
      <c r="C467" s="14" t="s">
        <v>565</v>
      </c>
      <c r="D467" s="13" t="s">
        <v>566</v>
      </c>
      <c r="E467" s="14" t="s">
        <v>75</v>
      </c>
      <c r="F467" s="13" t="s">
        <v>26</v>
      </c>
      <c r="G467" s="14" t="s">
        <v>20</v>
      </c>
      <c r="H467" s="14"/>
      <c r="I467" s="14">
        <v>201405</v>
      </c>
      <c r="J467" s="15">
        <v>-4.59</v>
      </c>
      <c r="K467" s="21">
        <f t="shared" si="47"/>
        <v>42675</v>
      </c>
      <c r="L467" s="16">
        <f t="shared" si="42"/>
        <v>6</v>
      </c>
      <c r="M467" s="17">
        <v>1.4833299999999999E-3</v>
      </c>
      <c r="N467" s="18">
        <f t="shared" si="43"/>
        <v>-4.0850908200000001E-2</v>
      </c>
      <c r="O467" s="15"/>
      <c r="P467" s="20">
        <f t="shared" si="44"/>
        <v>0</v>
      </c>
      <c r="Q467" s="15"/>
      <c r="R467" s="20">
        <f t="shared" si="45"/>
        <v>0</v>
      </c>
      <c r="S467" s="130"/>
      <c r="T467" s="20">
        <f t="shared" si="46"/>
        <v>-6.4974318749999996E-2</v>
      </c>
    </row>
    <row r="468" spans="1:20">
      <c r="A468" s="13" t="s">
        <v>21</v>
      </c>
      <c r="B468" s="14" t="s">
        <v>373</v>
      </c>
      <c r="C468" s="14" t="s">
        <v>374</v>
      </c>
      <c r="D468" s="13" t="s">
        <v>375</v>
      </c>
      <c r="E468" s="14" t="s">
        <v>164</v>
      </c>
      <c r="F468" s="13" t="s">
        <v>165</v>
      </c>
      <c r="G468" s="14" t="s">
        <v>20</v>
      </c>
      <c r="H468" s="14"/>
      <c r="I468" s="14">
        <v>201405</v>
      </c>
      <c r="J468" s="15">
        <v>-1836.58</v>
      </c>
      <c r="K468" s="21">
        <f t="shared" si="47"/>
        <v>42675</v>
      </c>
      <c r="L468" s="16">
        <f t="shared" si="42"/>
        <v>6</v>
      </c>
      <c r="M468" s="17">
        <v>1.4833299999999999E-3</v>
      </c>
      <c r="N468" s="18">
        <f t="shared" si="43"/>
        <v>-16.345525268399999</v>
      </c>
      <c r="O468" s="15"/>
      <c r="P468" s="20">
        <f t="shared" si="44"/>
        <v>0</v>
      </c>
      <c r="Q468" s="15"/>
      <c r="R468" s="20">
        <f t="shared" si="45"/>
        <v>0</v>
      </c>
      <c r="S468" s="130"/>
      <c r="T468" s="20">
        <f t="shared" si="46"/>
        <v>-25.997937762499994</v>
      </c>
    </row>
    <row r="469" spans="1:20">
      <c r="A469" s="13" t="s">
        <v>21</v>
      </c>
      <c r="B469" s="14" t="s">
        <v>139</v>
      </c>
      <c r="C469" s="14" t="s">
        <v>140</v>
      </c>
      <c r="D469" s="13" t="s">
        <v>141</v>
      </c>
      <c r="E469" s="14" t="s">
        <v>142</v>
      </c>
      <c r="F469" s="13" t="s">
        <v>143</v>
      </c>
      <c r="G469" s="14" t="s">
        <v>20</v>
      </c>
      <c r="H469" s="14"/>
      <c r="I469" s="14">
        <v>201405</v>
      </c>
      <c r="J469" s="15">
        <v>-1762.35</v>
      </c>
      <c r="K469" s="21">
        <f t="shared" si="47"/>
        <v>42675</v>
      </c>
      <c r="L469" s="16">
        <f t="shared" si="42"/>
        <v>6</v>
      </c>
      <c r="M469" s="17">
        <v>1.4833299999999999E-3</v>
      </c>
      <c r="N469" s="18">
        <f t="shared" si="43"/>
        <v>-15.684879752999999</v>
      </c>
      <c r="O469" s="15"/>
      <c r="P469" s="20">
        <f t="shared" si="44"/>
        <v>0</v>
      </c>
      <c r="Q469" s="15"/>
      <c r="R469" s="20">
        <f t="shared" si="45"/>
        <v>0</v>
      </c>
      <c r="S469" s="130"/>
      <c r="T469" s="20">
        <f t="shared" si="46"/>
        <v>-24.947165718749996</v>
      </c>
    </row>
    <row r="470" spans="1:20">
      <c r="A470" s="13" t="s">
        <v>21</v>
      </c>
      <c r="B470" s="14" t="s">
        <v>144</v>
      </c>
      <c r="C470" s="14" t="s">
        <v>145</v>
      </c>
      <c r="D470" s="13" t="s">
        <v>146</v>
      </c>
      <c r="E470" s="14" t="s">
        <v>142</v>
      </c>
      <c r="F470" s="13" t="s">
        <v>143</v>
      </c>
      <c r="G470" s="14" t="s">
        <v>20</v>
      </c>
      <c r="H470" s="14"/>
      <c r="I470" s="14">
        <v>201405</v>
      </c>
      <c r="J470" s="15">
        <v>-3195.74</v>
      </c>
      <c r="K470" s="21">
        <f t="shared" si="47"/>
        <v>42675</v>
      </c>
      <c r="L470" s="16">
        <f t="shared" si="42"/>
        <v>6</v>
      </c>
      <c r="M470" s="17">
        <v>1.4833299999999999E-3</v>
      </c>
      <c r="N470" s="18">
        <f t="shared" si="43"/>
        <v>-28.442022085199998</v>
      </c>
      <c r="O470" s="15"/>
      <c r="P470" s="20">
        <f t="shared" si="44"/>
        <v>0</v>
      </c>
      <c r="Q470" s="15"/>
      <c r="R470" s="20">
        <f t="shared" si="45"/>
        <v>0</v>
      </c>
      <c r="S470" s="130"/>
      <c r="T470" s="20">
        <f t="shared" si="46"/>
        <v>-45.237697037499991</v>
      </c>
    </row>
    <row r="471" spans="1:20">
      <c r="A471" s="13" t="s">
        <v>21</v>
      </c>
      <c r="B471" s="14" t="s">
        <v>147</v>
      </c>
      <c r="C471" s="14" t="s">
        <v>148</v>
      </c>
      <c r="D471" s="13" t="s">
        <v>149</v>
      </c>
      <c r="E471" s="14" t="s">
        <v>75</v>
      </c>
      <c r="F471" s="13" t="s">
        <v>26</v>
      </c>
      <c r="G471" s="14" t="s">
        <v>20</v>
      </c>
      <c r="H471" s="14"/>
      <c r="I471" s="14">
        <v>201405</v>
      </c>
      <c r="J471" s="15">
        <v>-2546.66</v>
      </c>
      <c r="K471" s="21">
        <f t="shared" si="47"/>
        <v>42675</v>
      </c>
      <c r="L471" s="16">
        <f t="shared" si="42"/>
        <v>6</v>
      </c>
      <c r="M471" s="17">
        <v>1.4833299999999999E-3</v>
      </c>
      <c r="N471" s="18">
        <f t="shared" si="43"/>
        <v>-22.665223066799999</v>
      </c>
      <c r="O471" s="15"/>
      <c r="P471" s="20">
        <f t="shared" si="44"/>
        <v>0</v>
      </c>
      <c r="Q471" s="15"/>
      <c r="R471" s="20">
        <f t="shared" si="45"/>
        <v>0</v>
      </c>
      <c r="S471" s="130"/>
      <c r="T471" s="20">
        <f t="shared" si="46"/>
        <v>-36.049563962499995</v>
      </c>
    </row>
    <row r="472" spans="1:20">
      <c r="A472" s="13" t="s">
        <v>21</v>
      </c>
      <c r="B472" s="14" t="s">
        <v>568</v>
      </c>
      <c r="C472" s="14" t="s">
        <v>569</v>
      </c>
      <c r="D472" s="13" t="s">
        <v>570</v>
      </c>
      <c r="E472" s="14" t="s">
        <v>209</v>
      </c>
      <c r="F472" s="13" t="s">
        <v>88</v>
      </c>
      <c r="G472" s="14" t="s">
        <v>20</v>
      </c>
      <c r="H472" s="14"/>
      <c r="I472" s="14">
        <v>201405</v>
      </c>
      <c r="J472" s="15">
        <v>-388.06</v>
      </c>
      <c r="K472" s="21">
        <f t="shared" si="47"/>
        <v>42675</v>
      </c>
      <c r="L472" s="16">
        <f t="shared" si="42"/>
        <v>6</v>
      </c>
      <c r="M472" s="17">
        <v>1.4833299999999999E-3</v>
      </c>
      <c r="N472" s="18">
        <f t="shared" si="43"/>
        <v>-3.4537262387999998</v>
      </c>
      <c r="O472" s="15"/>
      <c r="P472" s="20">
        <f t="shared" si="44"/>
        <v>0</v>
      </c>
      <c r="Q472" s="15"/>
      <c r="R472" s="20">
        <f t="shared" si="45"/>
        <v>0</v>
      </c>
      <c r="S472" s="130"/>
      <c r="T472" s="20">
        <f t="shared" si="46"/>
        <v>-5.4932318374999998</v>
      </c>
    </row>
    <row r="473" spans="1:20">
      <c r="A473" s="13" t="s">
        <v>21</v>
      </c>
      <c r="B473" s="14" t="s">
        <v>150</v>
      </c>
      <c r="C473" s="14" t="s">
        <v>151</v>
      </c>
      <c r="D473" s="13" t="s">
        <v>152</v>
      </c>
      <c r="E473" s="14" t="s">
        <v>75</v>
      </c>
      <c r="F473" s="13" t="s">
        <v>26</v>
      </c>
      <c r="G473" s="14" t="s">
        <v>20</v>
      </c>
      <c r="H473" s="14"/>
      <c r="I473" s="14">
        <v>201405</v>
      </c>
      <c r="J473" s="15">
        <v>-2188.84</v>
      </c>
      <c r="K473" s="21">
        <f t="shared" si="47"/>
        <v>42675</v>
      </c>
      <c r="L473" s="16">
        <f t="shared" si="42"/>
        <v>6</v>
      </c>
      <c r="M473" s="17">
        <v>1.4833299999999999E-3</v>
      </c>
      <c r="N473" s="18">
        <f t="shared" si="43"/>
        <v>-19.480632223200001</v>
      </c>
      <c r="O473" s="15"/>
      <c r="P473" s="20">
        <f t="shared" si="44"/>
        <v>0</v>
      </c>
      <c r="Q473" s="15"/>
      <c r="R473" s="20">
        <f t="shared" si="45"/>
        <v>0</v>
      </c>
      <c r="S473" s="130"/>
      <c r="T473" s="20">
        <f t="shared" si="46"/>
        <v>-30.984398225</v>
      </c>
    </row>
    <row r="474" spans="1:20">
      <c r="A474" s="13" t="s">
        <v>21</v>
      </c>
      <c r="B474" s="14" t="s">
        <v>571</v>
      </c>
      <c r="C474" s="14" t="s">
        <v>572</v>
      </c>
      <c r="D474" s="13" t="s">
        <v>573</v>
      </c>
      <c r="E474" s="14" t="s">
        <v>79</v>
      </c>
      <c r="F474" s="13" t="s">
        <v>26</v>
      </c>
      <c r="G474" s="14" t="s">
        <v>20</v>
      </c>
      <c r="H474" s="14"/>
      <c r="I474" s="14">
        <v>201405</v>
      </c>
      <c r="J474" s="15">
        <v>-6287.61</v>
      </c>
      <c r="K474" s="21">
        <f t="shared" si="47"/>
        <v>42675</v>
      </c>
      <c r="L474" s="16">
        <f t="shared" si="42"/>
        <v>6</v>
      </c>
      <c r="M474" s="17">
        <v>1.4833299999999999E-3</v>
      </c>
      <c r="N474" s="18">
        <f t="shared" si="43"/>
        <v>-55.959603247799997</v>
      </c>
      <c r="O474" s="15"/>
      <c r="P474" s="20">
        <f t="shared" si="44"/>
        <v>0</v>
      </c>
      <c r="Q474" s="15"/>
      <c r="R474" s="20">
        <f t="shared" si="45"/>
        <v>0</v>
      </c>
      <c r="S474" s="130"/>
      <c r="T474" s="20">
        <f t="shared" si="46"/>
        <v>-89.005049306250001</v>
      </c>
    </row>
    <row r="475" spans="1:20">
      <c r="A475" s="13" t="s">
        <v>21</v>
      </c>
      <c r="B475" s="14" t="s">
        <v>574</v>
      </c>
      <c r="C475" s="14" t="s">
        <v>575</v>
      </c>
      <c r="D475" s="13" t="s">
        <v>576</v>
      </c>
      <c r="E475" s="14" t="s">
        <v>87</v>
      </c>
      <c r="F475" s="13" t="s">
        <v>88</v>
      </c>
      <c r="G475" s="14" t="s">
        <v>20</v>
      </c>
      <c r="H475" s="14"/>
      <c r="I475" s="14">
        <v>201405</v>
      </c>
      <c r="J475" s="15">
        <v>31047.45</v>
      </c>
      <c r="K475" s="21">
        <f t="shared" si="47"/>
        <v>42675</v>
      </c>
      <c r="L475" s="16">
        <f t="shared" si="42"/>
        <v>6</v>
      </c>
      <c r="M475" s="17">
        <v>1.4833299999999999E-3</v>
      </c>
      <c r="N475" s="18">
        <f t="shared" si="43"/>
        <v>276.32168405100003</v>
      </c>
      <c r="O475" s="15"/>
      <c r="P475" s="20">
        <f t="shared" si="44"/>
        <v>0</v>
      </c>
      <c r="Q475" s="15"/>
      <c r="R475" s="20">
        <f t="shared" si="45"/>
        <v>0</v>
      </c>
      <c r="S475" s="130"/>
      <c r="T475" s="20">
        <f t="shared" si="46"/>
        <v>439.49605940624997</v>
      </c>
    </row>
    <row r="476" spans="1:20">
      <c r="A476" s="13" t="s">
        <v>21</v>
      </c>
      <c r="B476" s="14" t="s">
        <v>153</v>
      </c>
      <c r="C476" s="14" t="s">
        <v>154</v>
      </c>
      <c r="D476" s="13" t="s">
        <v>155</v>
      </c>
      <c r="E476" s="14" t="s">
        <v>156</v>
      </c>
      <c r="F476" s="13" t="s">
        <v>26</v>
      </c>
      <c r="G476" s="14" t="s">
        <v>20</v>
      </c>
      <c r="H476" s="14"/>
      <c r="I476" s="14">
        <v>201405</v>
      </c>
      <c r="J476" s="15">
        <v>-1810</v>
      </c>
      <c r="K476" s="21">
        <f t="shared" si="47"/>
        <v>42675</v>
      </c>
      <c r="L476" s="16">
        <f t="shared" si="42"/>
        <v>6</v>
      </c>
      <c r="M476" s="17">
        <v>1.4833299999999999E-3</v>
      </c>
      <c r="N476" s="18">
        <f t="shared" si="43"/>
        <v>-16.108963800000001</v>
      </c>
      <c r="O476" s="15"/>
      <c r="P476" s="20">
        <f t="shared" si="44"/>
        <v>0</v>
      </c>
      <c r="Q476" s="15"/>
      <c r="R476" s="20">
        <f t="shared" si="45"/>
        <v>0</v>
      </c>
      <c r="S476" s="130"/>
      <c r="T476" s="20">
        <f t="shared" si="46"/>
        <v>-25.621681249999998</v>
      </c>
    </row>
    <row r="477" spans="1:20">
      <c r="A477" s="13" t="s">
        <v>21</v>
      </c>
      <c r="B477" s="14" t="s">
        <v>577</v>
      </c>
      <c r="C477" s="14" t="s">
        <v>578</v>
      </c>
      <c r="D477" s="13" t="s">
        <v>579</v>
      </c>
      <c r="E477" s="14" t="s">
        <v>75</v>
      </c>
      <c r="F477" s="13" t="s">
        <v>26</v>
      </c>
      <c r="G477" s="14" t="s">
        <v>20</v>
      </c>
      <c r="H477" s="14"/>
      <c r="I477" s="14">
        <v>201405</v>
      </c>
      <c r="J477" s="15">
        <v>-1321.73</v>
      </c>
      <c r="K477" s="21">
        <f t="shared" si="47"/>
        <v>42675</v>
      </c>
      <c r="L477" s="16">
        <f t="shared" si="42"/>
        <v>6</v>
      </c>
      <c r="M477" s="17">
        <v>1.4833299999999999E-3</v>
      </c>
      <c r="N477" s="18">
        <f t="shared" si="43"/>
        <v>-11.763370565400001</v>
      </c>
      <c r="O477" s="15"/>
      <c r="P477" s="20">
        <f t="shared" si="44"/>
        <v>0</v>
      </c>
      <c r="Q477" s="15"/>
      <c r="R477" s="20">
        <f t="shared" si="45"/>
        <v>0</v>
      </c>
      <c r="S477" s="130"/>
      <c r="T477" s="20">
        <f t="shared" si="46"/>
        <v>-18.70991423125</v>
      </c>
    </row>
    <row r="478" spans="1:20">
      <c r="A478" s="13" t="s">
        <v>21</v>
      </c>
      <c r="B478" s="14" t="s">
        <v>157</v>
      </c>
      <c r="C478" s="14" t="s">
        <v>158</v>
      </c>
      <c r="D478" s="13" t="s">
        <v>159</v>
      </c>
      <c r="E478" s="14" t="s">
        <v>160</v>
      </c>
      <c r="F478" s="13" t="s">
        <v>19</v>
      </c>
      <c r="G478" s="14" t="s">
        <v>20</v>
      </c>
      <c r="H478" s="14"/>
      <c r="I478" s="14">
        <v>201405</v>
      </c>
      <c r="J478" s="15">
        <v>-774.52</v>
      </c>
      <c r="K478" s="21">
        <f t="shared" si="47"/>
        <v>42675</v>
      </c>
      <c r="L478" s="16">
        <f t="shared" si="42"/>
        <v>6</v>
      </c>
      <c r="M478" s="17">
        <v>1.4833299999999999E-3</v>
      </c>
      <c r="N478" s="18">
        <f t="shared" si="43"/>
        <v>-6.8932125095999996</v>
      </c>
      <c r="O478" s="15"/>
      <c r="P478" s="20">
        <f t="shared" si="44"/>
        <v>0</v>
      </c>
      <c r="Q478" s="15"/>
      <c r="R478" s="20">
        <f t="shared" si="45"/>
        <v>0</v>
      </c>
      <c r="S478" s="130"/>
      <c r="T478" s="20">
        <f t="shared" si="46"/>
        <v>-10.963814675</v>
      </c>
    </row>
    <row r="479" spans="1:20">
      <c r="A479" s="13" t="s">
        <v>21</v>
      </c>
      <c r="B479" s="14" t="s">
        <v>376</v>
      </c>
      <c r="C479" s="14" t="s">
        <v>377</v>
      </c>
      <c r="D479" s="13" t="s">
        <v>378</v>
      </c>
      <c r="E479" s="14" t="s">
        <v>156</v>
      </c>
      <c r="F479" s="13" t="s">
        <v>26</v>
      </c>
      <c r="G479" s="14" t="s">
        <v>20</v>
      </c>
      <c r="H479" s="14"/>
      <c r="I479" s="14">
        <v>201405</v>
      </c>
      <c r="J479" s="15">
        <v>-7749.74</v>
      </c>
      <c r="K479" s="21">
        <f t="shared" si="47"/>
        <v>42675</v>
      </c>
      <c r="L479" s="16">
        <f t="shared" si="42"/>
        <v>6</v>
      </c>
      <c r="M479" s="17">
        <v>1.4833299999999999E-3</v>
      </c>
      <c r="N479" s="18">
        <f t="shared" si="43"/>
        <v>-68.972531005199997</v>
      </c>
      <c r="O479" s="15"/>
      <c r="P479" s="20">
        <f t="shared" si="44"/>
        <v>0</v>
      </c>
      <c r="Q479" s="15"/>
      <c r="R479" s="20">
        <f t="shared" si="45"/>
        <v>0</v>
      </c>
      <c r="S479" s="130"/>
      <c r="T479" s="20">
        <f t="shared" si="46"/>
        <v>-109.70241328749999</v>
      </c>
    </row>
    <row r="480" spans="1:20">
      <c r="A480" s="13" t="s">
        <v>21</v>
      </c>
      <c r="B480" s="14" t="s">
        <v>161</v>
      </c>
      <c r="C480" s="14" t="s">
        <v>162</v>
      </c>
      <c r="D480" s="13" t="s">
        <v>163</v>
      </c>
      <c r="E480" s="14" t="s">
        <v>164</v>
      </c>
      <c r="F480" s="13" t="s">
        <v>165</v>
      </c>
      <c r="G480" s="14" t="s">
        <v>20</v>
      </c>
      <c r="H480" s="14"/>
      <c r="I480" s="14">
        <v>201405</v>
      </c>
      <c r="J480" s="15">
        <v>-3382.84</v>
      </c>
      <c r="K480" s="21">
        <f t="shared" si="47"/>
        <v>42675</v>
      </c>
      <c r="L480" s="16">
        <f t="shared" si="42"/>
        <v>6</v>
      </c>
      <c r="M480" s="17">
        <v>1.4833299999999999E-3</v>
      </c>
      <c r="N480" s="18">
        <f t="shared" si="43"/>
        <v>-30.1072083432</v>
      </c>
      <c r="O480" s="15"/>
      <c r="P480" s="20">
        <f t="shared" si="44"/>
        <v>0</v>
      </c>
      <c r="Q480" s="15"/>
      <c r="R480" s="20">
        <f t="shared" si="45"/>
        <v>0</v>
      </c>
      <c r="S480" s="130"/>
      <c r="T480" s="20">
        <f t="shared" si="46"/>
        <v>-47.886214474999996</v>
      </c>
    </row>
    <row r="481" spans="1:20">
      <c r="A481" s="13" t="s">
        <v>626</v>
      </c>
      <c r="B481" s="14" t="s">
        <v>697</v>
      </c>
      <c r="C481" s="14" t="s">
        <v>698</v>
      </c>
      <c r="D481" s="13" t="s">
        <v>699</v>
      </c>
      <c r="E481" s="14" t="s">
        <v>79</v>
      </c>
      <c r="F481" s="13" t="s">
        <v>26</v>
      </c>
      <c r="G481" s="14" t="s">
        <v>20</v>
      </c>
      <c r="H481" s="14"/>
      <c r="I481" s="14">
        <v>201405</v>
      </c>
      <c r="J481" s="15">
        <v>7719.27</v>
      </c>
      <c r="K481" s="21">
        <f t="shared" si="47"/>
        <v>42675</v>
      </c>
      <c r="L481" s="16">
        <f t="shared" si="42"/>
        <v>6</v>
      </c>
      <c r="M481" s="17">
        <v>1.4833299999999999E-3</v>
      </c>
      <c r="N481" s="18">
        <f t="shared" si="43"/>
        <v>68.701348614600008</v>
      </c>
      <c r="O481" s="15"/>
      <c r="P481" s="20">
        <f t="shared" si="44"/>
        <v>0</v>
      </c>
      <c r="Q481" s="15"/>
      <c r="R481" s="20">
        <f t="shared" si="45"/>
        <v>0</v>
      </c>
      <c r="S481" s="130"/>
      <c r="T481" s="20">
        <f t="shared" si="46"/>
        <v>109.27109139375</v>
      </c>
    </row>
    <row r="482" spans="1:20">
      <c r="A482" s="13" t="s">
        <v>21</v>
      </c>
      <c r="B482" s="14" t="s">
        <v>166</v>
      </c>
      <c r="C482" s="14" t="s">
        <v>167</v>
      </c>
      <c r="D482" s="13" t="s">
        <v>168</v>
      </c>
      <c r="E482" s="14" t="s">
        <v>102</v>
      </c>
      <c r="F482" s="13" t="s">
        <v>19</v>
      </c>
      <c r="G482" s="14" t="s">
        <v>20</v>
      </c>
      <c r="H482" s="14"/>
      <c r="I482" s="14">
        <v>201405</v>
      </c>
      <c r="J482" s="15">
        <v>-817.09</v>
      </c>
      <c r="K482" s="21">
        <f t="shared" si="47"/>
        <v>42675</v>
      </c>
      <c r="L482" s="16">
        <f t="shared" si="42"/>
        <v>6</v>
      </c>
      <c r="M482" s="17">
        <v>1.4833299999999999E-3</v>
      </c>
      <c r="N482" s="18">
        <f t="shared" si="43"/>
        <v>-7.2720846582000007</v>
      </c>
      <c r="O482" s="15"/>
      <c r="P482" s="20">
        <f t="shared" si="44"/>
        <v>0</v>
      </c>
      <c r="Q482" s="15"/>
      <c r="R482" s="20">
        <f t="shared" si="45"/>
        <v>0</v>
      </c>
      <c r="S482" s="130"/>
      <c r="T482" s="20">
        <f t="shared" si="46"/>
        <v>-11.56641963125</v>
      </c>
    </row>
    <row r="483" spans="1:20">
      <c r="A483" s="13" t="s">
        <v>21</v>
      </c>
      <c r="B483" s="14" t="s">
        <v>379</v>
      </c>
      <c r="C483" s="14" t="s">
        <v>380</v>
      </c>
      <c r="D483" s="13" t="s">
        <v>381</v>
      </c>
      <c r="E483" s="14" t="s">
        <v>164</v>
      </c>
      <c r="F483" s="13" t="s">
        <v>165</v>
      </c>
      <c r="G483" s="14" t="s">
        <v>20</v>
      </c>
      <c r="H483" s="14"/>
      <c r="I483" s="14">
        <v>201405</v>
      </c>
      <c r="J483" s="15">
        <v>-1114.78</v>
      </c>
      <c r="K483" s="21">
        <f t="shared" si="47"/>
        <v>42675</v>
      </c>
      <c r="L483" s="16">
        <f t="shared" si="42"/>
        <v>6</v>
      </c>
      <c r="M483" s="17">
        <v>1.4833299999999999E-3</v>
      </c>
      <c r="N483" s="18">
        <f t="shared" si="43"/>
        <v>-9.9215197043999996</v>
      </c>
      <c r="O483" s="15"/>
      <c r="P483" s="20">
        <f t="shared" si="44"/>
        <v>0</v>
      </c>
      <c r="Q483" s="15"/>
      <c r="R483" s="20">
        <f t="shared" si="45"/>
        <v>0</v>
      </c>
      <c r="S483" s="130"/>
      <c r="T483" s="20">
        <f t="shared" si="46"/>
        <v>-15.780407637499998</v>
      </c>
    </row>
    <row r="484" spans="1:20">
      <c r="A484" s="13" t="s">
        <v>21</v>
      </c>
      <c r="B484" s="14" t="s">
        <v>385</v>
      </c>
      <c r="C484" s="14" t="s">
        <v>386</v>
      </c>
      <c r="D484" s="13" t="s">
        <v>387</v>
      </c>
      <c r="E484" s="14" t="s">
        <v>164</v>
      </c>
      <c r="F484" s="13" t="s">
        <v>165</v>
      </c>
      <c r="G484" s="14" t="s">
        <v>20</v>
      </c>
      <c r="H484" s="14"/>
      <c r="I484" s="14">
        <v>201405</v>
      </c>
      <c r="J484" s="15">
        <v>-3322.39</v>
      </c>
      <c r="K484" s="21">
        <f t="shared" si="47"/>
        <v>42675</v>
      </c>
      <c r="L484" s="16">
        <f t="shared" si="42"/>
        <v>6</v>
      </c>
      <c r="M484" s="17">
        <v>1.4833299999999999E-3</v>
      </c>
      <c r="N484" s="18">
        <f t="shared" si="43"/>
        <v>-29.569204552199999</v>
      </c>
      <c r="O484" s="15"/>
      <c r="P484" s="20">
        <f t="shared" si="44"/>
        <v>0</v>
      </c>
      <c r="Q484" s="15"/>
      <c r="R484" s="20">
        <f t="shared" si="45"/>
        <v>0</v>
      </c>
      <c r="S484" s="130"/>
      <c r="T484" s="20">
        <f t="shared" si="46"/>
        <v>-47.030506943749991</v>
      </c>
    </row>
    <row r="485" spans="1:20">
      <c r="A485" s="13" t="s">
        <v>21</v>
      </c>
      <c r="B485" s="14" t="s">
        <v>169</v>
      </c>
      <c r="C485" s="14" t="s">
        <v>170</v>
      </c>
      <c r="D485" s="13" t="s">
        <v>171</v>
      </c>
      <c r="E485" s="14" t="s">
        <v>172</v>
      </c>
      <c r="F485" s="13" t="s">
        <v>173</v>
      </c>
      <c r="G485" s="14" t="s">
        <v>20</v>
      </c>
      <c r="H485" s="14"/>
      <c r="I485" s="14">
        <v>201405</v>
      </c>
      <c r="J485" s="15">
        <v>-3790.49</v>
      </c>
      <c r="K485" s="21">
        <f t="shared" si="47"/>
        <v>42675</v>
      </c>
      <c r="L485" s="16">
        <f t="shared" si="42"/>
        <v>6</v>
      </c>
      <c r="M485" s="17">
        <v>1.4833299999999999E-3</v>
      </c>
      <c r="N485" s="18">
        <f t="shared" si="43"/>
        <v>-33.735285190199995</v>
      </c>
      <c r="O485" s="15"/>
      <c r="P485" s="20">
        <f t="shared" si="44"/>
        <v>0</v>
      </c>
      <c r="Q485" s="15"/>
      <c r="R485" s="20">
        <f t="shared" si="45"/>
        <v>0</v>
      </c>
      <c r="S485" s="130"/>
      <c r="T485" s="20">
        <f t="shared" si="46"/>
        <v>-53.656755006249995</v>
      </c>
    </row>
    <row r="486" spans="1:20">
      <c r="A486" s="13" t="s">
        <v>21</v>
      </c>
      <c r="B486" s="14" t="s">
        <v>443</v>
      </c>
      <c r="C486" s="14" t="s">
        <v>444</v>
      </c>
      <c r="D486" s="13" t="s">
        <v>445</v>
      </c>
      <c r="E486" s="14" t="s">
        <v>25</v>
      </c>
      <c r="F486" s="13" t="s">
        <v>26</v>
      </c>
      <c r="G486" s="14" t="s">
        <v>20</v>
      </c>
      <c r="H486" s="14"/>
      <c r="I486" s="14">
        <v>201405</v>
      </c>
      <c r="J486" s="15">
        <v>-4834.6099999999997</v>
      </c>
      <c r="K486" s="21">
        <f t="shared" si="47"/>
        <v>42675</v>
      </c>
      <c r="L486" s="16">
        <f t="shared" si="42"/>
        <v>6</v>
      </c>
      <c r="M486" s="17">
        <v>1.4833299999999999E-3</v>
      </c>
      <c r="N486" s="18">
        <f t="shared" si="43"/>
        <v>-43.0279323078</v>
      </c>
      <c r="O486" s="15"/>
      <c r="P486" s="20">
        <f t="shared" si="44"/>
        <v>0</v>
      </c>
      <c r="Q486" s="15"/>
      <c r="R486" s="20">
        <f t="shared" si="45"/>
        <v>0</v>
      </c>
      <c r="S486" s="130"/>
      <c r="T486" s="20">
        <f t="shared" si="46"/>
        <v>-68.436926181249987</v>
      </c>
    </row>
    <row r="487" spans="1:20">
      <c r="A487" s="13" t="s">
        <v>21</v>
      </c>
      <c r="B487" s="14" t="s">
        <v>446</v>
      </c>
      <c r="C487" s="14" t="s">
        <v>447</v>
      </c>
      <c r="D487" s="13" t="s">
        <v>448</v>
      </c>
      <c r="E487" s="14" t="s">
        <v>63</v>
      </c>
      <c r="F487" s="13" t="s">
        <v>19</v>
      </c>
      <c r="G487" s="14" t="s">
        <v>20</v>
      </c>
      <c r="H487" s="14"/>
      <c r="I487" s="14">
        <v>201405</v>
      </c>
      <c r="J487" s="15">
        <v>-3969.83</v>
      </c>
      <c r="K487" s="21">
        <f t="shared" si="47"/>
        <v>42675</v>
      </c>
      <c r="L487" s="16">
        <f t="shared" si="42"/>
        <v>6</v>
      </c>
      <c r="M487" s="17">
        <v>1.4833299999999999E-3</v>
      </c>
      <c r="N487" s="18">
        <f t="shared" si="43"/>
        <v>-35.331407603400002</v>
      </c>
      <c r="O487" s="15"/>
      <c r="P487" s="20">
        <f t="shared" si="44"/>
        <v>0</v>
      </c>
      <c r="Q487" s="15"/>
      <c r="R487" s="20">
        <f t="shared" si="45"/>
        <v>0</v>
      </c>
      <c r="S487" s="130"/>
      <c r="T487" s="20">
        <f t="shared" si="46"/>
        <v>-56.195424793749993</v>
      </c>
    </row>
    <row r="488" spans="1:20">
      <c r="A488" s="13" t="s">
        <v>21</v>
      </c>
      <c r="B488" s="14" t="s">
        <v>580</v>
      </c>
      <c r="C488" s="14" t="s">
        <v>581</v>
      </c>
      <c r="D488" s="13" t="s">
        <v>582</v>
      </c>
      <c r="E488" s="14" t="s">
        <v>79</v>
      </c>
      <c r="F488" s="13" t="s">
        <v>26</v>
      </c>
      <c r="G488" s="14" t="s">
        <v>20</v>
      </c>
      <c r="H488" s="14"/>
      <c r="I488" s="14">
        <v>201405</v>
      </c>
      <c r="J488" s="15">
        <v>-4653.4799999999996</v>
      </c>
      <c r="K488" s="21">
        <f t="shared" si="47"/>
        <v>42675</v>
      </c>
      <c r="L488" s="16">
        <f t="shared" si="42"/>
        <v>6</v>
      </c>
      <c r="M488" s="17">
        <v>1.4833299999999999E-3</v>
      </c>
      <c r="N488" s="18">
        <f t="shared" si="43"/>
        <v>-41.415878930399998</v>
      </c>
      <c r="O488" s="15"/>
      <c r="P488" s="20">
        <f t="shared" si="44"/>
        <v>0</v>
      </c>
      <c r="Q488" s="15"/>
      <c r="R488" s="20">
        <f t="shared" si="45"/>
        <v>0</v>
      </c>
      <c r="S488" s="130"/>
      <c r="T488" s="20">
        <f t="shared" si="46"/>
        <v>-65.872917825000002</v>
      </c>
    </row>
    <row r="489" spans="1:20">
      <c r="A489" s="13" t="s">
        <v>21</v>
      </c>
      <c r="B489" s="14" t="s">
        <v>583</v>
      </c>
      <c r="C489" s="14" t="s">
        <v>584</v>
      </c>
      <c r="D489" s="13" t="s">
        <v>585</v>
      </c>
      <c r="E489" s="14" t="s">
        <v>75</v>
      </c>
      <c r="F489" s="13" t="s">
        <v>26</v>
      </c>
      <c r="G489" s="14" t="s">
        <v>20</v>
      </c>
      <c r="H489" s="14"/>
      <c r="I489" s="14">
        <v>201405</v>
      </c>
      <c r="J489" s="15">
        <v>-10436.39</v>
      </c>
      <c r="K489" s="21">
        <f t="shared" si="47"/>
        <v>42675</v>
      </c>
      <c r="L489" s="16">
        <f t="shared" si="42"/>
        <v>6</v>
      </c>
      <c r="M489" s="17">
        <v>1.4833299999999999E-3</v>
      </c>
      <c r="N489" s="18">
        <f t="shared" si="43"/>
        <v>-92.883662272199999</v>
      </c>
      <c r="O489" s="15"/>
      <c r="P489" s="20">
        <f t="shared" si="44"/>
        <v>0</v>
      </c>
      <c r="Q489" s="15"/>
      <c r="R489" s="20">
        <f t="shared" si="45"/>
        <v>0</v>
      </c>
      <c r="S489" s="130"/>
      <c r="T489" s="20">
        <f t="shared" si="46"/>
        <v>-147.73362319374999</v>
      </c>
    </row>
    <row r="490" spans="1:20">
      <c r="A490" s="13" t="s">
        <v>21</v>
      </c>
      <c r="B490" s="14" t="s">
        <v>586</v>
      </c>
      <c r="C490" s="14" t="s">
        <v>587</v>
      </c>
      <c r="D490" s="13" t="s">
        <v>588</v>
      </c>
      <c r="E490" s="14" t="s">
        <v>75</v>
      </c>
      <c r="F490" s="13" t="s">
        <v>26</v>
      </c>
      <c r="G490" s="14" t="s">
        <v>20</v>
      </c>
      <c r="H490" s="14"/>
      <c r="I490" s="14">
        <v>201405</v>
      </c>
      <c r="J490" s="15">
        <v>5247.49</v>
      </c>
      <c r="K490" s="21">
        <f t="shared" si="47"/>
        <v>42675</v>
      </c>
      <c r="L490" s="16">
        <f t="shared" si="42"/>
        <v>6</v>
      </c>
      <c r="M490" s="17">
        <v>1.4833299999999999E-3</v>
      </c>
      <c r="N490" s="18">
        <f t="shared" si="43"/>
        <v>46.702556050199995</v>
      </c>
      <c r="O490" s="15"/>
      <c r="P490" s="20">
        <f t="shared" si="44"/>
        <v>0</v>
      </c>
      <c r="Q490" s="15"/>
      <c r="R490" s="20">
        <f t="shared" si="45"/>
        <v>0</v>
      </c>
      <c r="S490" s="130"/>
      <c r="T490" s="20">
        <f t="shared" si="46"/>
        <v>74.281500631249997</v>
      </c>
    </row>
    <row r="491" spans="1:20">
      <c r="A491" s="13" t="s">
        <v>21</v>
      </c>
      <c r="B491" s="14" t="s">
        <v>174</v>
      </c>
      <c r="C491" s="14" t="s">
        <v>175</v>
      </c>
      <c r="D491" s="13" t="s">
        <v>176</v>
      </c>
      <c r="E491" s="14" t="s">
        <v>93</v>
      </c>
      <c r="F491" s="13" t="s">
        <v>88</v>
      </c>
      <c r="G491" s="14" t="s">
        <v>20</v>
      </c>
      <c r="H491" s="14"/>
      <c r="I491" s="14">
        <v>201405</v>
      </c>
      <c r="J491" s="15">
        <v>-10039.82</v>
      </c>
      <c r="K491" s="21">
        <f t="shared" si="47"/>
        <v>42675</v>
      </c>
      <c r="L491" s="16">
        <f t="shared" si="42"/>
        <v>6</v>
      </c>
      <c r="M491" s="17">
        <v>1.4833299999999999E-3</v>
      </c>
      <c r="N491" s="18">
        <f t="shared" si="43"/>
        <v>-89.354197203599995</v>
      </c>
      <c r="O491" s="15"/>
      <c r="P491" s="20">
        <f t="shared" si="44"/>
        <v>0</v>
      </c>
      <c r="Q491" s="15"/>
      <c r="R491" s="20">
        <f t="shared" si="45"/>
        <v>0</v>
      </c>
      <c r="S491" s="130"/>
      <c r="T491" s="20">
        <f t="shared" si="46"/>
        <v>-142.11992698749998</v>
      </c>
    </row>
    <row r="492" spans="1:20">
      <c r="A492" s="13" t="s">
        <v>21</v>
      </c>
      <c r="B492" s="14" t="s">
        <v>177</v>
      </c>
      <c r="C492" s="14" t="s">
        <v>178</v>
      </c>
      <c r="D492" s="13" t="s">
        <v>179</v>
      </c>
      <c r="E492" s="14" t="s">
        <v>172</v>
      </c>
      <c r="F492" s="13" t="s">
        <v>173</v>
      </c>
      <c r="G492" s="14" t="s">
        <v>20</v>
      </c>
      <c r="H492" s="14"/>
      <c r="I492" s="14">
        <v>201405</v>
      </c>
      <c r="J492" s="15">
        <v>-1116.79</v>
      </c>
      <c r="K492" s="21">
        <f t="shared" si="47"/>
        <v>42675</v>
      </c>
      <c r="L492" s="16">
        <f t="shared" si="42"/>
        <v>6</v>
      </c>
      <c r="M492" s="17">
        <v>1.4833299999999999E-3</v>
      </c>
      <c r="N492" s="18">
        <f t="shared" si="43"/>
        <v>-9.9394086642000001</v>
      </c>
      <c r="O492" s="15"/>
      <c r="P492" s="20">
        <f t="shared" si="44"/>
        <v>0</v>
      </c>
      <c r="Q492" s="15"/>
      <c r="R492" s="20">
        <f t="shared" si="45"/>
        <v>0</v>
      </c>
      <c r="S492" s="130"/>
      <c r="T492" s="20">
        <f t="shared" si="46"/>
        <v>-15.808860443749998</v>
      </c>
    </row>
    <row r="493" spans="1:20">
      <c r="A493" s="13" t="s">
        <v>21</v>
      </c>
      <c r="B493" s="14" t="s">
        <v>589</v>
      </c>
      <c r="C493" s="14" t="s">
        <v>590</v>
      </c>
      <c r="D493" s="13" t="s">
        <v>591</v>
      </c>
      <c r="E493" s="14" t="s">
        <v>63</v>
      </c>
      <c r="F493" s="13" t="s">
        <v>19</v>
      </c>
      <c r="G493" s="14" t="s">
        <v>20</v>
      </c>
      <c r="H493" s="14"/>
      <c r="I493" s="14">
        <v>201405</v>
      </c>
      <c r="J493" s="15">
        <v>-2144.5500000000002</v>
      </c>
      <c r="K493" s="21">
        <f t="shared" si="47"/>
        <v>42675</v>
      </c>
      <c r="L493" s="16">
        <f t="shared" si="42"/>
        <v>6</v>
      </c>
      <c r="M493" s="17">
        <v>1.4833299999999999E-3</v>
      </c>
      <c r="N493" s="18">
        <f t="shared" si="43"/>
        <v>-19.086452109000003</v>
      </c>
      <c r="O493" s="15"/>
      <c r="P493" s="20">
        <f t="shared" si="44"/>
        <v>0</v>
      </c>
      <c r="Q493" s="15"/>
      <c r="R493" s="20">
        <f t="shared" si="45"/>
        <v>0</v>
      </c>
      <c r="S493" s="130"/>
      <c r="T493" s="20">
        <f t="shared" si="46"/>
        <v>-30.357445593749997</v>
      </c>
    </row>
    <row r="494" spans="1:20">
      <c r="A494" s="13" t="s">
        <v>21</v>
      </c>
      <c r="B494" s="14" t="s">
        <v>180</v>
      </c>
      <c r="C494" s="14" t="s">
        <v>181</v>
      </c>
      <c r="D494" s="13" t="s">
        <v>182</v>
      </c>
      <c r="E494" s="14" t="s">
        <v>75</v>
      </c>
      <c r="F494" s="13" t="s">
        <v>26</v>
      </c>
      <c r="G494" s="14" t="s">
        <v>20</v>
      </c>
      <c r="H494" s="14"/>
      <c r="I494" s="14">
        <v>201405</v>
      </c>
      <c r="J494" s="15">
        <v>-7223.94</v>
      </c>
      <c r="K494" s="21">
        <f t="shared" si="47"/>
        <v>42675</v>
      </c>
      <c r="L494" s="16">
        <f t="shared" si="42"/>
        <v>6</v>
      </c>
      <c r="M494" s="17">
        <v>1.4833299999999999E-3</v>
      </c>
      <c r="N494" s="18">
        <f t="shared" si="43"/>
        <v>-64.2929215212</v>
      </c>
      <c r="O494" s="15"/>
      <c r="P494" s="20">
        <f t="shared" si="44"/>
        <v>0</v>
      </c>
      <c r="Q494" s="15"/>
      <c r="R494" s="20">
        <f t="shared" si="45"/>
        <v>0</v>
      </c>
      <c r="S494" s="130"/>
      <c r="T494" s="20">
        <f t="shared" si="46"/>
        <v>-102.25938566249999</v>
      </c>
    </row>
    <row r="495" spans="1:20">
      <c r="A495" s="13" t="s">
        <v>127</v>
      </c>
      <c r="B495" s="14" t="s">
        <v>388</v>
      </c>
      <c r="C495" s="14" t="s">
        <v>389</v>
      </c>
      <c r="D495" s="13" t="s">
        <v>390</v>
      </c>
      <c r="E495" s="14" t="s">
        <v>131</v>
      </c>
      <c r="F495" s="13" t="s">
        <v>132</v>
      </c>
      <c r="G495" s="14" t="s">
        <v>20</v>
      </c>
      <c r="H495" s="14"/>
      <c r="I495" s="14">
        <v>201405</v>
      </c>
      <c r="J495" s="15">
        <v>-12571.01</v>
      </c>
      <c r="K495" s="21">
        <f t="shared" si="47"/>
        <v>42675</v>
      </c>
      <c r="L495" s="16">
        <f t="shared" si="42"/>
        <v>6</v>
      </c>
      <c r="M495" s="17">
        <v>2.3833299999999999E-3</v>
      </c>
      <c r="N495" s="18">
        <f t="shared" si="43"/>
        <v>-179.76519157980002</v>
      </c>
      <c r="O495" s="15"/>
      <c r="P495" s="20">
        <f t="shared" si="44"/>
        <v>0</v>
      </c>
      <c r="Q495" s="15"/>
      <c r="R495" s="20">
        <f t="shared" si="45"/>
        <v>0</v>
      </c>
      <c r="S495" s="130"/>
      <c r="T495" s="20">
        <f t="shared" si="46"/>
        <v>-177.95050343124998</v>
      </c>
    </row>
    <row r="496" spans="1:20">
      <c r="A496" s="13" t="s">
        <v>21</v>
      </c>
      <c r="B496" s="14" t="s">
        <v>592</v>
      </c>
      <c r="C496" s="14" t="s">
        <v>593</v>
      </c>
      <c r="D496" s="13" t="s">
        <v>594</v>
      </c>
      <c r="E496" s="14" t="s">
        <v>156</v>
      </c>
      <c r="F496" s="13" t="s">
        <v>26</v>
      </c>
      <c r="G496" s="14" t="s">
        <v>20</v>
      </c>
      <c r="H496" s="14"/>
      <c r="I496" s="14">
        <v>201405</v>
      </c>
      <c r="J496" s="15">
        <v>-3231.12</v>
      </c>
      <c r="K496" s="21">
        <f t="shared" si="47"/>
        <v>42675</v>
      </c>
      <c r="L496" s="16">
        <f t="shared" si="42"/>
        <v>6</v>
      </c>
      <c r="M496" s="17">
        <v>1.4833299999999999E-3</v>
      </c>
      <c r="N496" s="18">
        <f t="shared" si="43"/>
        <v>-28.7569033776</v>
      </c>
      <c r="O496" s="15"/>
      <c r="P496" s="20">
        <f t="shared" si="44"/>
        <v>0</v>
      </c>
      <c r="Q496" s="15"/>
      <c r="R496" s="20">
        <f t="shared" si="45"/>
        <v>0</v>
      </c>
      <c r="S496" s="130"/>
      <c r="T496" s="20">
        <f t="shared" si="46"/>
        <v>-45.738523049999998</v>
      </c>
    </row>
    <row r="497" spans="1:20">
      <c r="A497" s="23" t="s">
        <v>29</v>
      </c>
      <c r="B497" s="14" t="s">
        <v>183</v>
      </c>
      <c r="C497" s="14" t="s">
        <v>184</v>
      </c>
      <c r="D497" s="13" t="s">
        <v>45</v>
      </c>
      <c r="E497" s="14" t="s">
        <v>185</v>
      </c>
      <c r="F497" s="13" t="s">
        <v>41</v>
      </c>
      <c r="G497" s="14" t="s">
        <v>20</v>
      </c>
      <c r="H497" s="14"/>
      <c r="I497" s="14">
        <v>201405</v>
      </c>
      <c r="J497" s="15">
        <v>88820.54</v>
      </c>
      <c r="K497" s="21">
        <f t="shared" si="47"/>
        <v>42675</v>
      </c>
      <c r="L497" s="16">
        <f t="shared" si="42"/>
        <v>6</v>
      </c>
      <c r="M497" s="17">
        <v>2.23333E-3</v>
      </c>
      <c r="N497" s="18">
        <f t="shared" si="43"/>
        <v>1190.1934595891998</v>
      </c>
      <c r="O497" s="15"/>
      <c r="P497" s="20">
        <f t="shared" si="44"/>
        <v>0</v>
      </c>
      <c r="Q497" s="15"/>
      <c r="R497" s="20">
        <f t="shared" si="45"/>
        <v>0</v>
      </c>
      <c r="S497" s="130"/>
      <c r="T497" s="20">
        <f t="shared" si="46"/>
        <v>1257.3102565374998</v>
      </c>
    </row>
    <row r="498" spans="1:20">
      <c r="A498" s="23" t="s">
        <v>29</v>
      </c>
      <c r="B498" s="14" t="s">
        <v>186</v>
      </c>
      <c r="C498" s="14" t="s">
        <v>187</v>
      </c>
      <c r="D498" s="13" t="s">
        <v>188</v>
      </c>
      <c r="E498" s="14" t="s">
        <v>189</v>
      </c>
      <c r="F498" s="13" t="s">
        <v>190</v>
      </c>
      <c r="G498" s="14" t="s">
        <v>20</v>
      </c>
      <c r="H498" s="14"/>
      <c r="I498" s="14">
        <v>201405</v>
      </c>
      <c r="J498" s="15">
        <v>-2476.87</v>
      </c>
      <c r="K498" s="21">
        <f t="shared" si="47"/>
        <v>42675</v>
      </c>
      <c r="L498" s="16">
        <f t="shared" si="42"/>
        <v>6</v>
      </c>
      <c r="M498" s="17">
        <v>2.23333E-3</v>
      </c>
      <c r="N498" s="18">
        <f t="shared" si="43"/>
        <v>-33.190008462599998</v>
      </c>
      <c r="O498" s="15"/>
      <c r="P498" s="20">
        <f t="shared" si="44"/>
        <v>0</v>
      </c>
      <c r="Q498" s="15"/>
      <c r="R498" s="20">
        <f t="shared" si="45"/>
        <v>0</v>
      </c>
      <c r="S498" s="130"/>
      <c r="T498" s="20">
        <f t="shared" si="46"/>
        <v>-35.061642893749998</v>
      </c>
    </row>
    <row r="499" spans="1:20">
      <c r="A499" s="23" t="s">
        <v>29</v>
      </c>
      <c r="B499" s="14" t="s">
        <v>191</v>
      </c>
      <c r="C499" s="14" t="s">
        <v>192</v>
      </c>
      <c r="D499" s="13" t="s">
        <v>193</v>
      </c>
      <c r="E499" s="14" t="s">
        <v>194</v>
      </c>
      <c r="F499" s="13" t="s">
        <v>115</v>
      </c>
      <c r="G499" s="14" t="s">
        <v>20</v>
      </c>
      <c r="H499" s="14"/>
      <c r="I499" s="14">
        <v>201405</v>
      </c>
      <c r="J499" s="15">
        <v>71529.350000000006</v>
      </c>
      <c r="K499" s="21">
        <f t="shared" si="47"/>
        <v>42675</v>
      </c>
      <c r="L499" s="16">
        <f t="shared" si="42"/>
        <v>6</v>
      </c>
      <c r="M499" s="17">
        <v>2.23333E-3</v>
      </c>
      <c r="N499" s="18">
        <f t="shared" si="43"/>
        <v>958.49185941300004</v>
      </c>
      <c r="O499" s="15"/>
      <c r="P499" s="20">
        <f t="shared" si="44"/>
        <v>0</v>
      </c>
      <c r="Q499" s="15"/>
      <c r="R499" s="20">
        <f t="shared" si="45"/>
        <v>0</v>
      </c>
      <c r="S499" s="130"/>
      <c r="T499" s="20">
        <f t="shared" si="46"/>
        <v>1012.5426550937501</v>
      </c>
    </row>
    <row r="500" spans="1:20">
      <c r="A500" s="23" t="s">
        <v>29</v>
      </c>
      <c r="B500" s="14" t="s">
        <v>200</v>
      </c>
      <c r="C500" s="14" t="s">
        <v>201</v>
      </c>
      <c r="D500" s="13" t="s">
        <v>197</v>
      </c>
      <c r="E500" s="14" t="s">
        <v>202</v>
      </c>
      <c r="F500" s="13" t="s">
        <v>199</v>
      </c>
      <c r="G500" s="14" t="s">
        <v>20</v>
      </c>
      <c r="H500" s="14"/>
      <c r="I500" s="14">
        <v>201405</v>
      </c>
      <c r="J500" s="15">
        <v>-80070.48</v>
      </c>
      <c r="K500" s="21">
        <f t="shared" si="47"/>
        <v>42675</v>
      </c>
      <c r="L500" s="16">
        <f t="shared" si="42"/>
        <v>6</v>
      </c>
      <c r="M500" s="17">
        <v>2.23333E-3</v>
      </c>
      <c r="N500" s="18">
        <f t="shared" si="43"/>
        <v>-1072.9428305903998</v>
      </c>
      <c r="O500" s="15"/>
      <c r="P500" s="20">
        <f t="shared" si="44"/>
        <v>0</v>
      </c>
      <c r="Q500" s="15"/>
      <c r="R500" s="20">
        <f t="shared" si="45"/>
        <v>0</v>
      </c>
      <c r="S500" s="130"/>
      <c r="T500" s="20">
        <f t="shared" si="46"/>
        <v>-1133.44768845</v>
      </c>
    </row>
    <row r="501" spans="1:20">
      <c r="A501" s="13" t="s">
        <v>21</v>
      </c>
      <c r="B501" s="14" t="s">
        <v>449</v>
      </c>
      <c r="C501" s="14" t="s">
        <v>450</v>
      </c>
      <c r="D501" s="13" t="s">
        <v>451</v>
      </c>
      <c r="E501" s="14" t="s">
        <v>452</v>
      </c>
      <c r="F501" s="13" t="s">
        <v>398</v>
      </c>
      <c r="G501" s="14" t="s">
        <v>20</v>
      </c>
      <c r="H501" s="14"/>
      <c r="I501" s="14">
        <v>201405</v>
      </c>
      <c r="J501" s="15">
        <v>865.38</v>
      </c>
      <c r="K501" s="21">
        <f t="shared" si="47"/>
        <v>42675</v>
      </c>
      <c r="L501" s="16">
        <f t="shared" si="42"/>
        <v>6</v>
      </c>
      <c r="M501" s="17">
        <v>1.4833299999999999E-3</v>
      </c>
      <c r="N501" s="18">
        <f t="shared" si="43"/>
        <v>7.7018646924</v>
      </c>
      <c r="O501" s="15"/>
      <c r="P501" s="20">
        <f t="shared" si="44"/>
        <v>0</v>
      </c>
      <c r="Q501" s="15"/>
      <c r="R501" s="20">
        <f t="shared" si="45"/>
        <v>0</v>
      </c>
      <c r="S501" s="130"/>
      <c r="T501" s="20">
        <f t="shared" si="46"/>
        <v>12.249994762499998</v>
      </c>
    </row>
    <row r="502" spans="1:20">
      <c r="A502" s="13" t="s">
        <v>21</v>
      </c>
      <c r="B502" s="14" t="s">
        <v>595</v>
      </c>
      <c r="C502" s="14" t="s">
        <v>596</v>
      </c>
      <c r="D502" s="13" t="s">
        <v>597</v>
      </c>
      <c r="E502" s="14" t="s">
        <v>531</v>
      </c>
      <c r="F502" s="13" t="s">
        <v>26</v>
      </c>
      <c r="G502" s="14" t="s">
        <v>20</v>
      </c>
      <c r="H502" s="14"/>
      <c r="I502" s="14">
        <v>201405</v>
      </c>
      <c r="J502" s="15">
        <v>-17.62</v>
      </c>
      <c r="K502" s="21">
        <f t="shared" si="47"/>
        <v>42675</v>
      </c>
      <c r="L502" s="16">
        <f t="shared" si="42"/>
        <v>6</v>
      </c>
      <c r="M502" s="17">
        <v>1.4833299999999999E-3</v>
      </c>
      <c r="N502" s="18">
        <f t="shared" si="43"/>
        <v>-0.1568176476</v>
      </c>
      <c r="O502" s="15"/>
      <c r="P502" s="20">
        <f t="shared" si="44"/>
        <v>0</v>
      </c>
      <c r="Q502" s="15"/>
      <c r="R502" s="20">
        <f t="shared" si="45"/>
        <v>0</v>
      </c>
      <c r="S502" s="130"/>
      <c r="T502" s="20">
        <f t="shared" si="46"/>
        <v>-0.24942211249999999</v>
      </c>
    </row>
    <row r="503" spans="1:20">
      <c r="A503" s="13" t="s">
        <v>127</v>
      </c>
      <c r="B503" s="14" t="s">
        <v>598</v>
      </c>
      <c r="C503" s="14" t="s">
        <v>599</v>
      </c>
      <c r="D503" s="13" t="s">
        <v>600</v>
      </c>
      <c r="E503" s="14" t="s">
        <v>131</v>
      </c>
      <c r="F503" s="13" t="s">
        <v>132</v>
      </c>
      <c r="G503" s="14" t="s">
        <v>20</v>
      </c>
      <c r="H503" s="14"/>
      <c r="I503" s="14">
        <v>201405</v>
      </c>
      <c r="J503" s="15">
        <v>-2688.88</v>
      </c>
      <c r="K503" s="21">
        <f t="shared" si="47"/>
        <v>42675</v>
      </c>
      <c r="L503" s="16">
        <f t="shared" si="42"/>
        <v>6</v>
      </c>
      <c r="M503" s="17">
        <v>2.3833299999999999E-3</v>
      </c>
      <c r="N503" s="18">
        <f t="shared" si="43"/>
        <v>-38.450930222400004</v>
      </c>
      <c r="O503" s="15"/>
      <c r="P503" s="20">
        <f t="shared" si="44"/>
        <v>0</v>
      </c>
      <c r="Q503" s="15"/>
      <c r="R503" s="20">
        <f t="shared" si="45"/>
        <v>0</v>
      </c>
      <c r="S503" s="130"/>
      <c r="T503" s="20">
        <f t="shared" si="46"/>
        <v>-38.06277695</v>
      </c>
    </row>
    <row r="504" spans="1:20">
      <c r="A504" s="13" t="s">
        <v>21</v>
      </c>
      <c r="B504" s="14" t="s">
        <v>601</v>
      </c>
      <c r="C504" s="14" t="s">
        <v>602</v>
      </c>
      <c r="D504" s="13" t="s">
        <v>603</v>
      </c>
      <c r="E504" s="14" t="s">
        <v>497</v>
      </c>
      <c r="F504" s="13" t="s">
        <v>26</v>
      </c>
      <c r="G504" s="14" t="s">
        <v>20</v>
      </c>
      <c r="H504" s="14"/>
      <c r="I504" s="14">
        <v>201405</v>
      </c>
      <c r="J504" s="15">
        <v>-2672.93</v>
      </c>
      <c r="K504" s="21">
        <f t="shared" si="47"/>
        <v>42675</v>
      </c>
      <c r="L504" s="16">
        <f t="shared" si="42"/>
        <v>6</v>
      </c>
      <c r="M504" s="17">
        <v>1.4833299999999999E-3</v>
      </c>
      <c r="N504" s="18">
        <f t="shared" si="43"/>
        <v>-23.789023541399999</v>
      </c>
      <c r="O504" s="15"/>
      <c r="P504" s="20">
        <f t="shared" si="44"/>
        <v>0</v>
      </c>
      <c r="Q504" s="15"/>
      <c r="R504" s="20">
        <f t="shared" si="45"/>
        <v>0</v>
      </c>
      <c r="S504" s="130"/>
      <c r="T504" s="20">
        <f t="shared" si="46"/>
        <v>-37.836994731249995</v>
      </c>
    </row>
    <row r="505" spans="1:20">
      <c r="A505" s="13" t="s">
        <v>21</v>
      </c>
      <c r="B505" s="14" t="s">
        <v>203</v>
      </c>
      <c r="C505" s="14" t="s">
        <v>204</v>
      </c>
      <c r="D505" s="13" t="s">
        <v>205</v>
      </c>
      <c r="E505" s="14" t="s">
        <v>93</v>
      </c>
      <c r="F505" s="13" t="s">
        <v>88</v>
      </c>
      <c r="G505" s="14" t="s">
        <v>20</v>
      </c>
      <c r="H505" s="14"/>
      <c r="I505" s="14">
        <v>201405</v>
      </c>
      <c r="J505" s="15">
        <v>-816.81</v>
      </c>
      <c r="K505" s="21">
        <f t="shared" si="47"/>
        <v>42675</v>
      </c>
      <c r="L505" s="16">
        <f t="shared" si="42"/>
        <v>6</v>
      </c>
      <c r="M505" s="17">
        <v>1.4833299999999999E-3</v>
      </c>
      <c r="N505" s="18">
        <f t="shared" si="43"/>
        <v>-7.2695926637999992</v>
      </c>
      <c r="O505" s="15"/>
      <c r="P505" s="20">
        <f t="shared" si="44"/>
        <v>0</v>
      </c>
      <c r="Q505" s="15"/>
      <c r="R505" s="20">
        <f t="shared" si="45"/>
        <v>0</v>
      </c>
      <c r="S505" s="130"/>
      <c r="T505" s="20">
        <f t="shared" si="46"/>
        <v>-11.562456056249999</v>
      </c>
    </row>
    <row r="506" spans="1:20">
      <c r="A506" s="13" t="s">
        <v>21</v>
      </c>
      <c r="B506" s="14" t="s">
        <v>453</v>
      </c>
      <c r="C506" s="14" t="s">
        <v>454</v>
      </c>
      <c r="D506" s="13" t="s">
        <v>455</v>
      </c>
      <c r="E506" s="14" t="s">
        <v>75</v>
      </c>
      <c r="F506" s="13" t="s">
        <v>26</v>
      </c>
      <c r="G506" s="14" t="s">
        <v>20</v>
      </c>
      <c r="H506" s="14"/>
      <c r="I506" s="14">
        <v>201405</v>
      </c>
      <c r="J506" s="15">
        <v>-3758.66</v>
      </c>
      <c r="K506" s="21">
        <f t="shared" si="47"/>
        <v>42675</v>
      </c>
      <c r="L506" s="16">
        <f t="shared" si="42"/>
        <v>6</v>
      </c>
      <c r="M506" s="17">
        <v>1.4833299999999999E-3</v>
      </c>
      <c r="N506" s="18">
        <f t="shared" si="43"/>
        <v>-33.451998826800001</v>
      </c>
      <c r="O506" s="15"/>
      <c r="P506" s="20">
        <f t="shared" si="44"/>
        <v>0</v>
      </c>
      <c r="Q506" s="15"/>
      <c r="R506" s="20">
        <f t="shared" si="45"/>
        <v>0</v>
      </c>
      <c r="S506" s="130"/>
      <c r="T506" s="20">
        <f t="shared" si="46"/>
        <v>-53.206181462499991</v>
      </c>
    </row>
    <row r="507" spans="1:20">
      <c r="A507" s="13" t="s">
        <v>21</v>
      </c>
      <c r="B507" s="14" t="s">
        <v>206</v>
      </c>
      <c r="C507" s="14" t="s">
        <v>207</v>
      </c>
      <c r="D507" s="13" t="s">
        <v>208</v>
      </c>
      <c r="E507" s="14" t="s">
        <v>209</v>
      </c>
      <c r="F507" s="13" t="s">
        <v>88</v>
      </c>
      <c r="G507" s="14" t="s">
        <v>20</v>
      </c>
      <c r="H507" s="14"/>
      <c r="I507" s="14">
        <v>201405</v>
      </c>
      <c r="J507" s="15">
        <v>-7576.39</v>
      </c>
      <c r="K507" s="21">
        <f t="shared" si="47"/>
        <v>42675</v>
      </c>
      <c r="L507" s="16">
        <f t="shared" si="42"/>
        <v>6</v>
      </c>
      <c r="M507" s="17">
        <v>1.4833299999999999E-3</v>
      </c>
      <c r="N507" s="18">
        <f t="shared" si="43"/>
        <v>-67.429719472200006</v>
      </c>
      <c r="O507" s="15"/>
      <c r="P507" s="20">
        <f t="shared" si="44"/>
        <v>0</v>
      </c>
      <c r="Q507" s="15"/>
      <c r="R507" s="20">
        <f t="shared" si="45"/>
        <v>0</v>
      </c>
      <c r="S507" s="130"/>
      <c r="T507" s="20">
        <f t="shared" si="46"/>
        <v>-107.24853569375</v>
      </c>
    </row>
    <row r="508" spans="1:20">
      <c r="A508" s="13" t="s">
        <v>21</v>
      </c>
      <c r="B508" s="14" t="s">
        <v>456</v>
      </c>
      <c r="C508" s="14" t="s">
        <v>457</v>
      </c>
      <c r="D508" s="13" t="s">
        <v>458</v>
      </c>
      <c r="E508" s="14" t="s">
        <v>164</v>
      </c>
      <c r="F508" s="13" t="s">
        <v>165</v>
      </c>
      <c r="G508" s="14" t="s">
        <v>20</v>
      </c>
      <c r="H508" s="14"/>
      <c r="I508" s="14">
        <v>201405</v>
      </c>
      <c r="J508" s="15">
        <v>-11312.75</v>
      </c>
      <c r="K508" s="21">
        <f t="shared" si="47"/>
        <v>42675</v>
      </c>
      <c r="L508" s="16">
        <f t="shared" si="42"/>
        <v>6</v>
      </c>
      <c r="M508" s="17">
        <v>1.4833299999999999E-3</v>
      </c>
      <c r="N508" s="18">
        <f t="shared" si="43"/>
        <v>-100.683248745</v>
      </c>
      <c r="O508" s="15"/>
      <c r="P508" s="20">
        <f t="shared" si="44"/>
        <v>0</v>
      </c>
      <c r="Q508" s="15"/>
      <c r="R508" s="20">
        <f t="shared" si="45"/>
        <v>0</v>
      </c>
      <c r="S508" s="130"/>
      <c r="T508" s="20">
        <f t="shared" si="46"/>
        <v>-160.13904671875</v>
      </c>
    </row>
    <row r="509" spans="1:20">
      <c r="A509" s="13" t="s">
        <v>626</v>
      </c>
      <c r="B509" s="14" t="s">
        <v>700</v>
      </c>
      <c r="C509" s="14" t="s">
        <v>701</v>
      </c>
      <c r="D509" s="13" t="s">
        <v>702</v>
      </c>
      <c r="E509" s="14" t="s">
        <v>25</v>
      </c>
      <c r="F509" s="13" t="s">
        <v>26</v>
      </c>
      <c r="G509" s="14" t="s">
        <v>20</v>
      </c>
      <c r="H509" s="14"/>
      <c r="I509" s="14">
        <v>201405</v>
      </c>
      <c r="J509" s="15">
        <v>75664.539999999994</v>
      </c>
      <c r="K509" s="21">
        <f t="shared" si="47"/>
        <v>42675</v>
      </c>
      <c r="L509" s="16">
        <f t="shared" si="42"/>
        <v>6</v>
      </c>
      <c r="M509" s="17">
        <v>1.4833299999999999E-3</v>
      </c>
      <c r="N509" s="18">
        <f t="shared" si="43"/>
        <v>673.41289270919992</v>
      </c>
      <c r="O509" s="15"/>
      <c r="P509" s="20">
        <f t="shared" si="44"/>
        <v>0</v>
      </c>
      <c r="Q509" s="15"/>
      <c r="R509" s="20">
        <f t="shared" si="45"/>
        <v>0</v>
      </c>
      <c r="S509" s="130"/>
      <c r="T509" s="20">
        <f t="shared" si="46"/>
        <v>1071.0788540374999</v>
      </c>
    </row>
    <row r="510" spans="1:20">
      <c r="A510" s="13" t="s">
        <v>21</v>
      </c>
      <c r="B510" s="14" t="s">
        <v>210</v>
      </c>
      <c r="C510" s="14" t="s">
        <v>211</v>
      </c>
      <c r="D510" s="13" t="s">
        <v>212</v>
      </c>
      <c r="E510" s="14" t="s">
        <v>137</v>
      </c>
      <c r="F510" s="13" t="s">
        <v>138</v>
      </c>
      <c r="G510" s="14" t="s">
        <v>20</v>
      </c>
      <c r="H510" s="14"/>
      <c r="I510" s="14">
        <v>201405</v>
      </c>
      <c r="J510" s="15">
        <v>-1787.48</v>
      </c>
      <c r="K510" s="21">
        <f t="shared" si="47"/>
        <v>42675</v>
      </c>
      <c r="L510" s="16">
        <f t="shared" si="42"/>
        <v>6</v>
      </c>
      <c r="M510" s="17">
        <v>1.4833299999999999E-3</v>
      </c>
      <c r="N510" s="18">
        <f t="shared" si="43"/>
        <v>-15.908536250400001</v>
      </c>
      <c r="O510" s="15"/>
      <c r="P510" s="20">
        <f t="shared" si="44"/>
        <v>0</v>
      </c>
      <c r="Q510" s="15"/>
      <c r="R510" s="20">
        <f t="shared" si="45"/>
        <v>0</v>
      </c>
      <c r="S510" s="130"/>
      <c r="T510" s="20">
        <f t="shared" si="46"/>
        <v>-25.302896574999998</v>
      </c>
    </row>
    <row r="511" spans="1:20">
      <c r="A511" s="13" t="s">
        <v>21</v>
      </c>
      <c r="B511" s="14" t="s">
        <v>218</v>
      </c>
      <c r="C511" s="14" t="s">
        <v>219</v>
      </c>
      <c r="D511" s="13" t="s">
        <v>220</v>
      </c>
      <c r="E511" s="14" t="s">
        <v>209</v>
      </c>
      <c r="F511" s="13" t="s">
        <v>88</v>
      </c>
      <c r="G511" s="14" t="s">
        <v>20</v>
      </c>
      <c r="H511" s="14"/>
      <c r="I511" s="14">
        <v>201405</v>
      </c>
      <c r="J511" s="15">
        <v>-831.02</v>
      </c>
      <c r="K511" s="21">
        <f t="shared" si="47"/>
        <v>42675</v>
      </c>
      <c r="L511" s="16">
        <f t="shared" si="42"/>
        <v>6</v>
      </c>
      <c r="M511" s="17">
        <v>1.4833299999999999E-3</v>
      </c>
      <c r="N511" s="18">
        <f t="shared" si="43"/>
        <v>-7.3960613795999999</v>
      </c>
      <c r="O511" s="15"/>
      <c r="P511" s="20">
        <f t="shared" si="44"/>
        <v>0</v>
      </c>
      <c r="Q511" s="15"/>
      <c r="R511" s="20">
        <f t="shared" si="45"/>
        <v>0</v>
      </c>
      <c r="S511" s="130"/>
      <c r="T511" s="20">
        <f t="shared" si="46"/>
        <v>-11.763607487499998</v>
      </c>
    </row>
    <row r="512" spans="1:20">
      <c r="A512" s="13" t="s">
        <v>21</v>
      </c>
      <c r="B512" s="14" t="s">
        <v>221</v>
      </c>
      <c r="C512" s="14" t="s">
        <v>222</v>
      </c>
      <c r="D512" s="13" t="s">
        <v>223</v>
      </c>
      <c r="E512" s="14" t="s">
        <v>25</v>
      </c>
      <c r="F512" s="13" t="s">
        <v>26</v>
      </c>
      <c r="G512" s="14" t="s">
        <v>20</v>
      </c>
      <c r="H512" s="14"/>
      <c r="I512" s="14">
        <v>201405</v>
      </c>
      <c r="J512" s="15">
        <v>-4334.6899999999996</v>
      </c>
      <c r="K512" s="21">
        <f t="shared" si="47"/>
        <v>42675</v>
      </c>
      <c r="L512" s="16">
        <f t="shared" si="42"/>
        <v>6</v>
      </c>
      <c r="M512" s="17">
        <v>1.4833299999999999E-3</v>
      </c>
      <c r="N512" s="18">
        <f t="shared" si="43"/>
        <v>-38.578654306199994</v>
      </c>
      <c r="O512" s="15"/>
      <c r="P512" s="20">
        <f t="shared" si="44"/>
        <v>0</v>
      </c>
      <c r="Q512" s="15"/>
      <c r="R512" s="20">
        <f t="shared" si="45"/>
        <v>0</v>
      </c>
      <c r="S512" s="130"/>
      <c r="T512" s="20">
        <f t="shared" si="46"/>
        <v>-61.360246131249987</v>
      </c>
    </row>
    <row r="513" spans="1:20">
      <c r="A513" s="13" t="s">
        <v>21</v>
      </c>
      <c r="B513" s="14" t="s">
        <v>224</v>
      </c>
      <c r="C513" s="14" t="s">
        <v>225</v>
      </c>
      <c r="D513" s="13" t="s">
        <v>226</v>
      </c>
      <c r="E513" s="14" t="s">
        <v>142</v>
      </c>
      <c r="F513" s="13" t="s">
        <v>143</v>
      </c>
      <c r="G513" s="14" t="s">
        <v>20</v>
      </c>
      <c r="H513" s="14"/>
      <c r="I513" s="14">
        <v>201405</v>
      </c>
      <c r="J513" s="15">
        <v>-1105.58</v>
      </c>
      <c r="K513" s="21">
        <f t="shared" si="47"/>
        <v>42675</v>
      </c>
      <c r="L513" s="16">
        <f t="shared" si="42"/>
        <v>6</v>
      </c>
      <c r="M513" s="17">
        <v>1.4833299999999999E-3</v>
      </c>
      <c r="N513" s="18">
        <f t="shared" si="43"/>
        <v>-9.8396398883999989</v>
      </c>
      <c r="O513" s="15"/>
      <c r="P513" s="20">
        <f t="shared" si="44"/>
        <v>0</v>
      </c>
      <c r="Q513" s="15"/>
      <c r="R513" s="20">
        <f t="shared" si="45"/>
        <v>0</v>
      </c>
      <c r="S513" s="130"/>
      <c r="T513" s="20">
        <f t="shared" si="46"/>
        <v>-15.650175887499996</v>
      </c>
    </row>
    <row r="514" spans="1:20">
      <c r="A514" s="13" t="s">
        <v>21</v>
      </c>
      <c r="B514" s="14" t="s">
        <v>604</v>
      </c>
      <c r="C514" s="14" t="s">
        <v>605</v>
      </c>
      <c r="D514" s="13" t="s">
        <v>606</v>
      </c>
      <c r="E514" s="14" t="s">
        <v>360</v>
      </c>
      <c r="F514" s="13" t="s">
        <v>19</v>
      </c>
      <c r="G514" s="14" t="s">
        <v>20</v>
      </c>
      <c r="H514" s="14"/>
      <c r="I514" s="14">
        <v>201405</v>
      </c>
      <c r="J514" s="15">
        <v>-1525.21</v>
      </c>
      <c r="K514" s="21">
        <f t="shared" si="47"/>
        <v>42675</v>
      </c>
      <c r="L514" s="16">
        <f t="shared" si="42"/>
        <v>6</v>
      </c>
      <c r="M514" s="17">
        <v>1.4833299999999999E-3</v>
      </c>
      <c r="N514" s="18">
        <f t="shared" si="43"/>
        <v>-13.574338495800001</v>
      </c>
      <c r="O514" s="15"/>
      <c r="P514" s="20">
        <f t="shared" si="44"/>
        <v>0</v>
      </c>
      <c r="Q514" s="15"/>
      <c r="R514" s="20">
        <f t="shared" si="45"/>
        <v>0</v>
      </c>
      <c r="S514" s="130"/>
      <c r="T514" s="20">
        <f t="shared" si="46"/>
        <v>-21.590300806249999</v>
      </c>
    </row>
    <row r="515" spans="1:20">
      <c r="A515" s="13" t="s">
        <v>21</v>
      </c>
      <c r="B515" s="14" t="s">
        <v>607</v>
      </c>
      <c r="C515" s="14" t="s">
        <v>608</v>
      </c>
      <c r="D515" s="13" t="s">
        <v>609</v>
      </c>
      <c r="E515" s="14" t="s">
        <v>75</v>
      </c>
      <c r="F515" s="13" t="s">
        <v>26</v>
      </c>
      <c r="G515" s="14" t="s">
        <v>20</v>
      </c>
      <c r="H515" s="14"/>
      <c r="I515" s="14">
        <v>201405</v>
      </c>
      <c r="J515" s="15">
        <v>-13149.36</v>
      </c>
      <c r="K515" s="21">
        <f t="shared" si="47"/>
        <v>42675</v>
      </c>
      <c r="L515" s="16">
        <f t="shared" si="42"/>
        <v>6</v>
      </c>
      <c r="M515" s="17">
        <v>1.4833299999999999E-3</v>
      </c>
      <c r="N515" s="18">
        <f t="shared" si="43"/>
        <v>-117.02904101280001</v>
      </c>
      <c r="O515" s="15"/>
      <c r="P515" s="20">
        <f t="shared" si="44"/>
        <v>0</v>
      </c>
      <c r="Q515" s="15"/>
      <c r="R515" s="20">
        <f t="shared" si="45"/>
        <v>0</v>
      </c>
      <c r="S515" s="130"/>
      <c r="T515" s="20">
        <f t="shared" si="46"/>
        <v>-186.13740915</v>
      </c>
    </row>
    <row r="516" spans="1:20">
      <c r="A516" s="13" t="s">
        <v>21</v>
      </c>
      <c r="B516" s="14" t="s">
        <v>459</v>
      </c>
      <c r="C516" s="14" t="s">
        <v>460</v>
      </c>
      <c r="D516" s="13" t="s">
        <v>461</v>
      </c>
      <c r="E516" s="14" t="s">
        <v>160</v>
      </c>
      <c r="F516" s="13" t="s">
        <v>19</v>
      </c>
      <c r="G516" s="14" t="s">
        <v>20</v>
      </c>
      <c r="H516" s="14"/>
      <c r="I516" s="14">
        <v>201405</v>
      </c>
      <c r="J516" s="15">
        <v>-4353.18</v>
      </c>
      <c r="K516" s="21">
        <f t="shared" si="47"/>
        <v>42675</v>
      </c>
      <c r="L516" s="16">
        <f t="shared" si="42"/>
        <v>6</v>
      </c>
      <c r="M516" s="17">
        <v>1.4833299999999999E-3</v>
      </c>
      <c r="N516" s="18">
        <f t="shared" si="43"/>
        <v>-38.743214936400001</v>
      </c>
      <c r="O516" s="15"/>
      <c r="P516" s="20">
        <f t="shared" si="44"/>
        <v>0</v>
      </c>
      <c r="Q516" s="15"/>
      <c r="R516" s="20">
        <f t="shared" si="45"/>
        <v>0</v>
      </c>
      <c r="S516" s="130"/>
      <c r="T516" s="20">
        <f t="shared" si="46"/>
        <v>-61.621983637499994</v>
      </c>
    </row>
    <row r="517" spans="1:20">
      <c r="A517" s="13" t="s">
        <v>21</v>
      </c>
      <c r="B517" s="14" t="s">
        <v>462</v>
      </c>
      <c r="C517" s="14" t="s">
        <v>463</v>
      </c>
      <c r="D517" s="13" t="s">
        <v>464</v>
      </c>
      <c r="E517" s="14" t="s">
        <v>280</v>
      </c>
      <c r="F517" s="13" t="s">
        <v>26</v>
      </c>
      <c r="G517" s="14" t="s">
        <v>20</v>
      </c>
      <c r="H517" s="14"/>
      <c r="I517" s="14">
        <v>201405</v>
      </c>
      <c r="J517" s="15">
        <v>-6118.99</v>
      </c>
      <c r="K517" s="21">
        <f t="shared" si="47"/>
        <v>42675</v>
      </c>
      <c r="L517" s="16">
        <f t="shared" si="42"/>
        <v>6</v>
      </c>
      <c r="M517" s="17">
        <v>1.4833299999999999E-3</v>
      </c>
      <c r="N517" s="18">
        <f t="shared" si="43"/>
        <v>-54.4588886202</v>
      </c>
      <c r="O517" s="15"/>
      <c r="P517" s="20">
        <f t="shared" si="44"/>
        <v>0</v>
      </c>
      <c r="Q517" s="15"/>
      <c r="R517" s="20">
        <f t="shared" si="45"/>
        <v>0</v>
      </c>
      <c r="S517" s="130"/>
      <c r="T517" s="20">
        <f t="shared" si="46"/>
        <v>-86.618127818749983</v>
      </c>
    </row>
    <row r="518" spans="1:20">
      <c r="A518" s="13" t="s">
        <v>21</v>
      </c>
      <c r="B518" s="14" t="s">
        <v>465</v>
      </c>
      <c r="C518" s="14" t="s">
        <v>466</v>
      </c>
      <c r="D518" s="13" t="s">
        <v>467</v>
      </c>
      <c r="E518" s="14" t="s">
        <v>75</v>
      </c>
      <c r="F518" s="13" t="s">
        <v>26</v>
      </c>
      <c r="G518" s="14" t="s">
        <v>20</v>
      </c>
      <c r="H518" s="14"/>
      <c r="I518" s="14">
        <v>201405</v>
      </c>
      <c r="J518" s="15">
        <v>-399.33</v>
      </c>
      <c r="K518" s="21">
        <f t="shared" si="47"/>
        <v>42675</v>
      </c>
      <c r="L518" s="16">
        <f t="shared" ref="L518:L581" si="48">((YEAR($L$1)-YEAR(K518))*12+MONTH($L$1)-MONTH(K518))</f>
        <v>6</v>
      </c>
      <c r="M518" s="17">
        <v>1.4833299999999999E-3</v>
      </c>
      <c r="N518" s="18">
        <f t="shared" ref="N518:N581" si="49">M518*L518*J518</f>
        <v>-3.5540290133999997</v>
      </c>
      <c r="O518" s="15"/>
      <c r="P518" s="20">
        <f t="shared" ref="P518:P581" si="50">$P$4*(J518*0.5)*$V$10</f>
        <v>0</v>
      </c>
      <c r="Q518" s="15"/>
      <c r="R518" s="20">
        <f t="shared" ref="R518:R581" si="51">$R$4*(J518*0.5)*$V$9</f>
        <v>0</v>
      </c>
      <c r="S518" s="130"/>
      <c r="T518" s="20">
        <f t="shared" ref="T518:T581" si="52">$T$4*(J518*0.5)*$V$11</f>
        <v>-5.6527657312499988</v>
      </c>
    </row>
    <row r="519" spans="1:20">
      <c r="A519" s="13" t="s">
        <v>21</v>
      </c>
      <c r="B519" s="14" t="s">
        <v>391</v>
      </c>
      <c r="C519" s="14" t="s">
        <v>392</v>
      </c>
      <c r="D519" s="13" t="s">
        <v>393</v>
      </c>
      <c r="E519" s="14" t="s">
        <v>156</v>
      </c>
      <c r="F519" s="13" t="s">
        <v>26</v>
      </c>
      <c r="G519" s="14" t="s">
        <v>20</v>
      </c>
      <c r="H519" s="14"/>
      <c r="I519" s="14">
        <v>201405</v>
      </c>
      <c r="J519" s="15">
        <v>-2886.98</v>
      </c>
      <c r="K519" s="21">
        <f t="shared" ref="K519:K582" si="53">+K518</f>
        <v>42675</v>
      </c>
      <c r="L519" s="16">
        <f t="shared" si="48"/>
        <v>6</v>
      </c>
      <c r="M519" s="17">
        <v>1.4833299999999999E-3</v>
      </c>
      <c r="N519" s="18">
        <f t="shared" si="49"/>
        <v>-25.694064260400001</v>
      </c>
      <c r="O519" s="15"/>
      <c r="P519" s="20">
        <f t="shared" si="50"/>
        <v>0</v>
      </c>
      <c r="Q519" s="15"/>
      <c r="R519" s="20">
        <f t="shared" si="51"/>
        <v>0</v>
      </c>
      <c r="S519" s="130"/>
      <c r="T519" s="20">
        <f t="shared" si="52"/>
        <v>-40.867006262499999</v>
      </c>
    </row>
    <row r="520" spans="1:20">
      <c r="A520" s="13" t="s">
        <v>21</v>
      </c>
      <c r="B520" s="14" t="s">
        <v>468</v>
      </c>
      <c r="C520" s="14" t="s">
        <v>469</v>
      </c>
      <c r="D520" s="13" t="s">
        <v>470</v>
      </c>
      <c r="E520" s="14" t="s">
        <v>471</v>
      </c>
      <c r="F520" s="13" t="s">
        <v>165</v>
      </c>
      <c r="G520" s="14" t="s">
        <v>20</v>
      </c>
      <c r="H520" s="14"/>
      <c r="I520" s="14">
        <v>201405</v>
      </c>
      <c r="J520" s="15">
        <v>685.5</v>
      </c>
      <c r="K520" s="21">
        <f t="shared" si="53"/>
        <v>42675</v>
      </c>
      <c r="L520" s="16">
        <f t="shared" si="48"/>
        <v>6</v>
      </c>
      <c r="M520" s="17">
        <v>1.4833299999999999E-3</v>
      </c>
      <c r="N520" s="18">
        <f t="shared" si="49"/>
        <v>6.1009362899999999</v>
      </c>
      <c r="O520" s="15"/>
      <c r="P520" s="20">
        <f t="shared" si="50"/>
        <v>0</v>
      </c>
      <c r="Q520" s="15"/>
      <c r="R520" s="20">
        <f t="shared" si="51"/>
        <v>0</v>
      </c>
      <c r="S520" s="130"/>
      <c r="T520" s="20">
        <f t="shared" si="52"/>
        <v>9.7036809374999979</v>
      </c>
    </row>
    <row r="521" spans="1:20">
      <c r="A521" s="13" t="s">
        <v>21</v>
      </c>
      <c r="B521" s="14" t="s">
        <v>610</v>
      </c>
      <c r="C521" s="14" t="s">
        <v>611</v>
      </c>
      <c r="D521" s="13" t="s">
        <v>612</v>
      </c>
      <c r="E521" s="14" t="s">
        <v>613</v>
      </c>
      <c r="F521" s="13" t="s">
        <v>398</v>
      </c>
      <c r="G521" s="14" t="s">
        <v>20</v>
      </c>
      <c r="H521" s="14"/>
      <c r="I521" s="14">
        <v>201405</v>
      </c>
      <c r="J521" s="15">
        <v>-5751.79</v>
      </c>
      <c r="K521" s="21">
        <f t="shared" si="53"/>
        <v>42675</v>
      </c>
      <c r="L521" s="16">
        <f t="shared" si="48"/>
        <v>6</v>
      </c>
      <c r="M521" s="17">
        <v>1.4833299999999999E-3</v>
      </c>
      <c r="N521" s="18">
        <f t="shared" si="49"/>
        <v>-51.190815964199999</v>
      </c>
      <c r="O521" s="15"/>
      <c r="P521" s="20">
        <f t="shared" si="50"/>
        <v>0</v>
      </c>
      <c r="Q521" s="15"/>
      <c r="R521" s="20">
        <f t="shared" si="51"/>
        <v>0</v>
      </c>
      <c r="S521" s="130"/>
      <c r="T521" s="20">
        <f t="shared" si="52"/>
        <v>-81.420182318749994</v>
      </c>
    </row>
    <row r="522" spans="1:20">
      <c r="A522" s="13" t="s">
        <v>21</v>
      </c>
      <c r="B522" s="14" t="s">
        <v>614</v>
      </c>
      <c r="C522" s="14" t="s">
        <v>615</v>
      </c>
      <c r="D522" s="13" t="s">
        <v>616</v>
      </c>
      <c r="E522" s="14" t="s">
        <v>18</v>
      </c>
      <c r="F522" s="13" t="s">
        <v>19</v>
      </c>
      <c r="G522" s="14" t="s">
        <v>20</v>
      </c>
      <c r="H522" s="14"/>
      <c r="I522" s="14">
        <v>201405</v>
      </c>
      <c r="J522" s="15">
        <v>-1491.56</v>
      </c>
      <c r="K522" s="21">
        <f t="shared" si="53"/>
        <v>42675</v>
      </c>
      <c r="L522" s="16">
        <f t="shared" si="48"/>
        <v>6</v>
      </c>
      <c r="M522" s="17">
        <v>1.4833299999999999E-3</v>
      </c>
      <c r="N522" s="18">
        <f t="shared" si="49"/>
        <v>-13.274854168799999</v>
      </c>
      <c r="O522" s="15"/>
      <c r="P522" s="20">
        <f t="shared" si="50"/>
        <v>0</v>
      </c>
      <c r="Q522" s="15"/>
      <c r="R522" s="20">
        <f t="shared" si="51"/>
        <v>0</v>
      </c>
      <c r="S522" s="130"/>
      <c r="T522" s="20">
        <f t="shared" si="52"/>
        <v>-21.113964024999998</v>
      </c>
    </row>
    <row r="523" spans="1:20">
      <c r="A523" s="13" t="s">
        <v>21</v>
      </c>
      <c r="B523" s="14" t="s">
        <v>472</v>
      </c>
      <c r="C523" s="14" t="s">
        <v>473</v>
      </c>
      <c r="D523" s="13" t="s">
        <v>474</v>
      </c>
      <c r="E523" s="14" t="s">
        <v>87</v>
      </c>
      <c r="F523" s="13" t="s">
        <v>88</v>
      </c>
      <c r="G523" s="14" t="s">
        <v>20</v>
      </c>
      <c r="H523" s="14"/>
      <c r="I523" s="14">
        <v>201405</v>
      </c>
      <c r="J523" s="15">
        <v>-5315.1</v>
      </c>
      <c r="K523" s="21">
        <f t="shared" si="53"/>
        <v>42675</v>
      </c>
      <c r="L523" s="16">
        <f t="shared" si="48"/>
        <v>6</v>
      </c>
      <c r="M523" s="17">
        <v>1.4833299999999999E-3</v>
      </c>
      <c r="N523" s="18">
        <f t="shared" si="49"/>
        <v>-47.304283698000006</v>
      </c>
      <c r="O523" s="15"/>
      <c r="P523" s="20">
        <f t="shared" si="50"/>
        <v>0</v>
      </c>
      <c r="Q523" s="15"/>
      <c r="R523" s="20">
        <f t="shared" si="51"/>
        <v>0</v>
      </c>
      <c r="S523" s="130"/>
      <c r="T523" s="20">
        <f t="shared" si="52"/>
        <v>-75.238562437500008</v>
      </c>
    </row>
    <row r="524" spans="1:20">
      <c r="A524" s="13" t="s">
        <v>21</v>
      </c>
      <c r="B524" s="14" t="s">
        <v>475</v>
      </c>
      <c r="C524" s="14" t="s">
        <v>476</v>
      </c>
      <c r="D524" s="13" t="s">
        <v>477</v>
      </c>
      <c r="E524" s="14" t="s">
        <v>360</v>
      </c>
      <c r="F524" s="13" t="s">
        <v>19</v>
      </c>
      <c r="G524" s="14" t="s">
        <v>20</v>
      </c>
      <c r="H524" s="14"/>
      <c r="I524" s="14">
        <v>201405</v>
      </c>
      <c r="J524" s="15">
        <v>-1231.3800000000001</v>
      </c>
      <c r="K524" s="21">
        <f t="shared" si="53"/>
        <v>42675</v>
      </c>
      <c r="L524" s="16">
        <f t="shared" si="48"/>
        <v>6</v>
      </c>
      <c r="M524" s="17">
        <v>1.4833299999999999E-3</v>
      </c>
      <c r="N524" s="18">
        <f t="shared" si="49"/>
        <v>-10.959257372400002</v>
      </c>
      <c r="O524" s="15"/>
      <c r="P524" s="20">
        <f t="shared" si="50"/>
        <v>0</v>
      </c>
      <c r="Q524" s="15"/>
      <c r="R524" s="20">
        <f t="shared" si="51"/>
        <v>0</v>
      </c>
      <c r="S524" s="130"/>
      <c r="T524" s="20">
        <f t="shared" si="52"/>
        <v>-17.4309535125</v>
      </c>
    </row>
    <row r="525" spans="1:20">
      <c r="A525" s="13" t="s">
        <v>21</v>
      </c>
      <c r="B525" s="14" t="s">
        <v>230</v>
      </c>
      <c r="C525" s="14" t="s">
        <v>231</v>
      </c>
      <c r="D525" s="13" t="s">
        <v>232</v>
      </c>
      <c r="E525" s="14" t="s">
        <v>164</v>
      </c>
      <c r="F525" s="13" t="s">
        <v>165</v>
      </c>
      <c r="G525" s="14" t="s">
        <v>20</v>
      </c>
      <c r="H525" s="14"/>
      <c r="I525" s="14">
        <v>201405</v>
      </c>
      <c r="J525" s="15">
        <v>-3074.27</v>
      </c>
      <c r="K525" s="21">
        <f t="shared" si="53"/>
        <v>42675</v>
      </c>
      <c r="L525" s="16">
        <f t="shared" si="48"/>
        <v>6</v>
      </c>
      <c r="M525" s="17">
        <v>1.4833299999999999E-3</v>
      </c>
      <c r="N525" s="18">
        <f t="shared" si="49"/>
        <v>-27.3609415146</v>
      </c>
      <c r="O525" s="15"/>
      <c r="P525" s="20">
        <f t="shared" si="50"/>
        <v>0</v>
      </c>
      <c r="Q525" s="15"/>
      <c r="R525" s="20">
        <f t="shared" si="51"/>
        <v>0</v>
      </c>
      <c r="S525" s="130"/>
      <c r="T525" s="20">
        <f t="shared" si="52"/>
        <v>-43.518213268749996</v>
      </c>
    </row>
    <row r="526" spans="1:20">
      <c r="A526" s="13" t="s">
        <v>21</v>
      </c>
      <c r="B526" s="14" t="s">
        <v>233</v>
      </c>
      <c r="C526" s="14" t="s">
        <v>234</v>
      </c>
      <c r="D526" s="13" t="s">
        <v>235</v>
      </c>
      <c r="E526" s="14" t="s">
        <v>172</v>
      </c>
      <c r="F526" s="13" t="s">
        <v>173</v>
      </c>
      <c r="G526" s="14" t="s">
        <v>20</v>
      </c>
      <c r="H526" s="14"/>
      <c r="I526" s="14">
        <v>201405</v>
      </c>
      <c r="J526" s="15">
        <v>-3786.95</v>
      </c>
      <c r="K526" s="21">
        <f t="shared" si="53"/>
        <v>42675</v>
      </c>
      <c r="L526" s="16">
        <f t="shared" si="48"/>
        <v>6</v>
      </c>
      <c r="M526" s="17">
        <v>1.4833299999999999E-3</v>
      </c>
      <c r="N526" s="18">
        <f t="shared" si="49"/>
        <v>-33.703779261000001</v>
      </c>
      <c r="O526" s="15"/>
      <c r="P526" s="20">
        <f t="shared" si="50"/>
        <v>0</v>
      </c>
      <c r="Q526" s="15"/>
      <c r="R526" s="20">
        <f t="shared" si="51"/>
        <v>0</v>
      </c>
      <c r="S526" s="130"/>
      <c r="T526" s="20">
        <f t="shared" si="52"/>
        <v>-53.606644093749992</v>
      </c>
    </row>
    <row r="527" spans="1:20">
      <c r="A527" s="13" t="s">
        <v>21</v>
      </c>
      <c r="B527" s="14" t="s">
        <v>478</v>
      </c>
      <c r="C527" s="14" t="s">
        <v>479</v>
      </c>
      <c r="D527" s="13" t="s">
        <v>480</v>
      </c>
      <c r="E527" s="14" t="s">
        <v>164</v>
      </c>
      <c r="F527" s="13" t="s">
        <v>165</v>
      </c>
      <c r="G527" s="14" t="s">
        <v>20</v>
      </c>
      <c r="H527" s="14"/>
      <c r="I527" s="14">
        <v>201405</v>
      </c>
      <c r="J527" s="15">
        <v>-5235.7700000000004</v>
      </c>
      <c r="K527" s="21">
        <f t="shared" si="53"/>
        <v>42675</v>
      </c>
      <c r="L527" s="16">
        <f t="shared" si="48"/>
        <v>6</v>
      </c>
      <c r="M527" s="17">
        <v>1.4833299999999999E-3</v>
      </c>
      <c r="N527" s="18">
        <f t="shared" si="49"/>
        <v>-46.598248284600004</v>
      </c>
      <c r="O527" s="15"/>
      <c r="P527" s="20">
        <f t="shared" si="50"/>
        <v>0</v>
      </c>
      <c r="Q527" s="15"/>
      <c r="R527" s="20">
        <f t="shared" si="51"/>
        <v>0</v>
      </c>
      <c r="S527" s="130"/>
      <c r="T527" s="20">
        <f t="shared" si="52"/>
        <v>-74.115596706250003</v>
      </c>
    </row>
    <row r="528" spans="1:20">
      <c r="A528" s="23" t="s">
        <v>29</v>
      </c>
      <c r="B528" s="14" t="s">
        <v>481</v>
      </c>
      <c r="C528" s="14" t="s">
        <v>482</v>
      </c>
      <c r="D528" s="13" t="s">
        <v>483</v>
      </c>
      <c r="E528" s="14" t="s">
        <v>484</v>
      </c>
      <c r="F528" s="13" t="s">
        <v>190</v>
      </c>
      <c r="G528" s="14" t="s">
        <v>20</v>
      </c>
      <c r="H528" s="14"/>
      <c r="I528" s="14">
        <v>201405</v>
      </c>
      <c r="J528" s="15">
        <v>-10313.9</v>
      </c>
      <c r="K528" s="21">
        <f t="shared" si="53"/>
        <v>42675</v>
      </c>
      <c r="L528" s="16">
        <f t="shared" si="48"/>
        <v>6</v>
      </c>
      <c r="M528" s="17">
        <v>2.23333E-3</v>
      </c>
      <c r="N528" s="18">
        <f t="shared" si="49"/>
        <v>-138.20605372199998</v>
      </c>
      <c r="O528" s="15"/>
      <c r="P528" s="20">
        <f t="shared" si="50"/>
        <v>0</v>
      </c>
      <c r="Q528" s="15"/>
      <c r="R528" s="20">
        <f t="shared" si="51"/>
        <v>0</v>
      </c>
      <c r="S528" s="130"/>
      <c r="T528" s="20">
        <f t="shared" si="52"/>
        <v>-145.9997006875</v>
      </c>
    </row>
    <row r="529" spans="1:20">
      <c r="A529" s="13" t="s">
        <v>21</v>
      </c>
      <c r="B529" s="14" t="s">
        <v>485</v>
      </c>
      <c r="C529" s="14" t="s">
        <v>486</v>
      </c>
      <c r="D529" s="13" t="s">
        <v>487</v>
      </c>
      <c r="E529" s="14" t="s">
        <v>75</v>
      </c>
      <c r="F529" s="13" t="s">
        <v>26</v>
      </c>
      <c r="G529" s="14" t="s">
        <v>20</v>
      </c>
      <c r="H529" s="14"/>
      <c r="I529" s="14">
        <v>201405</v>
      </c>
      <c r="J529" s="15">
        <v>-102.96</v>
      </c>
      <c r="K529" s="21">
        <f t="shared" si="53"/>
        <v>42675</v>
      </c>
      <c r="L529" s="16">
        <f t="shared" si="48"/>
        <v>6</v>
      </c>
      <c r="M529" s="17">
        <v>1.4833299999999999E-3</v>
      </c>
      <c r="N529" s="18">
        <f t="shared" si="49"/>
        <v>-0.91634194079999998</v>
      </c>
      <c r="O529" s="15"/>
      <c r="P529" s="20">
        <f t="shared" si="50"/>
        <v>0</v>
      </c>
      <c r="Q529" s="15"/>
      <c r="R529" s="20">
        <f t="shared" si="51"/>
        <v>0</v>
      </c>
      <c r="S529" s="130"/>
      <c r="T529" s="20">
        <f t="shared" si="52"/>
        <v>-1.4574631499999999</v>
      </c>
    </row>
    <row r="530" spans="1:20">
      <c r="A530" s="23" t="s">
        <v>29</v>
      </c>
      <c r="B530" s="14" t="s">
        <v>236</v>
      </c>
      <c r="C530" s="14" t="s">
        <v>237</v>
      </c>
      <c r="D530" s="13" t="s">
        <v>188</v>
      </c>
      <c r="E530" s="14" t="s">
        <v>238</v>
      </c>
      <c r="F530" s="13" t="s">
        <v>190</v>
      </c>
      <c r="G530" s="14" t="s">
        <v>20</v>
      </c>
      <c r="H530" s="14"/>
      <c r="I530" s="14">
        <v>201405</v>
      </c>
      <c r="J530" s="15">
        <v>79365.39</v>
      </c>
      <c r="K530" s="21">
        <f t="shared" si="53"/>
        <v>42675</v>
      </c>
      <c r="L530" s="16">
        <f t="shared" si="48"/>
        <v>6</v>
      </c>
      <c r="M530" s="17">
        <v>2.23333E-3</v>
      </c>
      <c r="N530" s="18">
        <f t="shared" si="49"/>
        <v>1063.4946386921999</v>
      </c>
      <c r="O530" s="15"/>
      <c r="P530" s="20">
        <f t="shared" si="50"/>
        <v>0</v>
      </c>
      <c r="Q530" s="15"/>
      <c r="R530" s="20">
        <f t="shared" si="51"/>
        <v>0</v>
      </c>
      <c r="S530" s="130"/>
      <c r="T530" s="20">
        <f t="shared" si="52"/>
        <v>1123.46669881875</v>
      </c>
    </row>
    <row r="531" spans="1:20">
      <c r="A531" s="23" t="s">
        <v>29</v>
      </c>
      <c r="B531" s="14" t="s">
        <v>239</v>
      </c>
      <c r="C531" s="14" t="s">
        <v>240</v>
      </c>
      <c r="D531" s="13" t="s">
        <v>197</v>
      </c>
      <c r="E531" s="14" t="s">
        <v>241</v>
      </c>
      <c r="F531" s="13" t="s">
        <v>199</v>
      </c>
      <c r="G531" s="14" t="s">
        <v>20</v>
      </c>
      <c r="H531" s="14"/>
      <c r="I531" s="14">
        <v>201405</v>
      </c>
      <c r="J531" s="15">
        <v>-33002.85</v>
      </c>
      <c r="K531" s="21">
        <f t="shared" si="53"/>
        <v>42675</v>
      </c>
      <c r="L531" s="16">
        <f t="shared" si="48"/>
        <v>6</v>
      </c>
      <c r="M531" s="17">
        <v>2.23333E-3</v>
      </c>
      <c r="N531" s="18">
        <f t="shared" si="49"/>
        <v>-442.23752994299997</v>
      </c>
      <c r="O531" s="15"/>
      <c r="P531" s="20">
        <f t="shared" si="50"/>
        <v>0</v>
      </c>
      <c r="Q531" s="15"/>
      <c r="R531" s="20">
        <f t="shared" si="51"/>
        <v>0</v>
      </c>
      <c r="S531" s="130"/>
      <c r="T531" s="20">
        <f t="shared" si="52"/>
        <v>-467.17596853124996</v>
      </c>
    </row>
    <row r="532" spans="1:20">
      <c r="A532" s="13" t="s">
        <v>21</v>
      </c>
      <c r="B532" s="14" t="s">
        <v>617</v>
      </c>
      <c r="C532" s="14" t="s">
        <v>618</v>
      </c>
      <c r="D532" s="13" t="s">
        <v>619</v>
      </c>
      <c r="E532" s="14" t="s">
        <v>87</v>
      </c>
      <c r="F532" s="13" t="s">
        <v>88</v>
      </c>
      <c r="G532" s="14" t="s">
        <v>20</v>
      </c>
      <c r="H532" s="14"/>
      <c r="I532" s="14">
        <v>201405</v>
      </c>
      <c r="J532" s="15">
        <v>-122.14</v>
      </c>
      <c r="K532" s="21">
        <f t="shared" si="53"/>
        <v>42675</v>
      </c>
      <c r="L532" s="16">
        <f t="shared" si="48"/>
        <v>6</v>
      </c>
      <c r="M532" s="17">
        <v>1.4833299999999999E-3</v>
      </c>
      <c r="N532" s="18">
        <f t="shared" si="49"/>
        <v>-1.0870435572000001</v>
      </c>
      <c r="O532" s="15"/>
      <c r="P532" s="20">
        <f t="shared" si="50"/>
        <v>0</v>
      </c>
      <c r="Q532" s="15"/>
      <c r="R532" s="20">
        <f t="shared" si="51"/>
        <v>0</v>
      </c>
      <c r="S532" s="130"/>
      <c r="T532" s="20">
        <f t="shared" si="52"/>
        <v>-1.7289680374999998</v>
      </c>
    </row>
    <row r="533" spans="1:20">
      <c r="A533" s="13" t="s">
        <v>21</v>
      </c>
      <c r="B533" s="14" t="s">
        <v>620</v>
      </c>
      <c r="C533" s="14" t="s">
        <v>621</v>
      </c>
      <c r="D533" s="13" t="s">
        <v>622</v>
      </c>
      <c r="E533" s="14" t="s">
        <v>209</v>
      </c>
      <c r="F533" s="13" t="s">
        <v>88</v>
      </c>
      <c r="G533" s="14" t="s">
        <v>20</v>
      </c>
      <c r="H533" s="14"/>
      <c r="I533" s="14">
        <v>201405</v>
      </c>
      <c r="J533" s="15">
        <v>-115.94</v>
      </c>
      <c r="K533" s="21">
        <f t="shared" si="53"/>
        <v>42675</v>
      </c>
      <c r="L533" s="16">
        <f t="shared" si="48"/>
        <v>6</v>
      </c>
      <c r="M533" s="17">
        <v>1.4833299999999999E-3</v>
      </c>
      <c r="N533" s="18">
        <f t="shared" si="49"/>
        <v>-1.0318636811999999</v>
      </c>
      <c r="O533" s="15"/>
      <c r="P533" s="20">
        <f t="shared" si="50"/>
        <v>0</v>
      </c>
      <c r="Q533" s="15"/>
      <c r="R533" s="20">
        <f t="shared" si="51"/>
        <v>0</v>
      </c>
      <c r="S533" s="130"/>
      <c r="T533" s="20">
        <f t="shared" si="52"/>
        <v>-1.6412031624999999</v>
      </c>
    </row>
    <row r="534" spans="1:20">
      <c r="A534" s="13" t="s">
        <v>21</v>
      </c>
      <c r="B534" s="14" t="s">
        <v>242</v>
      </c>
      <c r="C534" s="14" t="s">
        <v>243</v>
      </c>
      <c r="D534" s="13" t="s">
        <v>244</v>
      </c>
      <c r="E534" s="14" t="s">
        <v>18</v>
      </c>
      <c r="F534" s="13" t="s">
        <v>19</v>
      </c>
      <c r="G534" s="14" t="s">
        <v>20</v>
      </c>
      <c r="H534" s="14"/>
      <c r="I534" s="14">
        <v>201405</v>
      </c>
      <c r="J534" s="15">
        <v>-2947.98</v>
      </c>
      <c r="K534" s="21">
        <f t="shared" si="53"/>
        <v>42675</v>
      </c>
      <c r="L534" s="16">
        <f t="shared" si="48"/>
        <v>6</v>
      </c>
      <c r="M534" s="17">
        <v>1.4833299999999999E-3</v>
      </c>
      <c r="N534" s="18">
        <f t="shared" si="49"/>
        <v>-26.236963040399999</v>
      </c>
      <c r="O534" s="15"/>
      <c r="P534" s="20">
        <f t="shared" si="50"/>
        <v>0</v>
      </c>
      <c r="Q534" s="15"/>
      <c r="R534" s="20">
        <f t="shared" si="51"/>
        <v>0</v>
      </c>
      <c r="S534" s="130"/>
      <c r="T534" s="20">
        <f t="shared" si="52"/>
        <v>-41.730499387499997</v>
      </c>
    </row>
    <row r="535" spans="1:20">
      <c r="A535" s="13" t="s">
        <v>21</v>
      </c>
      <c r="B535" s="14" t="s">
        <v>623</v>
      </c>
      <c r="C535" s="14" t="s">
        <v>624</v>
      </c>
      <c r="D535" s="13" t="s">
        <v>625</v>
      </c>
      <c r="E535" s="14" t="s">
        <v>531</v>
      </c>
      <c r="F535" s="13" t="s">
        <v>26</v>
      </c>
      <c r="G535" s="14" t="s">
        <v>20</v>
      </c>
      <c r="H535" s="14"/>
      <c r="I535" s="14">
        <v>201405</v>
      </c>
      <c r="J535" s="15">
        <v>-196.32</v>
      </c>
      <c r="K535" s="21">
        <f t="shared" si="53"/>
        <v>42675</v>
      </c>
      <c r="L535" s="16">
        <f t="shared" si="48"/>
        <v>6</v>
      </c>
      <c r="M535" s="17">
        <v>1.4833299999999999E-3</v>
      </c>
      <c r="N535" s="18">
        <f t="shared" si="49"/>
        <v>-1.7472440735999999</v>
      </c>
      <c r="O535" s="15"/>
      <c r="P535" s="20">
        <f t="shared" si="50"/>
        <v>0</v>
      </c>
      <c r="Q535" s="15"/>
      <c r="R535" s="20">
        <f t="shared" si="51"/>
        <v>0</v>
      </c>
      <c r="S535" s="130"/>
      <c r="T535" s="20">
        <f t="shared" si="52"/>
        <v>-2.7790322999999995</v>
      </c>
    </row>
    <row r="536" spans="1:20">
      <c r="A536" s="13" t="s">
        <v>21</v>
      </c>
      <c r="B536" s="14" t="s">
        <v>245</v>
      </c>
      <c r="C536" s="14" t="s">
        <v>246</v>
      </c>
      <c r="D536" s="13" t="s">
        <v>247</v>
      </c>
      <c r="E536" s="14" t="s">
        <v>70</v>
      </c>
      <c r="F536" s="13" t="s">
        <v>71</v>
      </c>
      <c r="G536" s="14" t="s">
        <v>20</v>
      </c>
      <c r="H536" s="14"/>
      <c r="I536" s="14">
        <v>201405</v>
      </c>
      <c r="J536" s="15">
        <v>-3283.71</v>
      </c>
      <c r="K536" s="21">
        <f t="shared" si="53"/>
        <v>42675</v>
      </c>
      <c r="L536" s="16">
        <f t="shared" si="48"/>
        <v>6</v>
      </c>
      <c r="M536" s="17">
        <v>1.4833299999999999E-3</v>
      </c>
      <c r="N536" s="18">
        <f t="shared" si="49"/>
        <v>-29.224953325800001</v>
      </c>
      <c r="O536" s="15"/>
      <c r="P536" s="20">
        <f t="shared" si="50"/>
        <v>0</v>
      </c>
      <c r="Q536" s="15"/>
      <c r="R536" s="20">
        <f t="shared" si="51"/>
        <v>0</v>
      </c>
      <c r="S536" s="130"/>
      <c r="T536" s="20">
        <f t="shared" si="52"/>
        <v>-46.482967368749996</v>
      </c>
    </row>
    <row r="537" spans="1:20">
      <c r="A537" s="13" t="s">
        <v>21</v>
      </c>
      <c r="B537" s="14" t="s">
        <v>248</v>
      </c>
      <c r="C537" s="14" t="s">
        <v>249</v>
      </c>
      <c r="D537" s="13" t="s">
        <v>250</v>
      </c>
      <c r="E537" s="14" t="s">
        <v>70</v>
      </c>
      <c r="F537" s="13" t="s">
        <v>71</v>
      </c>
      <c r="G537" s="14" t="s">
        <v>20</v>
      </c>
      <c r="H537" s="14"/>
      <c r="I537" s="14">
        <v>201405</v>
      </c>
      <c r="J537" s="15">
        <v>-5736.62</v>
      </c>
      <c r="K537" s="21">
        <f t="shared" si="53"/>
        <v>42675</v>
      </c>
      <c r="L537" s="16">
        <f t="shared" si="48"/>
        <v>6</v>
      </c>
      <c r="M537" s="17">
        <v>1.4833299999999999E-3</v>
      </c>
      <c r="N537" s="18">
        <f t="shared" si="49"/>
        <v>-51.055803267599998</v>
      </c>
      <c r="O537" s="15"/>
      <c r="P537" s="20">
        <f t="shared" si="50"/>
        <v>0</v>
      </c>
      <c r="Q537" s="15"/>
      <c r="R537" s="20">
        <f t="shared" si="51"/>
        <v>0</v>
      </c>
      <c r="S537" s="130"/>
      <c r="T537" s="20">
        <f t="shared" si="52"/>
        <v>-81.205441487499996</v>
      </c>
    </row>
    <row r="538" spans="1:20">
      <c r="A538" s="13" t="s">
        <v>21</v>
      </c>
      <c r="B538" s="14" t="s">
        <v>251</v>
      </c>
      <c r="C538" s="14" t="s">
        <v>252</v>
      </c>
      <c r="D538" s="13" t="s">
        <v>253</v>
      </c>
      <c r="E538" s="14" t="s">
        <v>164</v>
      </c>
      <c r="F538" s="13" t="s">
        <v>165</v>
      </c>
      <c r="G538" s="14" t="s">
        <v>20</v>
      </c>
      <c r="H538" s="14"/>
      <c r="I538" s="14">
        <v>201405</v>
      </c>
      <c r="J538" s="15">
        <v>-1380.21</v>
      </c>
      <c r="K538" s="21">
        <f t="shared" si="53"/>
        <v>42675</v>
      </c>
      <c r="L538" s="16">
        <f t="shared" si="48"/>
        <v>6</v>
      </c>
      <c r="M538" s="17">
        <v>1.4833299999999999E-3</v>
      </c>
      <c r="N538" s="18">
        <f t="shared" si="49"/>
        <v>-12.2838413958</v>
      </c>
      <c r="O538" s="15"/>
      <c r="P538" s="20">
        <f t="shared" si="50"/>
        <v>0</v>
      </c>
      <c r="Q538" s="15"/>
      <c r="R538" s="20">
        <f t="shared" si="51"/>
        <v>0</v>
      </c>
      <c r="S538" s="130"/>
      <c r="T538" s="20">
        <f t="shared" si="52"/>
        <v>-19.53773518125</v>
      </c>
    </row>
    <row r="539" spans="1:20">
      <c r="A539" s="13" t="s">
        <v>21</v>
      </c>
      <c r="B539" s="14" t="s">
        <v>254</v>
      </c>
      <c r="C539" s="14" t="s">
        <v>255</v>
      </c>
      <c r="D539" s="13" t="s">
        <v>256</v>
      </c>
      <c r="E539" s="14" t="s">
        <v>164</v>
      </c>
      <c r="F539" s="13" t="s">
        <v>165</v>
      </c>
      <c r="G539" s="14" t="s">
        <v>20</v>
      </c>
      <c r="H539" s="14"/>
      <c r="I539" s="14">
        <v>201405</v>
      </c>
      <c r="J539" s="15">
        <v>-2901.55</v>
      </c>
      <c r="K539" s="21">
        <f t="shared" si="53"/>
        <v>42675</v>
      </c>
      <c r="L539" s="16">
        <f t="shared" si="48"/>
        <v>6</v>
      </c>
      <c r="M539" s="17">
        <v>1.4833299999999999E-3</v>
      </c>
      <c r="N539" s="18">
        <f t="shared" si="49"/>
        <v>-25.823736969000002</v>
      </c>
      <c r="O539" s="15"/>
      <c r="P539" s="20">
        <f t="shared" si="50"/>
        <v>0</v>
      </c>
      <c r="Q539" s="15"/>
      <c r="R539" s="20">
        <f t="shared" si="51"/>
        <v>0</v>
      </c>
      <c r="S539" s="130"/>
      <c r="T539" s="20">
        <f t="shared" si="52"/>
        <v>-41.073253718750003</v>
      </c>
    </row>
    <row r="540" spans="1:20">
      <c r="A540" s="13" t="s">
        <v>21</v>
      </c>
      <c r="B540" s="14" t="s">
        <v>488</v>
      </c>
      <c r="C540" s="14" t="s">
        <v>489</v>
      </c>
      <c r="D540" s="13" t="s">
        <v>490</v>
      </c>
      <c r="E540" s="14" t="s">
        <v>93</v>
      </c>
      <c r="F540" s="13" t="s">
        <v>88</v>
      </c>
      <c r="G540" s="14" t="s">
        <v>20</v>
      </c>
      <c r="H540" s="14"/>
      <c r="I540" s="14">
        <v>201405</v>
      </c>
      <c r="J540" s="15">
        <v>-4630.25</v>
      </c>
      <c r="K540" s="21">
        <f t="shared" si="53"/>
        <v>42675</v>
      </c>
      <c r="L540" s="16">
        <f t="shared" si="48"/>
        <v>6</v>
      </c>
      <c r="M540" s="17">
        <v>1.4833299999999999E-3</v>
      </c>
      <c r="N540" s="18">
        <f t="shared" si="49"/>
        <v>-41.209132394999997</v>
      </c>
      <c r="O540" s="15"/>
      <c r="P540" s="20">
        <f t="shared" si="50"/>
        <v>0</v>
      </c>
      <c r="Q540" s="15"/>
      <c r="R540" s="20">
        <f t="shared" si="51"/>
        <v>0</v>
      </c>
      <c r="S540" s="130"/>
      <c r="T540" s="20">
        <f t="shared" si="52"/>
        <v>-65.544082656249998</v>
      </c>
    </row>
    <row r="541" spans="1:20">
      <c r="A541" s="13" t="s">
        <v>21</v>
      </c>
      <c r="B541" s="14" t="s">
        <v>257</v>
      </c>
      <c r="C541" s="14" t="s">
        <v>258</v>
      </c>
      <c r="D541" s="13" t="s">
        <v>259</v>
      </c>
      <c r="E541" s="14" t="s">
        <v>260</v>
      </c>
      <c r="F541" s="13" t="s">
        <v>26</v>
      </c>
      <c r="G541" s="14" t="s">
        <v>20</v>
      </c>
      <c r="H541" s="14"/>
      <c r="I541" s="14">
        <v>201405</v>
      </c>
      <c r="J541" s="15">
        <v>-870.16</v>
      </c>
      <c r="K541" s="21">
        <f t="shared" si="53"/>
        <v>42675</v>
      </c>
      <c r="L541" s="16">
        <f t="shared" si="48"/>
        <v>6</v>
      </c>
      <c r="M541" s="17">
        <v>1.4833299999999999E-3</v>
      </c>
      <c r="N541" s="18">
        <f t="shared" si="49"/>
        <v>-7.7444065967999993</v>
      </c>
      <c r="O541" s="15"/>
      <c r="P541" s="20">
        <f t="shared" si="50"/>
        <v>0</v>
      </c>
      <c r="Q541" s="15"/>
      <c r="R541" s="20">
        <f t="shared" si="51"/>
        <v>0</v>
      </c>
      <c r="S541" s="130"/>
      <c r="T541" s="20">
        <f t="shared" si="52"/>
        <v>-12.317658649999998</v>
      </c>
    </row>
    <row r="542" spans="1:20">
      <c r="A542" s="13" t="s">
        <v>21</v>
      </c>
      <c r="B542" s="14" t="s">
        <v>261</v>
      </c>
      <c r="C542" s="14" t="s">
        <v>262</v>
      </c>
      <c r="D542" s="13" t="s">
        <v>263</v>
      </c>
      <c r="E542" s="14" t="s">
        <v>75</v>
      </c>
      <c r="F542" s="13" t="s">
        <v>26</v>
      </c>
      <c r="G542" s="14" t="s">
        <v>20</v>
      </c>
      <c r="H542" s="14"/>
      <c r="I542" s="14">
        <v>201405</v>
      </c>
      <c r="J542" s="15">
        <v>-6616.76</v>
      </c>
      <c r="K542" s="21">
        <f t="shared" si="53"/>
        <v>42675</v>
      </c>
      <c r="L542" s="16">
        <f t="shared" si="48"/>
        <v>6</v>
      </c>
      <c r="M542" s="17">
        <v>1.4833299999999999E-3</v>
      </c>
      <c r="N542" s="18">
        <f t="shared" si="49"/>
        <v>-58.889031664800001</v>
      </c>
      <c r="O542" s="15"/>
      <c r="P542" s="20">
        <f t="shared" si="50"/>
        <v>0</v>
      </c>
      <c r="Q542" s="15"/>
      <c r="R542" s="20">
        <f t="shared" si="51"/>
        <v>0</v>
      </c>
      <c r="S542" s="130"/>
      <c r="T542" s="20">
        <f t="shared" si="52"/>
        <v>-93.664373274999988</v>
      </c>
    </row>
    <row r="543" spans="1:20">
      <c r="A543" s="13" t="s">
        <v>21</v>
      </c>
      <c r="B543" s="14" t="s">
        <v>703</v>
      </c>
      <c r="C543" s="14" t="s">
        <v>704</v>
      </c>
      <c r="D543" s="13" t="s">
        <v>705</v>
      </c>
      <c r="E543" s="14" t="s">
        <v>164</v>
      </c>
      <c r="F543" s="13" t="s">
        <v>165</v>
      </c>
      <c r="G543" s="14" t="s">
        <v>20</v>
      </c>
      <c r="H543" s="14"/>
      <c r="I543" s="14">
        <v>201405</v>
      </c>
      <c r="J543" s="15">
        <v>32222.799999999999</v>
      </c>
      <c r="K543" s="21">
        <f t="shared" si="53"/>
        <v>42675</v>
      </c>
      <c r="L543" s="16">
        <f t="shared" si="48"/>
        <v>6</v>
      </c>
      <c r="M543" s="17">
        <v>1.4833299999999999E-3</v>
      </c>
      <c r="N543" s="18">
        <f t="shared" si="49"/>
        <v>286.78227554400002</v>
      </c>
      <c r="O543" s="15"/>
      <c r="P543" s="20">
        <f t="shared" si="50"/>
        <v>0</v>
      </c>
      <c r="Q543" s="15"/>
      <c r="R543" s="20">
        <f t="shared" si="51"/>
        <v>0</v>
      </c>
      <c r="S543" s="130"/>
      <c r="T543" s="20">
        <f t="shared" si="52"/>
        <v>456.13387324999997</v>
      </c>
    </row>
    <row r="544" spans="1:20">
      <c r="A544" s="13" t="s">
        <v>626</v>
      </c>
      <c r="B544" s="14" t="s">
        <v>627</v>
      </c>
      <c r="C544" s="14" t="s">
        <v>628</v>
      </c>
      <c r="D544" s="13" t="s">
        <v>629</v>
      </c>
      <c r="E544" s="14" t="s">
        <v>79</v>
      </c>
      <c r="F544" s="13" t="s">
        <v>26</v>
      </c>
      <c r="G544" s="14" t="s">
        <v>20</v>
      </c>
      <c r="H544" s="14"/>
      <c r="I544" s="14">
        <v>201405</v>
      </c>
      <c r="J544" s="15">
        <v>-6442.27</v>
      </c>
      <c r="K544" s="21">
        <f t="shared" si="53"/>
        <v>42675</v>
      </c>
      <c r="L544" s="16">
        <f t="shared" si="48"/>
        <v>6</v>
      </c>
      <c r="M544" s="17">
        <v>1.4833299999999999E-3</v>
      </c>
      <c r="N544" s="18">
        <f t="shared" si="49"/>
        <v>-57.336074154600006</v>
      </c>
      <c r="O544" s="15"/>
      <c r="P544" s="20">
        <f t="shared" si="50"/>
        <v>0</v>
      </c>
      <c r="Q544" s="15"/>
      <c r="R544" s="20">
        <f t="shared" si="51"/>
        <v>0</v>
      </c>
      <c r="S544" s="130"/>
      <c r="T544" s="20">
        <f t="shared" si="52"/>
        <v>-91.194358268749994</v>
      </c>
    </row>
    <row r="545" spans="1:20">
      <c r="A545" s="13" t="s">
        <v>21</v>
      </c>
      <c r="B545" s="14" t="s">
        <v>394</v>
      </c>
      <c r="C545" s="14" t="s">
        <v>395</v>
      </c>
      <c r="D545" s="13" t="s">
        <v>396</v>
      </c>
      <c r="E545" s="14" t="s">
        <v>397</v>
      </c>
      <c r="F545" s="13" t="s">
        <v>398</v>
      </c>
      <c r="G545" s="14" t="s">
        <v>20</v>
      </c>
      <c r="H545" s="14"/>
      <c r="I545" s="14">
        <v>201405</v>
      </c>
      <c r="J545" s="15">
        <v>-5080.2</v>
      </c>
      <c r="K545" s="21">
        <f t="shared" si="53"/>
        <v>42675</v>
      </c>
      <c r="L545" s="16">
        <f t="shared" si="48"/>
        <v>6</v>
      </c>
      <c r="M545" s="17">
        <v>1.4833299999999999E-3</v>
      </c>
      <c r="N545" s="18">
        <f t="shared" si="49"/>
        <v>-45.213678395999999</v>
      </c>
      <c r="O545" s="15"/>
      <c r="P545" s="20">
        <f t="shared" si="50"/>
        <v>0</v>
      </c>
      <c r="Q545" s="15"/>
      <c r="R545" s="20">
        <f t="shared" si="51"/>
        <v>0</v>
      </c>
      <c r="S545" s="130"/>
      <c r="T545" s="20">
        <f t="shared" si="52"/>
        <v>-71.913406124999995</v>
      </c>
    </row>
    <row r="546" spans="1:20">
      <c r="A546" s="13" t="s">
        <v>21</v>
      </c>
      <c r="B546" s="14" t="s">
        <v>264</v>
      </c>
      <c r="C546" s="14" t="s">
        <v>265</v>
      </c>
      <c r="D546" s="13" t="s">
        <v>266</v>
      </c>
      <c r="E546" s="14" t="s">
        <v>172</v>
      </c>
      <c r="F546" s="13" t="s">
        <v>173</v>
      </c>
      <c r="G546" s="14" t="s">
        <v>20</v>
      </c>
      <c r="H546" s="14"/>
      <c r="I546" s="14">
        <v>201405</v>
      </c>
      <c r="J546" s="15">
        <v>-1370.26</v>
      </c>
      <c r="K546" s="21">
        <f t="shared" si="53"/>
        <v>42675</v>
      </c>
      <c r="L546" s="16">
        <f t="shared" si="48"/>
        <v>6</v>
      </c>
      <c r="M546" s="17">
        <v>1.4833299999999999E-3</v>
      </c>
      <c r="N546" s="18">
        <f t="shared" si="49"/>
        <v>-12.195286594800001</v>
      </c>
      <c r="O546" s="15"/>
      <c r="P546" s="20">
        <f t="shared" si="50"/>
        <v>0</v>
      </c>
      <c r="Q546" s="15"/>
      <c r="R546" s="20">
        <f t="shared" si="51"/>
        <v>0</v>
      </c>
      <c r="S546" s="130"/>
      <c r="T546" s="20">
        <f t="shared" si="52"/>
        <v>-19.396886712499999</v>
      </c>
    </row>
    <row r="547" spans="1:20">
      <c r="A547" s="13" t="s">
        <v>21</v>
      </c>
      <c r="B547" s="14" t="s">
        <v>399</v>
      </c>
      <c r="C547" s="14" t="s">
        <v>400</v>
      </c>
      <c r="D547" s="13" t="s">
        <v>401</v>
      </c>
      <c r="E547" s="14" t="s">
        <v>402</v>
      </c>
      <c r="F547" s="13" t="s">
        <v>19</v>
      </c>
      <c r="G547" s="14" t="s">
        <v>20</v>
      </c>
      <c r="H547" s="14"/>
      <c r="I547" s="14">
        <v>201405</v>
      </c>
      <c r="J547" s="15">
        <v>-325.58</v>
      </c>
      <c r="K547" s="21">
        <f t="shared" si="53"/>
        <v>42675</v>
      </c>
      <c r="L547" s="16">
        <f t="shared" si="48"/>
        <v>6</v>
      </c>
      <c r="M547" s="17">
        <v>1.4833299999999999E-3</v>
      </c>
      <c r="N547" s="18">
        <f t="shared" si="49"/>
        <v>-2.8976554883999999</v>
      </c>
      <c r="O547" s="15"/>
      <c r="P547" s="20">
        <f t="shared" si="50"/>
        <v>0</v>
      </c>
      <c r="Q547" s="15"/>
      <c r="R547" s="20">
        <f t="shared" si="51"/>
        <v>0</v>
      </c>
      <c r="S547" s="130"/>
      <c r="T547" s="20">
        <f t="shared" si="52"/>
        <v>-4.6087883874999989</v>
      </c>
    </row>
    <row r="548" spans="1:20">
      <c r="A548" s="13" t="s">
        <v>21</v>
      </c>
      <c r="B548" s="14" t="s">
        <v>630</v>
      </c>
      <c r="C548" s="14" t="s">
        <v>631</v>
      </c>
      <c r="D548" s="13" t="s">
        <v>632</v>
      </c>
      <c r="E548" s="14" t="s">
        <v>613</v>
      </c>
      <c r="F548" s="13" t="s">
        <v>398</v>
      </c>
      <c r="G548" s="14" t="s">
        <v>20</v>
      </c>
      <c r="H548" s="14"/>
      <c r="I548" s="14">
        <v>201405</v>
      </c>
      <c r="J548" s="15">
        <v>-5385.02</v>
      </c>
      <c r="K548" s="21">
        <f t="shared" si="53"/>
        <v>42675</v>
      </c>
      <c r="L548" s="16">
        <f t="shared" si="48"/>
        <v>6</v>
      </c>
      <c r="M548" s="17">
        <v>1.4833299999999999E-3</v>
      </c>
      <c r="N548" s="18">
        <f t="shared" si="49"/>
        <v>-47.926570299600002</v>
      </c>
      <c r="O548" s="15"/>
      <c r="P548" s="20">
        <f t="shared" si="50"/>
        <v>0</v>
      </c>
      <c r="Q548" s="15"/>
      <c r="R548" s="20">
        <f t="shared" si="51"/>
        <v>0</v>
      </c>
      <c r="S548" s="130"/>
      <c r="T548" s="20">
        <f t="shared" si="52"/>
        <v>-76.228323737500006</v>
      </c>
    </row>
    <row r="549" spans="1:20">
      <c r="A549" s="13" t="s">
        <v>21</v>
      </c>
      <c r="B549" s="14" t="s">
        <v>403</v>
      </c>
      <c r="C549" s="14" t="s">
        <v>404</v>
      </c>
      <c r="D549" s="13" t="s">
        <v>405</v>
      </c>
      <c r="E549" s="14" t="s">
        <v>75</v>
      </c>
      <c r="F549" s="13" t="s">
        <v>26</v>
      </c>
      <c r="G549" s="14" t="s">
        <v>20</v>
      </c>
      <c r="H549" s="14"/>
      <c r="I549" s="14">
        <v>201405</v>
      </c>
      <c r="J549" s="15">
        <v>-5934.38</v>
      </c>
      <c r="K549" s="21">
        <f t="shared" si="53"/>
        <v>42675</v>
      </c>
      <c r="L549" s="16">
        <f t="shared" si="48"/>
        <v>6</v>
      </c>
      <c r="M549" s="17">
        <v>1.4833299999999999E-3</v>
      </c>
      <c r="N549" s="18">
        <f t="shared" si="49"/>
        <v>-52.815863312400005</v>
      </c>
      <c r="O549" s="15"/>
      <c r="P549" s="20">
        <f t="shared" si="50"/>
        <v>0</v>
      </c>
      <c r="Q549" s="15"/>
      <c r="R549" s="20">
        <f t="shared" si="51"/>
        <v>0</v>
      </c>
      <c r="S549" s="130"/>
      <c r="T549" s="20">
        <f t="shared" si="52"/>
        <v>-84.004857887499995</v>
      </c>
    </row>
    <row r="550" spans="1:20">
      <c r="A550" s="23" t="s">
        <v>29</v>
      </c>
      <c r="B550" s="14" t="s">
        <v>706</v>
      </c>
      <c r="C550" s="14" t="s">
        <v>707</v>
      </c>
      <c r="D550" s="13" t="s">
        <v>708</v>
      </c>
      <c r="E550" s="14" t="s">
        <v>709</v>
      </c>
      <c r="F550" s="13" t="s">
        <v>710</v>
      </c>
      <c r="G550" s="14" t="s">
        <v>20</v>
      </c>
      <c r="H550" s="14"/>
      <c r="I550" s="14">
        <v>201405</v>
      </c>
      <c r="J550" s="15">
        <v>174.18</v>
      </c>
      <c r="K550" s="21">
        <f t="shared" si="53"/>
        <v>42675</v>
      </c>
      <c r="L550" s="16">
        <f t="shared" si="48"/>
        <v>6</v>
      </c>
      <c r="M550" s="17">
        <v>2.23333E-3</v>
      </c>
      <c r="N550" s="18">
        <f t="shared" si="49"/>
        <v>2.3340085164</v>
      </c>
      <c r="O550" s="15"/>
      <c r="P550" s="20">
        <f t="shared" si="50"/>
        <v>0</v>
      </c>
      <c r="Q550" s="15"/>
      <c r="R550" s="20">
        <f t="shared" si="51"/>
        <v>0</v>
      </c>
      <c r="S550" s="130"/>
      <c r="T550" s="20">
        <f t="shared" si="52"/>
        <v>2.4656267624999999</v>
      </c>
    </row>
    <row r="551" spans="1:20">
      <c r="A551" s="23" t="s">
        <v>29</v>
      </c>
      <c r="B551" s="14" t="s">
        <v>633</v>
      </c>
      <c r="C551" s="14" t="s">
        <v>634</v>
      </c>
      <c r="D551" s="13" t="s">
        <v>193</v>
      </c>
      <c r="E551" s="14" t="s">
        <v>635</v>
      </c>
      <c r="F551" s="13" t="s">
        <v>115</v>
      </c>
      <c r="G551" s="14" t="s">
        <v>20</v>
      </c>
      <c r="H551" s="14"/>
      <c r="I551" s="14">
        <v>201405</v>
      </c>
      <c r="J551" s="15">
        <v>-4826.12</v>
      </c>
      <c r="K551" s="21">
        <f t="shared" si="53"/>
        <v>42675</v>
      </c>
      <c r="L551" s="16">
        <f t="shared" si="48"/>
        <v>6</v>
      </c>
      <c r="M551" s="17">
        <v>2.23333E-3</v>
      </c>
      <c r="N551" s="18">
        <f t="shared" si="49"/>
        <v>-64.669911477599996</v>
      </c>
      <c r="O551" s="15"/>
      <c r="P551" s="20">
        <f t="shared" si="50"/>
        <v>0</v>
      </c>
      <c r="Q551" s="15"/>
      <c r="R551" s="20">
        <f t="shared" si="51"/>
        <v>0</v>
      </c>
      <c r="S551" s="130"/>
      <c r="T551" s="20">
        <f t="shared" si="52"/>
        <v>-68.316744924999995</v>
      </c>
    </row>
    <row r="552" spans="1:20">
      <c r="A552" s="23" t="s">
        <v>29</v>
      </c>
      <c r="B552" s="14" t="s">
        <v>267</v>
      </c>
      <c r="C552" s="14" t="s">
        <v>268</v>
      </c>
      <c r="D552" s="13" t="s">
        <v>269</v>
      </c>
      <c r="E552" s="14" t="s">
        <v>270</v>
      </c>
      <c r="F552" s="13" t="s">
        <v>115</v>
      </c>
      <c r="G552" s="14" t="s">
        <v>20</v>
      </c>
      <c r="H552" s="14"/>
      <c r="I552" s="14">
        <v>201405</v>
      </c>
      <c r="J552" s="15">
        <v>87099.62</v>
      </c>
      <c r="K552" s="21">
        <f t="shared" si="53"/>
        <v>42675</v>
      </c>
      <c r="L552" s="16">
        <f t="shared" si="48"/>
        <v>6</v>
      </c>
      <c r="M552" s="17">
        <v>2.23333E-3</v>
      </c>
      <c r="N552" s="18">
        <f t="shared" si="49"/>
        <v>1167.1331660075998</v>
      </c>
      <c r="O552" s="15"/>
      <c r="P552" s="20">
        <f t="shared" si="50"/>
        <v>0</v>
      </c>
      <c r="Q552" s="15"/>
      <c r="R552" s="20">
        <f t="shared" si="51"/>
        <v>0</v>
      </c>
      <c r="S552" s="130"/>
      <c r="T552" s="20">
        <f t="shared" si="52"/>
        <v>1232.9495583624998</v>
      </c>
    </row>
    <row r="553" spans="1:20">
      <c r="A553" s="23" t="s">
        <v>29</v>
      </c>
      <c r="B553" s="14" t="s">
        <v>271</v>
      </c>
      <c r="C553" s="14" t="s">
        <v>272</v>
      </c>
      <c r="D553" s="13" t="s">
        <v>197</v>
      </c>
      <c r="E553" s="14" t="s">
        <v>273</v>
      </c>
      <c r="F553" s="13" t="s">
        <v>199</v>
      </c>
      <c r="G553" s="14" t="s">
        <v>20</v>
      </c>
      <c r="H553" s="14"/>
      <c r="I553" s="14">
        <v>201405</v>
      </c>
      <c r="J553" s="15">
        <v>-13058.84</v>
      </c>
      <c r="K553" s="21">
        <f t="shared" si="53"/>
        <v>42675</v>
      </c>
      <c r="L553" s="16">
        <f t="shared" si="48"/>
        <v>6</v>
      </c>
      <c r="M553" s="17">
        <v>2.23333E-3</v>
      </c>
      <c r="N553" s="18">
        <f t="shared" si="49"/>
        <v>-174.98819482319999</v>
      </c>
      <c r="O553" s="15"/>
      <c r="P553" s="20">
        <f t="shared" si="50"/>
        <v>0</v>
      </c>
      <c r="Q553" s="15"/>
      <c r="R553" s="20">
        <f t="shared" si="51"/>
        <v>0</v>
      </c>
      <c r="S553" s="130"/>
      <c r="T553" s="20">
        <f t="shared" si="52"/>
        <v>-184.85604197499998</v>
      </c>
    </row>
    <row r="554" spans="1:20">
      <c r="A554" s="13" t="s">
        <v>21</v>
      </c>
      <c r="B554" s="14" t="s">
        <v>636</v>
      </c>
      <c r="C554" s="14" t="s">
        <v>637</v>
      </c>
      <c r="D554" s="13" t="s">
        <v>638</v>
      </c>
      <c r="E554" s="14" t="s">
        <v>497</v>
      </c>
      <c r="F554" s="13" t="s">
        <v>26</v>
      </c>
      <c r="G554" s="14" t="s">
        <v>20</v>
      </c>
      <c r="H554" s="14"/>
      <c r="I554" s="14">
        <v>201405</v>
      </c>
      <c r="J554" s="15">
        <v>217.22</v>
      </c>
      <c r="K554" s="21">
        <f t="shared" si="53"/>
        <v>42675</v>
      </c>
      <c r="L554" s="16">
        <f t="shared" si="48"/>
        <v>6</v>
      </c>
      <c r="M554" s="17">
        <v>1.4833299999999999E-3</v>
      </c>
      <c r="N554" s="18">
        <f t="shared" si="49"/>
        <v>1.9332536556</v>
      </c>
      <c r="O554" s="15"/>
      <c r="P554" s="20">
        <f t="shared" si="50"/>
        <v>0</v>
      </c>
      <c r="Q554" s="15"/>
      <c r="R554" s="20">
        <f t="shared" si="51"/>
        <v>0</v>
      </c>
      <c r="S554" s="130"/>
      <c r="T554" s="20">
        <f t="shared" si="52"/>
        <v>3.0748848624999998</v>
      </c>
    </row>
    <row r="555" spans="1:20">
      <c r="A555" s="13" t="s">
        <v>21</v>
      </c>
      <c r="B555" s="14" t="s">
        <v>274</v>
      </c>
      <c r="C555" s="14" t="s">
        <v>275</v>
      </c>
      <c r="D555" s="13" t="s">
        <v>276</v>
      </c>
      <c r="E555" s="14" t="s">
        <v>75</v>
      </c>
      <c r="F555" s="13" t="s">
        <v>26</v>
      </c>
      <c r="G555" s="14" t="s">
        <v>20</v>
      </c>
      <c r="H555" s="14"/>
      <c r="I555" s="14">
        <v>201405</v>
      </c>
      <c r="J555" s="15">
        <v>-9226.06</v>
      </c>
      <c r="K555" s="21">
        <f t="shared" si="53"/>
        <v>42675</v>
      </c>
      <c r="L555" s="16">
        <f t="shared" si="48"/>
        <v>6</v>
      </c>
      <c r="M555" s="17">
        <v>1.4833299999999999E-3</v>
      </c>
      <c r="N555" s="18">
        <f t="shared" si="49"/>
        <v>-82.111749478799993</v>
      </c>
      <c r="O555" s="15"/>
      <c r="P555" s="20">
        <f t="shared" si="50"/>
        <v>0</v>
      </c>
      <c r="Q555" s="15"/>
      <c r="R555" s="20">
        <f t="shared" si="51"/>
        <v>0</v>
      </c>
      <c r="S555" s="130"/>
      <c r="T555" s="20">
        <f t="shared" si="52"/>
        <v>-130.60064558749997</v>
      </c>
    </row>
    <row r="556" spans="1:20">
      <c r="A556" s="13" t="s">
        <v>21</v>
      </c>
      <c r="B556" s="14" t="s">
        <v>277</v>
      </c>
      <c r="C556" s="14" t="s">
        <v>278</v>
      </c>
      <c r="D556" s="13" t="s">
        <v>279</v>
      </c>
      <c r="E556" s="14" t="s">
        <v>280</v>
      </c>
      <c r="F556" s="13" t="s">
        <v>26</v>
      </c>
      <c r="G556" s="14" t="s">
        <v>20</v>
      </c>
      <c r="H556" s="14"/>
      <c r="I556" s="14">
        <v>201405</v>
      </c>
      <c r="J556" s="15">
        <v>-9188.74</v>
      </c>
      <c r="K556" s="21">
        <f t="shared" si="53"/>
        <v>42675</v>
      </c>
      <c r="L556" s="16">
        <f t="shared" si="48"/>
        <v>6</v>
      </c>
      <c r="M556" s="17">
        <v>1.4833299999999999E-3</v>
      </c>
      <c r="N556" s="18">
        <f t="shared" si="49"/>
        <v>-81.779602225199994</v>
      </c>
      <c r="O556" s="15"/>
      <c r="P556" s="20">
        <f t="shared" si="50"/>
        <v>0</v>
      </c>
      <c r="Q556" s="15"/>
      <c r="R556" s="20">
        <f t="shared" si="51"/>
        <v>0</v>
      </c>
      <c r="S556" s="130"/>
      <c r="T556" s="20">
        <f t="shared" si="52"/>
        <v>-130.0723576625</v>
      </c>
    </row>
    <row r="557" spans="1:20">
      <c r="A557" s="13" t="s">
        <v>21</v>
      </c>
      <c r="B557" s="14" t="s">
        <v>406</v>
      </c>
      <c r="C557" s="14" t="s">
        <v>407</v>
      </c>
      <c r="D557" s="13" t="s">
        <v>408</v>
      </c>
      <c r="E557" s="14" t="s">
        <v>87</v>
      </c>
      <c r="F557" s="13" t="s">
        <v>88</v>
      </c>
      <c r="G557" s="14" t="s">
        <v>20</v>
      </c>
      <c r="H557" s="14"/>
      <c r="I557" s="14">
        <v>201405</v>
      </c>
      <c r="J557" s="15">
        <v>-2572.87</v>
      </c>
      <c r="K557" s="21">
        <f t="shared" si="53"/>
        <v>42675</v>
      </c>
      <c r="L557" s="16">
        <f t="shared" si="48"/>
        <v>6</v>
      </c>
      <c r="M557" s="17">
        <v>1.4833299999999999E-3</v>
      </c>
      <c r="N557" s="18">
        <f t="shared" si="49"/>
        <v>-22.898491542599999</v>
      </c>
      <c r="O557" s="15"/>
      <c r="P557" s="20">
        <f t="shared" si="50"/>
        <v>0</v>
      </c>
      <c r="Q557" s="15"/>
      <c r="R557" s="20">
        <f t="shared" si="51"/>
        <v>0</v>
      </c>
      <c r="S557" s="130"/>
      <c r="T557" s="20">
        <f t="shared" si="52"/>
        <v>-36.420582893749994</v>
      </c>
    </row>
    <row r="558" spans="1:20">
      <c r="A558" s="13" t="s">
        <v>21</v>
      </c>
      <c r="B558" s="14" t="s">
        <v>639</v>
      </c>
      <c r="C558" s="14" t="s">
        <v>640</v>
      </c>
      <c r="D558" s="13" t="s">
        <v>641</v>
      </c>
      <c r="E558" s="14" t="s">
        <v>164</v>
      </c>
      <c r="F558" s="13" t="s">
        <v>165</v>
      </c>
      <c r="G558" s="14" t="s">
        <v>20</v>
      </c>
      <c r="H558" s="14"/>
      <c r="I558" s="14">
        <v>201405</v>
      </c>
      <c r="J558" s="15">
        <v>-4304.91</v>
      </c>
      <c r="K558" s="21">
        <f t="shared" si="53"/>
        <v>42675</v>
      </c>
      <c r="L558" s="16">
        <f t="shared" si="48"/>
        <v>6</v>
      </c>
      <c r="M558" s="17">
        <v>1.4833299999999999E-3</v>
      </c>
      <c r="N558" s="18">
        <f t="shared" si="49"/>
        <v>-38.313612901799999</v>
      </c>
      <c r="O558" s="15"/>
      <c r="P558" s="20">
        <f t="shared" si="50"/>
        <v>0</v>
      </c>
      <c r="Q558" s="15"/>
      <c r="R558" s="20">
        <f t="shared" si="51"/>
        <v>0</v>
      </c>
      <c r="S558" s="130"/>
      <c r="T558" s="20">
        <f t="shared" si="52"/>
        <v>-60.938691618749992</v>
      </c>
    </row>
    <row r="559" spans="1:20">
      <c r="A559" s="23" t="s">
        <v>29</v>
      </c>
      <c r="B559" s="14" t="s">
        <v>281</v>
      </c>
      <c r="C559" s="14" t="s">
        <v>282</v>
      </c>
      <c r="D559" s="13" t="s">
        <v>283</v>
      </c>
      <c r="E559" s="14" t="s">
        <v>284</v>
      </c>
      <c r="F559" s="13" t="s">
        <v>285</v>
      </c>
      <c r="G559" s="14" t="s">
        <v>20</v>
      </c>
      <c r="H559" s="14"/>
      <c r="I559" s="14">
        <v>201405</v>
      </c>
      <c r="J559" s="15">
        <v>-1339.83</v>
      </c>
      <c r="K559" s="21">
        <f t="shared" si="53"/>
        <v>42675</v>
      </c>
      <c r="L559" s="16">
        <f t="shared" si="48"/>
        <v>6</v>
      </c>
      <c r="M559" s="17">
        <v>2.23333E-3</v>
      </c>
      <c r="N559" s="18">
        <f t="shared" si="49"/>
        <v>-17.953695203399999</v>
      </c>
      <c r="O559" s="15"/>
      <c r="P559" s="20">
        <f t="shared" si="50"/>
        <v>0</v>
      </c>
      <c r="Q559" s="15"/>
      <c r="R559" s="20">
        <f t="shared" si="51"/>
        <v>0</v>
      </c>
      <c r="S559" s="130"/>
      <c r="T559" s="20">
        <f t="shared" si="52"/>
        <v>-18.966131043749996</v>
      </c>
    </row>
    <row r="560" spans="1:20">
      <c r="A560" s="13" t="s">
        <v>21</v>
      </c>
      <c r="B560" s="14" t="s">
        <v>409</v>
      </c>
      <c r="C560" s="14" t="s">
        <v>410</v>
      </c>
      <c r="D560" s="13" t="s">
        <v>411</v>
      </c>
      <c r="E560" s="14" t="s">
        <v>75</v>
      </c>
      <c r="F560" s="13" t="s">
        <v>26</v>
      </c>
      <c r="G560" s="14" t="s">
        <v>20</v>
      </c>
      <c r="H560" s="14"/>
      <c r="I560" s="14">
        <v>201405</v>
      </c>
      <c r="J560" s="15">
        <v>-6336.99</v>
      </c>
      <c r="K560" s="21">
        <f t="shared" si="53"/>
        <v>42675</v>
      </c>
      <c r="L560" s="16">
        <f t="shared" si="48"/>
        <v>6</v>
      </c>
      <c r="M560" s="17">
        <v>1.4833299999999999E-3</v>
      </c>
      <c r="N560" s="18">
        <f t="shared" si="49"/>
        <v>-56.399084260199999</v>
      </c>
      <c r="O560" s="15"/>
      <c r="P560" s="20">
        <f t="shared" si="50"/>
        <v>0</v>
      </c>
      <c r="Q560" s="15"/>
      <c r="R560" s="20">
        <f t="shared" si="51"/>
        <v>0</v>
      </c>
      <c r="S560" s="130"/>
      <c r="T560" s="20">
        <f t="shared" si="52"/>
        <v>-89.704054068749983</v>
      </c>
    </row>
    <row r="561" spans="1:20">
      <c r="A561" s="13" t="s">
        <v>21</v>
      </c>
      <c r="B561" s="14" t="s">
        <v>642</v>
      </c>
      <c r="C561" s="14" t="s">
        <v>643</v>
      </c>
      <c r="D561" s="13" t="s">
        <v>644</v>
      </c>
      <c r="E561" s="14" t="s">
        <v>360</v>
      </c>
      <c r="F561" s="13" t="s">
        <v>19</v>
      </c>
      <c r="G561" s="14" t="s">
        <v>20</v>
      </c>
      <c r="H561" s="14"/>
      <c r="I561" s="14">
        <v>201405</v>
      </c>
      <c r="J561" s="15">
        <v>-4278.0200000000004</v>
      </c>
      <c r="K561" s="21">
        <f t="shared" si="53"/>
        <v>42675</v>
      </c>
      <c r="L561" s="16">
        <f t="shared" si="48"/>
        <v>6</v>
      </c>
      <c r="M561" s="17">
        <v>1.4833299999999999E-3</v>
      </c>
      <c r="N561" s="18">
        <f t="shared" si="49"/>
        <v>-38.074292439600001</v>
      </c>
      <c r="O561" s="15"/>
      <c r="P561" s="20">
        <f t="shared" si="50"/>
        <v>0</v>
      </c>
      <c r="Q561" s="15"/>
      <c r="R561" s="20">
        <f t="shared" si="51"/>
        <v>0</v>
      </c>
      <c r="S561" s="130"/>
      <c r="T561" s="20">
        <f t="shared" si="52"/>
        <v>-60.558046862499999</v>
      </c>
    </row>
    <row r="562" spans="1:20">
      <c r="A562" s="13" t="s">
        <v>21</v>
      </c>
      <c r="B562" s="14" t="s">
        <v>286</v>
      </c>
      <c r="C562" s="14" t="s">
        <v>287</v>
      </c>
      <c r="D562" s="13" t="s">
        <v>288</v>
      </c>
      <c r="E562" s="14" t="s">
        <v>25</v>
      </c>
      <c r="F562" s="13" t="s">
        <v>26</v>
      </c>
      <c r="G562" s="14" t="s">
        <v>20</v>
      </c>
      <c r="H562" s="14"/>
      <c r="I562" s="14">
        <v>201405</v>
      </c>
      <c r="J562" s="15">
        <v>-4698.75</v>
      </c>
      <c r="K562" s="21">
        <f t="shared" si="53"/>
        <v>42675</v>
      </c>
      <c r="L562" s="16">
        <f t="shared" si="48"/>
        <v>6</v>
      </c>
      <c r="M562" s="17">
        <v>1.4833299999999999E-3</v>
      </c>
      <c r="N562" s="18">
        <f t="shared" si="49"/>
        <v>-41.818781025</v>
      </c>
      <c r="O562" s="15"/>
      <c r="P562" s="20">
        <f t="shared" si="50"/>
        <v>0</v>
      </c>
      <c r="Q562" s="15"/>
      <c r="R562" s="20">
        <f t="shared" si="51"/>
        <v>0</v>
      </c>
      <c r="S562" s="130"/>
      <c r="T562" s="20">
        <f t="shared" si="52"/>
        <v>-66.513742968749995</v>
      </c>
    </row>
    <row r="563" spans="1:20">
      <c r="A563" s="13" t="s">
        <v>21</v>
      </c>
      <c r="B563" s="14" t="s">
        <v>645</v>
      </c>
      <c r="C563" s="14" t="s">
        <v>646</v>
      </c>
      <c r="D563" s="13" t="s">
        <v>647</v>
      </c>
      <c r="E563" s="14" t="s">
        <v>397</v>
      </c>
      <c r="F563" s="13" t="s">
        <v>398</v>
      </c>
      <c r="G563" s="14" t="s">
        <v>20</v>
      </c>
      <c r="H563" s="14"/>
      <c r="I563" s="14">
        <v>201405</v>
      </c>
      <c r="J563" s="15">
        <v>-33438.19</v>
      </c>
      <c r="K563" s="21">
        <f t="shared" si="53"/>
        <v>42675</v>
      </c>
      <c r="L563" s="16">
        <f t="shared" si="48"/>
        <v>6</v>
      </c>
      <c r="M563" s="17">
        <v>1.4833299999999999E-3</v>
      </c>
      <c r="N563" s="18">
        <f t="shared" si="49"/>
        <v>-297.59922223620003</v>
      </c>
      <c r="O563" s="15"/>
      <c r="P563" s="20">
        <f t="shared" si="50"/>
        <v>0</v>
      </c>
      <c r="Q563" s="15"/>
      <c r="R563" s="20">
        <f t="shared" si="51"/>
        <v>0</v>
      </c>
      <c r="S563" s="130"/>
      <c r="T563" s="20">
        <f t="shared" si="52"/>
        <v>-473.33847831874994</v>
      </c>
    </row>
    <row r="564" spans="1:20">
      <c r="A564" s="13" t="s">
        <v>21</v>
      </c>
      <c r="B564" s="14" t="s">
        <v>711</v>
      </c>
      <c r="C564" s="14" t="s">
        <v>712</v>
      </c>
      <c r="D564" s="13" t="s">
        <v>713</v>
      </c>
      <c r="E564" s="14" t="s">
        <v>613</v>
      </c>
      <c r="F564" s="13" t="s">
        <v>398</v>
      </c>
      <c r="G564" s="14" t="s">
        <v>20</v>
      </c>
      <c r="H564" s="14"/>
      <c r="I564" s="14">
        <v>201405</v>
      </c>
      <c r="J564" s="15">
        <v>9401.41</v>
      </c>
      <c r="K564" s="21">
        <f t="shared" si="53"/>
        <v>42675</v>
      </c>
      <c r="L564" s="16">
        <f t="shared" si="48"/>
        <v>6</v>
      </c>
      <c r="M564" s="17">
        <v>1.4833299999999999E-3</v>
      </c>
      <c r="N564" s="18">
        <f t="shared" si="49"/>
        <v>83.672360971800003</v>
      </c>
      <c r="O564" s="15"/>
      <c r="P564" s="20">
        <f t="shared" si="50"/>
        <v>0</v>
      </c>
      <c r="Q564" s="15"/>
      <c r="R564" s="20">
        <f t="shared" si="51"/>
        <v>0</v>
      </c>
      <c r="S564" s="130"/>
      <c r="T564" s="20">
        <f t="shared" si="52"/>
        <v>133.08283443125001</v>
      </c>
    </row>
    <row r="565" spans="1:20">
      <c r="A565" s="13" t="s">
        <v>21</v>
      </c>
      <c r="B565" s="14" t="s">
        <v>412</v>
      </c>
      <c r="C565" s="14" t="s">
        <v>413</v>
      </c>
      <c r="D565" s="13" t="s">
        <v>414</v>
      </c>
      <c r="E565" s="14" t="s">
        <v>415</v>
      </c>
      <c r="F565" s="13" t="s">
        <v>88</v>
      </c>
      <c r="G565" s="14" t="s">
        <v>20</v>
      </c>
      <c r="H565" s="14"/>
      <c r="I565" s="14">
        <v>201405</v>
      </c>
      <c r="J565" s="15">
        <v>-491.97</v>
      </c>
      <c r="K565" s="21">
        <f t="shared" si="53"/>
        <v>42675</v>
      </c>
      <c r="L565" s="16">
        <f t="shared" si="48"/>
        <v>6</v>
      </c>
      <c r="M565" s="17">
        <v>1.4833299999999999E-3</v>
      </c>
      <c r="N565" s="18">
        <f t="shared" si="49"/>
        <v>-4.3785231606000004</v>
      </c>
      <c r="O565" s="15"/>
      <c r="P565" s="20">
        <f t="shared" si="50"/>
        <v>0</v>
      </c>
      <c r="Q565" s="15"/>
      <c r="R565" s="20">
        <f t="shared" si="51"/>
        <v>0</v>
      </c>
      <c r="S565" s="130"/>
      <c r="T565" s="20">
        <f t="shared" si="52"/>
        <v>-6.9641428312500002</v>
      </c>
    </row>
    <row r="566" spans="1:20">
      <c r="A566" s="13" t="s">
        <v>21</v>
      </c>
      <c r="B566" s="14" t="s">
        <v>289</v>
      </c>
      <c r="C566" s="14" t="s">
        <v>290</v>
      </c>
      <c r="D566" s="13" t="s">
        <v>291</v>
      </c>
      <c r="E566" s="14" t="s">
        <v>164</v>
      </c>
      <c r="F566" s="13" t="s">
        <v>165</v>
      </c>
      <c r="G566" s="14" t="s">
        <v>20</v>
      </c>
      <c r="H566" s="14"/>
      <c r="I566" s="14">
        <v>201405</v>
      </c>
      <c r="J566" s="15">
        <v>-4928.5</v>
      </c>
      <c r="K566" s="21">
        <f t="shared" si="53"/>
        <v>42675</v>
      </c>
      <c r="L566" s="16">
        <f t="shared" si="48"/>
        <v>6</v>
      </c>
      <c r="M566" s="17">
        <v>1.4833299999999999E-3</v>
      </c>
      <c r="N566" s="18">
        <f t="shared" si="49"/>
        <v>-43.863551430000001</v>
      </c>
      <c r="O566" s="15"/>
      <c r="P566" s="20">
        <f t="shared" si="50"/>
        <v>0</v>
      </c>
      <c r="Q566" s="15"/>
      <c r="R566" s="20">
        <f t="shared" si="51"/>
        <v>0</v>
      </c>
      <c r="S566" s="130"/>
      <c r="T566" s="20">
        <f t="shared" si="52"/>
        <v>-69.765997812500004</v>
      </c>
    </row>
    <row r="567" spans="1:20">
      <c r="A567" s="13" t="s">
        <v>21</v>
      </c>
      <c r="B567" s="14" t="s">
        <v>491</v>
      </c>
      <c r="C567" s="14" t="s">
        <v>492</v>
      </c>
      <c r="D567" s="13" t="s">
        <v>493</v>
      </c>
      <c r="E567" s="14" t="s">
        <v>87</v>
      </c>
      <c r="F567" s="13" t="s">
        <v>88</v>
      </c>
      <c r="G567" s="14" t="s">
        <v>20</v>
      </c>
      <c r="H567" s="14"/>
      <c r="I567" s="14">
        <v>201405</v>
      </c>
      <c r="J567" s="15">
        <v>7007.41</v>
      </c>
      <c r="K567" s="21">
        <f t="shared" si="53"/>
        <v>42675</v>
      </c>
      <c r="L567" s="16">
        <f t="shared" si="48"/>
        <v>6</v>
      </c>
      <c r="M567" s="17">
        <v>1.4833299999999999E-3</v>
      </c>
      <c r="N567" s="18">
        <f t="shared" si="49"/>
        <v>62.365808851799997</v>
      </c>
      <c r="O567" s="15"/>
      <c r="P567" s="20">
        <f t="shared" si="50"/>
        <v>0</v>
      </c>
      <c r="Q567" s="15"/>
      <c r="R567" s="20">
        <f t="shared" si="51"/>
        <v>0</v>
      </c>
      <c r="S567" s="130"/>
      <c r="T567" s="20">
        <f t="shared" si="52"/>
        <v>99.194268181249996</v>
      </c>
    </row>
    <row r="568" spans="1:20">
      <c r="A568" s="13" t="s">
        <v>21</v>
      </c>
      <c r="B568" s="14" t="s">
        <v>648</v>
      </c>
      <c r="C568" s="14" t="s">
        <v>649</v>
      </c>
      <c r="D568" s="13" t="s">
        <v>650</v>
      </c>
      <c r="E568" s="14" t="s">
        <v>79</v>
      </c>
      <c r="F568" s="13" t="s">
        <v>26</v>
      </c>
      <c r="G568" s="14" t="s">
        <v>20</v>
      </c>
      <c r="H568" s="14"/>
      <c r="I568" s="14">
        <v>201405</v>
      </c>
      <c r="J568" s="15">
        <v>-4017.57</v>
      </c>
      <c r="K568" s="21">
        <f t="shared" si="53"/>
        <v>42675</v>
      </c>
      <c r="L568" s="16">
        <f t="shared" si="48"/>
        <v>6</v>
      </c>
      <c r="M568" s="17">
        <v>1.4833299999999999E-3</v>
      </c>
      <c r="N568" s="18">
        <f t="shared" si="49"/>
        <v>-35.756292648600002</v>
      </c>
      <c r="O568" s="15"/>
      <c r="P568" s="20">
        <f t="shared" si="50"/>
        <v>0</v>
      </c>
      <c r="Q568" s="15"/>
      <c r="R568" s="20">
        <f t="shared" si="51"/>
        <v>0</v>
      </c>
      <c r="S568" s="130"/>
      <c r="T568" s="20">
        <f t="shared" si="52"/>
        <v>-56.871214331250002</v>
      </c>
    </row>
    <row r="569" spans="1:20">
      <c r="A569" s="13" t="s">
        <v>21</v>
      </c>
      <c r="B569" s="14" t="s">
        <v>651</v>
      </c>
      <c r="C569" s="14" t="s">
        <v>652</v>
      </c>
      <c r="D569" s="13" t="s">
        <v>653</v>
      </c>
      <c r="E569" s="14" t="s">
        <v>360</v>
      </c>
      <c r="F569" s="13" t="s">
        <v>19</v>
      </c>
      <c r="G569" s="14" t="s">
        <v>20</v>
      </c>
      <c r="H569" s="14"/>
      <c r="I569" s="14">
        <v>201405</v>
      </c>
      <c r="J569" s="15">
        <v>-1996.81</v>
      </c>
      <c r="K569" s="21">
        <f t="shared" si="53"/>
        <v>42675</v>
      </c>
      <c r="L569" s="16">
        <f t="shared" si="48"/>
        <v>6</v>
      </c>
      <c r="M569" s="17">
        <v>1.4833299999999999E-3</v>
      </c>
      <c r="N569" s="18">
        <f t="shared" si="49"/>
        <v>-17.771569063800001</v>
      </c>
      <c r="O569" s="15"/>
      <c r="P569" s="20">
        <f t="shared" si="50"/>
        <v>0</v>
      </c>
      <c r="Q569" s="15"/>
      <c r="R569" s="20">
        <f t="shared" si="51"/>
        <v>0</v>
      </c>
      <c r="S569" s="130"/>
      <c r="T569" s="20">
        <f t="shared" si="52"/>
        <v>-28.266093556249999</v>
      </c>
    </row>
    <row r="570" spans="1:20">
      <c r="A570" s="13" t="s">
        <v>21</v>
      </c>
      <c r="B570" s="14" t="s">
        <v>654</v>
      </c>
      <c r="C570" s="14" t="s">
        <v>655</v>
      </c>
      <c r="D570" s="13" t="s">
        <v>656</v>
      </c>
      <c r="E570" s="14" t="s">
        <v>87</v>
      </c>
      <c r="F570" s="13" t="s">
        <v>88</v>
      </c>
      <c r="G570" s="14" t="s">
        <v>20</v>
      </c>
      <c r="H570" s="14"/>
      <c r="I570" s="14">
        <v>201405</v>
      </c>
      <c r="J570" s="15">
        <v>-3028.73</v>
      </c>
      <c r="K570" s="21">
        <f t="shared" si="53"/>
        <v>42675</v>
      </c>
      <c r="L570" s="16">
        <f t="shared" si="48"/>
        <v>6</v>
      </c>
      <c r="M570" s="17">
        <v>1.4833299999999999E-3</v>
      </c>
      <c r="N570" s="18">
        <f t="shared" si="49"/>
        <v>-26.955636425400002</v>
      </c>
      <c r="O570" s="15"/>
      <c r="P570" s="20">
        <f t="shared" si="50"/>
        <v>0</v>
      </c>
      <c r="Q570" s="15"/>
      <c r="R570" s="20">
        <f t="shared" si="51"/>
        <v>0</v>
      </c>
      <c r="S570" s="130"/>
      <c r="T570" s="20">
        <f t="shared" si="52"/>
        <v>-42.873566106249996</v>
      </c>
    </row>
    <row r="571" spans="1:20">
      <c r="A571" s="13" t="s">
        <v>21</v>
      </c>
      <c r="B571" s="14" t="s">
        <v>657</v>
      </c>
      <c r="C571" s="14" t="s">
        <v>658</v>
      </c>
      <c r="D571" s="13" t="s">
        <v>659</v>
      </c>
      <c r="E571" s="14" t="s">
        <v>356</v>
      </c>
      <c r="F571" s="13" t="s">
        <v>19</v>
      </c>
      <c r="G571" s="14" t="s">
        <v>20</v>
      </c>
      <c r="H571" s="14"/>
      <c r="I571" s="14">
        <v>201405</v>
      </c>
      <c r="J571" s="15">
        <v>-773.62</v>
      </c>
      <c r="K571" s="21">
        <f t="shared" si="53"/>
        <v>42675</v>
      </c>
      <c r="L571" s="16">
        <f t="shared" si="48"/>
        <v>6</v>
      </c>
      <c r="M571" s="17">
        <v>1.4833299999999999E-3</v>
      </c>
      <c r="N571" s="18">
        <f t="shared" si="49"/>
        <v>-6.8852025275999997</v>
      </c>
      <c r="O571" s="15"/>
      <c r="P571" s="20">
        <f t="shared" si="50"/>
        <v>0</v>
      </c>
      <c r="Q571" s="15"/>
      <c r="R571" s="20">
        <f t="shared" si="51"/>
        <v>0</v>
      </c>
      <c r="S571" s="130"/>
      <c r="T571" s="20">
        <f t="shared" si="52"/>
        <v>-10.951074612499999</v>
      </c>
    </row>
    <row r="572" spans="1:20">
      <c r="A572" s="13" t="s">
        <v>21</v>
      </c>
      <c r="B572" s="14" t="s">
        <v>660</v>
      </c>
      <c r="C572" s="14" t="s">
        <v>661</v>
      </c>
      <c r="D572" s="13" t="s">
        <v>662</v>
      </c>
      <c r="E572" s="14" t="s">
        <v>280</v>
      </c>
      <c r="F572" s="13" t="s">
        <v>26</v>
      </c>
      <c r="G572" s="14" t="s">
        <v>20</v>
      </c>
      <c r="H572" s="14"/>
      <c r="I572" s="14">
        <v>201405</v>
      </c>
      <c r="J572" s="15">
        <v>-824.58</v>
      </c>
      <c r="K572" s="21">
        <f t="shared" si="53"/>
        <v>42675</v>
      </c>
      <c r="L572" s="16">
        <f t="shared" si="48"/>
        <v>6</v>
      </c>
      <c r="M572" s="17">
        <v>1.4833299999999999E-3</v>
      </c>
      <c r="N572" s="18">
        <f t="shared" si="49"/>
        <v>-7.3387455084000006</v>
      </c>
      <c r="O572" s="15"/>
      <c r="P572" s="20">
        <f t="shared" si="50"/>
        <v>0</v>
      </c>
      <c r="Q572" s="15"/>
      <c r="R572" s="20">
        <f t="shared" si="51"/>
        <v>0</v>
      </c>
      <c r="S572" s="130"/>
      <c r="T572" s="20">
        <f t="shared" si="52"/>
        <v>-11.6724452625</v>
      </c>
    </row>
    <row r="573" spans="1:20">
      <c r="A573" s="23" t="s">
        <v>29</v>
      </c>
      <c r="B573" s="14" t="s">
        <v>292</v>
      </c>
      <c r="C573" s="14" t="s">
        <v>293</v>
      </c>
      <c r="D573" s="13" t="s">
        <v>197</v>
      </c>
      <c r="E573" s="14" t="s">
        <v>294</v>
      </c>
      <c r="F573" s="13" t="s">
        <v>199</v>
      </c>
      <c r="G573" s="14" t="s">
        <v>20</v>
      </c>
      <c r="H573" s="14"/>
      <c r="I573" s="14">
        <v>201405</v>
      </c>
      <c r="J573" s="15">
        <v>6634.77</v>
      </c>
      <c r="K573" s="21">
        <f t="shared" si="53"/>
        <v>42675</v>
      </c>
      <c r="L573" s="16">
        <f t="shared" si="48"/>
        <v>6</v>
      </c>
      <c r="M573" s="17">
        <v>2.23333E-3</v>
      </c>
      <c r="N573" s="18">
        <f t="shared" si="49"/>
        <v>88.905785304600002</v>
      </c>
      <c r="O573" s="15"/>
      <c r="P573" s="20">
        <f t="shared" si="50"/>
        <v>0</v>
      </c>
      <c r="Q573" s="15"/>
      <c r="R573" s="20">
        <f t="shared" si="51"/>
        <v>0</v>
      </c>
      <c r="S573" s="130"/>
      <c r="T573" s="20">
        <f t="shared" si="52"/>
        <v>93.919316081250003</v>
      </c>
    </row>
    <row r="574" spans="1:20">
      <c r="A574" s="13" t="s">
        <v>21</v>
      </c>
      <c r="B574" s="14" t="s">
        <v>663</v>
      </c>
      <c r="C574" s="14" t="s">
        <v>664</v>
      </c>
      <c r="D574" s="13" t="s">
        <v>665</v>
      </c>
      <c r="E574" s="14" t="s">
        <v>260</v>
      </c>
      <c r="F574" s="13" t="s">
        <v>26</v>
      </c>
      <c r="G574" s="14" t="s">
        <v>20</v>
      </c>
      <c r="H574" s="14"/>
      <c r="I574" s="14">
        <v>201405</v>
      </c>
      <c r="J574" s="15">
        <v>27.18</v>
      </c>
      <c r="K574" s="21">
        <f t="shared" si="53"/>
        <v>42675</v>
      </c>
      <c r="L574" s="16">
        <f t="shared" si="48"/>
        <v>6</v>
      </c>
      <c r="M574" s="17">
        <v>1.4833299999999999E-3</v>
      </c>
      <c r="N574" s="18">
        <f t="shared" si="49"/>
        <v>0.24190145639999999</v>
      </c>
      <c r="O574" s="15"/>
      <c r="P574" s="20">
        <f t="shared" si="50"/>
        <v>0</v>
      </c>
      <c r="Q574" s="15"/>
      <c r="R574" s="20">
        <f t="shared" si="51"/>
        <v>0</v>
      </c>
      <c r="S574" s="130"/>
      <c r="T574" s="20">
        <f t="shared" si="52"/>
        <v>0.3847498875</v>
      </c>
    </row>
    <row r="575" spans="1:20">
      <c r="A575" s="13" t="s">
        <v>127</v>
      </c>
      <c r="B575" s="14" t="s">
        <v>295</v>
      </c>
      <c r="C575" s="14" t="s">
        <v>296</v>
      </c>
      <c r="D575" s="13" t="s">
        <v>297</v>
      </c>
      <c r="E575" s="14" t="s">
        <v>216</v>
      </c>
      <c r="F575" s="13" t="s">
        <v>217</v>
      </c>
      <c r="G575" s="14" t="s">
        <v>20</v>
      </c>
      <c r="H575" s="14"/>
      <c r="I575" s="14">
        <v>201405</v>
      </c>
      <c r="J575" s="15">
        <v>-921.31</v>
      </c>
      <c r="K575" s="21">
        <f t="shared" si="53"/>
        <v>42675</v>
      </c>
      <c r="L575" s="16">
        <f t="shared" si="48"/>
        <v>6</v>
      </c>
      <c r="M575" s="17">
        <v>2.3833299999999999E-3</v>
      </c>
      <c r="N575" s="18">
        <f t="shared" si="49"/>
        <v>-13.174714573799999</v>
      </c>
      <c r="O575" s="15"/>
      <c r="P575" s="20">
        <f t="shared" si="50"/>
        <v>0</v>
      </c>
      <c r="Q575" s="15"/>
      <c r="R575" s="20">
        <f t="shared" si="51"/>
        <v>0</v>
      </c>
      <c r="S575" s="130"/>
      <c r="T575" s="20">
        <f t="shared" si="52"/>
        <v>-13.041718868749998</v>
      </c>
    </row>
    <row r="576" spans="1:20">
      <c r="A576" s="13" t="s">
        <v>21</v>
      </c>
      <c r="B576" s="14" t="s">
        <v>666</v>
      </c>
      <c r="C576" s="14" t="s">
        <v>667</v>
      </c>
      <c r="D576" s="13" t="s">
        <v>668</v>
      </c>
      <c r="E576" s="14" t="s">
        <v>87</v>
      </c>
      <c r="F576" s="13" t="s">
        <v>88</v>
      </c>
      <c r="G576" s="14" t="s">
        <v>20</v>
      </c>
      <c r="H576" s="14"/>
      <c r="I576" s="14">
        <v>201405</v>
      </c>
      <c r="J576" s="15">
        <v>-10100.98</v>
      </c>
      <c r="K576" s="21">
        <f t="shared" si="53"/>
        <v>42675</v>
      </c>
      <c r="L576" s="16">
        <f t="shared" si="48"/>
        <v>6</v>
      </c>
      <c r="M576" s="17">
        <v>1.4833299999999999E-3</v>
      </c>
      <c r="N576" s="18">
        <f t="shared" si="49"/>
        <v>-89.898519980399996</v>
      </c>
      <c r="O576" s="15"/>
      <c r="P576" s="20">
        <f t="shared" si="50"/>
        <v>0</v>
      </c>
      <c r="Q576" s="15"/>
      <c r="R576" s="20">
        <f t="shared" si="51"/>
        <v>0</v>
      </c>
      <c r="S576" s="130"/>
      <c r="T576" s="20">
        <f t="shared" si="52"/>
        <v>-142.98568501249997</v>
      </c>
    </row>
    <row r="577" spans="1:20">
      <c r="A577" s="13" t="s">
        <v>21</v>
      </c>
      <c r="B577" s="14" t="s">
        <v>298</v>
      </c>
      <c r="C577" s="14" t="s">
        <v>299</v>
      </c>
      <c r="D577" s="13" t="s">
        <v>300</v>
      </c>
      <c r="E577" s="14" t="s">
        <v>164</v>
      </c>
      <c r="F577" s="13" t="s">
        <v>165</v>
      </c>
      <c r="G577" s="14" t="s">
        <v>20</v>
      </c>
      <c r="H577" s="14"/>
      <c r="I577" s="14">
        <v>201405</v>
      </c>
      <c r="J577" s="15">
        <v>-8202.33</v>
      </c>
      <c r="K577" s="21">
        <f t="shared" si="53"/>
        <v>42675</v>
      </c>
      <c r="L577" s="16">
        <f t="shared" si="48"/>
        <v>6</v>
      </c>
      <c r="M577" s="17">
        <v>1.4833299999999999E-3</v>
      </c>
      <c r="N577" s="18">
        <f t="shared" si="49"/>
        <v>-73.000572953399995</v>
      </c>
      <c r="O577" s="15"/>
      <c r="P577" s="20">
        <f t="shared" si="50"/>
        <v>0</v>
      </c>
      <c r="Q577" s="15"/>
      <c r="R577" s="20">
        <f t="shared" si="51"/>
        <v>0</v>
      </c>
      <c r="S577" s="130"/>
      <c r="T577" s="20">
        <f t="shared" si="52"/>
        <v>-116.10910760624999</v>
      </c>
    </row>
    <row r="578" spans="1:20">
      <c r="A578" s="13" t="s">
        <v>21</v>
      </c>
      <c r="B578" s="14" t="s">
        <v>669</v>
      </c>
      <c r="C578" s="14" t="s">
        <v>670</v>
      </c>
      <c r="D578" s="13" t="s">
        <v>671</v>
      </c>
      <c r="E578" s="14" t="s">
        <v>497</v>
      </c>
      <c r="F578" s="13" t="s">
        <v>26</v>
      </c>
      <c r="G578" s="14" t="s">
        <v>20</v>
      </c>
      <c r="H578" s="14"/>
      <c r="I578" s="14">
        <v>201405</v>
      </c>
      <c r="J578" s="15">
        <v>-493.89</v>
      </c>
      <c r="K578" s="21">
        <f t="shared" si="53"/>
        <v>42675</v>
      </c>
      <c r="L578" s="16">
        <f t="shared" si="48"/>
        <v>6</v>
      </c>
      <c r="M578" s="17">
        <v>1.4833299999999999E-3</v>
      </c>
      <c r="N578" s="18">
        <f t="shared" si="49"/>
        <v>-4.3956111222000001</v>
      </c>
      <c r="O578" s="15"/>
      <c r="P578" s="20">
        <f t="shared" si="50"/>
        <v>0</v>
      </c>
      <c r="Q578" s="15"/>
      <c r="R578" s="20">
        <f t="shared" si="51"/>
        <v>0</v>
      </c>
      <c r="S578" s="130"/>
      <c r="T578" s="20">
        <f t="shared" si="52"/>
        <v>-6.9913216312499991</v>
      </c>
    </row>
    <row r="579" spans="1:20">
      <c r="A579" s="13" t="s">
        <v>21</v>
      </c>
      <c r="B579" s="14" t="s">
        <v>672</v>
      </c>
      <c r="C579" s="14" t="s">
        <v>673</v>
      </c>
      <c r="D579" s="13" t="s">
        <v>674</v>
      </c>
      <c r="E579" s="14" t="s">
        <v>164</v>
      </c>
      <c r="F579" s="13" t="s">
        <v>165</v>
      </c>
      <c r="G579" s="14" t="s">
        <v>20</v>
      </c>
      <c r="H579" s="14"/>
      <c r="I579" s="14">
        <v>201405</v>
      </c>
      <c r="J579" s="15">
        <v>-384.19</v>
      </c>
      <c r="K579" s="21">
        <f t="shared" si="53"/>
        <v>42675</v>
      </c>
      <c r="L579" s="16">
        <f t="shared" si="48"/>
        <v>6</v>
      </c>
      <c r="M579" s="17">
        <v>1.4833299999999999E-3</v>
      </c>
      <c r="N579" s="18">
        <f t="shared" si="49"/>
        <v>-3.4192833162</v>
      </c>
      <c r="O579" s="15"/>
      <c r="P579" s="20">
        <f t="shared" si="50"/>
        <v>0</v>
      </c>
      <c r="Q579" s="15"/>
      <c r="R579" s="20">
        <f t="shared" si="51"/>
        <v>0</v>
      </c>
      <c r="S579" s="130"/>
      <c r="T579" s="20">
        <f t="shared" si="52"/>
        <v>-5.4384495687499994</v>
      </c>
    </row>
    <row r="580" spans="1:20">
      <c r="A580" s="13" t="s">
        <v>21</v>
      </c>
      <c r="B580" s="14" t="s">
        <v>301</v>
      </c>
      <c r="C580" s="14" t="s">
        <v>302</v>
      </c>
      <c r="D580" s="13" t="s">
        <v>303</v>
      </c>
      <c r="E580" s="14" t="s">
        <v>63</v>
      </c>
      <c r="F580" s="13" t="s">
        <v>19</v>
      </c>
      <c r="G580" s="14" t="s">
        <v>20</v>
      </c>
      <c r="H580" s="14"/>
      <c r="I580" s="14">
        <v>201405</v>
      </c>
      <c r="J580" s="15">
        <v>-261.58999999999997</v>
      </c>
      <c r="K580" s="21">
        <f t="shared" si="53"/>
        <v>42675</v>
      </c>
      <c r="L580" s="16">
        <f t="shared" si="48"/>
        <v>6</v>
      </c>
      <c r="M580" s="17">
        <v>1.4833299999999999E-3</v>
      </c>
      <c r="N580" s="18">
        <f t="shared" si="49"/>
        <v>-2.3281457681999997</v>
      </c>
      <c r="O580" s="15"/>
      <c r="P580" s="20">
        <f t="shared" si="50"/>
        <v>0</v>
      </c>
      <c r="Q580" s="15"/>
      <c r="R580" s="20">
        <f t="shared" si="51"/>
        <v>0</v>
      </c>
      <c r="S580" s="130"/>
      <c r="T580" s="20">
        <f t="shared" si="52"/>
        <v>-3.702969943749999</v>
      </c>
    </row>
    <row r="581" spans="1:20">
      <c r="A581" s="13" t="s">
        <v>21</v>
      </c>
      <c r="B581" s="14" t="s">
        <v>304</v>
      </c>
      <c r="C581" s="14" t="s">
        <v>305</v>
      </c>
      <c r="D581" s="13" t="s">
        <v>306</v>
      </c>
      <c r="E581" s="14" t="s">
        <v>307</v>
      </c>
      <c r="F581" s="13" t="s">
        <v>165</v>
      </c>
      <c r="G581" s="14" t="s">
        <v>20</v>
      </c>
      <c r="H581" s="14"/>
      <c r="I581" s="14">
        <v>201405</v>
      </c>
      <c r="J581" s="15">
        <v>-10315.26</v>
      </c>
      <c r="K581" s="21">
        <f t="shared" si="53"/>
        <v>42675</v>
      </c>
      <c r="L581" s="16">
        <f t="shared" si="48"/>
        <v>6</v>
      </c>
      <c r="M581" s="17">
        <v>1.4833299999999999E-3</v>
      </c>
      <c r="N581" s="18">
        <f t="shared" si="49"/>
        <v>-91.805607694800003</v>
      </c>
      <c r="O581" s="15"/>
      <c r="P581" s="20">
        <f t="shared" si="50"/>
        <v>0</v>
      </c>
      <c r="Q581" s="15"/>
      <c r="R581" s="20">
        <f t="shared" si="51"/>
        <v>0</v>
      </c>
      <c r="S581" s="130"/>
      <c r="T581" s="20">
        <f t="shared" si="52"/>
        <v>-146.0189523375</v>
      </c>
    </row>
    <row r="582" spans="1:20">
      <c r="A582" s="13" t="s">
        <v>21</v>
      </c>
      <c r="B582" s="14" t="s">
        <v>494</v>
      </c>
      <c r="C582" s="14" t="s">
        <v>495</v>
      </c>
      <c r="D582" s="13" t="s">
        <v>496</v>
      </c>
      <c r="E582" s="14" t="s">
        <v>497</v>
      </c>
      <c r="F582" s="13" t="s">
        <v>26</v>
      </c>
      <c r="G582" s="14" t="s">
        <v>20</v>
      </c>
      <c r="H582" s="14"/>
      <c r="I582" s="14">
        <v>201405</v>
      </c>
      <c r="J582" s="15">
        <v>-29608.23</v>
      </c>
      <c r="K582" s="21">
        <f t="shared" si="53"/>
        <v>42675</v>
      </c>
      <c r="L582" s="16">
        <f t="shared" ref="L582:L645" si="54">((YEAR($L$1)-YEAR(K582))*12+MONTH($L$1)-MONTH(K582))</f>
        <v>6</v>
      </c>
      <c r="M582" s="17">
        <v>1.4833299999999999E-3</v>
      </c>
      <c r="N582" s="18">
        <f t="shared" ref="N582:N645" si="55">M582*L582*J582</f>
        <v>-263.51265483539999</v>
      </c>
      <c r="O582" s="15"/>
      <c r="P582" s="20">
        <f t="shared" ref="P582:P645" si="56">$P$4*(J582*0.5)*$V$10</f>
        <v>0</v>
      </c>
      <c r="Q582" s="15"/>
      <c r="R582" s="20">
        <f t="shared" ref="R582:R645" si="57">$R$4*(J582*0.5)*$V$9</f>
        <v>0</v>
      </c>
      <c r="S582" s="130"/>
      <c r="T582" s="20">
        <f t="shared" ref="T582:T645" si="58">$T$4*(J582*0.5)*$V$11</f>
        <v>-419.12300079375001</v>
      </c>
    </row>
    <row r="583" spans="1:20">
      <c r="A583" s="13" t="s">
        <v>21</v>
      </c>
      <c r="B583" s="14" t="s">
        <v>498</v>
      </c>
      <c r="C583" s="14" t="s">
        <v>499</v>
      </c>
      <c r="D583" s="13" t="s">
        <v>500</v>
      </c>
      <c r="E583" s="14" t="s">
        <v>75</v>
      </c>
      <c r="F583" s="13" t="s">
        <v>26</v>
      </c>
      <c r="G583" s="14" t="s">
        <v>20</v>
      </c>
      <c r="H583" s="14"/>
      <c r="I583" s="14">
        <v>201405</v>
      </c>
      <c r="J583" s="15">
        <v>-7779.49</v>
      </c>
      <c r="K583" s="21">
        <f t="shared" ref="K583:K646" si="59">+K582</f>
        <v>42675</v>
      </c>
      <c r="L583" s="16">
        <f t="shared" si="54"/>
        <v>6</v>
      </c>
      <c r="M583" s="17">
        <v>1.4833299999999999E-3</v>
      </c>
      <c r="N583" s="18">
        <f t="shared" si="55"/>
        <v>-69.237305410199994</v>
      </c>
      <c r="O583" s="15"/>
      <c r="P583" s="20">
        <f t="shared" si="56"/>
        <v>0</v>
      </c>
      <c r="Q583" s="15"/>
      <c r="R583" s="20">
        <f t="shared" si="57"/>
        <v>0</v>
      </c>
      <c r="S583" s="130"/>
      <c r="T583" s="20">
        <f t="shared" si="58"/>
        <v>-110.12354313124999</v>
      </c>
    </row>
    <row r="584" spans="1:20">
      <c r="A584" s="13" t="s">
        <v>21</v>
      </c>
      <c r="B584" s="14" t="s">
        <v>501</v>
      </c>
      <c r="C584" s="14" t="s">
        <v>502</v>
      </c>
      <c r="D584" s="13" t="s">
        <v>503</v>
      </c>
      <c r="E584" s="14" t="s">
        <v>280</v>
      </c>
      <c r="F584" s="13" t="s">
        <v>26</v>
      </c>
      <c r="G584" s="14" t="s">
        <v>20</v>
      </c>
      <c r="H584" s="14"/>
      <c r="I584" s="14">
        <v>201405</v>
      </c>
      <c r="J584" s="15">
        <v>20793.13</v>
      </c>
      <c r="K584" s="21">
        <f t="shared" si="59"/>
        <v>42675</v>
      </c>
      <c r="L584" s="16">
        <f t="shared" si="54"/>
        <v>6</v>
      </c>
      <c r="M584" s="17">
        <v>1.4833299999999999E-3</v>
      </c>
      <c r="N584" s="18">
        <f t="shared" si="55"/>
        <v>185.05844113740002</v>
      </c>
      <c r="O584" s="15"/>
      <c r="P584" s="20">
        <f t="shared" si="56"/>
        <v>0</v>
      </c>
      <c r="Q584" s="15"/>
      <c r="R584" s="20">
        <f t="shared" si="57"/>
        <v>0</v>
      </c>
      <c r="S584" s="130"/>
      <c r="T584" s="20">
        <f t="shared" si="58"/>
        <v>294.33975085625002</v>
      </c>
    </row>
    <row r="585" spans="1:20">
      <c r="A585" s="13" t="s">
        <v>21</v>
      </c>
      <c r="B585" s="14" t="s">
        <v>308</v>
      </c>
      <c r="C585" s="14" t="s">
        <v>309</v>
      </c>
      <c r="D585" s="13" t="s">
        <v>310</v>
      </c>
      <c r="E585" s="14" t="s">
        <v>142</v>
      </c>
      <c r="F585" s="13" t="s">
        <v>143</v>
      </c>
      <c r="G585" s="14" t="s">
        <v>20</v>
      </c>
      <c r="H585" s="14"/>
      <c r="I585" s="14">
        <v>201405</v>
      </c>
      <c r="J585" s="15">
        <v>-1907.62</v>
      </c>
      <c r="K585" s="21">
        <f t="shared" si="59"/>
        <v>42675</v>
      </c>
      <c r="L585" s="16">
        <f t="shared" si="54"/>
        <v>6</v>
      </c>
      <c r="M585" s="17">
        <v>1.4833299999999999E-3</v>
      </c>
      <c r="N585" s="18">
        <f t="shared" si="55"/>
        <v>-16.977779847600001</v>
      </c>
      <c r="O585" s="15"/>
      <c r="P585" s="20">
        <f t="shared" si="56"/>
        <v>0</v>
      </c>
      <c r="Q585" s="15"/>
      <c r="R585" s="20">
        <f t="shared" si="57"/>
        <v>0</v>
      </c>
      <c r="S585" s="130"/>
      <c r="T585" s="20">
        <f t="shared" si="58"/>
        <v>-27.003553362499996</v>
      </c>
    </row>
    <row r="586" spans="1:20">
      <c r="A586" s="13" t="s">
        <v>21</v>
      </c>
      <c r="B586" s="14" t="s">
        <v>416</v>
      </c>
      <c r="C586" s="14" t="s">
        <v>417</v>
      </c>
      <c r="D586" s="13" t="s">
        <v>418</v>
      </c>
      <c r="E586" s="14" t="s">
        <v>209</v>
      </c>
      <c r="F586" s="13" t="s">
        <v>88</v>
      </c>
      <c r="G586" s="14" t="s">
        <v>20</v>
      </c>
      <c r="H586" s="14"/>
      <c r="I586" s="14">
        <v>201405</v>
      </c>
      <c r="J586" s="15">
        <v>-2746.26</v>
      </c>
      <c r="K586" s="21">
        <f t="shared" si="59"/>
        <v>42675</v>
      </c>
      <c r="L586" s="16">
        <f t="shared" si="54"/>
        <v>6</v>
      </c>
      <c r="M586" s="17">
        <v>1.4833299999999999E-3</v>
      </c>
      <c r="N586" s="18">
        <f t="shared" si="55"/>
        <v>-24.4416590748</v>
      </c>
      <c r="O586" s="15"/>
      <c r="P586" s="20">
        <f t="shared" si="56"/>
        <v>0</v>
      </c>
      <c r="Q586" s="15"/>
      <c r="R586" s="20">
        <f t="shared" si="57"/>
        <v>0</v>
      </c>
      <c r="S586" s="130"/>
      <c r="T586" s="20">
        <f t="shared" si="58"/>
        <v>-38.875026712500002</v>
      </c>
    </row>
    <row r="587" spans="1:20">
      <c r="A587" s="13" t="s">
        <v>21</v>
      </c>
      <c r="B587" s="14" t="s">
        <v>311</v>
      </c>
      <c r="C587" s="14" t="s">
        <v>312</v>
      </c>
      <c r="D587" s="13" t="s">
        <v>313</v>
      </c>
      <c r="E587" s="14" t="s">
        <v>164</v>
      </c>
      <c r="F587" s="13" t="s">
        <v>165</v>
      </c>
      <c r="G587" s="14" t="s">
        <v>20</v>
      </c>
      <c r="H587" s="14"/>
      <c r="I587" s="14">
        <v>201405</v>
      </c>
      <c r="J587" s="15">
        <v>-9748.9599999999991</v>
      </c>
      <c r="K587" s="21">
        <f t="shared" si="59"/>
        <v>42675</v>
      </c>
      <c r="L587" s="16">
        <f t="shared" si="54"/>
        <v>6</v>
      </c>
      <c r="M587" s="17">
        <v>1.4833299999999999E-3</v>
      </c>
      <c r="N587" s="18">
        <f t="shared" si="55"/>
        <v>-86.765549020799995</v>
      </c>
      <c r="O587" s="15"/>
      <c r="P587" s="20">
        <f t="shared" si="56"/>
        <v>0</v>
      </c>
      <c r="Q587" s="15"/>
      <c r="R587" s="20">
        <f t="shared" si="57"/>
        <v>0</v>
      </c>
      <c r="S587" s="130"/>
      <c r="T587" s="20">
        <f t="shared" si="58"/>
        <v>-138.00262189999998</v>
      </c>
    </row>
    <row r="588" spans="1:20">
      <c r="A588" s="13" t="s">
        <v>21</v>
      </c>
      <c r="B588" s="14" t="s">
        <v>504</v>
      </c>
      <c r="C588" s="14" t="s">
        <v>505</v>
      </c>
      <c r="D588" s="13" t="s">
        <v>506</v>
      </c>
      <c r="E588" s="14" t="s">
        <v>164</v>
      </c>
      <c r="F588" s="13" t="s">
        <v>165</v>
      </c>
      <c r="G588" s="14" t="s">
        <v>20</v>
      </c>
      <c r="H588" s="14"/>
      <c r="I588" s="14">
        <v>201405</v>
      </c>
      <c r="J588" s="15">
        <v>5942.49</v>
      </c>
      <c r="K588" s="21">
        <f t="shared" si="59"/>
        <v>42675</v>
      </c>
      <c r="L588" s="16">
        <f t="shared" si="54"/>
        <v>6</v>
      </c>
      <c r="M588" s="17">
        <v>1.4833299999999999E-3</v>
      </c>
      <c r="N588" s="18">
        <f t="shared" si="55"/>
        <v>52.8880421502</v>
      </c>
      <c r="O588" s="15"/>
      <c r="P588" s="20">
        <f t="shared" si="56"/>
        <v>0</v>
      </c>
      <c r="Q588" s="15"/>
      <c r="R588" s="20">
        <f t="shared" si="57"/>
        <v>0</v>
      </c>
      <c r="S588" s="130"/>
      <c r="T588" s="20">
        <f t="shared" si="58"/>
        <v>84.119660006249987</v>
      </c>
    </row>
    <row r="589" spans="1:20">
      <c r="A589" s="23" t="s">
        <v>29</v>
      </c>
      <c r="B589" s="14" t="s">
        <v>314</v>
      </c>
      <c r="C589" s="14" t="s">
        <v>315</v>
      </c>
      <c r="D589" s="13" t="s">
        <v>316</v>
      </c>
      <c r="E589" s="14" t="s">
        <v>317</v>
      </c>
      <c r="F589" s="13" t="s">
        <v>285</v>
      </c>
      <c r="G589" s="14" t="s">
        <v>20</v>
      </c>
      <c r="H589" s="14"/>
      <c r="I589" s="14">
        <v>201405</v>
      </c>
      <c r="J589" s="15">
        <v>-2968.39</v>
      </c>
      <c r="K589" s="21">
        <f t="shared" si="59"/>
        <v>42675</v>
      </c>
      <c r="L589" s="16">
        <f t="shared" si="54"/>
        <v>6</v>
      </c>
      <c r="M589" s="17">
        <v>2.23333E-3</v>
      </c>
      <c r="N589" s="18">
        <f t="shared" si="55"/>
        <v>-39.776366632199995</v>
      </c>
      <c r="O589" s="15"/>
      <c r="P589" s="20">
        <f t="shared" si="56"/>
        <v>0</v>
      </c>
      <c r="Q589" s="15"/>
      <c r="R589" s="20">
        <f t="shared" si="57"/>
        <v>0</v>
      </c>
      <c r="S589" s="130"/>
      <c r="T589" s="20">
        <f t="shared" si="58"/>
        <v>-42.019415693749991</v>
      </c>
    </row>
    <row r="590" spans="1:20">
      <c r="A590" s="23" t="s">
        <v>29</v>
      </c>
      <c r="B590" s="14" t="s">
        <v>318</v>
      </c>
      <c r="C590" s="14" t="s">
        <v>319</v>
      </c>
      <c r="D590" s="13" t="s">
        <v>105</v>
      </c>
      <c r="E590" s="14" t="s">
        <v>320</v>
      </c>
      <c r="F590" s="13" t="s">
        <v>34</v>
      </c>
      <c r="G590" s="14" t="s">
        <v>20</v>
      </c>
      <c r="H590" s="14"/>
      <c r="I590" s="14">
        <v>201405</v>
      </c>
      <c r="J590" s="15">
        <v>-8324.92</v>
      </c>
      <c r="K590" s="21">
        <f t="shared" si="59"/>
        <v>42675</v>
      </c>
      <c r="L590" s="16">
        <f t="shared" si="54"/>
        <v>6</v>
      </c>
      <c r="M590" s="17">
        <v>2.23333E-3</v>
      </c>
      <c r="N590" s="18">
        <f t="shared" si="55"/>
        <v>-111.55376150159999</v>
      </c>
      <c r="O590" s="15"/>
      <c r="P590" s="20">
        <f t="shared" si="56"/>
        <v>0</v>
      </c>
      <c r="Q590" s="15"/>
      <c r="R590" s="20">
        <f t="shared" si="57"/>
        <v>0</v>
      </c>
      <c r="S590" s="130"/>
      <c r="T590" s="20">
        <f t="shared" si="58"/>
        <v>-117.844445675</v>
      </c>
    </row>
    <row r="591" spans="1:20">
      <c r="A591" s="23" t="s">
        <v>29</v>
      </c>
      <c r="B591" s="14" t="s">
        <v>321</v>
      </c>
      <c r="C591" s="14" t="s">
        <v>322</v>
      </c>
      <c r="D591" s="13" t="s">
        <v>323</v>
      </c>
      <c r="E591" s="14" t="s">
        <v>324</v>
      </c>
      <c r="F591" s="13" t="s">
        <v>52</v>
      </c>
      <c r="G591" s="14" t="s">
        <v>20</v>
      </c>
      <c r="H591" s="14"/>
      <c r="I591" s="14">
        <v>201405</v>
      </c>
      <c r="J591" s="15">
        <v>36178.14</v>
      </c>
      <c r="K591" s="21">
        <f t="shared" si="59"/>
        <v>42675</v>
      </c>
      <c r="L591" s="16">
        <f t="shared" si="54"/>
        <v>6</v>
      </c>
      <c r="M591" s="17">
        <v>2.23333E-3</v>
      </c>
      <c r="N591" s="18">
        <f t="shared" si="55"/>
        <v>484.78635243719992</v>
      </c>
      <c r="O591" s="15"/>
      <c r="P591" s="20">
        <f t="shared" si="56"/>
        <v>0</v>
      </c>
      <c r="Q591" s="15"/>
      <c r="R591" s="20">
        <f t="shared" si="57"/>
        <v>0</v>
      </c>
      <c r="S591" s="130"/>
      <c r="T591" s="20">
        <f t="shared" si="58"/>
        <v>512.12418303749996</v>
      </c>
    </row>
    <row r="592" spans="1:20">
      <c r="A592" s="23" t="s">
        <v>29</v>
      </c>
      <c r="B592" s="14" t="s">
        <v>419</v>
      </c>
      <c r="C592" s="14" t="s">
        <v>420</v>
      </c>
      <c r="D592" s="13" t="s">
        <v>50</v>
      </c>
      <c r="E592" s="14" t="s">
        <v>421</v>
      </c>
      <c r="F592" s="13" t="s">
        <v>52</v>
      </c>
      <c r="G592" s="14" t="s">
        <v>20</v>
      </c>
      <c r="H592" s="14"/>
      <c r="I592" s="14">
        <v>201405</v>
      </c>
      <c r="J592" s="15">
        <v>-2041.67</v>
      </c>
      <c r="K592" s="21">
        <f t="shared" si="59"/>
        <v>42675</v>
      </c>
      <c r="L592" s="16">
        <f t="shared" si="54"/>
        <v>6</v>
      </c>
      <c r="M592" s="17">
        <v>2.23333E-3</v>
      </c>
      <c r="N592" s="18">
        <f t="shared" si="55"/>
        <v>-27.358337166599998</v>
      </c>
      <c r="O592" s="15"/>
      <c r="P592" s="20">
        <f t="shared" si="56"/>
        <v>0</v>
      </c>
      <c r="Q592" s="15"/>
      <c r="R592" s="20">
        <f t="shared" si="57"/>
        <v>0</v>
      </c>
      <c r="S592" s="130"/>
      <c r="T592" s="20">
        <f t="shared" si="58"/>
        <v>-28.901114893750002</v>
      </c>
    </row>
    <row r="593" spans="1:20">
      <c r="A593" s="23" t="s">
        <v>29</v>
      </c>
      <c r="B593" s="14" t="s">
        <v>325</v>
      </c>
      <c r="C593" s="14" t="s">
        <v>326</v>
      </c>
      <c r="D593" s="13" t="s">
        <v>327</v>
      </c>
      <c r="E593" s="14" t="s">
        <v>328</v>
      </c>
      <c r="F593" s="13" t="s">
        <v>58</v>
      </c>
      <c r="G593" s="14" t="s">
        <v>20</v>
      </c>
      <c r="H593" s="14"/>
      <c r="I593" s="14">
        <v>201405</v>
      </c>
      <c r="J593" s="15">
        <v>48178.15</v>
      </c>
      <c r="K593" s="21">
        <f t="shared" si="59"/>
        <v>42675</v>
      </c>
      <c r="L593" s="16">
        <f t="shared" si="54"/>
        <v>6</v>
      </c>
      <c r="M593" s="17">
        <v>2.23333E-3</v>
      </c>
      <c r="N593" s="18">
        <f t="shared" si="55"/>
        <v>645.586246437</v>
      </c>
      <c r="O593" s="15"/>
      <c r="P593" s="20">
        <f t="shared" si="56"/>
        <v>0</v>
      </c>
      <c r="Q593" s="15"/>
      <c r="R593" s="20">
        <f t="shared" si="57"/>
        <v>0</v>
      </c>
      <c r="S593" s="130"/>
      <c r="T593" s="20">
        <f t="shared" si="58"/>
        <v>681.99182459375004</v>
      </c>
    </row>
    <row r="594" spans="1:20">
      <c r="A594" s="13" t="s">
        <v>21</v>
      </c>
      <c r="B594" s="14" t="s">
        <v>329</v>
      </c>
      <c r="C594" s="14" t="s">
        <v>330</v>
      </c>
      <c r="D594" s="13" t="s">
        <v>331</v>
      </c>
      <c r="E594" s="14" t="s">
        <v>164</v>
      </c>
      <c r="F594" s="13" t="s">
        <v>165</v>
      </c>
      <c r="G594" s="14" t="s">
        <v>20</v>
      </c>
      <c r="H594" s="14"/>
      <c r="I594" s="14">
        <v>201405</v>
      </c>
      <c r="J594" s="15">
        <v>-32298.95</v>
      </c>
      <c r="K594" s="21">
        <f t="shared" si="59"/>
        <v>42675</v>
      </c>
      <c r="L594" s="16">
        <f t="shared" si="54"/>
        <v>6</v>
      </c>
      <c r="M594" s="17">
        <v>1.4833299999999999E-3</v>
      </c>
      <c r="N594" s="18">
        <f t="shared" si="55"/>
        <v>-287.46000902100002</v>
      </c>
      <c r="O594" s="15"/>
      <c r="P594" s="20">
        <f t="shared" si="56"/>
        <v>0</v>
      </c>
      <c r="Q594" s="15"/>
      <c r="R594" s="20">
        <f t="shared" si="57"/>
        <v>0</v>
      </c>
      <c r="S594" s="130"/>
      <c r="T594" s="20">
        <f t="shared" si="58"/>
        <v>-457.21182409374995</v>
      </c>
    </row>
    <row r="595" spans="1:20">
      <c r="A595" s="13" t="s">
        <v>21</v>
      </c>
      <c r="B595" s="14" t="s">
        <v>678</v>
      </c>
      <c r="C595" s="14" t="s">
        <v>679</v>
      </c>
      <c r="D595" s="13" t="s">
        <v>680</v>
      </c>
      <c r="E595" s="14" t="s">
        <v>75</v>
      </c>
      <c r="F595" s="13" t="s">
        <v>26</v>
      </c>
      <c r="G595" s="14" t="s">
        <v>20</v>
      </c>
      <c r="H595" s="14"/>
      <c r="I595" s="14">
        <v>201405</v>
      </c>
      <c r="J595" s="15">
        <v>-359.09</v>
      </c>
      <c r="K595" s="21">
        <f t="shared" si="59"/>
        <v>42675</v>
      </c>
      <c r="L595" s="16">
        <f t="shared" si="54"/>
        <v>6</v>
      </c>
      <c r="M595" s="17">
        <v>1.4833299999999999E-3</v>
      </c>
      <c r="N595" s="18">
        <f t="shared" si="55"/>
        <v>-3.1958938181999996</v>
      </c>
      <c r="O595" s="15"/>
      <c r="P595" s="20">
        <f t="shared" si="56"/>
        <v>0</v>
      </c>
      <c r="Q595" s="15"/>
      <c r="R595" s="20">
        <f t="shared" si="57"/>
        <v>0</v>
      </c>
      <c r="S595" s="130"/>
      <c r="T595" s="20">
        <f t="shared" si="58"/>
        <v>-5.0831433812499993</v>
      </c>
    </row>
    <row r="596" spans="1:20">
      <c r="A596" s="13" t="s">
        <v>127</v>
      </c>
      <c r="B596" s="14" t="s">
        <v>681</v>
      </c>
      <c r="C596" s="14" t="s">
        <v>682</v>
      </c>
      <c r="D596" s="13" t="s">
        <v>683</v>
      </c>
      <c r="E596" s="14" t="s">
        <v>131</v>
      </c>
      <c r="F596" s="13" t="s">
        <v>132</v>
      </c>
      <c r="G596" s="14" t="s">
        <v>20</v>
      </c>
      <c r="H596" s="14"/>
      <c r="I596" s="14">
        <v>201405</v>
      </c>
      <c r="J596" s="15">
        <v>-4425.8100000000004</v>
      </c>
      <c r="K596" s="21">
        <f t="shared" si="59"/>
        <v>42675</v>
      </c>
      <c r="L596" s="16">
        <f t="shared" si="54"/>
        <v>6</v>
      </c>
      <c r="M596" s="17">
        <v>2.3833299999999999E-3</v>
      </c>
      <c r="N596" s="18">
        <f t="shared" si="55"/>
        <v>-63.28899448380001</v>
      </c>
      <c r="O596" s="15"/>
      <c r="P596" s="20">
        <f t="shared" si="56"/>
        <v>0</v>
      </c>
      <c r="Q596" s="15"/>
      <c r="R596" s="20">
        <f t="shared" si="57"/>
        <v>0</v>
      </c>
      <c r="S596" s="130"/>
      <c r="T596" s="20">
        <f t="shared" si="58"/>
        <v>-62.650106681250001</v>
      </c>
    </row>
    <row r="597" spans="1:20">
      <c r="A597" s="13" t="s">
        <v>21</v>
      </c>
      <c r="B597" s="14" t="s">
        <v>507</v>
      </c>
      <c r="C597" s="14" t="s">
        <v>508</v>
      </c>
      <c r="D597" s="13" t="s">
        <v>509</v>
      </c>
      <c r="E597" s="14" t="s">
        <v>260</v>
      </c>
      <c r="F597" s="13" t="s">
        <v>26</v>
      </c>
      <c r="G597" s="14" t="s">
        <v>20</v>
      </c>
      <c r="H597" s="14"/>
      <c r="I597" s="14">
        <v>201405</v>
      </c>
      <c r="J597" s="15">
        <v>-8304.6299999999992</v>
      </c>
      <c r="K597" s="21">
        <f t="shared" si="59"/>
        <v>42675</v>
      </c>
      <c r="L597" s="16">
        <f t="shared" si="54"/>
        <v>6</v>
      </c>
      <c r="M597" s="17">
        <v>1.4833299999999999E-3</v>
      </c>
      <c r="N597" s="18">
        <f t="shared" si="55"/>
        <v>-73.911040907399993</v>
      </c>
      <c r="O597" s="15"/>
      <c r="P597" s="20">
        <f t="shared" si="56"/>
        <v>0</v>
      </c>
      <c r="Q597" s="15"/>
      <c r="R597" s="20">
        <f t="shared" si="57"/>
        <v>0</v>
      </c>
      <c r="S597" s="130"/>
      <c r="T597" s="20">
        <f t="shared" si="58"/>
        <v>-117.55722804374999</v>
      </c>
    </row>
    <row r="598" spans="1:20">
      <c r="A598" s="13" t="s">
        <v>21</v>
      </c>
      <c r="B598" s="14" t="s">
        <v>332</v>
      </c>
      <c r="C598" s="14" t="s">
        <v>333</v>
      </c>
      <c r="D598" s="13" t="s">
        <v>334</v>
      </c>
      <c r="E598" s="14" t="s">
        <v>209</v>
      </c>
      <c r="F598" s="13" t="s">
        <v>88</v>
      </c>
      <c r="G598" s="14" t="s">
        <v>20</v>
      </c>
      <c r="H598" s="14"/>
      <c r="I598" s="14">
        <v>201405</v>
      </c>
      <c r="J598" s="15">
        <v>-3972.23</v>
      </c>
      <c r="K598" s="21">
        <f t="shared" si="59"/>
        <v>42675</v>
      </c>
      <c r="L598" s="16">
        <f t="shared" si="54"/>
        <v>6</v>
      </c>
      <c r="M598" s="17">
        <v>1.4833299999999999E-3</v>
      </c>
      <c r="N598" s="18">
        <f t="shared" si="55"/>
        <v>-35.3527675554</v>
      </c>
      <c r="O598" s="15"/>
      <c r="P598" s="20">
        <f t="shared" si="56"/>
        <v>0</v>
      </c>
      <c r="Q598" s="15"/>
      <c r="R598" s="20">
        <f t="shared" si="57"/>
        <v>0</v>
      </c>
      <c r="S598" s="130"/>
      <c r="T598" s="20">
        <f t="shared" si="58"/>
        <v>-56.229398293749995</v>
      </c>
    </row>
    <row r="599" spans="1:20">
      <c r="A599" s="13" t="s">
        <v>127</v>
      </c>
      <c r="B599" s="14" t="s">
        <v>684</v>
      </c>
      <c r="C599" s="14" t="s">
        <v>685</v>
      </c>
      <c r="D599" s="13" t="s">
        <v>686</v>
      </c>
      <c r="E599" s="14" t="s">
        <v>131</v>
      </c>
      <c r="F599" s="13" t="s">
        <v>132</v>
      </c>
      <c r="G599" s="14" t="s">
        <v>20</v>
      </c>
      <c r="H599" s="14"/>
      <c r="I599" s="14">
        <v>201405</v>
      </c>
      <c r="J599" s="15">
        <v>-5558.3</v>
      </c>
      <c r="K599" s="21">
        <f t="shared" si="59"/>
        <v>42675</v>
      </c>
      <c r="L599" s="16">
        <f t="shared" si="54"/>
        <v>6</v>
      </c>
      <c r="M599" s="17">
        <v>2.3833299999999999E-3</v>
      </c>
      <c r="N599" s="18">
        <f t="shared" si="55"/>
        <v>-79.483578833999999</v>
      </c>
      <c r="O599" s="15"/>
      <c r="P599" s="20">
        <f t="shared" si="56"/>
        <v>0</v>
      </c>
      <c r="Q599" s="15"/>
      <c r="R599" s="20">
        <f t="shared" si="57"/>
        <v>0</v>
      </c>
      <c r="S599" s="130"/>
      <c r="T599" s="20">
        <f t="shared" si="58"/>
        <v>-78.681210437499999</v>
      </c>
    </row>
    <row r="600" spans="1:20">
      <c r="A600" s="13" t="s">
        <v>127</v>
      </c>
      <c r="B600" s="14" t="s">
        <v>422</v>
      </c>
      <c r="C600" s="14" t="s">
        <v>423</v>
      </c>
      <c r="D600" s="13" t="s">
        <v>424</v>
      </c>
      <c r="E600" s="14" t="s">
        <v>131</v>
      </c>
      <c r="F600" s="13" t="s">
        <v>132</v>
      </c>
      <c r="G600" s="14" t="s">
        <v>20</v>
      </c>
      <c r="H600" s="14"/>
      <c r="I600" s="14">
        <v>201405</v>
      </c>
      <c r="J600" s="15">
        <v>-822.71</v>
      </c>
      <c r="K600" s="21">
        <f t="shared" si="59"/>
        <v>42675</v>
      </c>
      <c r="L600" s="16">
        <f t="shared" si="54"/>
        <v>6</v>
      </c>
      <c r="M600" s="17">
        <v>2.3833299999999999E-3</v>
      </c>
      <c r="N600" s="18">
        <f t="shared" si="55"/>
        <v>-11.7647365458</v>
      </c>
      <c r="O600" s="15"/>
      <c r="P600" s="20">
        <f t="shared" si="56"/>
        <v>0</v>
      </c>
      <c r="Q600" s="15"/>
      <c r="R600" s="20">
        <f t="shared" si="57"/>
        <v>0</v>
      </c>
      <c r="S600" s="130"/>
      <c r="T600" s="20">
        <f t="shared" si="58"/>
        <v>-11.645974243749999</v>
      </c>
    </row>
    <row r="601" spans="1:20">
      <c r="A601" s="13" t="s">
        <v>21</v>
      </c>
      <c r="B601" s="14" t="s">
        <v>335</v>
      </c>
      <c r="C601" s="14" t="s">
        <v>336</v>
      </c>
      <c r="D601" s="13" t="s">
        <v>337</v>
      </c>
      <c r="E601" s="14" t="s">
        <v>75</v>
      </c>
      <c r="F601" s="13" t="s">
        <v>26</v>
      </c>
      <c r="G601" s="14" t="s">
        <v>20</v>
      </c>
      <c r="H601" s="14"/>
      <c r="I601" s="14">
        <v>201405</v>
      </c>
      <c r="J601" s="15">
        <v>-282.32</v>
      </c>
      <c r="K601" s="21">
        <f t="shared" si="59"/>
        <v>42675</v>
      </c>
      <c r="L601" s="16">
        <f t="shared" si="54"/>
        <v>6</v>
      </c>
      <c r="M601" s="17">
        <v>1.4833299999999999E-3</v>
      </c>
      <c r="N601" s="18">
        <f t="shared" si="55"/>
        <v>-2.5126423536</v>
      </c>
      <c r="O601" s="15"/>
      <c r="P601" s="20">
        <f t="shared" si="56"/>
        <v>0</v>
      </c>
      <c r="Q601" s="15"/>
      <c r="R601" s="20">
        <f t="shared" si="57"/>
        <v>0</v>
      </c>
      <c r="S601" s="130"/>
      <c r="T601" s="20">
        <f t="shared" si="58"/>
        <v>-3.9964160500000001</v>
      </c>
    </row>
    <row r="602" spans="1:20">
      <c r="A602" s="13" t="s">
        <v>21</v>
      </c>
      <c r="B602" s="14" t="s">
        <v>338</v>
      </c>
      <c r="C602" s="14" t="s">
        <v>339</v>
      </c>
      <c r="D602" s="13" t="s">
        <v>340</v>
      </c>
      <c r="E602" s="14" t="s">
        <v>164</v>
      </c>
      <c r="F602" s="13" t="s">
        <v>165</v>
      </c>
      <c r="G602" s="14" t="s">
        <v>20</v>
      </c>
      <c r="H602" s="14"/>
      <c r="I602" s="14">
        <v>201405</v>
      </c>
      <c r="J602" s="15">
        <v>-11508.41</v>
      </c>
      <c r="K602" s="21">
        <f t="shared" si="59"/>
        <v>42675</v>
      </c>
      <c r="L602" s="16">
        <f t="shared" si="54"/>
        <v>6</v>
      </c>
      <c r="M602" s="17">
        <v>1.4833299999999999E-3</v>
      </c>
      <c r="N602" s="18">
        <f t="shared" si="55"/>
        <v>-102.4246188318</v>
      </c>
      <c r="O602" s="15"/>
      <c r="P602" s="20">
        <f t="shared" si="56"/>
        <v>0</v>
      </c>
      <c r="Q602" s="15"/>
      <c r="R602" s="20">
        <f t="shared" si="57"/>
        <v>0</v>
      </c>
      <c r="S602" s="130"/>
      <c r="T602" s="20">
        <f t="shared" si="58"/>
        <v>-162.90873630624998</v>
      </c>
    </row>
    <row r="603" spans="1:20">
      <c r="A603" s="13" t="s">
        <v>21</v>
      </c>
      <c r="B603" s="14" t="s">
        <v>687</v>
      </c>
      <c r="C603" s="14" t="s">
        <v>688</v>
      </c>
      <c r="D603" s="13" t="s">
        <v>689</v>
      </c>
      <c r="E603" s="14" t="s">
        <v>164</v>
      </c>
      <c r="F603" s="13" t="s">
        <v>165</v>
      </c>
      <c r="G603" s="14" t="s">
        <v>20</v>
      </c>
      <c r="H603" s="14"/>
      <c r="I603" s="14">
        <v>201405</v>
      </c>
      <c r="J603" s="15">
        <v>-7692.19</v>
      </c>
      <c r="K603" s="21">
        <f t="shared" si="59"/>
        <v>42675</v>
      </c>
      <c r="L603" s="16">
        <f t="shared" si="54"/>
        <v>6</v>
      </c>
      <c r="M603" s="17">
        <v>1.4833299999999999E-3</v>
      </c>
      <c r="N603" s="18">
        <f t="shared" si="55"/>
        <v>-68.460337156199998</v>
      </c>
      <c r="O603" s="15"/>
      <c r="P603" s="20">
        <f t="shared" si="56"/>
        <v>0</v>
      </c>
      <c r="Q603" s="15"/>
      <c r="R603" s="20">
        <f t="shared" si="57"/>
        <v>0</v>
      </c>
      <c r="S603" s="130"/>
      <c r="T603" s="20">
        <f t="shared" si="58"/>
        <v>-108.88775706874998</v>
      </c>
    </row>
    <row r="604" spans="1:20">
      <c r="A604" s="13" t="s">
        <v>21</v>
      </c>
      <c r="B604" s="14" t="s">
        <v>341</v>
      </c>
      <c r="C604" s="14" t="s">
        <v>342</v>
      </c>
      <c r="D604" s="13" t="s">
        <v>343</v>
      </c>
      <c r="E604" s="14" t="s">
        <v>137</v>
      </c>
      <c r="F604" s="13" t="s">
        <v>138</v>
      </c>
      <c r="G604" s="14" t="s">
        <v>20</v>
      </c>
      <c r="H604" s="14"/>
      <c r="I604" s="14">
        <v>201405</v>
      </c>
      <c r="J604" s="15">
        <v>42338.36</v>
      </c>
      <c r="K604" s="21">
        <f t="shared" si="59"/>
        <v>42675</v>
      </c>
      <c r="L604" s="16">
        <f t="shared" si="54"/>
        <v>6</v>
      </c>
      <c r="M604" s="17">
        <v>1.4833299999999999E-3</v>
      </c>
      <c r="N604" s="18">
        <f t="shared" si="55"/>
        <v>376.81055723280002</v>
      </c>
      <c r="O604" s="15"/>
      <c r="P604" s="20">
        <f t="shared" si="56"/>
        <v>0</v>
      </c>
      <c r="Q604" s="15"/>
      <c r="R604" s="20">
        <f t="shared" si="57"/>
        <v>0</v>
      </c>
      <c r="S604" s="130"/>
      <c r="T604" s="20">
        <f t="shared" si="58"/>
        <v>599.32594727499998</v>
      </c>
    </row>
    <row r="605" spans="1:20">
      <c r="A605" s="13" t="s">
        <v>133</v>
      </c>
      <c r="B605" s="14" t="s">
        <v>341</v>
      </c>
      <c r="C605" s="14" t="s">
        <v>342</v>
      </c>
      <c r="D605" s="13" t="s">
        <v>343</v>
      </c>
      <c r="E605" s="14" t="s">
        <v>137</v>
      </c>
      <c r="F605" s="13" t="s">
        <v>138</v>
      </c>
      <c r="G605" s="14" t="s">
        <v>20</v>
      </c>
      <c r="H605" s="14"/>
      <c r="I605" s="14">
        <v>201405</v>
      </c>
      <c r="J605" s="15">
        <v>16966.32</v>
      </c>
      <c r="K605" s="21">
        <f t="shared" si="59"/>
        <v>42675</v>
      </c>
      <c r="L605" s="16">
        <f t="shared" si="54"/>
        <v>6</v>
      </c>
      <c r="M605" s="17">
        <v>1.4833299999999999E-3</v>
      </c>
      <c r="N605" s="18">
        <f t="shared" si="55"/>
        <v>150.9999086736</v>
      </c>
      <c r="O605" s="15"/>
      <c r="P605" s="20">
        <f t="shared" si="56"/>
        <v>0</v>
      </c>
      <c r="Q605" s="15"/>
      <c r="R605" s="20">
        <f t="shared" si="57"/>
        <v>0</v>
      </c>
      <c r="S605" s="130"/>
      <c r="T605" s="20">
        <f t="shared" si="58"/>
        <v>240.16886355</v>
      </c>
    </row>
    <row r="606" spans="1:20">
      <c r="A606" s="13" t="s">
        <v>626</v>
      </c>
      <c r="B606" s="14" t="s">
        <v>341</v>
      </c>
      <c r="C606" s="14" t="s">
        <v>342</v>
      </c>
      <c r="D606" s="13" t="s">
        <v>343</v>
      </c>
      <c r="E606" s="14" t="s">
        <v>137</v>
      </c>
      <c r="F606" s="13" t="s">
        <v>138</v>
      </c>
      <c r="G606" s="14" t="s">
        <v>20</v>
      </c>
      <c r="H606" s="14"/>
      <c r="I606" s="14">
        <v>201405</v>
      </c>
      <c r="J606" s="15">
        <v>3795.27</v>
      </c>
      <c r="K606" s="21">
        <f t="shared" si="59"/>
        <v>42675</v>
      </c>
      <c r="L606" s="16">
        <f t="shared" si="54"/>
        <v>6</v>
      </c>
      <c r="M606" s="17">
        <v>1.4833299999999999E-3</v>
      </c>
      <c r="N606" s="18">
        <f t="shared" si="55"/>
        <v>33.777827094599999</v>
      </c>
      <c r="O606" s="15"/>
      <c r="P606" s="20">
        <f t="shared" si="56"/>
        <v>0</v>
      </c>
      <c r="Q606" s="15"/>
      <c r="R606" s="20">
        <f t="shared" si="57"/>
        <v>0</v>
      </c>
      <c r="S606" s="130"/>
      <c r="T606" s="20">
        <f t="shared" si="58"/>
        <v>53.724418893749991</v>
      </c>
    </row>
    <row r="607" spans="1:20">
      <c r="A607" s="13" t="s">
        <v>21</v>
      </c>
      <c r="B607" s="14" t="s">
        <v>344</v>
      </c>
      <c r="C607" s="14" t="s">
        <v>345</v>
      </c>
      <c r="D607" s="13" t="s">
        <v>346</v>
      </c>
      <c r="E607" s="14" t="s">
        <v>137</v>
      </c>
      <c r="F607" s="13" t="s">
        <v>138</v>
      </c>
      <c r="G607" s="14" t="s">
        <v>20</v>
      </c>
      <c r="H607" s="14"/>
      <c r="I607" s="14">
        <v>201405</v>
      </c>
      <c r="J607" s="15">
        <v>-8092.65</v>
      </c>
      <c r="K607" s="21">
        <f t="shared" si="59"/>
        <v>42675</v>
      </c>
      <c r="L607" s="16">
        <f t="shared" si="54"/>
        <v>6</v>
      </c>
      <c r="M607" s="17">
        <v>1.4833299999999999E-3</v>
      </c>
      <c r="N607" s="18">
        <f t="shared" si="55"/>
        <v>-72.024423146999993</v>
      </c>
      <c r="O607" s="15"/>
      <c r="P607" s="20">
        <f t="shared" si="56"/>
        <v>0</v>
      </c>
      <c r="Q607" s="15"/>
      <c r="R607" s="20">
        <f t="shared" si="57"/>
        <v>0</v>
      </c>
      <c r="S607" s="130"/>
      <c r="T607" s="20">
        <f t="shared" si="58"/>
        <v>-114.55651865624998</v>
      </c>
    </row>
    <row r="608" spans="1:20">
      <c r="A608" s="13" t="s">
        <v>21</v>
      </c>
      <c r="B608" s="14" t="s">
        <v>510</v>
      </c>
      <c r="C608" s="14" t="s">
        <v>511</v>
      </c>
      <c r="D608" s="13" t="s">
        <v>512</v>
      </c>
      <c r="E608" s="14" t="s">
        <v>497</v>
      </c>
      <c r="F608" s="13" t="s">
        <v>26</v>
      </c>
      <c r="G608" s="14" t="s">
        <v>20</v>
      </c>
      <c r="H608" s="14"/>
      <c r="I608" s="14">
        <v>201405</v>
      </c>
      <c r="J608" s="15">
        <v>199.66</v>
      </c>
      <c r="K608" s="21">
        <f t="shared" si="59"/>
        <v>42675</v>
      </c>
      <c r="L608" s="16">
        <f t="shared" si="54"/>
        <v>6</v>
      </c>
      <c r="M608" s="17">
        <v>1.4833299999999999E-3</v>
      </c>
      <c r="N608" s="18">
        <f t="shared" si="55"/>
        <v>1.7769700068000001</v>
      </c>
      <c r="O608" s="15"/>
      <c r="P608" s="20">
        <f t="shared" si="56"/>
        <v>0</v>
      </c>
      <c r="Q608" s="15"/>
      <c r="R608" s="20">
        <f t="shared" si="57"/>
        <v>0</v>
      </c>
      <c r="S608" s="130"/>
      <c r="T608" s="20">
        <f t="shared" si="58"/>
        <v>2.8263120874999994</v>
      </c>
    </row>
    <row r="609" spans="1:20">
      <c r="A609" s="13" t="s">
        <v>21</v>
      </c>
      <c r="B609" s="14" t="s">
        <v>347</v>
      </c>
      <c r="C609" s="14" t="s">
        <v>348</v>
      </c>
      <c r="D609" s="13" t="s">
        <v>349</v>
      </c>
      <c r="E609" s="14" t="s">
        <v>102</v>
      </c>
      <c r="F609" s="13" t="s">
        <v>19</v>
      </c>
      <c r="G609" s="14" t="s">
        <v>20</v>
      </c>
      <c r="H609" s="14"/>
      <c r="I609" s="14">
        <v>201405</v>
      </c>
      <c r="J609" s="15">
        <v>-2128.1</v>
      </c>
      <c r="K609" s="21">
        <f t="shared" si="59"/>
        <v>42675</v>
      </c>
      <c r="L609" s="16">
        <f t="shared" si="54"/>
        <v>6</v>
      </c>
      <c r="M609" s="17">
        <v>1.4833299999999999E-3</v>
      </c>
      <c r="N609" s="18">
        <f t="shared" si="55"/>
        <v>-18.940047438000001</v>
      </c>
      <c r="O609" s="15"/>
      <c r="P609" s="20">
        <f t="shared" si="56"/>
        <v>0</v>
      </c>
      <c r="Q609" s="15"/>
      <c r="R609" s="20">
        <f t="shared" si="57"/>
        <v>0</v>
      </c>
      <c r="S609" s="130"/>
      <c r="T609" s="20">
        <f t="shared" si="58"/>
        <v>-30.124585562499995</v>
      </c>
    </row>
    <row r="610" spans="1:20">
      <c r="A610" s="13" t="s">
        <v>21</v>
      </c>
      <c r="B610" s="14" t="s">
        <v>350</v>
      </c>
      <c r="C610" s="14" t="s">
        <v>351</v>
      </c>
      <c r="D610" s="13" t="s">
        <v>352</v>
      </c>
      <c r="E610" s="14" t="s">
        <v>75</v>
      </c>
      <c r="F610" s="13" t="s">
        <v>26</v>
      </c>
      <c r="G610" s="14" t="s">
        <v>20</v>
      </c>
      <c r="H610" s="14"/>
      <c r="I610" s="14">
        <v>201405</v>
      </c>
      <c r="J610" s="15">
        <v>-815.73</v>
      </c>
      <c r="K610" s="21">
        <f t="shared" si="59"/>
        <v>42675</v>
      </c>
      <c r="L610" s="16">
        <f t="shared" si="54"/>
        <v>6</v>
      </c>
      <c r="M610" s="17">
        <v>1.4833299999999999E-3</v>
      </c>
      <c r="N610" s="18">
        <f t="shared" si="55"/>
        <v>-7.2599806854000004</v>
      </c>
      <c r="O610" s="15"/>
      <c r="P610" s="20">
        <f t="shared" si="56"/>
        <v>0</v>
      </c>
      <c r="Q610" s="15"/>
      <c r="R610" s="20">
        <f t="shared" si="57"/>
        <v>0</v>
      </c>
      <c r="S610" s="130"/>
      <c r="T610" s="20">
        <f t="shared" si="58"/>
        <v>-11.54716798125</v>
      </c>
    </row>
    <row r="611" spans="1:20">
      <c r="A611" s="13" t="s">
        <v>21</v>
      </c>
      <c r="B611" s="14" t="s">
        <v>353</v>
      </c>
      <c r="C611" s="14" t="s">
        <v>354</v>
      </c>
      <c r="D611" s="13" t="s">
        <v>355</v>
      </c>
      <c r="E611" s="14" t="s">
        <v>356</v>
      </c>
      <c r="F611" s="13" t="s">
        <v>19</v>
      </c>
      <c r="G611" s="14" t="s">
        <v>20</v>
      </c>
      <c r="H611" s="14"/>
      <c r="I611" s="14">
        <v>201405</v>
      </c>
      <c r="J611" s="15">
        <v>-1245.69</v>
      </c>
      <c r="K611" s="21">
        <f t="shared" si="59"/>
        <v>42675</v>
      </c>
      <c r="L611" s="16">
        <f t="shared" si="54"/>
        <v>6</v>
      </c>
      <c r="M611" s="17">
        <v>1.4833299999999999E-3</v>
      </c>
      <c r="N611" s="18">
        <f t="shared" si="55"/>
        <v>-11.086616086200001</v>
      </c>
      <c r="O611" s="15"/>
      <c r="P611" s="20">
        <f t="shared" si="56"/>
        <v>0</v>
      </c>
      <c r="Q611" s="15"/>
      <c r="R611" s="20">
        <f t="shared" si="57"/>
        <v>0</v>
      </c>
      <c r="S611" s="130"/>
      <c r="T611" s="20">
        <f t="shared" si="58"/>
        <v>-17.633520506250001</v>
      </c>
    </row>
    <row r="612" spans="1:20">
      <c r="A612" s="13" t="s">
        <v>21</v>
      </c>
      <c r="B612" s="14" t="s">
        <v>357</v>
      </c>
      <c r="C612" s="14" t="s">
        <v>358</v>
      </c>
      <c r="D612" s="13" t="s">
        <v>359</v>
      </c>
      <c r="E612" s="14" t="s">
        <v>360</v>
      </c>
      <c r="F612" s="13" t="s">
        <v>19</v>
      </c>
      <c r="G612" s="14" t="s">
        <v>20</v>
      </c>
      <c r="H612" s="14"/>
      <c r="I612" s="14">
        <v>201405</v>
      </c>
      <c r="J612" s="15">
        <v>-3342.52</v>
      </c>
      <c r="K612" s="21">
        <f t="shared" si="59"/>
        <v>42675</v>
      </c>
      <c r="L612" s="16">
        <f t="shared" si="54"/>
        <v>6</v>
      </c>
      <c r="M612" s="17">
        <v>1.4833299999999999E-3</v>
      </c>
      <c r="N612" s="18">
        <f t="shared" si="55"/>
        <v>-29.748361149600001</v>
      </c>
      <c r="O612" s="15"/>
      <c r="P612" s="20">
        <f t="shared" si="56"/>
        <v>0</v>
      </c>
      <c r="Q612" s="15"/>
      <c r="R612" s="20">
        <f t="shared" si="57"/>
        <v>0</v>
      </c>
      <c r="S612" s="130"/>
      <c r="T612" s="20">
        <f t="shared" si="58"/>
        <v>-47.315459675</v>
      </c>
    </row>
    <row r="613" spans="1:20">
      <c r="A613" s="13" t="s">
        <v>21</v>
      </c>
      <c r="B613" s="14" t="s">
        <v>361</v>
      </c>
      <c r="C613" s="14" t="s">
        <v>362</v>
      </c>
      <c r="D613" s="13" t="s">
        <v>363</v>
      </c>
      <c r="E613" s="14" t="s">
        <v>164</v>
      </c>
      <c r="F613" s="13" t="s">
        <v>165</v>
      </c>
      <c r="G613" s="14" t="s">
        <v>20</v>
      </c>
      <c r="H613" s="14"/>
      <c r="I613" s="14">
        <v>201405</v>
      </c>
      <c r="J613" s="15">
        <v>-6327.18</v>
      </c>
      <c r="K613" s="21">
        <f t="shared" si="59"/>
        <v>42675</v>
      </c>
      <c r="L613" s="16">
        <f t="shared" si="54"/>
        <v>6</v>
      </c>
      <c r="M613" s="17">
        <v>1.4833299999999999E-3</v>
      </c>
      <c r="N613" s="18">
        <f t="shared" si="55"/>
        <v>-56.311775456399999</v>
      </c>
      <c r="O613" s="15"/>
      <c r="P613" s="20">
        <f t="shared" si="56"/>
        <v>0</v>
      </c>
      <c r="Q613" s="15"/>
      <c r="R613" s="20">
        <f t="shared" si="57"/>
        <v>0</v>
      </c>
      <c r="S613" s="130"/>
      <c r="T613" s="20">
        <f t="shared" si="58"/>
        <v>-89.565187387500004</v>
      </c>
    </row>
    <row r="614" spans="1:20">
      <c r="A614" s="13" t="s">
        <v>21</v>
      </c>
      <c r="B614" s="14" t="s">
        <v>690</v>
      </c>
      <c r="C614" s="14" t="s">
        <v>691</v>
      </c>
      <c r="D614" s="13" t="s">
        <v>692</v>
      </c>
      <c r="E614" s="14" t="s">
        <v>63</v>
      </c>
      <c r="F614" s="13" t="s">
        <v>19</v>
      </c>
      <c r="G614" s="14" t="s">
        <v>20</v>
      </c>
      <c r="H614" s="14"/>
      <c r="I614" s="14">
        <v>201405</v>
      </c>
      <c r="J614" s="15">
        <v>-3928.62</v>
      </c>
      <c r="K614" s="21">
        <f t="shared" si="59"/>
        <v>42675</v>
      </c>
      <c r="L614" s="16">
        <f t="shared" si="54"/>
        <v>6</v>
      </c>
      <c r="M614" s="17">
        <v>1.4833299999999999E-3</v>
      </c>
      <c r="N614" s="18">
        <f t="shared" si="55"/>
        <v>-34.964639427599998</v>
      </c>
      <c r="O614" s="15"/>
      <c r="P614" s="20">
        <f t="shared" si="56"/>
        <v>0</v>
      </c>
      <c r="Q614" s="15"/>
      <c r="R614" s="20">
        <f t="shared" si="57"/>
        <v>0</v>
      </c>
      <c r="S614" s="130"/>
      <c r="T614" s="20">
        <f t="shared" si="58"/>
        <v>-55.612071487499996</v>
      </c>
    </row>
    <row r="615" spans="1:20">
      <c r="A615" s="13" t="s">
        <v>21</v>
      </c>
      <c r="B615" s="14" t="s">
        <v>513</v>
      </c>
      <c r="C615" s="14" t="s">
        <v>514</v>
      </c>
      <c r="D615" s="13" t="s">
        <v>515</v>
      </c>
      <c r="E615" s="14" t="s">
        <v>209</v>
      </c>
      <c r="F615" s="13" t="s">
        <v>88</v>
      </c>
      <c r="G615" s="14" t="s">
        <v>20</v>
      </c>
      <c r="H615" s="14"/>
      <c r="I615" s="14">
        <v>201405</v>
      </c>
      <c r="J615" s="15">
        <v>-3940.89</v>
      </c>
      <c r="K615" s="21">
        <f t="shared" si="59"/>
        <v>42675</v>
      </c>
      <c r="L615" s="16">
        <f t="shared" si="54"/>
        <v>6</v>
      </c>
      <c r="M615" s="17">
        <v>1.4833299999999999E-3</v>
      </c>
      <c r="N615" s="18">
        <f t="shared" si="55"/>
        <v>-35.073842182199996</v>
      </c>
      <c r="O615" s="15"/>
      <c r="P615" s="20">
        <f t="shared" si="56"/>
        <v>0</v>
      </c>
      <c r="Q615" s="15"/>
      <c r="R615" s="20">
        <f t="shared" si="57"/>
        <v>0</v>
      </c>
      <c r="S615" s="130"/>
      <c r="T615" s="20">
        <f t="shared" si="58"/>
        <v>-55.785761006249992</v>
      </c>
    </row>
    <row r="616" spans="1:20">
      <c r="A616" s="13" t="s">
        <v>626</v>
      </c>
      <c r="B616" s="14" t="s">
        <v>714</v>
      </c>
      <c r="C616" s="14" t="s">
        <v>715</v>
      </c>
      <c r="D616" s="13" t="s">
        <v>716</v>
      </c>
      <c r="E616" s="14" t="s">
        <v>75</v>
      </c>
      <c r="F616" s="13" t="s">
        <v>26</v>
      </c>
      <c r="G616" s="14" t="s">
        <v>20</v>
      </c>
      <c r="H616" s="14"/>
      <c r="I616" s="14">
        <v>201405</v>
      </c>
      <c r="J616" s="15">
        <v>54202.720000000001</v>
      </c>
      <c r="K616" s="21">
        <f t="shared" si="59"/>
        <v>42675</v>
      </c>
      <c r="L616" s="16">
        <f t="shared" si="54"/>
        <v>6</v>
      </c>
      <c r="M616" s="17">
        <v>1.4833299999999999E-3</v>
      </c>
      <c r="N616" s="18">
        <f t="shared" si="55"/>
        <v>482.40312394559999</v>
      </c>
      <c r="O616" s="15"/>
      <c r="P616" s="20">
        <f t="shared" si="56"/>
        <v>0</v>
      </c>
      <c r="Q616" s="15"/>
      <c r="R616" s="20">
        <f t="shared" si="57"/>
        <v>0</v>
      </c>
      <c r="S616" s="130"/>
      <c r="T616" s="20">
        <f t="shared" si="58"/>
        <v>767.27337829999999</v>
      </c>
    </row>
    <row r="617" spans="1:20">
      <c r="A617" s="23" t="s">
        <v>29</v>
      </c>
      <c r="B617" s="14" t="s">
        <v>717</v>
      </c>
      <c r="C617" s="14" t="s">
        <v>718</v>
      </c>
      <c r="D617" s="13" t="s">
        <v>719</v>
      </c>
      <c r="E617" s="14" t="s">
        <v>87</v>
      </c>
      <c r="F617" s="13" t="s">
        <v>88</v>
      </c>
      <c r="G617" s="14" t="s">
        <v>20</v>
      </c>
      <c r="H617" s="14"/>
      <c r="I617" s="14">
        <v>201405</v>
      </c>
      <c r="J617" s="15">
        <v>17909.71</v>
      </c>
      <c r="K617" s="21">
        <f t="shared" si="59"/>
        <v>42675</v>
      </c>
      <c r="L617" s="16">
        <f t="shared" si="54"/>
        <v>6</v>
      </c>
      <c r="M617" s="17">
        <v>2.23333E-3</v>
      </c>
      <c r="N617" s="18">
        <f t="shared" si="55"/>
        <v>239.98975580579997</v>
      </c>
      <c r="O617" s="15"/>
      <c r="P617" s="20">
        <f t="shared" si="56"/>
        <v>0</v>
      </c>
      <c r="Q617" s="15"/>
      <c r="R617" s="20">
        <f t="shared" si="57"/>
        <v>0</v>
      </c>
      <c r="S617" s="130"/>
      <c r="T617" s="20">
        <f t="shared" si="58"/>
        <v>253.52313861874995</v>
      </c>
    </row>
    <row r="618" spans="1:20">
      <c r="A618" s="23" t="s">
        <v>29</v>
      </c>
      <c r="B618" s="14" t="s">
        <v>720</v>
      </c>
      <c r="C618" s="14" t="s">
        <v>721</v>
      </c>
      <c r="D618" s="13" t="s">
        <v>722</v>
      </c>
      <c r="E618" s="14" t="s">
        <v>723</v>
      </c>
      <c r="F618" s="13" t="s">
        <v>285</v>
      </c>
      <c r="G618" s="14" t="s">
        <v>20</v>
      </c>
      <c r="H618" s="14"/>
      <c r="I618" s="14">
        <v>201405</v>
      </c>
      <c r="J618" s="15">
        <v>5438</v>
      </c>
      <c r="K618" s="21">
        <f t="shared" si="59"/>
        <v>42675</v>
      </c>
      <c r="L618" s="16">
        <f t="shared" si="54"/>
        <v>6</v>
      </c>
      <c r="M618" s="17">
        <v>2.23333E-3</v>
      </c>
      <c r="N618" s="18">
        <f t="shared" si="55"/>
        <v>72.869091239999989</v>
      </c>
      <c r="O618" s="15"/>
      <c r="P618" s="20">
        <f t="shared" si="56"/>
        <v>0</v>
      </c>
      <c r="Q618" s="15"/>
      <c r="R618" s="20">
        <f t="shared" si="57"/>
        <v>0</v>
      </c>
      <c r="S618" s="130"/>
      <c r="T618" s="20">
        <f t="shared" si="58"/>
        <v>76.97828874999999</v>
      </c>
    </row>
    <row r="619" spans="1:20">
      <c r="A619" s="13" t="s">
        <v>626</v>
      </c>
      <c r="B619" s="14" t="s">
        <v>724</v>
      </c>
      <c r="C619" s="14" t="s">
        <v>725</v>
      </c>
      <c r="D619" s="13" t="s">
        <v>726</v>
      </c>
      <c r="E619" s="14" t="s">
        <v>280</v>
      </c>
      <c r="F619" s="13" t="s">
        <v>26</v>
      </c>
      <c r="G619" s="14" t="s">
        <v>20</v>
      </c>
      <c r="H619" s="14"/>
      <c r="I619" s="14">
        <v>201405</v>
      </c>
      <c r="J619" s="15">
        <v>13015.54</v>
      </c>
      <c r="K619" s="21">
        <f t="shared" si="59"/>
        <v>42675</v>
      </c>
      <c r="L619" s="16">
        <f t="shared" si="54"/>
        <v>6</v>
      </c>
      <c r="M619" s="17">
        <v>1.4833299999999999E-3</v>
      </c>
      <c r="N619" s="18">
        <f t="shared" si="55"/>
        <v>115.83804568920002</v>
      </c>
      <c r="O619" s="15"/>
      <c r="P619" s="20">
        <f t="shared" si="56"/>
        <v>0</v>
      </c>
      <c r="Q619" s="15"/>
      <c r="R619" s="20">
        <f t="shared" si="57"/>
        <v>0</v>
      </c>
      <c r="S619" s="130"/>
      <c r="T619" s="20">
        <f t="shared" si="58"/>
        <v>184.24310341249998</v>
      </c>
    </row>
    <row r="620" spans="1:20">
      <c r="A620" s="13" t="s">
        <v>626</v>
      </c>
      <c r="B620" s="14" t="s">
        <v>727</v>
      </c>
      <c r="C620" s="14" t="s">
        <v>728</v>
      </c>
      <c r="D620" s="13" t="s">
        <v>729</v>
      </c>
      <c r="E620" s="14" t="s">
        <v>79</v>
      </c>
      <c r="F620" s="13" t="s">
        <v>26</v>
      </c>
      <c r="G620" s="14" t="s">
        <v>20</v>
      </c>
      <c r="H620" s="14"/>
      <c r="I620" s="14">
        <v>201405</v>
      </c>
      <c r="J620" s="15">
        <v>3339.51</v>
      </c>
      <c r="K620" s="21">
        <f t="shared" si="59"/>
        <v>42675</v>
      </c>
      <c r="L620" s="16">
        <f t="shared" si="54"/>
        <v>6</v>
      </c>
      <c r="M620" s="17">
        <v>1.4833299999999999E-3</v>
      </c>
      <c r="N620" s="18">
        <f t="shared" si="55"/>
        <v>29.721572209800001</v>
      </c>
      <c r="O620" s="15"/>
      <c r="P620" s="20">
        <f t="shared" si="56"/>
        <v>0</v>
      </c>
      <c r="Q620" s="15"/>
      <c r="R620" s="20">
        <f t="shared" si="57"/>
        <v>0</v>
      </c>
      <c r="S620" s="130"/>
      <c r="T620" s="20">
        <f t="shared" si="58"/>
        <v>47.272851243750004</v>
      </c>
    </row>
    <row r="621" spans="1:20">
      <c r="A621" s="13" t="s">
        <v>21</v>
      </c>
      <c r="B621" s="14" t="s">
        <v>425</v>
      </c>
      <c r="C621" s="14" t="s">
        <v>426</v>
      </c>
      <c r="D621" s="13" t="s">
        <v>427</v>
      </c>
      <c r="E621" s="14" t="s">
        <v>156</v>
      </c>
      <c r="F621" s="13" t="s">
        <v>26</v>
      </c>
      <c r="G621" s="14" t="s">
        <v>20</v>
      </c>
      <c r="H621" s="14"/>
      <c r="I621" s="14">
        <v>201406</v>
      </c>
      <c r="J621" s="15">
        <v>-289.08</v>
      </c>
      <c r="K621" s="21">
        <f t="shared" si="59"/>
        <v>42675</v>
      </c>
      <c r="L621" s="16">
        <f t="shared" si="54"/>
        <v>6</v>
      </c>
      <c r="M621" s="17">
        <v>1.4833299999999999E-3</v>
      </c>
      <c r="N621" s="18">
        <f t="shared" si="55"/>
        <v>-2.5728062183999998</v>
      </c>
      <c r="O621" s="15"/>
      <c r="P621" s="20">
        <f t="shared" si="56"/>
        <v>0</v>
      </c>
      <c r="Q621" s="15"/>
      <c r="R621" s="20">
        <f t="shared" si="57"/>
        <v>0</v>
      </c>
      <c r="S621" s="130"/>
      <c r="T621" s="20">
        <f t="shared" si="58"/>
        <v>-4.0921080749999996</v>
      </c>
    </row>
    <row r="622" spans="1:20">
      <c r="A622" s="13" t="s">
        <v>21</v>
      </c>
      <c r="B622" s="14" t="s">
        <v>15</v>
      </c>
      <c r="C622" s="14" t="s">
        <v>16</v>
      </c>
      <c r="D622" s="13" t="s">
        <v>17</v>
      </c>
      <c r="E622" s="14" t="s">
        <v>18</v>
      </c>
      <c r="F622" s="13" t="s">
        <v>19</v>
      </c>
      <c r="G622" s="14" t="s">
        <v>20</v>
      </c>
      <c r="H622" s="14"/>
      <c r="I622" s="14">
        <v>201406</v>
      </c>
      <c r="J622" s="15">
        <v>-295.86</v>
      </c>
      <c r="K622" s="21">
        <f t="shared" si="59"/>
        <v>42675</v>
      </c>
      <c r="L622" s="16">
        <f t="shared" si="54"/>
        <v>6</v>
      </c>
      <c r="M622" s="17">
        <v>1.4833299999999999E-3</v>
      </c>
      <c r="N622" s="18">
        <f t="shared" si="55"/>
        <v>-2.6331480828</v>
      </c>
      <c r="O622" s="15"/>
      <c r="P622" s="20">
        <f t="shared" si="56"/>
        <v>0</v>
      </c>
      <c r="Q622" s="15"/>
      <c r="R622" s="20">
        <f t="shared" si="57"/>
        <v>0</v>
      </c>
      <c r="S622" s="130"/>
      <c r="T622" s="20">
        <f t="shared" si="58"/>
        <v>-4.1880832124999996</v>
      </c>
    </row>
    <row r="623" spans="1:20">
      <c r="A623" s="13" t="s">
        <v>21</v>
      </c>
      <c r="B623" s="14" t="s">
        <v>516</v>
      </c>
      <c r="C623" s="14" t="s">
        <v>517</v>
      </c>
      <c r="D623" s="13" t="s">
        <v>518</v>
      </c>
      <c r="E623" s="14" t="s">
        <v>25</v>
      </c>
      <c r="F623" s="13" t="s">
        <v>26</v>
      </c>
      <c r="G623" s="14" t="s">
        <v>20</v>
      </c>
      <c r="H623" s="14"/>
      <c r="I623" s="14">
        <v>201406</v>
      </c>
      <c r="J623" s="15">
        <v>-649.65</v>
      </c>
      <c r="K623" s="21">
        <f t="shared" si="59"/>
        <v>42675</v>
      </c>
      <c r="L623" s="16">
        <f t="shared" si="54"/>
        <v>6</v>
      </c>
      <c r="M623" s="17">
        <v>1.4833299999999999E-3</v>
      </c>
      <c r="N623" s="18">
        <f t="shared" si="55"/>
        <v>-5.7818720069999996</v>
      </c>
      <c r="O623" s="15"/>
      <c r="P623" s="20">
        <f t="shared" si="56"/>
        <v>0</v>
      </c>
      <c r="Q623" s="15"/>
      <c r="R623" s="20">
        <f t="shared" si="57"/>
        <v>0</v>
      </c>
      <c r="S623" s="130"/>
      <c r="T623" s="20">
        <f t="shared" si="58"/>
        <v>-9.1962017812500001</v>
      </c>
    </row>
    <row r="624" spans="1:20">
      <c r="A624" s="13" t="s">
        <v>21</v>
      </c>
      <c r="B624" s="14" t="s">
        <v>519</v>
      </c>
      <c r="C624" s="14" t="s">
        <v>520</v>
      </c>
      <c r="D624" s="13" t="s">
        <v>521</v>
      </c>
      <c r="E624" s="14" t="s">
        <v>79</v>
      </c>
      <c r="F624" s="13" t="s">
        <v>26</v>
      </c>
      <c r="G624" s="14" t="s">
        <v>20</v>
      </c>
      <c r="H624" s="14"/>
      <c r="I624" s="14">
        <v>201406</v>
      </c>
      <c r="J624" s="15">
        <v>963.2</v>
      </c>
      <c r="K624" s="21">
        <f t="shared" si="59"/>
        <v>42675</v>
      </c>
      <c r="L624" s="16">
        <f t="shared" si="54"/>
        <v>6</v>
      </c>
      <c r="M624" s="17">
        <v>1.4833299999999999E-3</v>
      </c>
      <c r="N624" s="18">
        <f t="shared" si="55"/>
        <v>8.572460736</v>
      </c>
      <c r="O624" s="15"/>
      <c r="P624" s="20">
        <f t="shared" si="56"/>
        <v>0</v>
      </c>
      <c r="Q624" s="15"/>
      <c r="R624" s="20">
        <f t="shared" si="57"/>
        <v>0</v>
      </c>
      <c r="S624" s="130"/>
      <c r="T624" s="20">
        <f t="shared" si="58"/>
        <v>13.634698</v>
      </c>
    </row>
    <row r="625" spans="1:20">
      <c r="A625" s="13" t="s">
        <v>21</v>
      </c>
      <c r="B625" s="14" t="s">
        <v>522</v>
      </c>
      <c r="C625" s="14" t="s">
        <v>523</v>
      </c>
      <c r="D625" s="13" t="s">
        <v>524</v>
      </c>
      <c r="E625" s="14" t="s">
        <v>87</v>
      </c>
      <c r="F625" s="13" t="s">
        <v>88</v>
      </c>
      <c r="G625" s="14" t="s">
        <v>20</v>
      </c>
      <c r="H625" s="14"/>
      <c r="I625" s="14">
        <v>201406</v>
      </c>
      <c r="J625" s="15">
        <v>-331.46</v>
      </c>
      <c r="K625" s="21">
        <f t="shared" si="59"/>
        <v>42675</v>
      </c>
      <c r="L625" s="16">
        <f t="shared" si="54"/>
        <v>6</v>
      </c>
      <c r="M625" s="17">
        <v>1.4833299999999999E-3</v>
      </c>
      <c r="N625" s="18">
        <f t="shared" si="55"/>
        <v>-2.9499873707999997</v>
      </c>
      <c r="O625" s="15"/>
      <c r="P625" s="20">
        <f t="shared" si="56"/>
        <v>0</v>
      </c>
      <c r="Q625" s="15"/>
      <c r="R625" s="20">
        <f t="shared" si="57"/>
        <v>0</v>
      </c>
      <c r="S625" s="130"/>
      <c r="T625" s="20">
        <f t="shared" si="58"/>
        <v>-4.6920234624999999</v>
      </c>
    </row>
    <row r="626" spans="1:20">
      <c r="A626" s="13" t="s">
        <v>21</v>
      </c>
      <c r="B626" s="14" t="s">
        <v>525</v>
      </c>
      <c r="C626" s="14" t="s">
        <v>526</v>
      </c>
      <c r="D626" s="13" t="s">
        <v>527</v>
      </c>
      <c r="E626" s="14" t="s">
        <v>280</v>
      </c>
      <c r="F626" s="13" t="s">
        <v>26</v>
      </c>
      <c r="G626" s="14" t="s">
        <v>20</v>
      </c>
      <c r="H626" s="14"/>
      <c r="I626" s="14">
        <v>201406</v>
      </c>
      <c r="J626" s="15">
        <v>-497.98</v>
      </c>
      <c r="K626" s="21">
        <f t="shared" si="59"/>
        <v>42675</v>
      </c>
      <c r="L626" s="16">
        <f t="shared" si="54"/>
        <v>6</v>
      </c>
      <c r="M626" s="17">
        <v>1.4833299999999999E-3</v>
      </c>
      <c r="N626" s="18">
        <f t="shared" si="55"/>
        <v>-4.4320120404000001</v>
      </c>
      <c r="O626" s="15"/>
      <c r="P626" s="20">
        <f t="shared" si="56"/>
        <v>0</v>
      </c>
      <c r="Q626" s="15"/>
      <c r="R626" s="20">
        <f t="shared" si="57"/>
        <v>0</v>
      </c>
      <c r="S626" s="130"/>
      <c r="T626" s="20">
        <f t="shared" si="58"/>
        <v>-7.0492181374999996</v>
      </c>
    </row>
    <row r="627" spans="1:20">
      <c r="A627" s="13" t="s">
        <v>21</v>
      </c>
      <c r="B627" s="14" t="s">
        <v>528</v>
      </c>
      <c r="C627" s="14" t="s">
        <v>529</v>
      </c>
      <c r="D627" s="13" t="s">
        <v>530</v>
      </c>
      <c r="E627" s="14" t="s">
        <v>531</v>
      </c>
      <c r="F627" s="13" t="s">
        <v>26</v>
      </c>
      <c r="G627" s="14" t="s">
        <v>20</v>
      </c>
      <c r="H627" s="14"/>
      <c r="I627" s="14">
        <v>201406</v>
      </c>
      <c r="J627" s="15">
        <v>-483.69</v>
      </c>
      <c r="K627" s="21">
        <f t="shared" si="59"/>
        <v>42675</v>
      </c>
      <c r="L627" s="16">
        <f t="shared" si="54"/>
        <v>6</v>
      </c>
      <c r="M627" s="17">
        <v>1.4833299999999999E-3</v>
      </c>
      <c r="N627" s="18">
        <f t="shared" si="55"/>
        <v>-4.3048313262000004</v>
      </c>
      <c r="O627" s="15"/>
      <c r="P627" s="20">
        <f t="shared" si="56"/>
        <v>0</v>
      </c>
      <c r="Q627" s="15"/>
      <c r="R627" s="20">
        <f t="shared" si="57"/>
        <v>0</v>
      </c>
      <c r="S627" s="130"/>
      <c r="T627" s="20">
        <f t="shared" si="58"/>
        <v>-6.8469342562499991</v>
      </c>
    </row>
    <row r="628" spans="1:20">
      <c r="A628" s="13" t="s">
        <v>626</v>
      </c>
      <c r="B628" s="14" t="s">
        <v>730</v>
      </c>
      <c r="C628" s="14" t="s">
        <v>731</v>
      </c>
      <c r="D628" s="13" t="s">
        <v>732</v>
      </c>
      <c r="E628" s="14" t="s">
        <v>75</v>
      </c>
      <c r="F628" s="13" t="s">
        <v>26</v>
      </c>
      <c r="G628" s="14" t="s">
        <v>20</v>
      </c>
      <c r="H628" s="14"/>
      <c r="I628" s="14">
        <v>201406</v>
      </c>
      <c r="J628" s="15">
        <v>300730.89</v>
      </c>
      <c r="K628" s="21">
        <f t="shared" si="59"/>
        <v>42675</v>
      </c>
      <c r="L628" s="16">
        <f t="shared" si="54"/>
        <v>6</v>
      </c>
      <c r="M628" s="17">
        <v>1.4833299999999999E-3</v>
      </c>
      <c r="N628" s="18">
        <f t="shared" si="55"/>
        <v>2676.4989063821999</v>
      </c>
      <c r="O628" s="15"/>
      <c r="P628" s="20">
        <f t="shared" si="56"/>
        <v>0</v>
      </c>
      <c r="Q628" s="15"/>
      <c r="R628" s="20">
        <f t="shared" si="57"/>
        <v>0</v>
      </c>
      <c r="S628" s="130"/>
      <c r="T628" s="20">
        <f t="shared" si="58"/>
        <v>4257.0337047562498</v>
      </c>
    </row>
    <row r="629" spans="1:20">
      <c r="A629" s="13" t="s">
        <v>21</v>
      </c>
      <c r="B629" s="14" t="s">
        <v>22</v>
      </c>
      <c r="C629" s="14" t="s">
        <v>23</v>
      </c>
      <c r="D629" s="13" t="s">
        <v>24</v>
      </c>
      <c r="E629" s="14" t="s">
        <v>25</v>
      </c>
      <c r="F629" s="13" t="s">
        <v>26</v>
      </c>
      <c r="G629" s="14" t="s">
        <v>20</v>
      </c>
      <c r="H629" s="14"/>
      <c r="I629" s="14">
        <v>201406</v>
      </c>
      <c r="J629" s="15">
        <v>-915.2</v>
      </c>
      <c r="K629" s="21">
        <f t="shared" si="59"/>
        <v>42675</v>
      </c>
      <c r="L629" s="16">
        <f t="shared" si="54"/>
        <v>6</v>
      </c>
      <c r="M629" s="17">
        <v>1.4833299999999999E-3</v>
      </c>
      <c r="N629" s="18">
        <f t="shared" si="55"/>
        <v>-8.1452616960000004</v>
      </c>
      <c r="O629" s="15"/>
      <c r="P629" s="20">
        <f t="shared" si="56"/>
        <v>0</v>
      </c>
      <c r="Q629" s="15"/>
      <c r="R629" s="20">
        <f t="shared" si="57"/>
        <v>0</v>
      </c>
      <c r="S629" s="130"/>
      <c r="T629" s="20">
        <f t="shared" si="58"/>
        <v>-12.955228</v>
      </c>
    </row>
    <row r="630" spans="1:20">
      <c r="A630" s="23" t="s">
        <v>29</v>
      </c>
      <c r="B630" s="14" t="s">
        <v>733</v>
      </c>
      <c r="C630" s="14" t="s">
        <v>734</v>
      </c>
      <c r="D630" s="13" t="s">
        <v>105</v>
      </c>
      <c r="E630" s="14" t="s">
        <v>320</v>
      </c>
      <c r="F630" s="13" t="s">
        <v>34</v>
      </c>
      <c r="G630" s="14" t="s">
        <v>20</v>
      </c>
      <c r="H630" s="14"/>
      <c r="I630" s="14">
        <v>201406</v>
      </c>
      <c r="J630" s="15">
        <v>727.62</v>
      </c>
      <c r="K630" s="21">
        <f t="shared" si="59"/>
        <v>42675</v>
      </c>
      <c r="L630" s="16">
        <f t="shared" si="54"/>
        <v>6</v>
      </c>
      <c r="M630" s="17">
        <v>2.23333E-3</v>
      </c>
      <c r="N630" s="18">
        <f t="shared" si="55"/>
        <v>9.7500934475999994</v>
      </c>
      <c r="O630" s="15"/>
      <c r="P630" s="20">
        <f t="shared" si="56"/>
        <v>0</v>
      </c>
      <c r="Q630" s="15"/>
      <c r="R630" s="20">
        <f t="shared" si="57"/>
        <v>0</v>
      </c>
      <c r="S630" s="130"/>
      <c r="T630" s="20">
        <f t="shared" si="58"/>
        <v>10.299915862499999</v>
      </c>
    </row>
    <row r="631" spans="1:20">
      <c r="A631" s="23" t="s">
        <v>29</v>
      </c>
      <c r="B631" s="14" t="s">
        <v>30</v>
      </c>
      <c r="C631" s="14" t="s">
        <v>31</v>
      </c>
      <c r="D631" s="13" t="s">
        <v>32</v>
      </c>
      <c r="E631" s="14" t="s">
        <v>33</v>
      </c>
      <c r="F631" s="13" t="s">
        <v>34</v>
      </c>
      <c r="G631" s="14" t="s">
        <v>20</v>
      </c>
      <c r="H631" s="14"/>
      <c r="I631" s="14">
        <v>201406</v>
      </c>
      <c r="J631" s="15">
        <v>863.14</v>
      </c>
      <c r="K631" s="21">
        <f t="shared" si="59"/>
        <v>42675</v>
      </c>
      <c r="L631" s="16">
        <f t="shared" si="54"/>
        <v>6</v>
      </c>
      <c r="M631" s="17">
        <v>2.23333E-3</v>
      </c>
      <c r="N631" s="18">
        <f t="shared" si="55"/>
        <v>11.566058737199999</v>
      </c>
      <c r="O631" s="15"/>
      <c r="P631" s="20">
        <f t="shared" si="56"/>
        <v>0</v>
      </c>
      <c r="Q631" s="15"/>
      <c r="R631" s="20">
        <f t="shared" si="57"/>
        <v>0</v>
      </c>
      <c r="S631" s="130"/>
      <c r="T631" s="20">
        <f t="shared" si="58"/>
        <v>12.2182861625</v>
      </c>
    </row>
    <row r="632" spans="1:20">
      <c r="A632" s="23" t="s">
        <v>29</v>
      </c>
      <c r="B632" s="14" t="s">
        <v>532</v>
      </c>
      <c r="C632" s="14" t="s">
        <v>533</v>
      </c>
      <c r="D632" s="13" t="s">
        <v>50</v>
      </c>
      <c r="E632" s="14" t="s">
        <v>534</v>
      </c>
      <c r="F632" s="13" t="s">
        <v>52</v>
      </c>
      <c r="G632" s="14" t="s">
        <v>20</v>
      </c>
      <c r="H632" s="14"/>
      <c r="I632" s="14">
        <v>201406</v>
      </c>
      <c r="J632" s="15">
        <v>515.91999999999996</v>
      </c>
      <c r="K632" s="21">
        <f t="shared" si="59"/>
        <v>42675</v>
      </c>
      <c r="L632" s="16">
        <f t="shared" si="54"/>
        <v>6</v>
      </c>
      <c r="M632" s="17">
        <v>2.23333E-3</v>
      </c>
      <c r="N632" s="18">
        <f t="shared" si="55"/>
        <v>6.9133176815999988</v>
      </c>
      <c r="O632" s="15"/>
      <c r="P632" s="20">
        <f t="shared" si="56"/>
        <v>0</v>
      </c>
      <c r="Q632" s="15"/>
      <c r="R632" s="20">
        <f t="shared" si="57"/>
        <v>0</v>
      </c>
      <c r="S632" s="130"/>
      <c r="T632" s="20">
        <f t="shared" si="58"/>
        <v>7.3031700499999994</v>
      </c>
    </row>
    <row r="633" spans="1:20">
      <c r="A633" s="23" t="s">
        <v>29</v>
      </c>
      <c r="B633" s="14" t="s">
        <v>37</v>
      </c>
      <c r="C633" s="14" t="s">
        <v>38</v>
      </c>
      <c r="D633" s="13" t="s">
        <v>39</v>
      </c>
      <c r="E633" s="14" t="s">
        <v>40</v>
      </c>
      <c r="F633" s="13" t="s">
        <v>41</v>
      </c>
      <c r="G633" s="14" t="s">
        <v>20</v>
      </c>
      <c r="H633" s="14"/>
      <c r="I633" s="14">
        <v>201406</v>
      </c>
      <c r="J633" s="15">
        <v>36286.519999999997</v>
      </c>
      <c r="K633" s="21">
        <f t="shared" si="59"/>
        <v>42675</v>
      </c>
      <c r="L633" s="16">
        <f t="shared" si="54"/>
        <v>6</v>
      </c>
      <c r="M633" s="17">
        <v>2.23333E-3</v>
      </c>
      <c r="N633" s="18">
        <f t="shared" si="55"/>
        <v>486.23864226959989</v>
      </c>
      <c r="O633" s="15"/>
      <c r="P633" s="20">
        <f t="shared" si="56"/>
        <v>0</v>
      </c>
      <c r="Q633" s="15"/>
      <c r="R633" s="20">
        <f t="shared" si="57"/>
        <v>0</v>
      </c>
      <c r="S633" s="130"/>
      <c r="T633" s="20">
        <f t="shared" si="58"/>
        <v>513.6583696749999</v>
      </c>
    </row>
    <row r="634" spans="1:20">
      <c r="A634" s="23" t="s">
        <v>29</v>
      </c>
      <c r="B634" s="14" t="s">
        <v>43</v>
      </c>
      <c r="C634" s="14" t="s">
        <v>44</v>
      </c>
      <c r="D634" s="13" t="s">
        <v>45</v>
      </c>
      <c r="E634" s="14" t="s">
        <v>46</v>
      </c>
      <c r="F634" s="13" t="s">
        <v>41</v>
      </c>
      <c r="G634" s="14" t="s">
        <v>20</v>
      </c>
      <c r="H634" s="14"/>
      <c r="I634" s="14">
        <v>201406</v>
      </c>
      <c r="J634" s="15">
        <v>-0.68</v>
      </c>
      <c r="K634" s="21">
        <f t="shared" si="59"/>
        <v>42675</v>
      </c>
      <c r="L634" s="16">
        <f t="shared" si="54"/>
        <v>6</v>
      </c>
      <c r="M634" s="17">
        <v>2.23333E-3</v>
      </c>
      <c r="N634" s="18">
        <f t="shared" si="55"/>
        <v>-9.1119863999999991E-3</v>
      </c>
      <c r="O634" s="15"/>
      <c r="P634" s="20">
        <f t="shared" si="56"/>
        <v>0</v>
      </c>
      <c r="Q634" s="15"/>
      <c r="R634" s="20">
        <f t="shared" si="57"/>
        <v>0</v>
      </c>
      <c r="S634" s="130"/>
      <c r="T634" s="20">
        <f t="shared" si="58"/>
        <v>-9.6258249999999993E-3</v>
      </c>
    </row>
    <row r="635" spans="1:20">
      <c r="A635" s="23" t="s">
        <v>29</v>
      </c>
      <c r="B635" s="14" t="s">
        <v>48</v>
      </c>
      <c r="C635" s="14" t="s">
        <v>49</v>
      </c>
      <c r="D635" s="13" t="s">
        <v>50</v>
      </c>
      <c r="E635" s="14" t="s">
        <v>51</v>
      </c>
      <c r="F635" s="13" t="s">
        <v>52</v>
      </c>
      <c r="G635" s="14" t="s">
        <v>20</v>
      </c>
      <c r="H635" s="14"/>
      <c r="I635" s="14">
        <v>201406</v>
      </c>
      <c r="J635" s="15">
        <v>868.23</v>
      </c>
      <c r="K635" s="21">
        <f t="shared" si="59"/>
        <v>42675</v>
      </c>
      <c r="L635" s="16">
        <f t="shared" si="54"/>
        <v>6</v>
      </c>
      <c r="M635" s="17">
        <v>2.23333E-3</v>
      </c>
      <c r="N635" s="18">
        <f t="shared" si="55"/>
        <v>11.634264635399999</v>
      </c>
      <c r="O635" s="15"/>
      <c r="P635" s="20">
        <f t="shared" si="56"/>
        <v>0</v>
      </c>
      <c r="Q635" s="15"/>
      <c r="R635" s="20">
        <f t="shared" si="57"/>
        <v>0</v>
      </c>
      <c r="S635" s="130"/>
      <c r="T635" s="20">
        <f t="shared" si="58"/>
        <v>12.290338293749999</v>
      </c>
    </row>
    <row r="636" spans="1:20">
      <c r="A636" s="23" t="s">
        <v>29</v>
      </c>
      <c r="B636" s="14" t="s">
        <v>54</v>
      </c>
      <c r="C636" s="14" t="s">
        <v>55</v>
      </c>
      <c r="D636" s="13" t="s">
        <v>56</v>
      </c>
      <c r="E636" s="14" t="s">
        <v>57</v>
      </c>
      <c r="F636" s="13" t="s">
        <v>58</v>
      </c>
      <c r="G636" s="14" t="s">
        <v>20</v>
      </c>
      <c r="H636" s="14"/>
      <c r="I636" s="14">
        <v>201406</v>
      </c>
      <c r="J636" s="15">
        <v>-239.33</v>
      </c>
      <c r="K636" s="21">
        <f t="shared" si="59"/>
        <v>42675</v>
      </c>
      <c r="L636" s="16">
        <f t="shared" si="54"/>
        <v>6</v>
      </c>
      <c r="M636" s="17">
        <v>2.23333E-3</v>
      </c>
      <c r="N636" s="18">
        <f t="shared" si="55"/>
        <v>-3.2070172133999999</v>
      </c>
      <c r="O636" s="15"/>
      <c r="P636" s="20">
        <f t="shared" si="56"/>
        <v>0</v>
      </c>
      <c r="Q636" s="15"/>
      <c r="R636" s="20">
        <f t="shared" si="57"/>
        <v>0</v>
      </c>
      <c r="S636" s="130"/>
      <c r="T636" s="20">
        <f t="shared" si="58"/>
        <v>-3.3878657312499998</v>
      </c>
    </row>
    <row r="637" spans="1:20">
      <c r="A637" s="13" t="s">
        <v>21</v>
      </c>
      <c r="B637" s="14" t="s">
        <v>535</v>
      </c>
      <c r="C637" s="14" t="s">
        <v>536</v>
      </c>
      <c r="D637" s="13" t="s">
        <v>537</v>
      </c>
      <c r="E637" s="14" t="s">
        <v>75</v>
      </c>
      <c r="F637" s="13" t="s">
        <v>26</v>
      </c>
      <c r="G637" s="14" t="s">
        <v>20</v>
      </c>
      <c r="H637" s="14"/>
      <c r="I637" s="14">
        <v>201406</v>
      </c>
      <c r="J637" s="15">
        <v>-698.81</v>
      </c>
      <c r="K637" s="21">
        <f t="shared" si="59"/>
        <v>42675</v>
      </c>
      <c r="L637" s="16">
        <f t="shared" si="54"/>
        <v>6</v>
      </c>
      <c r="M637" s="17">
        <v>1.4833299999999999E-3</v>
      </c>
      <c r="N637" s="18">
        <f t="shared" si="55"/>
        <v>-6.2193950237999998</v>
      </c>
      <c r="O637" s="15"/>
      <c r="P637" s="20">
        <f t="shared" si="56"/>
        <v>0</v>
      </c>
      <c r="Q637" s="15"/>
      <c r="R637" s="20">
        <f t="shared" si="57"/>
        <v>0</v>
      </c>
      <c r="S637" s="130"/>
      <c r="T637" s="20">
        <f t="shared" si="58"/>
        <v>-9.8920923062499995</v>
      </c>
    </row>
    <row r="638" spans="1:20">
      <c r="A638" s="13" t="s">
        <v>21</v>
      </c>
      <c r="B638" s="14" t="s">
        <v>538</v>
      </c>
      <c r="C638" s="14" t="s">
        <v>539</v>
      </c>
      <c r="D638" s="13" t="s">
        <v>540</v>
      </c>
      <c r="E638" s="14" t="s">
        <v>209</v>
      </c>
      <c r="F638" s="13" t="s">
        <v>88</v>
      </c>
      <c r="G638" s="14" t="s">
        <v>20</v>
      </c>
      <c r="H638" s="14"/>
      <c r="I638" s="14">
        <v>201406</v>
      </c>
      <c r="J638" s="15">
        <v>218.68</v>
      </c>
      <c r="K638" s="21">
        <f t="shared" si="59"/>
        <v>42675</v>
      </c>
      <c r="L638" s="16">
        <f t="shared" si="54"/>
        <v>6</v>
      </c>
      <c r="M638" s="17">
        <v>1.4833299999999999E-3</v>
      </c>
      <c r="N638" s="18">
        <f t="shared" si="55"/>
        <v>1.9462476264000002</v>
      </c>
      <c r="O638" s="15"/>
      <c r="P638" s="20">
        <f t="shared" si="56"/>
        <v>0</v>
      </c>
      <c r="Q638" s="15"/>
      <c r="R638" s="20">
        <f t="shared" si="57"/>
        <v>0</v>
      </c>
      <c r="S638" s="130"/>
      <c r="T638" s="20">
        <f t="shared" si="58"/>
        <v>3.0955520750000001</v>
      </c>
    </row>
    <row r="639" spans="1:20">
      <c r="A639" s="13" t="s">
        <v>21</v>
      </c>
      <c r="B639" s="14" t="s">
        <v>60</v>
      </c>
      <c r="C639" s="14" t="s">
        <v>61</v>
      </c>
      <c r="D639" s="13" t="s">
        <v>62</v>
      </c>
      <c r="E639" s="14" t="s">
        <v>63</v>
      </c>
      <c r="F639" s="13" t="s">
        <v>19</v>
      </c>
      <c r="G639" s="14" t="s">
        <v>20</v>
      </c>
      <c r="H639" s="14"/>
      <c r="I639" s="14">
        <v>201406</v>
      </c>
      <c r="J639" s="15">
        <v>-2248.4</v>
      </c>
      <c r="K639" s="21">
        <f t="shared" si="59"/>
        <v>42675</v>
      </c>
      <c r="L639" s="16">
        <f t="shared" si="54"/>
        <v>6</v>
      </c>
      <c r="M639" s="17">
        <v>1.4833299999999999E-3</v>
      </c>
      <c r="N639" s="18">
        <f t="shared" si="55"/>
        <v>-20.010715032</v>
      </c>
      <c r="O639" s="15"/>
      <c r="P639" s="20">
        <f t="shared" si="56"/>
        <v>0</v>
      </c>
      <c r="Q639" s="15"/>
      <c r="R639" s="20">
        <f t="shared" si="57"/>
        <v>0</v>
      </c>
      <c r="S639" s="130"/>
      <c r="T639" s="20">
        <f t="shared" si="58"/>
        <v>-31.82750725</v>
      </c>
    </row>
    <row r="640" spans="1:20">
      <c r="A640" s="13" t="s">
        <v>21</v>
      </c>
      <c r="B640" s="14" t="s">
        <v>541</v>
      </c>
      <c r="C640" s="14" t="s">
        <v>542</v>
      </c>
      <c r="D640" s="13" t="s">
        <v>543</v>
      </c>
      <c r="E640" s="14" t="s">
        <v>544</v>
      </c>
      <c r="F640" s="13" t="s">
        <v>26</v>
      </c>
      <c r="G640" s="14" t="s">
        <v>20</v>
      </c>
      <c r="H640" s="14"/>
      <c r="I640" s="14">
        <v>201406</v>
      </c>
      <c r="J640" s="15">
        <v>163.91</v>
      </c>
      <c r="K640" s="21">
        <f t="shared" si="59"/>
        <v>42675</v>
      </c>
      <c r="L640" s="16">
        <f t="shared" si="54"/>
        <v>6</v>
      </c>
      <c r="M640" s="17">
        <v>1.4833299999999999E-3</v>
      </c>
      <c r="N640" s="18">
        <f t="shared" si="55"/>
        <v>1.4587957218000001</v>
      </c>
      <c r="O640" s="15"/>
      <c r="P640" s="20">
        <f t="shared" si="56"/>
        <v>0</v>
      </c>
      <c r="Q640" s="15"/>
      <c r="R640" s="20">
        <f t="shared" si="57"/>
        <v>0</v>
      </c>
      <c r="S640" s="130"/>
      <c r="T640" s="20">
        <f t="shared" si="58"/>
        <v>2.3202484937499999</v>
      </c>
    </row>
    <row r="641" spans="1:20">
      <c r="A641" s="13" t="s">
        <v>21</v>
      </c>
      <c r="B641" s="14" t="s">
        <v>545</v>
      </c>
      <c r="C641" s="14" t="s">
        <v>546</v>
      </c>
      <c r="D641" s="13" t="s">
        <v>547</v>
      </c>
      <c r="E641" s="14" t="s">
        <v>497</v>
      </c>
      <c r="F641" s="13" t="s">
        <v>26</v>
      </c>
      <c r="G641" s="14" t="s">
        <v>20</v>
      </c>
      <c r="H641" s="14"/>
      <c r="I641" s="14">
        <v>201406</v>
      </c>
      <c r="J641" s="15">
        <v>-68.53</v>
      </c>
      <c r="K641" s="21">
        <f t="shared" si="59"/>
        <v>42675</v>
      </c>
      <c r="L641" s="16">
        <f t="shared" si="54"/>
        <v>6</v>
      </c>
      <c r="M641" s="17">
        <v>1.4833299999999999E-3</v>
      </c>
      <c r="N641" s="18">
        <f t="shared" si="55"/>
        <v>-0.60991562939999999</v>
      </c>
      <c r="O641" s="15"/>
      <c r="P641" s="20">
        <f t="shared" si="56"/>
        <v>0</v>
      </c>
      <c r="Q641" s="15"/>
      <c r="R641" s="20">
        <f t="shared" si="57"/>
        <v>0</v>
      </c>
      <c r="S641" s="130"/>
      <c r="T641" s="20">
        <f t="shared" si="58"/>
        <v>-0.97008498124999998</v>
      </c>
    </row>
    <row r="642" spans="1:20">
      <c r="A642" s="13" t="s">
        <v>21</v>
      </c>
      <c r="B642" s="14" t="s">
        <v>64</v>
      </c>
      <c r="C642" s="14" t="s">
        <v>65</v>
      </c>
      <c r="D642" s="13" t="s">
        <v>66</v>
      </c>
      <c r="E642" s="14" t="s">
        <v>25</v>
      </c>
      <c r="F642" s="13" t="s">
        <v>26</v>
      </c>
      <c r="G642" s="14" t="s">
        <v>20</v>
      </c>
      <c r="H642" s="14"/>
      <c r="I642" s="14">
        <v>201406</v>
      </c>
      <c r="J642" s="15">
        <v>-1325.43</v>
      </c>
      <c r="K642" s="21">
        <f t="shared" si="59"/>
        <v>42675</v>
      </c>
      <c r="L642" s="16">
        <f t="shared" si="54"/>
        <v>6</v>
      </c>
      <c r="M642" s="17">
        <v>1.4833299999999999E-3</v>
      </c>
      <c r="N642" s="18">
        <f t="shared" si="55"/>
        <v>-11.7963004914</v>
      </c>
      <c r="O642" s="15"/>
      <c r="P642" s="20">
        <f t="shared" si="56"/>
        <v>0</v>
      </c>
      <c r="Q642" s="15"/>
      <c r="R642" s="20">
        <f t="shared" si="57"/>
        <v>0</v>
      </c>
      <c r="S642" s="130"/>
      <c r="T642" s="20">
        <f t="shared" si="58"/>
        <v>-18.762290043749999</v>
      </c>
    </row>
    <row r="643" spans="1:20">
      <c r="A643" s="13" t="s">
        <v>21</v>
      </c>
      <c r="B643" s="14" t="s">
        <v>67</v>
      </c>
      <c r="C643" s="14" t="s">
        <v>68</v>
      </c>
      <c r="D643" s="13" t="s">
        <v>69</v>
      </c>
      <c r="E643" s="14" t="s">
        <v>70</v>
      </c>
      <c r="F643" s="13" t="s">
        <v>71</v>
      </c>
      <c r="G643" s="14" t="s">
        <v>20</v>
      </c>
      <c r="H643" s="14"/>
      <c r="I643" s="14">
        <v>201406</v>
      </c>
      <c r="J643" s="15">
        <v>-770.03</v>
      </c>
      <c r="K643" s="21">
        <f t="shared" si="59"/>
        <v>42675</v>
      </c>
      <c r="L643" s="16">
        <f t="shared" si="54"/>
        <v>6</v>
      </c>
      <c r="M643" s="17">
        <v>1.4833299999999999E-3</v>
      </c>
      <c r="N643" s="18">
        <f t="shared" si="55"/>
        <v>-6.8532515994000001</v>
      </c>
      <c r="O643" s="15"/>
      <c r="P643" s="20">
        <f t="shared" si="56"/>
        <v>0</v>
      </c>
      <c r="Q643" s="15"/>
      <c r="R643" s="20">
        <f t="shared" si="57"/>
        <v>0</v>
      </c>
      <c r="S643" s="130"/>
      <c r="T643" s="20">
        <f t="shared" si="58"/>
        <v>-10.900255918749998</v>
      </c>
    </row>
    <row r="644" spans="1:20">
      <c r="A644" s="13" t="s">
        <v>21</v>
      </c>
      <c r="B644" s="14" t="s">
        <v>72</v>
      </c>
      <c r="C644" s="14" t="s">
        <v>73</v>
      </c>
      <c r="D644" s="13" t="s">
        <v>74</v>
      </c>
      <c r="E644" s="14" t="s">
        <v>75</v>
      </c>
      <c r="F644" s="13" t="s">
        <v>26</v>
      </c>
      <c r="G644" s="14" t="s">
        <v>20</v>
      </c>
      <c r="H644" s="14"/>
      <c r="I644" s="14">
        <v>201406</v>
      </c>
      <c r="J644" s="15">
        <v>-1994.48</v>
      </c>
      <c r="K644" s="21">
        <f t="shared" si="59"/>
        <v>42675</v>
      </c>
      <c r="L644" s="16">
        <f t="shared" si="54"/>
        <v>6</v>
      </c>
      <c r="M644" s="17">
        <v>1.4833299999999999E-3</v>
      </c>
      <c r="N644" s="18">
        <f t="shared" si="55"/>
        <v>-17.750832110400001</v>
      </c>
      <c r="O644" s="15"/>
      <c r="P644" s="20">
        <f t="shared" si="56"/>
        <v>0</v>
      </c>
      <c r="Q644" s="15"/>
      <c r="R644" s="20">
        <f t="shared" si="57"/>
        <v>0</v>
      </c>
      <c r="S644" s="130"/>
      <c r="T644" s="20">
        <f t="shared" si="58"/>
        <v>-28.23311095</v>
      </c>
    </row>
    <row r="645" spans="1:20">
      <c r="A645" s="13" t="s">
        <v>21</v>
      </c>
      <c r="B645" s="14" t="s">
        <v>76</v>
      </c>
      <c r="C645" s="14" t="s">
        <v>77</v>
      </c>
      <c r="D645" s="13" t="s">
        <v>78</v>
      </c>
      <c r="E645" s="14" t="s">
        <v>79</v>
      </c>
      <c r="F645" s="13" t="s">
        <v>26</v>
      </c>
      <c r="G645" s="14" t="s">
        <v>20</v>
      </c>
      <c r="H645" s="14"/>
      <c r="I645" s="14">
        <v>201406</v>
      </c>
      <c r="J645" s="15">
        <v>-1059.18</v>
      </c>
      <c r="K645" s="21">
        <f t="shared" si="59"/>
        <v>42675</v>
      </c>
      <c r="L645" s="16">
        <f t="shared" si="54"/>
        <v>6</v>
      </c>
      <c r="M645" s="17">
        <v>1.4833299999999999E-3</v>
      </c>
      <c r="N645" s="18">
        <f t="shared" si="55"/>
        <v>-9.4266808164000011</v>
      </c>
      <c r="O645" s="15"/>
      <c r="P645" s="20">
        <f t="shared" si="56"/>
        <v>0</v>
      </c>
      <c r="Q645" s="15"/>
      <c r="R645" s="20">
        <f t="shared" si="57"/>
        <v>0</v>
      </c>
      <c r="S645" s="130"/>
      <c r="T645" s="20">
        <f t="shared" si="58"/>
        <v>-14.993354887499999</v>
      </c>
    </row>
    <row r="646" spans="1:20">
      <c r="A646" s="13" t="s">
        <v>21</v>
      </c>
      <c r="B646" s="14" t="s">
        <v>428</v>
      </c>
      <c r="C646" s="14" t="s">
        <v>429</v>
      </c>
      <c r="D646" s="13" t="s">
        <v>430</v>
      </c>
      <c r="E646" s="14" t="s">
        <v>164</v>
      </c>
      <c r="F646" s="13" t="s">
        <v>165</v>
      </c>
      <c r="G646" s="14" t="s">
        <v>20</v>
      </c>
      <c r="H646" s="14"/>
      <c r="I646" s="14">
        <v>201406</v>
      </c>
      <c r="J646" s="15">
        <v>376.49</v>
      </c>
      <c r="K646" s="21">
        <f t="shared" si="59"/>
        <v>42675</v>
      </c>
      <c r="L646" s="16">
        <f t="shared" ref="L646:L709" si="60">((YEAR($L$1)-YEAR(K646))*12+MONTH($L$1)-MONTH(K646))</f>
        <v>6</v>
      </c>
      <c r="M646" s="17">
        <v>1.4833299999999999E-3</v>
      </c>
      <c r="N646" s="18">
        <f t="shared" ref="N646:N709" si="61">M646*L646*J646</f>
        <v>3.3507534701999999</v>
      </c>
      <c r="O646" s="15"/>
      <c r="P646" s="20">
        <f t="shared" ref="P646:P709" si="62">$P$4*(J646*0.5)*$V$10</f>
        <v>0</v>
      </c>
      <c r="Q646" s="15"/>
      <c r="R646" s="20">
        <f t="shared" ref="R646:R709" si="63">$R$4*(J646*0.5)*$V$9</f>
        <v>0</v>
      </c>
      <c r="S646" s="130"/>
      <c r="T646" s="20">
        <f t="shared" ref="T646:T709" si="64">$T$4*(J646*0.5)*$V$11</f>
        <v>5.3294512562500005</v>
      </c>
    </row>
    <row r="647" spans="1:20">
      <c r="A647" s="13" t="s">
        <v>21</v>
      </c>
      <c r="B647" s="14" t="s">
        <v>81</v>
      </c>
      <c r="C647" s="14" t="s">
        <v>82</v>
      </c>
      <c r="D647" s="13" t="s">
        <v>83</v>
      </c>
      <c r="E647" s="14" t="s">
        <v>75</v>
      </c>
      <c r="F647" s="13" t="s">
        <v>26</v>
      </c>
      <c r="G647" s="14" t="s">
        <v>20</v>
      </c>
      <c r="H647" s="14"/>
      <c r="I647" s="14">
        <v>201406</v>
      </c>
      <c r="J647" s="15">
        <v>-1675.45</v>
      </c>
      <c r="K647" s="21">
        <f t="shared" ref="K647:K710" si="65">+K646</f>
        <v>42675</v>
      </c>
      <c r="L647" s="16">
        <f t="shared" si="60"/>
        <v>6</v>
      </c>
      <c r="M647" s="17">
        <v>1.4833299999999999E-3</v>
      </c>
      <c r="N647" s="18">
        <f t="shared" si="61"/>
        <v>-14.911471491</v>
      </c>
      <c r="O647" s="15"/>
      <c r="P647" s="20">
        <f t="shared" si="62"/>
        <v>0</v>
      </c>
      <c r="Q647" s="15"/>
      <c r="R647" s="20">
        <f t="shared" si="63"/>
        <v>0</v>
      </c>
      <c r="S647" s="130"/>
      <c r="T647" s="20">
        <f t="shared" si="64"/>
        <v>-23.71704190625</v>
      </c>
    </row>
    <row r="648" spans="1:20">
      <c r="A648" s="13" t="s">
        <v>21</v>
      </c>
      <c r="B648" s="14" t="s">
        <v>84</v>
      </c>
      <c r="C648" s="14" t="s">
        <v>85</v>
      </c>
      <c r="D648" s="13" t="s">
        <v>86</v>
      </c>
      <c r="E648" s="14" t="s">
        <v>87</v>
      </c>
      <c r="F648" s="13" t="s">
        <v>88</v>
      </c>
      <c r="G648" s="14" t="s">
        <v>20</v>
      </c>
      <c r="H648" s="14"/>
      <c r="I648" s="14">
        <v>201406</v>
      </c>
      <c r="J648" s="15">
        <v>-495.75</v>
      </c>
      <c r="K648" s="21">
        <f t="shared" si="65"/>
        <v>42675</v>
      </c>
      <c r="L648" s="16">
        <f t="shared" si="60"/>
        <v>6</v>
      </c>
      <c r="M648" s="17">
        <v>1.4833299999999999E-3</v>
      </c>
      <c r="N648" s="18">
        <f t="shared" si="61"/>
        <v>-4.4121650849999998</v>
      </c>
      <c r="O648" s="15"/>
      <c r="P648" s="20">
        <f t="shared" si="62"/>
        <v>0</v>
      </c>
      <c r="Q648" s="15"/>
      <c r="R648" s="20">
        <f t="shared" si="63"/>
        <v>0</v>
      </c>
      <c r="S648" s="130"/>
      <c r="T648" s="20">
        <f t="shared" si="64"/>
        <v>-7.0176510937499996</v>
      </c>
    </row>
    <row r="649" spans="1:20">
      <c r="A649" s="13" t="s">
        <v>21</v>
      </c>
      <c r="B649" s="14" t="s">
        <v>90</v>
      </c>
      <c r="C649" s="14" t="s">
        <v>91</v>
      </c>
      <c r="D649" s="13" t="s">
        <v>92</v>
      </c>
      <c r="E649" s="14" t="s">
        <v>93</v>
      </c>
      <c r="F649" s="13" t="s">
        <v>88</v>
      </c>
      <c r="G649" s="14" t="s">
        <v>20</v>
      </c>
      <c r="H649" s="14"/>
      <c r="I649" s="14">
        <v>201406</v>
      </c>
      <c r="J649" s="15">
        <v>-212.9</v>
      </c>
      <c r="K649" s="21">
        <f t="shared" si="65"/>
        <v>42675</v>
      </c>
      <c r="L649" s="16">
        <f t="shared" si="60"/>
        <v>6</v>
      </c>
      <c r="M649" s="17">
        <v>1.4833299999999999E-3</v>
      </c>
      <c r="N649" s="18">
        <f t="shared" si="61"/>
        <v>-1.894805742</v>
      </c>
      <c r="O649" s="15"/>
      <c r="P649" s="20">
        <f t="shared" si="62"/>
        <v>0</v>
      </c>
      <c r="Q649" s="15"/>
      <c r="R649" s="20">
        <f t="shared" si="63"/>
        <v>0</v>
      </c>
      <c r="S649" s="130"/>
      <c r="T649" s="20">
        <f t="shared" si="64"/>
        <v>-3.0137325625</v>
      </c>
    </row>
    <row r="650" spans="1:20">
      <c r="A650" s="13" t="s">
        <v>21</v>
      </c>
      <c r="B650" s="14" t="s">
        <v>364</v>
      </c>
      <c r="C650" s="14" t="s">
        <v>365</v>
      </c>
      <c r="D650" s="13" t="s">
        <v>366</v>
      </c>
      <c r="E650" s="14" t="s">
        <v>25</v>
      </c>
      <c r="F650" s="13" t="s">
        <v>26</v>
      </c>
      <c r="G650" s="14" t="s">
        <v>20</v>
      </c>
      <c r="H650" s="14"/>
      <c r="I650" s="14">
        <v>201406</v>
      </c>
      <c r="J650" s="15">
        <v>-1068.01</v>
      </c>
      <c r="K650" s="21">
        <f t="shared" si="65"/>
        <v>42675</v>
      </c>
      <c r="L650" s="16">
        <f t="shared" si="60"/>
        <v>6</v>
      </c>
      <c r="M650" s="17">
        <v>1.4833299999999999E-3</v>
      </c>
      <c r="N650" s="18">
        <f t="shared" si="61"/>
        <v>-9.5052676397999996</v>
      </c>
      <c r="O650" s="15"/>
      <c r="P650" s="20">
        <f t="shared" si="62"/>
        <v>0</v>
      </c>
      <c r="Q650" s="15"/>
      <c r="R650" s="20">
        <f t="shared" si="63"/>
        <v>0</v>
      </c>
      <c r="S650" s="130"/>
      <c r="T650" s="20">
        <f t="shared" si="64"/>
        <v>-15.118349056249997</v>
      </c>
    </row>
    <row r="651" spans="1:20">
      <c r="A651" s="13" t="s">
        <v>21</v>
      </c>
      <c r="B651" s="14" t="s">
        <v>367</v>
      </c>
      <c r="C651" s="14" t="s">
        <v>368</v>
      </c>
      <c r="D651" s="13" t="s">
        <v>369</v>
      </c>
      <c r="E651" s="14" t="s">
        <v>63</v>
      </c>
      <c r="F651" s="13" t="s">
        <v>19</v>
      </c>
      <c r="G651" s="14" t="s">
        <v>20</v>
      </c>
      <c r="H651" s="14"/>
      <c r="I651" s="14">
        <v>201406</v>
      </c>
      <c r="J651" s="15">
        <v>-87.39</v>
      </c>
      <c r="K651" s="21">
        <f t="shared" si="65"/>
        <v>42675</v>
      </c>
      <c r="L651" s="16">
        <f t="shared" si="60"/>
        <v>6</v>
      </c>
      <c r="M651" s="17">
        <v>1.4833299999999999E-3</v>
      </c>
      <c r="N651" s="18">
        <f t="shared" si="61"/>
        <v>-0.77776925220000004</v>
      </c>
      <c r="O651" s="15"/>
      <c r="P651" s="20">
        <f t="shared" si="62"/>
        <v>0</v>
      </c>
      <c r="Q651" s="15"/>
      <c r="R651" s="20">
        <f t="shared" si="63"/>
        <v>0</v>
      </c>
      <c r="S651" s="130"/>
      <c r="T651" s="20">
        <f t="shared" si="64"/>
        <v>-1.23706006875</v>
      </c>
    </row>
    <row r="652" spans="1:20">
      <c r="A652" s="13" t="s">
        <v>21</v>
      </c>
      <c r="B652" s="14" t="s">
        <v>95</v>
      </c>
      <c r="C652" s="14" t="s">
        <v>96</v>
      </c>
      <c r="D652" s="13" t="s">
        <v>97</v>
      </c>
      <c r="E652" s="14" t="s">
        <v>75</v>
      </c>
      <c r="F652" s="13" t="s">
        <v>26</v>
      </c>
      <c r="G652" s="14" t="s">
        <v>20</v>
      </c>
      <c r="H652" s="14"/>
      <c r="I652" s="14">
        <v>201406</v>
      </c>
      <c r="J652" s="15">
        <v>-737.28</v>
      </c>
      <c r="K652" s="21">
        <f t="shared" si="65"/>
        <v>42675</v>
      </c>
      <c r="L652" s="16">
        <f t="shared" si="60"/>
        <v>6</v>
      </c>
      <c r="M652" s="17">
        <v>1.4833299999999999E-3</v>
      </c>
      <c r="N652" s="18">
        <f t="shared" si="61"/>
        <v>-6.5617772543999999</v>
      </c>
      <c r="O652" s="15"/>
      <c r="P652" s="20">
        <f t="shared" si="62"/>
        <v>0</v>
      </c>
      <c r="Q652" s="15"/>
      <c r="R652" s="20">
        <f t="shared" si="63"/>
        <v>0</v>
      </c>
      <c r="S652" s="130"/>
      <c r="T652" s="20">
        <f t="shared" si="64"/>
        <v>-10.436659199999999</v>
      </c>
    </row>
    <row r="653" spans="1:20">
      <c r="A653" s="13" t="s">
        <v>693</v>
      </c>
      <c r="B653" s="14" t="s">
        <v>694</v>
      </c>
      <c r="C653" s="14" t="s">
        <v>695</v>
      </c>
      <c r="D653" s="13" t="s">
        <v>696</v>
      </c>
      <c r="E653" s="14" t="s">
        <v>131</v>
      </c>
      <c r="F653" s="13" t="s">
        <v>132</v>
      </c>
      <c r="G653" s="14" t="s">
        <v>20</v>
      </c>
      <c r="H653" s="14"/>
      <c r="I653" s="14">
        <v>201406</v>
      </c>
      <c r="J653" s="15">
        <v>-76.77</v>
      </c>
      <c r="K653" s="21">
        <f t="shared" si="65"/>
        <v>42675</v>
      </c>
      <c r="L653" s="16">
        <f t="shared" si="60"/>
        <v>6</v>
      </c>
      <c r="M653" s="17">
        <v>2.1916700000000002E-3</v>
      </c>
      <c r="N653" s="18">
        <f t="shared" si="61"/>
        <v>-1.0095270354000001</v>
      </c>
      <c r="O653" s="15"/>
      <c r="P653" s="20">
        <f t="shared" si="62"/>
        <v>0</v>
      </c>
      <c r="Q653" s="15"/>
      <c r="R653" s="20">
        <f t="shared" si="63"/>
        <v>0</v>
      </c>
      <c r="S653" s="130"/>
      <c r="T653" s="20">
        <f t="shared" si="64"/>
        <v>-1.0867273312499999</v>
      </c>
    </row>
    <row r="654" spans="1:20">
      <c r="A654" s="13" t="s">
        <v>21</v>
      </c>
      <c r="B654" s="14" t="s">
        <v>431</v>
      </c>
      <c r="C654" s="14" t="s">
        <v>432</v>
      </c>
      <c r="D654" s="13" t="s">
        <v>433</v>
      </c>
      <c r="E654" s="14" t="s">
        <v>75</v>
      </c>
      <c r="F654" s="13" t="s">
        <v>26</v>
      </c>
      <c r="G654" s="14" t="s">
        <v>20</v>
      </c>
      <c r="H654" s="14"/>
      <c r="I654" s="14">
        <v>201406</v>
      </c>
      <c r="J654" s="15">
        <v>-4627.3900000000003</v>
      </c>
      <c r="K654" s="21">
        <f t="shared" si="65"/>
        <v>42675</v>
      </c>
      <c r="L654" s="16">
        <f t="shared" si="60"/>
        <v>6</v>
      </c>
      <c r="M654" s="17">
        <v>1.4833299999999999E-3</v>
      </c>
      <c r="N654" s="18">
        <f t="shared" si="61"/>
        <v>-41.183678452200006</v>
      </c>
      <c r="O654" s="15"/>
      <c r="P654" s="20">
        <f t="shared" si="62"/>
        <v>0</v>
      </c>
      <c r="Q654" s="15"/>
      <c r="R654" s="20">
        <f t="shared" si="63"/>
        <v>0</v>
      </c>
      <c r="S654" s="130"/>
      <c r="T654" s="20">
        <f t="shared" si="64"/>
        <v>-65.50359756875001</v>
      </c>
    </row>
    <row r="655" spans="1:20">
      <c r="A655" s="13" t="s">
        <v>21</v>
      </c>
      <c r="B655" s="14" t="s">
        <v>99</v>
      </c>
      <c r="C655" s="14" t="s">
        <v>100</v>
      </c>
      <c r="D655" s="13" t="s">
        <v>101</v>
      </c>
      <c r="E655" s="14" t="s">
        <v>102</v>
      </c>
      <c r="F655" s="13" t="s">
        <v>19</v>
      </c>
      <c r="G655" s="14" t="s">
        <v>20</v>
      </c>
      <c r="H655" s="14"/>
      <c r="I655" s="14">
        <v>201406</v>
      </c>
      <c r="J655" s="15">
        <v>-1221.74</v>
      </c>
      <c r="K655" s="21">
        <f t="shared" si="65"/>
        <v>42675</v>
      </c>
      <c r="L655" s="16">
        <f t="shared" si="60"/>
        <v>6</v>
      </c>
      <c r="M655" s="17">
        <v>1.4833299999999999E-3</v>
      </c>
      <c r="N655" s="18">
        <f t="shared" si="61"/>
        <v>-10.8734615652</v>
      </c>
      <c r="O655" s="15"/>
      <c r="P655" s="20">
        <f t="shared" si="62"/>
        <v>0</v>
      </c>
      <c r="Q655" s="15"/>
      <c r="R655" s="20">
        <f t="shared" si="63"/>
        <v>0</v>
      </c>
      <c r="S655" s="130"/>
      <c r="T655" s="20">
        <f t="shared" si="64"/>
        <v>-17.2944932875</v>
      </c>
    </row>
    <row r="656" spans="1:20">
      <c r="A656" s="13" t="s">
        <v>21</v>
      </c>
      <c r="B656" s="14" t="s">
        <v>434</v>
      </c>
      <c r="C656" s="14" t="s">
        <v>435</v>
      </c>
      <c r="D656" s="13" t="s">
        <v>436</v>
      </c>
      <c r="E656" s="14" t="s">
        <v>93</v>
      </c>
      <c r="F656" s="13" t="s">
        <v>88</v>
      </c>
      <c r="G656" s="14" t="s">
        <v>20</v>
      </c>
      <c r="H656" s="14"/>
      <c r="I656" s="14">
        <v>201406</v>
      </c>
      <c r="J656" s="15">
        <v>997.34</v>
      </c>
      <c r="K656" s="21">
        <f t="shared" si="65"/>
        <v>42675</v>
      </c>
      <c r="L656" s="16">
        <f t="shared" si="60"/>
        <v>6</v>
      </c>
      <c r="M656" s="17">
        <v>1.4833299999999999E-3</v>
      </c>
      <c r="N656" s="18">
        <f t="shared" si="61"/>
        <v>8.8763060532000004</v>
      </c>
      <c r="O656" s="15"/>
      <c r="P656" s="20">
        <f t="shared" si="62"/>
        <v>0</v>
      </c>
      <c r="Q656" s="15"/>
      <c r="R656" s="20">
        <f t="shared" si="63"/>
        <v>0</v>
      </c>
      <c r="S656" s="130"/>
      <c r="T656" s="20">
        <f t="shared" si="64"/>
        <v>14.1179710375</v>
      </c>
    </row>
    <row r="657" spans="1:20">
      <c r="A657" s="13" t="s">
        <v>21</v>
      </c>
      <c r="B657" s="14" t="s">
        <v>370</v>
      </c>
      <c r="C657" s="14" t="s">
        <v>371</v>
      </c>
      <c r="D657" s="13" t="s">
        <v>372</v>
      </c>
      <c r="E657" s="14" t="s">
        <v>63</v>
      </c>
      <c r="F657" s="13" t="s">
        <v>19</v>
      </c>
      <c r="G657" s="14" t="s">
        <v>20</v>
      </c>
      <c r="H657" s="14"/>
      <c r="I657" s="14">
        <v>201406</v>
      </c>
      <c r="J657" s="15">
        <v>-1172.3399999999999</v>
      </c>
      <c r="K657" s="21">
        <f t="shared" si="65"/>
        <v>42675</v>
      </c>
      <c r="L657" s="16">
        <f t="shared" si="60"/>
        <v>6</v>
      </c>
      <c r="M657" s="17">
        <v>1.4833299999999999E-3</v>
      </c>
      <c r="N657" s="18">
        <f t="shared" si="61"/>
        <v>-10.4338025532</v>
      </c>
      <c r="O657" s="15"/>
      <c r="P657" s="20">
        <f t="shared" si="62"/>
        <v>0</v>
      </c>
      <c r="Q657" s="15"/>
      <c r="R657" s="20">
        <f t="shared" si="63"/>
        <v>0</v>
      </c>
      <c r="S657" s="130"/>
      <c r="T657" s="20">
        <f t="shared" si="64"/>
        <v>-16.595205412499997</v>
      </c>
    </row>
    <row r="658" spans="1:20">
      <c r="A658" s="13" t="s">
        <v>21</v>
      </c>
      <c r="B658" s="14" t="s">
        <v>735</v>
      </c>
      <c r="C658" s="14" t="s">
        <v>736</v>
      </c>
      <c r="D658" s="13" t="s">
        <v>737</v>
      </c>
      <c r="E658" s="14" t="s">
        <v>75</v>
      </c>
      <c r="F658" s="13" t="s">
        <v>26</v>
      </c>
      <c r="G658" s="14" t="s">
        <v>20</v>
      </c>
      <c r="H658" s="14"/>
      <c r="I658" s="14">
        <v>201406</v>
      </c>
      <c r="J658" s="15">
        <v>105561.13</v>
      </c>
      <c r="K658" s="21">
        <f t="shared" si="65"/>
        <v>42675</v>
      </c>
      <c r="L658" s="16">
        <f t="shared" si="60"/>
        <v>6</v>
      </c>
      <c r="M658" s="17">
        <v>1.4833299999999999E-3</v>
      </c>
      <c r="N658" s="18">
        <f t="shared" si="61"/>
        <v>939.49194577740002</v>
      </c>
      <c r="O658" s="15"/>
      <c r="P658" s="20">
        <f t="shared" si="62"/>
        <v>0</v>
      </c>
      <c r="Q658" s="15"/>
      <c r="R658" s="20">
        <f t="shared" si="63"/>
        <v>0</v>
      </c>
      <c r="S658" s="130"/>
      <c r="T658" s="20">
        <f t="shared" si="64"/>
        <v>1494.2837708562499</v>
      </c>
    </row>
    <row r="659" spans="1:20">
      <c r="A659" s="23" t="s">
        <v>29</v>
      </c>
      <c r="B659" s="14" t="s">
        <v>103</v>
      </c>
      <c r="C659" s="14" t="s">
        <v>104</v>
      </c>
      <c r="D659" s="13" t="s">
        <v>105</v>
      </c>
      <c r="E659" s="14" t="s">
        <v>106</v>
      </c>
      <c r="F659" s="13" t="s">
        <v>34</v>
      </c>
      <c r="G659" s="14" t="s">
        <v>20</v>
      </c>
      <c r="H659" s="14"/>
      <c r="I659" s="14">
        <v>201406</v>
      </c>
      <c r="J659" s="15">
        <v>-861.22</v>
      </c>
      <c r="K659" s="21">
        <f t="shared" si="65"/>
        <v>42675</v>
      </c>
      <c r="L659" s="16">
        <f t="shared" si="60"/>
        <v>6</v>
      </c>
      <c r="M659" s="17">
        <v>2.23333E-3</v>
      </c>
      <c r="N659" s="18">
        <f t="shared" si="61"/>
        <v>-11.540330775599999</v>
      </c>
      <c r="O659" s="15"/>
      <c r="P659" s="20">
        <f t="shared" si="62"/>
        <v>0</v>
      </c>
      <c r="Q659" s="15"/>
      <c r="R659" s="20">
        <f t="shared" si="63"/>
        <v>0</v>
      </c>
      <c r="S659" s="130"/>
      <c r="T659" s="20">
        <f t="shared" si="64"/>
        <v>-12.1911073625</v>
      </c>
    </row>
    <row r="660" spans="1:20">
      <c r="A660" s="23" t="s">
        <v>29</v>
      </c>
      <c r="B660" s="14" t="s">
        <v>107</v>
      </c>
      <c r="C660" s="14" t="s">
        <v>108</v>
      </c>
      <c r="D660" s="13" t="s">
        <v>109</v>
      </c>
      <c r="E660" s="14" t="s">
        <v>110</v>
      </c>
      <c r="F660" s="13" t="s">
        <v>52</v>
      </c>
      <c r="G660" s="14" t="s">
        <v>20</v>
      </c>
      <c r="H660" s="14"/>
      <c r="I660" s="14">
        <v>201406</v>
      </c>
      <c r="J660" s="15">
        <v>-5656.69</v>
      </c>
      <c r="K660" s="21">
        <f t="shared" si="65"/>
        <v>42675</v>
      </c>
      <c r="L660" s="16">
        <f t="shared" si="60"/>
        <v>6</v>
      </c>
      <c r="M660" s="17">
        <v>2.23333E-3</v>
      </c>
      <c r="N660" s="18">
        <f t="shared" si="61"/>
        <v>-75.799532866199982</v>
      </c>
      <c r="O660" s="15"/>
      <c r="P660" s="20">
        <f t="shared" si="62"/>
        <v>0</v>
      </c>
      <c r="Q660" s="15"/>
      <c r="R660" s="20">
        <f t="shared" si="63"/>
        <v>0</v>
      </c>
      <c r="S660" s="130"/>
      <c r="T660" s="20">
        <f t="shared" si="64"/>
        <v>-80.073982381249991</v>
      </c>
    </row>
    <row r="661" spans="1:20">
      <c r="A661" s="23" t="s">
        <v>29</v>
      </c>
      <c r="B661" s="14" t="s">
        <v>548</v>
      </c>
      <c r="C661" s="14" t="s">
        <v>549</v>
      </c>
      <c r="D661" s="13" t="s">
        <v>327</v>
      </c>
      <c r="E661" s="14" t="s">
        <v>550</v>
      </c>
      <c r="F661" s="13" t="s">
        <v>58</v>
      </c>
      <c r="G661" s="14" t="s">
        <v>20</v>
      </c>
      <c r="H661" s="14"/>
      <c r="I661" s="14">
        <v>201406</v>
      </c>
      <c r="J661" s="15">
        <v>-18.72</v>
      </c>
      <c r="K661" s="21">
        <f t="shared" si="65"/>
        <v>42675</v>
      </c>
      <c r="L661" s="16">
        <f t="shared" si="60"/>
        <v>6</v>
      </c>
      <c r="M661" s="17">
        <v>2.23333E-3</v>
      </c>
      <c r="N661" s="18">
        <f t="shared" si="61"/>
        <v>-0.25084762559999996</v>
      </c>
      <c r="O661" s="15"/>
      <c r="P661" s="20">
        <f t="shared" si="62"/>
        <v>0</v>
      </c>
      <c r="Q661" s="15"/>
      <c r="R661" s="20">
        <f t="shared" si="63"/>
        <v>0</v>
      </c>
      <c r="S661" s="130"/>
      <c r="T661" s="20">
        <f t="shared" si="64"/>
        <v>-0.26499329999999999</v>
      </c>
    </row>
    <row r="662" spans="1:20">
      <c r="A662" s="23" t="s">
        <v>29</v>
      </c>
      <c r="B662" s="14" t="s">
        <v>111</v>
      </c>
      <c r="C662" s="14" t="s">
        <v>112</v>
      </c>
      <c r="D662" s="13" t="s">
        <v>113</v>
      </c>
      <c r="E662" s="14" t="s">
        <v>114</v>
      </c>
      <c r="F662" s="13" t="s">
        <v>115</v>
      </c>
      <c r="G662" s="14" t="s">
        <v>20</v>
      </c>
      <c r="H662" s="14"/>
      <c r="I662" s="14">
        <v>201406</v>
      </c>
      <c r="J662" s="15">
        <v>3752.74</v>
      </c>
      <c r="K662" s="21">
        <f t="shared" si="65"/>
        <v>42675</v>
      </c>
      <c r="L662" s="16">
        <f t="shared" si="60"/>
        <v>6</v>
      </c>
      <c r="M662" s="17">
        <v>2.23333E-3</v>
      </c>
      <c r="N662" s="18">
        <f t="shared" si="61"/>
        <v>50.286640945199991</v>
      </c>
      <c r="O662" s="15"/>
      <c r="P662" s="20">
        <f t="shared" si="62"/>
        <v>0</v>
      </c>
      <c r="Q662" s="15"/>
      <c r="R662" s="20">
        <f t="shared" si="63"/>
        <v>0</v>
      </c>
      <c r="S662" s="130"/>
      <c r="T662" s="20">
        <f t="shared" si="64"/>
        <v>53.122380162499994</v>
      </c>
    </row>
    <row r="663" spans="1:20">
      <c r="A663" s="13" t="s">
        <v>21</v>
      </c>
      <c r="B663" s="14" t="s">
        <v>551</v>
      </c>
      <c r="C663" s="14" t="s">
        <v>552</v>
      </c>
      <c r="D663" s="13" t="s">
        <v>553</v>
      </c>
      <c r="E663" s="14" t="s">
        <v>260</v>
      </c>
      <c r="F663" s="13" t="s">
        <v>26</v>
      </c>
      <c r="G663" s="14" t="s">
        <v>20</v>
      </c>
      <c r="H663" s="14"/>
      <c r="I663" s="14">
        <v>201406</v>
      </c>
      <c r="J663" s="15">
        <v>-36.909999999999997</v>
      </c>
      <c r="K663" s="21">
        <f t="shared" si="65"/>
        <v>42675</v>
      </c>
      <c r="L663" s="16">
        <f t="shared" si="60"/>
        <v>6</v>
      </c>
      <c r="M663" s="17">
        <v>1.4833299999999999E-3</v>
      </c>
      <c r="N663" s="18">
        <f t="shared" si="61"/>
        <v>-0.32849826179999997</v>
      </c>
      <c r="O663" s="15"/>
      <c r="P663" s="20">
        <f t="shared" si="62"/>
        <v>0</v>
      </c>
      <c r="Q663" s="15"/>
      <c r="R663" s="20">
        <f t="shared" si="63"/>
        <v>0</v>
      </c>
      <c r="S663" s="130"/>
      <c r="T663" s="20">
        <f t="shared" si="64"/>
        <v>-0.52248411874999989</v>
      </c>
    </row>
    <row r="664" spans="1:20">
      <c r="A664" s="13" t="s">
        <v>554</v>
      </c>
      <c r="B664" s="14" t="s">
        <v>116</v>
      </c>
      <c r="C664" s="14" t="s">
        <v>117</v>
      </c>
      <c r="D664" s="13" t="s">
        <v>118</v>
      </c>
      <c r="E664" s="14" t="s">
        <v>119</v>
      </c>
      <c r="F664" s="13" t="s">
        <v>120</v>
      </c>
      <c r="G664" s="14" t="s">
        <v>20</v>
      </c>
      <c r="H664" s="14"/>
      <c r="I664" s="14">
        <v>201406</v>
      </c>
      <c r="J664" s="15">
        <v>101825.39</v>
      </c>
      <c r="K664" s="21">
        <f t="shared" si="65"/>
        <v>42675</v>
      </c>
      <c r="L664" s="16">
        <f t="shared" si="60"/>
        <v>6</v>
      </c>
      <c r="M664" s="17">
        <v>1.4833299999999999E-3</v>
      </c>
      <c r="N664" s="18">
        <f t="shared" si="61"/>
        <v>906.24393449219997</v>
      </c>
      <c r="O664" s="15"/>
      <c r="P664" s="20">
        <f t="shared" si="62"/>
        <v>0</v>
      </c>
      <c r="Q664" s="15"/>
      <c r="R664" s="20">
        <f t="shared" si="63"/>
        <v>0</v>
      </c>
      <c r="S664" s="130"/>
      <c r="T664" s="20">
        <f t="shared" si="64"/>
        <v>1441.4020363187499</v>
      </c>
    </row>
    <row r="665" spans="1:20">
      <c r="A665" s="23" t="s">
        <v>29</v>
      </c>
      <c r="B665" s="14" t="s">
        <v>555</v>
      </c>
      <c r="C665" s="14" t="s">
        <v>556</v>
      </c>
      <c r="D665" s="13" t="s">
        <v>45</v>
      </c>
      <c r="E665" s="14" t="s">
        <v>557</v>
      </c>
      <c r="F665" s="13" t="s">
        <v>41</v>
      </c>
      <c r="G665" s="14" t="s">
        <v>20</v>
      </c>
      <c r="H665" s="14"/>
      <c r="I665" s="14">
        <v>201406</v>
      </c>
      <c r="J665" s="15">
        <v>-1836.89</v>
      </c>
      <c r="K665" s="21">
        <f t="shared" si="65"/>
        <v>42675</v>
      </c>
      <c r="L665" s="16">
        <f t="shared" si="60"/>
        <v>6</v>
      </c>
      <c r="M665" s="17">
        <v>2.23333E-3</v>
      </c>
      <c r="N665" s="18">
        <f t="shared" si="61"/>
        <v>-24.6142892622</v>
      </c>
      <c r="O665" s="15"/>
      <c r="P665" s="20">
        <f t="shared" si="62"/>
        <v>0</v>
      </c>
      <c r="Q665" s="15"/>
      <c r="R665" s="20">
        <f t="shared" si="63"/>
        <v>0</v>
      </c>
      <c r="S665" s="130"/>
      <c r="T665" s="20">
        <f t="shared" si="64"/>
        <v>-26.002326006249998</v>
      </c>
    </row>
    <row r="666" spans="1:20">
      <c r="A666" s="23" t="s">
        <v>29</v>
      </c>
      <c r="B666" s="14" t="s">
        <v>121</v>
      </c>
      <c r="C666" s="14" t="s">
        <v>122</v>
      </c>
      <c r="D666" s="13" t="s">
        <v>50</v>
      </c>
      <c r="E666" s="14" t="s">
        <v>123</v>
      </c>
      <c r="F666" s="13" t="s">
        <v>52</v>
      </c>
      <c r="G666" s="14" t="s">
        <v>20</v>
      </c>
      <c r="H666" s="14"/>
      <c r="I666" s="14">
        <v>201406</v>
      </c>
      <c r="J666" s="15">
        <v>-250.43</v>
      </c>
      <c r="K666" s="21">
        <f t="shared" si="65"/>
        <v>42675</v>
      </c>
      <c r="L666" s="16">
        <f t="shared" si="60"/>
        <v>6</v>
      </c>
      <c r="M666" s="17">
        <v>2.23333E-3</v>
      </c>
      <c r="N666" s="18">
        <f t="shared" si="61"/>
        <v>-3.3557569913999998</v>
      </c>
      <c r="O666" s="15"/>
      <c r="P666" s="20">
        <f t="shared" si="62"/>
        <v>0</v>
      </c>
      <c r="Q666" s="15"/>
      <c r="R666" s="20">
        <f t="shared" si="63"/>
        <v>0</v>
      </c>
      <c r="S666" s="130"/>
      <c r="T666" s="20">
        <f t="shared" si="64"/>
        <v>-3.5449931687499996</v>
      </c>
    </row>
    <row r="667" spans="1:20">
      <c r="A667" s="23" t="s">
        <v>29</v>
      </c>
      <c r="B667" s="14" t="s">
        <v>124</v>
      </c>
      <c r="C667" s="14" t="s">
        <v>125</v>
      </c>
      <c r="D667" s="13" t="s">
        <v>50</v>
      </c>
      <c r="E667" s="14" t="s">
        <v>126</v>
      </c>
      <c r="F667" s="13" t="s">
        <v>52</v>
      </c>
      <c r="G667" s="14" t="s">
        <v>20</v>
      </c>
      <c r="H667" s="14"/>
      <c r="I667" s="14">
        <v>201406</v>
      </c>
      <c r="J667" s="15">
        <v>-2063.86</v>
      </c>
      <c r="K667" s="21">
        <f t="shared" si="65"/>
        <v>42675</v>
      </c>
      <c r="L667" s="16">
        <f t="shared" si="60"/>
        <v>6</v>
      </c>
      <c r="M667" s="17">
        <v>2.23333E-3</v>
      </c>
      <c r="N667" s="18">
        <f t="shared" si="61"/>
        <v>-27.655682722799998</v>
      </c>
      <c r="O667" s="15"/>
      <c r="P667" s="20">
        <f t="shared" si="62"/>
        <v>0</v>
      </c>
      <c r="Q667" s="15"/>
      <c r="R667" s="20">
        <f t="shared" si="63"/>
        <v>0</v>
      </c>
      <c r="S667" s="130"/>
      <c r="T667" s="20">
        <f t="shared" si="64"/>
        <v>-29.215228212500001</v>
      </c>
    </row>
    <row r="668" spans="1:20">
      <c r="A668" s="13" t="s">
        <v>21</v>
      </c>
      <c r="B668" s="14" t="s">
        <v>558</v>
      </c>
      <c r="C668" s="14" t="s">
        <v>559</v>
      </c>
      <c r="D668" s="13" t="s">
        <v>560</v>
      </c>
      <c r="E668" s="14" t="s">
        <v>87</v>
      </c>
      <c r="F668" s="13" t="s">
        <v>88</v>
      </c>
      <c r="G668" s="14" t="s">
        <v>20</v>
      </c>
      <c r="H668" s="14"/>
      <c r="I668" s="14">
        <v>201406</v>
      </c>
      <c r="J668" s="15">
        <v>-752.75</v>
      </c>
      <c r="K668" s="21">
        <f t="shared" si="65"/>
        <v>42675</v>
      </c>
      <c r="L668" s="16">
        <f t="shared" si="60"/>
        <v>6</v>
      </c>
      <c r="M668" s="17">
        <v>1.4833299999999999E-3</v>
      </c>
      <c r="N668" s="18">
        <f t="shared" si="61"/>
        <v>-6.6994599450000001</v>
      </c>
      <c r="O668" s="15"/>
      <c r="P668" s="20">
        <f t="shared" si="62"/>
        <v>0</v>
      </c>
      <c r="Q668" s="15"/>
      <c r="R668" s="20">
        <f t="shared" si="63"/>
        <v>0</v>
      </c>
      <c r="S668" s="130"/>
      <c r="T668" s="20">
        <f t="shared" si="64"/>
        <v>-10.655646718749999</v>
      </c>
    </row>
    <row r="669" spans="1:20">
      <c r="A669" s="13" t="s">
        <v>21</v>
      </c>
      <c r="B669" s="14" t="s">
        <v>561</v>
      </c>
      <c r="C669" s="14" t="s">
        <v>562</v>
      </c>
      <c r="D669" s="13" t="s">
        <v>563</v>
      </c>
      <c r="E669" s="14" t="s">
        <v>75</v>
      </c>
      <c r="F669" s="13" t="s">
        <v>26</v>
      </c>
      <c r="G669" s="14" t="s">
        <v>20</v>
      </c>
      <c r="H669" s="14"/>
      <c r="I669" s="14">
        <v>201406</v>
      </c>
      <c r="J669" s="15">
        <v>6.63</v>
      </c>
      <c r="K669" s="21">
        <f t="shared" si="65"/>
        <v>42675</v>
      </c>
      <c r="L669" s="16">
        <f t="shared" si="60"/>
        <v>6</v>
      </c>
      <c r="M669" s="17">
        <v>1.4833299999999999E-3</v>
      </c>
      <c r="N669" s="18">
        <f t="shared" si="61"/>
        <v>5.9006867399999996E-2</v>
      </c>
      <c r="O669" s="15"/>
      <c r="P669" s="20">
        <f t="shared" si="62"/>
        <v>0</v>
      </c>
      <c r="Q669" s="15"/>
      <c r="R669" s="20">
        <f t="shared" si="63"/>
        <v>0</v>
      </c>
      <c r="S669" s="130"/>
      <c r="T669" s="20">
        <f t="shared" si="64"/>
        <v>9.3851793749999995E-2</v>
      </c>
    </row>
    <row r="670" spans="1:20">
      <c r="A670" s="13" t="s">
        <v>127</v>
      </c>
      <c r="B670" s="14" t="s">
        <v>128</v>
      </c>
      <c r="C670" s="14" t="s">
        <v>129</v>
      </c>
      <c r="D670" s="13" t="s">
        <v>130</v>
      </c>
      <c r="E670" s="14" t="s">
        <v>131</v>
      </c>
      <c r="F670" s="13" t="s">
        <v>132</v>
      </c>
      <c r="G670" s="14" t="s">
        <v>20</v>
      </c>
      <c r="H670" s="14"/>
      <c r="I670" s="14">
        <v>201406</v>
      </c>
      <c r="J670" s="15">
        <v>-213.78</v>
      </c>
      <c r="K670" s="21">
        <f t="shared" si="65"/>
        <v>42675</v>
      </c>
      <c r="L670" s="16">
        <f t="shared" si="60"/>
        <v>6</v>
      </c>
      <c r="M670" s="17">
        <v>2.3833299999999999E-3</v>
      </c>
      <c r="N670" s="18">
        <f t="shared" si="61"/>
        <v>-3.0570497244000001</v>
      </c>
      <c r="O670" s="15"/>
      <c r="P670" s="20">
        <f t="shared" si="62"/>
        <v>0</v>
      </c>
      <c r="Q670" s="15"/>
      <c r="R670" s="20">
        <f t="shared" si="63"/>
        <v>0</v>
      </c>
      <c r="S670" s="130"/>
      <c r="T670" s="20">
        <f t="shared" si="64"/>
        <v>-3.0261895124999998</v>
      </c>
    </row>
    <row r="671" spans="1:20">
      <c r="A671" s="13" t="s">
        <v>133</v>
      </c>
      <c r="B671" s="14" t="s">
        <v>134</v>
      </c>
      <c r="C671" s="14" t="s">
        <v>135</v>
      </c>
      <c r="D671" s="13" t="s">
        <v>136</v>
      </c>
      <c r="E671" s="14" t="s">
        <v>137</v>
      </c>
      <c r="F671" s="13" t="s">
        <v>138</v>
      </c>
      <c r="G671" s="14" t="s">
        <v>20</v>
      </c>
      <c r="H671" s="14"/>
      <c r="I671" s="14">
        <v>201406</v>
      </c>
      <c r="J671" s="15">
        <v>-6537.21</v>
      </c>
      <c r="K671" s="21">
        <f t="shared" si="65"/>
        <v>42675</v>
      </c>
      <c r="L671" s="16">
        <f t="shared" si="60"/>
        <v>6</v>
      </c>
      <c r="M671" s="17">
        <v>1.4833299999999999E-3</v>
      </c>
      <c r="N671" s="18">
        <f t="shared" si="61"/>
        <v>-58.181038255799997</v>
      </c>
      <c r="O671" s="15"/>
      <c r="P671" s="20">
        <f t="shared" si="62"/>
        <v>0</v>
      </c>
      <c r="Q671" s="15"/>
      <c r="R671" s="20">
        <f t="shared" si="63"/>
        <v>0</v>
      </c>
      <c r="S671" s="130"/>
      <c r="T671" s="20">
        <f t="shared" si="64"/>
        <v>-92.538293306249997</v>
      </c>
    </row>
    <row r="672" spans="1:20">
      <c r="A672" s="13" t="s">
        <v>21</v>
      </c>
      <c r="B672" s="14" t="s">
        <v>567</v>
      </c>
      <c r="C672" s="14" t="s">
        <v>565</v>
      </c>
      <c r="D672" s="13" t="s">
        <v>566</v>
      </c>
      <c r="E672" s="14" t="s">
        <v>75</v>
      </c>
      <c r="F672" s="13" t="s">
        <v>26</v>
      </c>
      <c r="G672" s="14" t="s">
        <v>20</v>
      </c>
      <c r="H672" s="14"/>
      <c r="I672" s="14">
        <v>201406</v>
      </c>
      <c r="J672" s="15">
        <v>-536.41</v>
      </c>
      <c r="K672" s="21">
        <f t="shared" si="65"/>
        <v>42675</v>
      </c>
      <c r="L672" s="16">
        <f t="shared" si="60"/>
        <v>6</v>
      </c>
      <c r="M672" s="17">
        <v>1.4833299999999999E-3</v>
      </c>
      <c r="N672" s="18">
        <f t="shared" si="61"/>
        <v>-4.7740382717999994</v>
      </c>
      <c r="O672" s="15"/>
      <c r="P672" s="20">
        <f t="shared" si="62"/>
        <v>0</v>
      </c>
      <c r="Q672" s="15"/>
      <c r="R672" s="20">
        <f t="shared" si="63"/>
        <v>0</v>
      </c>
      <c r="S672" s="130"/>
      <c r="T672" s="20">
        <f t="shared" si="64"/>
        <v>-7.5932188062499986</v>
      </c>
    </row>
    <row r="673" spans="1:20">
      <c r="A673" s="13" t="s">
        <v>21</v>
      </c>
      <c r="B673" s="14" t="s">
        <v>564</v>
      </c>
      <c r="C673" s="14" t="s">
        <v>565</v>
      </c>
      <c r="D673" s="13" t="s">
        <v>566</v>
      </c>
      <c r="E673" s="14" t="s">
        <v>75</v>
      </c>
      <c r="F673" s="13" t="s">
        <v>26</v>
      </c>
      <c r="G673" s="14" t="s">
        <v>20</v>
      </c>
      <c r="H673" s="14"/>
      <c r="I673" s="14">
        <v>201406</v>
      </c>
      <c r="J673" s="15">
        <v>-0.6</v>
      </c>
      <c r="K673" s="21">
        <f t="shared" si="65"/>
        <v>42675</v>
      </c>
      <c r="L673" s="16">
        <f t="shared" si="60"/>
        <v>6</v>
      </c>
      <c r="M673" s="17">
        <v>1.4833299999999999E-3</v>
      </c>
      <c r="N673" s="18">
        <f t="shared" si="61"/>
        <v>-5.3399879999999995E-3</v>
      </c>
      <c r="O673" s="15"/>
      <c r="P673" s="20">
        <f t="shared" si="62"/>
        <v>0</v>
      </c>
      <c r="Q673" s="15"/>
      <c r="R673" s="20">
        <f t="shared" si="63"/>
        <v>0</v>
      </c>
      <c r="S673" s="130"/>
      <c r="T673" s="20">
        <f t="shared" si="64"/>
        <v>-8.4933749999999992E-3</v>
      </c>
    </row>
    <row r="674" spans="1:20">
      <c r="A674" s="13" t="s">
        <v>21</v>
      </c>
      <c r="B674" s="14" t="s">
        <v>373</v>
      </c>
      <c r="C674" s="14" t="s">
        <v>374</v>
      </c>
      <c r="D674" s="13" t="s">
        <v>375</v>
      </c>
      <c r="E674" s="14" t="s">
        <v>164</v>
      </c>
      <c r="F674" s="13" t="s">
        <v>165</v>
      </c>
      <c r="G674" s="14" t="s">
        <v>20</v>
      </c>
      <c r="H674" s="14"/>
      <c r="I674" s="14">
        <v>201406</v>
      </c>
      <c r="J674" s="15">
        <v>-304.83</v>
      </c>
      <c r="K674" s="21">
        <f t="shared" si="65"/>
        <v>42675</v>
      </c>
      <c r="L674" s="16">
        <f t="shared" si="60"/>
        <v>6</v>
      </c>
      <c r="M674" s="17">
        <v>1.4833299999999999E-3</v>
      </c>
      <c r="N674" s="18">
        <f t="shared" si="61"/>
        <v>-2.7129809034000001</v>
      </c>
      <c r="O674" s="15"/>
      <c r="P674" s="20">
        <f t="shared" si="62"/>
        <v>0</v>
      </c>
      <c r="Q674" s="15"/>
      <c r="R674" s="20">
        <f t="shared" si="63"/>
        <v>0</v>
      </c>
      <c r="S674" s="130"/>
      <c r="T674" s="20">
        <f t="shared" si="64"/>
        <v>-4.3150591687499995</v>
      </c>
    </row>
    <row r="675" spans="1:20">
      <c r="A675" s="13" t="s">
        <v>21</v>
      </c>
      <c r="B675" s="14" t="s">
        <v>139</v>
      </c>
      <c r="C675" s="14" t="s">
        <v>140</v>
      </c>
      <c r="D675" s="13" t="s">
        <v>141</v>
      </c>
      <c r="E675" s="14" t="s">
        <v>142</v>
      </c>
      <c r="F675" s="13" t="s">
        <v>143</v>
      </c>
      <c r="G675" s="14" t="s">
        <v>20</v>
      </c>
      <c r="H675" s="14"/>
      <c r="I675" s="14">
        <v>201406</v>
      </c>
      <c r="J675" s="15">
        <v>-6.08</v>
      </c>
      <c r="K675" s="21">
        <f t="shared" si="65"/>
        <v>42675</v>
      </c>
      <c r="L675" s="16">
        <f t="shared" si="60"/>
        <v>6</v>
      </c>
      <c r="M675" s="17">
        <v>1.4833299999999999E-3</v>
      </c>
      <c r="N675" s="18">
        <f t="shared" si="61"/>
        <v>-5.4111878400000001E-2</v>
      </c>
      <c r="O675" s="15"/>
      <c r="P675" s="20">
        <f t="shared" si="62"/>
        <v>0</v>
      </c>
      <c r="Q675" s="15"/>
      <c r="R675" s="20">
        <f t="shared" si="63"/>
        <v>0</v>
      </c>
      <c r="S675" s="130"/>
      <c r="T675" s="20">
        <f t="shared" si="64"/>
        <v>-8.6066199999999995E-2</v>
      </c>
    </row>
    <row r="676" spans="1:20">
      <c r="A676" s="13" t="s">
        <v>21</v>
      </c>
      <c r="B676" s="14" t="s">
        <v>144</v>
      </c>
      <c r="C676" s="14" t="s">
        <v>145</v>
      </c>
      <c r="D676" s="13" t="s">
        <v>146</v>
      </c>
      <c r="E676" s="14" t="s">
        <v>142</v>
      </c>
      <c r="F676" s="13" t="s">
        <v>143</v>
      </c>
      <c r="G676" s="14" t="s">
        <v>20</v>
      </c>
      <c r="H676" s="14"/>
      <c r="I676" s="14">
        <v>201406</v>
      </c>
      <c r="J676" s="15">
        <v>-613.86</v>
      </c>
      <c r="K676" s="21">
        <f t="shared" si="65"/>
        <v>42675</v>
      </c>
      <c r="L676" s="16">
        <f t="shared" si="60"/>
        <v>6</v>
      </c>
      <c r="M676" s="17">
        <v>1.4833299999999999E-3</v>
      </c>
      <c r="N676" s="18">
        <f t="shared" si="61"/>
        <v>-5.4633417228000001</v>
      </c>
      <c r="O676" s="15"/>
      <c r="P676" s="20">
        <f t="shared" si="62"/>
        <v>0</v>
      </c>
      <c r="Q676" s="15"/>
      <c r="R676" s="20">
        <f t="shared" si="63"/>
        <v>0</v>
      </c>
      <c r="S676" s="130"/>
      <c r="T676" s="20">
        <f t="shared" si="64"/>
        <v>-8.6895719625000005</v>
      </c>
    </row>
    <row r="677" spans="1:20">
      <c r="A677" s="13" t="s">
        <v>21</v>
      </c>
      <c r="B677" s="14" t="s">
        <v>147</v>
      </c>
      <c r="C677" s="14" t="s">
        <v>148</v>
      </c>
      <c r="D677" s="13" t="s">
        <v>149</v>
      </c>
      <c r="E677" s="14" t="s">
        <v>75</v>
      </c>
      <c r="F677" s="13" t="s">
        <v>26</v>
      </c>
      <c r="G677" s="14" t="s">
        <v>20</v>
      </c>
      <c r="H677" s="14"/>
      <c r="I677" s="14">
        <v>201406</v>
      </c>
      <c r="J677" s="15">
        <v>-363.2</v>
      </c>
      <c r="K677" s="21">
        <f t="shared" si="65"/>
        <v>42675</v>
      </c>
      <c r="L677" s="16">
        <f t="shared" si="60"/>
        <v>6</v>
      </c>
      <c r="M677" s="17">
        <v>1.4833299999999999E-3</v>
      </c>
      <c r="N677" s="18">
        <f t="shared" si="61"/>
        <v>-3.2324727360000001</v>
      </c>
      <c r="O677" s="15"/>
      <c r="P677" s="20">
        <f t="shared" si="62"/>
        <v>0</v>
      </c>
      <c r="Q677" s="15"/>
      <c r="R677" s="20">
        <f t="shared" si="63"/>
        <v>0</v>
      </c>
      <c r="S677" s="130"/>
      <c r="T677" s="20">
        <f t="shared" si="64"/>
        <v>-5.141322999999999</v>
      </c>
    </row>
    <row r="678" spans="1:20">
      <c r="A678" s="13" t="s">
        <v>21</v>
      </c>
      <c r="B678" s="14" t="s">
        <v>568</v>
      </c>
      <c r="C678" s="14" t="s">
        <v>569</v>
      </c>
      <c r="D678" s="13" t="s">
        <v>570</v>
      </c>
      <c r="E678" s="14" t="s">
        <v>209</v>
      </c>
      <c r="F678" s="13" t="s">
        <v>88</v>
      </c>
      <c r="G678" s="14" t="s">
        <v>20</v>
      </c>
      <c r="H678" s="14"/>
      <c r="I678" s="14">
        <v>201406</v>
      </c>
      <c r="J678" s="15">
        <v>-97.24</v>
      </c>
      <c r="K678" s="21">
        <f t="shared" si="65"/>
        <v>42675</v>
      </c>
      <c r="L678" s="16">
        <f t="shared" si="60"/>
        <v>6</v>
      </c>
      <c r="M678" s="17">
        <v>1.4833299999999999E-3</v>
      </c>
      <c r="N678" s="18">
        <f t="shared" si="61"/>
        <v>-0.86543405519999994</v>
      </c>
      <c r="O678" s="15"/>
      <c r="P678" s="20">
        <f t="shared" si="62"/>
        <v>0</v>
      </c>
      <c r="Q678" s="15"/>
      <c r="R678" s="20">
        <f t="shared" si="63"/>
        <v>0</v>
      </c>
      <c r="S678" s="130"/>
      <c r="T678" s="20">
        <f t="shared" si="64"/>
        <v>-1.3764929749999999</v>
      </c>
    </row>
    <row r="679" spans="1:20">
      <c r="A679" s="13" t="s">
        <v>21</v>
      </c>
      <c r="B679" s="14" t="s">
        <v>150</v>
      </c>
      <c r="C679" s="14" t="s">
        <v>151</v>
      </c>
      <c r="D679" s="13" t="s">
        <v>152</v>
      </c>
      <c r="E679" s="14" t="s">
        <v>75</v>
      </c>
      <c r="F679" s="13" t="s">
        <v>26</v>
      </c>
      <c r="G679" s="14" t="s">
        <v>20</v>
      </c>
      <c r="H679" s="14"/>
      <c r="I679" s="14">
        <v>201406</v>
      </c>
      <c r="J679" s="15">
        <v>-538.22</v>
      </c>
      <c r="K679" s="21">
        <f t="shared" si="65"/>
        <v>42675</v>
      </c>
      <c r="L679" s="16">
        <f t="shared" si="60"/>
        <v>6</v>
      </c>
      <c r="M679" s="17">
        <v>1.4833299999999999E-3</v>
      </c>
      <c r="N679" s="18">
        <f t="shared" si="61"/>
        <v>-4.7901472356000001</v>
      </c>
      <c r="O679" s="15"/>
      <c r="P679" s="20">
        <f t="shared" si="62"/>
        <v>0</v>
      </c>
      <c r="Q679" s="15"/>
      <c r="R679" s="20">
        <f t="shared" si="63"/>
        <v>0</v>
      </c>
      <c r="S679" s="130"/>
      <c r="T679" s="20">
        <f t="shared" si="64"/>
        <v>-7.6188404875000009</v>
      </c>
    </row>
    <row r="680" spans="1:20">
      <c r="A680" s="13" t="s">
        <v>21</v>
      </c>
      <c r="B680" s="14" t="s">
        <v>571</v>
      </c>
      <c r="C680" s="14" t="s">
        <v>572</v>
      </c>
      <c r="D680" s="13" t="s">
        <v>573</v>
      </c>
      <c r="E680" s="14" t="s">
        <v>79</v>
      </c>
      <c r="F680" s="13" t="s">
        <v>26</v>
      </c>
      <c r="G680" s="14" t="s">
        <v>20</v>
      </c>
      <c r="H680" s="14"/>
      <c r="I680" s="14">
        <v>201406</v>
      </c>
      <c r="J680" s="15">
        <v>-1426.61</v>
      </c>
      <c r="K680" s="21">
        <f t="shared" si="65"/>
        <v>42675</v>
      </c>
      <c r="L680" s="16">
        <f t="shared" si="60"/>
        <v>6</v>
      </c>
      <c r="M680" s="17">
        <v>1.4833299999999999E-3</v>
      </c>
      <c r="N680" s="18">
        <f t="shared" si="61"/>
        <v>-12.696800467799999</v>
      </c>
      <c r="O680" s="15"/>
      <c r="P680" s="20">
        <f t="shared" si="62"/>
        <v>0</v>
      </c>
      <c r="Q680" s="15"/>
      <c r="R680" s="20">
        <f t="shared" si="63"/>
        <v>0</v>
      </c>
      <c r="S680" s="130"/>
      <c r="T680" s="20">
        <f t="shared" si="64"/>
        <v>-20.194556181249997</v>
      </c>
    </row>
    <row r="681" spans="1:20">
      <c r="A681" s="13" t="s">
        <v>21</v>
      </c>
      <c r="B681" s="14" t="s">
        <v>574</v>
      </c>
      <c r="C681" s="14" t="s">
        <v>575</v>
      </c>
      <c r="D681" s="13" t="s">
        <v>576</v>
      </c>
      <c r="E681" s="14" t="s">
        <v>87</v>
      </c>
      <c r="F681" s="13" t="s">
        <v>88</v>
      </c>
      <c r="G681" s="14" t="s">
        <v>20</v>
      </c>
      <c r="H681" s="14"/>
      <c r="I681" s="14">
        <v>201406</v>
      </c>
      <c r="J681" s="15">
        <v>-691.17</v>
      </c>
      <c r="K681" s="21">
        <f t="shared" si="65"/>
        <v>42675</v>
      </c>
      <c r="L681" s="16">
        <f t="shared" si="60"/>
        <v>6</v>
      </c>
      <c r="M681" s="17">
        <v>1.4833299999999999E-3</v>
      </c>
      <c r="N681" s="18">
        <f t="shared" si="61"/>
        <v>-6.1513991766</v>
      </c>
      <c r="O681" s="15"/>
      <c r="P681" s="20">
        <f t="shared" si="62"/>
        <v>0</v>
      </c>
      <c r="Q681" s="15"/>
      <c r="R681" s="20">
        <f t="shared" si="63"/>
        <v>0</v>
      </c>
      <c r="S681" s="130"/>
      <c r="T681" s="20">
        <f t="shared" si="64"/>
        <v>-9.7839433312499988</v>
      </c>
    </row>
    <row r="682" spans="1:20">
      <c r="A682" s="13" t="s">
        <v>21</v>
      </c>
      <c r="B682" s="14" t="s">
        <v>153</v>
      </c>
      <c r="C682" s="14" t="s">
        <v>154</v>
      </c>
      <c r="D682" s="13" t="s">
        <v>155</v>
      </c>
      <c r="E682" s="14" t="s">
        <v>156</v>
      </c>
      <c r="F682" s="13" t="s">
        <v>26</v>
      </c>
      <c r="G682" s="14" t="s">
        <v>20</v>
      </c>
      <c r="H682" s="14"/>
      <c r="I682" s="14">
        <v>201406</v>
      </c>
      <c r="J682" s="15">
        <v>2988.12</v>
      </c>
      <c r="K682" s="21">
        <f t="shared" si="65"/>
        <v>42675</v>
      </c>
      <c r="L682" s="16">
        <f t="shared" si="60"/>
        <v>6</v>
      </c>
      <c r="M682" s="17">
        <v>1.4833299999999999E-3</v>
      </c>
      <c r="N682" s="18">
        <f t="shared" si="61"/>
        <v>26.5942082376</v>
      </c>
      <c r="O682" s="15"/>
      <c r="P682" s="20">
        <f t="shared" si="62"/>
        <v>0</v>
      </c>
      <c r="Q682" s="15"/>
      <c r="R682" s="20">
        <f t="shared" si="63"/>
        <v>0</v>
      </c>
      <c r="S682" s="130"/>
      <c r="T682" s="20">
        <f t="shared" si="64"/>
        <v>42.298706175</v>
      </c>
    </row>
    <row r="683" spans="1:20">
      <c r="A683" s="13" t="s">
        <v>21</v>
      </c>
      <c r="B683" s="14" t="s">
        <v>577</v>
      </c>
      <c r="C683" s="14" t="s">
        <v>578</v>
      </c>
      <c r="D683" s="13" t="s">
        <v>579</v>
      </c>
      <c r="E683" s="14" t="s">
        <v>75</v>
      </c>
      <c r="F683" s="13" t="s">
        <v>26</v>
      </c>
      <c r="G683" s="14" t="s">
        <v>20</v>
      </c>
      <c r="H683" s="14"/>
      <c r="I683" s="14">
        <v>201406</v>
      </c>
      <c r="J683" s="15">
        <v>-124.33</v>
      </c>
      <c r="K683" s="21">
        <f t="shared" si="65"/>
        <v>42675</v>
      </c>
      <c r="L683" s="16">
        <f t="shared" si="60"/>
        <v>6</v>
      </c>
      <c r="M683" s="17">
        <v>1.4833299999999999E-3</v>
      </c>
      <c r="N683" s="18">
        <f t="shared" si="61"/>
        <v>-1.1065345134</v>
      </c>
      <c r="O683" s="15"/>
      <c r="P683" s="20">
        <f t="shared" si="62"/>
        <v>0</v>
      </c>
      <c r="Q683" s="15"/>
      <c r="R683" s="20">
        <f t="shared" si="63"/>
        <v>0</v>
      </c>
      <c r="S683" s="130"/>
      <c r="T683" s="20">
        <f t="shared" si="64"/>
        <v>-1.7599688562499998</v>
      </c>
    </row>
    <row r="684" spans="1:20">
      <c r="A684" s="13" t="s">
        <v>21</v>
      </c>
      <c r="B684" s="14" t="s">
        <v>157</v>
      </c>
      <c r="C684" s="14" t="s">
        <v>158</v>
      </c>
      <c r="D684" s="13" t="s">
        <v>159</v>
      </c>
      <c r="E684" s="14" t="s">
        <v>160</v>
      </c>
      <c r="F684" s="13" t="s">
        <v>19</v>
      </c>
      <c r="G684" s="14" t="s">
        <v>20</v>
      </c>
      <c r="H684" s="14"/>
      <c r="I684" s="14">
        <v>201406</v>
      </c>
      <c r="J684" s="15">
        <v>-139.03</v>
      </c>
      <c r="K684" s="21">
        <f t="shared" si="65"/>
        <v>42675</v>
      </c>
      <c r="L684" s="16">
        <f t="shared" si="60"/>
        <v>6</v>
      </c>
      <c r="M684" s="17">
        <v>1.4833299999999999E-3</v>
      </c>
      <c r="N684" s="18">
        <f t="shared" si="61"/>
        <v>-1.2373642194000001</v>
      </c>
      <c r="O684" s="15"/>
      <c r="P684" s="20">
        <f t="shared" si="62"/>
        <v>0</v>
      </c>
      <c r="Q684" s="15"/>
      <c r="R684" s="20">
        <f t="shared" si="63"/>
        <v>0</v>
      </c>
      <c r="S684" s="130"/>
      <c r="T684" s="20">
        <f t="shared" si="64"/>
        <v>-1.9680565437499997</v>
      </c>
    </row>
    <row r="685" spans="1:20">
      <c r="A685" s="13" t="s">
        <v>21</v>
      </c>
      <c r="B685" s="14" t="s">
        <v>376</v>
      </c>
      <c r="C685" s="14" t="s">
        <v>377</v>
      </c>
      <c r="D685" s="13" t="s">
        <v>378</v>
      </c>
      <c r="E685" s="14" t="s">
        <v>156</v>
      </c>
      <c r="F685" s="13" t="s">
        <v>26</v>
      </c>
      <c r="G685" s="14" t="s">
        <v>20</v>
      </c>
      <c r="H685" s="14"/>
      <c r="I685" s="14">
        <v>201406</v>
      </c>
      <c r="J685" s="15">
        <v>-1237.76</v>
      </c>
      <c r="K685" s="21">
        <f t="shared" si="65"/>
        <v>42675</v>
      </c>
      <c r="L685" s="16">
        <f t="shared" si="60"/>
        <v>6</v>
      </c>
      <c r="M685" s="17">
        <v>1.4833299999999999E-3</v>
      </c>
      <c r="N685" s="18">
        <f t="shared" si="61"/>
        <v>-11.0160392448</v>
      </c>
      <c r="O685" s="15"/>
      <c r="P685" s="20">
        <f t="shared" si="62"/>
        <v>0</v>
      </c>
      <c r="Q685" s="15"/>
      <c r="R685" s="20">
        <f t="shared" si="63"/>
        <v>0</v>
      </c>
      <c r="S685" s="130"/>
      <c r="T685" s="20">
        <f t="shared" si="64"/>
        <v>-17.521266399999998</v>
      </c>
    </row>
    <row r="686" spans="1:20">
      <c r="A686" s="13" t="s">
        <v>21</v>
      </c>
      <c r="B686" s="14" t="s">
        <v>161</v>
      </c>
      <c r="C686" s="14" t="s">
        <v>162</v>
      </c>
      <c r="D686" s="13" t="s">
        <v>163</v>
      </c>
      <c r="E686" s="14" t="s">
        <v>164</v>
      </c>
      <c r="F686" s="13" t="s">
        <v>165</v>
      </c>
      <c r="G686" s="14" t="s">
        <v>20</v>
      </c>
      <c r="H686" s="14"/>
      <c r="I686" s="14">
        <v>201406</v>
      </c>
      <c r="J686" s="15">
        <v>-511.96</v>
      </c>
      <c r="K686" s="21">
        <f t="shared" si="65"/>
        <v>42675</v>
      </c>
      <c r="L686" s="16">
        <f t="shared" si="60"/>
        <v>6</v>
      </c>
      <c r="M686" s="17">
        <v>1.4833299999999999E-3</v>
      </c>
      <c r="N686" s="18">
        <f t="shared" si="61"/>
        <v>-4.5564337608000001</v>
      </c>
      <c r="O686" s="15"/>
      <c r="P686" s="20">
        <f t="shared" si="62"/>
        <v>0</v>
      </c>
      <c r="Q686" s="15"/>
      <c r="R686" s="20">
        <f t="shared" si="63"/>
        <v>0</v>
      </c>
      <c r="S686" s="130"/>
      <c r="T686" s="20">
        <f t="shared" si="64"/>
        <v>-7.247113774999999</v>
      </c>
    </row>
    <row r="687" spans="1:20">
      <c r="A687" s="13" t="s">
        <v>626</v>
      </c>
      <c r="B687" s="14" t="s">
        <v>738</v>
      </c>
      <c r="C687" s="14" t="s">
        <v>739</v>
      </c>
      <c r="D687" s="13" t="s">
        <v>740</v>
      </c>
      <c r="E687" s="14" t="s">
        <v>209</v>
      </c>
      <c r="F687" s="13" t="s">
        <v>88</v>
      </c>
      <c r="G687" s="14" t="s">
        <v>20</v>
      </c>
      <c r="H687" s="14"/>
      <c r="I687" s="14">
        <v>201406</v>
      </c>
      <c r="J687" s="15">
        <v>5477.29</v>
      </c>
      <c r="K687" s="21">
        <f t="shared" si="65"/>
        <v>42675</v>
      </c>
      <c r="L687" s="16">
        <f t="shared" si="60"/>
        <v>6</v>
      </c>
      <c r="M687" s="17">
        <v>1.4833299999999999E-3</v>
      </c>
      <c r="N687" s="18">
        <f t="shared" si="61"/>
        <v>48.747771454199999</v>
      </c>
      <c r="O687" s="15"/>
      <c r="P687" s="20">
        <f t="shared" si="62"/>
        <v>0</v>
      </c>
      <c r="Q687" s="15"/>
      <c r="R687" s="20">
        <f t="shared" si="63"/>
        <v>0</v>
      </c>
      <c r="S687" s="130"/>
      <c r="T687" s="20">
        <f t="shared" si="64"/>
        <v>77.534463256249992</v>
      </c>
    </row>
    <row r="688" spans="1:20">
      <c r="A688" s="13" t="s">
        <v>626</v>
      </c>
      <c r="B688" s="14" t="s">
        <v>697</v>
      </c>
      <c r="C688" s="14" t="s">
        <v>698</v>
      </c>
      <c r="D688" s="13" t="s">
        <v>699</v>
      </c>
      <c r="E688" s="14" t="s">
        <v>79</v>
      </c>
      <c r="F688" s="13" t="s">
        <v>26</v>
      </c>
      <c r="G688" s="14" t="s">
        <v>20</v>
      </c>
      <c r="H688" s="14"/>
      <c r="I688" s="14">
        <v>201406</v>
      </c>
      <c r="J688" s="15">
        <v>409.9</v>
      </c>
      <c r="K688" s="21">
        <f t="shared" si="65"/>
        <v>42675</v>
      </c>
      <c r="L688" s="16">
        <f t="shared" si="60"/>
        <v>6</v>
      </c>
      <c r="M688" s="17">
        <v>1.4833299999999999E-3</v>
      </c>
      <c r="N688" s="18">
        <f t="shared" si="61"/>
        <v>3.6481018019999998</v>
      </c>
      <c r="O688" s="15"/>
      <c r="P688" s="20">
        <f t="shared" si="62"/>
        <v>0</v>
      </c>
      <c r="Q688" s="15"/>
      <c r="R688" s="20">
        <f t="shared" si="63"/>
        <v>0</v>
      </c>
      <c r="S688" s="130"/>
      <c r="T688" s="20">
        <f t="shared" si="64"/>
        <v>5.8023906874999991</v>
      </c>
    </row>
    <row r="689" spans="1:20">
      <c r="A689" s="13" t="s">
        <v>21</v>
      </c>
      <c r="B689" s="14" t="s">
        <v>166</v>
      </c>
      <c r="C689" s="14" t="s">
        <v>167</v>
      </c>
      <c r="D689" s="13" t="s">
        <v>168</v>
      </c>
      <c r="E689" s="14" t="s">
        <v>102</v>
      </c>
      <c r="F689" s="13" t="s">
        <v>19</v>
      </c>
      <c r="G689" s="14" t="s">
        <v>20</v>
      </c>
      <c r="H689" s="14"/>
      <c r="I689" s="14">
        <v>201406</v>
      </c>
      <c r="J689" s="15">
        <v>-203.96</v>
      </c>
      <c r="K689" s="21">
        <f t="shared" si="65"/>
        <v>42675</v>
      </c>
      <c r="L689" s="16">
        <f t="shared" si="60"/>
        <v>6</v>
      </c>
      <c r="M689" s="17">
        <v>1.4833299999999999E-3</v>
      </c>
      <c r="N689" s="18">
        <f t="shared" si="61"/>
        <v>-1.8152399208000001</v>
      </c>
      <c r="O689" s="15"/>
      <c r="P689" s="20">
        <f t="shared" si="62"/>
        <v>0</v>
      </c>
      <c r="Q689" s="15"/>
      <c r="R689" s="20">
        <f t="shared" si="63"/>
        <v>0</v>
      </c>
      <c r="S689" s="130"/>
      <c r="T689" s="20">
        <f t="shared" si="64"/>
        <v>-2.8871812750000001</v>
      </c>
    </row>
    <row r="690" spans="1:20">
      <c r="A690" s="13" t="s">
        <v>21</v>
      </c>
      <c r="B690" s="14" t="s">
        <v>379</v>
      </c>
      <c r="C690" s="14" t="s">
        <v>380</v>
      </c>
      <c r="D690" s="13" t="s">
        <v>381</v>
      </c>
      <c r="E690" s="14" t="s">
        <v>164</v>
      </c>
      <c r="F690" s="13" t="s">
        <v>165</v>
      </c>
      <c r="G690" s="14" t="s">
        <v>20</v>
      </c>
      <c r="H690" s="14"/>
      <c r="I690" s="14">
        <v>201406</v>
      </c>
      <c r="J690" s="15">
        <v>605.84</v>
      </c>
      <c r="K690" s="21">
        <f t="shared" si="65"/>
        <v>42675</v>
      </c>
      <c r="L690" s="16">
        <f t="shared" si="60"/>
        <v>6</v>
      </c>
      <c r="M690" s="17">
        <v>1.4833299999999999E-3</v>
      </c>
      <c r="N690" s="18">
        <f t="shared" si="61"/>
        <v>5.3919638832000008</v>
      </c>
      <c r="O690" s="15"/>
      <c r="P690" s="20">
        <f t="shared" si="62"/>
        <v>0</v>
      </c>
      <c r="Q690" s="15"/>
      <c r="R690" s="20">
        <f t="shared" si="63"/>
        <v>0</v>
      </c>
      <c r="S690" s="130"/>
      <c r="T690" s="20">
        <f t="shared" si="64"/>
        <v>8.5760438499999996</v>
      </c>
    </row>
    <row r="691" spans="1:20">
      <c r="A691" s="13" t="s">
        <v>21</v>
      </c>
      <c r="B691" s="14" t="s">
        <v>385</v>
      </c>
      <c r="C691" s="14" t="s">
        <v>386</v>
      </c>
      <c r="D691" s="13" t="s">
        <v>387</v>
      </c>
      <c r="E691" s="14" t="s">
        <v>164</v>
      </c>
      <c r="F691" s="13" t="s">
        <v>165</v>
      </c>
      <c r="G691" s="14" t="s">
        <v>20</v>
      </c>
      <c r="H691" s="14"/>
      <c r="I691" s="14">
        <v>201406</v>
      </c>
      <c r="J691" s="15">
        <v>-539.29999999999995</v>
      </c>
      <c r="K691" s="21">
        <f t="shared" si="65"/>
        <v>42675</v>
      </c>
      <c r="L691" s="16">
        <f t="shared" si="60"/>
        <v>6</v>
      </c>
      <c r="M691" s="17">
        <v>1.4833299999999999E-3</v>
      </c>
      <c r="N691" s="18">
        <f t="shared" si="61"/>
        <v>-4.7997592139999998</v>
      </c>
      <c r="O691" s="15"/>
      <c r="P691" s="20">
        <f t="shared" si="62"/>
        <v>0</v>
      </c>
      <c r="Q691" s="15"/>
      <c r="R691" s="20">
        <f t="shared" si="63"/>
        <v>0</v>
      </c>
      <c r="S691" s="130"/>
      <c r="T691" s="20">
        <f t="shared" si="64"/>
        <v>-7.6341285624999982</v>
      </c>
    </row>
    <row r="692" spans="1:20">
      <c r="A692" s="13" t="s">
        <v>21</v>
      </c>
      <c r="B692" s="14" t="s">
        <v>169</v>
      </c>
      <c r="C692" s="14" t="s">
        <v>170</v>
      </c>
      <c r="D692" s="13" t="s">
        <v>171</v>
      </c>
      <c r="E692" s="14" t="s">
        <v>172</v>
      </c>
      <c r="F692" s="13" t="s">
        <v>173</v>
      </c>
      <c r="G692" s="14" t="s">
        <v>20</v>
      </c>
      <c r="H692" s="14"/>
      <c r="I692" s="14">
        <v>201406</v>
      </c>
      <c r="J692" s="15">
        <v>-691.67</v>
      </c>
      <c r="K692" s="21">
        <f t="shared" si="65"/>
        <v>42675</v>
      </c>
      <c r="L692" s="16">
        <f t="shared" si="60"/>
        <v>6</v>
      </c>
      <c r="M692" s="17">
        <v>1.4833299999999999E-3</v>
      </c>
      <c r="N692" s="18">
        <f t="shared" si="61"/>
        <v>-6.1558491665999995</v>
      </c>
      <c r="O692" s="15"/>
      <c r="P692" s="20">
        <f t="shared" si="62"/>
        <v>0</v>
      </c>
      <c r="Q692" s="15"/>
      <c r="R692" s="20">
        <f t="shared" si="63"/>
        <v>0</v>
      </c>
      <c r="S692" s="130"/>
      <c r="T692" s="20">
        <f t="shared" si="64"/>
        <v>-9.7910211437499992</v>
      </c>
    </row>
    <row r="693" spans="1:20">
      <c r="A693" s="13" t="s">
        <v>21</v>
      </c>
      <c r="B693" s="14" t="s">
        <v>443</v>
      </c>
      <c r="C693" s="14" t="s">
        <v>444</v>
      </c>
      <c r="D693" s="13" t="s">
        <v>445</v>
      </c>
      <c r="E693" s="14" t="s">
        <v>25</v>
      </c>
      <c r="F693" s="13" t="s">
        <v>26</v>
      </c>
      <c r="G693" s="14" t="s">
        <v>20</v>
      </c>
      <c r="H693" s="14"/>
      <c r="I693" s="14">
        <v>201406</v>
      </c>
      <c r="J693" s="15">
        <v>-1110.3499999999999</v>
      </c>
      <c r="K693" s="21">
        <f t="shared" si="65"/>
        <v>42675</v>
      </c>
      <c r="L693" s="16">
        <f t="shared" si="60"/>
        <v>6</v>
      </c>
      <c r="M693" s="17">
        <v>1.4833299999999999E-3</v>
      </c>
      <c r="N693" s="18">
        <f t="shared" si="61"/>
        <v>-9.882092793</v>
      </c>
      <c r="O693" s="15"/>
      <c r="P693" s="20">
        <f t="shared" si="62"/>
        <v>0</v>
      </c>
      <c r="Q693" s="15"/>
      <c r="R693" s="20">
        <f t="shared" si="63"/>
        <v>0</v>
      </c>
      <c r="S693" s="130"/>
      <c r="T693" s="20">
        <f t="shared" si="64"/>
        <v>-15.717698218749996</v>
      </c>
    </row>
    <row r="694" spans="1:20">
      <c r="A694" s="13" t="s">
        <v>21</v>
      </c>
      <c r="B694" s="14" t="s">
        <v>446</v>
      </c>
      <c r="C694" s="14" t="s">
        <v>447</v>
      </c>
      <c r="D694" s="13" t="s">
        <v>448</v>
      </c>
      <c r="E694" s="14" t="s">
        <v>63</v>
      </c>
      <c r="F694" s="13" t="s">
        <v>19</v>
      </c>
      <c r="G694" s="14" t="s">
        <v>20</v>
      </c>
      <c r="H694" s="14"/>
      <c r="I694" s="14">
        <v>201406</v>
      </c>
      <c r="J694" s="15">
        <v>-978.84</v>
      </c>
      <c r="K694" s="21">
        <f t="shared" si="65"/>
        <v>42675</v>
      </c>
      <c r="L694" s="16">
        <f t="shared" si="60"/>
        <v>6</v>
      </c>
      <c r="M694" s="17">
        <v>1.4833299999999999E-3</v>
      </c>
      <c r="N694" s="18">
        <f t="shared" si="61"/>
        <v>-8.7116564232000009</v>
      </c>
      <c r="O694" s="15"/>
      <c r="P694" s="20">
        <f t="shared" si="62"/>
        <v>0</v>
      </c>
      <c r="Q694" s="15"/>
      <c r="R694" s="20">
        <f t="shared" si="63"/>
        <v>0</v>
      </c>
      <c r="S694" s="130"/>
      <c r="T694" s="20">
        <f t="shared" si="64"/>
        <v>-13.856091974999998</v>
      </c>
    </row>
    <row r="695" spans="1:20">
      <c r="A695" s="13" t="s">
        <v>21</v>
      </c>
      <c r="B695" s="14" t="s">
        <v>580</v>
      </c>
      <c r="C695" s="14" t="s">
        <v>581</v>
      </c>
      <c r="D695" s="13" t="s">
        <v>582</v>
      </c>
      <c r="E695" s="14" t="s">
        <v>79</v>
      </c>
      <c r="F695" s="13" t="s">
        <v>26</v>
      </c>
      <c r="G695" s="14" t="s">
        <v>20</v>
      </c>
      <c r="H695" s="14"/>
      <c r="I695" s="14">
        <v>201406</v>
      </c>
      <c r="J695" s="15">
        <v>-1045.72</v>
      </c>
      <c r="K695" s="21">
        <f t="shared" si="65"/>
        <v>42675</v>
      </c>
      <c r="L695" s="16">
        <f t="shared" si="60"/>
        <v>6</v>
      </c>
      <c r="M695" s="17">
        <v>1.4833299999999999E-3</v>
      </c>
      <c r="N695" s="18">
        <f t="shared" si="61"/>
        <v>-9.3068870855999997</v>
      </c>
      <c r="O695" s="15"/>
      <c r="P695" s="20">
        <f t="shared" si="62"/>
        <v>0</v>
      </c>
      <c r="Q695" s="15"/>
      <c r="R695" s="20">
        <f t="shared" si="63"/>
        <v>0</v>
      </c>
      <c r="S695" s="130"/>
      <c r="T695" s="20">
        <f t="shared" si="64"/>
        <v>-14.802820174999999</v>
      </c>
    </row>
    <row r="696" spans="1:20">
      <c r="A696" s="13" t="s">
        <v>21</v>
      </c>
      <c r="B696" s="14" t="s">
        <v>583</v>
      </c>
      <c r="C696" s="14" t="s">
        <v>584</v>
      </c>
      <c r="D696" s="13" t="s">
        <v>585</v>
      </c>
      <c r="E696" s="14" t="s">
        <v>75</v>
      </c>
      <c r="F696" s="13" t="s">
        <v>26</v>
      </c>
      <c r="G696" s="14" t="s">
        <v>20</v>
      </c>
      <c r="H696" s="14"/>
      <c r="I696" s="14">
        <v>201406</v>
      </c>
      <c r="J696" s="15">
        <v>-1163.1099999999999</v>
      </c>
      <c r="K696" s="21">
        <f t="shared" si="65"/>
        <v>42675</v>
      </c>
      <c r="L696" s="16">
        <f t="shared" si="60"/>
        <v>6</v>
      </c>
      <c r="M696" s="17">
        <v>1.4833299999999999E-3</v>
      </c>
      <c r="N696" s="18">
        <f t="shared" si="61"/>
        <v>-10.3516557378</v>
      </c>
      <c r="O696" s="15"/>
      <c r="P696" s="20">
        <f t="shared" si="62"/>
        <v>0</v>
      </c>
      <c r="Q696" s="15"/>
      <c r="R696" s="20">
        <f t="shared" si="63"/>
        <v>0</v>
      </c>
      <c r="S696" s="130"/>
      <c r="T696" s="20">
        <f t="shared" si="64"/>
        <v>-16.464548993749997</v>
      </c>
    </row>
    <row r="697" spans="1:20">
      <c r="A697" s="13" t="s">
        <v>21</v>
      </c>
      <c r="B697" s="14" t="s">
        <v>586</v>
      </c>
      <c r="C697" s="14" t="s">
        <v>587</v>
      </c>
      <c r="D697" s="13" t="s">
        <v>588</v>
      </c>
      <c r="E697" s="14" t="s">
        <v>75</v>
      </c>
      <c r="F697" s="13" t="s">
        <v>26</v>
      </c>
      <c r="G697" s="14" t="s">
        <v>20</v>
      </c>
      <c r="H697" s="14"/>
      <c r="I697" s="14">
        <v>201406</v>
      </c>
      <c r="J697" s="15">
        <v>2034.63</v>
      </c>
      <c r="K697" s="21">
        <f t="shared" si="65"/>
        <v>42675</v>
      </c>
      <c r="L697" s="16">
        <f t="shared" si="60"/>
        <v>6</v>
      </c>
      <c r="M697" s="17">
        <v>1.4833299999999999E-3</v>
      </c>
      <c r="N697" s="18">
        <f t="shared" si="61"/>
        <v>18.108166307400001</v>
      </c>
      <c r="O697" s="15"/>
      <c r="P697" s="20">
        <f t="shared" si="62"/>
        <v>0</v>
      </c>
      <c r="Q697" s="15"/>
      <c r="R697" s="20">
        <f t="shared" si="63"/>
        <v>0</v>
      </c>
      <c r="S697" s="130"/>
      <c r="T697" s="20">
        <f t="shared" si="64"/>
        <v>28.80145929375</v>
      </c>
    </row>
    <row r="698" spans="1:20">
      <c r="A698" s="13" t="s">
        <v>21</v>
      </c>
      <c r="B698" s="14" t="s">
        <v>174</v>
      </c>
      <c r="C698" s="14" t="s">
        <v>175</v>
      </c>
      <c r="D698" s="13" t="s">
        <v>176</v>
      </c>
      <c r="E698" s="14" t="s">
        <v>93</v>
      </c>
      <c r="F698" s="13" t="s">
        <v>88</v>
      </c>
      <c r="G698" s="14" t="s">
        <v>20</v>
      </c>
      <c r="H698" s="14"/>
      <c r="I698" s="14">
        <v>201406</v>
      </c>
      <c r="J698" s="15">
        <v>-1299.97</v>
      </c>
      <c r="K698" s="21">
        <f t="shared" si="65"/>
        <v>42675</v>
      </c>
      <c r="L698" s="16">
        <f t="shared" si="60"/>
        <v>6</v>
      </c>
      <c r="M698" s="17">
        <v>1.4833299999999999E-3</v>
      </c>
      <c r="N698" s="18">
        <f t="shared" si="61"/>
        <v>-11.569707000600001</v>
      </c>
      <c r="O698" s="15"/>
      <c r="P698" s="20">
        <f t="shared" si="62"/>
        <v>0</v>
      </c>
      <c r="Q698" s="15"/>
      <c r="R698" s="20">
        <f t="shared" si="63"/>
        <v>0</v>
      </c>
      <c r="S698" s="130"/>
      <c r="T698" s="20">
        <f t="shared" si="64"/>
        <v>-18.401887831249997</v>
      </c>
    </row>
    <row r="699" spans="1:20">
      <c r="A699" s="13" t="s">
        <v>21</v>
      </c>
      <c r="B699" s="14" t="s">
        <v>177</v>
      </c>
      <c r="C699" s="14" t="s">
        <v>178</v>
      </c>
      <c r="D699" s="13" t="s">
        <v>179</v>
      </c>
      <c r="E699" s="14" t="s">
        <v>172</v>
      </c>
      <c r="F699" s="13" t="s">
        <v>173</v>
      </c>
      <c r="G699" s="14" t="s">
        <v>20</v>
      </c>
      <c r="H699" s="14"/>
      <c r="I699" s="14">
        <v>201406</v>
      </c>
      <c r="J699" s="15">
        <v>-116.9</v>
      </c>
      <c r="K699" s="21">
        <f t="shared" si="65"/>
        <v>42675</v>
      </c>
      <c r="L699" s="16">
        <f t="shared" si="60"/>
        <v>6</v>
      </c>
      <c r="M699" s="17">
        <v>1.4833299999999999E-3</v>
      </c>
      <c r="N699" s="18">
        <f t="shared" si="61"/>
        <v>-1.040407662</v>
      </c>
      <c r="O699" s="15"/>
      <c r="P699" s="20">
        <f t="shared" si="62"/>
        <v>0</v>
      </c>
      <c r="Q699" s="15"/>
      <c r="R699" s="20">
        <f t="shared" si="63"/>
        <v>0</v>
      </c>
      <c r="S699" s="130"/>
      <c r="T699" s="20">
        <f t="shared" si="64"/>
        <v>-1.6547925625</v>
      </c>
    </row>
    <row r="700" spans="1:20">
      <c r="A700" s="13" t="s">
        <v>21</v>
      </c>
      <c r="B700" s="14" t="s">
        <v>589</v>
      </c>
      <c r="C700" s="14" t="s">
        <v>590</v>
      </c>
      <c r="D700" s="13" t="s">
        <v>591</v>
      </c>
      <c r="E700" s="14" t="s">
        <v>63</v>
      </c>
      <c r="F700" s="13" t="s">
        <v>19</v>
      </c>
      <c r="G700" s="14" t="s">
        <v>20</v>
      </c>
      <c r="H700" s="14"/>
      <c r="I700" s="14">
        <v>201406</v>
      </c>
      <c r="J700" s="15">
        <v>-532.37</v>
      </c>
      <c r="K700" s="21">
        <f t="shared" si="65"/>
        <v>42675</v>
      </c>
      <c r="L700" s="16">
        <f t="shared" si="60"/>
        <v>6</v>
      </c>
      <c r="M700" s="17">
        <v>1.4833299999999999E-3</v>
      </c>
      <c r="N700" s="18">
        <f t="shared" si="61"/>
        <v>-4.7380823526000002</v>
      </c>
      <c r="O700" s="15"/>
      <c r="P700" s="20">
        <f t="shared" si="62"/>
        <v>0</v>
      </c>
      <c r="Q700" s="15"/>
      <c r="R700" s="20">
        <f t="shared" si="63"/>
        <v>0</v>
      </c>
      <c r="S700" s="130"/>
      <c r="T700" s="20">
        <f t="shared" si="64"/>
        <v>-7.5360300812499998</v>
      </c>
    </row>
    <row r="701" spans="1:20">
      <c r="A701" s="13" t="s">
        <v>21</v>
      </c>
      <c r="B701" s="14" t="s">
        <v>180</v>
      </c>
      <c r="C701" s="14" t="s">
        <v>181</v>
      </c>
      <c r="D701" s="13" t="s">
        <v>182</v>
      </c>
      <c r="E701" s="14" t="s">
        <v>75</v>
      </c>
      <c r="F701" s="13" t="s">
        <v>26</v>
      </c>
      <c r="G701" s="14" t="s">
        <v>20</v>
      </c>
      <c r="H701" s="14"/>
      <c r="I701" s="14">
        <v>201406</v>
      </c>
      <c r="J701" s="15">
        <v>-901.82</v>
      </c>
      <c r="K701" s="21">
        <f t="shared" si="65"/>
        <v>42675</v>
      </c>
      <c r="L701" s="16">
        <f t="shared" si="60"/>
        <v>6</v>
      </c>
      <c r="M701" s="17">
        <v>1.4833299999999999E-3</v>
      </c>
      <c r="N701" s="18">
        <f t="shared" si="61"/>
        <v>-8.0261799636000006</v>
      </c>
      <c r="O701" s="15"/>
      <c r="P701" s="20">
        <f t="shared" si="62"/>
        <v>0</v>
      </c>
      <c r="Q701" s="15"/>
      <c r="R701" s="20">
        <f t="shared" si="63"/>
        <v>0</v>
      </c>
      <c r="S701" s="130"/>
      <c r="T701" s="20">
        <f t="shared" si="64"/>
        <v>-12.765825737499998</v>
      </c>
    </row>
    <row r="702" spans="1:20">
      <c r="A702" s="13" t="s">
        <v>127</v>
      </c>
      <c r="B702" s="14" t="s">
        <v>388</v>
      </c>
      <c r="C702" s="14" t="s">
        <v>389</v>
      </c>
      <c r="D702" s="13" t="s">
        <v>390</v>
      </c>
      <c r="E702" s="14" t="s">
        <v>131</v>
      </c>
      <c r="F702" s="13" t="s">
        <v>132</v>
      </c>
      <c r="G702" s="14" t="s">
        <v>20</v>
      </c>
      <c r="H702" s="14"/>
      <c r="I702" s="14">
        <v>201406</v>
      </c>
      <c r="J702" s="15">
        <v>2219.9899999999998</v>
      </c>
      <c r="K702" s="21">
        <f t="shared" si="65"/>
        <v>42675</v>
      </c>
      <c r="L702" s="16">
        <f t="shared" si="60"/>
        <v>6</v>
      </c>
      <c r="M702" s="17">
        <v>2.3833299999999999E-3</v>
      </c>
      <c r="N702" s="18">
        <f t="shared" si="61"/>
        <v>31.745812600199997</v>
      </c>
      <c r="O702" s="15"/>
      <c r="P702" s="20">
        <f t="shared" si="62"/>
        <v>0</v>
      </c>
      <c r="Q702" s="15"/>
      <c r="R702" s="20">
        <f t="shared" si="63"/>
        <v>0</v>
      </c>
      <c r="S702" s="130"/>
      <c r="T702" s="20">
        <f t="shared" si="64"/>
        <v>31.425345943749996</v>
      </c>
    </row>
    <row r="703" spans="1:20">
      <c r="A703" s="13" t="s">
        <v>626</v>
      </c>
      <c r="B703" s="14" t="s">
        <v>741</v>
      </c>
      <c r="C703" s="14" t="s">
        <v>742</v>
      </c>
      <c r="D703" s="13" t="s">
        <v>743</v>
      </c>
      <c r="E703" s="14" t="s">
        <v>415</v>
      </c>
      <c r="F703" s="13" t="s">
        <v>88</v>
      </c>
      <c r="G703" s="14" t="s">
        <v>20</v>
      </c>
      <c r="H703" s="14"/>
      <c r="I703" s="14">
        <v>201406</v>
      </c>
      <c r="J703" s="15">
        <v>126394.94</v>
      </c>
      <c r="K703" s="21">
        <f t="shared" si="65"/>
        <v>42675</v>
      </c>
      <c r="L703" s="16">
        <f t="shared" si="60"/>
        <v>6</v>
      </c>
      <c r="M703" s="17">
        <v>1.4833299999999999E-3</v>
      </c>
      <c r="N703" s="18">
        <f t="shared" si="61"/>
        <v>1124.9124381012</v>
      </c>
      <c r="O703" s="15"/>
      <c r="P703" s="20">
        <f t="shared" si="62"/>
        <v>0</v>
      </c>
      <c r="Q703" s="15"/>
      <c r="R703" s="20">
        <f t="shared" si="63"/>
        <v>0</v>
      </c>
      <c r="S703" s="130"/>
      <c r="T703" s="20">
        <f t="shared" si="64"/>
        <v>1789.1993725374998</v>
      </c>
    </row>
    <row r="704" spans="1:20">
      <c r="A704" s="13" t="s">
        <v>21</v>
      </c>
      <c r="B704" s="14" t="s">
        <v>592</v>
      </c>
      <c r="C704" s="14" t="s">
        <v>593</v>
      </c>
      <c r="D704" s="13" t="s">
        <v>594</v>
      </c>
      <c r="E704" s="14" t="s">
        <v>156</v>
      </c>
      <c r="F704" s="13" t="s">
        <v>26</v>
      </c>
      <c r="G704" s="14" t="s">
        <v>20</v>
      </c>
      <c r="H704" s="14"/>
      <c r="I704" s="14">
        <v>201406</v>
      </c>
      <c r="J704" s="15">
        <v>-810.24</v>
      </c>
      <c r="K704" s="21">
        <f t="shared" si="65"/>
        <v>42675</v>
      </c>
      <c r="L704" s="16">
        <f t="shared" si="60"/>
        <v>6</v>
      </c>
      <c r="M704" s="17">
        <v>1.4833299999999999E-3</v>
      </c>
      <c r="N704" s="18">
        <f t="shared" si="61"/>
        <v>-7.2111197952000001</v>
      </c>
      <c r="O704" s="15"/>
      <c r="P704" s="20">
        <f t="shared" si="62"/>
        <v>0</v>
      </c>
      <c r="Q704" s="15"/>
      <c r="R704" s="20">
        <f t="shared" si="63"/>
        <v>0</v>
      </c>
      <c r="S704" s="130"/>
      <c r="T704" s="20">
        <f t="shared" si="64"/>
        <v>-11.4694536</v>
      </c>
    </row>
    <row r="705" spans="1:20">
      <c r="A705" s="23" t="s">
        <v>29</v>
      </c>
      <c r="B705" s="14" t="s">
        <v>183</v>
      </c>
      <c r="C705" s="14" t="s">
        <v>184</v>
      </c>
      <c r="D705" s="13" t="s">
        <v>45</v>
      </c>
      <c r="E705" s="14" t="s">
        <v>185</v>
      </c>
      <c r="F705" s="13" t="s">
        <v>41</v>
      </c>
      <c r="G705" s="14" t="s">
        <v>20</v>
      </c>
      <c r="H705" s="14"/>
      <c r="I705" s="14">
        <v>201406</v>
      </c>
      <c r="J705" s="15">
        <v>130855.69</v>
      </c>
      <c r="K705" s="21">
        <f t="shared" si="65"/>
        <v>42675</v>
      </c>
      <c r="L705" s="16">
        <f t="shared" si="60"/>
        <v>6</v>
      </c>
      <c r="M705" s="17">
        <v>2.23333E-3</v>
      </c>
      <c r="N705" s="18">
        <f t="shared" si="61"/>
        <v>1753.4636288861998</v>
      </c>
      <c r="O705" s="15"/>
      <c r="P705" s="20">
        <f t="shared" si="62"/>
        <v>0</v>
      </c>
      <c r="Q705" s="15"/>
      <c r="R705" s="20">
        <f t="shared" si="63"/>
        <v>0</v>
      </c>
      <c r="S705" s="130"/>
      <c r="T705" s="20">
        <f t="shared" si="64"/>
        <v>1852.3440767562499</v>
      </c>
    </row>
    <row r="706" spans="1:20">
      <c r="A706" s="23" t="s">
        <v>29</v>
      </c>
      <c r="B706" s="14" t="s">
        <v>186</v>
      </c>
      <c r="C706" s="14" t="s">
        <v>187</v>
      </c>
      <c r="D706" s="13" t="s">
        <v>188</v>
      </c>
      <c r="E706" s="14" t="s">
        <v>189</v>
      </c>
      <c r="F706" s="13" t="s">
        <v>190</v>
      </c>
      <c r="G706" s="14" t="s">
        <v>20</v>
      </c>
      <c r="H706" s="14"/>
      <c r="I706" s="14">
        <v>201406</v>
      </c>
      <c r="J706" s="15">
        <v>55.14</v>
      </c>
      <c r="K706" s="21">
        <f t="shared" si="65"/>
        <v>42675</v>
      </c>
      <c r="L706" s="16">
        <f t="shared" si="60"/>
        <v>6</v>
      </c>
      <c r="M706" s="17">
        <v>2.23333E-3</v>
      </c>
      <c r="N706" s="18">
        <f t="shared" si="61"/>
        <v>0.73887489719999999</v>
      </c>
      <c r="O706" s="15"/>
      <c r="P706" s="20">
        <f t="shared" si="62"/>
        <v>0</v>
      </c>
      <c r="Q706" s="15"/>
      <c r="R706" s="20">
        <f t="shared" si="63"/>
        <v>0</v>
      </c>
      <c r="S706" s="130"/>
      <c r="T706" s="20">
        <f t="shared" si="64"/>
        <v>0.78054116249999994</v>
      </c>
    </row>
    <row r="707" spans="1:20">
      <c r="A707" s="23" t="s">
        <v>29</v>
      </c>
      <c r="B707" s="14" t="s">
        <v>191</v>
      </c>
      <c r="C707" s="14" t="s">
        <v>192</v>
      </c>
      <c r="D707" s="13" t="s">
        <v>193</v>
      </c>
      <c r="E707" s="14" t="s">
        <v>194</v>
      </c>
      <c r="F707" s="13" t="s">
        <v>115</v>
      </c>
      <c r="G707" s="14" t="s">
        <v>20</v>
      </c>
      <c r="H707" s="14"/>
      <c r="I707" s="14">
        <v>201406</v>
      </c>
      <c r="J707" s="15">
        <v>41933.5</v>
      </c>
      <c r="K707" s="21">
        <f t="shared" si="65"/>
        <v>42675</v>
      </c>
      <c r="L707" s="16">
        <f t="shared" si="60"/>
        <v>6</v>
      </c>
      <c r="M707" s="17">
        <v>2.23333E-3</v>
      </c>
      <c r="N707" s="18">
        <f t="shared" si="61"/>
        <v>561.9080613299999</v>
      </c>
      <c r="O707" s="15"/>
      <c r="P707" s="20">
        <f t="shared" si="62"/>
        <v>0</v>
      </c>
      <c r="Q707" s="15"/>
      <c r="R707" s="20">
        <f t="shared" si="63"/>
        <v>0</v>
      </c>
      <c r="S707" s="130"/>
      <c r="T707" s="20">
        <f t="shared" si="64"/>
        <v>593.59490093749992</v>
      </c>
    </row>
    <row r="708" spans="1:20">
      <c r="A708" s="23" t="s">
        <v>29</v>
      </c>
      <c r="B708" s="14" t="s">
        <v>195</v>
      </c>
      <c r="C708" s="14" t="s">
        <v>196</v>
      </c>
      <c r="D708" s="13" t="s">
        <v>197</v>
      </c>
      <c r="E708" s="14" t="s">
        <v>198</v>
      </c>
      <c r="F708" s="13" t="s">
        <v>199</v>
      </c>
      <c r="G708" s="14" t="s">
        <v>20</v>
      </c>
      <c r="H708" s="14"/>
      <c r="I708" s="14">
        <v>201406</v>
      </c>
      <c r="J708" s="15">
        <v>-153988.84</v>
      </c>
      <c r="K708" s="21">
        <f t="shared" si="65"/>
        <v>42675</v>
      </c>
      <c r="L708" s="16">
        <f t="shared" si="60"/>
        <v>6</v>
      </c>
      <c r="M708" s="17">
        <v>2.23333E-3</v>
      </c>
      <c r="N708" s="18">
        <f t="shared" si="61"/>
        <v>-2063.4473762231996</v>
      </c>
      <c r="O708" s="15"/>
      <c r="P708" s="20">
        <f t="shared" si="62"/>
        <v>0</v>
      </c>
      <c r="Q708" s="15"/>
      <c r="R708" s="20">
        <f t="shared" si="63"/>
        <v>0</v>
      </c>
      <c r="S708" s="130"/>
      <c r="T708" s="20">
        <f t="shared" si="64"/>
        <v>-2179.8082732249995</v>
      </c>
    </row>
    <row r="709" spans="1:20">
      <c r="A709" s="23" t="s">
        <v>29</v>
      </c>
      <c r="B709" s="14" t="s">
        <v>200</v>
      </c>
      <c r="C709" s="14" t="s">
        <v>201</v>
      </c>
      <c r="D709" s="13" t="s">
        <v>197</v>
      </c>
      <c r="E709" s="14" t="s">
        <v>202</v>
      </c>
      <c r="F709" s="13" t="s">
        <v>199</v>
      </c>
      <c r="G709" s="14" t="s">
        <v>20</v>
      </c>
      <c r="H709" s="14"/>
      <c r="I709" s="14">
        <v>201406</v>
      </c>
      <c r="J709" s="15">
        <v>-4473.3599999999997</v>
      </c>
      <c r="K709" s="21">
        <f t="shared" si="65"/>
        <v>42675</v>
      </c>
      <c r="L709" s="16">
        <f t="shared" si="60"/>
        <v>6</v>
      </c>
      <c r="M709" s="17">
        <v>2.23333E-3</v>
      </c>
      <c r="N709" s="18">
        <f t="shared" si="61"/>
        <v>-59.942934532799988</v>
      </c>
      <c r="O709" s="15"/>
      <c r="P709" s="20">
        <f t="shared" si="62"/>
        <v>0</v>
      </c>
      <c r="Q709" s="15"/>
      <c r="R709" s="20">
        <f t="shared" si="63"/>
        <v>0</v>
      </c>
      <c r="S709" s="130"/>
      <c r="T709" s="20">
        <f t="shared" si="64"/>
        <v>-63.323206649999989</v>
      </c>
    </row>
    <row r="710" spans="1:20">
      <c r="A710" s="13" t="s">
        <v>21</v>
      </c>
      <c r="B710" s="14" t="s">
        <v>449</v>
      </c>
      <c r="C710" s="14" t="s">
        <v>450</v>
      </c>
      <c r="D710" s="13" t="s">
        <v>451</v>
      </c>
      <c r="E710" s="14" t="s">
        <v>452</v>
      </c>
      <c r="F710" s="13" t="s">
        <v>398</v>
      </c>
      <c r="G710" s="14" t="s">
        <v>20</v>
      </c>
      <c r="H710" s="14"/>
      <c r="I710" s="14">
        <v>201406</v>
      </c>
      <c r="J710" s="15">
        <v>3387.36</v>
      </c>
      <c r="K710" s="21">
        <f t="shared" si="65"/>
        <v>42675</v>
      </c>
      <c r="L710" s="16">
        <f t="shared" ref="L710:L773" si="66">((YEAR($L$1)-YEAR(K710))*12+MONTH($L$1)-MONTH(K710))</f>
        <v>6</v>
      </c>
      <c r="M710" s="17">
        <v>1.4833299999999999E-3</v>
      </c>
      <c r="N710" s="18">
        <f t="shared" ref="N710:N773" si="67">M710*L710*J710</f>
        <v>30.147436252800002</v>
      </c>
      <c r="O710" s="15"/>
      <c r="P710" s="20">
        <f t="shared" ref="P710:P773" si="68">$P$4*(J710*0.5)*$V$10</f>
        <v>0</v>
      </c>
      <c r="Q710" s="15"/>
      <c r="R710" s="20">
        <f t="shared" ref="R710:R773" si="69">$R$4*(J710*0.5)*$V$9</f>
        <v>0</v>
      </c>
      <c r="S710" s="130"/>
      <c r="T710" s="20">
        <f t="shared" ref="T710:T773" si="70">$T$4*(J710*0.5)*$V$11</f>
        <v>47.950197899999999</v>
      </c>
    </row>
    <row r="711" spans="1:20">
      <c r="A711" s="13" t="s">
        <v>21</v>
      </c>
      <c r="B711" s="14" t="s">
        <v>595</v>
      </c>
      <c r="C711" s="14" t="s">
        <v>596</v>
      </c>
      <c r="D711" s="13" t="s">
        <v>597</v>
      </c>
      <c r="E711" s="14" t="s">
        <v>531</v>
      </c>
      <c r="F711" s="13" t="s">
        <v>26</v>
      </c>
      <c r="G711" s="14" t="s">
        <v>20</v>
      </c>
      <c r="H711" s="14"/>
      <c r="I711" s="14">
        <v>201406</v>
      </c>
      <c r="J711" s="15">
        <v>-0.65</v>
      </c>
      <c r="K711" s="21">
        <f t="shared" ref="K711:K774" si="71">+K710</f>
        <v>42675</v>
      </c>
      <c r="L711" s="16">
        <f t="shared" si="66"/>
        <v>6</v>
      </c>
      <c r="M711" s="17">
        <v>1.4833299999999999E-3</v>
      </c>
      <c r="N711" s="18">
        <f t="shared" si="67"/>
        <v>-5.7849870000000001E-3</v>
      </c>
      <c r="O711" s="15"/>
      <c r="P711" s="20">
        <f t="shared" si="68"/>
        <v>0</v>
      </c>
      <c r="Q711" s="15"/>
      <c r="R711" s="20">
        <f t="shared" si="69"/>
        <v>0</v>
      </c>
      <c r="S711" s="130"/>
      <c r="T711" s="20">
        <f t="shared" si="70"/>
        <v>-9.2011562500000001E-3</v>
      </c>
    </row>
    <row r="712" spans="1:20">
      <c r="A712" s="13" t="s">
        <v>21</v>
      </c>
      <c r="B712" s="14" t="s">
        <v>744</v>
      </c>
      <c r="C712" s="14" t="s">
        <v>745</v>
      </c>
      <c r="D712" s="13" t="s">
        <v>746</v>
      </c>
      <c r="E712" s="14" t="s">
        <v>209</v>
      </c>
      <c r="F712" s="13" t="s">
        <v>88</v>
      </c>
      <c r="G712" s="14" t="s">
        <v>20</v>
      </c>
      <c r="H712" s="14"/>
      <c r="I712" s="14">
        <v>201406</v>
      </c>
      <c r="J712" s="15">
        <v>665.8</v>
      </c>
      <c r="K712" s="21">
        <f t="shared" si="71"/>
        <v>42675</v>
      </c>
      <c r="L712" s="16">
        <f t="shared" si="66"/>
        <v>6</v>
      </c>
      <c r="M712" s="17">
        <v>1.4833299999999999E-3</v>
      </c>
      <c r="N712" s="18">
        <f t="shared" si="67"/>
        <v>5.9256066839999999</v>
      </c>
      <c r="O712" s="15"/>
      <c r="P712" s="20">
        <f t="shared" si="68"/>
        <v>0</v>
      </c>
      <c r="Q712" s="15"/>
      <c r="R712" s="20">
        <f t="shared" si="69"/>
        <v>0</v>
      </c>
      <c r="S712" s="130"/>
      <c r="T712" s="20">
        <f t="shared" si="70"/>
        <v>9.4248151249999985</v>
      </c>
    </row>
    <row r="713" spans="1:20">
      <c r="A713" s="13" t="s">
        <v>127</v>
      </c>
      <c r="B713" s="14" t="s">
        <v>598</v>
      </c>
      <c r="C713" s="14" t="s">
        <v>599</v>
      </c>
      <c r="D713" s="13" t="s">
        <v>600</v>
      </c>
      <c r="E713" s="14" t="s">
        <v>131</v>
      </c>
      <c r="F713" s="13" t="s">
        <v>132</v>
      </c>
      <c r="G713" s="14" t="s">
        <v>20</v>
      </c>
      <c r="H713" s="14"/>
      <c r="I713" s="14">
        <v>201406</v>
      </c>
      <c r="J713" s="15">
        <v>-463.49</v>
      </c>
      <c r="K713" s="21">
        <f t="shared" si="71"/>
        <v>42675</v>
      </c>
      <c r="L713" s="16">
        <f t="shared" si="66"/>
        <v>6</v>
      </c>
      <c r="M713" s="17">
        <v>2.3833299999999999E-3</v>
      </c>
      <c r="N713" s="18">
        <f t="shared" si="67"/>
        <v>-6.6278977301999999</v>
      </c>
      <c r="O713" s="15"/>
      <c r="P713" s="20">
        <f t="shared" si="68"/>
        <v>0</v>
      </c>
      <c r="Q713" s="15"/>
      <c r="R713" s="20">
        <f t="shared" si="69"/>
        <v>0</v>
      </c>
      <c r="S713" s="130"/>
      <c r="T713" s="20">
        <f t="shared" si="70"/>
        <v>-6.5609906312500001</v>
      </c>
    </row>
    <row r="714" spans="1:20">
      <c r="A714" s="13" t="s">
        <v>21</v>
      </c>
      <c r="B714" s="14" t="s">
        <v>601</v>
      </c>
      <c r="C714" s="14" t="s">
        <v>602</v>
      </c>
      <c r="D714" s="13" t="s">
        <v>603</v>
      </c>
      <c r="E714" s="14" t="s">
        <v>497</v>
      </c>
      <c r="F714" s="13" t="s">
        <v>26</v>
      </c>
      <c r="G714" s="14" t="s">
        <v>20</v>
      </c>
      <c r="H714" s="14"/>
      <c r="I714" s="14">
        <v>201406</v>
      </c>
      <c r="J714" s="15">
        <v>-432.54</v>
      </c>
      <c r="K714" s="21">
        <f t="shared" si="71"/>
        <v>42675</v>
      </c>
      <c r="L714" s="16">
        <f t="shared" si="66"/>
        <v>6</v>
      </c>
      <c r="M714" s="17">
        <v>1.4833299999999999E-3</v>
      </c>
      <c r="N714" s="18">
        <f t="shared" si="67"/>
        <v>-3.8495973492000002</v>
      </c>
      <c r="O714" s="15"/>
      <c r="P714" s="20">
        <f t="shared" si="68"/>
        <v>0</v>
      </c>
      <c r="Q714" s="15"/>
      <c r="R714" s="20">
        <f t="shared" si="69"/>
        <v>0</v>
      </c>
      <c r="S714" s="130"/>
      <c r="T714" s="20">
        <f t="shared" si="70"/>
        <v>-6.1228740374999999</v>
      </c>
    </row>
    <row r="715" spans="1:20">
      <c r="A715" s="13" t="s">
        <v>21</v>
      </c>
      <c r="B715" s="14" t="s">
        <v>203</v>
      </c>
      <c r="C715" s="14" t="s">
        <v>204</v>
      </c>
      <c r="D715" s="13" t="s">
        <v>205</v>
      </c>
      <c r="E715" s="14" t="s">
        <v>93</v>
      </c>
      <c r="F715" s="13" t="s">
        <v>88</v>
      </c>
      <c r="G715" s="14" t="s">
        <v>20</v>
      </c>
      <c r="H715" s="14"/>
      <c r="I715" s="14">
        <v>201406</v>
      </c>
      <c r="J715" s="15">
        <v>-76.83</v>
      </c>
      <c r="K715" s="21">
        <f t="shared" si="71"/>
        <v>42675</v>
      </c>
      <c r="L715" s="16">
        <f t="shared" si="66"/>
        <v>6</v>
      </c>
      <c r="M715" s="17">
        <v>1.4833299999999999E-3</v>
      </c>
      <c r="N715" s="18">
        <f t="shared" si="67"/>
        <v>-0.68378546340000002</v>
      </c>
      <c r="O715" s="15"/>
      <c r="P715" s="20">
        <f t="shared" si="68"/>
        <v>0</v>
      </c>
      <c r="Q715" s="15"/>
      <c r="R715" s="20">
        <f t="shared" si="69"/>
        <v>0</v>
      </c>
      <c r="S715" s="130"/>
      <c r="T715" s="20">
        <f t="shared" si="70"/>
        <v>-1.0875766687499999</v>
      </c>
    </row>
    <row r="716" spans="1:20">
      <c r="A716" s="13" t="s">
        <v>21</v>
      </c>
      <c r="B716" s="14" t="s">
        <v>453</v>
      </c>
      <c r="C716" s="14" t="s">
        <v>454</v>
      </c>
      <c r="D716" s="13" t="s">
        <v>455</v>
      </c>
      <c r="E716" s="14" t="s">
        <v>75</v>
      </c>
      <c r="F716" s="13" t="s">
        <v>26</v>
      </c>
      <c r="G716" s="14" t="s">
        <v>20</v>
      </c>
      <c r="H716" s="14"/>
      <c r="I716" s="14">
        <v>201406</v>
      </c>
      <c r="J716" s="15">
        <v>5744.17</v>
      </c>
      <c r="K716" s="21">
        <f t="shared" si="71"/>
        <v>42675</v>
      </c>
      <c r="L716" s="16">
        <f t="shared" si="66"/>
        <v>6</v>
      </c>
      <c r="M716" s="17">
        <v>1.4833299999999999E-3</v>
      </c>
      <c r="N716" s="18">
        <f t="shared" si="67"/>
        <v>51.122998116600002</v>
      </c>
      <c r="O716" s="15"/>
      <c r="P716" s="20">
        <f t="shared" si="68"/>
        <v>0</v>
      </c>
      <c r="Q716" s="15"/>
      <c r="R716" s="20">
        <f t="shared" si="69"/>
        <v>0</v>
      </c>
      <c r="S716" s="130"/>
      <c r="T716" s="20">
        <f t="shared" si="70"/>
        <v>81.312316456249988</v>
      </c>
    </row>
    <row r="717" spans="1:20">
      <c r="A717" s="13" t="s">
        <v>21</v>
      </c>
      <c r="B717" s="14" t="s">
        <v>206</v>
      </c>
      <c r="C717" s="14" t="s">
        <v>207</v>
      </c>
      <c r="D717" s="13" t="s">
        <v>208</v>
      </c>
      <c r="E717" s="14" t="s">
        <v>209</v>
      </c>
      <c r="F717" s="13" t="s">
        <v>88</v>
      </c>
      <c r="G717" s="14" t="s">
        <v>20</v>
      </c>
      <c r="H717" s="14"/>
      <c r="I717" s="14">
        <v>201406</v>
      </c>
      <c r="J717" s="15">
        <v>-1748.33</v>
      </c>
      <c r="K717" s="21">
        <f t="shared" si="71"/>
        <v>42675</v>
      </c>
      <c r="L717" s="16">
        <f t="shared" si="66"/>
        <v>6</v>
      </c>
      <c r="M717" s="17">
        <v>1.4833299999999999E-3</v>
      </c>
      <c r="N717" s="18">
        <f t="shared" si="67"/>
        <v>-15.5601020334</v>
      </c>
      <c r="O717" s="15"/>
      <c r="P717" s="20">
        <f t="shared" si="68"/>
        <v>0</v>
      </c>
      <c r="Q717" s="15"/>
      <c r="R717" s="20">
        <f t="shared" si="69"/>
        <v>0</v>
      </c>
      <c r="S717" s="130"/>
      <c r="T717" s="20">
        <f t="shared" si="70"/>
        <v>-24.748703856249996</v>
      </c>
    </row>
    <row r="718" spans="1:20">
      <c r="A718" s="13" t="s">
        <v>21</v>
      </c>
      <c r="B718" s="14" t="s">
        <v>456</v>
      </c>
      <c r="C718" s="14" t="s">
        <v>457</v>
      </c>
      <c r="D718" s="13" t="s">
        <v>458</v>
      </c>
      <c r="E718" s="14" t="s">
        <v>164</v>
      </c>
      <c r="F718" s="13" t="s">
        <v>165</v>
      </c>
      <c r="G718" s="14" t="s">
        <v>20</v>
      </c>
      <c r="H718" s="14"/>
      <c r="I718" s="14">
        <v>201406</v>
      </c>
      <c r="J718" s="15">
        <v>-1815.01</v>
      </c>
      <c r="K718" s="21">
        <f t="shared" si="71"/>
        <v>42675</v>
      </c>
      <c r="L718" s="16">
        <f t="shared" si="66"/>
        <v>6</v>
      </c>
      <c r="M718" s="17">
        <v>1.4833299999999999E-3</v>
      </c>
      <c r="N718" s="18">
        <f t="shared" si="67"/>
        <v>-16.153552699799999</v>
      </c>
      <c r="O718" s="15"/>
      <c r="P718" s="20">
        <f t="shared" si="68"/>
        <v>0</v>
      </c>
      <c r="Q718" s="15"/>
      <c r="R718" s="20">
        <f t="shared" si="69"/>
        <v>0</v>
      </c>
      <c r="S718" s="130"/>
      <c r="T718" s="20">
        <f t="shared" si="70"/>
        <v>-25.692600931249999</v>
      </c>
    </row>
    <row r="719" spans="1:20">
      <c r="A719" s="13" t="s">
        <v>626</v>
      </c>
      <c r="B719" s="14" t="s">
        <v>700</v>
      </c>
      <c r="C719" s="14" t="s">
        <v>701</v>
      </c>
      <c r="D719" s="13" t="s">
        <v>702</v>
      </c>
      <c r="E719" s="14" t="s">
        <v>25</v>
      </c>
      <c r="F719" s="13" t="s">
        <v>26</v>
      </c>
      <c r="G719" s="14" t="s">
        <v>20</v>
      </c>
      <c r="H719" s="14"/>
      <c r="I719" s="14">
        <v>201406</v>
      </c>
      <c r="J719" s="15">
        <v>-1133.31</v>
      </c>
      <c r="K719" s="21">
        <f t="shared" si="71"/>
        <v>42675</v>
      </c>
      <c r="L719" s="16">
        <f t="shared" si="66"/>
        <v>6</v>
      </c>
      <c r="M719" s="17">
        <v>1.4833299999999999E-3</v>
      </c>
      <c r="N719" s="18">
        <f t="shared" si="67"/>
        <v>-10.0864363338</v>
      </c>
      <c r="O719" s="15"/>
      <c r="P719" s="20">
        <f t="shared" si="68"/>
        <v>0</v>
      </c>
      <c r="Q719" s="15"/>
      <c r="R719" s="20">
        <f t="shared" si="69"/>
        <v>0</v>
      </c>
      <c r="S719" s="130"/>
      <c r="T719" s="20">
        <f t="shared" si="70"/>
        <v>-16.042711368749998</v>
      </c>
    </row>
    <row r="720" spans="1:20">
      <c r="A720" s="13" t="s">
        <v>21</v>
      </c>
      <c r="B720" s="14" t="s">
        <v>210</v>
      </c>
      <c r="C720" s="14" t="s">
        <v>211</v>
      </c>
      <c r="D720" s="13" t="s">
        <v>212</v>
      </c>
      <c r="E720" s="14" t="s">
        <v>137</v>
      </c>
      <c r="F720" s="13" t="s">
        <v>138</v>
      </c>
      <c r="G720" s="14" t="s">
        <v>20</v>
      </c>
      <c r="H720" s="14"/>
      <c r="I720" s="14">
        <v>201406</v>
      </c>
      <c r="J720" s="15">
        <v>-168.14</v>
      </c>
      <c r="K720" s="21">
        <f t="shared" si="71"/>
        <v>42675</v>
      </c>
      <c r="L720" s="16">
        <f t="shared" si="66"/>
        <v>6</v>
      </c>
      <c r="M720" s="17">
        <v>1.4833299999999999E-3</v>
      </c>
      <c r="N720" s="18">
        <f t="shared" si="67"/>
        <v>-1.4964426371999999</v>
      </c>
      <c r="O720" s="15"/>
      <c r="P720" s="20">
        <f t="shared" si="68"/>
        <v>0</v>
      </c>
      <c r="Q720" s="15"/>
      <c r="R720" s="20">
        <f t="shared" si="69"/>
        <v>0</v>
      </c>
      <c r="S720" s="130"/>
      <c r="T720" s="20">
        <f t="shared" si="70"/>
        <v>-2.3801267875000001</v>
      </c>
    </row>
    <row r="721" spans="1:20">
      <c r="A721" s="13" t="s">
        <v>21</v>
      </c>
      <c r="B721" s="14" t="s">
        <v>218</v>
      </c>
      <c r="C721" s="14" t="s">
        <v>219</v>
      </c>
      <c r="D721" s="13" t="s">
        <v>220</v>
      </c>
      <c r="E721" s="14" t="s">
        <v>209</v>
      </c>
      <c r="F721" s="13" t="s">
        <v>88</v>
      </c>
      <c r="G721" s="14" t="s">
        <v>20</v>
      </c>
      <c r="H721" s="14"/>
      <c r="I721" s="14">
        <v>201406</v>
      </c>
      <c r="J721" s="15">
        <v>-205.45</v>
      </c>
      <c r="K721" s="21">
        <f t="shared" si="71"/>
        <v>42675</v>
      </c>
      <c r="L721" s="16">
        <f t="shared" si="66"/>
        <v>6</v>
      </c>
      <c r="M721" s="17">
        <v>1.4833299999999999E-3</v>
      </c>
      <c r="N721" s="18">
        <f t="shared" si="67"/>
        <v>-1.828500891</v>
      </c>
      <c r="O721" s="15"/>
      <c r="P721" s="20">
        <f t="shared" si="68"/>
        <v>0</v>
      </c>
      <c r="Q721" s="15"/>
      <c r="R721" s="20">
        <f t="shared" si="69"/>
        <v>0</v>
      </c>
      <c r="S721" s="130"/>
      <c r="T721" s="20">
        <f t="shared" si="70"/>
        <v>-2.9082731562499999</v>
      </c>
    </row>
    <row r="722" spans="1:20">
      <c r="A722" s="13" t="s">
        <v>21</v>
      </c>
      <c r="B722" s="14" t="s">
        <v>221</v>
      </c>
      <c r="C722" s="14" t="s">
        <v>222</v>
      </c>
      <c r="D722" s="13" t="s">
        <v>223</v>
      </c>
      <c r="E722" s="14" t="s">
        <v>25</v>
      </c>
      <c r="F722" s="13" t="s">
        <v>26</v>
      </c>
      <c r="G722" s="14" t="s">
        <v>20</v>
      </c>
      <c r="H722" s="14"/>
      <c r="I722" s="14">
        <v>201406</v>
      </c>
      <c r="J722" s="15">
        <v>-1025.22</v>
      </c>
      <c r="K722" s="21">
        <f t="shared" si="71"/>
        <v>42675</v>
      </c>
      <c r="L722" s="16">
        <f t="shared" si="66"/>
        <v>6</v>
      </c>
      <c r="M722" s="17">
        <v>1.4833299999999999E-3</v>
      </c>
      <c r="N722" s="18">
        <f t="shared" si="67"/>
        <v>-9.1244374956000005</v>
      </c>
      <c r="O722" s="15"/>
      <c r="P722" s="20">
        <f t="shared" si="68"/>
        <v>0</v>
      </c>
      <c r="Q722" s="15"/>
      <c r="R722" s="20">
        <f t="shared" si="69"/>
        <v>0</v>
      </c>
      <c r="S722" s="130"/>
      <c r="T722" s="20">
        <f t="shared" si="70"/>
        <v>-14.512629862500001</v>
      </c>
    </row>
    <row r="723" spans="1:20">
      <c r="A723" s="13" t="s">
        <v>21</v>
      </c>
      <c r="B723" s="14" t="s">
        <v>224</v>
      </c>
      <c r="C723" s="14" t="s">
        <v>225</v>
      </c>
      <c r="D723" s="13" t="s">
        <v>226</v>
      </c>
      <c r="E723" s="14" t="s">
        <v>142</v>
      </c>
      <c r="F723" s="13" t="s">
        <v>143</v>
      </c>
      <c r="G723" s="14" t="s">
        <v>20</v>
      </c>
      <c r="H723" s="14"/>
      <c r="I723" s="14">
        <v>201406</v>
      </c>
      <c r="J723" s="15">
        <v>-157.76</v>
      </c>
      <c r="K723" s="21">
        <f t="shared" si="71"/>
        <v>42675</v>
      </c>
      <c r="L723" s="16">
        <f t="shared" si="66"/>
        <v>6</v>
      </c>
      <c r="M723" s="17">
        <v>1.4833299999999999E-3</v>
      </c>
      <c r="N723" s="18">
        <f t="shared" si="67"/>
        <v>-1.4040608447999998</v>
      </c>
      <c r="O723" s="15"/>
      <c r="P723" s="20">
        <f t="shared" si="68"/>
        <v>0</v>
      </c>
      <c r="Q723" s="15"/>
      <c r="R723" s="20">
        <f t="shared" si="69"/>
        <v>0</v>
      </c>
      <c r="S723" s="130"/>
      <c r="T723" s="20">
        <f t="shared" si="70"/>
        <v>-2.2331913999999995</v>
      </c>
    </row>
    <row r="724" spans="1:20">
      <c r="A724" s="13" t="s">
        <v>626</v>
      </c>
      <c r="B724" s="14" t="s">
        <v>747</v>
      </c>
      <c r="C724" s="14" t="s">
        <v>748</v>
      </c>
      <c r="D724" s="13" t="s">
        <v>749</v>
      </c>
      <c r="E724" s="14" t="s">
        <v>497</v>
      </c>
      <c r="F724" s="13" t="s">
        <v>26</v>
      </c>
      <c r="G724" s="14" t="s">
        <v>20</v>
      </c>
      <c r="H724" s="14"/>
      <c r="I724" s="14">
        <v>201406</v>
      </c>
      <c r="J724" s="15">
        <v>5232.7700000000004</v>
      </c>
      <c r="K724" s="21">
        <f t="shared" si="71"/>
        <v>42675</v>
      </c>
      <c r="L724" s="16">
        <f t="shared" si="66"/>
        <v>6</v>
      </c>
      <c r="M724" s="17">
        <v>1.4833299999999999E-3</v>
      </c>
      <c r="N724" s="18">
        <f t="shared" si="67"/>
        <v>46.571548344600004</v>
      </c>
      <c r="O724" s="15"/>
      <c r="P724" s="20">
        <f t="shared" si="68"/>
        <v>0</v>
      </c>
      <c r="Q724" s="15"/>
      <c r="R724" s="20">
        <f t="shared" si="69"/>
        <v>0</v>
      </c>
      <c r="S724" s="130"/>
      <c r="T724" s="20">
        <f t="shared" si="70"/>
        <v>74.07312983125</v>
      </c>
    </row>
    <row r="725" spans="1:20">
      <c r="A725" s="13" t="s">
        <v>21</v>
      </c>
      <c r="B725" s="14" t="s">
        <v>604</v>
      </c>
      <c r="C725" s="14" t="s">
        <v>605</v>
      </c>
      <c r="D725" s="13" t="s">
        <v>606</v>
      </c>
      <c r="E725" s="14" t="s">
        <v>360</v>
      </c>
      <c r="F725" s="13" t="s">
        <v>19</v>
      </c>
      <c r="G725" s="14" t="s">
        <v>20</v>
      </c>
      <c r="H725" s="14"/>
      <c r="I725" s="14">
        <v>201406</v>
      </c>
      <c r="J725" s="15">
        <v>-379.95</v>
      </c>
      <c r="K725" s="21">
        <f t="shared" si="71"/>
        <v>42675</v>
      </c>
      <c r="L725" s="16">
        <f t="shared" si="66"/>
        <v>6</v>
      </c>
      <c r="M725" s="17">
        <v>1.4833299999999999E-3</v>
      </c>
      <c r="N725" s="18">
        <f t="shared" si="67"/>
        <v>-3.3815474009999997</v>
      </c>
      <c r="O725" s="15"/>
      <c r="P725" s="20">
        <f t="shared" si="68"/>
        <v>0</v>
      </c>
      <c r="Q725" s="15"/>
      <c r="R725" s="20">
        <f t="shared" si="69"/>
        <v>0</v>
      </c>
      <c r="S725" s="130"/>
      <c r="T725" s="20">
        <f t="shared" si="70"/>
        <v>-5.3784297187499996</v>
      </c>
    </row>
    <row r="726" spans="1:20">
      <c r="A726" s="13" t="s">
        <v>626</v>
      </c>
      <c r="B726" s="14" t="s">
        <v>750</v>
      </c>
      <c r="C726" s="14" t="s">
        <v>751</v>
      </c>
      <c r="D726" s="13" t="s">
        <v>752</v>
      </c>
      <c r="E726" s="14" t="s">
        <v>164</v>
      </c>
      <c r="F726" s="13" t="s">
        <v>165</v>
      </c>
      <c r="G726" s="14" t="s">
        <v>20</v>
      </c>
      <c r="H726" s="14"/>
      <c r="I726" s="14">
        <v>201406</v>
      </c>
      <c r="J726" s="15">
        <v>728000.48</v>
      </c>
      <c r="K726" s="21">
        <f t="shared" si="71"/>
        <v>42675</v>
      </c>
      <c r="L726" s="16">
        <f t="shared" si="66"/>
        <v>6</v>
      </c>
      <c r="M726" s="17">
        <v>1.4833299999999999E-3</v>
      </c>
      <c r="N726" s="18">
        <f t="shared" si="67"/>
        <v>6479.1897119903997</v>
      </c>
      <c r="O726" s="15"/>
      <c r="P726" s="20">
        <f t="shared" si="68"/>
        <v>0</v>
      </c>
      <c r="Q726" s="15"/>
      <c r="R726" s="20">
        <f t="shared" si="69"/>
        <v>0</v>
      </c>
      <c r="S726" s="130"/>
      <c r="T726" s="20">
        <f t="shared" si="70"/>
        <v>10305.301794699999</v>
      </c>
    </row>
    <row r="727" spans="1:20">
      <c r="A727" s="13" t="s">
        <v>21</v>
      </c>
      <c r="B727" s="14" t="s">
        <v>607</v>
      </c>
      <c r="C727" s="14" t="s">
        <v>608</v>
      </c>
      <c r="D727" s="13" t="s">
        <v>609</v>
      </c>
      <c r="E727" s="14" t="s">
        <v>75</v>
      </c>
      <c r="F727" s="13" t="s">
        <v>26</v>
      </c>
      <c r="G727" s="14" t="s">
        <v>20</v>
      </c>
      <c r="H727" s="14"/>
      <c r="I727" s="14">
        <v>201406</v>
      </c>
      <c r="J727" s="15">
        <v>-3131.48</v>
      </c>
      <c r="K727" s="21">
        <f t="shared" si="71"/>
        <v>42675</v>
      </c>
      <c r="L727" s="16">
        <f t="shared" si="66"/>
        <v>6</v>
      </c>
      <c r="M727" s="17">
        <v>1.4833299999999999E-3</v>
      </c>
      <c r="N727" s="18">
        <f t="shared" si="67"/>
        <v>-27.870109370400002</v>
      </c>
      <c r="O727" s="15"/>
      <c r="P727" s="20">
        <f t="shared" si="68"/>
        <v>0</v>
      </c>
      <c r="Q727" s="15"/>
      <c r="R727" s="20">
        <f t="shared" si="69"/>
        <v>0</v>
      </c>
      <c r="S727" s="130"/>
      <c r="T727" s="20">
        <f t="shared" si="70"/>
        <v>-44.328056574999998</v>
      </c>
    </row>
    <row r="728" spans="1:20">
      <c r="A728" s="13" t="s">
        <v>21</v>
      </c>
      <c r="B728" s="14" t="s">
        <v>459</v>
      </c>
      <c r="C728" s="14" t="s">
        <v>460</v>
      </c>
      <c r="D728" s="13" t="s">
        <v>461</v>
      </c>
      <c r="E728" s="14" t="s">
        <v>160</v>
      </c>
      <c r="F728" s="13" t="s">
        <v>19</v>
      </c>
      <c r="G728" s="14" t="s">
        <v>20</v>
      </c>
      <c r="H728" s="14"/>
      <c r="I728" s="14">
        <v>201406</v>
      </c>
      <c r="J728" s="15">
        <v>-664.85</v>
      </c>
      <c r="K728" s="21">
        <f t="shared" si="71"/>
        <v>42675</v>
      </c>
      <c r="L728" s="16">
        <f t="shared" si="66"/>
        <v>6</v>
      </c>
      <c r="M728" s="17">
        <v>1.4833299999999999E-3</v>
      </c>
      <c r="N728" s="18">
        <f t="shared" si="67"/>
        <v>-5.917151703</v>
      </c>
      <c r="O728" s="15"/>
      <c r="P728" s="20">
        <f t="shared" si="68"/>
        <v>0</v>
      </c>
      <c r="Q728" s="15"/>
      <c r="R728" s="20">
        <f t="shared" si="69"/>
        <v>0</v>
      </c>
      <c r="S728" s="130"/>
      <c r="T728" s="20">
        <f t="shared" si="70"/>
        <v>-9.4113672812499996</v>
      </c>
    </row>
    <row r="729" spans="1:20">
      <c r="A729" s="13" t="s">
        <v>21</v>
      </c>
      <c r="B729" s="14" t="s">
        <v>462</v>
      </c>
      <c r="C729" s="14" t="s">
        <v>463</v>
      </c>
      <c r="D729" s="13" t="s">
        <v>464</v>
      </c>
      <c r="E729" s="14" t="s">
        <v>280</v>
      </c>
      <c r="F729" s="13" t="s">
        <v>26</v>
      </c>
      <c r="G729" s="14" t="s">
        <v>20</v>
      </c>
      <c r="H729" s="14"/>
      <c r="I729" s="14">
        <v>201406</v>
      </c>
      <c r="J729" s="15">
        <v>-1499.77</v>
      </c>
      <c r="K729" s="21">
        <f t="shared" si="71"/>
        <v>42675</v>
      </c>
      <c r="L729" s="16">
        <f t="shared" si="66"/>
        <v>6</v>
      </c>
      <c r="M729" s="17">
        <v>1.4833299999999999E-3</v>
      </c>
      <c r="N729" s="18">
        <f t="shared" si="67"/>
        <v>-13.3479230046</v>
      </c>
      <c r="O729" s="15"/>
      <c r="P729" s="20">
        <f t="shared" si="68"/>
        <v>0</v>
      </c>
      <c r="Q729" s="15"/>
      <c r="R729" s="20">
        <f t="shared" si="69"/>
        <v>0</v>
      </c>
      <c r="S729" s="130"/>
      <c r="T729" s="20">
        <f t="shared" si="70"/>
        <v>-21.230181706249997</v>
      </c>
    </row>
    <row r="730" spans="1:20">
      <c r="A730" s="13" t="s">
        <v>21</v>
      </c>
      <c r="B730" s="14" t="s">
        <v>465</v>
      </c>
      <c r="C730" s="14" t="s">
        <v>466</v>
      </c>
      <c r="D730" s="13" t="s">
        <v>467</v>
      </c>
      <c r="E730" s="14" t="s">
        <v>75</v>
      </c>
      <c r="F730" s="13" t="s">
        <v>26</v>
      </c>
      <c r="G730" s="14" t="s">
        <v>20</v>
      </c>
      <c r="H730" s="14"/>
      <c r="I730" s="14">
        <v>201406</v>
      </c>
      <c r="J730" s="15">
        <v>-48.22</v>
      </c>
      <c r="K730" s="21">
        <f t="shared" si="71"/>
        <v>42675</v>
      </c>
      <c r="L730" s="16">
        <f t="shared" si="66"/>
        <v>6</v>
      </c>
      <c r="M730" s="17">
        <v>1.4833299999999999E-3</v>
      </c>
      <c r="N730" s="18">
        <f t="shared" si="67"/>
        <v>-0.42915703560000001</v>
      </c>
      <c r="O730" s="15"/>
      <c r="P730" s="20">
        <f t="shared" si="68"/>
        <v>0</v>
      </c>
      <c r="Q730" s="15"/>
      <c r="R730" s="20">
        <f t="shared" si="69"/>
        <v>0</v>
      </c>
      <c r="S730" s="130"/>
      <c r="T730" s="20">
        <f t="shared" si="70"/>
        <v>-0.68258423749999997</v>
      </c>
    </row>
    <row r="731" spans="1:20">
      <c r="A731" s="13" t="s">
        <v>21</v>
      </c>
      <c r="B731" s="14" t="s">
        <v>391</v>
      </c>
      <c r="C731" s="14" t="s">
        <v>392</v>
      </c>
      <c r="D731" s="13" t="s">
        <v>393</v>
      </c>
      <c r="E731" s="14" t="s">
        <v>156</v>
      </c>
      <c r="F731" s="13" t="s">
        <v>26</v>
      </c>
      <c r="G731" s="14" t="s">
        <v>20</v>
      </c>
      <c r="H731" s="14"/>
      <c r="I731" s="14">
        <v>201406</v>
      </c>
      <c r="J731" s="15">
        <v>2435.21</v>
      </c>
      <c r="K731" s="21">
        <f t="shared" si="71"/>
        <v>42675</v>
      </c>
      <c r="L731" s="16">
        <f t="shared" si="66"/>
        <v>6</v>
      </c>
      <c r="M731" s="17">
        <v>1.4833299999999999E-3</v>
      </c>
      <c r="N731" s="18">
        <f t="shared" si="67"/>
        <v>21.6733202958</v>
      </c>
      <c r="O731" s="15"/>
      <c r="P731" s="20">
        <f t="shared" si="68"/>
        <v>0</v>
      </c>
      <c r="Q731" s="15"/>
      <c r="R731" s="20">
        <f t="shared" si="69"/>
        <v>0</v>
      </c>
      <c r="S731" s="130"/>
      <c r="T731" s="20">
        <f t="shared" si="70"/>
        <v>34.471919556249993</v>
      </c>
    </row>
    <row r="732" spans="1:20">
      <c r="A732" s="13" t="s">
        <v>21</v>
      </c>
      <c r="B732" s="14" t="s">
        <v>468</v>
      </c>
      <c r="C732" s="14" t="s">
        <v>469</v>
      </c>
      <c r="D732" s="13" t="s">
        <v>470</v>
      </c>
      <c r="E732" s="14" t="s">
        <v>471</v>
      </c>
      <c r="F732" s="13" t="s">
        <v>165</v>
      </c>
      <c r="G732" s="14" t="s">
        <v>20</v>
      </c>
      <c r="H732" s="14"/>
      <c r="I732" s="14">
        <v>201406</v>
      </c>
      <c r="J732" s="15">
        <v>4392.41</v>
      </c>
      <c r="K732" s="21">
        <f t="shared" si="71"/>
        <v>42675</v>
      </c>
      <c r="L732" s="16">
        <f t="shared" si="66"/>
        <v>6</v>
      </c>
      <c r="M732" s="17">
        <v>1.4833299999999999E-3</v>
      </c>
      <c r="N732" s="18">
        <f t="shared" si="67"/>
        <v>39.092361151799999</v>
      </c>
      <c r="O732" s="15"/>
      <c r="P732" s="20">
        <f t="shared" si="68"/>
        <v>0</v>
      </c>
      <c r="Q732" s="15"/>
      <c r="R732" s="20">
        <f t="shared" si="69"/>
        <v>0</v>
      </c>
      <c r="S732" s="130"/>
      <c r="T732" s="20">
        <f t="shared" si="70"/>
        <v>62.177308806249997</v>
      </c>
    </row>
    <row r="733" spans="1:20">
      <c r="A733" s="13" t="s">
        <v>21</v>
      </c>
      <c r="B733" s="14" t="s">
        <v>610</v>
      </c>
      <c r="C733" s="14" t="s">
        <v>611</v>
      </c>
      <c r="D733" s="13" t="s">
        <v>612</v>
      </c>
      <c r="E733" s="14" t="s">
        <v>613</v>
      </c>
      <c r="F733" s="13" t="s">
        <v>398</v>
      </c>
      <c r="G733" s="14" t="s">
        <v>20</v>
      </c>
      <c r="H733" s="14"/>
      <c r="I733" s="14">
        <v>201406</v>
      </c>
      <c r="J733" s="15">
        <v>-1527.87</v>
      </c>
      <c r="K733" s="21">
        <f t="shared" si="71"/>
        <v>42675</v>
      </c>
      <c r="L733" s="16">
        <f t="shared" si="66"/>
        <v>6</v>
      </c>
      <c r="M733" s="17">
        <v>1.4833299999999999E-3</v>
      </c>
      <c r="N733" s="18">
        <f t="shared" si="67"/>
        <v>-13.5980124426</v>
      </c>
      <c r="O733" s="15"/>
      <c r="P733" s="20">
        <f t="shared" si="68"/>
        <v>0</v>
      </c>
      <c r="Q733" s="15"/>
      <c r="R733" s="20">
        <f t="shared" si="69"/>
        <v>0</v>
      </c>
      <c r="S733" s="130"/>
      <c r="T733" s="20">
        <f t="shared" si="70"/>
        <v>-21.627954768749998</v>
      </c>
    </row>
    <row r="734" spans="1:20">
      <c r="A734" s="13" t="s">
        <v>21</v>
      </c>
      <c r="B734" s="14" t="s">
        <v>614</v>
      </c>
      <c r="C734" s="14" t="s">
        <v>615</v>
      </c>
      <c r="D734" s="13" t="s">
        <v>616</v>
      </c>
      <c r="E734" s="14" t="s">
        <v>18</v>
      </c>
      <c r="F734" s="13" t="s">
        <v>19</v>
      </c>
      <c r="G734" s="14" t="s">
        <v>20</v>
      </c>
      <c r="H734" s="14"/>
      <c r="I734" s="14">
        <v>201406</v>
      </c>
      <c r="J734" s="15">
        <v>-334.79</v>
      </c>
      <c r="K734" s="21">
        <f t="shared" si="71"/>
        <v>42675</v>
      </c>
      <c r="L734" s="16">
        <f t="shared" si="66"/>
        <v>6</v>
      </c>
      <c r="M734" s="17">
        <v>1.4833299999999999E-3</v>
      </c>
      <c r="N734" s="18">
        <f t="shared" si="67"/>
        <v>-2.9796243042000001</v>
      </c>
      <c r="O734" s="15"/>
      <c r="P734" s="20">
        <f t="shared" si="68"/>
        <v>0</v>
      </c>
      <c r="Q734" s="15"/>
      <c r="R734" s="20">
        <f t="shared" si="69"/>
        <v>0</v>
      </c>
      <c r="S734" s="130"/>
      <c r="T734" s="20">
        <f t="shared" si="70"/>
        <v>-4.7391616937499998</v>
      </c>
    </row>
    <row r="735" spans="1:20">
      <c r="A735" s="13" t="s">
        <v>21</v>
      </c>
      <c r="B735" s="14" t="s">
        <v>472</v>
      </c>
      <c r="C735" s="14" t="s">
        <v>473</v>
      </c>
      <c r="D735" s="13" t="s">
        <v>474</v>
      </c>
      <c r="E735" s="14" t="s">
        <v>87</v>
      </c>
      <c r="F735" s="13" t="s">
        <v>88</v>
      </c>
      <c r="G735" s="14" t="s">
        <v>20</v>
      </c>
      <c r="H735" s="14"/>
      <c r="I735" s="14">
        <v>201406</v>
      </c>
      <c r="J735" s="15">
        <v>-402.28</v>
      </c>
      <c r="K735" s="21">
        <f t="shared" si="71"/>
        <v>42675</v>
      </c>
      <c r="L735" s="16">
        <f t="shared" si="66"/>
        <v>6</v>
      </c>
      <c r="M735" s="17">
        <v>1.4833299999999999E-3</v>
      </c>
      <c r="N735" s="18">
        <f t="shared" si="67"/>
        <v>-3.5802839543999996</v>
      </c>
      <c r="O735" s="15"/>
      <c r="P735" s="20">
        <f t="shared" si="68"/>
        <v>0</v>
      </c>
      <c r="Q735" s="15"/>
      <c r="R735" s="20">
        <f t="shared" si="69"/>
        <v>0</v>
      </c>
      <c r="S735" s="130"/>
      <c r="T735" s="20">
        <f t="shared" si="70"/>
        <v>-5.6945248249999993</v>
      </c>
    </row>
    <row r="736" spans="1:20">
      <c r="A736" s="13" t="s">
        <v>21</v>
      </c>
      <c r="B736" s="14" t="s">
        <v>475</v>
      </c>
      <c r="C736" s="14" t="s">
        <v>476</v>
      </c>
      <c r="D736" s="13" t="s">
        <v>477</v>
      </c>
      <c r="E736" s="14" t="s">
        <v>360</v>
      </c>
      <c r="F736" s="13" t="s">
        <v>19</v>
      </c>
      <c r="G736" s="14" t="s">
        <v>20</v>
      </c>
      <c r="H736" s="14"/>
      <c r="I736" s="14">
        <v>201406</v>
      </c>
      <c r="J736" s="15">
        <v>-292.25</v>
      </c>
      <c r="K736" s="21">
        <f t="shared" si="71"/>
        <v>42675</v>
      </c>
      <c r="L736" s="16">
        <f t="shared" si="66"/>
        <v>6</v>
      </c>
      <c r="M736" s="17">
        <v>1.4833299999999999E-3</v>
      </c>
      <c r="N736" s="18">
        <f t="shared" si="67"/>
        <v>-2.6010191549999999</v>
      </c>
      <c r="O736" s="15"/>
      <c r="P736" s="20">
        <f t="shared" si="68"/>
        <v>0</v>
      </c>
      <c r="Q736" s="15"/>
      <c r="R736" s="20">
        <f t="shared" si="69"/>
        <v>0</v>
      </c>
      <c r="S736" s="130"/>
      <c r="T736" s="20">
        <f t="shared" si="70"/>
        <v>-4.1369814062500003</v>
      </c>
    </row>
    <row r="737" spans="1:20">
      <c r="A737" s="13" t="s">
        <v>21</v>
      </c>
      <c r="B737" s="14" t="s">
        <v>230</v>
      </c>
      <c r="C737" s="14" t="s">
        <v>231</v>
      </c>
      <c r="D737" s="13" t="s">
        <v>232</v>
      </c>
      <c r="E737" s="14" t="s">
        <v>164</v>
      </c>
      <c r="F737" s="13" t="s">
        <v>165</v>
      </c>
      <c r="G737" s="14" t="s">
        <v>20</v>
      </c>
      <c r="H737" s="14"/>
      <c r="I737" s="14">
        <v>201406</v>
      </c>
      <c r="J737" s="15">
        <v>-442.76</v>
      </c>
      <c r="K737" s="21">
        <f t="shared" si="71"/>
        <v>42675</v>
      </c>
      <c r="L737" s="16">
        <f t="shared" si="66"/>
        <v>6</v>
      </c>
      <c r="M737" s="17">
        <v>1.4833299999999999E-3</v>
      </c>
      <c r="N737" s="18">
        <f t="shared" si="67"/>
        <v>-3.9405551447999998</v>
      </c>
      <c r="O737" s="15"/>
      <c r="P737" s="20">
        <f t="shared" si="68"/>
        <v>0</v>
      </c>
      <c r="Q737" s="15"/>
      <c r="R737" s="20">
        <f t="shared" si="69"/>
        <v>0</v>
      </c>
      <c r="S737" s="130"/>
      <c r="T737" s="20">
        <f t="shared" si="70"/>
        <v>-6.267544524999999</v>
      </c>
    </row>
    <row r="738" spans="1:20">
      <c r="A738" s="13" t="s">
        <v>21</v>
      </c>
      <c r="B738" s="14" t="s">
        <v>233</v>
      </c>
      <c r="C738" s="14" t="s">
        <v>234</v>
      </c>
      <c r="D738" s="13" t="s">
        <v>235</v>
      </c>
      <c r="E738" s="14" t="s">
        <v>172</v>
      </c>
      <c r="F738" s="13" t="s">
        <v>173</v>
      </c>
      <c r="G738" s="14" t="s">
        <v>20</v>
      </c>
      <c r="H738" s="14"/>
      <c r="I738" s="14">
        <v>201406</v>
      </c>
      <c r="J738" s="15">
        <v>-738.04</v>
      </c>
      <c r="K738" s="21">
        <f t="shared" si="71"/>
        <v>42675</v>
      </c>
      <c r="L738" s="16">
        <f t="shared" si="66"/>
        <v>6</v>
      </c>
      <c r="M738" s="17">
        <v>1.4833299999999999E-3</v>
      </c>
      <c r="N738" s="18">
        <f t="shared" si="67"/>
        <v>-6.5685412392</v>
      </c>
      <c r="O738" s="15"/>
      <c r="P738" s="20">
        <f t="shared" si="68"/>
        <v>0</v>
      </c>
      <c r="Q738" s="15"/>
      <c r="R738" s="20">
        <f t="shared" si="69"/>
        <v>0</v>
      </c>
      <c r="S738" s="130"/>
      <c r="T738" s="20">
        <f t="shared" si="70"/>
        <v>-10.447417474999998</v>
      </c>
    </row>
    <row r="739" spans="1:20">
      <c r="A739" s="13" t="s">
        <v>21</v>
      </c>
      <c r="B739" s="14" t="s">
        <v>478</v>
      </c>
      <c r="C739" s="14" t="s">
        <v>479</v>
      </c>
      <c r="D739" s="13" t="s">
        <v>480</v>
      </c>
      <c r="E739" s="14" t="s">
        <v>164</v>
      </c>
      <c r="F739" s="13" t="s">
        <v>165</v>
      </c>
      <c r="G739" s="14" t="s">
        <v>20</v>
      </c>
      <c r="H739" s="14"/>
      <c r="I739" s="14">
        <v>201406</v>
      </c>
      <c r="J739" s="15">
        <v>-860.21</v>
      </c>
      <c r="K739" s="21">
        <f t="shared" si="71"/>
        <v>42675</v>
      </c>
      <c r="L739" s="16">
        <f t="shared" si="66"/>
        <v>6</v>
      </c>
      <c r="M739" s="17">
        <v>1.4833299999999999E-3</v>
      </c>
      <c r="N739" s="18">
        <f t="shared" si="67"/>
        <v>-7.6558517958000003</v>
      </c>
      <c r="O739" s="15"/>
      <c r="P739" s="20">
        <f t="shared" si="68"/>
        <v>0</v>
      </c>
      <c r="Q739" s="15"/>
      <c r="R739" s="20">
        <f t="shared" si="69"/>
        <v>0</v>
      </c>
      <c r="S739" s="130"/>
      <c r="T739" s="20">
        <f t="shared" si="70"/>
        <v>-12.17681018125</v>
      </c>
    </row>
    <row r="740" spans="1:20">
      <c r="A740" s="23" t="s">
        <v>29</v>
      </c>
      <c r="B740" s="14" t="s">
        <v>481</v>
      </c>
      <c r="C740" s="14" t="s">
        <v>482</v>
      </c>
      <c r="D740" s="13" t="s">
        <v>483</v>
      </c>
      <c r="E740" s="14" t="s">
        <v>484</v>
      </c>
      <c r="F740" s="13" t="s">
        <v>190</v>
      </c>
      <c r="G740" s="14" t="s">
        <v>20</v>
      </c>
      <c r="H740" s="14"/>
      <c r="I740" s="14">
        <v>201406</v>
      </c>
      <c r="J740" s="15">
        <v>-970.15</v>
      </c>
      <c r="K740" s="21">
        <f t="shared" si="71"/>
        <v>42675</v>
      </c>
      <c r="L740" s="16">
        <f t="shared" si="66"/>
        <v>6</v>
      </c>
      <c r="M740" s="17">
        <v>2.23333E-3</v>
      </c>
      <c r="N740" s="18">
        <f t="shared" si="67"/>
        <v>-12.999990596999998</v>
      </c>
      <c r="O740" s="15"/>
      <c r="P740" s="20">
        <f t="shared" si="68"/>
        <v>0</v>
      </c>
      <c r="Q740" s="15"/>
      <c r="R740" s="20">
        <f t="shared" si="69"/>
        <v>0</v>
      </c>
      <c r="S740" s="130"/>
      <c r="T740" s="20">
        <f t="shared" si="70"/>
        <v>-13.733079593749999</v>
      </c>
    </row>
    <row r="741" spans="1:20">
      <c r="A741" s="13" t="s">
        <v>21</v>
      </c>
      <c r="B741" s="14" t="s">
        <v>485</v>
      </c>
      <c r="C741" s="14" t="s">
        <v>486</v>
      </c>
      <c r="D741" s="13" t="s">
        <v>487</v>
      </c>
      <c r="E741" s="14" t="s">
        <v>75</v>
      </c>
      <c r="F741" s="13" t="s">
        <v>26</v>
      </c>
      <c r="G741" s="14" t="s">
        <v>20</v>
      </c>
      <c r="H741" s="14"/>
      <c r="I741" s="14">
        <v>201406</v>
      </c>
      <c r="J741" s="15">
        <v>-9.69</v>
      </c>
      <c r="K741" s="21">
        <f t="shared" si="71"/>
        <v>42675</v>
      </c>
      <c r="L741" s="16">
        <f t="shared" si="66"/>
        <v>6</v>
      </c>
      <c r="M741" s="17">
        <v>1.4833299999999999E-3</v>
      </c>
      <c r="N741" s="18">
        <f t="shared" si="67"/>
        <v>-8.6240806199999992E-2</v>
      </c>
      <c r="O741" s="15"/>
      <c r="P741" s="20">
        <f t="shared" si="68"/>
        <v>0</v>
      </c>
      <c r="Q741" s="15"/>
      <c r="R741" s="20">
        <f t="shared" si="69"/>
        <v>0</v>
      </c>
      <c r="S741" s="130"/>
      <c r="T741" s="20">
        <f t="shared" si="70"/>
        <v>-0.13716800625</v>
      </c>
    </row>
    <row r="742" spans="1:20">
      <c r="A742" s="23" t="s">
        <v>29</v>
      </c>
      <c r="B742" s="14" t="s">
        <v>236</v>
      </c>
      <c r="C742" s="14" t="s">
        <v>237</v>
      </c>
      <c r="D742" s="13" t="s">
        <v>188</v>
      </c>
      <c r="E742" s="14" t="s">
        <v>238</v>
      </c>
      <c r="F742" s="13" t="s">
        <v>190</v>
      </c>
      <c r="G742" s="14" t="s">
        <v>20</v>
      </c>
      <c r="H742" s="14"/>
      <c r="I742" s="14">
        <v>201406</v>
      </c>
      <c r="J742" s="15">
        <v>117876.7</v>
      </c>
      <c r="K742" s="21">
        <f t="shared" si="71"/>
        <v>42675</v>
      </c>
      <c r="L742" s="16">
        <f t="shared" si="66"/>
        <v>6</v>
      </c>
      <c r="M742" s="17">
        <v>2.23333E-3</v>
      </c>
      <c r="N742" s="18">
        <f t="shared" si="67"/>
        <v>1579.5454224659998</v>
      </c>
      <c r="O742" s="15"/>
      <c r="P742" s="20">
        <f t="shared" si="68"/>
        <v>0</v>
      </c>
      <c r="Q742" s="15"/>
      <c r="R742" s="20">
        <f t="shared" si="69"/>
        <v>0</v>
      </c>
      <c r="S742" s="130"/>
      <c r="T742" s="20">
        <f t="shared" si="70"/>
        <v>1668.6183614375</v>
      </c>
    </row>
    <row r="743" spans="1:20">
      <c r="A743" s="23" t="s">
        <v>29</v>
      </c>
      <c r="B743" s="14" t="s">
        <v>239</v>
      </c>
      <c r="C743" s="14" t="s">
        <v>240</v>
      </c>
      <c r="D743" s="13" t="s">
        <v>197</v>
      </c>
      <c r="E743" s="14" t="s">
        <v>241</v>
      </c>
      <c r="F743" s="13" t="s">
        <v>199</v>
      </c>
      <c r="G743" s="14" t="s">
        <v>20</v>
      </c>
      <c r="H743" s="14"/>
      <c r="I743" s="14">
        <v>201406</v>
      </c>
      <c r="J743" s="15">
        <v>8244.2999999999993</v>
      </c>
      <c r="K743" s="21">
        <f t="shared" si="71"/>
        <v>42675</v>
      </c>
      <c r="L743" s="16">
        <f t="shared" si="66"/>
        <v>6</v>
      </c>
      <c r="M743" s="17">
        <v>2.23333E-3</v>
      </c>
      <c r="N743" s="18">
        <f t="shared" si="67"/>
        <v>110.47345511399998</v>
      </c>
      <c r="O743" s="15"/>
      <c r="P743" s="20">
        <f t="shared" si="68"/>
        <v>0</v>
      </c>
      <c r="Q743" s="15"/>
      <c r="R743" s="20">
        <f t="shared" si="69"/>
        <v>0</v>
      </c>
      <c r="S743" s="130"/>
      <c r="T743" s="20">
        <f t="shared" si="70"/>
        <v>116.70321918749998</v>
      </c>
    </row>
    <row r="744" spans="1:20">
      <c r="A744" s="13" t="s">
        <v>21</v>
      </c>
      <c r="B744" s="14" t="s">
        <v>617</v>
      </c>
      <c r="C744" s="14" t="s">
        <v>618</v>
      </c>
      <c r="D744" s="13" t="s">
        <v>619</v>
      </c>
      <c r="E744" s="14" t="s">
        <v>87</v>
      </c>
      <c r="F744" s="13" t="s">
        <v>88</v>
      </c>
      <c r="G744" s="14" t="s">
        <v>20</v>
      </c>
      <c r="H744" s="14"/>
      <c r="I744" s="14">
        <v>201406</v>
      </c>
      <c r="J744" s="15">
        <v>-11.49</v>
      </c>
      <c r="K744" s="21">
        <f t="shared" si="71"/>
        <v>42675</v>
      </c>
      <c r="L744" s="16">
        <f t="shared" si="66"/>
        <v>6</v>
      </c>
      <c r="M744" s="17">
        <v>1.4833299999999999E-3</v>
      </c>
      <c r="N744" s="18">
        <f t="shared" si="67"/>
        <v>-0.1022607702</v>
      </c>
      <c r="O744" s="15"/>
      <c r="P744" s="20">
        <f t="shared" si="68"/>
        <v>0</v>
      </c>
      <c r="Q744" s="15"/>
      <c r="R744" s="20">
        <f t="shared" si="69"/>
        <v>0</v>
      </c>
      <c r="S744" s="130"/>
      <c r="T744" s="20">
        <f t="shared" si="70"/>
        <v>-0.16264813124999999</v>
      </c>
    </row>
    <row r="745" spans="1:20">
      <c r="A745" s="13" t="s">
        <v>21</v>
      </c>
      <c r="B745" s="14" t="s">
        <v>620</v>
      </c>
      <c r="C745" s="14" t="s">
        <v>621</v>
      </c>
      <c r="D745" s="13" t="s">
        <v>622</v>
      </c>
      <c r="E745" s="14" t="s">
        <v>209</v>
      </c>
      <c r="F745" s="13" t="s">
        <v>88</v>
      </c>
      <c r="G745" s="14" t="s">
        <v>20</v>
      </c>
      <c r="H745" s="14"/>
      <c r="I745" s="14">
        <v>201406</v>
      </c>
      <c r="J745" s="15">
        <v>-10.91</v>
      </c>
      <c r="K745" s="21">
        <f t="shared" si="71"/>
        <v>42675</v>
      </c>
      <c r="L745" s="16">
        <f t="shared" si="66"/>
        <v>6</v>
      </c>
      <c r="M745" s="17">
        <v>1.4833299999999999E-3</v>
      </c>
      <c r="N745" s="18">
        <f t="shared" si="67"/>
        <v>-9.7098781800000006E-2</v>
      </c>
      <c r="O745" s="15"/>
      <c r="P745" s="20">
        <f t="shared" si="68"/>
        <v>0</v>
      </c>
      <c r="Q745" s="15"/>
      <c r="R745" s="20">
        <f t="shared" si="69"/>
        <v>0</v>
      </c>
      <c r="S745" s="130"/>
      <c r="T745" s="20">
        <f t="shared" si="70"/>
        <v>-0.15443786874999998</v>
      </c>
    </row>
    <row r="746" spans="1:20">
      <c r="A746" s="13" t="s">
        <v>21</v>
      </c>
      <c r="B746" s="14" t="s">
        <v>242</v>
      </c>
      <c r="C746" s="14" t="s">
        <v>243</v>
      </c>
      <c r="D746" s="13" t="s">
        <v>244</v>
      </c>
      <c r="E746" s="14" t="s">
        <v>18</v>
      </c>
      <c r="F746" s="13" t="s">
        <v>19</v>
      </c>
      <c r="G746" s="14" t="s">
        <v>20</v>
      </c>
      <c r="H746" s="14"/>
      <c r="I746" s="14">
        <v>201406</v>
      </c>
      <c r="J746" s="15">
        <v>-629</v>
      </c>
      <c r="K746" s="21">
        <f t="shared" si="71"/>
        <v>42675</v>
      </c>
      <c r="L746" s="16">
        <f t="shared" si="66"/>
        <v>6</v>
      </c>
      <c r="M746" s="17">
        <v>1.4833299999999999E-3</v>
      </c>
      <c r="N746" s="18">
        <f t="shared" si="67"/>
        <v>-5.5980874199999997</v>
      </c>
      <c r="O746" s="15"/>
      <c r="P746" s="20">
        <f t="shared" si="68"/>
        <v>0</v>
      </c>
      <c r="Q746" s="15"/>
      <c r="R746" s="20">
        <f t="shared" si="69"/>
        <v>0</v>
      </c>
      <c r="S746" s="130"/>
      <c r="T746" s="20">
        <f t="shared" si="70"/>
        <v>-8.9038881249999999</v>
      </c>
    </row>
    <row r="747" spans="1:20">
      <c r="A747" s="13" t="s">
        <v>21</v>
      </c>
      <c r="B747" s="14" t="s">
        <v>623</v>
      </c>
      <c r="C747" s="14" t="s">
        <v>624</v>
      </c>
      <c r="D747" s="13" t="s">
        <v>625</v>
      </c>
      <c r="E747" s="14" t="s">
        <v>531</v>
      </c>
      <c r="F747" s="13" t="s">
        <v>26</v>
      </c>
      <c r="G747" s="14" t="s">
        <v>20</v>
      </c>
      <c r="H747" s="14"/>
      <c r="I747" s="14">
        <v>201406</v>
      </c>
      <c r="J747" s="15">
        <v>-18.48</v>
      </c>
      <c r="K747" s="21">
        <f t="shared" si="71"/>
        <v>42675</v>
      </c>
      <c r="L747" s="16">
        <f t="shared" si="66"/>
        <v>6</v>
      </c>
      <c r="M747" s="17">
        <v>1.4833299999999999E-3</v>
      </c>
      <c r="N747" s="18">
        <f t="shared" si="67"/>
        <v>-0.16447163040000001</v>
      </c>
      <c r="O747" s="15"/>
      <c r="P747" s="20">
        <f t="shared" si="68"/>
        <v>0</v>
      </c>
      <c r="Q747" s="15"/>
      <c r="R747" s="20">
        <f t="shared" si="69"/>
        <v>0</v>
      </c>
      <c r="S747" s="130"/>
      <c r="T747" s="20">
        <f t="shared" si="70"/>
        <v>-0.26159594999999997</v>
      </c>
    </row>
    <row r="748" spans="1:20">
      <c r="A748" s="13" t="s">
        <v>21</v>
      </c>
      <c r="B748" s="14" t="s">
        <v>245</v>
      </c>
      <c r="C748" s="14" t="s">
        <v>246</v>
      </c>
      <c r="D748" s="13" t="s">
        <v>247</v>
      </c>
      <c r="E748" s="14" t="s">
        <v>70</v>
      </c>
      <c r="F748" s="13" t="s">
        <v>71</v>
      </c>
      <c r="G748" s="14" t="s">
        <v>20</v>
      </c>
      <c r="H748" s="14"/>
      <c r="I748" s="14">
        <v>201406</v>
      </c>
      <c r="J748" s="15">
        <v>-745.79</v>
      </c>
      <c r="K748" s="21">
        <f t="shared" si="71"/>
        <v>42675</v>
      </c>
      <c r="L748" s="16">
        <f t="shared" si="66"/>
        <v>6</v>
      </c>
      <c r="M748" s="17">
        <v>1.4833299999999999E-3</v>
      </c>
      <c r="N748" s="18">
        <f t="shared" si="67"/>
        <v>-6.6375160841999996</v>
      </c>
      <c r="O748" s="15"/>
      <c r="P748" s="20">
        <f t="shared" si="68"/>
        <v>0</v>
      </c>
      <c r="Q748" s="15"/>
      <c r="R748" s="20">
        <f t="shared" si="69"/>
        <v>0</v>
      </c>
      <c r="S748" s="130"/>
      <c r="T748" s="20">
        <f t="shared" si="70"/>
        <v>-10.557123568749999</v>
      </c>
    </row>
    <row r="749" spans="1:20">
      <c r="A749" s="13" t="s">
        <v>21</v>
      </c>
      <c r="B749" s="14" t="s">
        <v>248</v>
      </c>
      <c r="C749" s="14" t="s">
        <v>249</v>
      </c>
      <c r="D749" s="13" t="s">
        <v>250</v>
      </c>
      <c r="E749" s="14" t="s">
        <v>70</v>
      </c>
      <c r="F749" s="13" t="s">
        <v>71</v>
      </c>
      <c r="G749" s="14" t="s">
        <v>20</v>
      </c>
      <c r="H749" s="14"/>
      <c r="I749" s="14">
        <v>201406</v>
      </c>
      <c r="J749" s="15">
        <v>-1351.35</v>
      </c>
      <c r="K749" s="21">
        <f t="shared" si="71"/>
        <v>42675</v>
      </c>
      <c r="L749" s="16">
        <f t="shared" si="66"/>
        <v>6</v>
      </c>
      <c r="M749" s="17">
        <v>1.4833299999999999E-3</v>
      </c>
      <c r="N749" s="18">
        <f t="shared" si="67"/>
        <v>-12.026987972999999</v>
      </c>
      <c r="O749" s="15"/>
      <c r="P749" s="20">
        <f t="shared" si="68"/>
        <v>0</v>
      </c>
      <c r="Q749" s="15"/>
      <c r="R749" s="20">
        <f t="shared" si="69"/>
        <v>0</v>
      </c>
      <c r="S749" s="130"/>
      <c r="T749" s="20">
        <f t="shared" si="70"/>
        <v>-19.129203843749998</v>
      </c>
    </row>
    <row r="750" spans="1:20">
      <c r="A750" s="13" t="s">
        <v>21</v>
      </c>
      <c r="B750" s="14" t="s">
        <v>251</v>
      </c>
      <c r="C750" s="14" t="s">
        <v>252</v>
      </c>
      <c r="D750" s="13" t="s">
        <v>253</v>
      </c>
      <c r="E750" s="14" t="s">
        <v>164</v>
      </c>
      <c r="F750" s="13" t="s">
        <v>165</v>
      </c>
      <c r="G750" s="14" t="s">
        <v>20</v>
      </c>
      <c r="H750" s="14"/>
      <c r="I750" s="14">
        <v>201406</v>
      </c>
      <c r="J750" s="15">
        <v>-303.99</v>
      </c>
      <c r="K750" s="21">
        <f t="shared" si="71"/>
        <v>42675</v>
      </c>
      <c r="L750" s="16">
        <f t="shared" si="66"/>
        <v>6</v>
      </c>
      <c r="M750" s="17">
        <v>1.4833299999999999E-3</v>
      </c>
      <c r="N750" s="18">
        <f t="shared" si="67"/>
        <v>-2.7055049202000001</v>
      </c>
      <c r="O750" s="15"/>
      <c r="P750" s="20">
        <f t="shared" si="68"/>
        <v>0</v>
      </c>
      <c r="Q750" s="15"/>
      <c r="R750" s="20">
        <f t="shared" si="69"/>
        <v>0</v>
      </c>
      <c r="S750" s="130"/>
      <c r="T750" s="20">
        <f t="shared" si="70"/>
        <v>-4.3031684437499997</v>
      </c>
    </row>
    <row r="751" spans="1:20">
      <c r="A751" s="13" t="s">
        <v>21</v>
      </c>
      <c r="B751" s="14" t="s">
        <v>254</v>
      </c>
      <c r="C751" s="14" t="s">
        <v>255</v>
      </c>
      <c r="D751" s="13" t="s">
        <v>256</v>
      </c>
      <c r="E751" s="14" t="s">
        <v>164</v>
      </c>
      <c r="F751" s="13" t="s">
        <v>165</v>
      </c>
      <c r="G751" s="14" t="s">
        <v>20</v>
      </c>
      <c r="H751" s="14"/>
      <c r="I751" s="14">
        <v>201406</v>
      </c>
      <c r="J751" s="15">
        <v>-421.12</v>
      </c>
      <c r="K751" s="21">
        <f t="shared" si="71"/>
        <v>42675</v>
      </c>
      <c r="L751" s="16">
        <f t="shared" si="66"/>
        <v>6</v>
      </c>
      <c r="M751" s="17">
        <v>1.4833299999999999E-3</v>
      </c>
      <c r="N751" s="18">
        <f t="shared" si="67"/>
        <v>-3.7479595776000001</v>
      </c>
      <c r="O751" s="15"/>
      <c r="P751" s="20">
        <f t="shared" si="68"/>
        <v>0</v>
      </c>
      <c r="Q751" s="15"/>
      <c r="R751" s="20">
        <f t="shared" si="69"/>
        <v>0</v>
      </c>
      <c r="S751" s="130"/>
      <c r="T751" s="20">
        <f t="shared" si="70"/>
        <v>-5.9612167999999999</v>
      </c>
    </row>
    <row r="752" spans="1:20">
      <c r="A752" s="13" t="s">
        <v>21</v>
      </c>
      <c r="B752" s="14" t="s">
        <v>753</v>
      </c>
      <c r="C752" s="14" t="s">
        <v>754</v>
      </c>
      <c r="D752" s="13" t="s">
        <v>755</v>
      </c>
      <c r="E752" s="14" t="s">
        <v>756</v>
      </c>
      <c r="F752" s="13" t="s">
        <v>757</v>
      </c>
      <c r="G752" s="14" t="s">
        <v>20</v>
      </c>
      <c r="H752" s="14"/>
      <c r="I752" s="14">
        <v>201406</v>
      </c>
      <c r="J752" s="15">
        <v>25562.89</v>
      </c>
      <c r="K752" s="21">
        <f t="shared" si="71"/>
        <v>42675</v>
      </c>
      <c r="L752" s="16">
        <f t="shared" si="66"/>
        <v>6</v>
      </c>
      <c r="M752" s="17">
        <v>1.4833299999999999E-3</v>
      </c>
      <c r="N752" s="18">
        <f t="shared" si="67"/>
        <v>227.5092097422</v>
      </c>
      <c r="O752" s="15"/>
      <c r="P752" s="20">
        <f t="shared" si="68"/>
        <v>0</v>
      </c>
      <c r="Q752" s="15"/>
      <c r="R752" s="20">
        <f t="shared" si="69"/>
        <v>0</v>
      </c>
      <c r="S752" s="130"/>
      <c r="T752" s="20">
        <f t="shared" si="70"/>
        <v>361.85868475624994</v>
      </c>
    </row>
    <row r="753" spans="1:20">
      <c r="A753" s="13" t="s">
        <v>21</v>
      </c>
      <c r="B753" s="14" t="s">
        <v>488</v>
      </c>
      <c r="C753" s="14" t="s">
        <v>489</v>
      </c>
      <c r="D753" s="13" t="s">
        <v>490</v>
      </c>
      <c r="E753" s="14" t="s">
        <v>93</v>
      </c>
      <c r="F753" s="13" t="s">
        <v>88</v>
      </c>
      <c r="G753" s="14" t="s">
        <v>20</v>
      </c>
      <c r="H753" s="14"/>
      <c r="I753" s="14">
        <v>201406</v>
      </c>
      <c r="J753" s="15">
        <v>-945.97</v>
      </c>
      <c r="K753" s="21">
        <f t="shared" si="71"/>
        <v>42675</v>
      </c>
      <c r="L753" s="16">
        <f t="shared" si="66"/>
        <v>6</v>
      </c>
      <c r="M753" s="17">
        <v>1.4833299999999999E-3</v>
      </c>
      <c r="N753" s="18">
        <f t="shared" si="67"/>
        <v>-8.4191140806</v>
      </c>
      <c r="O753" s="15"/>
      <c r="P753" s="20">
        <f t="shared" si="68"/>
        <v>0</v>
      </c>
      <c r="Q753" s="15"/>
      <c r="R753" s="20">
        <f t="shared" si="69"/>
        <v>0</v>
      </c>
      <c r="S753" s="130"/>
      <c r="T753" s="20">
        <f t="shared" si="70"/>
        <v>-13.390796581249999</v>
      </c>
    </row>
    <row r="754" spans="1:20">
      <c r="A754" s="13" t="s">
        <v>21</v>
      </c>
      <c r="B754" s="14" t="s">
        <v>257</v>
      </c>
      <c r="C754" s="14" t="s">
        <v>258</v>
      </c>
      <c r="D754" s="13" t="s">
        <v>259</v>
      </c>
      <c r="E754" s="14" t="s">
        <v>260</v>
      </c>
      <c r="F754" s="13" t="s">
        <v>26</v>
      </c>
      <c r="G754" s="14" t="s">
        <v>20</v>
      </c>
      <c r="H754" s="14"/>
      <c r="I754" s="14">
        <v>201406</v>
      </c>
      <c r="J754" s="15">
        <v>-131.44999999999999</v>
      </c>
      <c r="K754" s="21">
        <f t="shared" si="71"/>
        <v>42675</v>
      </c>
      <c r="L754" s="16">
        <f t="shared" si="66"/>
        <v>6</v>
      </c>
      <c r="M754" s="17">
        <v>1.4833299999999999E-3</v>
      </c>
      <c r="N754" s="18">
        <f t="shared" si="67"/>
        <v>-1.1699023709999998</v>
      </c>
      <c r="O754" s="15"/>
      <c r="P754" s="20">
        <f t="shared" si="68"/>
        <v>0</v>
      </c>
      <c r="Q754" s="15"/>
      <c r="R754" s="20">
        <f t="shared" si="69"/>
        <v>0</v>
      </c>
      <c r="S754" s="130"/>
      <c r="T754" s="20">
        <f t="shared" si="70"/>
        <v>-1.8607569062499998</v>
      </c>
    </row>
    <row r="755" spans="1:20">
      <c r="A755" s="13" t="s">
        <v>626</v>
      </c>
      <c r="B755" s="14" t="s">
        <v>758</v>
      </c>
      <c r="C755" s="14" t="s">
        <v>759</v>
      </c>
      <c r="D755" s="13" t="s">
        <v>760</v>
      </c>
      <c r="E755" s="14" t="s">
        <v>613</v>
      </c>
      <c r="F755" s="13" t="s">
        <v>398</v>
      </c>
      <c r="G755" s="14" t="s">
        <v>20</v>
      </c>
      <c r="H755" s="14"/>
      <c r="I755" s="14">
        <v>201406</v>
      </c>
      <c r="J755" s="15">
        <v>197662.29</v>
      </c>
      <c r="K755" s="21">
        <f t="shared" si="71"/>
        <v>42675</v>
      </c>
      <c r="L755" s="16">
        <f t="shared" si="66"/>
        <v>6</v>
      </c>
      <c r="M755" s="17">
        <v>1.4833299999999999E-3</v>
      </c>
      <c r="N755" s="18">
        <f t="shared" si="67"/>
        <v>1759.1904277542001</v>
      </c>
      <c r="O755" s="15"/>
      <c r="P755" s="20">
        <f t="shared" si="68"/>
        <v>0</v>
      </c>
      <c r="Q755" s="15"/>
      <c r="R755" s="20">
        <f t="shared" si="69"/>
        <v>0</v>
      </c>
      <c r="S755" s="130"/>
      <c r="T755" s="20">
        <f t="shared" si="70"/>
        <v>2798.0332538812499</v>
      </c>
    </row>
    <row r="756" spans="1:20">
      <c r="A756" s="13" t="s">
        <v>21</v>
      </c>
      <c r="B756" s="14" t="s">
        <v>261</v>
      </c>
      <c r="C756" s="14" t="s">
        <v>262</v>
      </c>
      <c r="D756" s="13" t="s">
        <v>263</v>
      </c>
      <c r="E756" s="14" t="s">
        <v>75</v>
      </c>
      <c r="F756" s="13" t="s">
        <v>26</v>
      </c>
      <c r="G756" s="14" t="s">
        <v>20</v>
      </c>
      <c r="H756" s="14"/>
      <c r="I756" s="14">
        <v>201406</v>
      </c>
      <c r="J756" s="15">
        <v>12696.07</v>
      </c>
      <c r="K756" s="21">
        <f t="shared" si="71"/>
        <v>42675</v>
      </c>
      <c r="L756" s="16">
        <f t="shared" si="66"/>
        <v>6</v>
      </c>
      <c r="M756" s="17">
        <v>1.4833299999999999E-3</v>
      </c>
      <c r="N756" s="18">
        <f t="shared" si="67"/>
        <v>112.9947690786</v>
      </c>
      <c r="O756" s="15"/>
      <c r="P756" s="20">
        <f t="shared" si="68"/>
        <v>0</v>
      </c>
      <c r="Q756" s="15"/>
      <c r="R756" s="20">
        <f t="shared" si="69"/>
        <v>0</v>
      </c>
      <c r="S756" s="130"/>
      <c r="T756" s="20">
        <f t="shared" si="70"/>
        <v>179.72080589375</v>
      </c>
    </row>
    <row r="757" spans="1:20">
      <c r="A757" s="13" t="s">
        <v>21</v>
      </c>
      <c r="B757" s="14" t="s">
        <v>703</v>
      </c>
      <c r="C757" s="14" t="s">
        <v>704</v>
      </c>
      <c r="D757" s="13" t="s">
        <v>705</v>
      </c>
      <c r="E757" s="14" t="s">
        <v>164</v>
      </c>
      <c r="F757" s="13" t="s">
        <v>165</v>
      </c>
      <c r="G757" s="14" t="s">
        <v>20</v>
      </c>
      <c r="H757" s="14"/>
      <c r="I757" s="14">
        <v>201406</v>
      </c>
      <c r="J757" s="15">
        <v>5941.18</v>
      </c>
      <c r="K757" s="21">
        <f t="shared" si="71"/>
        <v>42675</v>
      </c>
      <c r="L757" s="16">
        <f t="shared" si="66"/>
        <v>6</v>
      </c>
      <c r="M757" s="17">
        <v>1.4833299999999999E-3</v>
      </c>
      <c r="N757" s="18">
        <f t="shared" si="67"/>
        <v>52.876383176400005</v>
      </c>
      <c r="O757" s="15"/>
      <c r="P757" s="20">
        <f t="shared" si="68"/>
        <v>0</v>
      </c>
      <c r="Q757" s="15"/>
      <c r="R757" s="20">
        <f t="shared" si="69"/>
        <v>0</v>
      </c>
      <c r="S757" s="130"/>
      <c r="T757" s="20">
        <f t="shared" si="70"/>
        <v>84.1011161375</v>
      </c>
    </row>
    <row r="758" spans="1:20">
      <c r="A758" s="13" t="s">
        <v>626</v>
      </c>
      <c r="B758" s="14" t="s">
        <v>627</v>
      </c>
      <c r="C758" s="14" t="s">
        <v>628</v>
      </c>
      <c r="D758" s="13" t="s">
        <v>629</v>
      </c>
      <c r="E758" s="14" t="s">
        <v>79</v>
      </c>
      <c r="F758" s="13" t="s">
        <v>26</v>
      </c>
      <c r="G758" s="14" t="s">
        <v>20</v>
      </c>
      <c r="H758" s="14"/>
      <c r="I758" s="14">
        <v>201406</v>
      </c>
      <c r="J758" s="15">
        <v>-1043.6600000000001</v>
      </c>
      <c r="K758" s="21">
        <f t="shared" si="71"/>
        <v>42675</v>
      </c>
      <c r="L758" s="16">
        <f t="shared" si="66"/>
        <v>6</v>
      </c>
      <c r="M758" s="17">
        <v>1.4833299999999999E-3</v>
      </c>
      <c r="N758" s="18">
        <f t="shared" si="67"/>
        <v>-9.2885531268000001</v>
      </c>
      <c r="O758" s="15"/>
      <c r="P758" s="20">
        <f t="shared" si="68"/>
        <v>0</v>
      </c>
      <c r="Q758" s="15"/>
      <c r="R758" s="20">
        <f t="shared" si="69"/>
        <v>0</v>
      </c>
      <c r="S758" s="130"/>
      <c r="T758" s="20">
        <f t="shared" si="70"/>
        <v>-14.773659587499999</v>
      </c>
    </row>
    <row r="759" spans="1:20">
      <c r="A759" s="13" t="s">
        <v>626</v>
      </c>
      <c r="B759" s="14" t="s">
        <v>761</v>
      </c>
      <c r="C759" s="14" t="s">
        <v>762</v>
      </c>
      <c r="D759" s="13" t="s">
        <v>763</v>
      </c>
      <c r="E759" s="14" t="s">
        <v>497</v>
      </c>
      <c r="F759" s="13" t="s">
        <v>26</v>
      </c>
      <c r="G759" s="14" t="s">
        <v>20</v>
      </c>
      <c r="H759" s="14"/>
      <c r="I759" s="14">
        <v>201406</v>
      </c>
      <c r="J759" s="15">
        <v>31894.27</v>
      </c>
      <c r="K759" s="21">
        <f t="shared" si="71"/>
        <v>42675</v>
      </c>
      <c r="L759" s="16">
        <f t="shared" si="66"/>
        <v>6</v>
      </c>
      <c r="M759" s="17">
        <v>1.4833299999999999E-3</v>
      </c>
      <c r="N759" s="18">
        <f t="shared" si="67"/>
        <v>283.85836511460002</v>
      </c>
      <c r="O759" s="15"/>
      <c r="P759" s="20">
        <f t="shared" si="68"/>
        <v>0</v>
      </c>
      <c r="Q759" s="15"/>
      <c r="R759" s="20">
        <f t="shared" si="69"/>
        <v>0</v>
      </c>
      <c r="S759" s="130"/>
      <c r="T759" s="20">
        <f t="shared" si="70"/>
        <v>451.48332576874998</v>
      </c>
    </row>
    <row r="760" spans="1:20">
      <c r="A760" s="13" t="s">
        <v>21</v>
      </c>
      <c r="B760" s="14" t="s">
        <v>394</v>
      </c>
      <c r="C760" s="14" t="s">
        <v>395</v>
      </c>
      <c r="D760" s="13" t="s">
        <v>396</v>
      </c>
      <c r="E760" s="14" t="s">
        <v>397</v>
      </c>
      <c r="F760" s="13" t="s">
        <v>398</v>
      </c>
      <c r="G760" s="14" t="s">
        <v>20</v>
      </c>
      <c r="H760" s="14"/>
      <c r="I760" s="14">
        <v>201406</v>
      </c>
      <c r="J760" s="15">
        <v>-1256.78</v>
      </c>
      <c r="K760" s="21">
        <f t="shared" si="71"/>
        <v>42675</v>
      </c>
      <c r="L760" s="16">
        <f t="shared" si="66"/>
        <v>6</v>
      </c>
      <c r="M760" s="17">
        <v>1.4833299999999999E-3</v>
      </c>
      <c r="N760" s="18">
        <f t="shared" si="67"/>
        <v>-11.185316864399999</v>
      </c>
      <c r="O760" s="15"/>
      <c r="P760" s="20">
        <f t="shared" si="68"/>
        <v>0</v>
      </c>
      <c r="Q760" s="15"/>
      <c r="R760" s="20">
        <f t="shared" si="69"/>
        <v>0</v>
      </c>
      <c r="S760" s="130"/>
      <c r="T760" s="20">
        <f t="shared" si="70"/>
        <v>-17.790506387499999</v>
      </c>
    </row>
    <row r="761" spans="1:20">
      <c r="A761" s="13" t="s">
        <v>21</v>
      </c>
      <c r="B761" s="14" t="s">
        <v>264</v>
      </c>
      <c r="C761" s="14" t="s">
        <v>265</v>
      </c>
      <c r="D761" s="13" t="s">
        <v>266</v>
      </c>
      <c r="E761" s="14" t="s">
        <v>172</v>
      </c>
      <c r="F761" s="13" t="s">
        <v>173</v>
      </c>
      <c r="G761" s="14" t="s">
        <v>20</v>
      </c>
      <c r="H761" s="14"/>
      <c r="I761" s="14">
        <v>201406</v>
      </c>
      <c r="J761" s="15">
        <v>-256.16000000000003</v>
      </c>
      <c r="K761" s="21">
        <f t="shared" si="71"/>
        <v>42675</v>
      </c>
      <c r="L761" s="16">
        <f t="shared" si="66"/>
        <v>6</v>
      </c>
      <c r="M761" s="17">
        <v>1.4833299999999999E-3</v>
      </c>
      <c r="N761" s="18">
        <f t="shared" si="67"/>
        <v>-2.2798188768000003</v>
      </c>
      <c r="O761" s="15"/>
      <c r="P761" s="20">
        <f t="shared" si="68"/>
        <v>0</v>
      </c>
      <c r="Q761" s="15"/>
      <c r="R761" s="20">
        <f t="shared" si="69"/>
        <v>0</v>
      </c>
      <c r="S761" s="130"/>
      <c r="T761" s="20">
        <f t="shared" si="70"/>
        <v>-3.6261049000000001</v>
      </c>
    </row>
    <row r="762" spans="1:20">
      <c r="A762" s="13" t="s">
        <v>21</v>
      </c>
      <c r="B762" s="14" t="s">
        <v>399</v>
      </c>
      <c r="C762" s="14" t="s">
        <v>400</v>
      </c>
      <c r="D762" s="13" t="s">
        <v>401</v>
      </c>
      <c r="E762" s="14" t="s">
        <v>402</v>
      </c>
      <c r="F762" s="13" t="s">
        <v>19</v>
      </c>
      <c r="G762" s="14" t="s">
        <v>20</v>
      </c>
      <c r="H762" s="14"/>
      <c r="I762" s="14">
        <v>201406</v>
      </c>
      <c r="J762" s="15">
        <v>-22.06</v>
      </c>
      <c r="K762" s="21">
        <f t="shared" si="71"/>
        <v>42675</v>
      </c>
      <c r="L762" s="16">
        <f t="shared" si="66"/>
        <v>6</v>
      </c>
      <c r="M762" s="17">
        <v>1.4833299999999999E-3</v>
      </c>
      <c r="N762" s="18">
        <f t="shared" si="67"/>
        <v>-0.1963335588</v>
      </c>
      <c r="O762" s="15"/>
      <c r="P762" s="20">
        <f t="shared" si="68"/>
        <v>0</v>
      </c>
      <c r="Q762" s="15"/>
      <c r="R762" s="20">
        <f t="shared" si="69"/>
        <v>0</v>
      </c>
      <c r="S762" s="130"/>
      <c r="T762" s="20">
        <f t="shared" si="70"/>
        <v>-0.31227308749999999</v>
      </c>
    </row>
    <row r="763" spans="1:20">
      <c r="A763" s="13" t="s">
        <v>21</v>
      </c>
      <c r="B763" s="14" t="s">
        <v>630</v>
      </c>
      <c r="C763" s="14" t="s">
        <v>631</v>
      </c>
      <c r="D763" s="13" t="s">
        <v>632</v>
      </c>
      <c r="E763" s="14" t="s">
        <v>613</v>
      </c>
      <c r="F763" s="13" t="s">
        <v>398</v>
      </c>
      <c r="G763" s="14" t="s">
        <v>20</v>
      </c>
      <c r="H763" s="14"/>
      <c r="I763" s="14">
        <v>201406</v>
      </c>
      <c r="J763" s="15">
        <v>-1309.82</v>
      </c>
      <c r="K763" s="21">
        <f t="shared" si="71"/>
        <v>42675</v>
      </c>
      <c r="L763" s="16">
        <f t="shared" si="66"/>
        <v>6</v>
      </c>
      <c r="M763" s="17">
        <v>1.4833299999999999E-3</v>
      </c>
      <c r="N763" s="18">
        <f t="shared" si="67"/>
        <v>-11.6573718036</v>
      </c>
      <c r="O763" s="15"/>
      <c r="P763" s="20">
        <f t="shared" si="68"/>
        <v>0</v>
      </c>
      <c r="Q763" s="15"/>
      <c r="R763" s="20">
        <f t="shared" si="69"/>
        <v>0</v>
      </c>
      <c r="S763" s="130"/>
      <c r="T763" s="20">
        <f t="shared" si="70"/>
        <v>-18.541320737499998</v>
      </c>
    </row>
    <row r="764" spans="1:20">
      <c r="A764" s="13" t="s">
        <v>21</v>
      </c>
      <c r="B764" s="14" t="s">
        <v>403</v>
      </c>
      <c r="C764" s="14" t="s">
        <v>404</v>
      </c>
      <c r="D764" s="13" t="s">
        <v>405</v>
      </c>
      <c r="E764" s="14" t="s">
        <v>75</v>
      </c>
      <c r="F764" s="13" t="s">
        <v>26</v>
      </c>
      <c r="G764" s="14" t="s">
        <v>20</v>
      </c>
      <c r="H764" s="14"/>
      <c r="I764" s="14">
        <v>201406</v>
      </c>
      <c r="J764" s="15">
        <v>56713.72</v>
      </c>
      <c r="K764" s="21">
        <f t="shared" si="71"/>
        <v>42675</v>
      </c>
      <c r="L764" s="16">
        <f t="shared" si="66"/>
        <v>6</v>
      </c>
      <c r="M764" s="17">
        <v>1.4833299999999999E-3</v>
      </c>
      <c r="N764" s="18">
        <f t="shared" si="67"/>
        <v>504.75097372560003</v>
      </c>
      <c r="O764" s="15"/>
      <c r="P764" s="20">
        <f t="shared" si="68"/>
        <v>0</v>
      </c>
      <c r="Q764" s="15"/>
      <c r="R764" s="20">
        <f t="shared" si="69"/>
        <v>0</v>
      </c>
      <c r="S764" s="130"/>
      <c r="T764" s="20">
        <f t="shared" si="70"/>
        <v>802.81815267499996</v>
      </c>
    </row>
    <row r="765" spans="1:20">
      <c r="A765" s="23" t="s">
        <v>29</v>
      </c>
      <c r="B765" s="14" t="s">
        <v>706</v>
      </c>
      <c r="C765" s="14" t="s">
        <v>707</v>
      </c>
      <c r="D765" s="13" t="s">
        <v>708</v>
      </c>
      <c r="E765" s="14" t="s">
        <v>709</v>
      </c>
      <c r="F765" s="13" t="s">
        <v>710</v>
      </c>
      <c r="G765" s="14" t="s">
        <v>20</v>
      </c>
      <c r="H765" s="14"/>
      <c r="I765" s="14">
        <v>201406</v>
      </c>
      <c r="J765" s="15">
        <v>-0.32</v>
      </c>
      <c r="K765" s="21">
        <f t="shared" si="71"/>
        <v>42675</v>
      </c>
      <c r="L765" s="16">
        <f t="shared" si="66"/>
        <v>6</v>
      </c>
      <c r="M765" s="17">
        <v>2.23333E-3</v>
      </c>
      <c r="N765" s="18">
        <f t="shared" si="67"/>
        <v>-4.2879935999999997E-3</v>
      </c>
      <c r="O765" s="15"/>
      <c r="P765" s="20">
        <f t="shared" si="68"/>
        <v>0</v>
      </c>
      <c r="Q765" s="15"/>
      <c r="R765" s="20">
        <f t="shared" si="69"/>
        <v>0</v>
      </c>
      <c r="S765" s="130"/>
      <c r="T765" s="20">
        <f t="shared" si="70"/>
        <v>-4.5297999999999996E-3</v>
      </c>
    </row>
    <row r="766" spans="1:20">
      <c r="A766" s="23" t="s">
        <v>29</v>
      </c>
      <c r="B766" s="14" t="s">
        <v>633</v>
      </c>
      <c r="C766" s="14" t="s">
        <v>634</v>
      </c>
      <c r="D766" s="13" t="s">
        <v>193</v>
      </c>
      <c r="E766" s="14" t="s">
        <v>635</v>
      </c>
      <c r="F766" s="13" t="s">
        <v>115</v>
      </c>
      <c r="G766" s="14" t="s">
        <v>20</v>
      </c>
      <c r="H766" s="14"/>
      <c r="I766" s="14">
        <v>201406</v>
      </c>
      <c r="J766" s="15">
        <v>8487.36</v>
      </c>
      <c r="K766" s="21">
        <f t="shared" si="71"/>
        <v>42675</v>
      </c>
      <c r="L766" s="16">
        <f t="shared" si="66"/>
        <v>6</v>
      </c>
      <c r="M766" s="17">
        <v>2.23333E-3</v>
      </c>
      <c r="N766" s="18">
        <f t="shared" si="67"/>
        <v>113.7304542528</v>
      </c>
      <c r="O766" s="15"/>
      <c r="P766" s="20">
        <f t="shared" si="68"/>
        <v>0</v>
      </c>
      <c r="Q766" s="15"/>
      <c r="R766" s="20">
        <f t="shared" si="69"/>
        <v>0</v>
      </c>
      <c r="S766" s="130"/>
      <c r="T766" s="20">
        <f t="shared" si="70"/>
        <v>120.1438854</v>
      </c>
    </row>
    <row r="767" spans="1:20">
      <c r="A767" s="23" t="s">
        <v>29</v>
      </c>
      <c r="B767" s="14" t="s">
        <v>267</v>
      </c>
      <c r="C767" s="14" t="s">
        <v>268</v>
      </c>
      <c r="D767" s="13" t="s">
        <v>269</v>
      </c>
      <c r="E767" s="14" t="s">
        <v>270</v>
      </c>
      <c r="F767" s="13" t="s">
        <v>115</v>
      </c>
      <c r="G767" s="14" t="s">
        <v>20</v>
      </c>
      <c r="H767" s="14"/>
      <c r="I767" s="14">
        <v>201406</v>
      </c>
      <c r="J767" s="15">
        <v>64849.87</v>
      </c>
      <c r="K767" s="21">
        <f t="shared" si="71"/>
        <v>42675</v>
      </c>
      <c r="L767" s="16">
        <f t="shared" si="66"/>
        <v>6</v>
      </c>
      <c r="M767" s="17">
        <v>2.23333E-3</v>
      </c>
      <c r="N767" s="18">
        <f t="shared" si="67"/>
        <v>868.98696100259997</v>
      </c>
      <c r="O767" s="15"/>
      <c r="P767" s="20">
        <f t="shared" si="68"/>
        <v>0</v>
      </c>
      <c r="Q767" s="15"/>
      <c r="R767" s="20">
        <f t="shared" si="69"/>
        <v>0</v>
      </c>
      <c r="S767" s="130"/>
      <c r="T767" s="20">
        <f t="shared" si="70"/>
        <v>917.99044101874995</v>
      </c>
    </row>
    <row r="768" spans="1:20">
      <c r="A768" s="23" t="s">
        <v>29</v>
      </c>
      <c r="B768" s="14" t="s">
        <v>271</v>
      </c>
      <c r="C768" s="14" t="s">
        <v>272</v>
      </c>
      <c r="D768" s="13" t="s">
        <v>197</v>
      </c>
      <c r="E768" s="14" t="s">
        <v>273</v>
      </c>
      <c r="F768" s="13" t="s">
        <v>199</v>
      </c>
      <c r="G768" s="14" t="s">
        <v>20</v>
      </c>
      <c r="H768" s="14"/>
      <c r="I768" s="14">
        <v>201406</v>
      </c>
      <c r="J768" s="15">
        <v>-1598.78</v>
      </c>
      <c r="K768" s="21">
        <f t="shared" si="71"/>
        <v>42675</v>
      </c>
      <c r="L768" s="16">
        <f t="shared" si="66"/>
        <v>6</v>
      </c>
      <c r="M768" s="17">
        <v>2.23333E-3</v>
      </c>
      <c r="N768" s="18">
        <f t="shared" si="67"/>
        <v>-21.423620024399998</v>
      </c>
      <c r="O768" s="15"/>
      <c r="P768" s="20">
        <f t="shared" si="68"/>
        <v>0</v>
      </c>
      <c r="Q768" s="15"/>
      <c r="R768" s="20">
        <f t="shared" si="69"/>
        <v>0</v>
      </c>
      <c r="S768" s="130"/>
      <c r="T768" s="20">
        <f t="shared" si="70"/>
        <v>-22.6317301375</v>
      </c>
    </row>
    <row r="769" spans="1:20">
      <c r="A769" s="13" t="s">
        <v>21</v>
      </c>
      <c r="B769" s="14" t="s">
        <v>636</v>
      </c>
      <c r="C769" s="14" t="s">
        <v>637</v>
      </c>
      <c r="D769" s="13" t="s">
        <v>638</v>
      </c>
      <c r="E769" s="14" t="s">
        <v>497</v>
      </c>
      <c r="F769" s="13" t="s">
        <v>26</v>
      </c>
      <c r="G769" s="14" t="s">
        <v>20</v>
      </c>
      <c r="H769" s="14"/>
      <c r="I769" s="14">
        <v>201406</v>
      </c>
      <c r="J769" s="15">
        <v>20.420000000000002</v>
      </c>
      <c r="K769" s="21">
        <f t="shared" si="71"/>
        <v>42675</v>
      </c>
      <c r="L769" s="16">
        <f t="shared" si="66"/>
        <v>6</v>
      </c>
      <c r="M769" s="17">
        <v>1.4833299999999999E-3</v>
      </c>
      <c r="N769" s="18">
        <f t="shared" si="67"/>
        <v>0.18173759160000003</v>
      </c>
      <c r="O769" s="15"/>
      <c r="P769" s="20">
        <f t="shared" si="68"/>
        <v>0</v>
      </c>
      <c r="Q769" s="15"/>
      <c r="R769" s="20">
        <f t="shared" si="69"/>
        <v>0</v>
      </c>
      <c r="S769" s="130"/>
      <c r="T769" s="20">
        <f t="shared" si="70"/>
        <v>0.28905786250000004</v>
      </c>
    </row>
    <row r="770" spans="1:20">
      <c r="A770" s="13" t="s">
        <v>21</v>
      </c>
      <c r="B770" s="14" t="s">
        <v>274</v>
      </c>
      <c r="C770" s="14" t="s">
        <v>275</v>
      </c>
      <c r="D770" s="13" t="s">
        <v>276</v>
      </c>
      <c r="E770" s="14" t="s">
        <v>75</v>
      </c>
      <c r="F770" s="13" t="s">
        <v>26</v>
      </c>
      <c r="G770" s="14" t="s">
        <v>20</v>
      </c>
      <c r="H770" s="14"/>
      <c r="I770" s="14">
        <v>201406</v>
      </c>
      <c r="J770" s="15">
        <v>-1384.95</v>
      </c>
      <c r="K770" s="21">
        <f t="shared" si="71"/>
        <v>42675</v>
      </c>
      <c r="L770" s="16">
        <f t="shared" si="66"/>
        <v>6</v>
      </c>
      <c r="M770" s="17">
        <v>1.4833299999999999E-3</v>
      </c>
      <c r="N770" s="18">
        <f t="shared" si="67"/>
        <v>-12.326027301</v>
      </c>
      <c r="O770" s="15"/>
      <c r="P770" s="20">
        <f t="shared" si="68"/>
        <v>0</v>
      </c>
      <c r="Q770" s="15"/>
      <c r="R770" s="20">
        <f t="shared" si="69"/>
        <v>0</v>
      </c>
      <c r="S770" s="130"/>
      <c r="T770" s="20">
        <f t="shared" si="70"/>
        <v>-19.60483284375</v>
      </c>
    </row>
    <row r="771" spans="1:20">
      <c r="A771" s="13" t="s">
        <v>21</v>
      </c>
      <c r="B771" s="14" t="s">
        <v>277</v>
      </c>
      <c r="C771" s="14" t="s">
        <v>278</v>
      </c>
      <c r="D771" s="13" t="s">
        <v>279</v>
      </c>
      <c r="E771" s="14" t="s">
        <v>280</v>
      </c>
      <c r="F771" s="13" t="s">
        <v>26</v>
      </c>
      <c r="G771" s="14" t="s">
        <v>20</v>
      </c>
      <c r="H771" s="14"/>
      <c r="I771" s="14">
        <v>201406</v>
      </c>
      <c r="J771" s="15">
        <v>-2073.87</v>
      </c>
      <c r="K771" s="21">
        <f t="shared" si="71"/>
        <v>42675</v>
      </c>
      <c r="L771" s="16">
        <f t="shared" si="66"/>
        <v>6</v>
      </c>
      <c r="M771" s="17">
        <v>1.4833299999999999E-3</v>
      </c>
      <c r="N771" s="18">
        <f t="shared" si="67"/>
        <v>-18.457401522599998</v>
      </c>
      <c r="O771" s="15"/>
      <c r="P771" s="20">
        <f t="shared" si="68"/>
        <v>0</v>
      </c>
      <c r="Q771" s="15"/>
      <c r="R771" s="20">
        <f t="shared" si="69"/>
        <v>0</v>
      </c>
      <c r="S771" s="130"/>
      <c r="T771" s="20">
        <f t="shared" si="70"/>
        <v>-29.356926018749999</v>
      </c>
    </row>
    <row r="772" spans="1:20">
      <c r="A772" s="13" t="s">
        <v>21</v>
      </c>
      <c r="B772" s="14" t="s">
        <v>406</v>
      </c>
      <c r="C772" s="14" t="s">
        <v>407</v>
      </c>
      <c r="D772" s="13" t="s">
        <v>408</v>
      </c>
      <c r="E772" s="14" t="s">
        <v>87</v>
      </c>
      <c r="F772" s="13" t="s">
        <v>88</v>
      </c>
      <c r="G772" s="14" t="s">
        <v>20</v>
      </c>
      <c r="H772" s="14"/>
      <c r="I772" s="14">
        <v>201406</v>
      </c>
      <c r="J772" s="15">
        <v>-628.07000000000005</v>
      </c>
      <c r="K772" s="21">
        <f t="shared" si="71"/>
        <v>42675</v>
      </c>
      <c r="L772" s="16">
        <f t="shared" si="66"/>
        <v>6</v>
      </c>
      <c r="M772" s="17">
        <v>1.4833299999999999E-3</v>
      </c>
      <c r="N772" s="18">
        <f t="shared" si="67"/>
        <v>-5.5898104386000007</v>
      </c>
      <c r="O772" s="15"/>
      <c r="P772" s="20">
        <f t="shared" si="68"/>
        <v>0</v>
      </c>
      <c r="Q772" s="15"/>
      <c r="R772" s="20">
        <f t="shared" si="69"/>
        <v>0</v>
      </c>
      <c r="S772" s="130"/>
      <c r="T772" s="20">
        <f t="shared" si="70"/>
        <v>-8.8907233937499992</v>
      </c>
    </row>
    <row r="773" spans="1:20">
      <c r="A773" s="13" t="s">
        <v>21</v>
      </c>
      <c r="B773" s="14" t="s">
        <v>639</v>
      </c>
      <c r="C773" s="14" t="s">
        <v>640</v>
      </c>
      <c r="D773" s="13" t="s">
        <v>641</v>
      </c>
      <c r="E773" s="14" t="s">
        <v>164</v>
      </c>
      <c r="F773" s="13" t="s">
        <v>165</v>
      </c>
      <c r="G773" s="14" t="s">
        <v>20</v>
      </c>
      <c r="H773" s="14"/>
      <c r="I773" s="14">
        <v>201406</v>
      </c>
      <c r="J773" s="15">
        <v>-587.94000000000005</v>
      </c>
      <c r="K773" s="21">
        <f t="shared" si="71"/>
        <v>42675</v>
      </c>
      <c r="L773" s="16">
        <f t="shared" si="66"/>
        <v>6</v>
      </c>
      <c r="M773" s="17">
        <v>1.4833299999999999E-3</v>
      </c>
      <c r="N773" s="18">
        <f t="shared" si="67"/>
        <v>-5.2326542412000006</v>
      </c>
      <c r="O773" s="15"/>
      <c r="P773" s="20">
        <f t="shared" si="68"/>
        <v>0</v>
      </c>
      <c r="Q773" s="15"/>
      <c r="R773" s="20">
        <f t="shared" si="69"/>
        <v>0</v>
      </c>
      <c r="S773" s="130"/>
      <c r="T773" s="20">
        <f t="shared" si="70"/>
        <v>-8.3226581624999998</v>
      </c>
    </row>
    <row r="774" spans="1:20">
      <c r="A774" s="23" t="s">
        <v>29</v>
      </c>
      <c r="B774" s="14" t="s">
        <v>281</v>
      </c>
      <c r="C774" s="14" t="s">
        <v>282</v>
      </c>
      <c r="D774" s="13" t="s">
        <v>283</v>
      </c>
      <c r="E774" s="14" t="s">
        <v>284</v>
      </c>
      <c r="F774" s="13" t="s">
        <v>285</v>
      </c>
      <c r="G774" s="14" t="s">
        <v>20</v>
      </c>
      <c r="H774" s="14"/>
      <c r="I774" s="14">
        <v>201406</v>
      </c>
      <c r="J774" s="15">
        <v>-215.09</v>
      </c>
      <c r="K774" s="21">
        <f t="shared" si="71"/>
        <v>42675</v>
      </c>
      <c r="L774" s="16">
        <f t="shared" ref="L774:L837" si="72">((YEAR($L$1)-YEAR(K774))*12+MONTH($L$1)-MONTH(K774))</f>
        <v>6</v>
      </c>
      <c r="M774" s="17">
        <v>2.23333E-3</v>
      </c>
      <c r="N774" s="18">
        <f t="shared" ref="N774:N837" si="73">M774*L774*J774</f>
        <v>-2.8822016981999998</v>
      </c>
      <c r="O774" s="15"/>
      <c r="P774" s="20">
        <f t="shared" ref="P774:P837" si="74">$P$4*(J774*0.5)*$V$10</f>
        <v>0</v>
      </c>
      <c r="Q774" s="15"/>
      <c r="R774" s="20">
        <f t="shared" ref="R774:R837" si="75">$R$4*(J774*0.5)*$V$9</f>
        <v>0</v>
      </c>
      <c r="S774" s="130"/>
      <c r="T774" s="20">
        <f t="shared" ref="T774:T837" si="76">$T$4*(J774*0.5)*$V$11</f>
        <v>-3.0447333812499999</v>
      </c>
    </row>
    <row r="775" spans="1:20">
      <c r="A775" s="13" t="s">
        <v>21</v>
      </c>
      <c r="B775" s="14" t="s">
        <v>409</v>
      </c>
      <c r="C775" s="14" t="s">
        <v>410</v>
      </c>
      <c r="D775" s="13" t="s">
        <v>411</v>
      </c>
      <c r="E775" s="14" t="s">
        <v>75</v>
      </c>
      <c r="F775" s="13" t="s">
        <v>26</v>
      </c>
      <c r="G775" s="14" t="s">
        <v>20</v>
      </c>
      <c r="H775" s="14"/>
      <c r="I775" s="14">
        <v>201406</v>
      </c>
      <c r="J775" s="15">
        <v>-1209.56</v>
      </c>
      <c r="K775" s="21">
        <f t="shared" ref="K775:K838" si="77">+K774</f>
        <v>42675</v>
      </c>
      <c r="L775" s="16">
        <f t="shared" si="72"/>
        <v>6</v>
      </c>
      <c r="M775" s="17">
        <v>1.4833299999999999E-3</v>
      </c>
      <c r="N775" s="18">
        <f t="shared" si="73"/>
        <v>-10.7650598088</v>
      </c>
      <c r="O775" s="15"/>
      <c r="P775" s="20">
        <f t="shared" si="74"/>
        <v>0</v>
      </c>
      <c r="Q775" s="15"/>
      <c r="R775" s="20">
        <f t="shared" si="75"/>
        <v>0</v>
      </c>
      <c r="S775" s="130"/>
      <c r="T775" s="20">
        <f t="shared" si="76"/>
        <v>-17.122077774999998</v>
      </c>
    </row>
    <row r="776" spans="1:20">
      <c r="A776" s="13" t="s">
        <v>21</v>
      </c>
      <c r="B776" s="14" t="s">
        <v>642</v>
      </c>
      <c r="C776" s="14" t="s">
        <v>643</v>
      </c>
      <c r="D776" s="13" t="s">
        <v>644</v>
      </c>
      <c r="E776" s="14" t="s">
        <v>360</v>
      </c>
      <c r="F776" s="13" t="s">
        <v>19</v>
      </c>
      <c r="G776" s="14" t="s">
        <v>20</v>
      </c>
      <c r="H776" s="14"/>
      <c r="I776" s="14">
        <v>201406</v>
      </c>
      <c r="J776" s="15">
        <v>-1066.97</v>
      </c>
      <c r="K776" s="21">
        <f t="shared" si="77"/>
        <v>42675</v>
      </c>
      <c r="L776" s="16">
        <f t="shared" si="72"/>
        <v>6</v>
      </c>
      <c r="M776" s="17">
        <v>1.4833299999999999E-3</v>
      </c>
      <c r="N776" s="18">
        <f t="shared" si="73"/>
        <v>-9.4960116606000007</v>
      </c>
      <c r="O776" s="15"/>
      <c r="P776" s="20">
        <f t="shared" si="74"/>
        <v>0</v>
      </c>
      <c r="Q776" s="15"/>
      <c r="R776" s="20">
        <f t="shared" si="75"/>
        <v>0</v>
      </c>
      <c r="S776" s="130"/>
      <c r="T776" s="20">
        <f t="shared" si="76"/>
        <v>-15.10362720625</v>
      </c>
    </row>
    <row r="777" spans="1:20">
      <c r="A777" s="13" t="s">
        <v>21</v>
      </c>
      <c r="B777" s="14" t="s">
        <v>286</v>
      </c>
      <c r="C777" s="14" t="s">
        <v>287</v>
      </c>
      <c r="D777" s="13" t="s">
        <v>288</v>
      </c>
      <c r="E777" s="14" t="s">
        <v>25</v>
      </c>
      <c r="F777" s="13" t="s">
        <v>26</v>
      </c>
      <c r="G777" s="14" t="s">
        <v>20</v>
      </c>
      <c r="H777" s="14"/>
      <c r="I777" s="14">
        <v>201406</v>
      </c>
      <c r="J777" s="15">
        <v>2328</v>
      </c>
      <c r="K777" s="21">
        <f t="shared" si="77"/>
        <v>42675</v>
      </c>
      <c r="L777" s="16">
        <f t="shared" si="72"/>
        <v>6</v>
      </c>
      <c r="M777" s="17">
        <v>1.4833299999999999E-3</v>
      </c>
      <c r="N777" s="18">
        <f t="shared" si="73"/>
        <v>20.719153439999999</v>
      </c>
      <c r="O777" s="15"/>
      <c r="P777" s="20">
        <f t="shared" si="74"/>
        <v>0</v>
      </c>
      <c r="Q777" s="15"/>
      <c r="R777" s="20">
        <f t="shared" si="75"/>
        <v>0</v>
      </c>
      <c r="S777" s="130"/>
      <c r="T777" s="20">
        <f t="shared" si="76"/>
        <v>32.954294999999995</v>
      </c>
    </row>
    <row r="778" spans="1:20">
      <c r="A778" s="13" t="s">
        <v>21</v>
      </c>
      <c r="B778" s="14" t="s">
        <v>645</v>
      </c>
      <c r="C778" s="14" t="s">
        <v>646</v>
      </c>
      <c r="D778" s="13" t="s">
        <v>647</v>
      </c>
      <c r="E778" s="14" t="s">
        <v>397</v>
      </c>
      <c r="F778" s="13" t="s">
        <v>398</v>
      </c>
      <c r="G778" s="14" t="s">
        <v>20</v>
      </c>
      <c r="H778" s="14"/>
      <c r="I778" s="14">
        <v>201406</v>
      </c>
      <c r="J778" s="15">
        <v>-639.66999999999996</v>
      </c>
      <c r="K778" s="21">
        <f t="shared" si="77"/>
        <v>42675</v>
      </c>
      <c r="L778" s="16">
        <f t="shared" si="72"/>
        <v>6</v>
      </c>
      <c r="M778" s="17">
        <v>1.4833299999999999E-3</v>
      </c>
      <c r="N778" s="18">
        <f t="shared" si="73"/>
        <v>-5.6930502065999997</v>
      </c>
      <c r="O778" s="15"/>
      <c r="P778" s="20">
        <f t="shared" si="74"/>
        <v>0</v>
      </c>
      <c r="Q778" s="15"/>
      <c r="R778" s="20">
        <f t="shared" si="75"/>
        <v>0</v>
      </c>
      <c r="S778" s="130"/>
      <c r="T778" s="20">
        <f t="shared" si="76"/>
        <v>-9.0549286437499976</v>
      </c>
    </row>
    <row r="779" spans="1:20">
      <c r="A779" s="13" t="s">
        <v>21</v>
      </c>
      <c r="B779" s="14" t="s">
        <v>711</v>
      </c>
      <c r="C779" s="14" t="s">
        <v>712</v>
      </c>
      <c r="D779" s="13" t="s">
        <v>713</v>
      </c>
      <c r="E779" s="14" t="s">
        <v>613</v>
      </c>
      <c r="F779" s="13" t="s">
        <v>398</v>
      </c>
      <c r="G779" s="14" t="s">
        <v>20</v>
      </c>
      <c r="H779" s="14"/>
      <c r="I779" s="14">
        <v>201406</v>
      </c>
      <c r="J779" s="15">
        <v>1122.56</v>
      </c>
      <c r="K779" s="21">
        <f t="shared" si="77"/>
        <v>42675</v>
      </c>
      <c r="L779" s="16">
        <f t="shared" si="72"/>
        <v>6</v>
      </c>
      <c r="M779" s="17">
        <v>1.4833299999999999E-3</v>
      </c>
      <c r="N779" s="18">
        <f t="shared" si="73"/>
        <v>9.9907615488000001</v>
      </c>
      <c r="O779" s="15"/>
      <c r="P779" s="20">
        <f t="shared" si="74"/>
        <v>0</v>
      </c>
      <c r="Q779" s="15"/>
      <c r="R779" s="20">
        <f t="shared" si="75"/>
        <v>0</v>
      </c>
      <c r="S779" s="130"/>
      <c r="T779" s="20">
        <f t="shared" si="76"/>
        <v>15.890538399999999</v>
      </c>
    </row>
    <row r="780" spans="1:20">
      <c r="A780" s="13" t="s">
        <v>21</v>
      </c>
      <c r="B780" s="14" t="s">
        <v>412</v>
      </c>
      <c r="C780" s="14" t="s">
        <v>413</v>
      </c>
      <c r="D780" s="13" t="s">
        <v>414</v>
      </c>
      <c r="E780" s="14" t="s">
        <v>415</v>
      </c>
      <c r="F780" s="13" t="s">
        <v>88</v>
      </c>
      <c r="G780" s="14" t="s">
        <v>20</v>
      </c>
      <c r="H780" s="14"/>
      <c r="I780" s="14">
        <v>201406</v>
      </c>
      <c r="J780" s="15">
        <v>-46.29</v>
      </c>
      <c r="K780" s="21">
        <f t="shared" si="77"/>
        <v>42675</v>
      </c>
      <c r="L780" s="16">
        <f t="shared" si="72"/>
        <v>6</v>
      </c>
      <c r="M780" s="17">
        <v>1.4833299999999999E-3</v>
      </c>
      <c r="N780" s="18">
        <f t="shared" si="73"/>
        <v>-0.41198007419999999</v>
      </c>
      <c r="O780" s="15"/>
      <c r="P780" s="20">
        <f t="shared" si="74"/>
        <v>0</v>
      </c>
      <c r="Q780" s="15"/>
      <c r="R780" s="20">
        <f t="shared" si="75"/>
        <v>0</v>
      </c>
      <c r="S780" s="130"/>
      <c r="T780" s="20">
        <f t="shared" si="76"/>
        <v>-0.6552638812499999</v>
      </c>
    </row>
    <row r="781" spans="1:20">
      <c r="A781" s="13" t="s">
        <v>21</v>
      </c>
      <c r="B781" s="14" t="s">
        <v>289</v>
      </c>
      <c r="C781" s="14" t="s">
        <v>290</v>
      </c>
      <c r="D781" s="13" t="s">
        <v>291</v>
      </c>
      <c r="E781" s="14" t="s">
        <v>164</v>
      </c>
      <c r="F781" s="13" t="s">
        <v>165</v>
      </c>
      <c r="G781" s="14" t="s">
        <v>20</v>
      </c>
      <c r="H781" s="14"/>
      <c r="I781" s="14">
        <v>201406</v>
      </c>
      <c r="J781" s="15">
        <v>-620.35</v>
      </c>
      <c r="K781" s="21">
        <f t="shared" si="77"/>
        <v>42675</v>
      </c>
      <c r="L781" s="16">
        <f t="shared" si="72"/>
        <v>6</v>
      </c>
      <c r="M781" s="17">
        <v>1.4833299999999999E-3</v>
      </c>
      <c r="N781" s="18">
        <f t="shared" si="73"/>
        <v>-5.5211025930000002</v>
      </c>
      <c r="O781" s="15"/>
      <c r="P781" s="20">
        <f t="shared" si="74"/>
        <v>0</v>
      </c>
      <c r="Q781" s="15"/>
      <c r="R781" s="20">
        <f t="shared" si="75"/>
        <v>0</v>
      </c>
      <c r="S781" s="130"/>
      <c r="T781" s="20">
        <f t="shared" si="76"/>
        <v>-8.7814419687500003</v>
      </c>
    </row>
    <row r="782" spans="1:20">
      <c r="A782" s="13" t="s">
        <v>626</v>
      </c>
      <c r="B782" s="14" t="s">
        <v>764</v>
      </c>
      <c r="C782" s="14" t="s">
        <v>765</v>
      </c>
      <c r="D782" s="13" t="s">
        <v>766</v>
      </c>
      <c r="E782" s="14" t="s">
        <v>209</v>
      </c>
      <c r="F782" s="13" t="s">
        <v>88</v>
      </c>
      <c r="G782" s="14" t="s">
        <v>20</v>
      </c>
      <c r="H782" s="14"/>
      <c r="I782" s="14">
        <v>201406</v>
      </c>
      <c r="J782" s="15">
        <v>4267.28</v>
      </c>
      <c r="K782" s="21">
        <f t="shared" si="77"/>
        <v>42675</v>
      </c>
      <c r="L782" s="16">
        <f t="shared" si="72"/>
        <v>6</v>
      </c>
      <c r="M782" s="17">
        <v>1.4833299999999999E-3</v>
      </c>
      <c r="N782" s="18">
        <f t="shared" si="73"/>
        <v>37.9787066544</v>
      </c>
      <c r="O782" s="15"/>
      <c r="P782" s="20">
        <f t="shared" si="74"/>
        <v>0</v>
      </c>
      <c r="Q782" s="15"/>
      <c r="R782" s="20">
        <f t="shared" si="75"/>
        <v>0</v>
      </c>
      <c r="S782" s="130"/>
      <c r="T782" s="20">
        <f t="shared" si="76"/>
        <v>60.406015449999998</v>
      </c>
    </row>
    <row r="783" spans="1:20">
      <c r="A783" s="13" t="s">
        <v>21</v>
      </c>
      <c r="B783" s="14" t="s">
        <v>491</v>
      </c>
      <c r="C783" s="14" t="s">
        <v>492</v>
      </c>
      <c r="D783" s="13" t="s">
        <v>493</v>
      </c>
      <c r="E783" s="14" t="s">
        <v>87</v>
      </c>
      <c r="F783" s="13" t="s">
        <v>88</v>
      </c>
      <c r="G783" s="14" t="s">
        <v>20</v>
      </c>
      <c r="H783" s="14"/>
      <c r="I783" s="14">
        <v>201406</v>
      </c>
      <c r="J783" s="15">
        <v>1830.17</v>
      </c>
      <c r="K783" s="21">
        <f t="shared" si="77"/>
        <v>42675</v>
      </c>
      <c r="L783" s="16">
        <f t="shared" si="72"/>
        <v>6</v>
      </c>
      <c r="M783" s="17">
        <v>1.4833299999999999E-3</v>
      </c>
      <c r="N783" s="18">
        <f t="shared" si="73"/>
        <v>16.2884763966</v>
      </c>
      <c r="O783" s="15"/>
      <c r="P783" s="20">
        <f t="shared" si="74"/>
        <v>0</v>
      </c>
      <c r="Q783" s="15"/>
      <c r="R783" s="20">
        <f t="shared" si="75"/>
        <v>0</v>
      </c>
      <c r="S783" s="130"/>
      <c r="T783" s="20">
        <f t="shared" si="76"/>
        <v>25.90720020625</v>
      </c>
    </row>
    <row r="784" spans="1:20">
      <c r="A784" s="13" t="s">
        <v>21</v>
      </c>
      <c r="B784" s="14" t="s">
        <v>648</v>
      </c>
      <c r="C784" s="14" t="s">
        <v>649</v>
      </c>
      <c r="D784" s="13" t="s">
        <v>650</v>
      </c>
      <c r="E784" s="14" t="s">
        <v>79</v>
      </c>
      <c r="F784" s="13" t="s">
        <v>26</v>
      </c>
      <c r="G784" s="14" t="s">
        <v>20</v>
      </c>
      <c r="H784" s="14"/>
      <c r="I784" s="14">
        <v>201406</v>
      </c>
      <c r="J784" s="15">
        <v>-959.61</v>
      </c>
      <c r="K784" s="21">
        <f t="shared" si="77"/>
        <v>42675</v>
      </c>
      <c r="L784" s="16">
        <f t="shared" si="72"/>
        <v>6</v>
      </c>
      <c r="M784" s="17">
        <v>1.4833299999999999E-3</v>
      </c>
      <c r="N784" s="18">
        <f t="shared" si="73"/>
        <v>-8.5405098077999995</v>
      </c>
      <c r="O784" s="15"/>
      <c r="P784" s="20">
        <f t="shared" si="74"/>
        <v>0</v>
      </c>
      <c r="Q784" s="15"/>
      <c r="R784" s="20">
        <f t="shared" si="75"/>
        <v>0</v>
      </c>
      <c r="S784" s="130"/>
      <c r="T784" s="20">
        <f t="shared" si="76"/>
        <v>-13.583879306249999</v>
      </c>
    </row>
    <row r="785" spans="1:20">
      <c r="A785" s="13" t="s">
        <v>21</v>
      </c>
      <c r="B785" s="14" t="s">
        <v>651</v>
      </c>
      <c r="C785" s="14" t="s">
        <v>652</v>
      </c>
      <c r="D785" s="13" t="s">
        <v>653</v>
      </c>
      <c r="E785" s="14" t="s">
        <v>360</v>
      </c>
      <c r="F785" s="13" t="s">
        <v>19</v>
      </c>
      <c r="G785" s="14" t="s">
        <v>20</v>
      </c>
      <c r="H785" s="14"/>
      <c r="I785" s="14">
        <v>201406</v>
      </c>
      <c r="J785" s="15">
        <v>-497.28</v>
      </c>
      <c r="K785" s="21">
        <f t="shared" si="77"/>
        <v>42675</v>
      </c>
      <c r="L785" s="16">
        <f t="shared" si="72"/>
        <v>6</v>
      </c>
      <c r="M785" s="17">
        <v>1.4833299999999999E-3</v>
      </c>
      <c r="N785" s="18">
        <f t="shared" si="73"/>
        <v>-4.4257820543999999</v>
      </c>
      <c r="O785" s="15"/>
      <c r="P785" s="20">
        <f t="shared" si="74"/>
        <v>0</v>
      </c>
      <c r="Q785" s="15"/>
      <c r="R785" s="20">
        <f t="shared" si="75"/>
        <v>0</v>
      </c>
      <c r="S785" s="130"/>
      <c r="T785" s="20">
        <f t="shared" si="76"/>
        <v>-7.039309199999999</v>
      </c>
    </row>
    <row r="786" spans="1:20">
      <c r="A786" s="13" t="s">
        <v>21</v>
      </c>
      <c r="B786" s="14" t="s">
        <v>654</v>
      </c>
      <c r="C786" s="14" t="s">
        <v>655</v>
      </c>
      <c r="D786" s="13" t="s">
        <v>656</v>
      </c>
      <c r="E786" s="14" t="s">
        <v>87</v>
      </c>
      <c r="F786" s="13" t="s">
        <v>88</v>
      </c>
      <c r="G786" s="14" t="s">
        <v>20</v>
      </c>
      <c r="H786" s="14"/>
      <c r="I786" s="14">
        <v>201406</v>
      </c>
      <c r="J786" s="15">
        <v>-622.42999999999995</v>
      </c>
      <c r="K786" s="21">
        <f t="shared" si="77"/>
        <v>42675</v>
      </c>
      <c r="L786" s="16">
        <f t="shared" si="72"/>
        <v>6</v>
      </c>
      <c r="M786" s="17">
        <v>1.4833299999999999E-3</v>
      </c>
      <c r="N786" s="18">
        <f t="shared" si="73"/>
        <v>-5.5396145513999997</v>
      </c>
      <c r="O786" s="15"/>
      <c r="P786" s="20">
        <f t="shared" si="74"/>
        <v>0</v>
      </c>
      <c r="Q786" s="15"/>
      <c r="R786" s="20">
        <f t="shared" si="75"/>
        <v>0</v>
      </c>
      <c r="S786" s="130"/>
      <c r="T786" s="20">
        <f t="shared" si="76"/>
        <v>-8.8108856687499983</v>
      </c>
    </row>
    <row r="787" spans="1:20">
      <c r="A787" s="13" t="s">
        <v>21</v>
      </c>
      <c r="B787" s="14" t="s">
        <v>657</v>
      </c>
      <c r="C787" s="14" t="s">
        <v>658</v>
      </c>
      <c r="D787" s="13" t="s">
        <v>659</v>
      </c>
      <c r="E787" s="14" t="s">
        <v>356</v>
      </c>
      <c r="F787" s="13" t="s">
        <v>19</v>
      </c>
      <c r="G787" s="14" t="s">
        <v>20</v>
      </c>
      <c r="H787" s="14"/>
      <c r="I787" s="14">
        <v>201406</v>
      </c>
      <c r="J787" s="15">
        <v>-193.41</v>
      </c>
      <c r="K787" s="21">
        <f t="shared" si="77"/>
        <v>42675</v>
      </c>
      <c r="L787" s="16">
        <f t="shared" si="72"/>
        <v>6</v>
      </c>
      <c r="M787" s="17">
        <v>1.4833299999999999E-3</v>
      </c>
      <c r="N787" s="18">
        <f t="shared" si="73"/>
        <v>-1.7213451317999999</v>
      </c>
      <c r="O787" s="15"/>
      <c r="P787" s="20">
        <f t="shared" si="74"/>
        <v>0</v>
      </c>
      <c r="Q787" s="15"/>
      <c r="R787" s="20">
        <f t="shared" si="75"/>
        <v>0</v>
      </c>
      <c r="S787" s="130"/>
      <c r="T787" s="20">
        <f t="shared" si="76"/>
        <v>-2.7378394312499998</v>
      </c>
    </row>
    <row r="788" spans="1:20">
      <c r="A788" s="13" t="s">
        <v>21</v>
      </c>
      <c r="B788" s="14" t="s">
        <v>660</v>
      </c>
      <c r="C788" s="14" t="s">
        <v>661</v>
      </c>
      <c r="D788" s="13" t="s">
        <v>662</v>
      </c>
      <c r="E788" s="14" t="s">
        <v>280</v>
      </c>
      <c r="F788" s="13" t="s">
        <v>26</v>
      </c>
      <c r="G788" s="14" t="s">
        <v>20</v>
      </c>
      <c r="H788" s="14"/>
      <c r="I788" s="14">
        <v>201406</v>
      </c>
      <c r="J788" s="15">
        <v>-77.569999999999993</v>
      </c>
      <c r="K788" s="21">
        <f t="shared" si="77"/>
        <v>42675</v>
      </c>
      <c r="L788" s="16">
        <f t="shared" si="72"/>
        <v>6</v>
      </c>
      <c r="M788" s="17">
        <v>1.4833299999999999E-3</v>
      </c>
      <c r="N788" s="18">
        <f t="shared" si="73"/>
        <v>-0.69037144859999999</v>
      </c>
      <c r="O788" s="15"/>
      <c r="P788" s="20">
        <f t="shared" si="74"/>
        <v>0</v>
      </c>
      <c r="Q788" s="15"/>
      <c r="R788" s="20">
        <f t="shared" si="75"/>
        <v>0</v>
      </c>
      <c r="S788" s="130"/>
      <c r="T788" s="20">
        <f t="shared" si="76"/>
        <v>-1.0980518312499998</v>
      </c>
    </row>
    <row r="789" spans="1:20">
      <c r="A789" s="23" t="s">
        <v>29</v>
      </c>
      <c r="B789" s="14" t="s">
        <v>292</v>
      </c>
      <c r="C789" s="14" t="s">
        <v>293</v>
      </c>
      <c r="D789" s="13" t="s">
        <v>197</v>
      </c>
      <c r="E789" s="14" t="s">
        <v>294</v>
      </c>
      <c r="F789" s="13" t="s">
        <v>199</v>
      </c>
      <c r="G789" s="14" t="s">
        <v>20</v>
      </c>
      <c r="H789" s="14"/>
      <c r="I789" s="14">
        <v>201406</v>
      </c>
      <c r="J789" s="15">
        <v>3621.86</v>
      </c>
      <c r="K789" s="21">
        <f t="shared" si="77"/>
        <v>42675</v>
      </c>
      <c r="L789" s="16">
        <f t="shared" si="72"/>
        <v>6</v>
      </c>
      <c r="M789" s="17">
        <v>2.23333E-3</v>
      </c>
      <c r="N789" s="18">
        <f t="shared" si="73"/>
        <v>48.532851562799998</v>
      </c>
      <c r="O789" s="15"/>
      <c r="P789" s="20">
        <f t="shared" si="74"/>
        <v>0</v>
      </c>
      <c r="Q789" s="15"/>
      <c r="R789" s="20">
        <f t="shared" si="75"/>
        <v>0</v>
      </c>
      <c r="S789" s="130"/>
      <c r="T789" s="20">
        <f t="shared" si="76"/>
        <v>51.269691962499998</v>
      </c>
    </row>
    <row r="790" spans="1:20">
      <c r="A790" s="13" t="s">
        <v>21</v>
      </c>
      <c r="B790" s="14" t="s">
        <v>663</v>
      </c>
      <c r="C790" s="14" t="s">
        <v>664</v>
      </c>
      <c r="D790" s="13" t="s">
        <v>665</v>
      </c>
      <c r="E790" s="14" t="s">
        <v>260</v>
      </c>
      <c r="F790" s="13" t="s">
        <v>26</v>
      </c>
      <c r="G790" s="14" t="s">
        <v>20</v>
      </c>
      <c r="H790" s="14"/>
      <c r="I790" s="14">
        <v>201406</v>
      </c>
      <c r="J790" s="15">
        <v>2.56</v>
      </c>
      <c r="K790" s="21">
        <f t="shared" si="77"/>
        <v>42675</v>
      </c>
      <c r="L790" s="16">
        <f t="shared" si="72"/>
        <v>6</v>
      </c>
      <c r="M790" s="17">
        <v>1.4833299999999999E-3</v>
      </c>
      <c r="N790" s="18">
        <f t="shared" si="73"/>
        <v>2.2783948800000002E-2</v>
      </c>
      <c r="O790" s="15"/>
      <c r="P790" s="20">
        <f t="shared" si="74"/>
        <v>0</v>
      </c>
      <c r="Q790" s="15"/>
      <c r="R790" s="20">
        <f t="shared" si="75"/>
        <v>0</v>
      </c>
      <c r="S790" s="130"/>
      <c r="T790" s="20">
        <f t="shared" si="76"/>
        <v>3.6238399999999997E-2</v>
      </c>
    </row>
    <row r="791" spans="1:20">
      <c r="A791" s="13" t="s">
        <v>127</v>
      </c>
      <c r="B791" s="14" t="s">
        <v>295</v>
      </c>
      <c r="C791" s="14" t="s">
        <v>296</v>
      </c>
      <c r="D791" s="13" t="s">
        <v>297</v>
      </c>
      <c r="E791" s="14" t="s">
        <v>216</v>
      </c>
      <c r="F791" s="13" t="s">
        <v>217</v>
      </c>
      <c r="G791" s="14" t="s">
        <v>20</v>
      </c>
      <c r="H791" s="14"/>
      <c r="I791" s="14">
        <v>201406</v>
      </c>
      <c r="J791" s="15">
        <v>-86.67</v>
      </c>
      <c r="K791" s="21">
        <f t="shared" si="77"/>
        <v>42675</v>
      </c>
      <c r="L791" s="16">
        <f t="shared" si="72"/>
        <v>6</v>
      </c>
      <c r="M791" s="17">
        <v>2.3833299999999999E-3</v>
      </c>
      <c r="N791" s="18">
        <f t="shared" si="73"/>
        <v>-1.2393792666000001</v>
      </c>
      <c r="O791" s="15"/>
      <c r="P791" s="20">
        <f t="shared" si="74"/>
        <v>0</v>
      </c>
      <c r="Q791" s="15"/>
      <c r="R791" s="20">
        <f t="shared" si="75"/>
        <v>0</v>
      </c>
      <c r="S791" s="130"/>
      <c r="T791" s="20">
        <f t="shared" si="76"/>
        <v>-1.2268680187499998</v>
      </c>
    </row>
    <row r="792" spans="1:20">
      <c r="A792" s="13" t="s">
        <v>21</v>
      </c>
      <c r="B792" s="14" t="s">
        <v>666</v>
      </c>
      <c r="C792" s="14" t="s">
        <v>667</v>
      </c>
      <c r="D792" s="13" t="s">
        <v>668</v>
      </c>
      <c r="E792" s="14" t="s">
        <v>87</v>
      </c>
      <c r="F792" s="13" t="s">
        <v>88</v>
      </c>
      <c r="G792" s="14" t="s">
        <v>20</v>
      </c>
      <c r="H792" s="14"/>
      <c r="I792" s="14">
        <v>201406</v>
      </c>
      <c r="J792" s="15">
        <v>-915.75</v>
      </c>
      <c r="K792" s="21">
        <f t="shared" si="77"/>
        <v>42675</v>
      </c>
      <c r="L792" s="16">
        <f t="shared" si="72"/>
        <v>6</v>
      </c>
      <c r="M792" s="17">
        <v>1.4833299999999999E-3</v>
      </c>
      <c r="N792" s="18">
        <f t="shared" si="73"/>
        <v>-8.1501566850000007</v>
      </c>
      <c r="O792" s="15"/>
      <c r="P792" s="20">
        <f t="shared" si="74"/>
        <v>0</v>
      </c>
      <c r="Q792" s="15"/>
      <c r="R792" s="20">
        <f t="shared" si="75"/>
        <v>0</v>
      </c>
      <c r="S792" s="130"/>
      <c r="T792" s="20">
        <f t="shared" si="76"/>
        <v>-12.963013593749999</v>
      </c>
    </row>
    <row r="793" spans="1:20">
      <c r="A793" s="13" t="s">
        <v>21</v>
      </c>
      <c r="B793" s="14" t="s">
        <v>298</v>
      </c>
      <c r="C793" s="14" t="s">
        <v>299</v>
      </c>
      <c r="D793" s="13" t="s">
        <v>300</v>
      </c>
      <c r="E793" s="14" t="s">
        <v>164</v>
      </c>
      <c r="F793" s="13" t="s">
        <v>165</v>
      </c>
      <c r="G793" s="14" t="s">
        <v>20</v>
      </c>
      <c r="H793" s="14"/>
      <c r="I793" s="14">
        <v>201406</v>
      </c>
      <c r="J793" s="15">
        <v>-1419.28</v>
      </c>
      <c r="K793" s="21">
        <f t="shared" si="77"/>
        <v>42675</v>
      </c>
      <c r="L793" s="16">
        <f t="shared" si="72"/>
        <v>6</v>
      </c>
      <c r="M793" s="17">
        <v>1.4833299999999999E-3</v>
      </c>
      <c r="N793" s="18">
        <f t="shared" si="73"/>
        <v>-12.631563614399999</v>
      </c>
      <c r="O793" s="15"/>
      <c r="P793" s="20">
        <f t="shared" si="74"/>
        <v>0</v>
      </c>
      <c r="Q793" s="15"/>
      <c r="R793" s="20">
        <f t="shared" si="75"/>
        <v>0</v>
      </c>
      <c r="S793" s="130"/>
      <c r="T793" s="20">
        <f t="shared" si="76"/>
        <v>-20.090795449999998</v>
      </c>
    </row>
    <row r="794" spans="1:20">
      <c r="A794" s="13" t="s">
        <v>21</v>
      </c>
      <c r="B794" s="14" t="s">
        <v>669</v>
      </c>
      <c r="C794" s="14" t="s">
        <v>670</v>
      </c>
      <c r="D794" s="13" t="s">
        <v>671</v>
      </c>
      <c r="E794" s="14" t="s">
        <v>497</v>
      </c>
      <c r="F794" s="13" t="s">
        <v>26</v>
      </c>
      <c r="G794" s="14" t="s">
        <v>20</v>
      </c>
      <c r="H794" s="14"/>
      <c r="I794" s="14">
        <v>201406</v>
      </c>
      <c r="J794" s="15">
        <v>-46.47</v>
      </c>
      <c r="K794" s="21">
        <f t="shared" si="77"/>
        <v>42675</v>
      </c>
      <c r="L794" s="16">
        <f t="shared" si="72"/>
        <v>6</v>
      </c>
      <c r="M794" s="17">
        <v>1.4833299999999999E-3</v>
      </c>
      <c r="N794" s="18">
        <f t="shared" si="73"/>
        <v>-0.41358207060000002</v>
      </c>
      <c r="O794" s="15"/>
      <c r="P794" s="20">
        <f t="shared" si="74"/>
        <v>0</v>
      </c>
      <c r="Q794" s="15"/>
      <c r="R794" s="20">
        <f t="shared" si="75"/>
        <v>0</v>
      </c>
      <c r="S794" s="130"/>
      <c r="T794" s="20">
        <f t="shared" si="76"/>
        <v>-0.65781189374999993</v>
      </c>
    </row>
    <row r="795" spans="1:20">
      <c r="A795" s="13" t="s">
        <v>21</v>
      </c>
      <c r="B795" s="14" t="s">
        <v>672</v>
      </c>
      <c r="C795" s="14" t="s">
        <v>673</v>
      </c>
      <c r="D795" s="13" t="s">
        <v>674</v>
      </c>
      <c r="E795" s="14" t="s">
        <v>164</v>
      </c>
      <c r="F795" s="13" t="s">
        <v>165</v>
      </c>
      <c r="G795" s="14" t="s">
        <v>20</v>
      </c>
      <c r="H795" s="14"/>
      <c r="I795" s="14">
        <v>201406</v>
      </c>
      <c r="J795" s="15">
        <v>-36.15</v>
      </c>
      <c r="K795" s="21">
        <f t="shared" si="77"/>
        <v>42675</v>
      </c>
      <c r="L795" s="16">
        <f t="shared" si="72"/>
        <v>6</v>
      </c>
      <c r="M795" s="17">
        <v>1.4833299999999999E-3</v>
      </c>
      <c r="N795" s="18">
        <f t="shared" si="73"/>
        <v>-0.32173427700000001</v>
      </c>
      <c r="O795" s="15"/>
      <c r="P795" s="20">
        <f t="shared" si="74"/>
        <v>0</v>
      </c>
      <c r="Q795" s="15"/>
      <c r="R795" s="20">
        <f t="shared" si="75"/>
        <v>0</v>
      </c>
      <c r="S795" s="130"/>
      <c r="T795" s="20">
        <f t="shared" si="76"/>
        <v>-0.51172584374999996</v>
      </c>
    </row>
    <row r="796" spans="1:20">
      <c r="A796" s="13" t="s">
        <v>21</v>
      </c>
      <c r="B796" s="14" t="s">
        <v>301</v>
      </c>
      <c r="C796" s="14" t="s">
        <v>302</v>
      </c>
      <c r="D796" s="13" t="s">
        <v>303</v>
      </c>
      <c r="E796" s="14" t="s">
        <v>63</v>
      </c>
      <c r="F796" s="13" t="s">
        <v>19</v>
      </c>
      <c r="G796" s="14" t="s">
        <v>20</v>
      </c>
      <c r="H796" s="14"/>
      <c r="I796" s="14">
        <v>201406</v>
      </c>
      <c r="J796" s="15">
        <v>-24.61</v>
      </c>
      <c r="K796" s="21">
        <f t="shared" si="77"/>
        <v>42675</v>
      </c>
      <c r="L796" s="16">
        <f t="shared" si="72"/>
        <v>6</v>
      </c>
      <c r="M796" s="17">
        <v>1.4833299999999999E-3</v>
      </c>
      <c r="N796" s="18">
        <f t="shared" si="73"/>
        <v>-0.21902850779999999</v>
      </c>
      <c r="O796" s="15"/>
      <c r="P796" s="20">
        <f t="shared" si="74"/>
        <v>0</v>
      </c>
      <c r="Q796" s="15"/>
      <c r="R796" s="20">
        <f t="shared" si="75"/>
        <v>0</v>
      </c>
      <c r="S796" s="130"/>
      <c r="T796" s="20">
        <f t="shared" si="76"/>
        <v>-0.34836993124999999</v>
      </c>
    </row>
    <row r="797" spans="1:20">
      <c r="A797" s="13" t="s">
        <v>21</v>
      </c>
      <c r="B797" s="14" t="s">
        <v>304</v>
      </c>
      <c r="C797" s="14" t="s">
        <v>305</v>
      </c>
      <c r="D797" s="13" t="s">
        <v>306</v>
      </c>
      <c r="E797" s="14" t="s">
        <v>307</v>
      </c>
      <c r="F797" s="13" t="s">
        <v>165</v>
      </c>
      <c r="G797" s="14" t="s">
        <v>20</v>
      </c>
      <c r="H797" s="14"/>
      <c r="I797" s="14">
        <v>201406</v>
      </c>
      <c r="J797" s="15">
        <v>-1674.48</v>
      </c>
      <c r="K797" s="21">
        <f t="shared" si="77"/>
        <v>42675</v>
      </c>
      <c r="L797" s="16">
        <f t="shared" si="72"/>
        <v>6</v>
      </c>
      <c r="M797" s="17">
        <v>1.4833299999999999E-3</v>
      </c>
      <c r="N797" s="18">
        <f t="shared" si="73"/>
        <v>-14.902838510400001</v>
      </c>
      <c r="O797" s="15"/>
      <c r="P797" s="20">
        <f t="shared" si="74"/>
        <v>0</v>
      </c>
      <c r="Q797" s="15"/>
      <c r="R797" s="20">
        <f t="shared" si="75"/>
        <v>0</v>
      </c>
      <c r="S797" s="130"/>
      <c r="T797" s="20">
        <f t="shared" si="76"/>
        <v>-23.703310949999999</v>
      </c>
    </row>
    <row r="798" spans="1:20">
      <c r="A798" s="13" t="s">
        <v>21</v>
      </c>
      <c r="B798" s="14" t="s">
        <v>494</v>
      </c>
      <c r="C798" s="14" t="s">
        <v>495</v>
      </c>
      <c r="D798" s="13" t="s">
        <v>496</v>
      </c>
      <c r="E798" s="14" t="s">
        <v>497</v>
      </c>
      <c r="F798" s="13" t="s">
        <v>26</v>
      </c>
      <c r="G798" s="14" t="s">
        <v>20</v>
      </c>
      <c r="H798" s="14"/>
      <c r="I798" s="14">
        <v>201406</v>
      </c>
      <c r="J798" s="15">
        <v>-952.3</v>
      </c>
      <c r="K798" s="21">
        <f t="shared" si="77"/>
        <v>42675</v>
      </c>
      <c r="L798" s="16">
        <f t="shared" si="72"/>
        <v>6</v>
      </c>
      <c r="M798" s="17">
        <v>1.4833299999999999E-3</v>
      </c>
      <c r="N798" s="18">
        <f t="shared" si="73"/>
        <v>-8.4754509539999994</v>
      </c>
      <c r="O798" s="15"/>
      <c r="P798" s="20">
        <f t="shared" si="74"/>
        <v>0</v>
      </c>
      <c r="Q798" s="15"/>
      <c r="R798" s="20">
        <f t="shared" si="75"/>
        <v>0</v>
      </c>
      <c r="S798" s="130"/>
      <c r="T798" s="20">
        <f t="shared" si="76"/>
        <v>-13.480401687499999</v>
      </c>
    </row>
    <row r="799" spans="1:20">
      <c r="A799" s="13" t="s">
        <v>21</v>
      </c>
      <c r="B799" s="14" t="s">
        <v>498</v>
      </c>
      <c r="C799" s="14" t="s">
        <v>499</v>
      </c>
      <c r="D799" s="13" t="s">
        <v>500</v>
      </c>
      <c r="E799" s="14" t="s">
        <v>75</v>
      </c>
      <c r="F799" s="13" t="s">
        <v>26</v>
      </c>
      <c r="G799" s="14" t="s">
        <v>20</v>
      </c>
      <c r="H799" s="14"/>
      <c r="I799" s="14">
        <v>201406</v>
      </c>
      <c r="J799" s="15">
        <v>9746.89</v>
      </c>
      <c r="K799" s="21">
        <f t="shared" si="77"/>
        <v>42675</v>
      </c>
      <c r="L799" s="16">
        <f t="shared" si="72"/>
        <v>6</v>
      </c>
      <c r="M799" s="17">
        <v>1.4833299999999999E-3</v>
      </c>
      <c r="N799" s="18">
        <f t="shared" si="73"/>
        <v>86.747126062199996</v>
      </c>
      <c r="O799" s="15"/>
      <c r="P799" s="20">
        <f t="shared" si="74"/>
        <v>0</v>
      </c>
      <c r="Q799" s="15"/>
      <c r="R799" s="20">
        <f t="shared" si="75"/>
        <v>0</v>
      </c>
      <c r="S799" s="130"/>
      <c r="T799" s="20">
        <f t="shared" si="76"/>
        <v>137.97331975624999</v>
      </c>
    </row>
    <row r="800" spans="1:20">
      <c r="A800" s="13" t="s">
        <v>21</v>
      </c>
      <c r="B800" s="14" t="s">
        <v>501</v>
      </c>
      <c r="C800" s="14" t="s">
        <v>502</v>
      </c>
      <c r="D800" s="13" t="s">
        <v>503</v>
      </c>
      <c r="E800" s="14" t="s">
        <v>280</v>
      </c>
      <c r="F800" s="13" t="s">
        <v>26</v>
      </c>
      <c r="G800" s="14" t="s">
        <v>20</v>
      </c>
      <c r="H800" s="14"/>
      <c r="I800" s="14">
        <v>201406</v>
      </c>
      <c r="J800" s="15">
        <v>2611.0700000000002</v>
      </c>
      <c r="K800" s="21">
        <f t="shared" si="77"/>
        <v>42675</v>
      </c>
      <c r="L800" s="16">
        <f t="shared" si="72"/>
        <v>6</v>
      </c>
      <c r="M800" s="17">
        <v>1.4833299999999999E-3</v>
      </c>
      <c r="N800" s="18">
        <f t="shared" si="73"/>
        <v>23.2384707786</v>
      </c>
      <c r="O800" s="15"/>
      <c r="P800" s="20">
        <f t="shared" si="74"/>
        <v>0</v>
      </c>
      <c r="Q800" s="15"/>
      <c r="R800" s="20">
        <f t="shared" si="75"/>
        <v>0</v>
      </c>
      <c r="S800" s="130"/>
      <c r="T800" s="20">
        <f t="shared" si="76"/>
        <v>36.961327768750003</v>
      </c>
    </row>
    <row r="801" spans="1:20">
      <c r="A801" s="13" t="s">
        <v>21</v>
      </c>
      <c r="B801" s="14" t="s">
        <v>308</v>
      </c>
      <c r="C801" s="14" t="s">
        <v>309</v>
      </c>
      <c r="D801" s="13" t="s">
        <v>310</v>
      </c>
      <c r="E801" s="14" t="s">
        <v>142</v>
      </c>
      <c r="F801" s="13" t="s">
        <v>143</v>
      </c>
      <c r="G801" s="14" t="s">
        <v>20</v>
      </c>
      <c r="H801" s="14"/>
      <c r="I801" s="14">
        <v>201406</v>
      </c>
      <c r="J801" s="15">
        <v>-253.69</v>
      </c>
      <c r="K801" s="21">
        <f t="shared" si="77"/>
        <v>42675</v>
      </c>
      <c r="L801" s="16">
        <f t="shared" si="72"/>
        <v>6</v>
      </c>
      <c r="M801" s="17">
        <v>1.4833299999999999E-3</v>
      </c>
      <c r="N801" s="18">
        <f t="shared" si="73"/>
        <v>-2.2578359261999998</v>
      </c>
      <c r="O801" s="15"/>
      <c r="P801" s="20">
        <f t="shared" si="74"/>
        <v>0</v>
      </c>
      <c r="Q801" s="15"/>
      <c r="R801" s="20">
        <f t="shared" si="75"/>
        <v>0</v>
      </c>
      <c r="S801" s="130"/>
      <c r="T801" s="20">
        <f t="shared" si="76"/>
        <v>-3.5911405062499995</v>
      </c>
    </row>
    <row r="802" spans="1:20">
      <c r="A802" s="13" t="s">
        <v>21</v>
      </c>
      <c r="B802" s="14" t="s">
        <v>416</v>
      </c>
      <c r="C802" s="14" t="s">
        <v>417</v>
      </c>
      <c r="D802" s="13" t="s">
        <v>418</v>
      </c>
      <c r="E802" s="14" t="s">
        <v>209</v>
      </c>
      <c r="F802" s="13" t="s">
        <v>88</v>
      </c>
      <c r="G802" s="14" t="s">
        <v>20</v>
      </c>
      <c r="H802" s="14"/>
      <c r="I802" s="14">
        <v>201406</v>
      </c>
      <c r="J802" s="15">
        <v>-644.84</v>
      </c>
      <c r="K802" s="21">
        <f t="shared" si="77"/>
        <v>42675</v>
      </c>
      <c r="L802" s="16">
        <f t="shared" si="72"/>
        <v>6</v>
      </c>
      <c r="M802" s="17">
        <v>1.4833299999999999E-3</v>
      </c>
      <c r="N802" s="18">
        <f t="shared" si="73"/>
        <v>-5.7390631032000003</v>
      </c>
      <c r="O802" s="15"/>
      <c r="P802" s="20">
        <f t="shared" si="74"/>
        <v>0</v>
      </c>
      <c r="Q802" s="15"/>
      <c r="R802" s="20">
        <f t="shared" si="75"/>
        <v>0</v>
      </c>
      <c r="S802" s="130"/>
      <c r="T802" s="20">
        <f t="shared" si="76"/>
        <v>-9.1281132249999999</v>
      </c>
    </row>
    <row r="803" spans="1:20">
      <c r="A803" s="13" t="s">
        <v>626</v>
      </c>
      <c r="B803" s="14" t="s">
        <v>767</v>
      </c>
      <c r="C803" s="14" t="s">
        <v>768</v>
      </c>
      <c r="D803" s="13" t="s">
        <v>769</v>
      </c>
      <c r="E803" s="14" t="s">
        <v>18</v>
      </c>
      <c r="F803" s="13" t="s">
        <v>19</v>
      </c>
      <c r="G803" s="14" t="s">
        <v>20</v>
      </c>
      <c r="H803" s="14"/>
      <c r="I803" s="14">
        <v>201406</v>
      </c>
      <c r="J803" s="15">
        <v>33144.32</v>
      </c>
      <c r="K803" s="21">
        <f t="shared" si="77"/>
        <v>42675</v>
      </c>
      <c r="L803" s="16">
        <f t="shared" si="72"/>
        <v>6</v>
      </c>
      <c r="M803" s="17">
        <v>1.4833299999999999E-3</v>
      </c>
      <c r="N803" s="18">
        <f t="shared" si="73"/>
        <v>294.98378511359999</v>
      </c>
      <c r="O803" s="15"/>
      <c r="P803" s="20">
        <f t="shared" si="74"/>
        <v>0</v>
      </c>
      <c r="Q803" s="15"/>
      <c r="R803" s="20">
        <f t="shared" si="75"/>
        <v>0</v>
      </c>
      <c r="S803" s="130"/>
      <c r="T803" s="20">
        <f t="shared" si="76"/>
        <v>469.17856479999995</v>
      </c>
    </row>
    <row r="804" spans="1:20">
      <c r="A804" s="13" t="s">
        <v>626</v>
      </c>
      <c r="B804" s="14" t="s">
        <v>770</v>
      </c>
      <c r="C804" s="14" t="s">
        <v>771</v>
      </c>
      <c r="D804" s="13" t="s">
        <v>772</v>
      </c>
      <c r="E804" s="14" t="s">
        <v>87</v>
      </c>
      <c r="F804" s="13" t="s">
        <v>88</v>
      </c>
      <c r="G804" s="14" t="s">
        <v>20</v>
      </c>
      <c r="H804" s="14"/>
      <c r="I804" s="14">
        <v>201406</v>
      </c>
      <c r="J804" s="15">
        <v>174328.72</v>
      </c>
      <c r="K804" s="21">
        <f t="shared" si="77"/>
        <v>42675</v>
      </c>
      <c r="L804" s="16">
        <f t="shared" si="72"/>
        <v>6</v>
      </c>
      <c r="M804" s="17">
        <v>1.4833299999999999E-3</v>
      </c>
      <c r="N804" s="18">
        <f t="shared" si="73"/>
        <v>1551.5221214256001</v>
      </c>
      <c r="O804" s="15"/>
      <c r="P804" s="20">
        <f t="shared" si="74"/>
        <v>0</v>
      </c>
      <c r="Q804" s="15"/>
      <c r="R804" s="20">
        <f t="shared" si="75"/>
        <v>0</v>
      </c>
      <c r="S804" s="130"/>
      <c r="T804" s="20">
        <f t="shared" si="76"/>
        <v>2467.73198705</v>
      </c>
    </row>
    <row r="805" spans="1:20">
      <c r="A805" s="13" t="s">
        <v>21</v>
      </c>
      <c r="B805" s="14" t="s">
        <v>311</v>
      </c>
      <c r="C805" s="14" t="s">
        <v>312</v>
      </c>
      <c r="D805" s="13" t="s">
        <v>313</v>
      </c>
      <c r="E805" s="14" t="s">
        <v>164</v>
      </c>
      <c r="F805" s="13" t="s">
        <v>165</v>
      </c>
      <c r="G805" s="14" t="s">
        <v>20</v>
      </c>
      <c r="H805" s="14"/>
      <c r="I805" s="14">
        <v>201406</v>
      </c>
      <c r="J805" s="15">
        <v>-1467.39</v>
      </c>
      <c r="K805" s="21">
        <f t="shared" si="77"/>
        <v>42675</v>
      </c>
      <c r="L805" s="16">
        <f t="shared" si="72"/>
        <v>6</v>
      </c>
      <c r="M805" s="17">
        <v>1.4833299999999999E-3</v>
      </c>
      <c r="N805" s="18">
        <f t="shared" si="73"/>
        <v>-13.059741652200001</v>
      </c>
      <c r="O805" s="15"/>
      <c r="P805" s="20">
        <f t="shared" si="74"/>
        <v>0</v>
      </c>
      <c r="Q805" s="15"/>
      <c r="R805" s="20">
        <f t="shared" si="75"/>
        <v>0</v>
      </c>
      <c r="S805" s="130"/>
      <c r="T805" s="20">
        <f t="shared" si="76"/>
        <v>-20.77182256875</v>
      </c>
    </row>
    <row r="806" spans="1:20">
      <c r="A806" s="13" t="s">
        <v>21</v>
      </c>
      <c r="B806" s="14" t="s">
        <v>504</v>
      </c>
      <c r="C806" s="14" t="s">
        <v>505</v>
      </c>
      <c r="D806" s="13" t="s">
        <v>506</v>
      </c>
      <c r="E806" s="14" t="s">
        <v>164</v>
      </c>
      <c r="F806" s="13" t="s">
        <v>165</v>
      </c>
      <c r="G806" s="14" t="s">
        <v>20</v>
      </c>
      <c r="H806" s="14"/>
      <c r="I806" s="14">
        <v>201406</v>
      </c>
      <c r="J806" s="15">
        <v>-658.09</v>
      </c>
      <c r="K806" s="21">
        <f t="shared" si="77"/>
        <v>42675</v>
      </c>
      <c r="L806" s="16">
        <f t="shared" si="72"/>
        <v>6</v>
      </c>
      <c r="M806" s="17">
        <v>1.4833299999999999E-3</v>
      </c>
      <c r="N806" s="18">
        <f t="shared" si="73"/>
        <v>-5.8569878382000002</v>
      </c>
      <c r="O806" s="15"/>
      <c r="P806" s="20">
        <f t="shared" si="74"/>
        <v>0</v>
      </c>
      <c r="Q806" s="15"/>
      <c r="R806" s="20">
        <f t="shared" si="75"/>
        <v>0</v>
      </c>
      <c r="S806" s="130"/>
      <c r="T806" s="20">
        <f t="shared" si="76"/>
        <v>-9.3156752562499996</v>
      </c>
    </row>
    <row r="807" spans="1:20">
      <c r="A807" s="13" t="s">
        <v>626</v>
      </c>
      <c r="B807" s="14" t="s">
        <v>773</v>
      </c>
      <c r="C807" s="14" t="s">
        <v>774</v>
      </c>
      <c r="D807" s="13" t="s">
        <v>775</v>
      </c>
      <c r="E807" s="14" t="s">
        <v>209</v>
      </c>
      <c r="F807" s="13" t="s">
        <v>88</v>
      </c>
      <c r="G807" s="14" t="s">
        <v>20</v>
      </c>
      <c r="H807" s="14"/>
      <c r="I807" s="14">
        <v>201406</v>
      </c>
      <c r="J807" s="15">
        <v>98626.99</v>
      </c>
      <c r="K807" s="21">
        <f t="shared" si="77"/>
        <v>42675</v>
      </c>
      <c r="L807" s="16">
        <f t="shared" si="72"/>
        <v>6</v>
      </c>
      <c r="M807" s="17">
        <v>1.4833299999999999E-3</v>
      </c>
      <c r="N807" s="18">
        <f t="shared" si="73"/>
        <v>877.7782384602001</v>
      </c>
      <c r="O807" s="15"/>
      <c r="P807" s="20">
        <f t="shared" si="74"/>
        <v>0</v>
      </c>
      <c r="Q807" s="15"/>
      <c r="R807" s="20">
        <f t="shared" si="75"/>
        <v>0</v>
      </c>
      <c r="S807" s="130"/>
      <c r="T807" s="20">
        <f t="shared" si="76"/>
        <v>1396.1266853187499</v>
      </c>
    </row>
    <row r="808" spans="1:20">
      <c r="A808" s="23" t="s">
        <v>29</v>
      </c>
      <c r="B808" s="14" t="s">
        <v>314</v>
      </c>
      <c r="C808" s="14" t="s">
        <v>315</v>
      </c>
      <c r="D808" s="13" t="s">
        <v>316</v>
      </c>
      <c r="E808" s="14" t="s">
        <v>317</v>
      </c>
      <c r="F808" s="13" t="s">
        <v>285</v>
      </c>
      <c r="G808" s="14" t="s">
        <v>20</v>
      </c>
      <c r="H808" s="14"/>
      <c r="I808" s="14">
        <v>201406</v>
      </c>
      <c r="J808" s="15">
        <v>-700.62</v>
      </c>
      <c r="K808" s="21">
        <f t="shared" si="77"/>
        <v>42675</v>
      </c>
      <c r="L808" s="16">
        <f t="shared" si="72"/>
        <v>6</v>
      </c>
      <c r="M808" s="17">
        <v>2.23333E-3</v>
      </c>
      <c r="N808" s="18">
        <f t="shared" si="73"/>
        <v>-9.3882939875999991</v>
      </c>
      <c r="O808" s="15"/>
      <c r="P808" s="20">
        <f t="shared" si="74"/>
        <v>0</v>
      </c>
      <c r="Q808" s="15"/>
      <c r="R808" s="20">
        <f t="shared" si="75"/>
        <v>0</v>
      </c>
      <c r="S808" s="130"/>
      <c r="T808" s="20">
        <f t="shared" si="76"/>
        <v>-9.9177139875000009</v>
      </c>
    </row>
    <row r="809" spans="1:20">
      <c r="A809" s="23" t="s">
        <v>29</v>
      </c>
      <c r="B809" s="14" t="s">
        <v>318</v>
      </c>
      <c r="C809" s="14" t="s">
        <v>319</v>
      </c>
      <c r="D809" s="13" t="s">
        <v>105</v>
      </c>
      <c r="E809" s="14" t="s">
        <v>320</v>
      </c>
      <c r="F809" s="13" t="s">
        <v>34</v>
      </c>
      <c r="G809" s="14" t="s">
        <v>20</v>
      </c>
      <c r="H809" s="14"/>
      <c r="I809" s="14">
        <v>201406</v>
      </c>
      <c r="J809" s="15">
        <v>-805.01</v>
      </c>
      <c r="K809" s="21">
        <f t="shared" si="77"/>
        <v>42675</v>
      </c>
      <c r="L809" s="16">
        <f t="shared" si="72"/>
        <v>6</v>
      </c>
      <c r="M809" s="17">
        <v>2.23333E-3</v>
      </c>
      <c r="N809" s="18">
        <f t="shared" si="73"/>
        <v>-10.787117899799998</v>
      </c>
      <c r="O809" s="15"/>
      <c r="P809" s="20">
        <f t="shared" si="74"/>
        <v>0</v>
      </c>
      <c r="Q809" s="15"/>
      <c r="R809" s="20">
        <f t="shared" si="75"/>
        <v>0</v>
      </c>
      <c r="S809" s="130"/>
      <c r="T809" s="20">
        <f t="shared" si="76"/>
        <v>-11.395419681249999</v>
      </c>
    </row>
    <row r="810" spans="1:20">
      <c r="A810" s="23" t="s">
        <v>29</v>
      </c>
      <c r="B810" s="14" t="s">
        <v>321</v>
      </c>
      <c r="C810" s="14" t="s">
        <v>322</v>
      </c>
      <c r="D810" s="13" t="s">
        <v>323</v>
      </c>
      <c r="E810" s="14" t="s">
        <v>324</v>
      </c>
      <c r="F810" s="13" t="s">
        <v>52</v>
      </c>
      <c r="G810" s="14" t="s">
        <v>20</v>
      </c>
      <c r="H810" s="14"/>
      <c r="I810" s="14">
        <v>201406</v>
      </c>
      <c r="J810" s="15">
        <v>45655.28</v>
      </c>
      <c r="K810" s="21">
        <f t="shared" si="77"/>
        <v>42675</v>
      </c>
      <c r="L810" s="16">
        <f t="shared" si="72"/>
        <v>6</v>
      </c>
      <c r="M810" s="17">
        <v>2.23333E-3</v>
      </c>
      <c r="N810" s="18">
        <f t="shared" si="73"/>
        <v>611.77983889439997</v>
      </c>
      <c r="O810" s="15"/>
      <c r="P810" s="20">
        <f t="shared" si="74"/>
        <v>0</v>
      </c>
      <c r="Q810" s="15"/>
      <c r="R810" s="20">
        <f t="shared" si="75"/>
        <v>0</v>
      </c>
      <c r="S810" s="130"/>
      <c r="T810" s="20">
        <f t="shared" si="76"/>
        <v>646.2790229499999</v>
      </c>
    </row>
    <row r="811" spans="1:20">
      <c r="A811" s="23" t="s">
        <v>29</v>
      </c>
      <c r="B811" s="14" t="s">
        <v>419</v>
      </c>
      <c r="C811" s="14" t="s">
        <v>420</v>
      </c>
      <c r="D811" s="13" t="s">
        <v>50</v>
      </c>
      <c r="E811" s="14" t="s">
        <v>421</v>
      </c>
      <c r="F811" s="13" t="s">
        <v>52</v>
      </c>
      <c r="G811" s="14" t="s">
        <v>20</v>
      </c>
      <c r="H811" s="14"/>
      <c r="I811" s="14">
        <v>201406</v>
      </c>
      <c r="J811" s="15">
        <v>-171.05</v>
      </c>
      <c r="K811" s="21">
        <f t="shared" si="77"/>
        <v>42675</v>
      </c>
      <c r="L811" s="16">
        <f t="shared" si="72"/>
        <v>6</v>
      </c>
      <c r="M811" s="17">
        <v>2.23333E-3</v>
      </c>
      <c r="N811" s="18">
        <f t="shared" si="73"/>
        <v>-2.2920665790000001</v>
      </c>
      <c r="O811" s="15"/>
      <c r="P811" s="20">
        <f t="shared" si="74"/>
        <v>0</v>
      </c>
      <c r="Q811" s="15"/>
      <c r="R811" s="20">
        <f t="shared" si="75"/>
        <v>0</v>
      </c>
      <c r="S811" s="130"/>
      <c r="T811" s="20">
        <f t="shared" si="76"/>
        <v>-2.4213196562500001</v>
      </c>
    </row>
    <row r="812" spans="1:20">
      <c r="A812" s="23" t="s">
        <v>29</v>
      </c>
      <c r="B812" s="14" t="s">
        <v>325</v>
      </c>
      <c r="C812" s="14" t="s">
        <v>326</v>
      </c>
      <c r="D812" s="13" t="s">
        <v>327</v>
      </c>
      <c r="E812" s="14" t="s">
        <v>328</v>
      </c>
      <c r="F812" s="13" t="s">
        <v>58</v>
      </c>
      <c r="G812" s="14" t="s">
        <v>20</v>
      </c>
      <c r="H812" s="14"/>
      <c r="I812" s="14">
        <v>201406</v>
      </c>
      <c r="J812" s="15">
        <v>68866.149999999994</v>
      </c>
      <c r="K812" s="21">
        <f t="shared" si="77"/>
        <v>42675</v>
      </c>
      <c r="L812" s="16">
        <f t="shared" si="72"/>
        <v>6</v>
      </c>
      <c r="M812" s="17">
        <v>2.23333E-3</v>
      </c>
      <c r="N812" s="18">
        <f t="shared" si="73"/>
        <v>922.80503267699987</v>
      </c>
      <c r="O812" s="15"/>
      <c r="P812" s="20">
        <f t="shared" si="74"/>
        <v>0</v>
      </c>
      <c r="Q812" s="15"/>
      <c r="R812" s="20">
        <f t="shared" si="75"/>
        <v>0</v>
      </c>
      <c r="S812" s="130"/>
      <c r="T812" s="20">
        <f t="shared" si="76"/>
        <v>974.84339459374996</v>
      </c>
    </row>
    <row r="813" spans="1:20">
      <c r="A813" s="13" t="s">
        <v>21</v>
      </c>
      <c r="B813" s="14" t="s">
        <v>329</v>
      </c>
      <c r="C813" s="14" t="s">
        <v>330</v>
      </c>
      <c r="D813" s="13" t="s">
        <v>331</v>
      </c>
      <c r="E813" s="14" t="s">
        <v>164</v>
      </c>
      <c r="F813" s="13" t="s">
        <v>165</v>
      </c>
      <c r="G813" s="14" t="s">
        <v>20</v>
      </c>
      <c r="H813" s="14"/>
      <c r="I813" s="14">
        <v>201406</v>
      </c>
      <c r="J813" s="15">
        <v>-4931.43</v>
      </c>
      <c r="K813" s="21">
        <f t="shared" si="77"/>
        <v>42675</v>
      </c>
      <c r="L813" s="16">
        <f t="shared" si="72"/>
        <v>6</v>
      </c>
      <c r="M813" s="17">
        <v>1.4833299999999999E-3</v>
      </c>
      <c r="N813" s="18">
        <f t="shared" si="73"/>
        <v>-43.889628371400001</v>
      </c>
      <c r="O813" s="15"/>
      <c r="P813" s="20">
        <f t="shared" si="74"/>
        <v>0</v>
      </c>
      <c r="Q813" s="15"/>
      <c r="R813" s="20">
        <f t="shared" si="75"/>
        <v>0</v>
      </c>
      <c r="S813" s="130"/>
      <c r="T813" s="20">
        <f t="shared" si="76"/>
        <v>-69.807473793749992</v>
      </c>
    </row>
    <row r="814" spans="1:20">
      <c r="A814" s="13" t="s">
        <v>21</v>
      </c>
      <c r="B814" s="14" t="s">
        <v>678</v>
      </c>
      <c r="C814" s="14" t="s">
        <v>679</v>
      </c>
      <c r="D814" s="13" t="s">
        <v>680</v>
      </c>
      <c r="E814" s="14" t="s">
        <v>75</v>
      </c>
      <c r="F814" s="13" t="s">
        <v>26</v>
      </c>
      <c r="G814" s="14" t="s">
        <v>20</v>
      </c>
      <c r="H814" s="14"/>
      <c r="I814" s="14">
        <v>201406</v>
      </c>
      <c r="J814" s="15">
        <v>-33.770000000000003</v>
      </c>
      <c r="K814" s="21">
        <f t="shared" si="77"/>
        <v>42675</v>
      </c>
      <c r="L814" s="16">
        <f t="shared" si="72"/>
        <v>6</v>
      </c>
      <c r="M814" s="17">
        <v>1.4833299999999999E-3</v>
      </c>
      <c r="N814" s="18">
        <f t="shared" si="73"/>
        <v>-0.30055232460000003</v>
      </c>
      <c r="O814" s="15"/>
      <c r="P814" s="20">
        <f t="shared" si="74"/>
        <v>0</v>
      </c>
      <c r="Q814" s="15"/>
      <c r="R814" s="20">
        <f t="shared" si="75"/>
        <v>0</v>
      </c>
      <c r="S814" s="130"/>
      <c r="T814" s="20">
        <f t="shared" si="76"/>
        <v>-0.47803545625000005</v>
      </c>
    </row>
    <row r="815" spans="1:20">
      <c r="A815" s="13" t="s">
        <v>127</v>
      </c>
      <c r="B815" s="14" t="s">
        <v>681</v>
      </c>
      <c r="C815" s="14" t="s">
        <v>682</v>
      </c>
      <c r="D815" s="13" t="s">
        <v>683</v>
      </c>
      <c r="E815" s="14" t="s">
        <v>131</v>
      </c>
      <c r="F815" s="13" t="s">
        <v>132</v>
      </c>
      <c r="G815" s="14" t="s">
        <v>20</v>
      </c>
      <c r="H815" s="14"/>
      <c r="I815" s="14">
        <v>201406</v>
      </c>
      <c r="J815" s="15">
        <v>-719.05</v>
      </c>
      <c r="K815" s="21">
        <f t="shared" si="77"/>
        <v>42675</v>
      </c>
      <c r="L815" s="16">
        <f t="shared" si="72"/>
        <v>6</v>
      </c>
      <c r="M815" s="17">
        <v>2.3833299999999999E-3</v>
      </c>
      <c r="N815" s="18">
        <f t="shared" si="73"/>
        <v>-10.282400618999999</v>
      </c>
      <c r="O815" s="15"/>
      <c r="P815" s="20">
        <f t="shared" si="74"/>
        <v>0</v>
      </c>
      <c r="Q815" s="15"/>
      <c r="R815" s="20">
        <f t="shared" si="75"/>
        <v>0</v>
      </c>
      <c r="S815" s="130"/>
      <c r="T815" s="20">
        <f t="shared" si="76"/>
        <v>-10.178602156249999</v>
      </c>
    </row>
    <row r="816" spans="1:20">
      <c r="A816" s="13" t="s">
        <v>21</v>
      </c>
      <c r="B816" s="14" t="s">
        <v>507</v>
      </c>
      <c r="C816" s="14" t="s">
        <v>508</v>
      </c>
      <c r="D816" s="13" t="s">
        <v>509</v>
      </c>
      <c r="E816" s="14" t="s">
        <v>260</v>
      </c>
      <c r="F816" s="13" t="s">
        <v>26</v>
      </c>
      <c r="G816" s="14" t="s">
        <v>20</v>
      </c>
      <c r="H816" s="14"/>
      <c r="I816" s="14">
        <v>201406</v>
      </c>
      <c r="J816" s="15">
        <v>-1144.49</v>
      </c>
      <c r="K816" s="21">
        <f t="shared" si="77"/>
        <v>42675</v>
      </c>
      <c r="L816" s="16">
        <f t="shared" si="72"/>
        <v>6</v>
      </c>
      <c r="M816" s="17">
        <v>1.4833299999999999E-3</v>
      </c>
      <c r="N816" s="18">
        <f t="shared" si="73"/>
        <v>-10.1859381102</v>
      </c>
      <c r="O816" s="15"/>
      <c r="P816" s="20">
        <f t="shared" si="74"/>
        <v>0</v>
      </c>
      <c r="Q816" s="15"/>
      <c r="R816" s="20">
        <f t="shared" si="75"/>
        <v>0</v>
      </c>
      <c r="S816" s="130"/>
      <c r="T816" s="20">
        <f t="shared" si="76"/>
        <v>-16.20097125625</v>
      </c>
    </row>
    <row r="817" spans="1:22">
      <c r="A817" s="13" t="s">
        <v>21</v>
      </c>
      <c r="B817" s="14" t="s">
        <v>332</v>
      </c>
      <c r="C817" s="14" t="s">
        <v>333</v>
      </c>
      <c r="D817" s="13" t="s">
        <v>334</v>
      </c>
      <c r="E817" s="14" t="s">
        <v>209</v>
      </c>
      <c r="F817" s="13" t="s">
        <v>88</v>
      </c>
      <c r="G817" s="14" t="s">
        <v>20</v>
      </c>
      <c r="H817" s="14"/>
      <c r="I817" s="14">
        <v>201406</v>
      </c>
      <c r="J817" s="15">
        <v>-709.47</v>
      </c>
      <c r="K817" s="21">
        <f t="shared" si="77"/>
        <v>42675</v>
      </c>
      <c r="L817" s="16">
        <f t="shared" si="72"/>
        <v>6</v>
      </c>
      <c r="M817" s="17">
        <v>1.4833299999999999E-3</v>
      </c>
      <c r="N817" s="18">
        <f t="shared" si="73"/>
        <v>-6.3142688106000007</v>
      </c>
      <c r="O817" s="15"/>
      <c r="P817" s="20">
        <f t="shared" si="74"/>
        <v>0</v>
      </c>
      <c r="Q817" s="15"/>
      <c r="R817" s="20">
        <f t="shared" si="75"/>
        <v>0</v>
      </c>
      <c r="S817" s="130"/>
      <c r="T817" s="20">
        <f t="shared" si="76"/>
        <v>-10.042991268749999</v>
      </c>
    </row>
    <row r="818" spans="1:22">
      <c r="A818" s="13" t="s">
        <v>127</v>
      </c>
      <c r="B818" s="14" t="s">
        <v>684</v>
      </c>
      <c r="C818" s="14" t="s">
        <v>685</v>
      </c>
      <c r="D818" s="13" t="s">
        <v>686</v>
      </c>
      <c r="E818" s="14" t="s">
        <v>131</v>
      </c>
      <c r="F818" s="13" t="s">
        <v>132</v>
      </c>
      <c r="G818" s="14" t="s">
        <v>20</v>
      </c>
      <c r="H818" s="14"/>
      <c r="I818" s="14">
        <v>201406</v>
      </c>
      <c r="J818" s="15">
        <v>-1228.05</v>
      </c>
      <c r="K818" s="21">
        <f t="shared" si="77"/>
        <v>42675</v>
      </c>
      <c r="L818" s="16">
        <f t="shared" si="72"/>
        <v>6</v>
      </c>
      <c r="M818" s="17">
        <v>2.3833299999999999E-3</v>
      </c>
      <c r="N818" s="18">
        <f t="shared" si="73"/>
        <v>-17.561090439000001</v>
      </c>
      <c r="O818" s="15"/>
      <c r="P818" s="20">
        <f t="shared" si="74"/>
        <v>0</v>
      </c>
      <c r="Q818" s="15"/>
      <c r="R818" s="20">
        <f t="shared" si="75"/>
        <v>0</v>
      </c>
      <c r="S818" s="130"/>
      <c r="T818" s="20">
        <f t="shared" si="76"/>
        <v>-17.383815281249998</v>
      </c>
    </row>
    <row r="819" spans="1:22">
      <c r="A819" s="13" t="s">
        <v>127</v>
      </c>
      <c r="B819" s="14" t="s">
        <v>422</v>
      </c>
      <c r="C819" s="14" t="s">
        <v>423</v>
      </c>
      <c r="D819" s="13" t="s">
        <v>424</v>
      </c>
      <c r="E819" s="14" t="s">
        <v>131</v>
      </c>
      <c r="F819" s="13" t="s">
        <v>132</v>
      </c>
      <c r="G819" s="14" t="s">
        <v>20</v>
      </c>
      <c r="H819" s="14"/>
      <c r="I819" s="14">
        <v>201406</v>
      </c>
      <c r="J819" s="15">
        <v>-209.91</v>
      </c>
      <c r="K819" s="21">
        <f t="shared" si="77"/>
        <v>42675</v>
      </c>
      <c r="L819" s="16">
        <f t="shared" si="72"/>
        <v>6</v>
      </c>
      <c r="M819" s="17">
        <v>2.3833299999999999E-3</v>
      </c>
      <c r="N819" s="18">
        <f t="shared" si="73"/>
        <v>-3.0017088018</v>
      </c>
      <c r="O819" s="15"/>
      <c r="P819" s="20">
        <f t="shared" si="74"/>
        <v>0</v>
      </c>
      <c r="Q819" s="15"/>
      <c r="R819" s="20">
        <f t="shared" si="75"/>
        <v>0</v>
      </c>
      <c r="S819" s="130"/>
      <c r="T819" s="20">
        <f t="shared" si="76"/>
        <v>-2.9714072437499994</v>
      </c>
    </row>
    <row r="820" spans="1:22">
      <c r="A820" s="13" t="s">
        <v>21</v>
      </c>
      <c r="B820" s="14" t="s">
        <v>335</v>
      </c>
      <c r="C820" s="14" t="s">
        <v>336</v>
      </c>
      <c r="D820" s="13" t="s">
        <v>337</v>
      </c>
      <c r="E820" s="14" t="s">
        <v>75</v>
      </c>
      <c r="F820" s="13" t="s">
        <v>26</v>
      </c>
      <c r="G820" s="14" t="s">
        <v>20</v>
      </c>
      <c r="H820" s="14"/>
      <c r="I820" s="14">
        <v>201406</v>
      </c>
      <c r="J820" s="15">
        <v>-26.56</v>
      </c>
      <c r="K820" s="21">
        <f t="shared" si="77"/>
        <v>42675</v>
      </c>
      <c r="L820" s="16">
        <f t="shared" si="72"/>
        <v>6</v>
      </c>
      <c r="M820" s="17">
        <v>1.4833299999999999E-3</v>
      </c>
      <c r="N820" s="18">
        <f t="shared" si="73"/>
        <v>-0.2363834688</v>
      </c>
      <c r="O820" s="15"/>
      <c r="P820" s="20">
        <f t="shared" si="74"/>
        <v>0</v>
      </c>
      <c r="Q820" s="15"/>
      <c r="R820" s="20">
        <f t="shared" si="75"/>
        <v>0</v>
      </c>
      <c r="S820" s="130"/>
      <c r="T820" s="20">
        <f t="shared" si="76"/>
        <v>-0.37597339999999996</v>
      </c>
    </row>
    <row r="821" spans="1:22">
      <c r="A821" s="13" t="s">
        <v>21</v>
      </c>
      <c r="B821" s="14" t="s">
        <v>338</v>
      </c>
      <c r="C821" s="14" t="s">
        <v>339</v>
      </c>
      <c r="D821" s="13" t="s">
        <v>340</v>
      </c>
      <c r="E821" s="14" t="s">
        <v>164</v>
      </c>
      <c r="F821" s="13" t="s">
        <v>165</v>
      </c>
      <c r="G821" s="14" t="s">
        <v>20</v>
      </c>
      <c r="H821" s="14"/>
      <c r="I821" s="14">
        <v>201406</v>
      </c>
      <c r="J821" s="15">
        <v>-1704.64</v>
      </c>
      <c r="K821" s="21">
        <f t="shared" si="77"/>
        <v>42675</v>
      </c>
      <c r="L821" s="16">
        <f t="shared" si="72"/>
        <v>6</v>
      </c>
      <c r="M821" s="17">
        <v>1.4833299999999999E-3</v>
      </c>
      <c r="N821" s="18">
        <f t="shared" si="73"/>
        <v>-15.171261907200002</v>
      </c>
      <c r="O821" s="15"/>
      <c r="P821" s="20">
        <f t="shared" si="74"/>
        <v>0</v>
      </c>
      <c r="Q821" s="15"/>
      <c r="R821" s="20">
        <f t="shared" si="75"/>
        <v>0</v>
      </c>
      <c r="S821" s="130"/>
      <c r="T821" s="20">
        <f t="shared" si="76"/>
        <v>-24.130244599999997</v>
      </c>
    </row>
    <row r="822" spans="1:22">
      <c r="A822" s="13" t="s">
        <v>21</v>
      </c>
      <c r="B822" s="14" t="s">
        <v>687</v>
      </c>
      <c r="C822" s="14" t="s">
        <v>688</v>
      </c>
      <c r="D822" s="13" t="s">
        <v>689</v>
      </c>
      <c r="E822" s="14" t="s">
        <v>164</v>
      </c>
      <c r="F822" s="13" t="s">
        <v>165</v>
      </c>
      <c r="G822" s="14" t="s">
        <v>20</v>
      </c>
      <c r="H822" s="14"/>
      <c r="I822" s="14">
        <v>201406</v>
      </c>
      <c r="J822" s="15">
        <v>-381.69</v>
      </c>
      <c r="K822" s="21">
        <f t="shared" si="77"/>
        <v>42675</v>
      </c>
      <c r="L822" s="16">
        <f t="shared" si="72"/>
        <v>6</v>
      </c>
      <c r="M822" s="17">
        <v>1.4833299999999999E-3</v>
      </c>
      <c r="N822" s="18">
        <f t="shared" si="73"/>
        <v>-3.3970333662000001</v>
      </c>
      <c r="O822" s="15"/>
      <c r="P822" s="20">
        <f t="shared" si="74"/>
        <v>0</v>
      </c>
      <c r="Q822" s="15"/>
      <c r="R822" s="20">
        <f t="shared" si="75"/>
        <v>0</v>
      </c>
      <c r="S822" s="130"/>
      <c r="T822" s="20">
        <f t="shared" si="76"/>
        <v>-5.4030605062500001</v>
      </c>
    </row>
    <row r="823" spans="1:22">
      <c r="A823" s="13" t="s">
        <v>21</v>
      </c>
      <c r="B823" s="14" t="s">
        <v>341</v>
      </c>
      <c r="C823" s="14" t="s">
        <v>342</v>
      </c>
      <c r="D823" s="13" t="s">
        <v>343</v>
      </c>
      <c r="E823" s="14" t="s">
        <v>137</v>
      </c>
      <c r="F823" s="13" t="s">
        <v>138</v>
      </c>
      <c r="G823" s="14" t="s">
        <v>20</v>
      </c>
      <c r="H823" s="14"/>
      <c r="I823" s="14">
        <v>201406</v>
      </c>
      <c r="J823" s="15">
        <v>-16351.75</v>
      </c>
      <c r="K823" s="21">
        <f t="shared" si="77"/>
        <v>42675</v>
      </c>
      <c r="L823" s="16">
        <f t="shared" si="72"/>
        <v>6</v>
      </c>
      <c r="M823" s="17">
        <v>1.4833299999999999E-3</v>
      </c>
      <c r="N823" s="18">
        <f t="shared" si="73"/>
        <v>-145.530247965</v>
      </c>
      <c r="O823" s="15"/>
      <c r="P823" s="20">
        <f t="shared" si="74"/>
        <v>0</v>
      </c>
      <c r="Q823" s="15"/>
      <c r="R823" s="20">
        <f t="shared" si="75"/>
        <v>0</v>
      </c>
      <c r="S823" s="130"/>
      <c r="T823" s="20">
        <f t="shared" si="76"/>
        <v>-231.46924109374999</v>
      </c>
    </row>
    <row r="824" spans="1:22">
      <c r="A824" s="13" t="s">
        <v>21</v>
      </c>
      <c r="B824" s="14" t="s">
        <v>344</v>
      </c>
      <c r="C824" s="14" t="s">
        <v>345</v>
      </c>
      <c r="D824" s="13" t="s">
        <v>346</v>
      </c>
      <c r="E824" s="14" t="s">
        <v>137</v>
      </c>
      <c r="F824" s="13" t="s">
        <v>138</v>
      </c>
      <c r="G824" s="14" t="s">
        <v>20</v>
      </c>
      <c r="H824" s="14"/>
      <c r="I824" s="14">
        <v>201406</v>
      </c>
      <c r="J824" s="15">
        <v>-761.22</v>
      </c>
      <c r="K824" s="21">
        <f t="shared" si="77"/>
        <v>42675</v>
      </c>
      <c r="L824" s="16">
        <f t="shared" si="72"/>
        <v>6</v>
      </c>
      <c r="M824" s="17">
        <v>1.4833299999999999E-3</v>
      </c>
      <c r="N824" s="18">
        <f t="shared" si="73"/>
        <v>-6.7748427756000007</v>
      </c>
      <c r="O824" s="15"/>
      <c r="P824" s="20">
        <f t="shared" si="74"/>
        <v>0</v>
      </c>
      <c r="Q824" s="15"/>
      <c r="R824" s="20">
        <f t="shared" si="75"/>
        <v>0</v>
      </c>
      <c r="S824" s="130"/>
      <c r="T824" s="20">
        <f t="shared" si="76"/>
        <v>-10.7755448625</v>
      </c>
      <c r="V824" s="3">
        <f>0.0178/12</f>
        <v>1.4833333333333332E-3</v>
      </c>
    </row>
    <row r="825" spans="1:22">
      <c r="A825" s="13" t="s">
        <v>21</v>
      </c>
      <c r="B825" s="14" t="s">
        <v>510</v>
      </c>
      <c r="C825" s="14" t="s">
        <v>511</v>
      </c>
      <c r="D825" s="13" t="s">
        <v>512</v>
      </c>
      <c r="E825" s="14" t="s">
        <v>497</v>
      </c>
      <c r="F825" s="13" t="s">
        <v>26</v>
      </c>
      <c r="G825" s="14" t="s">
        <v>20</v>
      </c>
      <c r="H825" s="14"/>
      <c r="I825" s="14">
        <v>201406</v>
      </c>
      <c r="J825" s="15">
        <v>-188.21</v>
      </c>
      <c r="K825" s="21">
        <f t="shared" si="77"/>
        <v>42675</v>
      </c>
      <c r="L825" s="16">
        <f t="shared" si="72"/>
        <v>6</v>
      </c>
      <c r="M825" s="17">
        <v>1.4833299999999999E-3</v>
      </c>
      <c r="N825" s="18">
        <f t="shared" si="73"/>
        <v>-1.6750652358</v>
      </c>
      <c r="O825" s="15"/>
      <c r="P825" s="20">
        <f t="shared" si="74"/>
        <v>0</v>
      </c>
      <c r="Q825" s="15"/>
      <c r="R825" s="20">
        <f t="shared" si="75"/>
        <v>0</v>
      </c>
      <c r="S825" s="130"/>
      <c r="T825" s="20">
        <f t="shared" si="76"/>
        <v>-2.6642301812499998</v>
      </c>
      <c r="V825" s="3">
        <f>0.0286/12</f>
        <v>2.3833333333333332E-3</v>
      </c>
    </row>
    <row r="826" spans="1:22">
      <c r="A826" s="13" t="s">
        <v>21</v>
      </c>
      <c r="B826" s="14" t="s">
        <v>347</v>
      </c>
      <c r="C826" s="14" t="s">
        <v>348</v>
      </c>
      <c r="D826" s="13" t="s">
        <v>349</v>
      </c>
      <c r="E826" s="14" t="s">
        <v>102</v>
      </c>
      <c r="F826" s="13" t="s">
        <v>19</v>
      </c>
      <c r="G826" s="14" t="s">
        <v>20</v>
      </c>
      <c r="H826" s="14"/>
      <c r="I826" s="14">
        <v>201406</v>
      </c>
      <c r="J826" s="15">
        <v>-422.45</v>
      </c>
      <c r="K826" s="21">
        <f t="shared" si="77"/>
        <v>42675</v>
      </c>
      <c r="L826" s="16">
        <f t="shared" si="72"/>
        <v>6</v>
      </c>
      <c r="M826" s="17">
        <v>1.4833299999999999E-3</v>
      </c>
      <c r="N826" s="18">
        <f t="shared" si="73"/>
        <v>-3.759796551</v>
      </c>
      <c r="O826" s="15"/>
      <c r="P826" s="20">
        <f t="shared" si="74"/>
        <v>0</v>
      </c>
      <c r="Q826" s="15"/>
      <c r="R826" s="20">
        <f t="shared" si="75"/>
        <v>0</v>
      </c>
      <c r="S826" s="130"/>
      <c r="T826" s="20">
        <f t="shared" si="76"/>
        <v>-5.98004378125</v>
      </c>
      <c r="V826" s="3">
        <f>0.0263/12</f>
        <v>2.1916666666666668E-3</v>
      </c>
    </row>
    <row r="827" spans="1:22">
      <c r="A827" s="13" t="s">
        <v>21</v>
      </c>
      <c r="B827" s="14" t="s">
        <v>350</v>
      </c>
      <c r="C827" s="14" t="s">
        <v>351</v>
      </c>
      <c r="D827" s="13" t="s">
        <v>352</v>
      </c>
      <c r="E827" s="14" t="s">
        <v>75</v>
      </c>
      <c r="F827" s="13" t="s">
        <v>26</v>
      </c>
      <c r="G827" s="14" t="s">
        <v>20</v>
      </c>
      <c r="H827" s="14"/>
      <c r="I827" s="14">
        <v>201406</v>
      </c>
      <c r="J827" s="15">
        <v>2089.86</v>
      </c>
      <c r="K827" s="21">
        <f t="shared" si="77"/>
        <v>42675</v>
      </c>
      <c r="L827" s="16">
        <f t="shared" si="72"/>
        <v>6</v>
      </c>
      <c r="M827" s="17">
        <v>1.4833299999999999E-3</v>
      </c>
      <c r="N827" s="18">
        <f t="shared" si="73"/>
        <v>18.599712202800003</v>
      </c>
      <c r="O827" s="15"/>
      <c r="P827" s="20">
        <f t="shared" si="74"/>
        <v>0</v>
      </c>
      <c r="Q827" s="15"/>
      <c r="R827" s="20">
        <f t="shared" si="75"/>
        <v>0</v>
      </c>
      <c r="S827" s="130"/>
      <c r="T827" s="20">
        <f t="shared" si="76"/>
        <v>29.583274462499997</v>
      </c>
      <c r="V827" s="3">
        <f>0.0268/12</f>
        <v>2.2333333333333333E-3</v>
      </c>
    </row>
    <row r="828" spans="1:22">
      <c r="A828" s="13" t="s">
        <v>21</v>
      </c>
      <c r="B828" s="14" t="s">
        <v>353</v>
      </c>
      <c r="C828" s="14" t="s">
        <v>354</v>
      </c>
      <c r="D828" s="13" t="s">
        <v>355</v>
      </c>
      <c r="E828" s="14" t="s">
        <v>356</v>
      </c>
      <c r="F828" s="13" t="s">
        <v>19</v>
      </c>
      <c r="G828" s="14" t="s">
        <v>20</v>
      </c>
      <c r="H828" s="14"/>
      <c r="I828" s="14">
        <v>201406</v>
      </c>
      <c r="J828" s="15">
        <v>-307</v>
      </c>
      <c r="K828" s="21">
        <f t="shared" si="77"/>
        <v>42675</v>
      </c>
      <c r="L828" s="16">
        <f t="shared" si="72"/>
        <v>6</v>
      </c>
      <c r="M828" s="17">
        <v>1.4833299999999999E-3</v>
      </c>
      <c r="N828" s="18">
        <f t="shared" si="73"/>
        <v>-2.73229386</v>
      </c>
      <c r="O828" s="15"/>
      <c r="P828" s="20">
        <f t="shared" si="74"/>
        <v>0</v>
      </c>
      <c r="Q828" s="15"/>
      <c r="R828" s="20">
        <f t="shared" si="75"/>
        <v>0</v>
      </c>
      <c r="S828" s="130"/>
      <c r="T828" s="20">
        <f t="shared" si="76"/>
        <v>-4.3457768750000003</v>
      </c>
      <c r="V828" s="3">
        <f>0.0286/12</f>
        <v>2.3833333333333332E-3</v>
      </c>
    </row>
    <row r="829" spans="1:22">
      <c r="A829" s="13" t="s">
        <v>21</v>
      </c>
      <c r="B829" s="14" t="s">
        <v>357</v>
      </c>
      <c r="C829" s="14" t="s">
        <v>358</v>
      </c>
      <c r="D829" s="13" t="s">
        <v>359</v>
      </c>
      <c r="E829" s="14" t="s">
        <v>360</v>
      </c>
      <c r="F829" s="13" t="s">
        <v>19</v>
      </c>
      <c r="G829" s="14" t="s">
        <v>20</v>
      </c>
      <c r="H829" s="14"/>
      <c r="I829" s="14">
        <v>201406</v>
      </c>
      <c r="J829" s="15">
        <v>-463.28</v>
      </c>
      <c r="K829" s="21">
        <f t="shared" si="77"/>
        <v>42675</v>
      </c>
      <c r="L829" s="16">
        <f t="shared" si="72"/>
        <v>6</v>
      </c>
      <c r="M829" s="17">
        <v>1.4833299999999999E-3</v>
      </c>
      <c r="N829" s="18">
        <f t="shared" si="73"/>
        <v>-4.1231827343999994</v>
      </c>
      <c r="O829" s="15"/>
      <c r="P829" s="20">
        <f t="shared" si="74"/>
        <v>0</v>
      </c>
      <c r="Q829" s="15"/>
      <c r="R829" s="20">
        <f t="shared" si="75"/>
        <v>0</v>
      </c>
      <c r="S829" s="130"/>
      <c r="T829" s="20">
        <f t="shared" si="76"/>
        <v>-6.55801795</v>
      </c>
      <c r="V829" s="3">
        <f>0.0244/12</f>
        <v>2.0333333333333336E-3</v>
      </c>
    </row>
    <row r="830" spans="1:22">
      <c r="A830" s="13" t="s">
        <v>21</v>
      </c>
      <c r="B830" s="14" t="s">
        <v>361</v>
      </c>
      <c r="C830" s="14" t="s">
        <v>362</v>
      </c>
      <c r="D830" s="13" t="s">
        <v>363</v>
      </c>
      <c r="E830" s="14" t="s">
        <v>164</v>
      </c>
      <c r="F830" s="13" t="s">
        <v>165</v>
      </c>
      <c r="G830" s="14" t="s">
        <v>20</v>
      </c>
      <c r="H830" s="14"/>
      <c r="I830" s="14">
        <v>201406</v>
      </c>
      <c r="J830" s="15">
        <v>-1204.6600000000001</v>
      </c>
      <c r="K830" s="21">
        <f t="shared" si="77"/>
        <v>42675</v>
      </c>
      <c r="L830" s="16">
        <f t="shared" si="72"/>
        <v>6</v>
      </c>
      <c r="M830" s="17">
        <v>1.4833299999999999E-3</v>
      </c>
      <c r="N830" s="18">
        <f t="shared" si="73"/>
        <v>-10.7214499068</v>
      </c>
      <c r="O830" s="15"/>
      <c r="P830" s="20">
        <f t="shared" si="74"/>
        <v>0</v>
      </c>
      <c r="Q830" s="15"/>
      <c r="R830" s="20">
        <f t="shared" si="75"/>
        <v>0</v>
      </c>
      <c r="S830" s="130"/>
      <c r="T830" s="20">
        <f t="shared" si="76"/>
        <v>-17.052715212500001</v>
      </c>
      <c r="V830" s="3">
        <f>0.0333/12</f>
        <v>2.7750000000000001E-3</v>
      </c>
    </row>
    <row r="831" spans="1:22">
      <c r="A831" s="13" t="s">
        <v>21</v>
      </c>
      <c r="B831" s="14" t="s">
        <v>690</v>
      </c>
      <c r="C831" s="14" t="s">
        <v>691</v>
      </c>
      <c r="D831" s="13" t="s">
        <v>692</v>
      </c>
      <c r="E831" s="14" t="s">
        <v>63</v>
      </c>
      <c r="F831" s="13" t="s">
        <v>19</v>
      </c>
      <c r="G831" s="14" t="s">
        <v>20</v>
      </c>
      <c r="H831" s="14"/>
      <c r="I831" s="14">
        <v>201406</v>
      </c>
      <c r="J831" s="15">
        <v>-982.84</v>
      </c>
      <c r="K831" s="21">
        <f t="shared" si="77"/>
        <v>42675</v>
      </c>
      <c r="L831" s="16">
        <f t="shared" si="72"/>
        <v>6</v>
      </c>
      <c r="M831" s="17">
        <v>1.4833299999999999E-3</v>
      </c>
      <c r="N831" s="18">
        <f t="shared" si="73"/>
        <v>-8.7472563432000001</v>
      </c>
      <c r="O831" s="15"/>
      <c r="P831" s="20">
        <f t="shared" si="74"/>
        <v>0</v>
      </c>
      <c r="Q831" s="15"/>
      <c r="R831" s="20">
        <f t="shared" si="75"/>
        <v>0</v>
      </c>
      <c r="S831" s="130"/>
      <c r="T831" s="20">
        <f t="shared" si="76"/>
        <v>-13.912714475</v>
      </c>
    </row>
    <row r="832" spans="1:22">
      <c r="A832" s="13" t="s">
        <v>21</v>
      </c>
      <c r="B832" s="14" t="s">
        <v>513</v>
      </c>
      <c r="C832" s="14" t="s">
        <v>514</v>
      </c>
      <c r="D832" s="13" t="s">
        <v>515</v>
      </c>
      <c r="E832" s="14" t="s">
        <v>209</v>
      </c>
      <c r="F832" s="13" t="s">
        <v>88</v>
      </c>
      <c r="G832" s="14" t="s">
        <v>20</v>
      </c>
      <c r="H832" s="14"/>
      <c r="I832" s="14">
        <v>201406</v>
      </c>
      <c r="J832" s="15">
        <v>-759.69</v>
      </c>
      <c r="K832" s="21">
        <f t="shared" si="77"/>
        <v>42675</v>
      </c>
      <c r="L832" s="16">
        <f t="shared" si="72"/>
        <v>6</v>
      </c>
      <c r="M832" s="17">
        <v>1.4833299999999999E-3</v>
      </c>
      <c r="N832" s="18">
        <f t="shared" si="73"/>
        <v>-6.7612258062000006</v>
      </c>
      <c r="O832" s="15"/>
      <c r="P832" s="20">
        <f t="shared" si="74"/>
        <v>0</v>
      </c>
      <c r="Q832" s="15"/>
      <c r="R832" s="20">
        <f t="shared" si="75"/>
        <v>0</v>
      </c>
      <c r="S832" s="130"/>
      <c r="T832" s="20">
        <f t="shared" si="76"/>
        <v>-10.753886756250001</v>
      </c>
    </row>
    <row r="833" spans="1:20">
      <c r="A833" s="13" t="s">
        <v>626</v>
      </c>
      <c r="B833" s="14" t="s">
        <v>714</v>
      </c>
      <c r="C833" s="14" t="s">
        <v>715</v>
      </c>
      <c r="D833" s="13" t="s">
        <v>716</v>
      </c>
      <c r="E833" s="14" t="s">
        <v>75</v>
      </c>
      <c r="F833" s="13" t="s">
        <v>26</v>
      </c>
      <c r="G833" s="14" t="s">
        <v>20</v>
      </c>
      <c r="H833" s="14"/>
      <c r="I833" s="14">
        <v>201406</v>
      </c>
      <c r="J833" s="15">
        <v>-880.18</v>
      </c>
      <c r="K833" s="21">
        <f t="shared" si="77"/>
        <v>42675</v>
      </c>
      <c r="L833" s="16">
        <f t="shared" si="72"/>
        <v>6</v>
      </c>
      <c r="M833" s="17">
        <v>1.4833299999999999E-3</v>
      </c>
      <c r="N833" s="18">
        <f t="shared" si="73"/>
        <v>-7.8335843963999992</v>
      </c>
      <c r="O833" s="15"/>
      <c r="P833" s="20">
        <f t="shared" si="74"/>
        <v>0</v>
      </c>
      <c r="Q833" s="15"/>
      <c r="R833" s="20">
        <f t="shared" si="75"/>
        <v>0</v>
      </c>
      <c r="S833" s="130"/>
      <c r="T833" s="20">
        <f t="shared" si="76"/>
        <v>-12.459498012499997</v>
      </c>
    </row>
    <row r="834" spans="1:20">
      <c r="A834" s="13" t="s">
        <v>626</v>
      </c>
      <c r="B834" s="14" t="s">
        <v>776</v>
      </c>
      <c r="C834" s="14" t="s">
        <v>777</v>
      </c>
      <c r="D834" s="13" t="s">
        <v>778</v>
      </c>
      <c r="E834" s="14" t="s">
        <v>75</v>
      </c>
      <c r="F834" s="13" t="s">
        <v>26</v>
      </c>
      <c r="G834" s="14" t="s">
        <v>20</v>
      </c>
      <c r="H834" s="14"/>
      <c r="I834" s="14">
        <v>201406</v>
      </c>
      <c r="J834" s="15">
        <v>4058.09</v>
      </c>
      <c r="K834" s="21">
        <f t="shared" si="77"/>
        <v>42675</v>
      </c>
      <c r="L834" s="16">
        <f t="shared" si="72"/>
        <v>6</v>
      </c>
      <c r="M834" s="17">
        <v>1.4833299999999999E-3</v>
      </c>
      <c r="N834" s="18">
        <f t="shared" si="73"/>
        <v>36.116919838200005</v>
      </c>
      <c r="O834" s="15"/>
      <c r="P834" s="20">
        <f t="shared" si="74"/>
        <v>0</v>
      </c>
      <c r="Q834" s="15"/>
      <c r="R834" s="20">
        <f t="shared" si="75"/>
        <v>0</v>
      </c>
      <c r="S834" s="130"/>
      <c r="T834" s="20">
        <f t="shared" si="76"/>
        <v>57.444800256249998</v>
      </c>
    </row>
    <row r="835" spans="1:20">
      <c r="A835" s="23" t="s">
        <v>29</v>
      </c>
      <c r="B835" s="14" t="s">
        <v>717</v>
      </c>
      <c r="C835" s="14" t="s">
        <v>718</v>
      </c>
      <c r="D835" s="13" t="s">
        <v>719</v>
      </c>
      <c r="E835" s="14" t="s">
        <v>87</v>
      </c>
      <c r="F835" s="13" t="s">
        <v>88</v>
      </c>
      <c r="G835" s="14" t="s">
        <v>20</v>
      </c>
      <c r="H835" s="14"/>
      <c r="I835" s="14">
        <v>201406</v>
      </c>
      <c r="J835" s="15">
        <v>-452.55</v>
      </c>
      <c r="K835" s="21">
        <f t="shared" si="77"/>
        <v>42675</v>
      </c>
      <c r="L835" s="16">
        <f t="shared" si="72"/>
        <v>6</v>
      </c>
      <c r="M835" s="17">
        <v>2.23333E-3</v>
      </c>
      <c r="N835" s="18">
        <f t="shared" si="73"/>
        <v>-6.0641609489999997</v>
      </c>
      <c r="O835" s="15"/>
      <c r="P835" s="20">
        <f t="shared" si="74"/>
        <v>0</v>
      </c>
      <c r="Q835" s="15"/>
      <c r="R835" s="20">
        <f t="shared" si="75"/>
        <v>0</v>
      </c>
      <c r="S835" s="130"/>
      <c r="T835" s="20">
        <f t="shared" si="76"/>
        <v>-6.4061280937499996</v>
      </c>
    </row>
    <row r="836" spans="1:20">
      <c r="A836" s="13" t="s">
        <v>626</v>
      </c>
      <c r="B836" s="14" t="s">
        <v>779</v>
      </c>
      <c r="C836" s="14" t="s">
        <v>780</v>
      </c>
      <c r="D836" s="13" t="s">
        <v>781</v>
      </c>
      <c r="E836" s="14" t="s">
        <v>156</v>
      </c>
      <c r="F836" s="13" t="s">
        <v>26</v>
      </c>
      <c r="G836" s="14" t="s">
        <v>20</v>
      </c>
      <c r="H836" s="14"/>
      <c r="I836" s="14">
        <v>201406</v>
      </c>
      <c r="J836" s="15">
        <v>37546.61</v>
      </c>
      <c r="K836" s="21">
        <f t="shared" si="77"/>
        <v>42675</v>
      </c>
      <c r="L836" s="16">
        <f t="shared" si="72"/>
        <v>6</v>
      </c>
      <c r="M836" s="17">
        <v>1.4833299999999999E-3</v>
      </c>
      <c r="N836" s="18">
        <f t="shared" si="73"/>
        <v>334.16407806780001</v>
      </c>
      <c r="O836" s="15"/>
      <c r="P836" s="20">
        <f t="shared" si="74"/>
        <v>0</v>
      </c>
      <c r="Q836" s="15"/>
      <c r="R836" s="20">
        <f t="shared" si="75"/>
        <v>0</v>
      </c>
      <c r="S836" s="130"/>
      <c r="T836" s="20">
        <f t="shared" si="76"/>
        <v>531.49573118124999</v>
      </c>
    </row>
    <row r="837" spans="1:20">
      <c r="A837" s="23" t="s">
        <v>29</v>
      </c>
      <c r="B837" s="14" t="s">
        <v>720</v>
      </c>
      <c r="C837" s="14" t="s">
        <v>721</v>
      </c>
      <c r="D837" s="13" t="s">
        <v>722</v>
      </c>
      <c r="E837" s="14" t="s">
        <v>723</v>
      </c>
      <c r="F837" s="13" t="s">
        <v>285</v>
      </c>
      <c r="G837" s="14" t="s">
        <v>20</v>
      </c>
      <c r="H837" s="14"/>
      <c r="I837" s="14">
        <v>201406</v>
      </c>
      <c r="J837" s="15">
        <v>-326.08</v>
      </c>
      <c r="K837" s="21">
        <f t="shared" si="77"/>
        <v>42675</v>
      </c>
      <c r="L837" s="16">
        <f t="shared" si="72"/>
        <v>6</v>
      </c>
      <c r="M837" s="17">
        <v>2.23333E-3</v>
      </c>
      <c r="N837" s="18">
        <f t="shared" si="73"/>
        <v>-4.3694654783999995</v>
      </c>
      <c r="O837" s="15"/>
      <c r="P837" s="20">
        <f t="shared" si="74"/>
        <v>0</v>
      </c>
      <c r="Q837" s="15"/>
      <c r="R837" s="20">
        <f t="shared" si="75"/>
        <v>0</v>
      </c>
      <c r="S837" s="130"/>
      <c r="T837" s="20">
        <f t="shared" si="76"/>
        <v>-4.6158661999999993</v>
      </c>
    </row>
    <row r="838" spans="1:20">
      <c r="A838" s="13" t="s">
        <v>21</v>
      </c>
      <c r="B838" s="14" t="s">
        <v>782</v>
      </c>
      <c r="C838" s="14" t="s">
        <v>783</v>
      </c>
      <c r="D838" s="13" t="s">
        <v>784</v>
      </c>
      <c r="E838" s="14" t="s">
        <v>18</v>
      </c>
      <c r="F838" s="13" t="s">
        <v>19</v>
      </c>
      <c r="G838" s="14" t="s">
        <v>20</v>
      </c>
      <c r="H838" s="14"/>
      <c r="I838" s="14">
        <v>201406</v>
      </c>
      <c r="J838" s="15">
        <v>15744.61</v>
      </c>
      <c r="K838" s="21">
        <f t="shared" si="77"/>
        <v>42675</v>
      </c>
      <c r="L838" s="16">
        <f t="shared" ref="L838:L843" si="78">((YEAR($L$1)-YEAR(K838))*12+MONTH($L$1)-MONTH(K838))</f>
        <v>6</v>
      </c>
      <c r="M838" s="17">
        <v>1.4833299999999999E-3</v>
      </c>
      <c r="N838" s="18">
        <f t="shared" ref="N838:N901" si="79">M838*L838*J838</f>
        <v>140.12671410780001</v>
      </c>
      <c r="O838" s="15"/>
      <c r="P838" s="20">
        <f t="shared" ref="P838:P901" si="80">$P$4*(J838*0.5)*$V$10</f>
        <v>0</v>
      </c>
      <c r="Q838" s="15"/>
      <c r="R838" s="20">
        <f t="shared" ref="R838:R901" si="81">$R$4*(J838*0.5)*$V$9</f>
        <v>0</v>
      </c>
      <c r="S838" s="130"/>
      <c r="T838" s="20">
        <f t="shared" ref="T838:T901" si="82">$T$4*(J838*0.5)*$V$11</f>
        <v>222.87479493124999</v>
      </c>
    </row>
    <row r="839" spans="1:20">
      <c r="A839" s="13" t="s">
        <v>626</v>
      </c>
      <c r="B839" s="14" t="s">
        <v>785</v>
      </c>
      <c r="C839" s="14" t="s">
        <v>786</v>
      </c>
      <c r="D839" s="13" t="s">
        <v>787</v>
      </c>
      <c r="E839" s="14" t="s">
        <v>75</v>
      </c>
      <c r="F839" s="13" t="s">
        <v>26</v>
      </c>
      <c r="G839" s="14" t="s">
        <v>20</v>
      </c>
      <c r="H839" s="14"/>
      <c r="I839" s="14">
        <v>201406</v>
      </c>
      <c r="J839" s="15">
        <v>23314.98</v>
      </c>
      <c r="K839" s="21">
        <f t="shared" ref="K839:K902" si="83">+K838</f>
        <v>42675</v>
      </c>
      <c r="L839" s="16">
        <f t="shared" si="78"/>
        <v>6</v>
      </c>
      <c r="M839" s="17">
        <v>1.4833299999999999E-3</v>
      </c>
      <c r="N839" s="18">
        <f t="shared" si="79"/>
        <v>207.5028557004</v>
      </c>
      <c r="O839" s="15"/>
      <c r="P839" s="20">
        <f t="shared" si="80"/>
        <v>0</v>
      </c>
      <c r="Q839" s="15"/>
      <c r="R839" s="20">
        <f t="shared" si="81"/>
        <v>0</v>
      </c>
      <c r="S839" s="130"/>
      <c r="T839" s="20">
        <f t="shared" si="82"/>
        <v>330.03811376249996</v>
      </c>
    </row>
    <row r="840" spans="1:20">
      <c r="A840" s="13" t="s">
        <v>626</v>
      </c>
      <c r="B840" s="14" t="s">
        <v>724</v>
      </c>
      <c r="C840" s="14" t="s">
        <v>725</v>
      </c>
      <c r="D840" s="13" t="s">
        <v>726</v>
      </c>
      <c r="E840" s="14" t="s">
        <v>280</v>
      </c>
      <c r="F840" s="13" t="s">
        <v>26</v>
      </c>
      <c r="G840" s="14" t="s">
        <v>20</v>
      </c>
      <c r="H840" s="14"/>
      <c r="I840" s="14">
        <v>201406</v>
      </c>
      <c r="J840" s="15">
        <v>5039.28</v>
      </c>
      <c r="K840" s="21">
        <f t="shared" si="83"/>
        <v>42675</v>
      </c>
      <c r="L840" s="16">
        <f t="shared" si="78"/>
        <v>6</v>
      </c>
      <c r="M840" s="17">
        <v>1.4833299999999999E-3</v>
      </c>
      <c r="N840" s="18">
        <f t="shared" si="79"/>
        <v>44.849491214399997</v>
      </c>
      <c r="O840" s="15"/>
      <c r="P840" s="20">
        <f t="shared" si="80"/>
        <v>0</v>
      </c>
      <c r="Q840" s="15"/>
      <c r="R840" s="20">
        <f t="shared" si="81"/>
        <v>0</v>
      </c>
      <c r="S840" s="130"/>
      <c r="T840" s="20">
        <f t="shared" si="82"/>
        <v>71.334157949999991</v>
      </c>
    </row>
    <row r="841" spans="1:20">
      <c r="A841" s="13" t="s">
        <v>626</v>
      </c>
      <c r="B841" s="14" t="s">
        <v>788</v>
      </c>
      <c r="C841" s="14" t="s">
        <v>789</v>
      </c>
      <c r="D841" s="13" t="s">
        <v>790</v>
      </c>
      <c r="E841" s="14" t="s">
        <v>164</v>
      </c>
      <c r="F841" s="13" t="s">
        <v>165</v>
      </c>
      <c r="G841" s="14" t="s">
        <v>20</v>
      </c>
      <c r="H841" s="14"/>
      <c r="I841" s="14">
        <v>201406</v>
      </c>
      <c r="J841" s="15">
        <v>24593.16</v>
      </c>
      <c r="K841" s="21">
        <f t="shared" si="83"/>
        <v>42675</v>
      </c>
      <c r="L841" s="16">
        <f t="shared" si="78"/>
        <v>6</v>
      </c>
      <c r="M841" s="17">
        <v>1.4833299999999999E-3</v>
      </c>
      <c r="N841" s="18">
        <f t="shared" si="79"/>
        <v>218.87863213680001</v>
      </c>
      <c r="O841" s="15"/>
      <c r="P841" s="20">
        <f t="shared" si="80"/>
        <v>0</v>
      </c>
      <c r="Q841" s="15"/>
      <c r="R841" s="20">
        <f t="shared" si="81"/>
        <v>0</v>
      </c>
      <c r="S841" s="130"/>
      <c r="T841" s="20">
        <f t="shared" si="82"/>
        <v>348.13155052499997</v>
      </c>
    </row>
    <row r="842" spans="1:20">
      <c r="A842" s="13" t="s">
        <v>626</v>
      </c>
      <c r="B842" s="14" t="s">
        <v>727</v>
      </c>
      <c r="C842" s="14" t="s">
        <v>728</v>
      </c>
      <c r="D842" s="13" t="s">
        <v>729</v>
      </c>
      <c r="E842" s="14" t="s">
        <v>79</v>
      </c>
      <c r="F842" s="13" t="s">
        <v>26</v>
      </c>
      <c r="G842" s="14" t="s">
        <v>20</v>
      </c>
      <c r="H842" s="14"/>
      <c r="I842" s="14">
        <v>201406</v>
      </c>
      <c r="J842" s="15">
        <v>-2022.55</v>
      </c>
      <c r="K842" s="21">
        <f t="shared" si="83"/>
        <v>42675</v>
      </c>
      <c r="L842" s="16">
        <f t="shared" si="78"/>
        <v>6</v>
      </c>
      <c r="M842" s="17">
        <v>1.4833299999999999E-3</v>
      </c>
      <c r="N842" s="18">
        <f t="shared" si="79"/>
        <v>-18.000654549</v>
      </c>
      <c r="O842" s="15"/>
      <c r="P842" s="20">
        <f t="shared" si="80"/>
        <v>0</v>
      </c>
      <c r="Q842" s="15"/>
      <c r="R842" s="20">
        <f t="shared" si="81"/>
        <v>0</v>
      </c>
      <c r="S842" s="130"/>
      <c r="T842" s="20">
        <f t="shared" si="82"/>
        <v>-28.630459343749997</v>
      </c>
    </row>
    <row r="843" spans="1:20">
      <c r="A843" s="13" t="s">
        <v>626</v>
      </c>
      <c r="B843" s="14" t="s">
        <v>791</v>
      </c>
      <c r="C843" s="14" t="s">
        <v>792</v>
      </c>
      <c r="D843" s="13" t="s">
        <v>793</v>
      </c>
      <c r="E843" s="14" t="s">
        <v>79</v>
      </c>
      <c r="F843" s="13" t="s">
        <v>26</v>
      </c>
      <c r="G843" s="14" t="s">
        <v>20</v>
      </c>
      <c r="H843" s="14"/>
      <c r="I843" s="14">
        <v>201406</v>
      </c>
      <c r="J843" s="15">
        <v>5617.5</v>
      </c>
      <c r="K843" s="21">
        <f t="shared" si="83"/>
        <v>42675</v>
      </c>
      <c r="L843" s="16">
        <f t="shared" si="78"/>
        <v>6</v>
      </c>
      <c r="M843" s="17">
        <v>1.4833299999999999E-3</v>
      </c>
      <c r="N843" s="18">
        <f t="shared" si="79"/>
        <v>49.995637649999999</v>
      </c>
      <c r="O843" s="15"/>
      <c r="P843" s="20">
        <f t="shared" si="80"/>
        <v>0</v>
      </c>
      <c r="Q843" s="15"/>
      <c r="R843" s="20">
        <f t="shared" si="81"/>
        <v>0</v>
      </c>
      <c r="S843" s="130"/>
      <c r="T843" s="20">
        <f t="shared" si="82"/>
        <v>79.519223437500003</v>
      </c>
    </row>
    <row r="844" spans="1:20">
      <c r="A844" s="13" t="s">
        <v>21</v>
      </c>
      <c r="B844" s="14" t="s">
        <v>341</v>
      </c>
      <c r="C844" s="14" t="s">
        <v>342</v>
      </c>
      <c r="D844" s="13" t="s">
        <v>343</v>
      </c>
      <c r="E844" s="14" t="s">
        <v>137</v>
      </c>
      <c r="F844" s="13" t="s">
        <v>138</v>
      </c>
      <c r="G844" s="14" t="s">
        <v>20</v>
      </c>
      <c r="H844" s="14"/>
      <c r="I844" s="14">
        <v>201407</v>
      </c>
      <c r="J844" s="15">
        <v>8368.64</v>
      </c>
      <c r="K844" s="21">
        <f t="shared" si="83"/>
        <v>42675</v>
      </c>
      <c r="L844" s="16">
        <f>((YEAR($L$1)-YEAR(K844))*12+MONTH($L$1)-MONTH(K844))</f>
        <v>6</v>
      </c>
      <c r="M844" s="17">
        <v>1.4833299999999999E-3</v>
      </c>
      <c r="N844" s="18">
        <f t="shared" si="79"/>
        <v>74.480728627199994</v>
      </c>
      <c r="O844" s="15"/>
      <c r="P844" s="20">
        <f t="shared" si="80"/>
        <v>0</v>
      </c>
      <c r="Q844" s="15"/>
      <c r="R844" s="20">
        <f t="shared" si="81"/>
        <v>0</v>
      </c>
      <c r="S844" s="130"/>
      <c r="T844" s="20">
        <f t="shared" si="82"/>
        <v>118.46332959999998</v>
      </c>
    </row>
    <row r="845" spans="1:20">
      <c r="A845" s="13" t="s">
        <v>21</v>
      </c>
      <c r="B845" s="14" t="s">
        <v>344</v>
      </c>
      <c r="C845" s="14" t="s">
        <v>345</v>
      </c>
      <c r="D845" s="13" t="s">
        <v>346</v>
      </c>
      <c r="E845" s="14" t="s">
        <v>137</v>
      </c>
      <c r="F845" s="13" t="s">
        <v>138</v>
      </c>
      <c r="G845" s="14" t="s">
        <v>20</v>
      </c>
      <c r="H845" s="14"/>
      <c r="I845" s="14">
        <v>201407</v>
      </c>
      <c r="J845" s="15">
        <v>1.78</v>
      </c>
      <c r="K845" s="21">
        <f t="shared" si="83"/>
        <v>42675</v>
      </c>
      <c r="L845" s="16">
        <f t="shared" ref="L845:L908" si="84">((YEAR($L$1)-YEAR(K845))*12+MONTH($L$1)-MONTH(K845))</f>
        <v>6</v>
      </c>
      <c r="M845" s="17">
        <v>1.4833299999999999E-3</v>
      </c>
      <c r="N845" s="18">
        <f t="shared" si="79"/>
        <v>1.5841964400000002E-2</v>
      </c>
      <c r="O845" s="15"/>
      <c r="P845" s="20">
        <f t="shared" si="80"/>
        <v>0</v>
      </c>
      <c r="Q845" s="15"/>
      <c r="R845" s="20">
        <f t="shared" si="81"/>
        <v>0</v>
      </c>
      <c r="S845" s="130"/>
      <c r="T845" s="20">
        <f t="shared" si="82"/>
        <v>2.5197012499999998E-2</v>
      </c>
    </row>
    <row r="846" spans="1:20">
      <c r="A846" s="13" t="s">
        <v>21</v>
      </c>
      <c r="B846" s="14" t="s">
        <v>210</v>
      </c>
      <c r="C846" s="14" t="s">
        <v>211</v>
      </c>
      <c r="D846" s="13" t="s">
        <v>212</v>
      </c>
      <c r="E846" s="14" t="s">
        <v>137</v>
      </c>
      <c r="F846" s="13" t="s">
        <v>138</v>
      </c>
      <c r="G846" s="14" t="s">
        <v>20</v>
      </c>
      <c r="H846" s="14"/>
      <c r="I846" s="14">
        <v>201407</v>
      </c>
      <c r="J846" s="15">
        <v>0.41</v>
      </c>
      <c r="K846" s="21">
        <f t="shared" si="83"/>
        <v>42675</v>
      </c>
      <c r="L846" s="16">
        <f t="shared" si="84"/>
        <v>6</v>
      </c>
      <c r="M846" s="17">
        <v>1.4833299999999999E-3</v>
      </c>
      <c r="N846" s="18">
        <f t="shared" si="79"/>
        <v>3.6489917999999997E-3</v>
      </c>
      <c r="O846" s="15"/>
      <c r="P846" s="20">
        <f t="shared" si="80"/>
        <v>0</v>
      </c>
      <c r="Q846" s="15"/>
      <c r="R846" s="20">
        <f t="shared" si="81"/>
        <v>0</v>
      </c>
      <c r="S846" s="130"/>
      <c r="T846" s="20">
        <f t="shared" si="82"/>
        <v>5.8038062499999998E-3</v>
      </c>
    </row>
    <row r="847" spans="1:20">
      <c r="A847" s="13" t="s">
        <v>554</v>
      </c>
      <c r="B847" s="14" t="s">
        <v>116</v>
      </c>
      <c r="C847" s="14" t="s">
        <v>117</v>
      </c>
      <c r="D847" s="13" t="s">
        <v>118</v>
      </c>
      <c r="E847" s="14" t="s">
        <v>119</v>
      </c>
      <c r="F847" s="13" t="s">
        <v>120</v>
      </c>
      <c r="G847" s="14" t="s">
        <v>20</v>
      </c>
      <c r="H847" s="14"/>
      <c r="I847" s="14">
        <v>201407</v>
      </c>
      <c r="J847" s="15">
        <v>87975.49</v>
      </c>
      <c r="K847" s="21">
        <f t="shared" si="83"/>
        <v>42675</v>
      </c>
      <c r="L847" s="16">
        <f t="shared" si="84"/>
        <v>6</v>
      </c>
      <c r="M847" s="17">
        <v>1.4833299999999999E-3</v>
      </c>
      <c r="N847" s="18">
        <f t="shared" si="79"/>
        <v>782.98010149020001</v>
      </c>
      <c r="O847" s="15"/>
      <c r="P847" s="20">
        <f t="shared" si="80"/>
        <v>0</v>
      </c>
      <c r="Q847" s="15"/>
      <c r="R847" s="20">
        <f t="shared" si="81"/>
        <v>0</v>
      </c>
      <c r="S847" s="130"/>
      <c r="T847" s="20">
        <f t="shared" si="82"/>
        <v>1245.34804563125</v>
      </c>
    </row>
    <row r="848" spans="1:20">
      <c r="A848" s="13" t="s">
        <v>21</v>
      </c>
      <c r="B848" s="14" t="s">
        <v>139</v>
      </c>
      <c r="C848" s="14" t="s">
        <v>140</v>
      </c>
      <c r="D848" s="13" t="s">
        <v>141</v>
      </c>
      <c r="E848" s="14" t="s">
        <v>142</v>
      </c>
      <c r="F848" s="13" t="s">
        <v>143</v>
      </c>
      <c r="G848" s="14" t="s">
        <v>20</v>
      </c>
      <c r="H848" s="14"/>
      <c r="I848" s="14">
        <v>201407</v>
      </c>
      <c r="J848" s="15">
        <v>133.91</v>
      </c>
      <c r="K848" s="21">
        <f t="shared" si="83"/>
        <v>42675</v>
      </c>
      <c r="L848" s="16">
        <f t="shared" si="84"/>
        <v>6</v>
      </c>
      <c r="M848" s="17">
        <v>1.4833299999999999E-3</v>
      </c>
      <c r="N848" s="18">
        <f t="shared" si="79"/>
        <v>1.1917963218000001</v>
      </c>
      <c r="O848" s="15"/>
      <c r="P848" s="20">
        <f t="shared" si="80"/>
        <v>0</v>
      </c>
      <c r="Q848" s="15"/>
      <c r="R848" s="20">
        <f t="shared" si="81"/>
        <v>0</v>
      </c>
      <c r="S848" s="130"/>
      <c r="T848" s="20">
        <f t="shared" si="82"/>
        <v>1.8955797437499999</v>
      </c>
    </row>
    <row r="849" spans="1:20">
      <c r="A849" s="13" t="s">
        <v>21</v>
      </c>
      <c r="B849" s="14" t="s">
        <v>144</v>
      </c>
      <c r="C849" s="14" t="s">
        <v>145</v>
      </c>
      <c r="D849" s="13" t="s">
        <v>146</v>
      </c>
      <c r="E849" s="14" t="s">
        <v>142</v>
      </c>
      <c r="F849" s="13" t="s">
        <v>143</v>
      </c>
      <c r="G849" s="14" t="s">
        <v>20</v>
      </c>
      <c r="H849" s="14"/>
      <c r="I849" s="14">
        <v>201407</v>
      </c>
      <c r="J849" s="15">
        <v>394.66</v>
      </c>
      <c r="K849" s="21">
        <f t="shared" si="83"/>
        <v>42675</v>
      </c>
      <c r="L849" s="16">
        <f t="shared" si="84"/>
        <v>6</v>
      </c>
      <c r="M849" s="17">
        <v>1.4833299999999999E-3</v>
      </c>
      <c r="N849" s="18">
        <f t="shared" si="79"/>
        <v>3.5124661068000003</v>
      </c>
      <c r="O849" s="15"/>
      <c r="P849" s="20">
        <f t="shared" si="80"/>
        <v>0</v>
      </c>
      <c r="Q849" s="15"/>
      <c r="R849" s="20">
        <f t="shared" si="81"/>
        <v>0</v>
      </c>
      <c r="S849" s="130"/>
      <c r="T849" s="20">
        <f t="shared" si="82"/>
        <v>5.5866589625000005</v>
      </c>
    </row>
    <row r="850" spans="1:20">
      <c r="A850" s="13" t="s">
        <v>21</v>
      </c>
      <c r="B850" s="14" t="s">
        <v>224</v>
      </c>
      <c r="C850" s="14" t="s">
        <v>225</v>
      </c>
      <c r="D850" s="13" t="s">
        <v>226</v>
      </c>
      <c r="E850" s="14" t="s">
        <v>142</v>
      </c>
      <c r="F850" s="13" t="s">
        <v>143</v>
      </c>
      <c r="G850" s="14" t="s">
        <v>20</v>
      </c>
      <c r="H850" s="14"/>
      <c r="I850" s="14">
        <v>201407</v>
      </c>
      <c r="J850" s="15">
        <v>67.849999999999994</v>
      </c>
      <c r="K850" s="21">
        <f t="shared" si="83"/>
        <v>42675</v>
      </c>
      <c r="L850" s="16">
        <f t="shared" si="84"/>
        <v>6</v>
      </c>
      <c r="M850" s="17">
        <v>1.4833299999999999E-3</v>
      </c>
      <c r="N850" s="18">
        <f t="shared" si="79"/>
        <v>0.60386364299999995</v>
      </c>
      <c r="O850" s="15"/>
      <c r="P850" s="20">
        <f t="shared" si="80"/>
        <v>0</v>
      </c>
      <c r="Q850" s="15"/>
      <c r="R850" s="20">
        <f t="shared" si="81"/>
        <v>0</v>
      </c>
      <c r="S850" s="130"/>
      <c r="T850" s="20">
        <f t="shared" si="82"/>
        <v>0.96045915624999978</v>
      </c>
    </row>
    <row r="851" spans="1:20">
      <c r="A851" s="13" t="s">
        <v>21</v>
      </c>
      <c r="B851" s="14" t="s">
        <v>308</v>
      </c>
      <c r="C851" s="14" t="s">
        <v>309</v>
      </c>
      <c r="D851" s="13" t="s">
        <v>310</v>
      </c>
      <c r="E851" s="14" t="s">
        <v>142</v>
      </c>
      <c r="F851" s="13" t="s">
        <v>143</v>
      </c>
      <c r="G851" s="14" t="s">
        <v>20</v>
      </c>
      <c r="H851" s="14"/>
      <c r="I851" s="14">
        <v>201407</v>
      </c>
      <c r="J851" s="15">
        <v>93.79</v>
      </c>
      <c r="K851" s="21">
        <f t="shared" si="83"/>
        <v>42675</v>
      </c>
      <c r="L851" s="16">
        <f t="shared" si="84"/>
        <v>6</v>
      </c>
      <c r="M851" s="17">
        <v>1.4833299999999999E-3</v>
      </c>
      <c r="N851" s="18">
        <f t="shared" si="79"/>
        <v>0.83472912420000001</v>
      </c>
      <c r="O851" s="15"/>
      <c r="P851" s="20">
        <f t="shared" si="80"/>
        <v>0</v>
      </c>
      <c r="Q851" s="15"/>
      <c r="R851" s="20">
        <f t="shared" si="81"/>
        <v>0</v>
      </c>
      <c r="S851" s="130"/>
      <c r="T851" s="20">
        <f t="shared" si="82"/>
        <v>1.3276560687500001</v>
      </c>
    </row>
    <row r="852" spans="1:20">
      <c r="A852" s="13" t="s">
        <v>21</v>
      </c>
      <c r="B852" s="14" t="s">
        <v>245</v>
      </c>
      <c r="C852" s="14" t="s">
        <v>246</v>
      </c>
      <c r="D852" s="13" t="s">
        <v>247</v>
      </c>
      <c r="E852" s="14" t="s">
        <v>70</v>
      </c>
      <c r="F852" s="13" t="s">
        <v>71</v>
      </c>
      <c r="G852" s="14" t="s">
        <v>20</v>
      </c>
      <c r="H852" s="14"/>
      <c r="I852" s="14">
        <v>201407</v>
      </c>
      <c r="J852" s="15">
        <v>550.16999999999996</v>
      </c>
      <c r="K852" s="21">
        <f t="shared" si="83"/>
        <v>42675</v>
      </c>
      <c r="L852" s="16">
        <f t="shared" si="84"/>
        <v>6</v>
      </c>
      <c r="M852" s="17">
        <v>1.4833299999999999E-3</v>
      </c>
      <c r="N852" s="18">
        <f t="shared" si="79"/>
        <v>4.8965019965999996</v>
      </c>
      <c r="O852" s="15"/>
      <c r="P852" s="20">
        <f t="shared" si="80"/>
        <v>0</v>
      </c>
      <c r="Q852" s="15"/>
      <c r="R852" s="20">
        <f t="shared" si="81"/>
        <v>0</v>
      </c>
      <c r="S852" s="130"/>
      <c r="T852" s="20">
        <f t="shared" si="82"/>
        <v>7.7880002062499996</v>
      </c>
    </row>
    <row r="853" spans="1:20">
      <c r="A853" s="13" t="s">
        <v>21</v>
      </c>
      <c r="B853" s="14" t="s">
        <v>67</v>
      </c>
      <c r="C853" s="14" t="s">
        <v>68</v>
      </c>
      <c r="D853" s="13" t="s">
        <v>69</v>
      </c>
      <c r="E853" s="14" t="s">
        <v>70</v>
      </c>
      <c r="F853" s="13" t="s">
        <v>71</v>
      </c>
      <c r="G853" s="14" t="s">
        <v>20</v>
      </c>
      <c r="H853" s="14"/>
      <c r="I853" s="14">
        <v>201407</v>
      </c>
      <c r="J853" s="15">
        <v>557.34</v>
      </c>
      <c r="K853" s="21">
        <f t="shared" si="83"/>
        <v>42675</v>
      </c>
      <c r="L853" s="16">
        <f t="shared" si="84"/>
        <v>6</v>
      </c>
      <c r="M853" s="17">
        <v>1.4833299999999999E-3</v>
      </c>
      <c r="N853" s="18">
        <f t="shared" si="79"/>
        <v>4.9603148531999999</v>
      </c>
      <c r="O853" s="15"/>
      <c r="P853" s="20">
        <f t="shared" si="80"/>
        <v>0</v>
      </c>
      <c r="Q853" s="15"/>
      <c r="R853" s="20">
        <f t="shared" si="81"/>
        <v>0</v>
      </c>
      <c r="S853" s="130"/>
      <c r="T853" s="20">
        <f t="shared" si="82"/>
        <v>7.8894960374999998</v>
      </c>
    </row>
    <row r="854" spans="1:20">
      <c r="A854" s="13" t="s">
        <v>21</v>
      </c>
      <c r="B854" s="14" t="s">
        <v>248</v>
      </c>
      <c r="C854" s="14" t="s">
        <v>249</v>
      </c>
      <c r="D854" s="13" t="s">
        <v>250</v>
      </c>
      <c r="E854" s="14" t="s">
        <v>70</v>
      </c>
      <c r="F854" s="13" t="s">
        <v>71</v>
      </c>
      <c r="G854" s="14" t="s">
        <v>20</v>
      </c>
      <c r="H854" s="14"/>
      <c r="I854" s="14">
        <v>201407</v>
      </c>
      <c r="J854" s="15">
        <v>1022.12</v>
      </c>
      <c r="K854" s="21">
        <f t="shared" si="83"/>
        <v>42675</v>
      </c>
      <c r="L854" s="16">
        <f t="shared" si="84"/>
        <v>6</v>
      </c>
      <c r="M854" s="17">
        <v>1.4833299999999999E-3</v>
      </c>
      <c r="N854" s="18">
        <f t="shared" si="79"/>
        <v>9.0968475576000003</v>
      </c>
      <c r="O854" s="15"/>
      <c r="P854" s="20">
        <f t="shared" si="80"/>
        <v>0</v>
      </c>
      <c r="Q854" s="15"/>
      <c r="R854" s="20">
        <f t="shared" si="81"/>
        <v>0</v>
      </c>
      <c r="S854" s="130"/>
      <c r="T854" s="20">
        <f t="shared" si="82"/>
        <v>14.468747425</v>
      </c>
    </row>
    <row r="855" spans="1:20">
      <c r="A855" s="13" t="s">
        <v>21</v>
      </c>
      <c r="B855" s="14" t="s">
        <v>753</v>
      </c>
      <c r="C855" s="14" t="s">
        <v>754</v>
      </c>
      <c r="D855" s="13" t="s">
        <v>755</v>
      </c>
      <c r="E855" s="14" t="s">
        <v>756</v>
      </c>
      <c r="F855" s="13" t="s">
        <v>757</v>
      </c>
      <c r="G855" s="14" t="s">
        <v>20</v>
      </c>
      <c r="H855" s="14"/>
      <c r="I855" s="14">
        <v>201407</v>
      </c>
      <c r="J855" s="15">
        <v>66.069999999999993</v>
      </c>
      <c r="K855" s="21">
        <f t="shared" si="83"/>
        <v>42675</v>
      </c>
      <c r="L855" s="16">
        <f t="shared" si="84"/>
        <v>6</v>
      </c>
      <c r="M855" s="17">
        <v>1.4833299999999999E-3</v>
      </c>
      <c r="N855" s="18">
        <f t="shared" si="79"/>
        <v>0.58802167859999999</v>
      </c>
      <c r="O855" s="15"/>
      <c r="P855" s="20">
        <f t="shared" si="80"/>
        <v>0</v>
      </c>
      <c r="Q855" s="15"/>
      <c r="R855" s="20">
        <f t="shared" si="81"/>
        <v>0</v>
      </c>
      <c r="S855" s="130"/>
      <c r="T855" s="20">
        <f t="shared" si="82"/>
        <v>0.93526214374999994</v>
      </c>
    </row>
    <row r="856" spans="1:20">
      <c r="A856" s="13" t="s">
        <v>21</v>
      </c>
      <c r="B856" s="14" t="s">
        <v>169</v>
      </c>
      <c r="C856" s="14" t="s">
        <v>170</v>
      </c>
      <c r="D856" s="13" t="s">
        <v>171</v>
      </c>
      <c r="E856" s="14" t="s">
        <v>172</v>
      </c>
      <c r="F856" s="13" t="s">
        <v>173</v>
      </c>
      <c r="G856" s="14" t="s">
        <v>20</v>
      </c>
      <c r="H856" s="14"/>
      <c r="I856" s="14">
        <v>201407</v>
      </c>
      <c r="J856" s="15">
        <v>422.31</v>
      </c>
      <c r="K856" s="21">
        <f t="shared" si="83"/>
        <v>42675</v>
      </c>
      <c r="L856" s="16">
        <f t="shared" si="84"/>
        <v>6</v>
      </c>
      <c r="M856" s="17">
        <v>1.4833299999999999E-3</v>
      </c>
      <c r="N856" s="18">
        <f t="shared" si="79"/>
        <v>3.7585505538000001</v>
      </c>
      <c r="O856" s="15"/>
      <c r="P856" s="20">
        <f t="shared" si="80"/>
        <v>0</v>
      </c>
      <c r="Q856" s="15"/>
      <c r="R856" s="20">
        <f t="shared" si="81"/>
        <v>0</v>
      </c>
      <c r="S856" s="130"/>
      <c r="T856" s="20">
        <f t="shared" si="82"/>
        <v>5.9780619937499999</v>
      </c>
    </row>
    <row r="857" spans="1:20">
      <c r="A857" s="13" t="s">
        <v>21</v>
      </c>
      <c r="B857" s="14" t="s">
        <v>264</v>
      </c>
      <c r="C857" s="14" t="s">
        <v>265</v>
      </c>
      <c r="D857" s="13" t="s">
        <v>266</v>
      </c>
      <c r="E857" s="14" t="s">
        <v>172</v>
      </c>
      <c r="F857" s="13" t="s">
        <v>173</v>
      </c>
      <c r="G857" s="14" t="s">
        <v>20</v>
      </c>
      <c r="H857" s="14"/>
      <c r="I857" s="14">
        <v>201407</v>
      </c>
      <c r="J857" s="15">
        <v>160.36000000000001</v>
      </c>
      <c r="K857" s="21">
        <f t="shared" si="83"/>
        <v>42675</v>
      </c>
      <c r="L857" s="16">
        <f t="shared" si="84"/>
        <v>6</v>
      </c>
      <c r="M857" s="17">
        <v>1.4833299999999999E-3</v>
      </c>
      <c r="N857" s="18">
        <f t="shared" si="79"/>
        <v>1.4272007928000001</v>
      </c>
      <c r="O857" s="15"/>
      <c r="P857" s="20">
        <f t="shared" si="80"/>
        <v>0</v>
      </c>
      <c r="Q857" s="15"/>
      <c r="R857" s="20">
        <f t="shared" si="81"/>
        <v>0</v>
      </c>
      <c r="S857" s="130"/>
      <c r="T857" s="20">
        <f t="shared" si="82"/>
        <v>2.2699960249999998</v>
      </c>
    </row>
    <row r="858" spans="1:20">
      <c r="A858" s="36" t="s">
        <v>21</v>
      </c>
      <c r="B858" s="37" t="s">
        <v>794</v>
      </c>
      <c r="C858" s="37" t="s">
        <v>795</v>
      </c>
      <c r="D858" s="36" t="s">
        <v>796</v>
      </c>
      <c r="E858" s="37" t="s">
        <v>172</v>
      </c>
      <c r="F858" s="36" t="s">
        <v>173</v>
      </c>
      <c r="G858" s="37" t="s">
        <v>20</v>
      </c>
      <c r="H858" s="37"/>
      <c r="I858" s="37">
        <v>201407</v>
      </c>
      <c r="J858" s="38">
        <f>23986.2</f>
        <v>23986.2</v>
      </c>
      <c r="K858" s="21">
        <f t="shared" si="83"/>
        <v>42675</v>
      </c>
      <c r="L858" s="16">
        <f t="shared" si="84"/>
        <v>6</v>
      </c>
      <c r="M858" s="39">
        <v>1.4833299999999999E-3</v>
      </c>
      <c r="N858" s="40">
        <f t="shared" si="79"/>
        <v>213.476700276</v>
      </c>
      <c r="O858" s="15"/>
      <c r="P858" s="20">
        <f t="shared" si="80"/>
        <v>0</v>
      </c>
      <c r="Q858" s="15"/>
      <c r="R858" s="20">
        <f t="shared" si="81"/>
        <v>0</v>
      </c>
      <c r="S858" s="130"/>
      <c r="T858" s="20">
        <f t="shared" si="82"/>
        <v>339.539652375</v>
      </c>
    </row>
    <row r="859" spans="1:20">
      <c r="A859" s="36" t="s">
        <v>21</v>
      </c>
      <c r="B859" s="37" t="s">
        <v>797</v>
      </c>
      <c r="C859" s="37" t="s">
        <v>798</v>
      </c>
      <c r="D859" s="36" t="s">
        <v>799</v>
      </c>
      <c r="E859" s="37" t="s">
        <v>172</v>
      </c>
      <c r="F859" s="36" t="s">
        <v>173</v>
      </c>
      <c r="G859" s="37" t="s">
        <v>20</v>
      </c>
      <c r="H859" s="37"/>
      <c r="I859" s="37">
        <v>201407</v>
      </c>
      <c r="J859" s="38">
        <f>45111.99</f>
        <v>45111.99</v>
      </c>
      <c r="K859" s="21">
        <f t="shared" si="83"/>
        <v>42675</v>
      </c>
      <c r="L859" s="16">
        <f t="shared" si="84"/>
        <v>6</v>
      </c>
      <c r="M859" s="39">
        <v>1.4833299999999999E-3</v>
      </c>
      <c r="N859" s="40">
        <f t="shared" si="79"/>
        <v>401.49580876019996</v>
      </c>
      <c r="O859" s="15"/>
      <c r="P859" s="20">
        <f t="shared" si="80"/>
        <v>0</v>
      </c>
      <c r="Q859" s="15"/>
      <c r="R859" s="20">
        <f t="shared" si="81"/>
        <v>0</v>
      </c>
      <c r="S859" s="130"/>
      <c r="T859" s="20">
        <f t="shared" si="82"/>
        <v>638.58841344374991</v>
      </c>
    </row>
    <row r="860" spans="1:20">
      <c r="A860" s="13" t="s">
        <v>21</v>
      </c>
      <c r="B860" s="14" t="s">
        <v>233</v>
      </c>
      <c r="C860" s="14" t="s">
        <v>234</v>
      </c>
      <c r="D860" s="13" t="s">
        <v>235</v>
      </c>
      <c r="E860" s="14" t="s">
        <v>172</v>
      </c>
      <c r="F860" s="13" t="s">
        <v>173</v>
      </c>
      <c r="G860" s="14" t="s">
        <v>20</v>
      </c>
      <c r="H860" s="14"/>
      <c r="I860" s="14">
        <v>201407</v>
      </c>
      <c r="J860" s="15">
        <v>481.04</v>
      </c>
      <c r="K860" s="21">
        <f t="shared" si="83"/>
        <v>42675</v>
      </c>
      <c r="L860" s="16">
        <f t="shared" si="84"/>
        <v>6</v>
      </c>
      <c r="M860" s="17">
        <v>1.4833299999999999E-3</v>
      </c>
      <c r="N860" s="18">
        <f t="shared" si="79"/>
        <v>4.2812463792000006</v>
      </c>
      <c r="O860" s="15"/>
      <c r="P860" s="20">
        <f t="shared" si="80"/>
        <v>0</v>
      </c>
      <c r="Q860" s="15"/>
      <c r="R860" s="20">
        <f t="shared" si="81"/>
        <v>0</v>
      </c>
      <c r="S860" s="130"/>
      <c r="T860" s="20">
        <f t="shared" si="82"/>
        <v>6.8094218499999997</v>
      </c>
    </row>
    <row r="861" spans="1:20">
      <c r="A861" s="13" t="s">
        <v>21</v>
      </c>
      <c r="B861" s="14" t="s">
        <v>177</v>
      </c>
      <c r="C861" s="14" t="s">
        <v>178</v>
      </c>
      <c r="D861" s="13" t="s">
        <v>179</v>
      </c>
      <c r="E861" s="14" t="s">
        <v>172</v>
      </c>
      <c r="F861" s="13" t="s">
        <v>173</v>
      </c>
      <c r="G861" s="14" t="s">
        <v>20</v>
      </c>
      <c r="H861" s="14"/>
      <c r="I861" s="14">
        <v>201407</v>
      </c>
      <c r="J861" s="15">
        <v>5.03</v>
      </c>
      <c r="K861" s="21">
        <f t="shared" si="83"/>
        <v>42675</v>
      </c>
      <c r="L861" s="16">
        <f t="shared" si="84"/>
        <v>6</v>
      </c>
      <c r="M861" s="17">
        <v>1.4833299999999999E-3</v>
      </c>
      <c r="N861" s="18">
        <f t="shared" si="79"/>
        <v>4.4766899400000004E-2</v>
      </c>
      <c r="O861" s="15"/>
      <c r="P861" s="20">
        <f t="shared" si="80"/>
        <v>0</v>
      </c>
      <c r="Q861" s="15"/>
      <c r="R861" s="20">
        <f t="shared" si="81"/>
        <v>0</v>
      </c>
      <c r="S861" s="130"/>
      <c r="T861" s="20">
        <f t="shared" si="82"/>
        <v>7.1202793749999993E-2</v>
      </c>
    </row>
    <row r="862" spans="1:20">
      <c r="A862" s="13" t="s">
        <v>21</v>
      </c>
      <c r="B862" s="14" t="s">
        <v>678</v>
      </c>
      <c r="C862" s="14" t="s">
        <v>679</v>
      </c>
      <c r="D862" s="13" t="s">
        <v>680</v>
      </c>
      <c r="E862" s="14" t="s">
        <v>75</v>
      </c>
      <c r="F862" s="13" t="s">
        <v>26</v>
      </c>
      <c r="G862" s="14" t="s">
        <v>20</v>
      </c>
      <c r="H862" s="14"/>
      <c r="I862" s="14">
        <v>201407</v>
      </c>
      <c r="J862" s="15">
        <v>7.0000000000000007E-2</v>
      </c>
      <c r="K862" s="21">
        <f t="shared" si="83"/>
        <v>42675</v>
      </c>
      <c r="L862" s="16">
        <f t="shared" si="84"/>
        <v>6</v>
      </c>
      <c r="M862" s="17">
        <v>1.4833299999999999E-3</v>
      </c>
      <c r="N862" s="18">
        <f t="shared" si="79"/>
        <v>6.2299860000000003E-4</v>
      </c>
      <c r="O862" s="15"/>
      <c r="P862" s="20">
        <f t="shared" si="80"/>
        <v>0</v>
      </c>
      <c r="Q862" s="15"/>
      <c r="R862" s="20">
        <f t="shared" si="81"/>
        <v>0</v>
      </c>
      <c r="S862" s="130"/>
      <c r="T862" s="20">
        <f t="shared" si="82"/>
        <v>9.9089375000000011E-4</v>
      </c>
    </row>
    <row r="863" spans="1:20">
      <c r="A863" s="13" t="s">
        <v>21</v>
      </c>
      <c r="B863" s="14" t="s">
        <v>274</v>
      </c>
      <c r="C863" s="14" t="s">
        <v>275</v>
      </c>
      <c r="D863" s="13" t="s">
        <v>276</v>
      </c>
      <c r="E863" s="14" t="s">
        <v>75</v>
      </c>
      <c r="F863" s="13" t="s">
        <v>26</v>
      </c>
      <c r="G863" s="14" t="s">
        <v>20</v>
      </c>
      <c r="H863" s="14"/>
      <c r="I863" s="14">
        <v>201407</v>
      </c>
      <c r="J863" s="15">
        <v>652.39</v>
      </c>
      <c r="K863" s="21">
        <f t="shared" si="83"/>
        <v>42675</v>
      </c>
      <c r="L863" s="16">
        <f t="shared" si="84"/>
        <v>6</v>
      </c>
      <c r="M863" s="17">
        <v>1.4833299999999999E-3</v>
      </c>
      <c r="N863" s="18">
        <f t="shared" si="79"/>
        <v>5.8062579522000002</v>
      </c>
      <c r="O863" s="15"/>
      <c r="P863" s="20">
        <f t="shared" si="80"/>
        <v>0</v>
      </c>
      <c r="Q863" s="15"/>
      <c r="R863" s="20">
        <f t="shared" si="81"/>
        <v>0</v>
      </c>
      <c r="S863" s="130"/>
      <c r="T863" s="20">
        <f t="shared" si="82"/>
        <v>9.2349881937499987</v>
      </c>
    </row>
    <row r="864" spans="1:20">
      <c r="A864" s="13" t="s">
        <v>21</v>
      </c>
      <c r="B864" s="14" t="s">
        <v>586</v>
      </c>
      <c r="C864" s="14" t="s">
        <v>587</v>
      </c>
      <c r="D864" s="13" t="s">
        <v>588</v>
      </c>
      <c r="E864" s="14" t="s">
        <v>75</v>
      </c>
      <c r="F864" s="13" t="s">
        <v>26</v>
      </c>
      <c r="G864" s="14" t="s">
        <v>20</v>
      </c>
      <c r="H864" s="14"/>
      <c r="I864" s="14">
        <v>201407</v>
      </c>
      <c r="J864" s="15">
        <v>-1939.17</v>
      </c>
      <c r="K864" s="21">
        <f t="shared" si="83"/>
        <v>42675</v>
      </c>
      <c r="L864" s="16">
        <f t="shared" si="84"/>
        <v>6</v>
      </c>
      <c r="M864" s="17">
        <v>1.4833299999999999E-3</v>
      </c>
      <c r="N864" s="18">
        <f t="shared" si="79"/>
        <v>-17.2585742166</v>
      </c>
      <c r="O864" s="15"/>
      <c r="P864" s="20">
        <f t="shared" si="80"/>
        <v>0</v>
      </c>
      <c r="Q864" s="15"/>
      <c r="R864" s="20">
        <f t="shared" si="81"/>
        <v>0</v>
      </c>
      <c r="S864" s="130"/>
      <c r="T864" s="20">
        <f t="shared" si="82"/>
        <v>-27.45016333125</v>
      </c>
    </row>
    <row r="865" spans="1:20">
      <c r="A865" s="13" t="s">
        <v>21</v>
      </c>
      <c r="B865" s="14" t="s">
        <v>335</v>
      </c>
      <c r="C865" s="14" t="s">
        <v>336</v>
      </c>
      <c r="D865" s="13" t="s">
        <v>337</v>
      </c>
      <c r="E865" s="14" t="s">
        <v>75</v>
      </c>
      <c r="F865" s="13" t="s">
        <v>26</v>
      </c>
      <c r="G865" s="14" t="s">
        <v>20</v>
      </c>
      <c r="H865" s="14"/>
      <c r="I865" s="14">
        <v>201407</v>
      </c>
      <c r="J865" s="15">
        <v>7.0000000000000007E-2</v>
      </c>
      <c r="K865" s="21">
        <f t="shared" si="83"/>
        <v>42675</v>
      </c>
      <c r="L865" s="16">
        <f t="shared" si="84"/>
        <v>6</v>
      </c>
      <c r="M865" s="17">
        <v>1.4833299999999999E-3</v>
      </c>
      <c r="N865" s="18">
        <f t="shared" si="79"/>
        <v>6.2299860000000003E-4</v>
      </c>
      <c r="O865" s="15"/>
      <c r="P865" s="20">
        <f t="shared" si="80"/>
        <v>0</v>
      </c>
      <c r="Q865" s="15"/>
      <c r="R865" s="20">
        <f t="shared" si="81"/>
        <v>0</v>
      </c>
      <c r="S865" s="130"/>
      <c r="T865" s="20">
        <f t="shared" si="82"/>
        <v>9.9089375000000011E-4</v>
      </c>
    </row>
    <row r="866" spans="1:20">
      <c r="A866" s="13" t="s">
        <v>21</v>
      </c>
      <c r="B866" s="14" t="s">
        <v>577</v>
      </c>
      <c r="C866" s="14" t="s">
        <v>578</v>
      </c>
      <c r="D866" s="13" t="s">
        <v>579</v>
      </c>
      <c r="E866" s="14" t="s">
        <v>75</v>
      </c>
      <c r="F866" s="13" t="s">
        <v>26</v>
      </c>
      <c r="G866" s="14" t="s">
        <v>20</v>
      </c>
      <c r="H866" s="14"/>
      <c r="I866" s="14">
        <v>201407</v>
      </c>
      <c r="J866" s="15">
        <v>0.28000000000000003</v>
      </c>
      <c r="K866" s="21">
        <f t="shared" si="83"/>
        <v>42675</v>
      </c>
      <c r="L866" s="16">
        <f t="shared" si="84"/>
        <v>6</v>
      </c>
      <c r="M866" s="17">
        <v>1.4833299999999999E-3</v>
      </c>
      <c r="N866" s="18">
        <f t="shared" si="79"/>
        <v>2.4919944000000001E-3</v>
      </c>
      <c r="O866" s="15"/>
      <c r="P866" s="20">
        <f t="shared" si="80"/>
        <v>0</v>
      </c>
      <c r="Q866" s="15"/>
      <c r="R866" s="20">
        <f t="shared" si="81"/>
        <v>0</v>
      </c>
      <c r="S866" s="130"/>
      <c r="T866" s="20">
        <f t="shared" si="82"/>
        <v>3.9635750000000004E-3</v>
      </c>
    </row>
    <row r="867" spans="1:20">
      <c r="A867" s="13" t="s">
        <v>21</v>
      </c>
      <c r="B867" s="14" t="s">
        <v>72</v>
      </c>
      <c r="C867" s="14" t="s">
        <v>73</v>
      </c>
      <c r="D867" s="13" t="s">
        <v>74</v>
      </c>
      <c r="E867" s="14" t="s">
        <v>75</v>
      </c>
      <c r="F867" s="13" t="s">
        <v>26</v>
      </c>
      <c r="G867" s="14" t="s">
        <v>20</v>
      </c>
      <c r="H867" s="14"/>
      <c r="I867" s="14">
        <v>201407</v>
      </c>
      <c r="J867" s="15">
        <v>1134.75</v>
      </c>
      <c r="K867" s="21">
        <f t="shared" si="83"/>
        <v>42675</v>
      </c>
      <c r="L867" s="16">
        <f t="shared" si="84"/>
        <v>6</v>
      </c>
      <c r="M867" s="17">
        <v>1.4833299999999999E-3</v>
      </c>
      <c r="N867" s="18">
        <f t="shared" si="79"/>
        <v>10.099252305</v>
      </c>
      <c r="O867" s="15"/>
      <c r="P867" s="20">
        <f t="shared" si="80"/>
        <v>0</v>
      </c>
      <c r="Q867" s="15"/>
      <c r="R867" s="20">
        <f t="shared" si="81"/>
        <v>0</v>
      </c>
      <c r="S867" s="130"/>
      <c r="T867" s="20">
        <f t="shared" si="82"/>
        <v>16.063095468749999</v>
      </c>
    </row>
    <row r="868" spans="1:20">
      <c r="A868" s="13" t="s">
        <v>21</v>
      </c>
      <c r="B868" s="14" t="s">
        <v>180</v>
      </c>
      <c r="C868" s="14" t="s">
        <v>181</v>
      </c>
      <c r="D868" s="13" t="s">
        <v>182</v>
      </c>
      <c r="E868" s="14" t="s">
        <v>75</v>
      </c>
      <c r="F868" s="13" t="s">
        <v>26</v>
      </c>
      <c r="G868" s="14" t="s">
        <v>20</v>
      </c>
      <c r="H868" s="14"/>
      <c r="I868" s="14">
        <v>201407</v>
      </c>
      <c r="J868" s="15">
        <v>281.14</v>
      </c>
      <c r="K868" s="21">
        <f t="shared" si="83"/>
        <v>42675</v>
      </c>
      <c r="L868" s="16">
        <f t="shared" si="84"/>
        <v>6</v>
      </c>
      <c r="M868" s="17">
        <v>1.4833299999999999E-3</v>
      </c>
      <c r="N868" s="18">
        <f t="shared" si="79"/>
        <v>2.5021403771999999</v>
      </c>
      <c r="O868" s="15"/>
      <c r="P868" s="20">
        <f t="shared" si="80"/>
        <v>0</v>
      </c>
      <c r="Q868" s="15"/>
      <c r="R868" s="20">
        <f t="shared" si="81"/>
        <v>0</v>
      </c>
      <c r="S868" s="130"/>
      <c r="T868" s="20">
        <f t="shared" si="82"/>
        <v>3.9797124124999992</v>
      </c>
    </row>
    <row r="869" spans="1:20">
      <c r="A869" s="13" t="s">
        <v>21</v>
      </c>
      <c r="B869" s="14" t="s">
        <v>350</v>
      </c>
      <c r="C869" s="14" t="s">
        <v>351</v>
      </c>
      <c r="D869" s="13" t="s">
        <v>352</v>
      </c>
      <c r="E869" s="14" t="s">
        <v>75</v>
      </c>
      <c r="F869" s="13" t="s">
        <v>26</v>
      </c>
      <c r="G869" s="14" t="s">
        <v>20</v>
      </c>
      <c r="H869" s="14"/>
      <c r="I869" s="14">
        <v>201407</v>
      </c>
      <c r="J869" s="15">
        <v>26.31</v>
      </c>
      <c r="K869" s="21">
        <f t="shared" si="83"/>
        <v>42675</v>
      </c>
      <c r="L869" s="16">
        <f t="shared" si="84"/>
        <v>6</v>
      </c>
      <c r="M869" s="17">
        <v>1.4833299999999999E-3</v>
      </c>
      <c r="N869" s="18">
        <f t="shared" si="79"/>
        <v>0.23415847379999999</v>
      </c>
      <c r="O869" s="15"/>
      <c r="P869" s="20">
        <f t="shared" si="80"/>
        <v>0</v>
      </c>
      <c r="Q869" s="15"/>
      <c r="R869" s="20">
        <f t="shared" si="81"/>
        <v>0</v>
      </c>
      <c r="S869" s="130"/>
      <c r="T869" s="20">
        <f t="shared" si="82"/>
        <v>0.37243449374999998</v>
      </c>
    </row>
    <row r="870" spans="1:20">
      <c r="A870" s="13" t="s">
        <v>21</v>
      </c>
      <c r="B870" s="14" t="s">
        <v>81</v>
      </c>
      <c r="C870" s="14" t="s">
        <v>82</v>
      </c>
      <c r="D870" s="13" t="s">
        <v>83</v>
      </c>
      <c r="E870" s="14" t="s">
        <v>75</v>
      </c>
      <c r="F870" s="13" t="s">
        <v>26</v>
      </c>
      <c r="G870" s="14" t="s">
        <v>20</v>
      </c>
      <c r="H870" s="14"/>
      <c r="I870" s="14">
        <v>201407</v>
      </c>
      <c r="J870" s="15">
        <v>1141.3699999999999</v>
      </c>
      <c r="K870" s="21">
        <f t="shared" si="83"/>
        <v>42675</v>
      </c>
      <c r="L870" s="16">
        <f t="shared" si="84"/>
        <v>6</v>
      </c>
      <c r="M870" s="17">
        <v>1.4833299999999999E-3</v>
      </c>
      <c r="N870" s="18">
        <f t="shared" si="79"/>
        <v>10.158170172599998</v>
      </c>
      <c r="O870" s="15"/>
      <c r="P870" s="20">
        <f t="shared" si="80"/>
        <v>0</v>
      </c>
      <c r="Q870" s="15"/>
      <c r="R870" s="20">
        <f t="shared" si="81"/>
        <v>0</v>
      </c>
      <c r="S870" s="130"/>
      <c r="T870" s="20">
        <f t="shared" si="82"/>
        <v>16.156805706249997</v>
      </c>
    </row>
    <row r="871" spans="1:20">
      <c r="A871" s="13" t="s">
        <v>21</v>
      </c>
      <c r="B871" s="14" t="s">
        <v>431</v>
      </c>
      <c r="C871" s="14" t="s">
        <v>432</v>
      </c>
      <c r="D871" s="13" t="s">
        <v>433</v>
      </c>
      <c r="E871" s="14" t="s">
        <v>75</v>
      </c>
      <c r="F871" s="13" t="s">
        <v>26</v>
      </c>
      <c r="G871" s="14" t="s">
        <v>20</v>
      </c>
      <c r="H871" s="14"/>
      <c r="I871" s="14">
        <v>201407</v>
      </c>
      <c r="J871" s="15">
        <v>-26393.27</v>
      </c>
      <c r="K871" s="21">
        <f t="shared" si="83"/>
        <v>42675</v>
      </c>
      <c r="L871" s="16">
        <f t="shared" si="84"/>
        <v>6</v>
      </c>
      <c r="M871" s="17">
        <v>1.4833299999999999E-3</v>
      </c>
      <c r="N871" s="18">
        <f t="shared" si="79"/>
        <v>-234.89957513460001</v>
      </c>
      <c r="O871" s="15"/>
      <c r="P871" s="20">
        <f t="shared" si="80"/>
        <v>0</v>
      </c>
      <c r="Q871" s="15"/>
      <c r="R871" s="20">
        <f t="shared" si="81"/>
        <v>0</v>
      </c>
      <c r="S871" s="130"/>
      <c r="T871" s="20">
        <f t="shared" si="82"/>
        <v>-373.61323264375</v>
      </c>
    </row>
    <row r="872" spans="1:20">
      <c r="A872" s="13" t="s">
        <v>626</v>
      </c>
      <c r="B872" s="14" t="s">
        <v>431</v>
      </c>
      <c r="C872" s="14" t="s">
        <v>432</v>
      </c>
      <c r="D872" s="13" t="s">
        <v>433</v>
      </c>
      <c r="E872" s="14" t="s">
        <v>75</v>
      </c>
      <c r="F872" s="13" t="s">
        <v>26</v>
      </c>
      <c r="G872" s="14" t="s">
        <v>20</v>
      </c>
      <c r="H872" s="14"/>
      <c r="I872" s="14">
        <v>201407</v>
      </c>
      <c r="J872" s="15">
        <v>40397.71</v>
      </c>
      <c r="K872" s="21">
        <f t="shared" si="83"/>
        <v>42675</v>
      </c>
      <c r="L872" s="16">
        <f t="shared" si="84"/>
        <v>6</v>
      </c>
      <c r="M872" s="17">
        <v>1.4833299999999999E-3</v>
      </c>
      <c r="N872" s="18">
        <f t="shared" si="79"/>
        <v>359.5388110458</v>
      </c>
      <c r="O872" s="15"/>
      <c r="P872" s="20">
        <f t="shared" si="80"/>
        <v>0</v>
      </c>
      <c r="Q872" s="15"/>
      <c r="R872" s="20">
        <f t="shared" si="81"/>
        <v>0</v>
      </c>
      <c r="S872" s="130"/>
      <c r="T872" s="20">
        <f t="shared" si="82"/>
        <v>571.85483361875004</v>
      </c>
    </row>
    <row r="873" spans="1:20">
      <c r="A873" s="13" t="s">
        <v>21</v>
      </c>
      <c r="B873" s="14" t="s">
        <v>403</v>
      </c>
      <c r="C873" s="14" t="s">
        <v>404</v>
      </c>
      <c r="D873" s="13" t="s">
        <v>405</v>
      </c>
      <c r="E873" s="14" t="s">
        <v>75</v>
      </c>
      <c r="F873" s="13" t="s">
        <v>26</v>
      </c>
      <c r="G873" s="14" t="s">
        <v>20</v>
      </c>
      <c r="H873" s="14"/>
      <c r="I873" s="14">
        <v>201407</v>
      </c>
      <c r="J873" s="15">
        <v>1102.18</v>
      </c>
      <c r="K873" s="21">
        <f t="shared" si="83"/>
        <v>42675</v>
      </c>
      <c r="L873" s="16">
        <f t="shared" si="84"/>
        <v>6</v>
      </c>
      <c r="M873" s="17">
        <v>1.4833299999999999E-3</v>
      </c>
      <c r="N873" s="18">
        <f t="shared" si="79"/>
        <v>9.8093799564000008</v>
      </c>
      <c r="O873" s="15"/>
      <c r="P873" s="20">
        <f t="shared" si="80"/>
        <v>0</v>
      </c>
      <c r="Q873" s="15"/>
      <c r="R873" s="20">
        <f t="shared" si="81"/>
        <v>0</v>
      </c>
      <c r="S873" s="130"/>
      <c r="T873" s="20">
        <f t="shared" si="82"/>
        <v>15.602046762499999</v>
      </c>
    </row>
    <row r="874" spans="1:20">
      <c r="A874" s="13" t="s">
        <v>626</v>
      </c>
      <c r="B874" s="14" t="s">
        <v>730</v>
      </c>
      <c r="C874" s="14" t="s">
        <v>731</v>
      </c>
      <c r="D874" s="13" t="s">
        <v>732</v>
      </c>
      <c r="E874" s="14" t="s">
        <v>75</v>
      </c>
      <c r="F874" s="13" t="s">
        <v>26</v>
      </c>
      <c r="G874" s="14" t="s">
        <v>20</v>
      </c>
      <c r="H874" s="14"/>
      <c r="I874" s="14">
        <v>201407</v>
      </c>
      <c r="J874" s="15">
        <v>156917.41</v>
      </c>
      <c r="K874" s="21">
        <f t="shared" si="83"/>
        <v>42675</v>
      </c>
      <c r="L874" s="16">
        <f t="shared" si="84"/>
        <v>6</v>
      </c>
      <c r="M874" s="17">
        <v>1.4833299999999999E-3</v>
      </c>
      <c r="N874" s="18">
        <f t="shared" si="79"/>
        <v>1396.5618106518</v>
      </c>
      <c r="O874" s="15"/>
      <c r="P874" s="20">
        <f t="shared" si="80"/>
        <v>0</v>
      </c>
      <c r="Q874" s="15"/>
      <c r="R874" s="20">
        <f t="shared" si="81"/>
        <v>0</v>
      </c>
      <c r="S874" s="130"/>
      <c r="T874" s="20">
        <f t="shared" si="82"/>
        <v>2221.26401193125</v>
      </c>
    </row>
    <row r="875" spans="1:20">
      <c r="A875" s="13" t="s">
        <v>21</v>
      </c>
      <c r="B875" s="14" t="s">
        <v>735</v>
      </c>
      <c r="C875" s="14" t="s">
        <v>736</v>
      </c>
      <c r="D875" s="13" t="s">
        <v>737</v>
      </c>
      <c r="E875" s="14" t="s">
        <v>75</v>
      </c>
      <c r="F875" s="13" t="s">
        <v>26</v>
      </c>
      <c r="G875" s="14" t="s">
        <v>20</v>
      </c>
      <c r="H875" s="14"/>
      <c r="I875" s="14">
        <v>201407</v>
      </c>
      <c r="J875" s="15">
        <v>24435.3</v>
      </c>
      <c r="K875" s="21">
        <f t="shared" si="83"/>
        <v>42675</v>
      </c>
      <c r="L875" s="16">
        <f t="shared" si="84"/>
        <v>6</v>
      </c>
      <c r="M875" s="17">
        <v>1.4833299999999999E-3</v>
      </c>
      <c r="N875" s="18">
        <f t="shared" si="79"/>
        <v>217.47368129399999</v>
      </c>
      <c r="O875" s="15"/>
      <c r="P875" s="20">
        <f t="shared" si="80"/>
        <v>0</v>
      </c>
      <c r="Q875" s="15"/>
      <c r="R875" s="20">
        <f t="shared" si="81"/>
        <v>0</v>
      </c>
      <c r="S875" s="130"/>
      <c r="T875" s="20">
        <f t="shared" si="82"/>
        <v>345.89694356249998</v>
      </c>
    </row>
    <row r="876" spans="1:20">
      <c r="A876" s="13" t="s">
        <v>21</v>
      </c>
      <c r="B876" s="14" t="s">
        <v>465</v>
      </c>
      <c r="C876" s="14" t="s">
        <v>466</v>
      </c>
      <c r="D876" s="13" t="s">
        <v>467</v>
      </c>
      <c r="E876" s="14" t="s">
        <v>75</v>
      </c>
      <c r="F876" s="13" t="s">
        <v>26</v>
      </c>
      <c r="G876" s="14" t="s">
        <v>20</v>
      </c>
      <c r="H876" s="14"/>
      <c r="I876" s="14">
        <v>201407</v>
      </c>
      <c r="J876" s="15">
        <v>-12034.63</v>
      </c>
      <c r="K876" s="21">
        <f t="shared" si="83"/>
        <v>42675</v>
      </c>
      <c r="L876" s="16">
        <f t="shared" si="84"/>
        <v>6</v>
      </c>
      <c r="M876" s="17">
        <v>1.4833299999999999E-3</v>
      </c>
      <c r="N876" s="18">
        <f t="shared" si="79"/>
        <v>-107.10796630739999</v>
      </c>
      <c r="O876" s="15"/>
      <c r="P876" s="20">
        <f t="shared" si="80"/>
        <v>0</v>
      </c>
      <c r="Q876" s="15"/>
      <c r="R876" s="20">
        <f t="shared" si="81"/>
        <v>0</v>
      </c>
      <c r="S876" s="130"/>
      <c r="T876" s="20">
        <f t="shared" si="82"/>
        <v>-170.35770929374999</v>
      </c>
    </row>
    <row r="877" spans="1:20">
      <c r="A877" s="13" t="s">
        <v>626</v>
      </c>
      <c r="B877" s="14" t="s">
        <v>465</v>
      </c>
      <c r="C877" s="14" t="s">
        <v>466</v>
      </c>
      <c r="D877" s="13" t="s">
        <v>467</v>
      </c>
      <c r="E877" s="14" t="s">
        <v>75</v>
      </c>
      <c r="F877" s="13" t="s">
        <v>26</v>
      </c>
      <c r="G877" s="14" t="s">
        <v>20</v>
      </c>
      <c r="H877" s="14"/>
      <c r="I877" s="14">
        <v>201407</v>
      </c>
      <c r="J877" s="15">
        <v>9999.59</v>
      </c>
      <c r="K877" s="21">
        <f t="shared" si="83"/>
        <v>42675</v>
      </c>
      <c r="L877" s="16">
        <f t="shared" si="84"/>
        <v>6</v>
      </c>
      <c r="M877" s="17">
        <v>1.4833299999999999E-3</v>
      </c>
      <c r="N877" s="18">
        <f t="shared" si="79"/>
        <v>88.996151008200002</v>
      </c>
      <c r="O877" s="15"/>
      <c r="P877" s="20">
        <f t="shared" si="80"/>
        <v>0</v>
      </c>
      <c r="Q877" s="15"/>
      <c r="R877" s="20">
        <f t="shared" si="81"/>
        <v>0</v>
      </c>
      <c r="S877" s="130"/>
      <c r="T877" s="20">
        <f t="shared" si="82"/>
        <v>141.55044619374999</v>
      </c>
    </row>
    <row r="878" spans="1:20">
      <c r="A878" s="13" t="s">
        <v>626</v>
      </c>
      <c r="B878" s="14" t="s">
        <v>785</v>
      </c>
      <c r="C878" s="14" t="s">
        <v>786</v>
      </c>
      <c r="D878" s="13" t="s">
        <v>787</v>
      </c>
      <c r="E878" s="14" t="s">
        <v>75</v>
      </c>
      <c r="F878" s="13" t="s">
        <v>26</v>
      </c>
      <c r="G878" s="14" t="s">
        <v>20</v>
      </c>
      <c r="H878" s="14"/>
      <c r="I878" s="14">
        <v>201407</v>
      </c>
      <c r="J878" s="15">
        <v>923.98</v>
      </c>
      <c r="K878" s="21">
        <f t="shared" si="83"/>
        <v>42675</v>
      </c>
      <c r="L878" s="16">
        <f t="shared" si="84"/>
        <v>6</v>
      </c>
      <c r="M878" s="17">
        <v>1.4833299999999999E-3</v>
      </c>
      <c r="N878" s="18">
        <f t="shared" si="79"/>
        <v>8.2234035203999998</v>
      </c>
      <c r="O878" s="15"/>
      <c r="P878" s="20">
        <f t="shared" si="80"/>
        <v>0</v>
      </c>
      <c r="Q878" s="15"/>
      <c r="R878" s="20">
        <f t="shared" si="81"/>
        <v>0</v>
      </c>
      <c r="S878" s="130"/>
      <c r="T878" s="20">
        <f t="shared" si="82"/>
        <v>13.0795143875</v>
      </c>
    </row>
    <row r="879" spans="1:20">
      <c r="A879" s="13" t="s">
        <v>21</v>
      </c>
      <c r="B879" s="14" t="s">
        <v>561</v>
      </c>
      <c r="C879" s="14" t="s">
        <v>562</v>
      </c>
      <c r="D879" s="13" t="s">
        <v>563</v>
      </c>
      <c r="E879" s="14" t="s">
        <v>75</v>
      </c>
      <c r="F879" s="13" t="s">
        <v>26</v>
      </c>
      <c r="G879" s="14" t="s">
        <v>20</v>
      </c>
      <c r="H879" s="14"/>
      <c r="I879" s="14">
        <v>201407</v>
      </c>
      <c r="J879" s="15">
        <v>-0.01</v>
      </c>
      <c r="K879" s="21">
        <f t="shared" si="83"/>
        <v>42675</v>
      </c>
      <c r="L879" s="16">
        <f t="shared" si="84"/>
        <v>6</v>
      </c>
      <c r="M879" s="17">
        <v>1.4833299999999999E-3</v>
      </c>
      <c r="N879" s="18">
        <f t="shared" si="79"/>
        <v>-8.8999800000000008E-5</v>
      </c>
      <c r="O879" s="15"/>
      <c r="P879" s="20">
        <f t="shared" si="80"/>
        <v>0</v>
      </c>
      <c r="Q879" s="15"/>
      <c r="R879" s="20">
        <f t="shared" si="81"/>
        <v>0</v>
      </c>
      <c r="S879" s="130"/>
      <c r="T879" s="20">
        <f t="shared" si="82"/>
        <v>-1.4155624999999999E-4</v>
      </c>
    </row>
    <row r="880" spans="1:20">
      <c r="A880" s="13" t="s">
        <v>626</v>
      </c>
      <c r="B880" s="14" t="s">
        <v>776</v>
      </c>
      <c r="C880" s="14" t="s">
        <v>777</v>
      </c>
      <c r="D880" s="13" t="s">
        <v>778</v>
      </c>
      <c r="E880" s="14" t="s">
        <v>75</v>
      </c>
      <c r="F880" s="13" t="s">
        <v>26</v>
      </c>
      <c r="G880" s="14" t="s">
        <v>20</v>
      </c>
      <c r="H880" s="14"/>
      <c r="I880" s="14">
        <v>201407</v>
      </c>
      <c r="J880" s="15">
        <v>407.53</v>
      </c>
      <c r="K880" s="21">
        <f t="shared" si="83"/>
        <v>42675</v>
      </c>
      <c r="L880" s="16">
        <f t="shared" si="84"/>
        <v>6</v>
      </c>
      <c r="M880" s="17">
        <v>1.4833299999999999E-3</v>
      </c>
      <c r="N880" s="18">
        <f t="shared" si="79"/>
        <v>3.6270088493999997</v>
      </c>
      <c r="O880" s="15"/>
      <c r="P880" s="20">
        <f t="shared" si="80"/>
        <v>0</v>
      </c>
      <c r="Q880" s="15"/>
      <c r="R880" s="20">
        <f t="shared" si="81"/>
        <v>0</v>
      </c>
      <c r="S880" s="130"/>
      <c r="T880" s="20">
        <f t="shared" si="82"/>
        <v>5.768841856249999</v>
      </c>
    </row>
    <row r="881" spans="1:20">
      <c r="A881" s="13" t="s">
        <v>21</v>
      </c>
      <c r="B881" s="14" t="s">
        <v>607</v>
      </c>
      <c r="C881" s="14" t="s">
        <v>608</v>
      </c>
      <c r="D881" s="13" t="s">
        <v>609</v>
      </c>
      <c r="E881" s="14" t="s">
        <v>75</v>
      </c>
      <c r="F881" s="13" t="s">
        <v>26</v>
      </c>
      <c r="G881" s="14" t="s">
        <v>20</v>
      </c>
      <c r="H881" s="14"/>
      <c r="I881" s="14">
        <v>201407</v>
      </c>
      <c r="J881" s="15">
        <v>2542.06</v>
      </c>
      <c r="K881" s="21">
        <f t="shared" si="83"/>
        <v>42675</v>
      </c>
      <c r="L881" s="16">
        <f t="shared" si="84"/>
        <v>6</v>
      </c>
      <c r="M881" s="17">
        <v>1.4833299999999999E-3</v>
      </c>
      <c r="N881" s="18">
        <f t="shared" si="79"/>
        <v>22.624283158800001</v>
      </c>
      <c r="O881" s="15"/>
      <c r="P881" s="20">
        <f t="shared" si="80"/>
        <v>0</v>
      </c>
      <c r="Q881" s="15"/>
      <c r="R881" s="20">
        <f t="shared" si="81"/>
        <v>0</v>
      </c>
      <c r="S881" s="130"/>
      <c r="T881" s="20">
        <f t="shared" si="82"/>
        <v>35.984448087499992</v>
      </c>
    </row>
    <row r="882" spans="1:20">
      <c r="A882" s="13" t="s">
        <v>21</v>
      </c>
      <c r="B882" s="14" t="s">
        <v>409</v>
      </c>
      <c r="C882" s="14" t="s">
        <v>410</v>
      </c>
      <c r="D882" s="13" t="s">
        <v>411</v>
      </c>
      <c r="E882" s="14" t="s">
        <v>75</v>
      </c>
      <c r="F882" s="13" t="s">
        <v>26</v>
      </c>
      <c r="G882" s="14" t="s">
        <v>20</v>
      </c>
      <c r="H882" s="14"/>
      <c r="I882" s="14">
        <v>201407</v>
      </c>
      <c r="J882" s="15">
        <v>772.95</v>
      </c>
      <c r="K882" s="21">
        <f t="shared" si="83"/>
        <v>42675</v>
      </c>
      <c r="L882" s="16">
        <f t="shared" si="84"/>
        <v>6</v>
      </c>
      <c r="M882" s="17">
        <v>1.4833299999999999E-3</v>
      </c>
      <c r="N882" s="18">
        <f t="shared" si="79"/>
        <v>6.8792395410000005</v>
      </c>
      <c r="O882" s="15"/>
      <c r="P882" s="20">
        <f t="shared" si="80"/>
        <v>0</v>
      </c>
      <c r="Q882" s="15"/>
      <c r="R882" s="20">
        <f t="shared" si="81"/>
        <v>0</v>
      </c>
      <c r="S882" s="130"/>
      <c r="T882" s="20">
        <f t="shared" si="82"/>
        <v>10.941590343750001</v>
      </c>
    </row>
    <row r="883" spans="1:20">
      <c r="A883" s="13" t="s">
        <v>21</v>
      </c>
      <c r="B883" s="14" t="s">
        <v>95</v>
      </c>
      <c r="C883" s="14" t="s">
        <v>96</v>
      </c>
      <c r="D883" s="13" t="s">
        <v>97</v>
      </c>
      <c r="E883" s="14" t="s">
        <v>75</v>
      </c>
      <c r="F883" s="13" t="s">
        <v>26</v>
      </c>
      <c r="G883" s="14" t="s">
        <v>20</v>
      </c>
      <c r="H883" s="14"/>
      <c r="I883" s="14">
        <v>201407</v>
      </c>
      <c r="J883" s="15">
        <v>483.74</v>
      </c>
      <c r="K883" s="21">
        <f t="shared" si="83"/>
        <v>42675</v>
      </c>
      <c r="L883" s="16">
        <f t="shared" si="84"/>
        <v>6</v>
      </c>
      <c r="M883" s="17">
        <v>1.4833299999999999E-3</v>
      </c>
      <c r="N883" s="18">
        <f t="shared" si="79"/>
        <v>4.3052763252000004</v>
      </c>
      <c r="O883" s="15"/>
      <c r="P883" s="20">
        <f t="shared" si="80"/>
        <v>0</v>
      </c>
      <c r="Q883" s="15"/>
      <c r="R883" s="20">
        <f t="shared" si="81"/>
        <v>0</v>
      </c>
      <c r="S883" s="130"/>
      <c r="T883" s="20">
        <f t="shared" si="82"/>
        <v>6.8476420375</v>
      </c>
    </row>
    <row r="884" spans="1:20">
      <c r="A884" s="13" t="s">
        <v>21</v>
      </c>
      <c r="B884" s="14" t="s">
        <v>150</v>
      </c>
      <c r="C884" s="14" t="s">
        <v>151</v>
      </c>
      <c r="D884" s="13" t="s">
        <v>152</v>
      </c>
      <c r="E884" s="14" t="s">
        <v>75</v>
      </c>
      <c r="F884" s="13" t="s">
        <v>26</v>
      </c>
      <c r="G884" s="14" t="s">
        <v>20</v>
      </c>
      <c r="H884" s="14"/>
      <c r="I884" s="14">
        <v>201407</v>
      </c>
      <c r="J884" s="15">
        <v>418.43</v>
      </c>
      <c r="K884" s="21">
        <f t="shared" si="83"/>
        <v>42675</v>
      </c>
      <c r="L884" s="16">
        <f t="shared" si="84"/>
        <v>6</v>
      </c>
      <c r="M884" s="17">
        <v>1.4833299999999999E-3</v>
      </c>
      <c r="N884" s="18">
        <f t="shared" si="79"/>
        <v>3.7240186313999999</v>
      </c>
      <c r="O884" s="15"/>
      <c r="P884" s="20">
        <f t="shared" si="80"/>
        <v>0</v>
      </c>
      <c r="Q884" s="15"/>
      <c r="R884" s="20">
        <f t="shared" si="81"/>
        <v>0</v>
      </c>
      <c r="S884" s="130"/>
      <c r="T884" s="20">
        <f t="shared" si="82"/>
        <v>5.9231381687499995</v>
      </c>
    </row>
    <row r="885" spans="1:20">
      <c r="A885" s="13" t="s">
        <v>21</v>
      </c>
      <c r="B885" s="14" t="s">
        <v>277</v>
      </c>
      <c r="C885" s="14" t="s">
        <v>278</v>
      </c>
      <c r="D885" s="13" t="s">
        <v>279</v>
      </c>
      <c r="E885" s="14" t="s">
        <v>280</v>
      </c>
      <c r="F885" s="13" t="s">
        <v>26</v>
      </c>
      <c r="G885" s="14" t="s">
        <v>20</v>
      </c>
      <c r="H885" s="14"/>
      <c r="I885" s="14">
        <v>201407</v>
      </c>
      <c r="J885" s="15">
        <v>1523.18</v>
      </c>
      <c r="K885" s="21">
        <f t="shared" si="83"/>
        <v>42675</v>
      </c>
      <c r="L885" s="16">
        <f t="shared" si="84"/>
        <v>6</v>
      </c>
      <c r="M885" s="17">
        <v>1.4833299999999999E-3</v>
      </c>
      <c r="N885" s="18">
        <f t="shared" si="79"/>
        <v>13.556271536400001</v>
      </c>
      <c r="O885" s="15"/>
      <c r="P885" s="20">
        <f t="shared" si="80"/>
        <v>0</v>
      </c>
      <c r="Q885" s="15"/>
      <c r="R885" s="20">
        <f t="shared" si="81"/>
        <v>0</v>
      </c>
      <c r="S885" s="130"/>
      <c r="T885" s="20">
        <f t="shared" si="82"/>
        <v>21.561564887500001</v>
      </c>
    </row>
    <row r="886" spans="1:20">
      <c r="A886" s="13" t="s">
        <v>21</v>
      </c>
      <c r="B886" s="14" t="s">
        <v>660</v>
      </c>
      <c r="C886" s="14" t="s">
        <v>661</v>
      </c>
      <c r="D886" s="13" t="s">
        <v>662</v>
      </c>
      <c r="E886" s="14" t="s">
        <v>280</v>
      </c>
      <c r="F886" s="13" t="s">
        <v>26</v>
      </c>
      <c r="G886" s="14" t="s">
        <v>20</v>
      </c>
      <c r="H886" s="14"/>
      <c r="I886" s="14">
        <v>201407</v>
      </c>
      <c r="J886" s="15">
        <v>0.19</v>
      </c>
      <c r="K886" s="21">
        <f t="shared" si="83"/>
        <v>42675</v>
      </c>
      <c r="L886" s="16">
        <f t="shared" si="84"/>
        <v>6</v>
      </c>
      <c r="M886" s="17">
        <v>1.4833299999999999E-3</v>
      </c>
      <c r="N886" s="18">
        <f t="shared" si="79"/>
        <v>1.6909962E-3</v>
      </c>
      <c r="O886" s="15"/>
      <c r="P886" s="20">
        <f t="shared" si="80"/>
        <v>0</v>
      </c>
      <c r="Q886" s="15"/>
      <c r="R886" s="20">
        <f t="shared" si="81"/>
        <v>0</v>
      </c>
      <c r="S886" s="130"/>
      <c r="T886" s="20">
        <f t="shared" si="82"/>
        <v>2.6895687499999999E-3</v>
      </c>
    </row>
    <row r="887" spans="1:20">
      <c r="A887" s="13" t="s">
        <v>21</v>
      </c>
      <c r="B887" s="14" t="s">
        <v>592</v>
      </c>
      <c r="C887" s="14" t="s">
        <v>593</v>
      </c>
      <c r="D887" s="13" t="s">
        <v>594</v>
      </c>
      <c r="E887" s="14" t="s">
        <v>156</v>
      </c>
      <c r="F887" s="13" t="s">
        <v>26</v>
      </c>
      <c r="G887" s="14" t="s">
        <v>20</v>
      </c>
      <c r="H887" s="14"/>
      <c r="I887" s="14">
        <v>201407</v>
      </c>
      <c r="J887" s="15">
        <v>637.45000000000005</v>
      </c>
      <c r="K887" s="21">
        <f t="shared" si="83"/>
        <v>42675</v>
      </c>
      <c r="L887" s="16">
        <f t="shared" si="84"/>
        <v>6</v>
      </c>
      <c r="M887" s="17">
        <v>1.4833299999999999E-3</v>
      </c>
      <c r="N887" s="18">
        <f t="shared" si="79"/>
        <v>5.6732922510000003</v>
      </c>
      <c r="O887" s="15"/>
      <c r="P887" s="20">
        <f t="shared" si="80"/>
        <v>0</v>
      </c>
      <c r="Q887" s="15"/>
      <c r="R887" s="20">
        <f t="shared" si="81"/>
        <v>0</v>
      </c>
      <c r="S887" s="130"/>
      <c r="T887" s="20">
        <f t="shared" si="82"/>
        <v>9.0235031562499994</v>
      </c>
    </row>
    <row r="888" spans="1:20">
      <c r="A888" s="13" t="s">
        <v>21</v>
      </c>
      <c r="B888" s="14" t="s">
        <v>501</v>
      </c>
      <c r="C888" s="14" t="s">
        <v>502</v>
      </c>
      <c r="D888" s="13" t="s">
        <v>503</v>
      </c>
      <c r="E888" s="14" t="s">
        <v>280</v>
      </c>
      <c r="F888" s="13" t="s">
        <v>26</v>
      </c>
      <c r="G888" s="14" t="s">
        <v>20</v>
      </c>
      <c r="H888" s="14"/>
      <c r="I888" s="14">
        <v>201407</v>
      </c>
      <c r="J888" s="15">
        <v>3115.96</v>
      </c>
      <c r="K888" s="21">
        <f t="shared" si="83"/>
        <v>42675</v>
      </c>
      <c r="L888" s="16">
        <f t="shared" si="84"/>
        <v>6</v>
      </c>
      <c r="M888" s="17">
        <v>1.4833299999999999E-3</v>
      </c>
      <c r="N888" s="18">
        <f t="shared" si="79"/>
        <v>27.731981680800001</v>
      </c>
      <c r="O888" s="15"/>
      <c r="P888" s="20">
        <f t="shared" si="80"/>
        <v>0</v>
      </c>
      <c r="Q888" s="15"/>
      <c r="R888" s="20">
        <f t="shared" si="81"/>
        <v>0</v>
      </c>
      <c r="S888" s="130"/>
      <c r="T888" s="20">
        <f t="shared" si="82"/>
        <v>44.108361274999993</v>
      </c>
    </row>
    <row r="889" spans="1:20">
      <c r="A889" s="13" t="s">
        <v>21</v>
      </c>
      <c r="B889" s="14" t="s">
        <v>376</v>
      </c>
      <c r="C889" s="14" t="s">
        <v>377</v>
      </c>
      <c r="D889" s="13" t="s">
        <v>378</v>
      </c>
      <c r="E889" s="14" t="s">
        <v>156</v>
      </c>
      <c r="F889" s="13" t="s">
        <v>26</v>
      </c>
      <c r="G889" s="14" t="s">
        <v>20</v>
      </c>
      <c r="H889" s="14"/>
      <c r="I889" s="14">
        <v>201407</v>
      </c>
      <c r="J889" s="15">
        <v>814.94</v>
      </c>
      <c r="K889" s="21">
        <f t="shared" si="83"/>
        <v>42675</v>
      </c>
      <c r="L889" s="16">
        <f t="shared" si="84"/>
        <v>6</v>
      </c>
      <c r="M889" s="17">
        <v>1.4833299999999999E-3</v>
      </c>
      <c r="N889" s="18">
        <f t="shared" si="79"/>
        <v>7.2529497012000004</v>
      </c>
      <c r="O889" s="15"/>
      <c r="P889" s="20">
        <f t="shared" si="80"/>
        <v>0</v>
      </c>
      <c r="Q889" s="15"/>
      <c r="R889" s="20">
        <f t="shared" si="81"/>
        <v>0</v>
      </c>
      <c r="S889" s="130"/>
      <c r="T889" s="20">
        <f t="shared" si="82"/>
        <v>11.5359850375</v>
      </c>
    </row>
    <row r="890" spans="1:20">
      <c r="A890" s="13" t="s">
        <v>21</v>
      </c>
      <c r="B890" s="14" t="s">
        <v>462</v>
      </c>
      <c r="C890" s="14" t="s">
        <v>463</v>
      </c>
      <c r="D890" s="13" t="s">
        <v>464</v>
      </c>
      <c r="E890" s="14" t="s">
        <v>280</v>
      </c>
      <c r="F890" s="13" t="s">
        <v>26</v>
      </c>
      <c r="G890" s="14" t="s">
        <v>20</v>
      </c>
      <c r="H890" s="14"/>
      <c r="I890" s="14">
        <v>201407</v>
      </c>
      <c r="J890" s="15">
        <v>1163.6400000000001</v>
      </c>
      <c r="K890" s="21">
        <f t="shared" si="83"/>
        <v>42675</v>
      </c>
      <c r="L890" s="16">
        <f t="shared" si="84"/>
        <v>6</v>
      </c>
      <c r="M890" s="17">
        <v>1.4833299999999999E-3</v>
      </c>
      <c r="N890" s="18">
        <f t="shared" si="79"/>
        <v>10.3563727272</v>
      </c>
      <c r="O890" s="15"/>
      <c r="P890" s="20">
        <f t="shared" si="80"/>
        <v>0</v>
      </c>
      <c r="Q890" s="15"/>
      <c r="R890" s="20">
        <f t="shared" si="81"/>
        <v>0</v>
      </c>
      <c r="S890" s="130"/>
      <c r="T890" s="20">
        <f t="shared" si="82"/>
        <v>16.472051475000001</v>
      </c>
    </row>
    <row r="891" spans="1:20">
      <c r="A891" s="13" t="s">
        <v>21</v>
      </c>
      <c r="B891" s="14" t="s">
        <v>153</v>
      </c>
      <c r="C891" s="14" t="s">
        <v>154</v>
      </c>
      <c r="D891" s="13" t="s">
        <v>155</v>
      </c>
      <c r="E891" s="14" t="s">
        <v>156</v>
      </c>
      <c r="F891" s="13" t="s">
        <v>26</v>
      </c>
      <c r="G891" s="14" t="s">
        <v>20</v>
      </c>
      <c r="H891" s="14"/>
      <c r="I891" s="14">
        <v>201407</v>
      </c>
      <c r="J891" s="15">
        <v>221.73</v>
      </c>
      <c r="K891" s="21">
        <f t="shared" si="83"/>
        <v>42675</v>
      </c>
      <c r="L891" s="16">
        <f t="shared" si="84"/>
        <v>6</v>
      </c>
      <c r="M891" s="17">
        <v>1.4833299999999999E-3</v>
      </c>
      <c r="N891" s="18">
        <f t="shared" si="79"/>
        <v>1.9733925654</v>
      </c>
      <c r="O891" s="15"/>
      <c r="P891" s="20">
        <f t="shared" si="80"/>
        <v>0</v>
      </c>
      <c r="Q891" s="15"/>
      <c r="R891" s="20">
        <f t="shared" si="81"/>
        <v>0</v>
      </c>
      <c r="S891" s="130"/>
      <c r="T891" s="20">
        <f t="shared" si="82"/>
        <v>3.1387267312499993</v>
      </c>
    </row>
    <row r="892" spans="1:20">
      <c r="A892" s="13" t="s">
        <v>21</v>
      </c>
      <c r="B892" s="14" t="s">
        <v>391</v>
      </c>
      <c r="C892" s="14" t="s">
        <v>392</v>
      </c>
      <c r="D892" s="13" t="s">
        <v>393</v>
      </c>
      <c r="E892" s="14" t="s">
        <v>156</v>
      </c>
      <c r="F892" s="13" t="s">
        <v>26</v>
      </c>
      <c r="G892" s="14" t="s">
        <v>20</v>
      </c>
      <c r="H892" s="14"/>
      <c r="I892" s="14">
        <v>201407</v>
      </c>
      <c r="J892" s="15">
        <v>250.29</v>
      </c>
      <c r="K892" s="21">
        <f t="shared" si="83"/>
        <v>42675</v>
      </c>
      <c r="L892" s="16">
        <f t="shared" si="84"/>
        <v>6</v>
      </c>
      <c r="M892" s="17">
        <v>1.4833299999999999E-3</v>
      </c>
      <c r="N892" s="18">
        <f t="shared" si="79"/>
        <v>2.2275759942</v>
      </c>
      <c r="O892" s="15"/>
      <c r="P892" s="20">
        <f t="shared" si="80"/>
        <v>0</v>
      </c>
      <c r="Q892" s="15"/>
      <c r="R892" s="20">
        <f t="shared" si="81"/>
        <v>0</v>
      </c>
      <c r="S892" s="130"/>
      <c r="T892" s="20">
        <f t="shared" si="82"/>
        <v>3.5430113812499995</v>
      </c>
    </row>
    <row r="893" spans="1:20">
      <c r="A893" s="13" t="s">
        <v>21</v>
      </c>
      <c r="B893" s="14" t="s">
        <v>425</v>
      </c>
      <c r="C893" s="14" t="s">
        <v>426</v>
      </c>
      <c r="D893" s="13" t="s">
        <v>427</v>
      </c>
      <c r="E893" s="14" t="s">
        <v>156</v>
      </c>
      <c r="F893" s="13" t="s">
        <v>26</v>
      </c>
      <c r="G893" s="14" t="s">
        <v>20</v>
      </c>
      <c r="H893" s="14"/>
      <c r="I893" s="14">
        <v>201407</v>
      </c>
      <c r="J893" s="15">
        <v>12897.98</v>
      </c>
      <c r="K893" s="21">
        <f t="shared" si="83"/>
        <v>42675</v>
      </c>
      <c r="L893" s="16">
        <f t="shared" si="84"/>
        <v>6</v>
      </c>
      <c r="M893" s="17">
        <v>1.4833299999999999E-3</v>
      </c>
      <c r="N893" s="18">
        <f t="shared" si="79"/>
        <v>114.7917640404</v>
      </c>
      <c r="O893" s="15"/>
      <c r="P893" s="20">
        <f t="shared" si="80"/>
        <v>0</v>
      </c>
      <c r="Q893" s="15"/>
      <c r="R893" s="20">
        <f t="shared" si="81"/>
        <v>0</v>
      </c>
      <c r="S893" s="130"/>
      <c r="T893" s="20">
        <f t="shared" si="82"/>
        <v>182.5789681375</v>
      </c>
    </row>
    <row r="894" spans="1:20">
      <c r="A894" s="13" t="s">
        <v>626</v>
      </c>
      <c r="B894" s="14" t="s">
        <v>779</v>
      </c>
      <c r="C894" s="14" t="s">
        <v>780</v>
      </c>
      <c r="D894" s="13" t="s">
        <v>781</v>
      </c>
      <c r="E894" s="14" t="s">
        <v>156</v>
      </c>
      <c r="F894" s="13" t="s">
        <v>26</v>
      </c>
      <c r="G894" s="14" t="s">
        <v>20</v>
      </c>
      <c r="H894" s="14"/>
      <c r="I894" s="14">
        <v>201407</v>
      </c>
      <c r="J894" s="15">
        <v>11177.31</v>
      </c>
      <c r="K894" s="21">
        <f t="shared" si="83"/>
        <v>42675</v>
      </c>
      <c r="L894" s="16">
        <f t="shared" si="84"/>
        <v>6</v>
      </c>
      <c r="M894" s="17">
        <v>1.4833299999999999E-3</v>
      </c>
      <c r="N894" s="18">
        <f t="shared" si="79"/>
        <v>99.477835453799997</v>
      </c>
      <c r="O894" s="15"/>
      <c r="P894" s="20">
        <f t="shared" si="80"/>
        <v>0</v>
      </c>
      <c r="Q894" s="15"/>
      <c r="R894" s="20">
        <f t="shared" si="81"/>
        <v>0</v>
      </c>
      <c r="S894" s="130"/>
      <c r="T894" s="20">
        <f t="shared" si="82"/>
        <v>158.22180886874997</v>
      </c>
    </row>
    <row r="895" spans="1:20">
      <c r="A895" s="13" t="s">
        <v>21</v>
      </c>
      <c r="B895" s="14" t="s">
        <v>636</v>
      </c>
      <c r="C895" s="14" t="s">
        <v>637</v>
      </c>
      <c r="D895" s="13" t="s">
        <v>638</v>
      </c>
      <c r="E895" s="14" t="s">
        <v>497</v>
      </c>
      <c r="F895" s="13" t="s">
        <v>26</v>
      </c>
      <c r="G895" s="14" t="s">
        <v>20</v>
      </c>
      <c r="H895" s="14"/>
      <c r="I895" s="14">
        <v>201407</v>
      </c>
      <c r="J895" s="15">
        <v>-0.04</v>
      </c>
      <c r="K895" s="21">
        <f t="shared" si="83"/>
        <v>42675</v>
      </c>
      <c r="L895" s="16">
        <f t="shared" si="84"/>
        <v>6</v>
      </c>
      <c r="M895" s="17">
        <v>1.4833299999999999E-3</v>
      </c>
      <c r="N895" s="18">
        <f t="shared" si="79"/>
        <v>-3.5599920000000003E-4</v>
      </c>
      <c r="O895" s="15"/>
      <c r="P895" s="20">
        <f t="shared" si="80"/>
        <v>0</v>
      </c>
      <c r="Q895" s="15"/>
      <c r="R895" s="20">
        <f t="shared" si="81"/>
        <v>0</v>
      </c>
      <c r="S895" s="130"/>
      <c r="T895" s="20">
        <f t="shared" si="82"/>
        <v>-5.6622499999999995E-4</v>
      </c>
    </row>
    <row r="896" spans="1:20">
      <c r="A896" s="13" t="s">
        <v>21</v>
      </c>
      <c r="B896" s="14" t="s">
        <v>669</v>
      </c>
      <c r="C896" s="14" t="s">
        <v>670</v>
      </c>
      <c r="D896" s="13" t="s">
        <v>671</v>
      </c>
      <c r="E896" s="14" t="s">
        <v>497</v>
      </c>
      <c r="F896" s="13" t="s">
        <v>26</v>
      </c>
      <c r="G896" s="14" t="s">
        <v>20</v>
      </c>
      <c r="H896" s="14"/>
      <c r="I896" s="14">
        <v>201407</v>
      </c>
      <c r="J896" s="15">
        <v>0.11</v>
      </c>
      <c r="K896" s="21">
        <f t="shared" si="83"/>
        <v>42675</v>
      </c>
      <c r="L896" s="16">
        <f t="shared" si="84"/>
        <v>6</v>
      </c>
      <c r="M896" s="17">
        <v>1.4833299999999999E-3</v>
      </c>
      <c r="N896" s="18">
        <f t="shared" si="79"/>
        <v>9.7899779999999995E-4</v>
      </c>
      <c r="O896" s="15"/>
      <c r="P896" s="20">
        <f t="shared" si="80"/>
        <v>0</v>
      </c>
      <c r="Q896" s="15"/>
      <c r="R896" s="20">
        <f t="shared" si="81"/>
        <v>0</v>
      </c>
      <c r="S896" s="130"/>
      <c r="T896" s="20">
        <f t="shared" si="82"/>
        <v>1.55711875E-3</v>
      </c>
    </row>
    <row r="897" spans="1:20">
      <c r="A897" s="13" t="s">
        <v>21</v>
      </c>
      <c r="B897" s="14" t="s">
        <v>545</v>
      </c>
      <c r="C897" s="14" t="s">
        <v>546</v>
      </c>
      <c r="D897" s="13" t="s">
        <v>547</v>
      </c>
      <c r="E897" s="14" t="s">
        <v>497</v>
      </c>
      <c r="F897" s="13" t="s">
        <v>26</v>
      </c>
      <c r="G897" s="14" t="s">
        <v>20</v>
      </c>
      <c r="H897" s="14"/>
      <c r="I897" s="14">
        <v>201407</v>
      </c>
      <c r="J897" s="15">
        <v>0.17</v>
      </c>
      <c r="K897" s="21">
        <f t="shared" si="83"/>
        <v>42675</v>
      </c>
      <c r="L897" s="16">
        <f t="shared" si="84"/>
        <v>6</v>
      </c>
      <c r="M897" s="17">
        <v>1.4833299999999999E-3</v>
      </c>
      <c r="N897" s="18">
        <f t="shared" si="79"/>
        <v>1.5129966000000002E-3</v>
      </c>
      <c r="O897" s="15"/>
      <c r="P897" s="20">
        <f t="shared" si="80"/>
        <v>0</v>
      </c>
      <c r="Q897" s="15"/>
      <c r="R897" s="20">
        <f t="shared" si="81"/>
        <v>0</v>
      </c>
      <c r="S897" s="130"/>
      <c r="T897" s="20">
        <f t="shared" si="82"/>
        <v>2.4064562499999998E-3</v>
      </c>
    </row>
    <row r="898" spans="1:20">
      <c r="A898" s="13" t="s">
        <v>21</v>
      </c>
      <c r="B898" s="14" t="s">
        <v>507</v>
      </c>
      <c r="C898" s="14" t="s">
        <v>508</v>
      </c>
      <c r="D898" s="13" t="s">
        <v>509</v>
      </c>
      <c r="E898" s="14" t="s">
        <v>260</v>
      </c>
      <c r="F898" s="13" t="s">
        <v>26</v>
      </c>
      <c r="G898" s="14" t="s">
        <v>20</v>
      </c>
      <c r="H898" s="14"/>
      <c r="I898" s="14">
        <v>201407</v>
      </c>
      <c r="J898" s="15">
        <v>458.78</v>
      </c>
      <c r="K898" s="21">
        <f t="shared" si="83"/>
        <v>42675</v>
      </c>
      <c r="L898" s="16">
        <f t="shared" si="84"/>
        <v>6</v>
      </c>
      <c r="M898" s="17">
        <v>1.4833299999999999E-3</v>
      </c>
      <c r="N898" s="18">
        <f t="shared" si="79"/>
        <v>4.0831328243999998</v>
      </c>
      <c r="O898" s="15"/>
      <c r="P898" s="20">
        <f t="shared" si="80"/>
        <v>0</v>
      </c>
      <c r="Q898" s="15"/>
      <c r="R898" s="20">
        <f t="shared" si="81"/>
        <v>0</v>
      </c>
      <c r="S898" s="130"/>
      <c r="T898" s="20">
        <f t="shared" si="82"/>
        <v>6.4943176374999991</v>
      </c>
    </row>
    <row r="899" spans="1:20">
      <c r="A899" s="13" t="s">
        <v>21</v>
      </c>
      <c r="B899" s="14" t="s">
        <v>551</v>
      </c>
      <c r="C899" s="14" t="s">
        <v>552</v>
      </c>
      <c r="D899" s="13" t="s">
        <v>553</v>
      </c>
      <c r="E899" s="14" t="s">
        <v>260</v>
      </c>
      <c r="F899" s="13" t="s">
        <v>26</v>
      </c>
      <c r="G899" s="14" t="s">
        <v>20</v>
      </c>
      <c r="H899" s="14"/>
      <c r="I899" s="14">
        <v>201407</v>
      </c>
      <c r="J899" s="15">
        <v>-153.91</v>
      </c>
      <c r="K899" s="21">
        <f t="shared" si="83"/>
        <v>42675</v>
      </c>
      <c r="L899" s="16">
        <f t="shared" si="84"/>
        <v>6</v>
      </c>
      <c r="M899" s="17">
        <v>1.4833299999999999E-3</v>
      </c>
      <c r="N899" s="18">
        <f t="shared" si="79"/>
        <v>-1.3697959218</v>
      </c>
      <c r="O899" s="15"/>
      <c r="P899" s="20">
        <f t="shared" si="80"/>
        <v>0</v>
      </c>
      <c r="Q899" s="15"/>
      <c r="R899" s="20">
        <f t="shared" si="81"/>
        <v>0</v>
      </c>
      <c r="S899" s="130"/>
      <c r="T899" s="20">
        <f t="shared" si="82"/>
        <v>-2.17869224375</v>
      </c>
    </row>
    <row r="900" spans="1:20">
      <c r="A900" s="13" t="s">
        <v>21</v>
      </c>
      <c r="B900" s="14" t="s">
        <v>494</v>
      </c>
      <c r="C900" s="14" t="s">
        <v>495</v>
      </c>
      <c r="D900" s="13" t="s">
        <v>496</v>
      </c>
      <c r="E900" s="14" t="s">
        <v>497</v>
      </c>
      <c r="F900" s="13" t="s">
        <v>26</v>
      </c>
      <c r="G900" s="14" t="s">
        <v>20</v>
      </c>
      <c r="H900" s="14"/>
      <c r="I900" s="14">
        <v>201407</v>
      </c>
      <c r="J900" s="15">
        <v>3028.34</v>
      </c>
      <c r="K900" s="21">
        <f t="shared" si="83"/>
        <v>42675</v>
      </c>
      <c r="L900" s="16">
        <f t="shared" si="84"/>
        <v>6</v>
      </c>
      <c r="M900" s="17">
        <v>1.4833299999999999E-3</v>
      </c>
      <c r="N900" s="18">
        <f t="shared" si="79"/>
        <v>26.952165433200001</v>
      </c>
      <c r="O900" s="15"/>
      <c r="P900" s="20">
        <f t="shared" si="80"/>
        <v>0</v>
      </c>
      <c r="Q900" s="15"/>
      <c r="R900" s="20">
        <f t="shared" si="81"/>
        <v>0</v>
      </c>
      <c r="S900" s="130"/>
      <c r="T900" s="20">
        <f t="shared" si="82"/>
        <v>42.868045412500003</v>
      </c>
    </row>
    <row r="901" spans="1:20">
      <c r="A901" s="13" t="s">
        <v>21</v>
      </c>
      <c r="B901" s="14" t="s">
        <v>510</v>
      </c>
      <c r="C901" s="14" t="s">
        <v>511</v>
      </c>
      <c r="D901" s="13" t="s">
        <v>512</v>
      </c>
      <c r="E901" s="14" t="s">
        <v>497</v>
      </c>
      <c r="F901" s="13" t="s">
        <v>26</v>
      </c>
      <c r="G901" s="14" t="s">
        <v>20</v>
      </c>
      <c r="H901" s="14"/>
      <c r="I901" s="14">
        <v>201407</v>
      </c>
      <c r="J901" s="15">
        <v>-29753.49</v>
      </c>
      <c r="K901" s="21">
        <f t="shared" si="83"/>
        <v>42675</v>
      </c>
      <c r="L901" s="16">
        <f t="shared" si="84"/>
        <v>6</v>
      </c>
      <c r="M901" s="17">
        <v>1.4833299999999999E-3</v>
      </c>
      <c r="N901" s="18">
        <f t="shared" si="79"/>
        <v>-264.8054659302</v>
      </c>
      <c r="O901" s="15"/>
      <c r="P901" s="20">
        <f t="shared" si="80"/>
        <v>0</v>
      </c>
      <c r="Q901" s="15"/>
      <c r="R901" s="20">
        <f t="shared" si="81"/>
        <v>0</v>
      </c>
      <c r="S901" s="130"/>
      <c r="T901" s="20">
        <f t="shared" si="82"/>
        <v>-421.17924688124998</v>
      </c>
    </row>
    <row r="902" spans="1:20">
      <c r="A902" s="13" t="s">
        <v>626</v>
      </c>
      <c r="B902" s="14" t="s">
        <v>510</v>
      </c>
      <c r="C902" s="14" t="s">
        <v>511</v>
      </c>
      <c r="D902" s="13" t="s">
        <v>512</v>
      </c>
      <c r="E902" s="14" t="s">
        <v>497</v>
      </c>
      <c r="F902" s="13" t="s">
        <v>26</v>
      </c>
      <c r="G902" s="14" t="s">
        <v>20</v>
      </c>
      <c r="H902" s="14"/>
      <c r="I902" s="14">
        <v>201407</v>
      </c>
      <c r="J902" s="15">
        <v>30164.31</v>
      </c>
      <c r="K902" s="21">
        <f t="shared" si="83"/>
        <v>42675</v>
      </c>
      <c r="L902" s="16">
        <f t="shared" si="84"/>
        <v>6</v>
      </c>
      <c r="M902" s="17">
        <v>1.4833299999999999E-3</v>
      </c>
      <c r="N902" s="18">
        <f t="shared" ref="N902:N965" si="85">M902*L902*J902</f>
        <v>268.46175571380002</v>
      </c>
      <c r="O902" s="15"/>
      <c r="P902" s="20">
        <f t="shared" ref="P902:P965" si="86">$P$4*(J902*0.5)*$V$10</f>
        <v>0</v>
      </c>
      <c r="Q902" s="15"/>
      <c r="R902" s="20">
        <f t="shared" ref="R902:R965" si="87">$R$4*(J902*0.5)*$V$9</f>
        <v>0</v>
      </c>
      <c r="S902" s="130"/>
      <c r="T902" s="20">
        <f t="shared" ref="T902:T965" si="88">$T$4*(J902*0.5)*$V$11</f>
        <v>426.99466074374999</v>
      </c>
    </row>
    <row r="903" spans="1:20">
      <c r="A903" s="13" t="s">
        <v>626</v>
      </c>
      <c r="B903" s="14" t="s">
        <v>761</v>
      </c>
      <c r="C903" s="14" t="s">
        <v>762</v>
      </c>
      <c r="D903" s="13" t="s">
        <v>763</v>
      </c>
      <c r="E903" s="14" t="s">
        <v>497</v>
      </c>
      <c r="F903" s="13" t="s">
        <v>26</v>
      </c>
      <c r="G903" s="14" t="s">
        <v>20</v>
      </c>
      <c r="H903" s="14"/>
      <c r="I903" s="14">
        <v>201407</v>
      </c>
      <c r="J903" s="15">
        <v>-10559.09</v>
      </c>
      <c r="K903" s="21">
        <f t="shared" ref="K903:K966" si="89">+K902</f>
        <v>42675</v>
      </c>
      <c r="L903" s="16">
        <f t="shared" si="84"/>
        <v>6</v>
      </c>
      <c r="M903" s="17">
        <v>1.4833299999999999E-3</v>
      </c>
      <c r="N903" s="18">
        <f t="shared" si="85"/>
        <v>-93.975689818199996</v>
      </c>
      <c r="O903" s="15"/>
      <c r="P903" s="20">
        <f t="shared" si="86"/>
        <v>0</v>
      </c>
      <c r="Q903" s="15"/>
      <c r="R903" s="20">
        <f t="shared" si="87"/>
        <v>0</v>
      </c>
      <c r="S903" s="130"/>
      <c r="T903" s="20">
        <f t="shared" si="88"/>
        <v>-149.47051838124997</v>
      </c>
    </row>
    <row r="904" spans="1:20">
      <c r="A904" s="13" t="s">
        <v>626</v>
      </c>
      <c r="B904" s="14" t="s">
        <v>747</v>
      </c>
      <c r="C904" s="14" t="s">
        <v>748</v>
      </c>
      <c r="D904" s="13" t="s">
        <v>749</v>
      </c>
      <c r="E904" s="14" t="s">
        <v>497</v>
      </c>
      <c r="F904" s="13" t="s">
        <v>26</v>
      </c>
      <c r="G904" s="14" t="s">
        <v>20</v>
      </c>
      <c r="H904" s="14"/>
      <c r="I904" s="14">
        <v>201407</v>
      </c>
      <c r="J904" s="15">
        <v>-368.4</v>
      </c>
      <c r="K904" s="21">
        <f t="shared" si="89"/>
        <v>42675</v>
      </c>
      <c r="L904" s="16">
        <f t="shared" si="84"/>
        <v>6</v>
      </c>
      <c r="M904" s="17">
        <v>1.4833299999999999E-3</v>
      </c>
      <c r="N904" s="18">
        <f t="shared" si="85"/>
        <v>-3.2787526319999998</v>
      </c>
      <c r="O904" s="15"/>
      <c r="P904" s="20">
        <f t="shared" si="86"/>
        <v>0</v>
      </c>
      <c r="Q904" s="15"/>
      <c r="R904" s="20">
        <f t="shared" si="87"/>
        <v>0</v>
      </c>
      <c r="S904" s="130"/>
      <c r="T904" s="20">
        <f t="shared" si="88"/>
        <v>-5.2149322499999995</v>
      </c>
    </row>
    <row r="905" spans="1:20">
      <c r="A905" s="13" t="s">
        <v>21</v>
      </c>
      <c r="B905" s="14" t="s">
        <v>601</v>
      </c>
      <c r="C905" s="14" t="s">
        <v>602</v>
      </c>
      <c r="D905" s="13" t="s">
        <v>603</v>
      </c>
      <c r="E905" s="14" t="s">
        <v>497</v>
      </c>
      <c r="F905" s="13" t="s">
        <v>26</v>
      </c>
      <c r="G905" s="14" t="s">
        <v>20</v>
      </c>
      <c r="H905" s="14"/>
      <c r="I905" s="14">
        <v>201407</v>
      </c>
      <c r="J905" s="15">
        <v>228.37</v>
      </c>
      <c r="K905" s="21">
        <f t="shared" si="89"/>
        <v>42675</v>
      </c>
      <c r="L905" s="16">
        <f t="shared" si="84"/>
        <v>6</v>
      </c>
      <c r="M905" s="17">
        <v>1.4833299999999999E-3</v>
      </c>
      <c r="N905" s="18">
        <f t="shared" si="85"/>
        <v>2.0324884326000001</v>
      </c>
      <c r="O905" s="15"/>
      <c r="P905" s="20">
        <f t="shared" si="86"/>
        <v>0</v>
      </c>
      <c r="Q905" s="15"/>
      <c r="R905" s="20">
        <f t="shared" si="87"/>
        <v>0</v>
      </c>
      <c r="S905" s="130"/>
      <c r="T905" s="20">
        <f t="shared" si="88"/>
        <v>3.2327200812500001</v>
      </c>
    </row>
    <row r="906" spans="1:20">
      <c r="A906" s="13" t="s">
        <v>21</v>
      </c>
      <c r="B906" s="14" t="s">
        <v>800</v>
      </c>
      <c r="C906" s="14" t="s">
        <v>801</v>
      </c>
      <c r="D906" s="13" t="s">
        <v>802</v>
      </c>
      <c r="E906" s="14" t="s">
        <v>260</v>
      </c>
      <c r="F906" s="13" t="s">
        <v>26</v>
      </c>
      <c r="G906" s="14" t="s">
        <v>20</v>
      </c>
      <c r="H906" s="14"/>
      <c r="I906" s="14">
        <v>201407</v>
      </c>
      <c r="J906" s="15">
        <v>30.69</v>
      </c>
      <c r="K906" s="21">
        <f t="shared" si="89"/>
        <v>42675</v>
      </c>
      <c r="L906" s="16">
        <f t="shared" si="84"/>
        <v>6</v>
      </c>
      <c r="M906" s="17">
        <v>1.4833299999999999E-3</v>
      </c>
      <c r="N906" s="18">
        <f t="shared" si="85"/>
        <v>0.27314038620000003</v>
      </c>
      <c r="O906" s="15"/>
      <c r="P906" s="20">
        <f t="shared" si="86"/>
        <v>0</v>
      </c>
      <c r="Q906" s="15"/>
      <c r="R906" s="20">
        <f t="shared" si="87"/>
        <v>0</v>
      </c>
      <c r="S906" s="130"/>
      <c r="T906" s="20">
        <f t="shared" si="88"/>
        <v>0.43443613124999997</v>
      </c>
    </row>
    <row r="907" spans="1:20">
      <c r="A907" s="13" t="s">
        <v>626</v>
      </c>
      <c r="B907" s="14" t="s">
        <v>800</v>
      </c>
      <c r="C907" s="14" t="s">
        <v>801</v>
      </c>
      <c r="D907" s="13" t="s">
        <v>802</v>
      </c>
      <c r="E907" s="14" t="s">
        <v>260</v>
      </c>
      <c r="F907" s="13" t="s">
        <v>26</v>
      </c>
      <c r="G907" s="14" t="s">
        <v>20</v>
      </c>
      <c r="H907" s="14"/>
      <c r="I907" s="14">
        <v>201407</v>
      </c>
      <c r="J907" s="15">
        <v>8175.56</v>
      </c>
      <c r="K907" s="21">
        <f t="shared" si="89"/>
        <v>42675</v>
      </c>
      <c r="L907" s="16">
        <f t="shared" si="84"/>
        <v>6</v>
      </c>
      <c r="M907" s="17">
        <v>1.4833299999999999E-3</v>
      </c>
      <c r="N907" s="18">
        <f t="shared" si="85"/>
        <v>72.7623204888</v>
      </c>
      <c r="O907" s="15"/>
      <c r="P907" s="20">
        <f t="shared" si="86"/>
        <v>0</v>
      </c>
      <c r="Q907" s="15"/>
      <c r="R907" s="20">
        <f t="shared" si="87"/>
        <v>0</v>
      </c>
      <c r="S907" s="130"/>
      <c r="T907" s="20">
        <f t="shared" si="88"/>
        <v>115.730161525</v>
      </c>
    </row>
    <row r="908" spans="1:20">
      <c r="A908" s="13" t="s">
        <v>21</v>
      </c>
      <c r="B908" s="14" t="s">
        <v>257</v>
      </c>
      <c r="C908" s="14" t="s">
        <v>258</v>
      </c>
      <c r="D908" s="13" t="s">
        <v>259</v>
      </c>
      <c r="E908" s="14" t="s">
        <v>260</v>
      </c>
      <c r="F908" s="13" t="s">
        <v>26</v>
      </c>
      <c r="G908" s="14" t="s">
        <v>20</v>
      </c>
      <c r="H908" s="14"/>
      <c r="I908" s="14">
        <v>201407</v>
      </c>
      <c r="J908" s="15">
        <v>62.56</v>
      </c>
      <c r="K908" s="21">
        <f t="shared" si="89"/>
        <v>42675</v>
      </c>
      <c r="L908" s="16">
        <f t="shared" si="84"/>
        <v>6</v>
      </c>
      <c r="M908" s="17">
        <v>1.4833299999999999E-3</v>
      </c>
      <c r="N908" s="18">
        <f t="shared" si="85"/>
        <v>0.5567827488</v>
      </c>
      <c r="O908" s="15"/>
      <c r="P908" s="20">
        <f t="shared" si="86"/>
        <v>0</v>
      </c>
      <c r="Q908" s="15"/>
      <c r="R908" s="20">
        <f t="shared" si="87"/>
        <v>0</v>
      </c>
      <c r="S908" s="130"/>
      <c r="T908" s="20">
        <f t="shared" si="88"/>
        <v>0.88557589999999997</v>
      </c>
    </row>
    <row r="909" spans="1:20">
      <c r="A909" s="13" t="s">
        <v>21</v>
      </c>
      <c r="B909" s="14" t="s">
        <v>22</v>
      </c>
      <c r="C909" s="14" t="s">
        <v>23</v>
      </c>
      <c r="D909" s="13" t="s">
        <v>24</v>
      </c>
      <c r="E909" s="14" t="s">
        <v>25</v>
      </c>
      <c r="F909" s="13" t="s">
        <v>26</v>
      </c>
      <c r="G909" s="14" t="s">
        <v>20</v>
      </c>
      <c r="H909" s="14"/>
      <c r="I909" s="14">
        <v>201407</v>
      </c>
      <c r="J909" s="15">
        <v>712.08</v>
      </c>
      <c r="K909" s="21">
        <f t="shared" si="89"/>
        <v>42675</v>
      </c>
      <c r="L909" s="16">
        <f t="shared" ref="L909:L972" si="90">((YEAR($L$1)-YEAR(K909))*12+MONTH($L$1)-MONTH(K909))</f>
        <v>6</v>
      </c>
      <c r="M909" s="17">
        <v>1.4833299999999999E-3</v>
      </c>
      <c r="N909" s="18">
        <f t="shared" si="85"/>
        <v>6.3374977584000005</v>
      </c>
      <c r="O909" s="15"/>
      <c r="P909" s="20">
        <f t="shared" si="86"/>
        <v>0</v>
      </c>
      <c r="Q909" s="15"/>
      <c r="R909" s="20">
        <f t="shared" si="87"/>
        <v>0</v>
      </c>
      <c r="S909" s="130"/>
      <c r="T909" s="20">
        <f t="shared" si="88"/>
        <v>10.079937450000001</v>
      </c>
    </row>
    <row r="910" spans="1:20">
      <c r="A910" s="13" t="s">
        <v>21</v>
      </c>
      <c r="B910" s="14" t="s">
        <v>528</v>
      </c>
      <c r="C910" s="14" t="s">
        <v>529</v>
      </c>
      <c r="D910" s="13" t="s">
        <v>530</v>
      </c>
      <c r="E910" s="14" t="s">
        <v>531</v>
      </c>
      <c r="F910" s="13" t="s">
        <v>26</v>
      </c>
      <c r="G910" s="14" t="s">
        <v>20</v>
      </c>
      <c r="H910" s="14"/>
      <c r="I910" s="14">
        <v>201407</v>
      </c>
      <c r="J910" s="15">
        <v>382.04</v>
      </c>
      <c r="K910" s="21">
        <f t="shared" si="89"/>
        <v>42675</v>
      </c>
      <c r="L910" s="16">
        <f t="shared" si="90"/>
        <v>6</v>
      </c>
      <c r="M910" s="17">
        <v>1.4833299999999999E-3</v>
      </c>
      <c r="N910" s="18">
        <f t="shared" si="85"/>
        <v>3.4001483592000001</v>
      </c>
      <c r="O910" s="15"/>
      <c r="P910" s="20">
        <f t="shared" si="86"/>
        <v>0</v>
      </c>
      <c r="Q910" s="15"/>
      <c r="R910" s="20">
        <f t="shared" si="87"/>
        <v>0</v>
      </c>
      <c r="S910" s="130"/>
      <c r="T910" s="20">
        <f t="shared" si="88"/>
        <v>5.4080149749999995</v>
      </c>
    </row>
    <row r="911" spans="1:20">
      <c r="A911" s="13" t="s">
        <v>21</v>
      </c>
      <c r="B911" s="14" t="s">
        <v>516</v>
      </c>
      <c r="C911" s="14" t="s">
        <v>517</v>
      </c>
      <c r="D911" s="13" t="s">
        <v>518</v>
      </c>
      <c r="E911" s="14" t="s">
        <v>25</v>
      </c>
      <c r="F911" s="13" t="s">
        <v>26</v>
      </c>
      <c r="G911" s="14" t="s">
        <v>20</v>
      </c>
      <c r="H911" s="14"/>
      <c r="I911" s="14">
        <v>201407</v>
      </c>
      <c r="J911" s="15">
        <v>583.07000000000005</v>
      </c>
      <c r="K911" s="21">
        <f t="shared" si="89"/>
        <v>42675</v>
      </c>
      <c r="L911" s="16">
        <f t="shared" si="90"/>
        <v>6</v>
      </c>
      <c r="M911" s="17">
        <v>1.4833299999999999E-3</v>
      </c>
      <c r="N911" s="18">
        <f t="shared" si="85"/>
        <v>5.1893113386000005</v>
      </c>
      <c r="O911" s="15"/>
      <c r="P911" s="20">
        <f t="shared" si="86"/>
        <v>0</v>
      </c>
      <c r="Q911" s="15"/>
      <c r="R911" s="20">
        <f t="shared" si="87"/>
        <v>0</v>
      </c>
      <c r="S911" s="130"/>
      <c r="T911" s="20">
        <f t="shared" si="88"/>
        <v>8.2537202687499995</v>
      </c>
    </row>
    <row r="912" spans="1:20">
      <c r="A912" s="13" t="s">
        <v>21</v>
      </c>
      <c r="B912" s="14" t="s">
        <v>64</v>
      </c>
      <c r="C912" s="14" t="s">
        <v>65</v>
      </c>
      <c r="D912" s="13" t="s">
        <v>66</v>
      </c>
      <c r="E912" s="14" t="s">
        <v>25</v>
      </c>
      <c r="F912" s="13" t="s">
        <v>26</v>
      </c>
      <c r="G912" s="14" t="s">
        <v>20</v>
      </c>
      <c r="H912" s="14"/>
      <c r="I912" s="14">
        <v>201407</v>
      </c>
      <c r="J912" s="15">
        <v>946.09</v>
      </c>
      <c r="K912" s="21">
        <f t="shared" si="89"/>
        <v>42675</v>
      </c>
      <c r="L912" s="16">
        <f t="shared" si="90"/>
        <v>6</v>
      </c>
      <c r="M912" s="17">
        <v>1.4833299999999999E-3</v>
      </c>
      <c r="N912" s="18">
        <f t="shared" si="85"/>
        <v>8.4201820781999999</v>
      </c>
      <c r="O912" s="15"/>
      <c r="P912" s="20">
        <f t="shared" si="86"/>
        <v>0</v>
      </c>
      <c r="Q912" s="15"/>
      <c r="R912" s="20">
        <f t="shared" si="87"/>
        <v>0</v>
      </c>
      <c r="S912" s="130"/>
      <c r="T912" s="20">
        <f t="shared" si="88"/>
        <v>13.392495256249999</v>
      </c>
    </row>
    <row r="913" spans="1:20">
      <c r="A913" s="13" t="s">
        <v>21</v>
      </c>
      <c r="B913" s="14" t="s">
        <v>443</v>
      </c>
      <c r="C913" s="14" t="s">
        <v>444</v>
      </c>
      <c r="D913" s="13" t="s">
        <v>445</v>
      </c>
      <c r="E913" s="14" t="s">
        <v>25</v>
      </c>
      <c r="F913" s="13" t="s">
        <v>26</v>
      </c>
      <c r="G913" s="14" t="s">
        <v>20</v>
      </c>
      <c r="H913" s="14"/>
      <c r="I913" s="14">
        <v>201407</v>
      </c>
      <c r="J913" s="15">
        <v>-14757.44</v>
      </c>
      <c r="K913" s="21">
        <f t="shared" si="89"/>
        <v>42675</v>
      </c>
      <c r="L913" s="16">
        <f t="shared" si="90"/>
        <v>6</v>
      </c>
      <c r="M913" s="17">
        <v>1.4833299999999999E-3</v>
      </c>
      <c r="N913" s="18">
        <f t="shared" si="85"/>
        <v>-131.3409208512</v>
      </c>
      <c r="O913" s="15"/>
      <c r="P913" s="20">
        <f t="shared" si="86"/>
        <v>0</v>
      </c>
      <c r="Q913" s="15"/>
      <c r="R913" s="20">
        <f t="shared" si="87"/>
        <v>0</v>
      </c>
      <c r="S913" s="130"/>
      <c r="T913" s="20">
        <f t="shared" si="88"/>
        <v>-208.9007866</v>
      </c>
    </row>
    <row r="914" spans="1:20">
      <c r="A914" s="13" t="s">
        <v>626</v>
      </c>
      <c r="B914" s="14" t="s">
        <v>443</v>
      </c>
      <c r="C914" s="14" t="s">
        <v>444</v>
      </c>
      <c r="D914" s="13" t="s">
        <v>445</v>
      </c>
      <c r="E914" s="14" t="s">
        <v>25</v>
      </c>
      <c r="F914" s="13" t="s">
        <v>26</v>
      </c>
      <c r="G914" s="14" t="s">
        <v>20</v>
      </c>
      <c r="H914" s="14"/>
      <c r="I914" s="14">
        <v>201407</v>
      </c>
      <c r="J914" s="15">
        <v>15666.02</v>
      </c>
      <c r="K914" s="21">
        <f t="shared" si="89"/>
        <v>42675</v>
      </c>
      <c r="L914" s="16">
        <f t="shared" si="90"/>
        <v>6</v>
      </c>
      <c r="M914" s="17">
        <v>1.4833299999999999E-3</v>
      </c>
      <c r="N914" s="18">
        <f t="shared" si="85"/>
        <v>139.4272646796</v>
      </c>
      <c r="O914" s="15"/>
      <c r="P914" s="20">
        <f t="shared" si="86"/>
        <v>0</v>
      </c>
      <c r="Q914" s="15"/>
      <c r="R914" s="20">
        <f t="shared" si="87"/>
        <v>0</v>
      </c>
      <c r="S914" s="130"/>
      <c r="T914" s="20">
        <f t="shared" si="88"/>
        <v>221.7623043625</v>
      </c>
    </row>
    <row r="915" spans="1:20">
      <c r="A915" s="13" t="s">
        <v>21</v>
      </c>
      <c r="B915" s="14" t="s">
        <v>803</v>
      </c>
      <c r="C915" s="14" t="s">
        <v>804</v>
      </c>
      <c r="D915" s="13" t="s">
        <v>805</v>
      </c>
      <c r="E915" s="14" t="s">
        <v>25</v>
      </c>
      <c r="F915" s="13" t="s">
        <v>26</v>
      </c>
      <c r="G915" s="14" t="s">
        <v>20</v>
      </c>
      <c r="H915" s="14"/>
      <c r="I915" s="14">
        <v>201407</v>
      </c>
      <c r="J915" s="15">
        <v>52723.28</v>
      </c>
      <c r="K915" s="21">
        <f t="shared" si="89"/>
        <v>42675</v>
      </c>
      <c r="L915" s="16">
        <f t="shared" si="90"/>
        <v>6</v>
      </c>
      <c r="M915" s="17">
        <v>1.4833299999999999E-3</v>
      </c>
      <c r="N915" s="18">
        <f t="shared" si="85"/>
        <v>469.23613753439997</v>
      </c>
      <c r="O915" s="15"/>
      <c r="P915" s="20">
        <f t="shared" si="86"/>
        <v>0</v>
      </c>
      <c r="Q915" s="15"/>
      <c r="R915" s="20">
        <f t="shared" si="87"/>
        <v>0</v>
      </c>
      <c r="S915" s="130"/>
      <c r="T915" s="20">
        <f t="shared" si="88"/>
        <v>746.33098044999997</v>
      </c>
    </row>
    <row r="916" spans="1:20">
      <c r="A916" s="13" t="s">
        <v>21</v>
      </c>
      <c r="B916" s="14" t="s">
        <v>595</v>
      </c>
      <c r="C916" s="14" t="s">
        <v>596</v>
      </c>
      <c r="D916" s="13" t="s">
        <v>597</v>
      </c>
      <c r="E916" s="14" t="s">
        <v>531</v>
      </c>
      <c r="F916" s="13" t="s">
        <v>26</v>
      </c>
      <c r="G916" s="14" t="s">
        <v>20</v>
      </c>
      <c r="H916" s="14"/>
      <c r="I916" s="14">
        <v>201407</v>
      </c>
      <c r="J916" s="15">
        <v>3.86</v>
      </c>
      <c r="K916" s="21">
        <f t="shared" si="89"/>
        <v>42675</v>
      </c>
      <c r="L916" s="16">
        <f t="shared" si="90"/>
        <v>6</v>
      </c>
      <c r="M916" s="17">
        <v>1.4833299999999999E-3</v>
      </c>
      <c r="N916" s="18">
        <f t="shared" si="85"/>
        <v>3.4353922799999999E-2</v>
      </c>
      <c r="O916" s="15"/>
      <c r="P916" s="20">
        <f t="shared" si="86"/>
        <v>0</v>
      </c>
      <c r="Q916" s="15"/>
      <c r="R916" s="20">
        <f t="shared" si="87"/>
        <v>0</v>
      </c>
      <c r="S916" s="130"/>
      <c r="T916" s="20">
        <f t="shared" si="88"/>
        <v>5.4640712499999994E-2</v>
      </c>
    </row>
    <row r="917" spans="1:20">
      <c r="A917" s="13" t="s">
        <v>626</v>
      </c>
      <c r="B917" s="14" t="s">
        <v>700</v>
      </c>
      <c r="C917" s="14" t="s">
        <v>701</v>
      </c>
      <c r="D917" s="13" t="s">
        <v>702</v>
      </c>
      <c r="E917" s="14" t="s">
        <v>25</v>
      </c>
      <c r="F917" s="13" t="s">
        <v>26</v>
      </c>
      <c r="G917" s="14" t="s">
        <v>20</v>
      </c>
      <c r="H917" s="14"/>
      <c r="I917" s="14">
        <v>201407</v>
      </c>
      <c r="J917" s="15">
        <v>3188.71</v>
      </c>
      <c r="K917" s="21">
        <f t="shared" si="89"/>
        <v>42675</v>
      </c>
      <c r="L917" s="16">
        <f t="shared" si="90"/>
        <v>6</v>
      </c>
      <c r="M917" s="17">
        <v>1.4833299999999999E-3</v>
      </c>
      <c r="N917" s="18">
        <f t="shared" si="85"/>
        <v>28.379455225800001</v>
      </c>
      <c r="O917" s="15"/>
      <c r="P917" s="20">
        <f t="shared" si="86"/>
        <v>0</v>
      </c>
      <c r="Q917" s="15"/>
      <c r="R917" s="20">
        <f t="shared" si="87"/>
        <v>0</v>
      </c>
      <c r="S917" s="130"/>
      <c r="T917" s="20">
        <f t="shared" si="88"/>
        <v>45.13818299375</v>
      </c>
    </row>
    <row r="918" spans="1:20">
      <c r="A918" s="13" t="s">
        <v>21</v>
      </c>
      <c r="B918" s="14" t="s">
        <v>623</v>
      </c>
      <c r="C918" s="14" t="s">
        <v>624</v>
      </c>
      <c r="D918" s="13" t="s">
        <v>625</v>
      </c>
      <c r="E918" s="14" t="s">
        <v>531</v>
      </c>
      <c r="F918" s="13" t="s">
        <v>26</v>
      </c>
      <c r="G918" s="14" t="s">
        <v>20</v>
      </c>
      <c r="H918" s="14"/>
      <c r="I918" s="14">
        <v>201407</v>
      </c>
      <c r="J918" s="15">
        <v>0.05</v>
      </c>
      <c r="K918" s="21">
        <f t="shared" si="89"/>
        <v>42675</v>
      </c>
      <c r="L918" s="16">
        <f t="shared" si="90"/>
        <v>6</v>
      </c>
      <c r="M918" s="17">
        <v>1.4833299999999999E-3</v>
      </c>
      <c r="N918" s="18">
        <f t="shared" si="85"/>
        <v>4.4499900000000001E-4</v>
      </c>
      <c r="O918" s="15"/>
      <c r="P918" s="20">
        <f t="shared" si="86"/>
        <v>0</v>
      </c>
      <c r="Q918" s="15"/>
      <c r="R918" s="20">
        <f t="shared" si="87"/>
        <v>0</v>
      </c>
      <c r="S918" s="130"/>
      <c r="T918" s="20">
        <f t="shared" si="88"/>
        <v>7.0778124999999997E-4</v>
      </c>
    </row>
    <row r="919" spans="1:20">
      <c r="A919" s="13" t="s">
        <v>21</v>
      </c>
      <c r="B919" s="14" t="s">
        <v>364</v>
      </c>
      <c r="C919" s="14" t="s">
        <v>365</v>
      </c>
      <c r="D919" s="13" t="s">
        <v>366</v>
      </c>
      <c r="E919" s="14" t="s">
        <v>25</v>
      </c>
      <c r="F919" s="13" t="s">
        <v>26</v>
      </c>
      <c r="G919" s="14" t="s">
        <v>20</v>
      </c>
      <c r="H919" s="14"/>
      <c r="I919" s="14">
        <v>201407</v>
      </c>
      <c r="J919" s="15">
        <v>683.93</v>
      </c>
      <c r="K919" s="21">
        <f t="shared" si="89"/>
        <v>42675</v>
      </c>
      <c r="L919" s="16">
        <f t="shared" si="90"/>
        <v>6</v>
      </c>
      <c r="M919" s="17">
        <v>1.4833299999999999E-3</v>
      </c>
      <c r="N919" s="18">
        <f t="shared" si="85"/>
        <v>6.0869633213999998</v>
      </c>
      <c r="O919" s="15"/>
      <c r="P919" s="20">
        <f t="shared" si="86"/>
        <v>0</v>
      </c>
      <c r="Q919" s="15"/>
      <c r="R919" s="20">
        <f t="shared" si="87"/>
        <v>0</v>
      </c>
      <c r="S919" s="130"/>
      <c r="T919" s="20">
        <f t="shared" si="88"/>
        <v>9.6814566062499985</v>
      </c>
    </row>
    <row r="920" spans="1:20">
      <c r="A920" s="13" t="s">
        <v>21</v>
      </c>
      <c r="B920" s="14" t="s">
        <v>221</v>
      </c>
      <c r="C920" s="14" t="s">
        <v>222</v>
      </c>
      <c r="D920" s="13" t="s">
        <v>223</v>
      </c>
      <c r="E920" s="14" t="s">
        <v>25</v>
      </c>
      <c r="F920" s="13" t="s">
        <v>26</v>
      </c>
      <c r="G920" s="14" t="s">
        <v>20</v>
      </c>
      <c r="H920" s="14"/>
      <c r="I920" s="14">
        <v>201407</v>
      </c>
      <c r="J920" s="15">
        <v>777.51</v>
      </c>
      <c r="K920" s="21">
        <f t="shared" si="89"/>
        <v>42675</v>
      </c>
      <c r="L920" s="16">
        <f t="shared" si="90"/>
        <v>6</v>
      </c>
      <c r="M920" s="17">
        <v>1.4833299999999999E-3</v>
      </c>
      <c r="N920" s="18">
        <f t="shared" si="85"/>
        <v>6.9198234498</v>
      </c>
      <c r="O920" s="15"/>
      <c r="P920" s="20">
        <f t="shared" si="86"/>
        <v>0</v>
      </c>
      <c r="Q920" s="15"/>
      <c r="R920" s="20">
        <f t="shared" si="87"/>
        <v>0</v>
      </c>
      <c r="S920" s="130"/>
      <c r="T920" s="20">
        <f t="shared" si="88"/>
        <v>11.006139993750001</v>
      </c>
    </row>
    <row r="921" spans="1:20">
      <c r="A921" s="13" t="s">
        <v>21</v>
      </c>
      <c r="B921" s="14" t="s">
        <v>286</v>
      </c>
      <c r="C921" s="14" t="s">
        <v>287</v>
      </c>
      <c r="D921" s="13" t="s">
        <v>288</v>
      </c>
      <c r="E921" s="14" t="s">
        <v>25</v>
      </c>
      <c r="F921" s="13" t="s">
        <v>26</v>
      </c>
      <c r="G921" s="14" t="s">
        <v>20</v>
      </c>
      <c r="H921" s="14"/>
      <c r="I921" s="14">
        <v>201407</v>
      </c>
      <c r="J921" s="15">
        <v>843.59</v>
      </c>
      <c r="K921" s="21">
        <f t="shared" si="89"/>
        <v>42675</v>
      </c>
      <c r="L921" s="16">
        <f t="shared" si="90"/>
        <v>6</v>
      </c>
      <c r="M921" s="17">
        <v>1.4833299999999999E-3</v>
      </c>
      <c r="N921" s="18">
        <f t="shared" si="85"/>
        <v>7.5079341282000005</v>
      </c>
      <c r="O921" s="15"/>
      <c r="P921" s="20">
        <f t="shared" si="86"/>
        <v>0</v>
      </c>
      <c r="Q921" s="15"/>
      <c r="R921" s="20">
        <f t="shared" si="87"/>
        <v>0</v>
      </c>
      <c r="S921" s="130"/>
      <c r="T921" s="20">
        <f t="shared" si="88"/>
        <v>11.941543693749999</v>
      </c>
    </row>
    <row r="922" spans="1:20">
      <c r="A922" s="13" t="s">
        <v>21</v>
      </c>
      <c r="B922" s="14" t="s">
        <v>147</v>
      </c>
      <c r="C922" s="14" t="s">
        <v>148</v>
      </c>
      <c r="D922" s="13" t="s">
        <v>149</v>
      </c>
      <c r="E922" s="14" t="s">
        <v>75</v>
      </c>
      <c r="F922" s="13" t="s">
        <v>26</v>
      </c>
      <c r="G922" s="14" t="s">
        <v>20</v>
      </c>
      <c r="H922" s="14"/>
      <c r="I922" s="14">
        <v>201407</v>
      </c>
      <c r="J922" s="15">
        <v>156.08000000000001</v>
      </c>
      <c r="K922" s="21">
        <f t="shared" si="89"/>
        <v>42675</v>
      </c>
      <c r="L922" s="16">
        <f t="shared" si="90"/>
        <v>6</v>
      </c>
      <c r="M922" s="17">
        <v>1.4833299999999999E-3</v>
      </c>
      <c r="N922" s="18">
        <f t="shared" si="85"/>
        <v>1.3891088784000001</v>
      </c>
      <c r="O922" s="15"/>
      <c r="P922" s="20">
        <f t="shared" si="86"/>
        <v>0</v>
      </c>
      <c r="Q922" s="15"/>
      <c r="R922" s="20">
        <f t="shared" si="87"/>
        <v>0</v>
      </c>
      <c r="S922" s="130"/>
      <c r="T922" s="20">
        <f t="shared" si="88"/>
        <v>2.20940995</v>
      </c>
    </row>
    <row r="923" spans="1:20">
      <c r="A923" s="13" t="s">
        <v>21</v>
      </c>
      <c r="B923" s="14" t="s">
        <v>261</v>
      </c>
      <c r="C923" s="14" t="s">
        <v>262</v>
      </c>
      <c r="D923" s="13" t="s">
        <v>263</v>
      </c>
      <c r="E923" s="14" t="s">
        <v>75</v>
      </c>
      <c r="F923" s="13" t="s">
        <v>26</v>
      </c>
      <c r="G923" s="14" t="s">
        <v>20</v>
      </c>
      <c r="H923" s="14"/>
      <c r="I923" s="14">
        <v>201407</v>
      </c>
      <c r="J923" s="15">
        <v>554.94000000000005</v>
      </c>
      <c r="K923" s="21">
        <f t="shared" si="89"/>
        <v>42675</v>
      </c>
      <c r="L923" s="16">
        <f t="shared" si="90"/>
        <v>6</v>
      </c>
      <c r="M923" s="17">
        <v>1.4833299999999999E-3</v>
      </c>
      <c r="N923" s="18">
        <f t="shared" si="85"/>
        <v>4.9389549012000007</v>
      </c>
      <c r="O923" s="15"/>
      <c r="P923" s="20">
        <f t="shared" si="86"/>
        <v>0</v>
      </c>
      <c r="Q923" s="15"/>
      <c r="R923" s="20">
        <f t="shared" si="87"/>
        <v>0</v>
      </c>
      <c r="S923" s="130"/>
      <c r="T923" s="20">
        <f t="shared" si="88"/>
        <v>7.8555225375000006</v>
      </c>
    </row>
    <row r="924" spans="1:20">
      <c r="A924" s="13" t="s">
        <v>626</v>
      </c>
      <c r="B924" s="14" t="s">
        <v>714</v>
      </c>
      <c r="C924" s="14" t="s">
        <v>715</v>
      </c>
      <c r="D924" s="13" t="s">
        <v>716</v>
      </c>
      <c r="E924" s="14" t="s">
        <v>75</v>
      </c>
      <c r="F924" s="13" t="s">
        <v>26</v>
      </c>
      <c r="G924" s="14" t="s">
        <v>20</v>
      </c>
      <c r="H924" s="14"/>
      <c r="I924" s="14">
        <v>201407</v>
      </c>
      <c r="J924" s="15">
        <v>1660.2</v>
      </c>
      <c r="K924" s="21">
        <f t="shared" si="89"/>
        <v>42675</v>
      </c>
      <c r="L924" s="16">
        <f t="shared" si="90"/>
        <v>6</v>
      </c>
      <c r="M924" s="17">
        <v>1.4833299999999999E-3</v>
      </c>
      <c r="N924" s="18">
        <f t="shared" si="85"/>
        <v>14.775746796</v>
      </c>
      <c r="O924" s="15"/>
      <c r="P924" s="20">
        <f t="shared" si="86"/>
        <v>0</v>
      </c>
      <c r="Q924" s="15"/>
      <c r="R924" s="20">
        <f t="shared" si="87"/>
        <v>0</v>
      </c>
      <c r="S924" s="130"/>
      <c r="T924" s="20">
        <f t="shared" si="88"/>
        <v>23.501168625000002</v>
      </c>
    </row>
    <row r="925" spans="1:20">
      <c r="A925" s="13" t="s">
        <v>21</v>
      </c>
      <c r="B925" s="14" t="s">
        <v>453</v>
      </c>
      <c r="C925" s="14" t="s">
        <v>454</v>
      </c>
      <c r="D925" s="13" t="s">
        <v>455</v>
      </c>
      <c r="E925" s="14" t="s">
        <v>75</v>
      </c>
      <c r="F925" s="13" t="s">
        <v>26</v>
      </c>
      <c r="G925" s="14" t="s">
        <v>20</v>
      </c>
      <c r="H925" s="14"/>
      <c r="I925" s="14">
        <v>201407</v>
      </c>
      <c r="J925" s="15">
        <v>-21711.45</v>
      </c>
      <c r="K925" s="21">
        <f t="shared" si="89"/>
        <v>42675</v>
      </c>
      <c r="L925" s="16">
        <f t="shared" si="90"/>
        <v>6</v>
      </c>
      <c r="M925" s="17">
        <v>1.4833299999999999E-3</v>
      </c>
      <c r="N925" s="18">
        <f t="shared" si="85"/>
        <v>-193.23147077100001</v>
      </c>
      <c r="O925" s="15"/>
      <c r="P925" s="20">
        <f t="shared" si="86"/>
        <v>0</v>
      </c>
      <c r="Q925" s="15"/>
      <c r="R925" s="20">
        <f t="shared" si="87"/>
        <v>0</v>
      </c>
      <c r="S925" s="130"/>
      <c r="T925" s="20">
        <f t="shared" si="88"/>
        <v>-307.33914440625</v>
      </c>
    </row>
    <row r="926" spans="1:20">
      <c r="A926" s="13" t="s">
        <v>626</v>
      </c>
      <c r="B926" s="14" t="s">
        <v>453</v>
      </c>
      <c r="C926" s="14" t="s">
        <v>454</v>
      </c>
      <c r="D926" s="13" t="s">
        <v>455</v>
      </c>
      <c r="E926" s="14" t="s">
        <v>75</v>
      </c>
      <c r="F926" s="13" t="s">
        <v>26</v>
      </c>
      <c r="G926" s="14" t="s">
        <v>20</v>
      </c>
      <c r="H926" s="14"/>
      <c r="I926" s="14">
        <v>201407</v>
      </c>
      <c r="J926" s="15">
        <v>22303.56</v>
      </c>
      <c r="K926" s="21">
        <f t="shared" si="89"/>
        <v>42675</v>
      </c>
      <c r="L926" s="16">
        <f t="shared" si="90"/>
        <v>6</v>
      </c>
      <c r="M926" s="17">
        <v>1.4833299999999999E-3</v>
      </c>
      <c r="N926" s="18">
        <f t="shared" si="85"/>
        <v>198.50123792880001</v>
      </c>
      <c r="O926" s="15"/>
      <c r="P926" s="20">
        <f t="shared" si="86"/>
        <v>0</v>
      </c>
      <c r="Q926" s="15"/>
      <c r="R926" s="20">
        <f t="shared" si="87"/>
        <v>0</v>
      </c>
      <c r="S926" s="130"/>
      <c r="T926" s="20">
        <f t="shared" si="88"/>
        <v>315.72083152499999</v>
      </c>
    </row>
    <row r="927" spans="1:20">
      <c r="A927" s="13" t="s">
        <v>21</v>
      </c>
      <c r="B927" s="14" t="s">
        <v>498</v>
      </c>
      <c r="C927" s="14" t="s">
        <v>499</v>
      </c>
      <c r="D927" s="13" t="s">
        <v>500</v>
      </c>
      <c r="E927" s="14" t="s">
        <v>75</v>
      </c>
      <c r="F927" s="13" t="s">
        <v>26</v>
      </c>
      <c r="G927" s="14" t="s">
        <v>20</v>
      </c>
      <c r="H927" s="14"/>
      <c r="I927" s="14">
        <v>201407</v>
      </c>
      <c r="J927" s="15">
        <v>-98225.65</v>
      </c>
      <c r="K927" s="21">
        <f t="shared" si="89"/>
        <v>42675</v>
      </c>
      <c r="L927" s="16">
        <f t="shared" si="90"/>
        <v>6</v>
      </c>
      <c r="M927" s="17">
        <v>1.4833299999999999E-3</v>
      </c>
      <c r="N927" s="18">
        <f t="shared" si="85"/>
        <v>-874.20632048699997</v>
      </c>
      <c r="O927" s="15"/>
      <c r="P927" s="20">
        <f t="shared" si="86"/>
        <v>0</v>
      </c>
      <c r="Q927" s="15"/>
      <c r="R927" s="20">
        <f t="shared" si="87"/>
        <v>0</v>
      </c>
      <c r="S927" s="130"/>
      <c r="T927" s="20">
        <f t="shared" si="88"/>
        <v>-1390.4454667812497</v>
      </c>
    </row>
    <row r="928" spans="1:20">
      <c r="A928" s="13" t="s">
        <v>626</v>
      </c>
      <c r="B928" s="14" t="s">
        <v>498</v>
      </c>
      <c r="C928" s="14" t="s">
        <v>499</v>
      </c>
      <c r="D928" s="13" t="s">
        <v>500</v>
      </c>
      <c r="E928" s="14" t="s">
        <v>75</v>
      </c>
      <c r="F928" s="13" t="s">
        <v>26</v>
      </c>
      <c r="G928" s="14" t="s">
        <v>20</v>
      </c>
      <c r="H928" s="14"/>
      <c r="I928" s="14">
        <v>201407</v>
      </c>
      <c r="J928" s="15">
        <v>101346.51</v>
      </c>
      <c r="K928" s="21">
        <f t="shared" si="89"/>
        <v>42675</v>
      </c>
      <c r="L928" s="16">
        <f t="shared" si="90"/>
        <v>6</v>
      </c>
      <c r="M928" s="17">
        <v>1.4833299999999999E-3</v>
      </c>
      <c r="N928" s="18">
        <f t="shared" si="85"/>
        <v>901.98191206979993</v>
      </c>
      <c r="O928" s="15"/>
      <c r="P928" s="20">
        <f t="shared" si="86"/>
        <v>0</v>
      </c>
      <c r="Q928" s="15"/>
      <c r="R928" s="20">
        <f t="shared" si="87"/>
        <v>0</v>
      </c>
      <c r="S928" s="130"/>
      <c r="T928" s="20">
        <f t="shared" si="88"/>
        <v>1434.62319061875</v>
      </c>
    </row>
    <row r="929" spans="1:20">
      <c r="A929" s="13" t="s">
        <v>21</v>
      </c>
      <c r="B929" s="14" t="s">
        <v>564</v>
      </c>
      <c r="C929" s="14" t="s">
        <v>565</v>
      </c>
      <c r="D929" s="13" t="s">
        <v>566</v>
      </c>
      <c r="E929" s="14" t="s">
        <v>75</v>
      </c>
      <c r="F929" s="13" t="s">
        <v>26</v>
      </c>
      <c r="G929" s="14" t="s">
        <v>20</v>
      </c>
      <c r="H929" s="14"/>
      <c r="I929" s="14">
        <v>201407</v>
      </c>
      <c r="J929" s="15">
        <v>0.21</v>
      </c>
      <c r="K929" s="21">
        <f t="shared" si="89"/>
        <v>42675</v>
      </c>
      <c r="L929" s="16">
        <f t="shared" si="90"/>
        <v>6</v>
      </c>
      <c r="M929" s="17">
        <v>1.4833299999999999E-3</v>
      </c>
      <c r="N929" s="18">
        <f t="shared" si="85"/>
        <v>1.8689957999999999E-3</v>
      </c>
      <c r="O929" s="15"/>
      <c r="P929" s="20">
        <f t="shared" si="86"/>
        <v>0</v>
      </c>
      <c r="Q929" s="15"/>
      <c r="R929" s="20">
        <f t="shared" si="87"/>
        <v>0</v>
      </c>
      <c r="S929" s="130"/>
      <c r="T929" s="20">
        <f t="shared" si="88"/>
        <v>2.9726812499999999E-3</v>
      </c>
    </row>
    <row r="930" spans="1:20">
      <c r="A930" s="13" t="s">
        <v>21</v>
      </c>
      <c r="B930" s="14" t="s">
        <v>541</v>
      </c>
      <c r="C930" s="14" t="s">
        <v>542</v>
      </c>
      <c r="D930" s="13" t="s">
        <v>543</v>
      </c>
      <c r="E930" s="14" t="s">
        <v>544</v>
      </c>
      <c r="F930" s="13" t="s">
        <v>26</v>
      </c>
      <c r="G930" s="14" t="s">
        <v>20</v>
      </c>
      <c r="H930" s="14"/>
      <c r="I930" s="14">
        <v>201407</v>
      </c>
      <c r="J930" s="15">
        <v>-136.88</v>
      </c>
      <c r="K930" s="21">
        <f t="shared" si="89"/>
        <v>42675</v>
      </c>
      <c r="L930" s="16">
        <f t="shared" si="90"/>
        <v>6</v>
      </c>
      <c r="M930" s="17">
        <v>1.4833299999999999E-3</v>
      </c>
      <c r="N930" s="18">
        <f t="shared" si="85"/>
        <v>-1.2182292624</v>
      </c>
      <c r="O930" s="15"/>
      <c r="P930" s="20">
        <f t="shared" si="86"/>
        <v>0</v>
      </c>
      <c r="Q930" s="15"/>
      <c r="R930" s="20">
        <f t="shared" si="87"/>
        <v>0</v>
      </c>
      <c r="S930" s="130"/>
      <c r="T930" s="20">
        <f t="shared" si="88"/>
        <v>-1.9376219499999998</v>
      </c>
    </row>
    <row r="931" spans="1:20">
      <c r="A931" s="13" t="s">
        <v>21</v>
      </c>
      <c r="B931" s="14" t="s">
        <v>567</v>
      </c>
      <c r="C931" s="14" t="s">
        <v>565</v>
      </c>
      <c r="D931" s="13" t="s">
        <v>566</v>
      </c>
      <c r="E931" s="14" t="s">
        <v>75</v>
      </c>
      <c r="F931" s="13" t="s">
        <v>26</v>
      </c>
      <c r="G931" s="14" t="s">
        <v>20</v>
      </c>
      <c r="H931" s="14"/>
      <c r="I931" s="14">
        <v>201407</v>
      </c>
      <c r="J931" s="15">
        <v>188.09</v>
      </c>
      <c r="K931" s="21">
        <f t="shared" si="89"/>
        <v>42675</v>
      </c>
      <c r="L931" s="16">
        <f t="shared" si="90"/>
        <v>6</v>
      </c>
      <c r="M931" s="17">
        <v>1.4833299999999999E-3</v>
      </c>
      <c r="N931" s="18">
        <f t="shared" si="85"/>
        <v>1.6739972382000001</v>
      </c>
      <c r="O931" s="15"/>
      <c r="P931" s="20">
        <f t="shared" si="86"/>
        <v>0</v>
      </c>
      <c r="Q931" s="15"/>
      <c r="R931" s="20">
        <f t="shared" si="87"/>
        <v>0</v>
      </c>
      <c r="S931" s="130"/>
      <c r="T931" s="20">
        <f t="shared" si="88"/>
        <v>2.6625315062499997</v>
      </c>
    </row>
    <row r="932" spans="1:20">
      <c r="A932" s="13" t="s">
        <v>21</v>
      </c>
      <c r="B932" s="14" t="s">
        <v>583</v>
      </c>
      <c r="C932" s="14" t="s">
        <v>584</v>
      </c>
      <c r="D932" s="13" t="s">
        <v>585</v>
      </c>
      <c r="E932" s="14" t="s">
        <v>75</v>
      </c>
      <c r="F932" s="13" t="s">
        <v>26</v>
      </c>
      <c r="G932" s="14" t="s">
        <v>20</v>
      </c>
      <c r="H932" s="14"/>
      <c r="I932" s="14">
        <v>201407</v>
      </c>
      <c r="J932" s="15">
        <v>230.48</v>
      </c>
      <c r="K932" s="21">
        <f t="shared" si="89"/>
        <v>42675</v>
      </c>
      <c r="L932" s="16">
        <f t="shared" si="90"/>
        <v>6</v>
      </c>
      <c r="M932" s="17">
        <v>1.4833299999999999E-3</v>
      </c>
      <c r="N932" s="18">
        <f t="shared" si="85"/>
        <v>2.0512673904000001</v>
      </c>
      <c r="O932" s="15"/>
      <c r="P932" s="20">
        <f t="shared" si="86"/>
        <v>0</v>
      </c>
      <c r="Q932" s="15"/>
      <c r="R932" s="20">
        <f t="shared" si="87"/>
        <v>0</v>
      </c>
      <c r="S932" s="130"/>
      <c r="T932" s="20">
        <f t="shared" si="88"/>
        <v>3.26258845</v>
      </c>
    </row>
    <row r="933" spans="1:20">
      <c r="A933" s="13" t="s">
        <v>21</v>
      </c>
      <c r="B933" s="14" t="s">
        <v>485</v>
      </c>
      <c r="C933" s="14" t="s">
        <v>486</v>
      </c>
      <c r="D933" s="13" t="s">
        <v>487</v>
      </c>
      <c r="E933" s="14" t="s">
        <v>75</v>
      </c>
      <c r="F933" s="13" t="s">
        <v>26</v>
      </c>
      <c r="G933" s="14" t="s">
        <v>20</v>
      </c>
      <c r="H933" s="14"/>
      <c r="I933" s="14">
        <v>201407</v>
      </c>
      <c r="J933" s="15">
        <v>0.03</v>
      </c>
      <c r="K933" s="21">
        <f t="shared" si="89"/>
        <v>42675</v>
      </c>
      <c r="L933" s="16">
        <f t="shared" si="90"/>
        <v>6</v>
      </c>
      <c r="M933" s="17">
        <v>1.4833299999999999E-3</v>
      </c>
      <c r="N933" s="18">
        <f t="shared" si="85"/>
        <v>2.669994E-4</v>
      </c>
      <c r="O933" s="15"/>
      <c r="P933" s="20">
        <f t="shared" si="86"/>
        <v>0</v>
      </c>
      <c r="Q933" s="15"/>
      <c r="R933" s="20">
        <f t="shared" si="87"/>
        <v>0</v>
      </c>
      <c r="S933" s="130"/>
      <c r="T933" s="20">
        <f t="shared" si="88"/>
        <v>4.2466874999999994E-4</v>
      </c>
    </row>
    <row r="934" spans="1:20">
      <c r="A934" s="13" t="s">
        <v>21</v>
      </c>
      <c r="B934" s="14" t="s">
        <v>535</v>
      </c>
      <c r="C934" s="14" t="s">
        <v>536</v>
      </c>
      <c r="D934" s="13" t="s">
        <v>537</v>
      </c>
      <c r="E934" s="14" t="s">
        <v>75</v>
      </c>
      <c r="F934" s="13" t="s">
        <v>26</v>
      </c>
      <c r="G934" s="14" t="s">
        <v>20</v>
      </c>
      <c r="H934" s="14"/>
      <c r="I934" s="14">
        <v>201407</v>
      </c>
      <c r="J934" s="15">
        <v>543.04</v>
      </c>
      <c r="K934" s="21">
        <f t="shared" si="89"/>
        <v>42675</v>
      </c>
      <c r="L934" s="16">
        <f t="shared" si="90"/>
        <v>6</v>
      </c>
      <c r="M934" s="17">
        <v>1.4833299999999999E-3</v>
      </c>
      <c r="N934" s="18">
        <f t="shared" si="85"/>
        <v>4.8330451391999993</v>
      </c>
      <c r="O934" s="15"/>
      <c r="P934" s="20">
        <f t="shared" si="86"/>
        <v>0</v>
      </c>
      <c r="Q934" s="15"/>
      <c r="R934" s="20">
        <f t="shared" si="87"/>
        <v>0</v>
      </c>
      <c r="S934" s="130"/>
      <c r="T934" s="20">
        <f t="shared" si="88"/>
        <v>7.6870705999999984</v>
      </c>
    </row>
    <row r="935" spans="1:20">
      <c r="A935" s="13" t="s">
        <v>21</v>
      </c>
      <c r="B935" s="14" t="s">
        <v>519</v>
      </c>
      <c r="C935" s="14" t="s">
        <v>520</v>
      </c>
      <c r="D935" s="13" t="s">
        <v>521</v>
      </c>
      <c r="E935" s="14" t="s">
        <v>79</v>
      </c>
      <c r="F935" s="13" t="s">
        <v>26</v>
      </c>
      <c r="G935" s="14" t="s">
        <v>20</v>
      </c>
      <c r="H935" s="14"/>
      <c r="I935" s="14">
        <v>201407</v>
      </c>
      <c r="J935" s="15">
        <v>-789.84</v>
      </c>
      <c r="K935" s="21">
        <f t="shared" si="89"/>
        <v>42675</v>
      </c>
      <c r="L935" s="16">
        <f t="shared" si="90"/>
        <v>6</v>
      </c>
      <c r="M935" s="17">
        <v>1.4833299999999999E-3</v>
      </c>
      <c r="N935" s="18">
        <f t="shared" si="85"/>
        <v>-7.0295602032</v>
      </c>
      <c r="O935" s="15"/>
      <c r="P935" s="20">
        <f t="shared" si="86"/>
        <v>0</v>
      </c>
      <c r="Q935" s="15"/>
      <c r="R935" s="20">
        <f t="shared" si="87"/>
        <v>0</v>
      </c>
      <c r="S935" s="130"/>
      <c r="T935" s="20">
        <f t="shared" si="88"/>
        <v>-11.18067885</v>
      </c>
    </row>
    <row r="936" spans="1:20">
      <c r="A936" s="13" t="s">
        <v>21</v>
      </c>
      <c r="B936" s="14" t="s">
        <v>648</v>
      </c>
      <c r="C936" s="14" t="s">
        <v>649</v>
      </c>
      <c r="D936" s="13" t="s">
        <v>650</v>
      </c>
      <c r="E936" s="14" t="s">
        <v>79</v>
      </c>
      <c r="F936" s="13" t="s">
        <v>26</v>
      </c>
      <c r="G936" s="14" t="s">
        <v>20</v>
      </c>
      <c r="H936" s="14"/>
      <c r="I936" s="14">
        <v>201407</v>
      </c>
      <c r="J936" s="15">
        <v>732.46</v>
      </c>
      <c r="K936" s="21">
        <f t="shared" si="89"/>
        <v>42675</v>
      </c>
      <c r="L936" s="16">
        <f t="shared" si="90"/>
        <v>6</v>
      </c>
      <c r="M936" s="17">
        <v>1.4833299999999999E-3</v>
      </c>
      <c r="N936" s="18">
        <f t="shared" si="85"/>
        <v>6.5188793508000007</v>
      </c>
      <c r="O936" s="15"/>
      <c r="P936" s="20">
        <f t="shared" si="86"/>
        <v>0</v>
      </c>
      <c r="Q936" s="15"/>
      <c r="R936" s="20">
        <f t="shared" si="87"/>
        <v>0</v>
      </c>
      <c r="S936" s="130"/>
      <c r="T936" s="20">
        <f t="shared" si="88"/>
        <v>10.368429087499999</v>
      </c>
    </row>
    <row r="937" spans="1:20">
      <c r="A937" s="13" t="s">
        <v>21</v>
      </c>
      <c r="B937" s="14" t="s">
        <v>76</v>
      </c>
      <c r="C937" s="14" t="s">
        <v>77</v>
      </c>
      <c r="D937" s="13" t="s">
        <v>78</v>
      </c>
      <c r="E937" s="14" t="s">
        <v>79</v>
      </c>
      <c r="F937" s="13" t="s">
        <v>26</v>
      </c>
      <c r="G937" s="14" t="s">
        <v>20</v>
      </c>
      <c r="H937" s="14"/>
      <c r="I937" s="14">
        <v>201407</v>
      </c>
      <c r="J937" s="15">
        <v>724.21</v>
      </c>
      <c r="K937" s="21">
        <f t="shared" si="89"/>
        <v>42675</v>
      </c>
      <c r="L937" s="16">
        <f t="shared" si="90"/>
        <v>6</v>
      </c>
      <c r="M937" s="17">
        <v>1.4833299999999999E-3</v>
      </c>
      <c r="N937" s="18">
        <f t="shared" si="85"/>
        <v>6.4454545158000007</v>
      </c>
      <c r="O937" s="15"/>
      <c r="P937" s="20">
        <f t="shared" si="86"/>
        <v>0</v>
      </c>
      <c r="Q937" s="15"/>
      <c r="R937" s="20">
        <f t="shared" si="87"/>
        <v>0</v>
      </c>
      <c r="S937" s="130"/>
      <c r="T937" s="20">
        <f t="shared" si="88"/>
        <v>10.25164518125</v>
      </c>
    </row>
    <row r="938" spans="1:20">
      <c r="A938" s="13" t="s">
        <v>626</v>
      </c>
      <c r="B938" s="14" t="s">
        <v>627</v>
      </c>
      <c r="C938" s="14" t="s">
        <v>628</v>
      </c>
      <c r="D938" s="13" t="s">
        <v>629</v>
      </c>
      <c r="E938" s="14" t="s">
        <v>79</v>
      </c>
      <c r="F938" s="13" t="s">
        <v>26</v>
      </c>
      <c r="G938" s="14" t="s">
        <v>20</v>
      </c>
      <c r="H938" s="14"/>
      <c r="I938" s="14">
        <v>201407</v>
      </c>
      <c r="J938" s="15">
        <v>1559.07</v>
      </c>
      <c r="K938" s="21">
        <f t="shared" si="89"/>
        <v>42675</v>
      </c>
      <c r="L938" s="16">
        <f t="shared" si="90"/>
        <v>6</v>
      </c>
      <c r="M938" s="17">
        <v>1.4833299999999999E-3</v>
      </c>
      <c r="N938" s="18">
        <f t="shared" si="85"/>
        <v>13.8756918186</v>
      </c>
      <c r="O938" s="15"/>
      <c r="P938" s="20">
        <f t="shared" si="86"/>
        <v>0</v>
      </c>
      <c r="Q938" s="15"/>
      <c r="R938" s="20">
        <f t="shared" si="87"/>
        <v>0</v>
      </c>
      <c r="S938" s="130"/>
      <c r="T938" s="20">
        <f t="shared" si="88"/>
        <v>22.069610268749997</v>
      </c>
    </row>
    <row r="939" spans="1:20">
      <c r="A939" s="13" t="s">
        <v>21</v>
      </c>
      <c r="B939" s="14" t="s">
        <v>580</v>
      </c>
      <c r="C939" s="14" t="s">
        <v>581</v>
      </c>
      <c r="D939" s="13" t="s">
        <v>582</v>
      </c>
      <c r="E939" s="14" t="s">
        <v>79</v>
      </c>
      <c r="F939" s="13" t="s">
        <v>26</v>
      </c>
      <c r="G939" s="14" t="s">
        <v>20</v>
      </c>
      <c r="H939" s="14"/>
      <c r="I939" s="14">
        <v>201407</v>
      </c>
      <c r="J939" s="15">
        <v>-16225.22</v>
      </c>
      <c r="K939" s="21">
        <f t="shared" si="89"/>
        <v>42675</v>
      </c>
      <c r="L939" s="16">
        <f t="shared" si="90"/>
        <v>6</v>
      </c>
      <c r="M939" s="17">
        <v>1.4833299999999999E-3</v>
      </c>
      <c r="N939" s="18">
        <f t="shared" si="85"/>
        <v>-144.40413349560001</v>
      </c>
      <c r="O939" s="15"/>
      <c r="P939" s="20">
        <f t="shared" si="86"/>
        <v>0</v>
      </c>
      <c r="Q939" s="15"/>
      <c r="R939" s="20">
        <f t="shared" si="87"/>
        <v>0</v>
      </c>
      <c r="S939" s="130"/>
      <c r="T939" s="20">
        <f t="shared" si="88"/>
        <v>-229.67812986249996</v>
      </c>
    </row>
    <row r="940" spans="1:20">
      <c r="A940" s="13" t="s">
        <v>626</v>
      </c>
      <c r="B940" s="14" t="s">
        <v>580</v>
      </c>
      <c r="C940" s="14" t="s">
        <v>581</v>
      </c>
      <c r="D940" s="13" t="s">
        <v>582</v>
      </c>
      <c r="E940" s="14" t="s">
        <v>79</v>
      </c>
      <c r="F940" s="13" t="s">
        <v>26</v>
      </c>
      <c r="G940" s="14" t="s">
        <v>20</v>
      </c>
      <c r="H940" s="14"/>
      <c r="I940" s="14">
        <v>201407</v>
      </c>
      <c r="J940" s="15">
        <v>17113.13</v>
      </c>
      <c r="K940" s="21">
        <f t="shared" si="89"/>
        <v>42675</v>
      </c>
      <c r="L940" s="16">
        <f t="shared" si="90"/>
        <v>6</v>
      </c>
      <c r="M940" s="17">
        <v>1.4833299999999999E-3</v>
      </c>
      <c r="N940" s="18">
        <f t="shared" si="85"/>
        <v>152.30651473740002</v>
      </c>
      <c r="O940" s="15"/>
      <c r="P940" s="20">
        <f t="shared" si="86"/>
        <v>0</v>
      </c>
      <c r="Q940" s="15"/>
      <c r="R940" s="20">
        <f t="shared" si="87"/>
        <v>0</v>
      </c>
      <c r="S940" s="130"/>
      <c r="T940" s="20">
        <f t="shared" si="88"/>
        <v>242.24705085624998</v>
      </c>
    </row>
    <row r="941" spans="1:20">
      <c r="A941" s="13" t="s">
        <v>21</v>
      </c>
      <c r="B941" s="14" t="s">
        <v>571</v>
      </c>
      <c r="C941" s="14" t="s">
        <v>572</v>
      </c>
      <c r="D941" s="13" t="s">
        <v>573</v>
      </c>
      <c r="E941" s="14" t="s">
        <v>79</v>
      </c>
      <c r="F941" s="13" t="s">
        <v>26</v>
      </c>
      <c r="G941" s="14" t="s">
        <v>20</v>
      </c>
      <c r="H941" s="14"/>
      <c r="I941" s="14">
        <v>201407</v>
      </c>
      <c r="J941" s="15">
        <v>1302.04</v>
      </c>
      <c r="K941" s="21">
        <f t="shared" si="89"/>
        <v>42675</v>
      </c>
      <c r="L941" s="16">
        <f t="shared" si="90"/>
        <v>6</v>
      </c>
      <c r="M941" s="17">
        <v>1.4833299999999999E-3</v>
      </c>
      <c r="N941" s="18">
        <f t="shared" si="85"/>
        <v>11.5881299592</v>
      </c>
      <c r="O941" s="15"/>
      <c r="P941" s="20">
        <f t="shared" si="86"/>
        <v>0</v>
      </c>
      <c r="Q941" s="15"/>
      <c r="R941" s="20">
        <f t="shared" si="87"/>
        <v>0</v>
      </c>
      <c r="S941" s="130"/>
      <c r="T941" s="20">
        <f t="shared" si="88"/>
        <v>18.431189974999999</v>
      </c>
    </row>
    <row r="942" spans="1:20">
      <c r="A942" s="13" t="s">
        <v>626</v>
      </c>
      <c r="B942" s="14" t="s">
        <v>697</v>
      </c>
      <c r="C942" s="14" t="s">
        <v>698</v>
      </c>
      <c r="D942" s="13" t="s">
        <v>699</v>
      </c>
      <c r="E942" s="14" t="s">
        <v>79</v>
      </c>
      <c r="F942" s="13" t="s">
        <v>26</v>
      </c>
      <c r="G942" s="14" t="s">
        <v>20</v>
      </c>
      <c r="H942" s="14"/>
      <c r="I942" s="14">
        <v>201407</v>
      </c>
      <c r="J942" s="15">
        <v>786.7</v>
      </c>
      <c r="K942" s="21">
        <f t="shared" si="89"/>
        <v>42675</v>
      </c>
      <c r="L942" s="16">
        <f t="shared" si="90"/>
        <v>6</v>
      </c>
      <c r="M942" s="17">
        <v>1.4833299999999999E-3</v>
      </c>
      <c r="N942" s="18">
        <f t="shared" si="85"/>
        <v>7.0016142660000007</v>
      </c>
      <c r="O942" s="15"/>
      <c r="P942" s="20">
        <f t="shared" si="86"/>
        <v>0</v>
      </c>
      <c r="Q942" s="15"/>
      <c r="R942" s="20">
        <f t="shared" si="87"/>
        <v>0</v>
      </c>
      <c r="S942" s="130"/>
      <c r="T942" s="20">
        <f t="shared" si="88"/>
        <v>11.136230187499999</v>
      </c>
    </row>
    <row r="943" spans="1:20">
      <c r="A943" s="13" t="s">
        <v>626</v>
      </c>
      <c r="B943" s="14" t="s">
        <v>791</v>
      </c>
      <c r="C943" s="14" t="s">
        <v>792</v>
      </c>
      <c r="D943" s="13" t="s">
        <v>793</v>
      </c>
      <c r="E943" s="14" t="s">
        <v>79</v>
      </c>
      <c r="F943" s="13" t="s">
        <v>26</v>
      </c>
      <c r="G943" s="14" t="s">
        <v>20</v>
      </c>
      <c r="H943" s="14"/>
      <c r="I943" s="14">
        <v>201407</v>
      </c>
      <c r="J943" s="15">
        <v>534.63</v>
      </c>
      <c r="K943" s="21">
        <f t="shared" si="89"/>
        <v>42675</v>
      </c>
      <c r="L943" s="16">
        <f t="shared" si="90"/>
        <v>6</v>
      </c>
      <c r="M943" s="17">
        <v>1.4833299999999999E-3</v>
      </c>
      <c r="N943" s="18">
        <f t="shared" si="85"/>
        <v>4.7581963073999995</v>
      </c>
      <c r="O943" s="15"/>
      <c r="P943" s="20">
        <f t="shared" si="86"/>
        <v>0</v>
      </c>
      <c r="Q943" s="15"/>
      <c r="R943" s="20">
        <f t="shared" si="87"/>
        <v>0</v>
      </c>
      <c r="S943" s="130"/>
      <c r="T943" s="20">
        <f t="shared" si="88"/>
        <v>7.5680217937499989</v>
      </c>
    </row>
    <row r="944" spans="1:20">
      <c r="A944" s="13" t="s">
        <v>626</v>
      </c>
      <c r="B944" s="14" t="s">
        <v>727</v>
      </c>
      <c r="C944" s="14" t="s">
        <v>728</v>
      </c>
      <c r="D944" s="13" t="s">
        <v>729</v>
      </c>
      <c r="E944" s="14" t="s">
        <v>79</v>
      </c>
      <c r="F944" s="13" t="s">
        <v>26</v>
      </c>
      <c r="G944" s="14" t="s">
        <v>20</v>
      </c>
      <c r="H944" s="14"/>
      <c r="I944" s="14">
        <v>201407</v>
      </c>
      <c r="J944" s="15">
        <v>712</v>
      </c>
      <c r="K944" s="21">
        <f t="shared" si="89"/>
        <v>42675</v>
      </c>
      <c r="L944" s="16">
        <f t="shared" si="90"/>
        <v>6</v>
      </c>
      <c r="M944" s="17">
        <v>1.4833299999999999E-3</v>
      </c>
      <c r="N944" s="18">
        <f t="shared" si="85"/>
        <v>6.3367857599999997</v>
      </c>
      <c r="O944" s="15"/>
      <c r="P944" s="20">
        <f t="shared" si="86"/>
        <v>0</v>
      </c>
      <c r="Q944" s="15"/>
      <c r="R944" s="20">
        <f t="shared" si="87"/>
        <v>0</v>
      </c>
      <c r="S944" s="130"/>
      <c r="T944" s="20">
        <f t="shared" si="88"/>
        <v>10.078805000000001</v>
      </c>
    </row>
    <row r="945" spans="1:20">
      <c r="A945" s="13" t="s">
        <v>626</v>
      </c>
      <c r="B945" s="14" t="s">
        <v>806</v>
      </c>
      <c r="C945" s="14" t="s">
        <v>807</v>
      </c>
      <c r="D945" s="13" t="s">
        <v>808</v>
      </c>
      <c r="E945" s="14" t="s">
        <v>809</v>
      </c>
      <c r="F945" s="13" t="s">
        <v>26</v>
      </c>
      <c r="G945" s="14" t="s">
        <v>20</v>
      </c>
      <c r="H945" s="14"/>
      <c r="I945" s="14">
        <v>201407</v>
      </c>
      <c r="J945" s="15">
        <v>10400.629999999999</v>
      </c>
      <c r="K945" s="21">
        <f t="shared" si="89"/>
        <v>42675</v>
      </c>
      <c r="L945" s="16">
        <f t="shared" si="90"/>
        <v>6</v>
      </c>
      <c r="M945" s="17">
        <v>1.4833299999999999E-3</v>
      </c>
      <c r="N945" s="18">
        <f t="shared" si="85"/>
        <v>92.565398987399988</v>
      </c>
      <c r="O945" s="15"/>
      <c r="P945" s="20">
        <f t="shared" si="86"/>
        <v>0</v>
      </c>
      <c r="Q945" s="15"/>
      <c r="R945" s="20">
        <f t="shared" si="87"/>
        <v>0</v>
      </c>
      <c r="S945" s="130"/>
      <c r="T945" s="20">
        <f t="shared" si="88"/>
        <v>147.22741804374999</v>
      </c>
    </row>
    <row r="946" spans="1:20">
      <c r="A946" s="13" t="s">
        <v>626</v>
      </c>
      <c r="B946" s="14" t="s">
        <v>724</v>
      </c>
      <c r="C946" s="14" t="s">
        <v>725</v>
      </c>
      <c r="D946" s="13" t="s">
        <v>726</v>
      </c>
      <c r="E946" s="14" t="s">
        <v>280</v>
      </c>
      <c r="F946" s="13" t="s">
        <v>26</v>
      </c>
      <c r="G946" s="14" t="s">
        <v>20</v>
      </c>
      <c r="H946" s="14"/>
      <c r="I946" s="14">
        <v>201407</v>
      </c>
      <c r="J946" s="15">
        <v>485.69</v>
      </c>
      <c r="K946" s="21">
        <f t="shared" si="89"/>
        <v>42675</v>
      </c>
      <c r="L946" s="16">
        <f t="shared" si="90"/>
        <v>6</v>
      </c>
      <c r="M946" s="17">
        <v>1.4833299999999999E-3</v>
      </c>
      <c r="N946" s="18">
        <f t="shared" si="85"/>
        <v>4.3226312862</v>
      </c>
      <c r="O946" s="15"/>
      <c r="P946" s="20">
        <f t="shared" si="86"/>
        <v>0</v>
      </c>
      <c r="Q946" s="15"/>
      <c r="R946" s="20">
        <f t="shared" si="87"/>
        <v>0</v>
      </c>
      <c r="S946" s="130"/>
      <c r="T946" s="20">
        <f t="shared" si="88"/>
        <v>6.8752455062499997</v>
      </c>
    </row>
    <row r="947" spans="1:20">
      <c r="A947" s="13" t="s">
        <v>21</v>
      </c>
      <c r="B947" s="14" t="s">
        <v>525</v>
      </c>
      <c r="C947" s="14" t="s">
        <v>526</v>
      </c>
      <c r="D947" s="13" t="s">
        <v>527</v>
      </c>
      <c r="E947" s="14" t="s">
        <v>280</v>
      </c>
      <c r="F947" s="13" t="s">
        <v>26</v>
      </c>
      <c r="G947" s="14" t="s">
        <v>20</v>
      </c>
      <c r="H947" s="14"/>
      <c r="I947" s="14">
        <v>201407</v>
      </c>
      <c r="J947" s="15">
        <v>389.22</v>
      </c>
      <c r="K947" s="21">
        <f t="shared" si="89"/>
        <v>42675</v>
      </c>
      <c r="L947" s="16">
        <f t="shared" si="90"/>
        <v>6</v>
      </c>
      <c r="M947" s="17">
        <v>1.4833299999999999E-3</v>
      </c>
      <c r="N947" s="18">
        <f t="shared" si="85"/>
        <v>3.4640502156000004</v>
      </c>
      <c r="O947" s="15"/>
      <c r="P947" s="20">
        <f t="shared" si="86"/>
        <v>0</v>
      </c>
      <c r="Q947" s="15"/>
      <c r="R947" s="20">
        <f t="shared" si="87"/>
        <v>0</v>
      </c>
      <c r="S947" s="130"/>
      <c r="T947" s="20">
        <f t="shared" si="88"/>
        <v>5.5096523624999998</v>
      </c>
    </row>
    <row r="948" spans="1:20">
      <c r="A948" s="13" t="s">
        <v>21</v>
      </c>
      <c r="B948" s="14" t="s">
        <v>687</v>
      </c>
      <c r="C948" s="14" t="s">
        <v>688</v>
      </c>
      <c r="D948" s="13" t="s">
        <v>689</v>
      </c>
      <c r="E948" s="14" t="s">
        <v>164</v>
      </c>
      <c r="F948" s="13" t="s">
        <v>165</v>
      </c>
      <c r="G948" s="14" t="s">
        <v>20</v>
      </c>
      <c r="H948" s="14"/>
      <c r="I948" s="14">
        <v>201407</v>
      </c>
      <c r="J948" s="15">
        <v>-428.25</v>
      </c>
      <c r="K948" s="21">
        <f t="shared" si="89"/>
        <v>42675</v>
      </c>
      <c r="L948" s="16">
        <f t="shared" si="90"/>
        <v>6</v>
      </c>
      <c r="M948" s="17">
        <v>1.4833299999999999E-3</v>
      </c>
      <c r="N948" s="18">
        <f t="shared" si="85"/>
        <v>-3.8114164349999999</v>
      </c>
      <c r="O948" s="15"/>
      <c r="P948" s="20">
        <f t="shared" si="86"/>
        <v>0</v>
      </c>
      <c r="Q948" s="15"/>
      <c r="R948" s="20">
        <f t="shared" si="87"/>
        <v>0</v>
      </c>
      <c r="S948" s="130"/>
      <c r="T948" s="20">
        <f t="shared" si="88"/>
        <v>-6.0621464062500001</v>
      </c>
    </row>
    <row r="949" spans="1:20">
      <c r="A949" s="13" t="s">
        <v>21</v>
      </c>
      <c r="B949" s="14" t="s">
        <v>298</v>
      </c>
      <c r="C949" s="14" t="s">
        <v>299</v>
      </c>
      <c r="D949" s="13" t="s">
        <v>300</v>
      </c>
      <c r="E949" s="14" t="s">
        <v>164</v>
      </c>
      <c r="F949" s="13" t="s">
        <v>165</v>
      </c>
      <c r="G949" s="14" t="s">
        <v>20</v>
      </c>
      <c r="H949" s="14"/>
      <c r="I949" s="14">
        <v>201407</v>
      </c>
      <c r="J949" s="15">
        <v>945.7</v>
      </c>
      <c r="K949" s="21">
        <f t="shared" si="89"/>
        <v>42675</v>
      </c>
      <c r="L949" s="16">
        <f t="shared" si="90"/>
        <v>6</v>
      </c>
      <c r="M949" s="17">
        <v>1.4833299999999999E-3</v>
      </c>
      <c r="N949" s="18">
        <f t="shared" si="85"/>
        <v>8.4167110860000012</v>
      </c>
      <c r="O949" s="15"/>
      <c r="P949" s="20">
        <f t="shared" si="86"/>
        <v>0</v>
      </c>
      <c r="Q949" s="15"/>
      <c r="R949" s="20">
        <f t="shared" si="87"/>
        <v>0</v>
      </c>
      <c r="S949" s="130"/>
      <c r="T949" s="20">
        <f t="shared" si="88"/>
        <v>13.386974562499999</v>
      </c>
    </row>
    <row r="950" spans="1:20">
      <c r="A950" s="13" t="s">
        <v>21</v>
      </c>
      <c r="B950" s="14" t="s">
        <v>329</v>
      </c>
      <c r="C950" s="14" t="s">
        <v>330</v>
      </c>
      <c r="D950" s="13" t="s">
        <v>331</v>
      </c>
      <c r="E950" s="14" t="s">
        <v>164</v>
      </c>
      <c r="F950" s="13" t="s">
        <v>165</v>
      </c>
      <c r="G950" s="14" t="s">
        <v>20</v>
      </c>
      <c r="H950" s="14"/>
      <c r="I950" s="14">
        <v>201407</v>
      </c>
      <c r="J950" s="15">
        <v>2388.15</v>
      </c>
      <c r="K950" s="21">
        <f t="shared" si="89"/>
        <v>42675</v>
      </c>
      <c r="L950" s="16">
        <f t="shared" si="90"/>
        <v>6</v>
      </c>
      <c r="M950" s="17">
        <v>1.4833299999999999E-3</v>
      </c>
      <c r="N950" s="18">
        <f t="shared" si="85"/>
        <v>21.254487236999999</v>
      </c>
      <c r="O950" s="15"/>
      <c r="P950" s="20">
        <f t="shared" si="86"/>
        <v>0</v>
      </c>
      <c r="Q950" s="15"/>
      <c r="R950" s="20">
        <f t="shared" si="87"/>
        <v>0</v>
      </c>
      <c r="S950" s="130"/>
      <c r="T950" s="20">
        <f t="shared" si="88"/>
        <v>33.805755843749999</v>
      </c>
    </row>
    <row r="951" spans="1:20">
      <c r="A951" s="13" t="s">
        <v>21</v>
      </c>
      <c r="B951" s="14" t="s">
        <v>304</v>
      </c>
      <c r="C951" s="14" t="s">
        <v>305</v>
      </c>
      <c r="D951" s="13" t="s">
        <v>306</v>
      </c>
      <c r="E951" s="14" t="s">
        <v>307</v>
      </c>
      <c r="F951" s="13" t="s">
        <v>165</v>
      </c>
      <c r="G951" s="14" t="s">
        <v>20</v>
      </c>
      <c r="H951" s="14"/>
      <c r="I951" s="14">
        <v>201407</v>
      </c>
      <c r="J951" s="15">
        <v>887.89</v>
      </c>
      <c r="K951" s="21">
        <f t="shared" si="89"/>
        <v>42675</v>
      </c>
      <c r="L951" s="16">
        <f t="shared" si="90"/>
        <v>6</v>
      </c>
      <c r="M951" s="17">
        <v>1.4833299999999999E-3</v>
      </c>
      <c r="N951" s="18">
        <f t="shared" si="85"/>
        <v>7.9022032421999997</v>
      </c>
      <c r="O951" s="15"/>
      <c r="P951" s="20">
        <f t="shared" si="86"/>
        <v>0</v>
      </c>
      <c r="Q951" s="15"/>
      <c r="R951" s="20">
        <f t="shared" si="87"/>
        <v>0</v>
      </c>
      <c r="S951" s="130"/>
      <c r="T951" s="20">
        <f t="shared" si="88"/>
        <v>12.56863788125</v>
      </c>
    </row>
    <row r="952" spans="1:20">
      <c r="A952" s="13" t="s">
        <v>21</v>
      </c>
      <c r="B952" s="14" t="s">
        <v>672</v>
      </c>
      <c r="C952" s="14" t="s">
        <v>673</v>
      </c>
      <c r="D952" s="13" t="s">
        <v>674</v>
      </c>
      <c r="E952" s="14" t="s">
        <v>164</v>
      </c>
      <c r="F952" s="13" t="s">
        <v>165</v>
      </c>
      <c r="G952" s="14" t="s">
        <v>20</v>
      </c>
      <c r="H952" s="14"/>
      <c r="I952" s="14">
        <v>201407</v>
      </c>
      <c r="J952" s="15">
        <v>0.09</v>
      </c>
      <c r="K952" s="21">
        <f t="shared" si="89"/>
        <v>42675</v>
      </c>
      <c r="L952" s="16">
        <f t="shared" si="90"/>
        <v>6</v>
      </c>
      <c r="M952" s="17">
        <v>1.4833299999999999E-3</v>
      </c>
      <c r="N952" s="18">
        <f t="shared" si="85"/>
        <v>8.0099819999999999E-4</v>
      </c>
      <c r="O952" s="15"/>
      <c r="P952" s="20">
        <f t="shared" si="86"/>
        <v>0</v>
      </c>
      <c r="Q952" s="15"/>
      <c r="R952" s="20">
        <f t="shared" si="87"/>
        <v>0</v>
      </c>
      <c r="S952" s="130"/>
      <c r="T952" s="20">
        <f t="shared" si="88"/>
        <v>1.2740062499999999E-3</v>
      </c>
    </row>
    <row r="953" spans="1:20">
      <c r="A953" s="13" t="s">
        <v>21</v>
      </c>
      <c r="B953" s="14" t="s">
        <v>639</v>
      </c>
      <c r="C953" s="14" t="s">
        <v>640</v>
      </c>
      <c r="D953" s="13" t="s">
        <v>641</v>
      </c>
      <c r="E953" s="14" t="s">
        <v>164</v>
      </c>
      <c r="F953" s="13" t="s">
        <v>165</v>
      </c>
      <c r="G953" s="14" t="s">
        <v>20</v>
      </c>
      <c r="H953" s="14"/>
      <c r="I953" s="14">
        <v>201407</v>
      </c>
      <c r="J953" s="15">
        <v>231.08</v>
      </c>
      <c r="K953" s="21">
        <f t="shared" si="89"/>
        <v>42675</v>
      </c>
      <c r="L953" s="16">
        <f t="shared" si="90"/>
        <v>6</v>
      </c>
      <c r="M953" s="17">
        <v>1.4833299999999999E-3</v>
      </c>
      <c r="N953" s="18">
        <f t="shared" si="85"/>
        <v>2.0566073784000003</v>
      </c>
      <c r="O953" s="15"/>
      <c r="P953" s="20">
        <f t="shared" si="86"/>
        <v>0</v>
      </c>
      <c r="Q953" s="15"/>
      <c r="R953" s="20">
        <f t="shared" si="87"/>
        <v>0</v>
      </c>
      <c r="S953" s="130"/>
      <c r="T953" s="20">
        <f t="shared" si="88"/>
        <v>3.271081825</v>
      </c>
    </row>
    <row r="954" spans="1:20">
      <c r="A954" s="13" t="s">
        <v>21</v>
      </c>
      <c r="B954" s="14" t="s">
        <v>373</v>
      </c>
      <c r="C954" s="14" t="s">
        <v>374</v>
      </c>
      <c r="D954" s="13" t="s">
        <v>375</v>
      </c>
      <c r="E954" s="14" t="s">
        <v>164</v>
      </c>
      <c r="F954" s="13" t="s">
        <v>165</v>
      </c>
      <c r="G954" s="14" t="s">
        <v>20</v>
      </c>
      <c r="H954" s="14"/>
      <c r="I954" s="14">
        <v>201407</v>
      </c>
      <c r="J954" s="15">
        <v>166.5</v>
      </c>
      <c r="K954" s="21">
        <f t="shared" si="89"/>
        <v>42675</v>
      </c>
      <c r="L954" s="16">
        <f t="shared" si="90"/>
        <v>6</v>
      </c>
      <c r="M954" s="17">
        <v>1.4833299999999999E-3</v>
      </c>
      <c r="N954" s="18">
        <f t="shared" si="85"/>
        <v>1.4818466699999999</v>
      </c>
      <c r="O954" s="15"/>
      <c r="P954" s="20">
        <f t="shared" si="86"/>
        <v>0</v>
      </c>
      <c r="Q954" s="15"/>
      <c r="R954" s="20">
        <f t="shared" si="87"/>
        <v>0</v>
      </c>
      <c r="S954" s="130"/>
      <c r="T954" s="20">
        <f t="shared" si="88"/>
        <v>2.3569115624999997</v>
      </c>
    </row>
    <row r="955" spans="1:20">
      <c r="A955" s="13" t="s">
        <v>21</v>
      </c>
      <c r="B955" s="14" t="s">
        <v>251</v>
      </c>
      <c r="C955" s="14" t="s">
        <v>252</v>
      </c>
      <c r="D955" s="13" t="s">
        <v>253</v>
      </c>
      <c r="E955" s="14" t="s">
        <v>164</v>
      </c>
      <c r="F955" s="13" t="s">
        <v>165</v>
      </c>
      <c r="G955" s="14" t="s">
        <v>20</v>
      </c>
      <c r="H955" s="14"/>
      <c r="I955" s="14">
        <v>201407</v>
      </c>
      <c r="J955" s="15">
        <v>219.33</v>
      </c>
      <c r="K955" s="21">
        <f t="shared" si="89"/>
        <v>42675</v>
      </c>
      <c r="L955" s="16">
        <f t="shared" si="90"/>
        <v>6</v>
      </c>
      <c r="M955" s="17">
        <v>1.4833299999999999E-3</v>
      </c>
      <c r="N955" s="18">
        <f t="shared" si="85"/>
        <v>1.9520326134000001</v>
      </c>
      <c r="O955" s="15"/>
      <c r="P955" s="20">
        <f t="shared" si="86"/>
        <v>0</v>
      </c>
      <c r="Q955" s="15"/>
      <c r="R955" s="20">
        <f t="shared" si="87"/>
        <v>0</v>
      </c>
      <c r="S955" s="130"/>
      <c r="T955" s="20">
        <f t="shared" si="88"/>
        <v>3.1047532312499997</v>
      </c>
    </row>
    <row r="956" spans="1:20">
      <c r="A956" s="13" t="s">
        <v>21</v>
      </c>
      <c r="B956" s="14" t="s">
        <v>311</v>
      </c>
      <c r="C956" s="14" t="s">
        <v>312</v>
      </c>
      <c r="D956" s="13" t="s">
        <v>313</v>
      </c>
      <c r="E956" s="14" t="s">
        <v>164</v>
      </c>
      <c r="F956" s="13" t="s">
        <v>165</v>
      </c>
      <c r="G956" s="14" t="s">
        <v>20</v>
      </c>
      <c r="H956" s="14"/>
      <c r="I956" s="14">
        <v>201407</v>
      </c>
      <c r="J956" s="15">
        <v>694.28</v>
      </c>
      <c r="K956" s="21">
        <f t="shared" si="89"/>
        <v>42675</v>
      </c>
      <c r="L956" s="16">
        <f t="shared" si="90"/>
        <v>6</v>
      </c>
      <c r="M956" s="17">
        <v>1.4833299999999999E-3</v>
      </c>
      <c r="N956" s="18">
        <f t="shared" si="85"/>
        <v>6.1790781144000002</v>
      </c>
      <c r="O956" s="15"/>
      <c r="P956" s="20">
        <f t="shared" si="86"/>
        <v>0</v>
      </c>
      <c r="Q956" s="15"/>
      <c r="R956" s="20">
        <f t="shared" si="87"/>
        <v>0</v>
      </c>
      <c r="S956" s="130"/>
      <c r="T956" s="20">
        <f t="shared" si="88"/>
        <v>9.8279673249999995</v>
      </c>
    </row>
    <row r="957" spans="1:20">
      <c r="A957" s="13" t="s">
        <v>21</v>
      </c>
      <c r="B957" s="14" t="s">
        <v>468</v>
      </c>
      <c r="C957" s="14" t="s">
        <v>469</v>
      </c>
      <c r="D957" s="13" t="s">
        <v>470</v>
      </c>
      <c r="E957" s="14" t="s">
        <v>471</v>
      </c>
      <c r="F957" s="13" t="s">
        <v>165</v>
      </c>
      <c r="G957" s="14" t="s">
        <v>20</v>
      </c>
      <c r="H957" s="14"/>
      <c r="I957" s="14">
        <v>201407</v>
      </c>
      <c r="J957" s="15">
        <v>-40444.769999999997</v>
      </c>
      <c r="K957" s="21">
        <f t="shared" si="89"/>
        <v>42675</v>
      </c>
      <c r="L957" s="16">
        <f t="shared" si="90"/>
        <v>6</v>
      </c>
      <c r="M957" s="17">
        <v>1.4833299999999999E-3</v>
      </c>
      <c r="N957" s="18">
        <f t="shared" si="85"/>
        <v>-359.95764410459998</v>
      </c>
      <c r="O957" s="15"/>
      <c r="P957" s="20">
        <f t="shared" si="86"/>
        <v>0</v>
      </c>
      <c r="Q957" s="15"/>
      <c r="R957" s="20">
        <f t="shared" si="87"/>
        <v>0</v>
      </c>
      <c r="S957" s="130"/>
      <c r="T957" s="20">
        <f t="shared" si="88"/>
        <v>-572.52099733124987</v>
      </c>
    </row>
    <row r="958" spans="1:20">
      <c r="A958" s="13" t="s">
        <v>626</v>
      </c>
      <c r="B958" s="14" t="s">
        <v>468</v>
      </c>
      <c r="C958" s="14" t="s">
        <v>469</v>
      </c>
      <c r="D958" s="13" t="s">
        <v>470</v>
      </c>
      <c r="E958" s="14" t="s">
        <v>471</v>
      </c>
      <c r="F958" s="13" t="s">
        <v>165</v>
      </c>
      <c r="G958" s="14" t="s">
        <v>20</v>
      </c>
      <c r="H958" s="14"/>
      <c r="I958" s="14">
        <v>201407</v>
      </c>
      <c r="J958" s="15">
        <v>39954.97</v>
      </c>
      <c r="K958" s="21">
        <f t="shared" si="89"/>
        <v>42675</v>
      </c>
      <c r="L958" s="16">
        <f t="shared" si="90"/>
        <v>6</v>
      </c>
      <c r="M958" s="17">
        <v>1.4833299999999999E-3</v>
      </c>
      <c r="N958" s="18">
        <f t="shared" si="85"/>
        <v>355.59843390060001</v>
      </c>
      <c r="O958" s="15"/>
      <c r="P958" s="20">
        <f t="shared" si="86"/>
        <v>0</v>
      </c>
      <c r="Q958" s="15"/>
      <c r="R958" s="20">
        <f t="shared" si="87"/>
        <v>0</v>
      </c>
      <c r="S958" s="130"/>
      <c r="T958" s="20">
        <f t="shared" si="88"/>
        <v>565.58757220625</v>
      </c>
    </row>
    <row r="959" spans="1:20">
      <c r="A959" s="13" t="s">
        <v>21</v>
      </c>
      <c r="B959" s="14" t="s">
        <v>289</v>
      </c>
      <c r="C959" s="14" t="s">
        <v>290</v>
      </c>
      <c r="D959" s="13" t="s">
        <v>291</v>
      </c>
      <c r="E959" s="14" t="s">
        <v>164</v>
      </c>
      <c r="F959" s="13" t="s">
        <v>165</v>
      </c>
      <c r="G959" s="14" t="s">
        <v>20</v>
      </c>
      <c r="H959" s="14"/>
      <c r="I959" s="14">
        <v>201407</v>
      </c>
      <c r="J959" s="15">
        <v>198.24</v>
      </c>
      <c r="K959" s="21">
        <f t="shared" si="89"/>
        <v>42675</v>
      </c>
      <c r="L959" s="16">
        <f t="shared" si="90"/>
        <v>6</v>
      </c>
      <c r="M959" s="17">
        <v>1.4833299999999999E-3</v>
      </c>
      <c r="N959" s="18">
        <f t="shared" si="85"/>
        <v>1.7643320352</v>
      </c>
      <c r="O959" s="15"/>
      <c r="P959" s="20">
        <f t="shared" si="86"/>
        <v>0</v>
      </c>
      <c r="Q959" s="15"/>
      <c r="R959" s="20">
        <f t="shared" si="87"/>
        <v>0</v>
      </c>
      <c r="S959" s="130"/>
      <c r="T959" s="20">
        <f t="shared" si="88"/>
        <v>2.8062111000000001</v>
      </c>
    </row>
    <row r="960" spans="1:20">
      <c r="A960" s="13" t="s">
        <v>21</v>
      </c>
      <c r="B960" s="14" t="s">
        <v>254</v>
      </c>
      <c r="C960" s="14" t="s">
        <v>255</v>
      </c>
      <c r="D960" s="13" t="s">
        <v>256</v>
      </c>
      <c r="E960" s="14" t="s">
        <v>164</v>
      </c>
      <c r="F960" s="13" t="s">
        <v>165</v>
      </c>
      <c r="G960" s="14" t="s">
        <v>20</v>
      </c>
      <c r="H960" s="14"/>
      <c r="I960" s="14">
        <v>201407</v>
      </c>
      <c r="J960" s="15">
        <v>187.01</v>
      </c>
      <c r="K960" s="21">
        <f t="shared" si="89"/>
        <v>42675</v>
      </c>
      <c r="L960" s="16">
        <f t="shared" si="90"/>
        <v>6</v>
      </c>
      <c r="M960" s="17">
        <v>1.4833299999999999E-3</v>
      </c>
      <c r="N960" s="18">
        <f t="shared" si="85"/>
        <v>1.6643852598</v>
      </c>
      <c r="O960" s="15"/>
      <c r="P960" s="20">
        <f t="shared" si="86"/>
        <v>0</v>
      </c>
      <c r="Q960" s="15"/>
      <c r="R960" s="20">
        <f t="shared" si="87"/>
        <v>0</v>
      </c>
      <c r="S960" s="130"/>
      <c r="T960" s="20">
        <f t="shared" si="88"/>
        <v>2.6472434312499997</v>
      </c>
    </row>
    <row r="961" spans="1:20">
      <c r="A961" s="13" t="s">
        <v>21</v>
      </c>
      <c r="B961" s="14" t="s">
        <v>385</v>
      </c>
      <c r="C961" s="14" t="s">
        <v>386</v>
      </c>
      <c r="D961" s="13" t="s">
        <v>387</v>
      </c>
      <c r="E961" s="14" t="s">
        <v>164</v>
      </c>
      <c r="F961" s="13" t="s">
        <v>165</v>
      </c>
      <c r="G961" s="14" t="s">
        <v>20</v>
      </c>
      <c r="H961" s="14"/>
      <c r="I961" s="14">
        <v>201407</v>
      </c>
      <c r="J961" s="15">
        <v>318.26</v>
      </c>
      <c r="K961" s="21">
        <f t="shared" si="89"/>
        <v>42675</v>
      </c>
      <c r="L961" s="16">
        <f t="shared" si="90"/>
        <v>6</v>
      </c>
      <c r="M961" s="17">
        <v>1.4833299999999999E-3</v>
      </c>
      <c r="N961" s="18">
        <f t="shared" si="85"/>
        <v>2.8325076347999998</v>
      </c>
      <c r="O961" s="15"/>
      <c r="P961" s="20">
        <f t="shared" si="86"/>
        <v>0</v>
      </c>
      <c r="Q961" s="15"/>
      <c r="R961" s="20">
        <f t="shared" si="87"/>
        <v>0</v>
      </c>
      <c r="S961" s="130"/>
      <c r="T961" s="20">
        <f t="shared" si="88"/>
        <v>4.5051692125000002</v>
      </c>
    </row>
    <row r="962" spans="1:20">
      <c r="A962" s="13" t="s">
        <v>21</v>
      </c>
      <c r="B962" s="14" t="s">
        <v>361</v>
      </c>
      <c r="C962" s="14" t="s">
        <v>362</v>
      </c>
      <c r="D962" s="13" t="s">
        <v>363</v>
      </c>
      <c r="E962" s="14" t="s">
        <v>164</v>
      </c>
      <c r="F962" s="13" t="s">
        <v>165</v>
      </c>
      <c r="G962" s="14" t="s">
        <v>20</v>
      </c>
      <c r="H962" s="14"/>
      <c r="I962" s="14">
        <v>201407</v>
      </c>
      <c r="J962" s="15">
        <v>767.93</v>
      </c>
      <c r="K962" s="21">
        <f t="shared" si="89"/>
        <v>42675</v>
      </c>
      <c r="L962" s="16">
        <f t="shared" si="90"/>
        <v>6</v>
      </c>
      <c r="M962" s="17">
        <v>1.4833299999999999E-3</v>
      </c>
      <c r="N962" s="18">
        <f t="shared" si="85"/>
        <v>6.8345616413999997</v>
      </c>
      <c r="O962" s="15"/>
      <c r="P962" s="20">
        <f t="shared" si="86"/>
        <v>0</v>
      </c>
      <c r="Q962" s="15"/>
      <c r="R962" s="20">
        <f t="shared" si="87"/>
        <v>0</v>
      </c>
      <c r="S962" s="130"/>
      <c r="T962" s="20">
        <f t="shared" si="88"/>
        <v>10.870529106249998</v>
      </c>
    </row>
    <row r="963" spans="1:20">
      <c r="A963" s="13" t="s">
        <v>21</v>
      </c>
      <c r="B963" s="14" t="s">
        <v>230</v>
      </c>
      <c r="C963" s="14" t="s">
        <v>231</v>
      </c>
      <c r="D963" s="13" t="s">
        <v>232</v>
      </c>
      <c r="E963" s="14" t="s">
        <v>164</v>
      </c>
      <c r="F963" s="13" t="s">
        <v>165</v>
      </c>
      <c r="G963" s="14" t="s">
        <v>20</v>
      </c>
      <c r="H963" s="14"/>
      <c r="I963" s="14">
        <v>201407</v>
      </c>
      <c r="J963" s="15">
        <v>193.83</v>
      </c>
      <c r="K963" s="21">
        <f t="shared" si="89"/>
        <v>42675</v>
      </c>
      <c r="L963" s="16">
        <f t="shared" si="90"/>
        <v>6</v>
      </c>
      <c r="M963" s="17">
        <v>1.4833299999999999E-3</v>
      </c>
      <c r="N963" s="18">
        <f t="shared" si="85"/>
        <v>1.7250831234000001</v>
      </c>
      <c r="O963" s="15"/>
      <c r="P963" s="20">
        <f t="shared" si="86"/>
        <v>0</v>
      </c>
      <c r="Q963" s="15"/>
      <c r="R963" s="20">
        <f t="shared" si="87"/>
        <v>0</v>
      </c>
      <c r="S963" s="130"/>
      <c r="T963" s="20">
        <f t="shared" si="88"/>
        <v>2.7437847937499997</v>
      </c>
    </row>
    <row r="964" spans="1:20">
      <c r="A964" s="13" t="s">
        <v>626</v>
      </c>
      <c r="B964" s="14" t="s">
        <v>750</v>
      </c>
      <c r="C964" s="14" t="s">
        <v>751</v>
      </c>
      <c r="D964" s="13" t="s">
        <v>752</v>
      </c>
      <c r="E964" s="14" t="s">
        <v>164</v>
      </c>
      <c r="F964" s="13" t="s">
        <v>165</v>
      </c>
      <c r="G964" s="14" t="s">
        <v>20</v>
      </c>
      <c r="H964" s="14"/>
      <c r="I964" s="14">
        <v>201407</v>
      </c>
      <c r="J964" s="15">
        <v>26793</v>
      </c>
      <c r="K964" s="21">
        <f t="shared" si="89"/>
        <v>42675</v>
      </c>
      <c r="L964" s="16">
        <f t="shared" si="90"/>
        <v>6</v>
      </c>
      <c r="M964" s="17">
        <v>1.4833299999999999E-3</v>
      </c>
      <c r="N964" s="18">
        <f t="shared" si="85"/>
        <v>238.45716414</v>
      </c>
      <c r="O964" s="15"/>
      <c r="P964" s="20">
        <f t="shared" si="86"/>
        <v>0</v>
      </c>
      <c r="Q964" s="15"/>
      <c r="R964" s="20">
        <f t="shared" si="87"/>
        <v>0</v>
      </c>
      <c r="S964" s="130"/>
      <c r="T964" s="20">
        <f t="shared" si="88"/>
        <v>379.27166062499998</v>
      </c>
    </row>
    <row r="965" spans="1:20">
      <c r="A965" s="13" t="s">
        <v>21</v>
      </c>
      <c r="B965" s="14" t="s">
        <v>161</v>
      </c>
      <c r="C965" s="14" t="s">
        <v>162</v>
      </c>
      <c r="D965" s="13" t="s">
        <v>163</v>
      </c>
      <c r="E965" s="14" t="s">
        <v>164</v>
      </c>
      <c r="F965" s="13" t="s">
        <v>165</v>
      </c>
      <c r="G965" s="14" t="s">
        <v>20</v>
      </c>
      <c r="H965" s="14"/>
      <c r="I965" s="14">
        <v>201407</v>
      </c>
      <c r="J965" s="15">
        <v>192.83</v>
      </c>
      <c r="K965" s="21">
        <f t="shared" si="89"/>
        <v>42675</v>
      </c>
      <c r="L965" s="16">
        <f t="shared" si="90"/>
        <v>6</v>
      </c>
      <c r="M965" s="17">
        <v>1.4833299999999999E-3</v>
      </c>
      <c r="N965" s="18">
        <f t="shared" si="85"/>
        <v>1.7161831434000001</v>
      </c>
      <c r="O965" s="15"/>
      <c r="P965" s="20">
        <f t="shared" si="86"/>
        <v>0</v>
      </c>
      <c r="Q965" s="15"/>
      <c r="R965" s="20">
        <f t="shared" si="87"/>
        <v>0</v>
      </c>
      <c r="S965" s="130"/>
      <c r="T965" s="20">
        <f t="shared" si="88"/>
        <v>2.7296291687500003</v>
      </c>
    </row>
    <row r="966" spans="1:20">
      <c r="A966" s="13" t="s">
        <v>21</v>
      </c>
      <c r="B966" s="14" t="s">
        <v>428</v>
      </c>
      <c r="C966" s="14" t="s">
        <v>429</v>
      </c>
      <c r="D966" s="13" t="s">
        <v>430</v>
      </c>
      <c r="E966" s="14" t="s">
        <v>164</v>
      </c>
      <c r="F966" s="13" t="s">
        <v>165</v>
      </c>
      <c r="G966" s="14" t="s">
        <v>20</v>
      </c>
      <c r="H966" s="14"/>
      <c r="I966" s="14">
        <v>201407</v>
      </c>
      <c r="J966" s="15">
        <v>-123864.29</v>
      </c>
      <c r="K966" s="21">
        <f t="shared" si="89"/>
        <v>42675</v>
      </c>
      <c r="L966" s="16">
        <f t="shared" si="90"/>
        <v>6</v>
      </c>
      <c r="M966" s="17">
        <v>1.4833299999999999E-3</v>
      </c>
      <c r="N966" s="18">
        <f t="shared" ref="N966:N1029" si="91">M966*L966*J966</f>
        <v>-1102.3897037141999</v>
      </c>
      <c r="O966" s="15"/>
      <c r="P966" s="20">
        <f t="shared" ref="P966:P1029" si="92">$P$4*(J966*0.5)*$V$10</f>
        <v>0</v>
      </c>
      <c r="Q966" s="15"/>
      <c r="R966" s="20">
        <f t="shared" ref="R966:R1029" si="93">$R$4*(J966*0.5)*$V$9</f>
        <v>0</v>
      </c>
      <c r="S966" s="130"/>
      <c r="T966" s="20">
        <f t="shared" ref="T966:T1029" si="94">$T$4*(J966*0.5)*$V$11</f>
        <v>-1753.3764401312496</v>
      </c>
    </row>
    <row r="967" spans="1:20">
      <c r="A967" s="13" t="s">
        <v>626</v>
      </c>
      <c r="B967" s="14" t="s">
        <v>428</v>
      </c>
      <c r="C967" s="14" t="s">
        <v>429</v>
      </c>
      <c r="D967" s="13" t="s">
        <v>430</v>
      </c>
      <c r="E967" s="14" t="s">
        <v>164</v>
      </c>
      <c r="F967" s="13" t="s">
        <v>165</v>
      </c>
      <c r="G967" s="14" t="s">
        <v>20</v>
      </c>
      <c r="H967" s="14"/>
      <c r="I967" s="14">
        <v>201407</v>
      </c>
      <c r="J967" s="15">
        <v>126145.36</v>
      </c>
      <c r="K967" s="21">
        <f t="shared" ref="K967:K1030" si="95">+K966</f>
        <v>42675</v>
      </c>
      <c r="L967" s="16">
        <f t="shared" si="90"/>
        <v>6</v>
      </c>
      <c r="M967" s="17">
        <v>1.4833299999999999E-3</v>
      </c>
      <c r="N967" s="18">
        <f t="shared" si="91"/>
        <v>1122.6911810928</v>
      </c>
      <c r="O967" s="15"/>
      <c r="P967" s="20">
        <f t="shared" si="92"/>
        <v>0</v>
      </c>
      <c r="Q967" s="15"/>
      <c r="R967" s="20">
        <f t="shared" si="93"/>
        <v>0</v>
      </c>
      <c r="S967" s="130"/>
      <c r="T967" s="20">
        <f t="shared" si="94"/>
        <v>1785.6664116499999</v>
      </c>
    </row>
    <row r="968" spans="1:20">
      <c r="A968" s="13" t="s">
        <v>21</v>
      </c>
      <c r="B968" s="14" t="s">
        <v>379</v>
      </c>
      <c r="C968" s="14" t="s">
        <v>380</v>
      </c>
      <c r="D968" s="13" t="s">
        <v>381</v>
      </c>
      <c r="E968" s="14" t="s">
        <v>164</v>
      </c>
      <c r="F968" s="13" t="s">
        <v>165</v>
      </c>
      <c r="G968" s="14" t="s">
        <v>20</v>
      </c>
      <c r="H968" s="14"/>
      <c r="I968" s="14">
        <v>201407</v>
      </c>
      <c r="J968" s="15">
        <v>679.89</v>
      </c>
      <c r="K968" s="21">
        <f t="shared" si="95"/>
        <v>42675</v>
      </c>
      <c r="L968" s="16">
        <f t="shared" si="90"/>
        <v>6</v>
      </c>
      <c r="M968" s="17">
        <v>1.4833299999999999E-3</v>
      </c>
      <c r="N968" s="18">
        <f t="shared" si="91"/>
        <v>6.0510074021999998</v>
      </c>
      <c r="O968" s="15"/>
      <c r="P968" s="20">
        <f t="shared" si="92"/>
        <v>0</v>
      </c>
      <c r="Q968" s="15"/>
      <c r="R968" s="20">
        <f t="shared" si="93"/>
        <v>0</v>
      </c>
      <c r="S968" s="130"/>
      <c r="T968" s="20">
        <f t="shared" si="94"/>
        <v>9.6242678812499989</v>
      </c>
    </row>
    <row r="969" spans="1:20">
      <c r="A969" s="13" t="s">
        <v>21</v>
      </c>
      <c r="B969" s="14" t="s">
        <v>478</v>
      </c>
      <c r="C969" s="14" t="s">
        <v>479</v>
      </c>
      <c r="D969" s="13" t="s">
        <v>480</v>
      </c>
      <c r="E969" s="14" t="s">
        <v>164</v>
      </c>
      <c r="F969" s="13" t="s">
        <v>165</v>
      </c>
      <c r="G969" s="14" t="s">
        <v>20</v>
      </c>
      <c r="H969" s="14"/>
      <c r="I969" s="14">
        <v>201407</v>
      </c>
      <c r="J969" s="15">
        <v>699.92</v>
      </c>
      <c r="K969" s="21">
        <f t="shared" si="95"/>
        <v>42675</v>
      </c>
      <c r="L969" s="16">
        <f t="shared" si="90"/>
        <v>6</v>
      </c>
      <c r="M969" s="17">
        <v>1.4833299999999999E-3</v>
      </c>
      <c r="N969" s="18">
        <f t="shared" si="91"/>
        <v>6.2292740015999994</v>
      </c>
      <c r="O969" s="15"/>
      <c r="P969" s="20">
        <f t="shared" si="92"/>
        <v>0</v>
      </c>
      <c r="Q969" s="15"/>
      <c r="R969" s="20">
        <f t="shared" si="93"/>
        <v>0</v>
      </c>
      <c r="S969" s="130"/>
      <c r="T969" s="20">
        <f t="shared" si="94"/>
        <v>9.9078050499999986</v>
      </c>
    </row>
    <row r="970" spans="1:20">
      <c r="A970" s="13" t="s">
        <v>21</v>
      </c>
      <c r="B970" s="14" t="s">
        <v>456</v>
      </c>
      <c r="C970" s="14" t="s">
        <v>457</v>
      </c>
      <c r="D970" s="13" t="s">
        <v>458</v>
      </c>
      <c r="E970" s="14" t="s">
        <v>164</v>
      </c>
      <c r="F970" s="13" t="s">
        <v>165</v>
      </c>
      <c r="G970" s="14" t="s">
        <v>20</v>
      </c>
      <c r="H970" s="14"/>
      <c r="I970" s="14">
        <v>201407</v>
      </c>
      <c r="J970" s="15">
        <v>-79284.75</v>
      </c>
      <c r="K970" s="21">
        <f t="shared" si="95"/>
        <v>42675</v>
      </c>
      <c r="L970" s="16">
        <f t="shared" si="90"/>
        <v>6</v>
      </c>
      <c r="M970" s="17">
        <v>1.4833299999999999E-3</v>
      </c>
      <c r="N970" s="18">
        <f t="shared" si="91"/>
        <v>-705.63268930499999</v>
      </c>
      <c r="O970" s="15"/>
      <c r="P970" s="20">
        <f t="shared" si="92"/>
        <v>0</v>
      </c>
      <c r="Q970" s="15"/>
      <c r="R970" s="20">
        <f t="shared" si="93"/>
        <v>0</v>
      </c>
      <c r="S970" s="130"/>
      <c r="T970" s="20">
        <f t="shared" si="94"/>
        <v>-1122.32518921875</v>
      </c>
    </row>
    <row r="971" spans="1:20">
      <c r="A971" s="13" t="s">
        <v>626</v>
      </c>
      <c r="B971" s="14" t="s">
        <v>456</v>
      </c>
      <c r="C971" s="14" t="s">
        <v>457</v>
      </c>
      <c r="D971" s="13" t="s">
        <v>458</v>
      </c>
      <c r="E971" s="14" t="s">
        <v>164</v>
      </c>
      <c r="F971" s="13" t="s">
        <v>165</v>
      </c>
      <c r="G971" s="14" t="s">
        <v>20</v>
      </c>
      <c r="H971" s="14"/>
      <c r="I971" s="14">
        <v>201407</v>
      </c>
      <c r="J971" s="15">
        <v>80948.11</v>
      </c>
      <c r="K971" s="21">
        <f t="shared" si="95"/>
        <v>42675</v>
      </c>
      <c r="L971" s="16">
        <f t="shared" si="90"/>
        <v>6</v>
      </c>
      <c r="M971" s="17">
        <v>1.4833299999999999E-3</v>
      </c>
      <c r="N971" s="18">
        <f t="shared" si="91"/>
        <v>720.43656003780006</v>
      </c>
      <c r="O971" s="15"/>
      <c r="P971" s="20">
        <f t="shared" si="92"/>
        <v>0</v>
      </c>
      <c r="Q971" s="15"/>
      <c r="R971" s="20">
        <f t="shared" si="93"/>
        <v>0</v>
      </c>
      <c r="S971" s="130"/>
      <c r="T971" s="20">
        <f t="shared" si="94"/>
        <v>1145.8710896187499</v>
      </c>
    </row>
    <row r="972" spans="1:20">
      <c r="A972" s="13" t="s">
        <v>21</v>
      </c>
      <c r="B972" s="14" t="s">
        <v>504</v>
      </c>
      <c r="C972" s="14" t="s">
        <v>505</v>
      </c>
      <c r="D972" s="13" t="s">
        <v>506</v>
      </c>
      <c r="E972" s="14" t="s">
        <v>164</v>
      </c>
      <c r="F972" s="13" t="s">
        <v>165</v>
      </c>
      <c r="G972" s="14" t="s">
        <v>20</v>
      </c>
      <c r="H972" s="14"/>
      <c r="I972" s="14">
        <v>201407</v>
      </c>
      <c r="J972" s="15">
        <v>503.08</v>
      </c>
      <c r="K972" s="21">
        <f t="shared" si="95"/>
        <v>42675</v>
      </c>
      <c r="L972" s="16">
        <f t="shared" si="90"/>
        <v>6</v>
      </c>
      <c r="M972" s="17">
        <v>1.4833299999999999E-3</v>
      </c>
      <c r="N972" s="18">
        <f t="shared" si="91"/>
        <v>4.4774019383999999</v>
      </c>
      <c r="O972" s="15"/>
      <c r="P972" s="20">
        <f t="shared" si="92"/>
        <v>0</v>
      </c>
      <c r="Q972" s="15"/>
      <c r="R972" s="20">
        <f t="shared" si="93"/>
        <v>0</v>
      </c>
      <c r="S972" s="130"/>
      <c r="T972" s="20">
        <f t="shared" si="94"/>
        <v>7.1214118249999991</v>
      </c>
    </row>
    <row r="973" spans="1:20">
      <c r="A973" s="13" t="s">
        <v>21</v>
      </c>
      <c r="B973" s="14" t="s">
        <v>810</v>
      </c>
      <c r="C973" s="14" t="s">
        <v>811</v>
      </c>
      <c r="D973" s="13" t="s">
        <v>812</v>
      </c>
      <c r="E973" s="14" t="s">
        <v>471</v>
      </c>
      <c r="F973" s="13" t="s">
        <v>165</v>
      </c>
      <c r="G973" s="14" t="s">
        <v>20</v>
      </c>
      <c r="H973" s="14"/>
      <c r="I973" s="14">
        <v>201407</v>
      </c>
      <c r="J973" s="15">
        <v>1786.67</v>
      </c>
      <c r="K973" s="21">
        <f t="shared" si="95"/>
        <v>42675</v>
      </c>
      <c r="L973" s="16">
        <f t="shared" ref="L973:L1036" si="96">((YEAR($L$1)-YEAR(K973))*12+MONTH($L$1)-MONTH(K973))</f>
        <v>6</v>
      </c>
      <c r="M973" s="17">
        <v>1.4833299999999999E-3</v>
      </c>
      <c r="N973" s="18">
        <f t="shared" si="91"/>
        <v>15.901327266600001</v>
      </c>
      <c r="O973" s="15"/>
      <c r="P973" s="20">
        <f t="shared" si="92"/>
        <v>0</v>
      </c>
      <c r="Q973" s="15"/>
      <c r="R973" s="20">
        <f t="shared" si="93"/>
        <v>0</v>
      </c>
      <c r="S973" s="130"/>
      <c r="T973" s="20">
        <f t="shared" si="94"/>
        <v>25.291430518750001</v>
      </c>
    </row>
    <row r="974" spans="1:20">
      <c r="A974" s="13" t="s">
        <v>626</v>
      </c>
      <c r="B974" s="14" t="s">
        <v>810</v>
      </c>
      <c r="C974" s="14" t="s">
        <v>811</v>
      </c>
      <c r="D974" s="13" t="s">
        <v>812</v>
      </c>
      <c r="E974" s="14" t="s">
        <v>471</v>
      </c>
      <c r="F974" s="13" t="s">
        <v>165</v>
      </c>
      <c r="G974" s="14" t="s">
        <v>20</v>
      </c>
      <c r="H974" s="14"/>
      <c r="I974" s="14">
        <v>201407</v>
      </c>
      <c r="J974" s="15">
        <v>100430.35</v>
      </c>
      <c r="K974" s="21">
        <f t="shared" si="95"/>
        <v>42675</v>
      </c>
      <c r="L974" s="16">
        <f t="shared" si="96"/>
        <v>6</v>
      </c>
      <c r="M974" s="17">
        <v>1.4833299999999999E-3</v>
      </c>
      <c r="N974" s="18">
        <f t="shared" si="91"/>
        <v>893.8281063930001</v>
      </c>
      <c r="O974" s="15"/>
      <c r="P974" s="20">
        <f t="shared" si="92"/>
        <v>0</v>
      </c>
      <c r="Q974" s="15"/>
      <c r="R974" s="20">
        <f t="shared" si="93"/>
        <v>0</v>
      </c>
      <c r="S974" s="130"/>
      <c r="T974" s="20">
        <f t="shared" si="94"/>
        <v>1421.6543732187499</v>
      </c>
    </row>
    <row r="975" spans="1:20">
      <c r="A975" s="13" t="s">
        <v>21</v>
      </c>
      <c r="B975" s="14" t="s">
        <v>703</v>
      </c>
      <c r="C975" s="14" t="s">
        <v>704</v>
      </c>
      <c r="D975" s="13" t="s">
        <v>705</v>
      </c>
      <c r="E975" s="14" t="s">
        <v>164</v>
      </c>
      <c r="F975" s="13" t="s">
        <v>165</v>
      </c>
      <c r="G975" s="14" t="s">
        <v>20</v>
      </c>
      <c r="H975" s="14"/>
      <c r="I975" s="14">
        <v>201407</v>
      </c>
      <c r="J975" s="15">
        <v>11375.92</v>
      </c>
      <c r="K975" s="21">
        <f t="shared" si="95"/>
        <v>42675</v>
      </c>
      <c r="L975" s="16">
        <f t="shared" si="96"/>
        <v>6</v>
      </c>
      <c r="M975" s="17">
        <v>1.4833299999999999E-3</v>
      </c>
      <c r="N975" s="18">
        <f t="shared" si="91"/>
        <v>101.24546048160001</v>
      </c>
      <c r="O975" s="15"/>
      <c r="P975" s="20">
        <f t="shared" si="92"/>
        <v>0</v>
      </c>
      <c r="Q975" s="15"/>
      <c r="R975" s="20">
        <f t="shared" si="93"/>
        <v>0</v>
      </c>
      <c r="S975" s="130"/>
      <c r="T975" s="20">
        <f t="shared" si="94"/>
        <v>161.03325754999997</v>
      </c>
    </row>
    <row r="976" spans="1:20">
      <c r="A976" s="13" t="s">
        <v>626</v>
      </c>
      <c r="B976" s="14" t="s">
        <v>813</v>
      </c>
      <c r="C976" s="14" t="s">
        <v>814</v>
      </c>
      <c r="D976" s="13" t="s">
        <v>815</v>
      </c>
      <c r="E976" s="14" t="s">
        <v>164</v>
      </c>
      <c r="F976" s="13" t="s">
        <v>165</v>
      </c>
      <c r="G976" s="14" t="s">
        <v>20</v>
      </c>
      <c r="H976" s="14"/>
      <c r="I976" s="14">
        <v>201407</v>
      </c>
      <c r="J976" s="15">
        <v>41073.31</v>
      </c>
      <c r="K976" s="21">
        <f t="shared" si="95"/>
        <v>42675</v>
      </c>
      <c r="L976" s="16">
        <f t="shared" si="96"/>
        <v>6</v>
      </c>
      <c r="M976" s="17">
        <v>1.4833299999999999E-3</v>
      </c>
      <c r="N976" s="18">
        <f t="shared" si="91"/>
        <v>365.55163753379998</v>
      </c>
      <c r="O976" s="15"/>
      <c r="P976" s="20">
        <f t="shared" si="92"/>
        <v>0</v>
      </c>
      <c r="Q976" s="15"/>
      <c r="R976" s="20">
        <f t="shared" si="93"/>
        <v>0</v>
      </c>
      <c r="S976" s="130"/>
      <c r="T976" s="20">
        <f t="shared" si="94"/>
        <v>581.41837386874988</v>
      </c>
    </row>
    <row r="977" spans="1:20">
      <c r="A977" s="13" t="s">
        <v>626</v>
      </c>
      <c r="B977" s="14" t="s">
        <v>816</v>
      </c>
      <c r="C977" s="14" t="s">
        <v>817</v>
      </c>
      <c r="D977" s="13" t="s">
        <v>818</v>
      </c>
      <c r="E977" s="14" t="s">
        <v>164</v>
      </c>
      <c r="F977" s="13" t="s">
        <v>165</v>
      </c>
      <c r="G977" s="14" t="s">
        <v>20</v>
      </c>
      <c r="H977" s="14"/>
      <c r="I977" s="14">
        <v>201407</v>
      </c>
      <c r="J977" s="15">
        <v>21679.1</v>
      </c>
      <c r="K977" s="21">
        <f t="shared" si="95"/>
        <v>42675</v>
      </c>
      <c r="L977" s="16">
        <f t="shared" si="96"/>
        <v>6</v>
      </c>
      <c r="M977" s="17">
        <v>1.4833299999999999E-3</v>
      </c>
      <c r="N977" s="18">
        <f t="shared" si="91"/>
        <v>192.94355641799999</v>
      </c>
      <c r="O977" s="15"/>
      <c r="P977" s="20">
        <f t="shared" si="92"/>
        <v>0</v>
      </c>
      <c r="Q977" s="15"/>
      <c r="R977" s="20">
        <f t="shared" si="93"/>
        <v>0</v>
      </c>
      <c r="S977" s="130"/>
      <c r="T977" s="20">
        <f t="shared" si="94"/>
        <v>306.88120993749993</v>
      </c>
    </row>
    <row r="978" spans="1:20">
      <c r="A978" s="13" t="s">
        <v>626</v>
      </c>
      <c r="B978" s="14" t="s">
        <v>788</v>
      </c>
      <c r="C978" s="14" t="s">
        <v>789</v>
      </c>
      <c r="D978" s="13" t="s">
        <v>790</v>
      </c>
      <c r="E978" s="14" t="s">
        <v>164</v>
      </c>
      <c r="F978" s="13" t="s">
        <v>165</v>
      </c>
      <c r="G978" s="14" t="s">
        <v>20</v>
      </c>
      <c r="H978" s="14"/>
      <c r="I978" s="14">
        <v>201407</v>
      </c>
      <c r="J978" s="15">
        <v>19184.759999999998</v>
      </c>
      <c r="K978" s="21">
        <f t="shared" si="95"/>
        <v>42675</v>
      </c>
      <c r="L978" s="16">
        <f t="shared" si="96"/>
        <v>6</v>
      </c>
      <c r="M978" s="17">
        <v>1.4833299999999999E-3</v>
      </c>
      <c r="N978" s="18">
        <f t="shared" si="91"/>
        <v>170.74398030479998</v>
      </c>
      <c r="O978" s="15"/>
      <c r="P978" s="20">
        <f t="shared" si="92"/>
        <v>0</v>
      </c>
      <c r="Q978" s="15"/>
      <c r="R978" s="20">
        <f t="shared" si="93"/>
        <v>0</v>
      </c>
      <c r="S978" s="130"/>
      <c r="T978" s="20">
        <f t="shared" si="94"/>
        <v>271.572268275</v>
      </c>
    </row>
    <row r="979" spans="1:20">
      <c r="A979" s="13" t="s">
        <v>21</v>
      </c>
      <c r="B979" s="14" t="s">
        <v>338</v>
      </c>
      <c r="C979" s="14" t="s">
        <v>339</v>
      </c>
      <c r="D979" s="13" t="s">
        <v>340</v>
      </c>
      <c r="E979" s="14" t="s">
        <v>164</v>
      </c>
      <c r="F979" s="13" t="s">
        <v>165</v>
      </c>
      <c r="G979" s="14" t="s">
        <v>20</v>
      </c>
      <c r="H979" s="14"/>
      <c r="I979" s="14">
        <v>201407</v>
      </c>
      <c r="J979" s="15">
        <v>788.67</v>
      </c>
      <c r="K979" s="21">
        <f t="shared" si="95"/>
        <v>42675</v>
      </c>
      <c r="L979" s="16">
        <f t="shared" si="96"/>
        <v>6</v>
      </c>
      <c r="M979" s="17">
        <v>1.4833299999999999E-3</v>
      </c>
      <c r="N979" s="18">
        <f t="shared" si="91"/>
        <v>7.0191472265999995</v>
      </c>
      <c r="O979" s="15"/>
      <c r="P979" s="20">
        <f t="shared" si="92"/>
        <v>0</v>
      </c>
      <c r="Q979" s="15"/>
      <c r="R979" s="20">
        <f t="shared" si="93"/>
        <v>0</v>
      </c>
      <c r="S979" s="130"/>
      <c r="T979" s="20">
        <f t="shared" si="94"/>
        <v>11.164116768749999</v>
      </c>
    </row>
    <row r="980" spans="1:20">
      <c r="A980" s="23" t="s">
        <v>29</v>
      </c>
      <c r="B980" s="14" t="s">
        <v>195</v>
      </c>
      <c r="C980" s="14" t="s">
        <v>196</v>
      </c>
      <c r="D980" s="13" t="s">
        <v>197</v>
      </c>
      <c r="E980" s="14" t="s">
        <v>198</v>
      </c>
      <c r="F980" s="13" t="s">
        <v>199</v>
      </c>
      <c r="G980" s="14" t="s">
        <v>20</v>
      </c>
      <c r="H980" s="14"/>
      <c r="I980" s="14">
        <v>201407</v>
      </c>
      <c r="J980" s="15">
        <v>210094.06</v>
      </c>
      <c r="K980" s="21">
        <f t="shared" si="95"/>
        <v>42675</v>
      </c>
      <c r="L980" s="16">
        <f t="shared" si="96"/>
        <v>6</v>
      </c>
      <c r="M980" s="17">
        <v>2.23333E-3</v>
      </c>
      <c r="N980" s="18">
        <f t="shared" si="91"/>
        <v>2815.2562021187996</v>
      </c>
      <c r="O980" s="15"/>
      <c r="P980" s="20">
        <f t="shared" si="92"/>
        <v>0</v>
      </c>
      <c r="Q980" s="15"/>
      <c r="R980" s="20">
        <f t="shared" si="93"/>
        <v>0</v>
      </c>
      <c r="S980" s="130"/>
      <c r="T980" s="20">
        <f t="shared" si="94"/>
        <v>2974.0127280874999</v>
      </c>
    </row>
    <row r="981" spans="1:20">
      <c r="A981" s="23" t="s">
        <v>29</v>
      </c>
      <c r="B981" s="14" t="s">
        <v>239</v>
      </c>
      <c r="C981" s="14" t="s">
        <v>240</v>
      </c>
      <c r="D981" s="13" t="s">
        <v>197</v>
      </c>
      <c r="E981" s="14" t="s">
        <v>241</v>
      </c>
      <c r="F981" s="13" t="s">
        <v>199</v>
      </c>
      <c r="G981" s="14" t="s">
        <v>20</v>
      </c>
      <c r="H981" s="14"/>
      <c r="I981" s="14">
        <v>201407</v>
      </c>
      <c r="J981" s="15">
        <v>62917.75</v>
      </c>
      <c r="K981" s="21">
        <f t="shared" si="95"/>
        <v>42675</v>
      </c>
      <c r="L981" s="16">
        <f t="shared" si="96"/>
        <v>6</v>
      </c>
      <c r="M981" s="17">
        <v>2.23333E-3</v>
      </c>
      <c r="N981" s="18">
        <f t="shared" si="91"/>
        <v>843.09659164499988</v>
      </c>
      <c r="O981" s="15"/>
      <c r="P981" s="20">
        <f t="shared" si="92"/>
        <v>0</v>
      </c>
      <c r="Q981" s="15"/>
      <c r="R981" s="20">
        <f t="shared" si="93"/>
        <v>0</v>
      </c>
      <c r="S981" s="130"/>
      <c r="T981" s="20">
        <f t="shared" si="94"/>
        <v>890.64007484374997</v>
      </c>
    </row>
    <row r="982" spans="1:20">
      <c r="A982" s="23" t="s">
        <v>29</v>
      </c>
      <c r="B982" s="14" t="s">
        <v>292</v>
      </c>
      <c r="C982" s="14" t="s">
        <v>293</v>
      </c>
      <c r="D982" s="13" t="s">
        <v>197</v>
      </c>
      <c r="E982" s="14" t="s">
        <v>294</v>
      </c>
      <c r="F982" s="13" t="s">
        <v>199</v>
      </c>
      <c r="G982" s="14" t="s">
        <v>20</v>
      </c>
      <c r="H982" s="14"/>
      <c r="I982" s="14">
        <v>201407</v>
      </c>
      <c r="J982" s="15">
        <v>60292.23</v>
      </c>
      <c r="K982" s="21">
        <f t="shared" si="95"/>
        <v>42675</v>
      </c>
      <c r="L982" s="16">
        <f t="shared" si="96"/>
        <v>6</v>
      </c>
      <c r="M982" s="17">
        <v>2.23333E-3</v>
      </c>
      <c r="N982" s="18">
        <f t="shared" si="91"/>
        <v>807.9146761554</v>
      </c>
      <c r="O982" s="15"/>
      <c r="P982" s="20">
        <f t="shared" si="92"/>
        <v>0</v>
      </c>
      <c r="Q982" s="15"/>
      <c r="R982" s="20">
        <f t="shared" si="93"/>
        <v>0</v>
      </c>
      <c r="S982" s="130"/>
      <c r="T982" s="20">
        <f t="shared" si="94"/>
        <v>853.47419829374996</v>
      </c>
    </row>
    <row r="983" spans="1:20">
      <c r="A983" s="23" t="s">
        <v>29</v>
      </c>
      <c r="B983" s="14" t="s">
        <v>200</v>
      </c>
      <c r="C983" s="14" t="s">
        <v>201</v>
      </c>
      <c r="D983" s="13" t="s">
        <v>197</v>
      </c>
      <c r="E983" s="14" t="s">
        <v>202</v>
      </c>
      <c r="F983" s="13" t="s">
        <v>199</v>
      </c>
      <c r="G983" s="14" t="s">
        <v>20</v>
      </c>
      <c r="H983" s="14"/>
      <c r="I983" s="14">
        <v>201407</v>
      </c>
      <c r="J983" s="15">
        <v>69242.179999999993</v>
      </c>
      <c r="K983" s="21">
        <f t="shared" si="95"/>
        <v>42675</v>
      </c>
      <c r="L983" s="16">
        <f t="shared" si="96"/>
        <v>6</v>
      </c>
      <c r="M983" s="17">
        <v>2.23333E-3</v>
      </c>
      <c r="N983" s="18">
        <f t="shared" si="91"/>
        <v>927.84382715639981</v>
      </c>
      <c r="O983" s="15"/>
      <c r="P983" s="20">
        <f t="shared" si="92"/>
        <v>0</v>
      </c>
      <c r="Q983" s="15"/>
      <c r="R983" s="20">
        <f t="shared" si="93"/>
        <v>0</v>
      </c>
      <c r="S983" s="130"/>
      <c r="T983" s="20">
        <f t="shared" si="94"/>
        <v>980.16633426249984</v>
      </c>
    </row>
    <row r="984" spans="1:20">
      <c r="A984" s="23" t="s">
        <v>29</v>
      </c>
      <c r="B984" s="14" t="s">
        <v>271</v>
      </c>
      <c r="C984" s="14" t="s">
        <v>272</v>
      </c>
      <c r="D984" s="13" t="s">
        <v>197</v>
      </c>
      <c r="E984" s="14" t="s">
        <v>273</v>
      </c>
      <c r="F984" s="13" t="s">
        <v>199</v>
      </c>
      <c r="G984" s="14" t="s">
        <v>20</v>
      </c>
      <c r="H984" s="14"/>
      <c r="I984" s="14">
        <v>201407</v>
      </c>
      <c r="J984" s="15">
        <v>15168.69</v>
      </c>
      <c r="K984" s="21">
        <f t="shared" si="95"/>
        <v>42675</v>
      </c>
      <c r="L984" s="16">
        <f t="shared" si="96"/>
        <v>6</v>
      </c>
      <c r="M984" s="17">
        <v>2.23333E-3</v>
      </c>
      <c r="N984" s="18">
        <f t="shared" si="91"/>
        <v>203.26014262619998</v>
      </c>
      <c r="O984" s="15"/>
      <c r="P984" s="20">
        <f t="shared" si="92"/>
        <v>0</v>
      </c>
      <c r="Q984" s="15"/>
      <c r="R984" s="20">
        <f t="shared" si="93"/>
        <v>0</v>
      </c>
      <c r="S984" s="130"/>
      <c r="T984" s="20">
        <f t="shared" si="94"/>
        <v>214.72228738125</v>
      </c>
    </row>
    <row r="985" spans="1:20">
      <c r="A985" s="13" t="s">
        <v>626</v>
      </c>
      <c r="B985" s="14" t="s">
        <v>767</v>
      </c>
      <c r="C985" s="14" t="s">
        <v>768</v>
      </c>
      <c r="D985" s="13" t="s">
        <v>769</v>
      </c>
      <c r="E985" s="14" t="s">
        <v>18</v>
      </c>
      <c r="F985" s="13" t="s">
        <v>19</v>
      </c>
      <c r="G985" s="14" t="s">
        <v>20</v>
      </c>
      <c r="H985" s="14"/>
      <c r="I985" s="14">
        <v>201407</v>
      </c>
      <c r="J985" s="15">
        <v>1656.49</v>
      </c>
      <c r="K985" s="21">
        <f t="shared" si="95"/>
        <v>42675</v>
      </c>
      <c r="L985" s="16">
        <f t="shared" si="96"/>
        <v>6</v>
      </c>
      <c r="M985" s="17">
        <v>1.4833299999999999E-3</v>
      </c>
      <c r="N985" s="18">
        <f t="shared" si="91"/>
        <v>14.7427278702</v>
      </c>
      <c r="O985" s="15"/>
      <c r="P985" s="20">
        <f t="shared" si="92"/>
        <v>0</v>
      </c>
      <c r="Q985" s="15"/>
      <c r="R985" s="20">
        <f t="shared" si="93"/>
        <v>0</v>
      </c>
      <c r="S985" s="130"/>
      <c r="T985" s="20">
        <f t="shared" si="94"/>
        <v>23.448651256249999</v>
      </c>
    </row>
    <row r="986" spans="1:20">
      <c r="A986" s="13" t="s">
        <v>21</v>
      </c>
      <c r="B986" s="14" t="s">
        <v>614</v>
      </c>
      <c r="C986" s="14" t="s">
        <v>615</v>
      </c>
      <c r="D986" s="13" t="s">
        <v>616</v>
      </c>
      <c r="E986" s="14" t="s">
        <v>18</v>
      </c>
      <c r="F986" s="13" t="s">
        <v>19</v>
      </c>
      <c r="G986" s="14" t="s">
        <v>20</v>
      </c>
      <c r="H986" s="14"/>
      <c r="I986" s="14">
        <v>201407</v>
      </c>
      <c r="J986" s="15">
        <v>244.92</v>
      </c>
      <c r="K986" s="21">
        <f t="shared" si="95"/>
        <v>42675</v>
      </c>
      <c r="L986" s="16">
        <f t="shared" si="96"/>
        <v>6</v>
      </c>
      <c r="M986" s="17">
        <v>1.4833299999999999E-3</v>
      </c>
      <c r="N986" s="18">
        <f t="shared" si="91"/>
        <v>2.1797831016</v>
      </c>
      <c r="O986" s="15"/>
      <c r="P986" s="20">
        <f t="shared" si="92"/>
        <v>0</v>
      </c>
      <c r="Q986" s="15"/>
      <c r="R986" s="20">
        <f t="shared" si="93"/>
        <v>0</v>
      </c>
      <c r="S986" s="130"/>
      <c r="T986" s="20">
        <f t="shared" si="94"/>
        <v>3.4669956749999997</v>
      </c>
    </row>
    <row r="987" spans="1:20">
      <c r="A987" s="13" t="s">
        <v>21</v>
      </c>
      <c r="B987" s="14" t="s">
        <v>60</v>
      </c>
      <c r="C987" s="14" t="s">
        <v>61</v>
      </c>
      <c r="D987" s="13" t="s">
        <v>62</v>
      </c>
      <c r="E987" s="14" t="s">
        <v>63</v>
      </c>
      <c r="F987" s="13" t="s">
        <v>19</v>
      </c>
      <c r="G987" s="14" t="s">
        <v>20</v>
      </c>
      <c r="H987" s="14"/>
      <c r="I987" s="14">
        <v>201407</v>
      </c>
      <c r="J987" s="15">
        <v>-1279.1600000000001</v>
      </c>
      <c r="K987" s="21">
        <f t="shared" si="95"/>
        <v>42675</v>
      </c>
      <c r="L987" s="16">
        <f t="shared" si="96"/>
        <v>6</v>
      </c>
      <c r="M987" s="17">
        <v>1.4833299999999999E-3</v>
      </c>
      <c r="N987" s="18">
        <f t="shared" si="91"/>
        <v>-11.384498416800001</v>
      </c>
      <c r="O987" s="15"/>
      <c r="P987" s="20">
        <f t="shared" si="92"/>
        <v>0</v>
      </c>
      <c r="Q987" s="15"/>
      <c r="R987" s="20">
        <f t="shared" si="93"/>
        <v>0</v>
      </c>
      <c r="S987" s="130"/>
      <c r="T987" s="20">
        <f t="shared" si="94"/>
        <v>-18.107309274999999</v>
      </c>
    </row>
    <row r="988" spans="1:20">
      <c r="A988" s="13" t="s">
        <v>21</v>
      </c>
      <c r="B988" s="14" t="s">
        <v>242</v>
      </c>
      <c r="C988" s="14" t="s">
        <v>243</v>
      </c>
      <c r="D988" s="13" t="s">
        <v>244</v>
      </c>
      <c r="E988" s="14" t="s">
        <v>18</v>
      </c>
      <c r="F988" s="13" t="s">
        <v>19</v>
      </c>
      <c r="G988" s="14" t="s">
        <v>20</v>
      </c>
      <c r="H988" s="14"/>
      <c r="I988" s="14">
        <v>201407</v>
      </c>
      <c r="J988" s="15">
        <v>443.02</v>
      </c>
      <c r="K988" s="21">
        <f t="shared" si="95"/>
        <v>42675</v>
      </c>
      <c r="L988" s="16">
        <f t="shared" si="96"/>
        <v>6</v>
      </c>
      <c r="M988" s="17">
        <v>1.4833299999999999E-3</v>
      </c>
      <c r="N988" s="18">
        <f t="shared" si="91"/>
        <v>3.9428691396</v>
      </c>
      <c r="O988" s="15"/>
      <c r="P988" s="20">
        <f t="shared" si="92"/>
        <v>0</v>
      </c>
      <c r="Q988" s="15"/>
      <c r="R988" s="20">
        <f t="shared" si="93"/>
        <v>0</v>
      </c>
      <c r="S988" s="130"/>
      <c r="T988" s="20">
        <f t="shared" si="94"/>
        <v>6.2712249874999992</v>
      </c>
    </row>
    <row r="989" spans="1:20">
      <c r="A989" s="13" t="s">
        <v>21</v>
      </c>
      <c r="B989" s="14" t="s">
        <v>357</v>
      </c>
      <c r="C989" s="14" t="s">
        <v>358</v>
      </c>
      <c r="D989" s="13" t="s">
        <v>359</v>
      </c>
      <c r="E989" s="14" t="s">
        <v>360</v>
      </c>
      <c r="F989" s="13" t="s">
        <v>19</v>
      </c>
      <c r="G989" s="14" t="s">
        <v>20</v>
      </c>
      <c r="H989" s="14"/>
      <c r="I989" s="14">
        <v>201407</v>
      </c>
      <c r="J989" s="15">
        <v>187.95</v>
      </c>
      <c r="K989" s="21">
        <f t="shared" si="95"/>
        <v>42675</v>
      </c>
      <c r="L989" s="16">
        <f t="shared" si="96"/>
        <v>6</v>
      </c>
      <c r="M989" s="17">
        <v>1.4833299999999999E-3</v>
      </c>
      <c r="N989" s="18">
        <f t="shared" si="91"/>
        <v>1.6727512409999998</v>
      </c>
      <c r="O989" s="15"/>
      <c r="P989" s="20">
        <f t="shared" si="92"/>
        <v>0</v>
      </c>
      <c r="Q989" s="15"/>
      <c r="R989" s="20">
        <f t="shared" si="93"/>
        <v>0</v>
      </c>
      <c r="S989" s="130"/>
      <c r="T989" s="20">
        <f t="shared" si="94"/>
        <v>2.6605497187499996</v>
      </c>
    </row>
    <row r="990" spans="1:20">
      <c r="A990" s="13" t="s">
        <v>21</v>
      </c>
      <c r="B990" s="14" t="s">
        <v>604</v>
      </c>
      <c r="C990" s="14" t="s">
        <v>605</v>
      </c>
      <c r="D990" s="13" t="s">
        <v>606</v>
      </c>
      <c r="E990" s="14" t="s">
        <v>360</v>
      </c>
      <c r="F990" s="13" t="s">
        <v>19</v>
      </c>
      <c r="G990" s="14" t="s">
        <v>20</v>
      </c>
      <c r="H990" s="14"/>
      <c r="I990" s="14">
        <v>201407</v>
      </c>
      <c r="J990" s="15">
        <v>297.79000000000002</v>
      </c>
      <c r="K990" s="21">
        <f t="shared" si="95"/>
        <v>42675</v>
      </c>
      <c r="L990" s="16">
        <f t="shared" si="96"/>
        <v>6</v>
      </c>
      <c r="M990" s="17">
        <v>1.4833299999999999E-3</v>
      </c>
      <c r="N990" s="18">
        <f t="shared" si="91"/>
        <v>2.6503250442000001</v>
      </c>
      <c r="O990" s="15"/>
      <c r="P990" s="20">
        <f t="shared" si="92"/>
        <v>0</v>
      </c>
      <c r="Q990" s="15"/>
      <c r="R990" s="20">
        <f t="shared" si="93"/>
        <v>0</v>
      </c>
      <c r="S990" s="130"/>
      <c r="T990" s="20">
        <f t="shared" si="94"/>
        <v>4.2154035687500002</v>
      </c>
    </row>
    <row r="991" spans="1:20">
      <c r="A991" s="13" t="s">
        <v>21</v>
      </c>
      <c r="B991" s="14" t="s">
        <v>690</v>
      </c>
      <c r="C991" s="14" t="s">
        <v>691</v>
      </c>
      <c r="D991" s="13" t="s">
        <v>692</v>
      </c>
      <c r="E991" s="14" t="s">
        <v>63</v>
      </c>
      <c r="F991" s="13" t="s">
        <v>19</v>
      </c>
      <c r="G991" s="14" t="s">
        <v>20</v>
      </c>
      <c r="H991" s="14"/>
      <c r="I991" s="14">
        <v>201407</v>
      </c>
      <c r="J991" s="15">
        <v>772.21</v>
      </c>
      <c r="K991" s="21">
        <f t="shared" si="95"/>
        <v>42675</v>
      </c>
      <c r="L991" s="16">
        <f t="shared" si="96"/>
        <v>6</v>
      </c>
      <c r="M991" s="17">
        <v>1.4833299999999999E-3</v>
      </c>
      <c r="N991" s="18">
        <f t="shared" si="91"/>
        <v>6.8726535558000004</v>
      </c>
      <c r="O991" s="15"/>
      <c r="P991" s="20">
        <f t="shared" si="92"/>
        <v>0</v>
      </c>
      <c r="Q991" s="15"/>
      <c r="R991" s="20">
        <f t="shared" si="93"/>
        <v>0</v>
      </c>
      <c r="S991" s="130"/>
      <c r="T991" s="20">
        <f t="shared" si="94"/>
        <v>10.93111518125</v>
      </c>
    </row>
    <row r="992" spans="1:20">
      <c r="A992" s="13" t="s">
        <v>21</v>
      </c>
      <c r="B992" s="14" t="s">
        <v>459</v>
      </c>
      <c r="C992" s="14" t="s">
        <v>460</v>
      </c>
      <c r="D992" s="13" t="s">
        <v>461</v>
      </c>
      <c r="E992" s="14" t="s">
        <v>160</v>
      </c>
      <c r="F992" s="13" t="s">
        <v>19</v>
      </c>
      <c r="G992" s="14" t="s">
        <v>20</v>
      </c>
      <c r="H992" s="14"/>
      <c r="I992" s="14">
        <v>201407</v>
      </c>
      <c r="J992" s="15">
        <v>322.16000000000003</v>
      </c>
      <c r="K992" s="21">
        <f t="shared" si="95"/>
        <v>42675</v>
      </c>
      <c r="L992" s="16">
        <f t="shared" si="96"/>
        <v>6</v>
      </c>
      <c r="M992" s="17">
        <v>1.4833299999999999E-3</v>
      </c>
      <c r="N992" s="18">
        <f t="shared" si="91"/>
        <v>2.8672175568000005</v>
      </c>
      <c r="O992" s="15"/>
      <c r="P992" s="20">
        <f t="shared" si="92"/>
        <v>0</v>
      </c>
      <c r="Q992" s="15"/>
      <c r="R992" s="20">
        <f t="shared" si="93"/>
        <v>0</v>
      </c>
      <c r="S992" s="130"/>
      <c r="T992" s="20">
        <f t="shared" si="94"/>
        <v>4.5603761499999997</v>
      </c>
    </row>
    <row r="993" spans="1:20">
      <c r="A993" s="13" t="s">
        <v>21</v>
      </c>
      <c r="B993" s="14" t="s">
        <v>157</v>
      </c>
      <c r="C993" s="14" t="s">
        <v>158</v>
      </c>
      <c r="D993" s="13" t="s">
        <v>159</v>
      </c>
      <c r="E993" s="14" t="s">
        <v>160</v>
      </c>
      <c r="F993" s="13" t="s">
        <v>19</v>
      </c>
      <c r="G993" s="14" t="s">
        <v>20</v>
      </c>
      <c r="H993" s="14"/>
      <c r="I993" s="14">
        <v>201407</v>
      </c>
      <c r="J993" s="15">
        <v>83.37</v>
      </c>
      <c r="K993" s="21">
        <f t="shared" si="95"/>
        <v>42675</v>
      </c>
      <c r="L993" s="16">
        <f t="shared" si="96"/>
        <v>6</v>
      </c>
      <c r="M993" s="17">
        <v>1.4833299999999999E-3</v>
      </c>
      <c r="N993" s="18">
        <f t="shared" si="91"/>
        <v>0.74199133260000005</v>
      </c>
      <c r="O993" s="15"/>
      <c r="P993" s="20">
        <f t="shared" si="92"/>
        <v>0</v>
      </c>
      <c r="Q993" s="15"/>
      <c r="R993" s="20">
        <f t="shared" si="93"/>
        <v>0</v>
      </c>
      <c r="S993" s="130"/>
      <c r="T993" s="20">
        <f t="shared" si="94"/>
        <v>1.1801544562499999</v>
      </c>
    </row>
    <row r="994" spans="1:20">
      <c r="A994" s="13" t="s">
        <v>21</v>
      </c>
      <c r="B994" s="14" t="s">
        <v>657</v>
      </c>
      <c r="C994" s="14" t="s">
        <v>658</v>
      </c>
      <c r="D994" s="13" t="s">
        <v>659</v>
      </c>
      <c r="E994" s="14" t="s">
        <v>356</v>
      </c>
      <c r="F994" s="13" t="s">
        <v>19</v>
      </c>
      <c r="G994" s="14" t="s">
        <v>20</v>
      </c>
      <c r="H994" s="14"/>
      <c r="I994" s="14">
        <v>201407</v>
      </c>
      <c r="J994" s="15">
        <v>151.9</v>
      </c>
      <c r="K994" s="21">
        <f t="shared" si="95"/>
        <v>42675</v>
      </c>
      <c r="L994" s="16">
        <f t="shared" si="96"/>
        <v>6</v>
      </c>
      <c r="M994" s="17">
        <v>1.4833299999999999E-3</v>
      </c>
      <c r="N994" s="18">
        <f t="shared" si="91"/>
        <v>1.3519069620000002</v>
      </c>
      <c r="O994" s="15"/>
      <c r="P994" s="20">
        <f t="shared" si="92"/>
        <v>0</v>
      </c>
      <c r="Q994" s="15"/>
      <c r="R994" s="20">
        <f t="shared" si="93"/>
        <v>0</v>
      </c>
      <c r="S994" s="130"/>
      <c r="T994" s="20">
        <f t="shared" si="94"/>
        <v>2.1502394374999998</v>
      </c>
    </row>
    <row r="995" spans="1:20">
      <c r="A995" s="13" t="s">
        <v>21</v>
      </c>
      <c r="B995" s="14" t="s">
        <v>353</v>
      </c>
      <c r="C995" s="14" t="s">
        <v>354</v>
      </c>
      <c r="D995" s="13" t="s">
        <v>355</v>
      </c>
      <c r="E995" s="14" t="s">
        <v>356</v>
      </c>
      <c r="F995" s="13" t="s">
        <v>19</v>
      </c>
      <c r="G995" s="14" t="s">
        <v>20</v>
      </c>
      <c r="H995" s="14"/>
      <c r="I995" s="14">
        <v>201407</v>
      </c>
      <c r="J995" s="15">
        <v>239.02</v>
      </c>
      <c r="K995" s="21">
        <f t="shared" si="95"/>
        <v>42675</v>
      </c>
      <c r="L995" s="16">
        <f t="shared" si="96"/>
        <v>6</v>
      </c>
      <c r="M995" s="17">
        <v>1.4833299999999999E-3</v>
      </c>
      <c r="N995" s="18">
        <f t="shared" si="91"/>
        <v>2.1272732196000002</v>
      </c>
      <c r="O995" s="15"/>
      <c r="P995" s="20">
        <f t="shared" si="92"/>
        <v>0</v>
      </c>
      <c r="Q995" s="15"/>
      <c r="R995" s="20">
        <f t="shared" si="93"/>
        <v>0</v>
      </c>
      <c r="S995" s="130"/>
      <c r="T995" s="20">
        <f t="shared" si="94"/>
        <v>3.3834774875</v>
      </c>
    </row>
    <row r="996" spans="1:20">
      <c r="A996" s="13" t="s">
        <v>21</v>
      </c>
      <c r="B996" s="14" t="s">
        <v>166</v>
      </c>
      <c r="C996" s="14" t="s">
        <v>167</v>
      </c>
      <c r="D996" s="13" t="s">
        <v>168</v>
      </c>
      <c r="E996" s="14" t="s">
        <v>102</v>
      </c>
      <c r="F996" s="13" t="s">
        <v>19</v>
      </c>
      <c r="G996" s="14" t="s">
        <v>20</v>
      </c>
      <c r="H996" s="14"/>
      <c r="I996" s="14">
        <v>201407</v>
      </c>
      <c r="J996" s="15">
        <v>160.02000000000001</v>
      </c>
      <c r="K996" s="21">
        <f t="shared" si="95"/>
        <v>42675</v>
      </c>
      <c r="L996" s="16">
        <f t="shared" si="96"/>
        <v>6</v>
      </c>
      <c r="M996" s="17">
        <v>1.4833299999999999E-3</v>
      </c>
      <c r="N996" s="18">
        <f t="shared" si="91"/>
        <v>1.4241747996</v>
      </c>
      <c r="O996" s="15"/>
      <c r="P996" s="20">
        <f t="shared" si="92"/>
        <v>0</v>
      </c>
      <c r="Q996" s="15"/>
      <c r="R996" s="20">
        <f t="shared" si="93"/>
        <v>0</v>
      </c>
      <c r="S996" s="130"/>
      <c r="T996" s="20">
        <f t="shared" si="94"/>
        <v>2.2651831124999999</v>
      </c>
    </row>
    <row r="997" spans="1:20">
      <c r="A997" s="13" t="s">
        <v>21</v>
      </c>
      <c r="B997" s="14" t="s">
        <v>819</v>
      </c>
      <c r="C997" s="14" t="s">
        <v>820</v>
      </c>
      <c r="D997" s="13" t="s">
        <v>821</v>
      </c>
      <c r="E997" s="14" t="s">
        <v>102</v>
      </c>
      <c r="F997" s="13" t="s">
        <v>19</v>
      </c>
      <c r="G997" s="14" t="s">
        <v>20</v>
      </c>
      <c r="H997" s="14"/>
      <c r="I997" s="14">
        <v>201407</v>
      </c>
      <c r="J997" s="15">
        <v>0</v>
      </c>
      <c r="K997" s="21">
        <f t="shared" si="95"/>
        <v>42675</v>
      </c>
      <c r="L997" s="16">
        <f t="shared" si="96"/>
        <v>6</v>
      </c>
      <c r="M997" s="17">
        <v>1.4833299999999999E-3</v>
      </c>
      <c r="N997" s="18">
        <f t="shared" si="91"/>
        <v>0</v>
      </c>
      <c r="O997" s="15"/>
      <c r="P997" s="20">
        <f t="shared" si="92"/>
        <v>0</v>
      </c>
      <c r="Q997" s="15"/>
      <c r="R997" s="20">
        <f t="shared" si="93"/>
        <v>0</v>
      </c>
      <c r="S997" s="130"/>
      <c r="T997" s="20">
        <f t="shared" si="94"/>
        <v>0</v>
      </c>
    </row>
    <row r="998" spans="1:20">
      <c r="A998" s="13" t="s">
        <v>21</v>
      </c>
      <c r="B998" s="14" t="s">
        <v>99</v>
      </c>
      <c r="C998" s="14" t="s">
        <v>100</v>
      </c>
      <c r="D998" s="13" t="s">
        <v>101</v>
      </c>
      <c r="E998" s="14" t="s">
        <v>102</v>
      </c>
      <c r="F998" s="13" t="s">
        <v>19</v>
      </c>
      <c r="G998" s="14" t="s">
        <v>20</v>
      </c>
      <c r="H998" s="14"/>
      <c r="I998" s="14">
        <v>201407</v>
      </c>
      <c r="J998" s="15">
        <v>958.07</v>
      </c>
      <c r="K998" s="21">
        <f t="shared" si="95"/>
        <v>42675</v>
      </c>
      <c r="L998" s="16">
        <f t="shared" si="96"/>
        <v>6</v>
      </c>
      <c r="M998" s="17">
        <v>1.4833299999999999E-3</v>
      </c>
      <c r="N998" s="18">
        <f t="shared" si="91"/>
        <v>8.5268038386000011</v>
      </c>
      <c r="O998" s="15"/>
      <c r="P998" s="20">
        <f t="shared" si="92"/>
        <v>0</v>
      </c>
      <c r="Q998" s="15"/>
      <c r="R998" s="20">
        <f t="shared" si="93"/>
        <v>0</v>
      </c>
      <c r="S998" s="130"/>
      <c r="T998" s="20">
        <f t="shared" si="94"/>
        <v>13.56207964375</v>
      </c>
    </row>
    <row r="999" spans="1:20">
      <c r="A999" s="13" t="s">
        <v>21</v>
      </c>
      <c r="B999" s="14" t="s">
        <v>347</v>
      </c>
      <c r="C999" s="14" t="s">
        <v>348</v>
      </c>
      <c r="D999" s="13" t="s">
        <v>349</v>
      </c>
      <c r="E999" s="14" t="s">
        <v>102</v>
      </c>
      <c r="F999" s="13" t="s">
        <v>19</v>
      </c>
      <c r="G999" s="14" t="s">
        <v>20</v>
      </c>
      <c r="H999" s="14"/>
      <c r="I999" s="14">
        <v>201407</v>
      </c>
      <c r="J999" s="15">
        <v>279.99</v>
      </c>
      <c r="K999" s="21">
        <f t="shared" si="95"/>
        <v>42675</v>
      </c>
      <c r="L999" s="16">
        <f t="shared" si="96"/>
        <v>6</v>
      </c>
      <c r="M999" s="17">
        <v>1.4833299999999999E-3</v>
      </c>
      <c r="N999" s="18">
        <f t="shared" si="91"/>
        <v>2.4919054002000003</v>
      </c>
      <c r="O999" s="15"/>
      <c r="P999" s="20">
        <f t="shared" si="92"/>
        <v>0</v>
      </c>
      <c r="Q999" s="15"/>
      <c r="R999" s="20">
        <f t="shared" si="93"/>
        <v>0</v>
      </c>
      <c r="S999" s="130"/>
      <c r="T999" s="20">
        <f t="shared" si="94"/>
        <v>3.9634334437500001</v>
      </c>
    </row>
    <row r="1000" spans="1:20">
      <c r="A1000" s="13" t="s">
        <v>21</v>
      </c>
      <c r="B1000" s="14" t="s">
        <v>822</v>
      </c>
      <c r="C1000" s="14" t="s">
        <v>823</v>
      </c>
      <c r="D1000" s="13" t="s">
        <v>824</v>
      </c>
      <c r="E1000" s="14" t="s">
        <v>18</v>
      </c>
      <c r="F1000" s="13" t="s">
        <v>19</v>
      </c>
      <c r="G1000" s="14" t="s">
        <v>20</v>
      </c>
      <c r="H1000" s="14"/>
      <c r="I1000" s="14">
        <v>201407</v>
      </c>
      <c r="J1000" s="15">
        <v>0</v>
      </c>
      <c r="K1000" s="21">
        <f t="shared" si="95"/>
        <v>42675</v>
      </c>
      <c r="L1000" s="16">
        <f t="shared" si="96"/>
        <v>6</v>
      </c>
      <c r="M1000" s="17">
        <v>1.4833299999999999E-3</v>
      </c>
      <c r="N1000" s="18">
        <f t="shared" si="91"/>
        <v>0</v>
      </c>
      <c r="O1000" s="15"/>
      <c r="P1000" s="20">
        <f t="shared" si="92"/>
        <v>0</v>
      </c>
      <c r="Q1000" s="15"/>
      <c r="R1000" s="20">
        <f t="shared" si="93"/>
        <v>0</v>
      </c>
      <c r="S1000" s="130"/>
      <c r="T1000" s="20">
        <f t="shared" si="94"/>
        <v>0</v>
      </c>
    </row>
    <row r="1001" spans="1:20">
      <c r="A1001" s="13" t="s">
        <v>21</v>
      </c>
      <c r="B1001" s="14" t="s">
        <v>399</v>
      </c>
      <c r="C1001" s="14" t="s">
        <v>400</v>
      </c>
      <c r="D1001" s="13" t="s">
        <v>401</v>
      </c>
      <c r="E1001" s="14" t="s">
        <v>402</v>
      </c>
      <c r="F1001" s="13" t="s">
        <v>19</v>
      </c>
      <c r="G1001" s="14" t="s">
        <v>20</v>
      </c>
      <c r="H1001" s="14"/>
      <c r="I1001" s="14">
        <v>201407</v>
      </c>
      <c r="J1001" s="15">
        <v>32.340000000000003</v>
      </c>
      <c r="K1001" s="21">
        <f t="shared" si="95"/>
        <v>42675</v>
      </c>
      <c r="L1001" s="16">
        <f t="shared" si="96"/>
        <v>6</v>
      </c>
      <c r="M1001" s="17">
        <v>1.4833299999999999E-3</v>
      </c>
      <c r="N1001" s="18">
        <f t="shared" si="91"/>
        <v>0.28782535320000002</v>
      </c>
      <c r="O1001" s="15"/>
      <c r="P1001" s="20">
        <f t="shared" si="92"/>
        <v>0</v>
      </c>
      <c r="Q1001" s="15"/>
      <c r="R1001" s="20">
        <f t="shared" si="93"/>
        <v>0</v>
      </c>
      <c r="S1001" s="130"/>
      <c r="T1001" s="20">
        <f t="shared" si="94"/>
        <v>0.45779291250000004</v>
      </c>
    </row>
    <row r="1002" spans="1:20">
      <c r="A1002" s="13" t="s">
        <v>21</v>
      </c>
      <c r="B1002" s="14" t="s">
        <v>782</v>
      </c>
      <c r="C1002" s="14" t="s">
        <v>783</v>
      </c>
      <c r="D1002" s="13" t="s">
        <v>784</v>
      </c>
      <c r="E1002" s="14" t="s">
        <v>18</v>
      </c>
      <c r="F1002" s="13" t="s">
        <v>19</v>
      </c>
      <c r="G1002" s="14" t="s">
        <v>20</v>
      </c>
      <c r="H1002" s="14"/>
      <c r="I1002" s="14">
        <v>201407</v>
      </c>
      <c r="J1002" s="15">
        <v>-712.05</v>
      </c>
      <c r="K1002" s="21">
        <f t="shared" si="95"/>
        <v>42675</v>
      </c>
      <c r="L1002" s="16">
        <f t="shared" si="96"/>
        <v>6</v>
      </c>
      <c r="M1002" s="17">
        <v>1.4833299999999999E-3</v>
      </c>
      <c r="N1002" s="18">
        <f t="shared" si="91"/>
        <v>-6.3372307589999997</v>
      </c>
      <c r="O1002" s="15"/>
      <c r="P1002" s="20">
        <f t="shared" si="92"/>
        <v>0</v>
      </c>
      <c r="Q1002" s="15"/>
      <c r="R1002" s="20">
        <f t="shared" si="93"/>
        <v>0</v>
      </c>
      <c r="S1002" s="130"/>
      <c r="T1002" s="20">
        <f t="shared" si="94"/>
        <v>-10.079512781249999</v>
      </c>
    </row>
    <row r="1003" spans="1:20">
      <c r="A1003" s="13" t="s">
        <v>21</v>
      </c>
      <c r="B1003" s="14" t="s">
        <v>301</v>
      </c>
      <c r="C1003" s="14" t="s">
        <v>302</v>
      </c>
      <c r="D1003" s="13" t="s">
        <v>303</v>
      </c>
      <c r="E1003" s="14" t="s">
        <v>63</v>
      </c>
      <c r="F1003" s="13" t="s">
        <v>19</v>
      </c>
      <c r="G1003" s="14" t="s">
        <v>20</v>
      </c>
      <c r="H1003" s="14"/>
      <c r="I1003" s="14">
        <v>201407</v>
      </c>
      <c r="J1003" s="15">
        <v>0.06</v>
      </c>
      <c r="K1003" s="21">
        <f t="shared" si="95"/>
        <v>42675</v>
      </c>
      <c r="L1003" s="16">
        <f t="shared" si="96"/>
        <v>6</v>
      </c>
      <c r="M1003" s="17">
        <v>1.4833299999999999E-3</v>
      </c>
      <c r="N1003" s="18">
        <f t="shared" si="91"/>
        <v>5.3399879999999999E-4</v>
      </c>
      <c r="O1003" s="15"/>
      <c r="P1003" s="20">
        <f t="shared" si="92"/>
        <v>0</v>
      </c>
      <c r="Q1003" s="15"/>
      <c r="R1003" s="20">
        <f t="shared" si="93"/>
        <v>0</v>
      </c>
      <c r="S1003" s="130"/>
      <c r="T1003" s="20">
        <f t="shared" si="94"/>
        <v>8.4933749999999988E-4</v>
      </c>
    </row>
    <row r="1004" spans="1:20">
      <c r="A1004" s="13" t="s">
        <v>21</v>
      </c>
      <c r="B1004" s="14" t="s">
        <v>15</v>
      </c>
      <c r="C1004" s="14" t="s">
        <v>16</v>
      </c>
      <c r="D1004" s="13" t="s">
        <v>17</v>
      </c>
      <c r="E1004" s="14" t="s">
        <v>18</v>
      </c>
      <c r="F1004" s="13" t="s">
        <v>19</v>
      </c>
      <c r="G1004" s="14" t="s">
        <v>20</v>
      </c>
      <c r="H1004" s="14"/>
      <c r="I1004" s="14">
        <v>201407</v>
      </c>
      <c r="J1004" s="15">
        <v>230.7</v>
      </c>
      <c r="K1004" s="21">
        <f t="shared" si="95"/>
        <v>42675</v>
      </c>
      <c r="L1004" s="16">
        <f t="shared" si="96"/>
        <v>6</v>
      </c>
      <c r="M1004" s="17">
        <v>1.4833299999999999E-3</v>
      </c>
      <c r="N1004" s="18">
        <f t="shared" si="91"/>
        <v>2.0532253859999998</v>
      </c>
      <c r="O1004" s="15"/>
      <c r="P1004" s="20">
        <f t="shared" si="92"/>
        <v>0</v>
      </c>
      <c r="Q1004" s="15"/>
      <c r="R1004" s="20">
        <f t="shared" si="93"/>
        <v>0</v>
      </c>
      <c r="S1004" s="130"/>
      <c r="T1004" s="20">
        <f t="shared" si="94"/>
        <v>3.2657026874999997</v>
      </c>
    </row>
    <row r="1005" spans="1:20">
      <c r="A1005" s="13" t="s">
        <v>626</v>
      </c>
      <c r="B1005" s="14" t="s">
        <v>825</v>
      </c>
      <c r="C1005" s="14" t="s">
        <v>826</v>
      </c>
      <c r="D1005" s="13" t="s">
        <v>827</v>
      </c>
      <c r="E1005" s="14" t="s">
        <v>63</v>
      </c>
      <c r="F1005" s="13" t="s">
        <v>19</v>
      </c>
      <c r="G1005" s="14" t="s">
        <v>20</v>
      </c>
      <c r="H1005" s="14"/>
      <c r="I1005" s="14">
        <v>201407</v>
      </c>
      <c r="J1005" s="15">
        <v>0</v>
      </c>
      <c r="K1005" s="21">
        <f t="shared" si="95"/>
        <v>42675</v>
      </c>
      <c r="L1005" s="16">
        <f t="shared" si="96"/>
        <v>6</v>
      </c>
      <c r="M1005" s="17">
        <v>1.4833299999999999E-3</v>
      </c>
      <c r="N1005" s="18">
        <f t="shared" si="91"/>
        <v>0</v>
      </c>
      <c r="O1005" s="15"/>
      <c r="P1005" s="20">
        <f t="shared" si="92"/>
        <v>0</v>
      </c>
      <c r="Q1005" s="15"/>
      <c r="R1005" s="20">
        <f t="shared" si="93"/>
        <v>0</v>
      </c>
      <c r="S1005" s="130"/>
      <c r="T1005" s="20">
        <f t="shared" si="94"/>
        <v>0</v>
      </c>
    </row>
    <row r="1006" spans="1:20">
      <c r="A1006" s="13" t="s">
        <v>21</v>
      </c>
      <c r="B1006" s="14" t="s">
        <v>589</v>
      </c>
      <c r="C1006" s="14" t="s">
        <v>590</v>
      </c>
      <c r="D1006" s="13" t="s">
        <v>591</v>
      </c>
      <c r="E1006" s="14" t="s">
        <v>63</v>
      </c>
      <c r="F1006" s="13" t="s">
        <v>19</v>
      </c>
      <c r="G1006" s="14" t="s">
        <v>20</v>
      </c>
      <c r="H1006" s="14"/>
      <c r="I1006" s="14">
        <v>201407</v>
      </c>
      <c r="J1006" s="15">
        <v>416.3</v>
      </c>
      <c r="K1006" s="21">
        <f t="shared" si="95"/>
        <v>42675</v>
      </c>
      <c r="L1006" s="16">
        <f t="shared" si="96"/>
        <v>6</v>
      </c>
      <c r="M1006" s="17">
        <v>1.4833299999999999E-3</v>
      </c>
      <c r="N1006" s="18">
        <f t="shared" si="91"/>
        <v>3.705061674</v>
      </c>
      <c r="O1006" s="15"/>
      <c r="P1006" s="20">
        <f t="shared" si="92"/>
        <v>0</v>
      </c>
      <c r="Q1006" s="15"/>
      <c r="R1006" s="20">
        <f t="shared" si="93"/>
        <v>0</v>
      </c>
      <c r="S1006" s="130"/>
      <c r="T1006" s="20">
        <f t="shared" si="94"/>
        <v>5.8929866874999997</v>
      </c>
    </row>
    <row r="1007" spans="1:20">
      <c r="A1007" s="13" t="s">
        <v>21</v>
      </c>
      <c r="B1007" s="14" t="s">
        <v>370</v>
      </c>
      <c r="C1007" s="14" t="s">
        <v>371</v>
      </c>
      <c r="D1007" s="13" t="s">
        <v>372</v>
      </c>
      <c r="E1007" s="14" t="s">
        <v>63</v>
      </c>
      <c r="F1007" s="13" t="s">
        <v>19</v>
      </c>
      <c r="G1007" s="14" t="s">
        <v>20</v>
      </c>
      <c r="H1007" s="14"/>
      <c r="I1007" s="14">
        <v>201407</v>
      </c>
      <c r="J1007" s="15">
        <v>903.66</v>
      </c>
      <c r="K1007" s="21">
        <f t="shared" si="95"/>
        <v>42675</v>
      </c>
      <c r="L1007" s="16">
        <f t="shared" si="96"/>
        <v>6</v>
      </c>
      <c r="M1007" s="17">
        <v>1.4833299999999999E-3</v>
      </c>
      <c r="N1007" s="18">
        <f t="shared" si="91"/>
        <v>8.0425559268000004</v>
      </c>
      <c r="O1007" s="15"/>
      <c r="P1007" s="20">
        <f t="shared" si="92"/>
        <v>0</v>
      </c>
      <c r="Q1007" s="15"/>
      <c r="R1007" s="20">
        <f t="shared" si="93"/>
        <v>0</v>
      </c>
      <c r="S1007" s="130"/>
      <c r="T1007" s="20">
        <f t="shared" si="94"/>
        <v>12.7918720875</v>
      </c>
    </row>
    <row r="1008" spans="1:20">
      <c r="A1008" s="13" t="s">
        <v>21</v>
      </c>
      <c r="B1008" s="14" t="s">
        <v>651</v>
      </c>
      <c r="C1008" s="14" t="s">
        <v>652</v>
      </c>
      <c r="D1008" s="13" t="s">
        <v>653</v>
      </c>
      <c r="E1008" s="14" t="s">
        <v>360</v>
      </c>
      <c r="F1008" s="13" t="s">
        <v>19</v>
      </c>
      <c r="G1008" s="14" t="s">
        <v>20</v>
      </c>
      <c r="H1008" s="14"/>
      <c r="I1008" s="14">
        <v>201407</v>
      </c>
      <c r="J1008" s="15">
        <v>389.63</v>
      </c>
      <c r="K1008" s="21">
        <f t="shared" si="95"/>
        <v>42675</v>
      </c>
      <c r="L1008" s="16">
        <f t="shared" si="96"/>
        <v>6</v>
      </c>
      <c r="M1008" s="17">
        <v>1.4833299999999999E-3</v>
      </c>
      <c r="N1008" s="18">
        <f t="shared" si="91"/>
        <v>3.4676992073999999</v>
      </c>
      <c r="O1008" s="15"/>
      <c r="P1008" s="20">
        <f t="shared" si="92"/>
        <v>0</v>
      </c>
      <c r="Q1008" s="15"/>
      <c r="R1008" s="20">
        <f t="shared" si="93"/>
        <v>0</v>
      </c>
      <c r="S1008" s="130"/>
      <c r="T1008" s="20">
        <f t="shared" si="94"/>
        <v>5.5154561687500001</v>
      </c>
    </row>
    <row r="1009" spans="1:20">
      <c r="A1009" s="13" t="s">
        <v>21</v>
      </c>
      <c r="B1009" s="14" t="s">
        <v>642</v>
      </c>
      <c r="C1009" s="14" t="s">
        <v>643</v>
      </c>
      <c r="D1009" s="13" t="s">
        <v>644</v>
      </c>
      <c r="E1009" s="14" t="s">
        <v>360</v>
      </c>
      <c r="F1009" s="13" t="s">
        <v>19</v>
      </c>
      <c r="G1009" s="14" t="s">
        <v>20</v>
      </c>
      <c r="H1009" s="14"/>
      <c r="I1009" s="14">
        <v>201407</v>
      </c>
      <c r="J1009" s="15">
        <v>836.7</v>
      </c>
      <c r="K1009" s="21">
        <f t="shared" si="95"/>
        <v>42675</v>
      </c>
      <c r="L1009" s="16">
        <f t="shared" si="96"/>
        <v>6</v>
      </c>
      <c r="M1009" s="17">
        <v>1.4833299999999999E-3</v>
      </c>
      <c r="N1009" s="18">
        <f t="shared" si="91"/>
        <v>7.4466132660000008</v>
      </c>
      <c r="O1009" s="15"/>
      <c r="P1009" s="20">
        <f t="shared" si="92"/>
        <v>0</v>
      </c>
      <c r="Q1009" s="15"/>
      <c r="R1009" s="20">
        <f t="shared" si="93"/>
        <v>0</v>
      </c>
      <c r="S1009" s="130"/>
      <c r="T1009" s="20">
        <f t="shared" si="94"/>
        <v>11.844011437500001</v>
      </c>
    </row>
    <row r="1010" spans="1:20">
      <c r="A1010" s="13" t="s">
        <v>21</v>
      </c>
      <c r="B1010" s="14" t="s">
        <v>828</v>
      </c>
      <c r="C1010" s="14" t="s">
        <v>829</v>
      </c>
      <c r="D1010" s="13" t="s">
        <v>830</v>
      </c>
      <c r="E1010" s="14" t="s">
        <v>360</v>
      </c>
      <c r="F1010" s="13" t="s">
        <v>19</v>
      </c>
      <c r="G1010" s="14" t="s">
        <v>20</v>
      </c>
      <c r="H1010" s="14"/>
      <c r="I1010" s="14">
        <v>201407</v>
      </c>
      <c r="J1010" s="15">
        <v>10209.4</v>
      </c>
      <c r="K1010" s="21">
        <f t="shared" si="95"/>
        <v>42675</v>
      </c>
      <c r="L1010" s="16">
        <f t="shared" si="96"/>
        <v>6</v>
      </c>
      <c r="M1010" s="17">
        <v>1.4833299999999999E-3</v>
      </c>
      <c r="N1010" s="18">
        <f t="shared" si="91"/>
        <v>90.863455811999998</v>
      </c>
      <c r="O1010" s="15"/>
      <c r="P1010" s="20">
        <f t="shared" si="92"/>
        <v>0</v>
      </c>
      <c r="Q1010" s="15"/>
      <c r="R1010" s="20">
        <f t="shared" si="93"/>
        <v>0</v>
      </c>
      <c r="S1010" s="130"/>
      <c r="T1010" s="20">
        <f t="shared" si="94"/>
        <v>144.520437875</v>
      </c>
    </row>
    <row r="1011" spans="1:20">
      <c r="A1011" s="13" t="s">
        <v>21</v>
      </c>
      <c r="B1011" s="14" t="s">
        <v>475</v>
      </c>
      <c r="C1011" s="14" t="s">
        <v>476</v>
      </c>
      <c r="D1011" s="13" t="s">
        <v>477</v>
      </c>
      <c r="E1011" s="14" t="s">
        <v>360</v>
      </c>
      <c r="F1011" s="13" t="s">
        <v>19</v>
      </c>
      <c r="G1011" s="14" t="s">
        <v>20</v>
      </c>
      <c r="H1011" s="14"/>
      <c r="I1011" s="14">
        <v>201407</v>
      </c>
      <c r="J1011" s="15">
        <v>222.13</v>
      </c>
      <c r="K1011" s="21">
        <f t="shared" si="95"/>
        <v>42675</v>
      </c>
      <c r="L1011" s="16">
        <f t="shared" si="96"/>
        <v>6</v>
      </c>
      <c r="M1011" s="17">
        <v>1.4833299999999999E-3</v>
      </c>
      <c r="N1011" s="18">
        <f t="shared" si="91"/>
        <v>1.9769525574</v>
      </c>
      <c r="O1011" s="15"/>
      <c r="P1011" s="20">
        <f t="shared" si="92"/>
        <v>0</v>
      </c>
      <c r="Q1011" s="15"/>
      <c r="R1011" s="20">
        <f t="shared" si="93"/>
        <v>0</v>
      </c>
      <c r="S1011" s="130"/>
      <c r="T1011" s="20">
        <f t="shared" si="94"/>
        <v>3.1443889812499997</v>
      </c>
    </row>
    <row r="1012" spans="1:20">
      <c r="A1012" s="13" t="s">
        <v>21</v>
      </c>
      <c r="B1012" s="14" t="s">
        <v>367</v>
      </c>
      <c r="C1012" s="14" t="s">
        <v>368</v>
      </c>
      <c r="D1012" s="13" t="s">
        <v>369</v>
      </c>
      <c r="E1012" s="14" t="s">
        <v>63</v>
      </c>
      <c r="F1012" s="13" t="s">
        <v>19</v>
      </c>
      <c r="G1012" s="14" t="s">
        <v>20</v>
      </c>
      <c r="H1012" s="14"/>
      <c r="I1012" s="14">
        <v>201407</v>
      </c>
      <c r="J1012" s="15">
        <v>0.2</v>
      </c>
      <c r="K1012" s="21">
        <f t="shared" si="95"/>
        <v>42675</v>
      </c>
      <c r="L1012" s="16">
        <f t="shared" si="96"/>
        <v>6</v>
      </c>
      <c r="M1012" s="17">
        <v>1.4833299999999999E-3</v>
      </c>
      <c r="N1012" s="18">
        <f t="shared" si="91"/>
        <v>1.7799960000000001E-3</v>
      </c>
      <c r="O1012" s="15"/>
      <c r="P1012" s="20">
        <f t="shared" si="92"/>
        <v>0</v>
      </c>
      <c r="Q1012" s="15"/>
      <c r="R1012" s="20">
        <f t="shared" si="93"/>
        <v>0</v>
      </c>
      <c r="S1012" s="130"/>
      <c r="T1012" s="20">
        <f t="shared" si="94"/>
        <v>2.8311249999999999E-3</v>
      </c>
    </row>
    <row r="1013" spans="1:20">
      <c r="A1013" s="13" t="s">
        <v>21</v>
      </c>
      <c r="B1013" s="14" t="s">
        <v>446</v>
      </c>
      <c r="C1013" s="14" t="s">
        <v>447</v>
      </c>
      <c r="D1013" s="13" t="s">
        <v>448</v>
      </c>
      <c r="E1013" s="14" t="s">
        <v>63</v>
      </c>
      <c r="F1013" s="13" t="s">
        <v>19</v>
      </c>
      <c r="G1013" s="14" t="s">
        <v>20</v>
      </c>
      <c r="H1013" s="14"/>
      <c r="I1013" s="14">
        <v>201407</v>
      </c>
      <c r="J1013" s="15">
        <v>762.25</v>
      </c>
      <c r="K1013" s="21">
        <f t="shared" si="95"/>
        <v>42675</v>
      </c>
      <c r="L1013" s="16">
        <f t="shared" si="96"/>
        <v>6</v>
      </c>
      <c r="M1013" s="17">
        <v>1.4833299999999999E-3</v>
      </c>
      <c r="N1013" s="18">
        <f t="shared" si="91"/>
        <v>6.7840097550000005</v>
      </c>
      <c r="O1013" s="15"/>
      <c r="P1013" s="20">
        <f t="shared" si="92"/>
        <v>0</v>
      </c>
      <c r="Q1013" s="15"/>
      <c r="R1013" s="20">
        <f t="shared" si="93"/>
        <v>0</v>
      </c>
      <c r="S1013" s="130"/>
      <c r="T1013" s="20">
        <f t="shared" si="94"/>
        <v>10.790125156249999</v>
      </c>
    </row>
    <row r="1014" spans="1:20">
      <c r="A1014" s="23" t="s">
        <v>29</v>
      </c>
      <c r="B1014" s="14" t="s">
        <v>831</v>
      </c>
      <c r="C1014" s="14" t="s">
        <v>832</v>
      </c>
      <c r="D1014" s="13" t="s">
        <v>833</v>
      </c>
      <c r="E1014" s="14" t="s">
        <v>834</v>
      </c>
      <c r="F1014" s="13" t="s">
        <v>835</v>
      </c>
      <c r="G1014" s="14" t="s">
        <v>20</v>
      </c>
      <c r="H1014" s="14"/>
      <c r="I1014" s="14">
        <v>201407</v>
      </c>
      <c r="J1014" s="15">
        <v>0</v>
      </c>
      <c r="K1014" s="21">
        <f t="shared" si="95"/>
        <v>42675</v>
      </c>
      <c r="L1014" s="16">
        <f t="shared" si="96"/>
        <v>6</v>
      </c>
      <c r="M1014" s="17">
        <v>2.23333E-3</v>
      </c>
      <c r="N1014" s="18">
        <f t="shared" si="91"/>
        <v>0</v>
      </c>
      <c r="O1014" s="15"/>
      <c r="P1014" s="20">
        <f t="shared" si="92"/>
        <v>0</v>
      </c>
      <c r="Q1014" s="15"/>
      <c r="R1014" s="20">
        <f t="shared" si="93"/>
        <v>0</v>
      </c>
      <c r="S1014" s="130"/>
      <c r="T1014" s="20">
        <f t="shared" si="94"/>
        <v>0</v>
      </c>
    </row>
    <row r="1015" spans="1:20">
      <c r="A1015" s="23" t="s">
        <v>29</v>
      </c>
      <c r="B1015" s="14" t="s">
        <v>281</v>
      </c>
      <c r="C1015" s="14" t="s">
        <v>282</v>
      </c>
      <c r="D1015" s="13" t="s">
        <v>283</v>
      </c>
      <c r="E1015" s="14" t="s">
        <v>284</v>
      </c>
      <c r="F1015" s="13" t="s">
        <v>285</v>
      </c>
      <c r="G1015" s="14" t="s">
        <v>20</v>
      </c>
      <c r="H1015" s="14"/>
      <c r="I1015" s="14">
        <v>201407</v>
      </c>
      <c r="J1015" s="15">
        <v>112.29</v>
      </c>
      <c r="K1015" s="21">
        <f t="shared" si="95"/>
        <v>42675</v>
      </c>
      <c r="L1015" s="16">
        <f t="shared" si="96"/>
        <v>6</v>
      </c>
      <c r="M1015" s="17">
        <v>2.23333E-3</v>
      </c>
      <c r="N1015" s="18">
        <f t="shared" si="91"/>
        <v>1.5046837542</v>
      </c>
      <c r="O1015" s="15"/>
      <c r="P1015" s="20">
        <f t="shared" si="92"/>
        <v>0</v>
      </c>
      <c r="Q1015" s="15"/>
      <c r="R1015" s="20">
        <f t="shared" si="93"/>
        <v>0</v>
      </c>
      <c r="S1015" s="130"/>
      <c r="T1015" s="20">
        <f t="shared" si="94"/>
        <v>1.5895351312499999</v>
      </c>
    </row>
    <row r="1016" spans="1:20">
      <c r="A1016" s="23" t="s">
        <v>29</v>
      </c>
      <c r="B1016" s="14" t="s">
        <v>314</v>
      </c>
      <c r="C1016" s="14" t="s">
        <v>315</v>
      </c>
      <c r="D1016" s="13" t="s">
        <v>316</v>
      </c>
      <c r="E1016" s="14" t="s">
        <v>317</v>
      </c>
      <c r="F1016" s="13" t="s">
        <v>285</v>
      </c>
      <c r="G1016" s="14" t="s">
        <v>20</v>
      </c>
      <c r="H1016" s="14"/>
      <c r="I1016" s="14">
        <v>201407</v>
      </c>
      <c r="J1016" s="15">
        <v>530.62</v>
      </c>
      <c r="K1016" s="21">
        <f t="shared" si="95"/>
        <v>42675</v>
      </c>
      <c r="L1016" s="16">
        <f t="shared" si="96"/>
        <v>6</v>
      </c>
      <c r="M1016" s="17">
        <v>2.23333E-3</v>
      </c>
      <c r="N1016" s="18">
        <f t="shared" si="91"/>
        <v>7.1102973875999993</v>
      </c>
      <c r="O1016" s="15"/>
      <c r="P1016" s="20">
        <f t="shared" si="92"/>
        <v>0</v>
      </c>
      <c r="Q1016" s="15"/>
      <c r="R1016" s="20">
        <f t="shared" si="93"/>
        <v>0</v>
      </c>
      <c r="S1016" s="130"/>
      <c r="T1016" s="20">
        <f t="shared" si="94"/>
        <v>7.5112577374999994</v>
      </c>
    </row>
    <row r="1017" spans="1:20">
      <c r="A1017" s="23" t="s">
        <v>29</v>
      </c>
      <c r="B1017" s="14" t="s">
        <v>720</v>
      </c>
      <c r="C1017" s="14" t="s">
        <v>721</v>
      </c>
      <c r="D1017" s="13" t="s">
        <v>722</v>
      </c>
      <c r="E1017" s="14" t="s">
        <v>723</v>
      </c>
      <c r="F1017" s="13" t="s">
        <v>285</v>
      </c>
      <c r="G1017" s="14" t="s">
        <v>20</v>
      </c>
      <c r="H1017" s="14"/>
      <c r="I1017" s="14">
        <v>201407</v>
      </c>
      <c r="J1017" s="15">
        <v>532.51</v>
      </c>
      <c r="K1017" s="21">
        <f t="shared" si="95"/>
        <v>42675</v>
      </c>
      <c r="L1017" s="16">
        <f t="shared" si="96"/>
        <v>6</v>
      </c>
      <c r="M1017" s="17">
        <v>2.23333E-3</v>
      </c>
      <c r="N1017" s="18">
        <f t="shared" si="91"/>
        <v>7.1356233497999995</v>
      </c>
      <c r="O1017" s="15"/>
      <c r="P1017" s="20">
        <f t="shared" si="92"/>
        <v>0</v>
      </c>
      <c r="Q1017" s="15"/>
      <c r="R1017" s="20">
        <f t="shared" si="93"/>
        <v>0</v>
      </c>
      <c r="S1017" s="130"/>
      <c r="T1017" s="20">
        <f t="shared" si="94"/>
        <v>7.5380118687499991</v>
      </c>
    </row>
    <row r="1018" spans="1:20">
      <c r="A1018" s="23" t="s">
        <v>29</v>
      </c>
      <c r="B1018" s="14" t="s">
        <v>706</v>
      </c>
      <c r="C1018" s="14" t="s">
        <v>707</v>
      </c>
      <c r="D1018" s="13" t="s">
        <v>708</v>
      </c>
      <c r="E1018" s="14" t="s">
        <v>709</v>
      </c>
      <c r="F1018" s="13" t="s">
        <v>710</v>
      </c>
      <c r="G1018" s="14" t="s">
        <v>20</v>
      </c>
      <c r="H1018" s="14"/>
      <c r="I1018" s="14">
        <v>201407</v>
      </c>
      <c r="J1018" s="15">
        <v>2.0699999999999998</v>
      </c>
      <c r="K1018" s="21">
        <f t="shared" si="95"/>
        <v>42675</v>
      </c>
      <c r="L1018" s="16">
        <f t="shared" si="96"/>
        <v>6</v>
      </c>
      <c r="M1018" s="17">
        <v>2.23333E-3</v>
      </c>
      <c r="N1018" s="18">
        <f t="shared" si="91"/>
        <v>2.7737958599999994E-2</v>
      </c>
      <c r="O1018" s="15"/>
      <c r="P1018" s="20">
        <f t="shared" si="92"/>
        <v>0</v>
      </c>
      <c r="Q1018" s="15"/>
      <c r="R1018" s="20">
        <f t="shared" si="93"/>
        <v>0</v>
      </c>
      <c r="S1018" s="130"/>
      <c r="T1018" s="20">
        <f t="shared" si="94"/>
        <v>2.9302143749999992E-2</v>
      </c>
    </row>
    <row r="1019" spans="1:20">
      <c r="A1019" s="23" t="s">
        <v>29</v>
      </c>
      <c r="B1019" s="14" t="s">
        <v>37</v>
      </c>
      <c r="C1019" s="14" t="s">
        <v>38</v>
      </c>
      <c r="D1019" s="13" t="s">
        <v>39</v>
      </c>
      <c r="E1019" s="14" t="s">
        <v>40</v>
      </c>
      <c r="F1019" s="13" t="s">
        <v>41</v>
      </c>
      <c r="G1019" s="14" t="s">
        <v>20</v>
      </c>
      <c r="H1019" s="14"/>
      <c r="I1019" s="14">
        <v>201407</v>
      </c>
      <c r="J1019" s="15">
        <v>114794.98</v>
      </c>
      <c r="K1019" s="21">
        <f t="shared" si="95"/>
        <v>42675</v>
      </c>
      <c r="L1019" s="16">
        <f t="shared" si="96"/>
        <v>6</v>
      </c>
      <c r="M1019" s="17">
        <v>2.23333E-3</v>
      </c>
      <c r="N1019" s="18">
        <f t="shared" si="91"/>
        <v>1538.2504361003998</v>
      </c>
      <c r="O1019" s="15"/>
      <c r="P1019" s="20">
        <f t="shared" si="92"/>
        <v>0</v>
      </c>
      <c r="Q1019" s="15"/>
      <c r="R1019" s="20">
        <f t="shared" si="93"/>
        <v>0</v>
      </c>
      <c r="S1019" s="130"/>
      <c r="T1019" s="20">
        <f t="shared" si="94"/>
        <v>1624.9946887624999</v>
      </c>
    </row>
    <row r="1020" spans="1:20">
      <c r="A1020" s="23" t="s">
        <v>29</v>
      </c>
      <c r="B1020" s="14" t="s">
        <v>555</v>
      </c>
      <c r="C1020" s="14" t="s">
        <v>556</v>
      </c>
      <c r="D1020" s="13" t="s">
        <v>45</v>
      </c>
      <c r="E1020" s="14" t="s">
        <v>557</v>
      </c>
      <c r="F1020" s="13" t="s">
        <v>41</v>
      </c>
      <c r="G1020" s="14" t="s">
        <v>20</v>
      </c>
      <c r="H1020" s="14"/>
      <c r="I1020" s="14">
        <v>201407</v>
      </c>
      <c r="J1020" s="15">
        <v>21147.119999999999</v>
      </c>
      <c r="K1020" s="21">
        <f t="shared" si="95"/>
        <v>42675</v>
      </c>
      <c r="L1020" s="16">
        <f t="shared" si="96"/>
        <v>6</v>
      </c>
      <c r="M1020" s="17">
        <v>2.23333E-3</v>
      </c>
      <c r="N1020" s="18">
        <f t="shared" si="91"/>
        <v>283.37098505759997</v>
      </c>
      <c r="O1020" s="15"/>
      <c r="P1020" s="20">
        <f t="shared" si="92"/>
        <v>0</v>
      </c>
      <c r="Q1020" s="15"/>
      <c r="R1020" s="20">
        <f t="shared" si="93"/>
        <v>0</v>
      </c>
      <c r="S1020" s="130"/>
      <c r="T1020" s="20">
        <f t="shared" si="94"/>
        <v>299.35070055</v>
      </c>
    </row>
    <row r="1021" spans="1:20">
      <c r="A1021" s="23" t="s">
        <v>29</v>
      </c>
      <c r="B1021" s="14" t="s">
        <v>43</v>
      </c>
      <c r="C1021" s="14" t="s">
        <v>44</v>
      </c>
      <c r="D1021" s="13" t="s">
        <v>45</v>
      </c>
      <c r="E1021" s="14" t="s">
        <v>46</v>
      </c>
      <c r="F1021" s="13" t="s">
        <v>41</v>
      </c>
      <c r="G1021" s="14" t="s">
        <v>20</v>
      </c>
      <c r="H1021" s="14"/>
      <c r="I1021" s="14">
        <v>201407</v>
      </c>
      <c r="J1021" s="15">
        <v>6372.71</v>
      </c>
      <c r="K1021" s="21">
        <f t="shared" si="95"/>
        <v>42675</v>
      </c>
      <c r="L1021" s="16">
        <f t="shared" si="96"/>
        <v>6</v>
      </c>
      <c r="M1021" s="17">
        <v>2.23333E-3</v>
      </c>
      <c r="N1021" s="18">
        <f t="shared" si="91"/>
        <v>85.394186545799997</v>
      </c>
      <c r="O1021" s="15"/>
      <c r="P1021" s="20">
        <f t="shared" si="92"/>
        <v>0</v>
      </c>
      <c r="Q1021" s="15"/>
      <c r="R1021" s="20">
        <f t="shared" si="93"/>
        <v>0</v>
      </c>
      <c r="S1021" s="130"/>
      <c r="T1021" s="20">
        <f t="shared" si="94"/>
        <v>90.209692993749997</v>
      </c>
    </row>
    <row r="1022" spans="1:20">
      <c r="A1022" s="23" t="s">
        <v>29</v>
      </c>
      <c r="B1022" s="14" t="s">
        <v>183</v>
      </c>
      <c r="C1022" s="14" t="s">
        <v>184</v>
      </c>
      <c r="D1022" s="13" t="s">
        <v>45</v>
      </c>
      <c r="E1022" s="14" t="s">
        <v>185</v>
      </c>
      <c r="F1022" s="13" t="s">
        <v>41</v>
      </c>
      <c r="G1022" s="14" t="s">
        <v>20</v>
      </c>
      <c r="H1022" s="14"/>
      <c r="I1022" s="14">
        <v>201407</v>
      </c>
      <c r="J1022" s="15">
        <v>51945.94</v>
      </c>
      <c r="K1022" s="21">
        <f t="shared" si="95"/>
        <v>42675</v>
      </c>
      <c r="L1022" s="16">
        <f t="shared" si="96"/>
        <v>6</v>
      </c>
      <c r="M1022" s="17">
        <v>2.23333E-3</v>
      </c>
      <c r="N1022" s="18">
        <f t="shared" si="91"/>
        <v>696.07455708119994</v>
      </c>
      <c r="O1022" s="15"/>
      <c r="P1022" s="20">
        <f t="shared" si="92"/>
        <v>0</v>
      </c>
      <c r="Q1022" s="15"/>
      <c r="R1022" s="20">
        <f t="shared" si="93"/>
        <v>0</v>
      </c>
      <c r="S1022" s="130"/>
      <c r="T1022" s="20">
        <f t="shared" si="94"/>
        <v>735.32724691249996</v>
      </c>
    </row>
    <row r="1023" spans="1:20">
      <c r="A1023" s="23" t="s">
        <v>29</v>
      </c>
      <c r="B1023" s="14" t="s">
        <v>733</v>
      </c>
      <c r="C1023" s="14" t="s">
        <v>734</v>
      </c>
      <c r="D1023" s="13" t="s">
        <v>105</v>
      </c>
      <c r="E1023" s="14" t="s">
        <v>320</v>
      </c>
      <c r="F1023" s="13" t="s">
        <v>34</v>
      </c>
      <c r="G1023" s="14" t="s">
        <v>20</v>
      </c>
      <c r="H1023" s="14"/>
      <c r="I1023" s="14">
        <v>201407</v>
      </c>
      <c r="J1023" s="15">
        <v>-100.35</v>
      </c>
      <c r="K1023" s="21">
        <f t="shared" si="95"/>
        <v>42675</v>
      </c>
      <c r="L1023" s="16">
        <f t="shared" si="96"/>
        <v>6</v>
      </c>
      <c r="M1023" s="17">
        <v>2.23333E-3</v>
      </c>
      <c r="N1023" s="18">
        <f t="shared" si="91"/>
        <v>-1.3446879929999997</v>
      </c>
      <c r="O1023" s="15"/>
      <c r="P1023" s="20">
        <f t="shared" si="92"/>
        <v>0</v>
      </c>
      <c r="Q1023" s="15"/>
      <c r="R1023" s="20">
        <f t="shared" si="93"/>
        <v>0</v>
      </c>
      <c r="S1023" s="130"/>
      <c r="T1023" s="20">
        <f t="shared" si="94"/>
        <v>-1.4205169687499999</v>
      </c>
    </row>
    <row r="1024" spans="1:20">
      <c r="A1024" s="23" t="s">
        <v>29</v>
      </c>
      <c r="B1024" s="14" t="s">
        <v>30</v>
      </c>
      <c r="C1024" s="14" t="s">
        <v>31</v>
      </c>
      <c r="D1024" s="13" t="s">
        <v>32</v>
      </c>
      <c r="E1024" s="14" t="s">
        <v>33</v>
      </c>
      <c r="F1024" s="13" t="s">
        <v>34</v>
      </c>
      <c r="G1024" s="14" t="s">
        <v>20</v>
      </c>
      <c r="H1024" s="14"/>
      <c r="I1024" s="14">
        <v>201407</v>
      </c>
      <c r="J1024" s="15">
        <v>21076.95</v>
      </c>
      <c r="K1024" s="21">
        <f t="shared" si="95"/>
        <v>42675</v>
      </c>
      <c r="L1024" s="16">
        <f t="shared" si="96"/>
        <v>6</v>
      </c>
      <c r="M1024" s="17">
        <v>2.23333E-3</v>
      </c>
      <c r="N1024" s="18">
        <f t="shared" si="91"/>
        <v>282.43070846099999</v>
      </c>
      <c r="O1024" s="15"/>
      <c r="P1024" s="20">
        <f t="shared" si="92"/>
        <v>0</v>
      </c>
      <c r="Q1024" s="15"/>
      <c r="R1024" s="20">
        <f t="shared" si="93"/>
        <v>0</v>
      </c>
      <c r="S1024" s="130"/>
      <c r="T1024" s="20">
        <f t="shared" si="94"/>
        <v>298.35740034374999</v>
      </c>
    </row>
    <row r="1025" spans="1:20">
      <c r="A1025" s="23" t="s">
        <v>29</v>
      </c>
      <c r="B1025" s="14" t="s">
        <v>103</v>
      </c>
      <c r="C1025" s="14" t="s">
        <v>104</v>
      </c>
      <c r="D1025" s="13" t="s">
        <v>105</v>
      </c>
      <c r="E1025" s="14" t="s">
        <v>106</v>
      </c>
      <c r="F1025" s="13" t="s">
        <v>34</v>
      </c>
      <c r="G1025" s="14" t="s">
        <v>20</v>
      </c>
      <c r="H1025" s="14"/>
      <c r="I1025" s="14">
        <v>201407</v>
      </c>
      <c r="J1025" s="15">
        <v>4300.68</v>
      </c>
      <c r="K1025" s="21">
        <f t="shared" si="95"/>
        <v>42675</v>
      </c>
      <c r="L1025" s="16">
        <f t="shared" si="96"/>
        <v>6</v>
      </c>
      <c r="M1025" s="17">
        <v>2.23333E-3</v>
      </c>
      <c r="N1025" s="18">
        <f t="shared" si="91"/>
        <v>57.629025986400002</v>
      </c>
      <c r="O1025" s="15"/>
      <c r="P1025" s="20">
        <f t="shared" si="92"/>
        <v>0</v>
      </c>
      <c r="Q1025" s="15"/>
      <c r="R1025" s="20">
        <f t="shared" si="93"/>
        <v>0</v>
      </c>
      <c r="S1025" s="130"/>
      <c r="T1025" s="20">
        <f t="shared" si="94"/>
        <v>60.878813325000003</v>
      </c>
    </row>
    <row r="1026" spans="1:20">
      <c r="A1026" s="23" t="s">
        <v>29</v>
      </c>
      <c r="B1026" s="14" t="s">
        <v>318</v>
      </c>
      <c r="C1026" s="14" t="s">
        <v>319</v>
      </c>
      <c r="D1026" s="13" t="s">
        <v>105</v>
      </c>
      <c r="E1026" s="14" t="s">
        <v>320</v>
      </c>
      <c r="F1026" s="13" t="s">
        <v>34</v>
      </c>
      <c r="G1026" s="14" t="s">
        <v>20</v>
      </c>
      <c r="H1026" s="14"/>
      <c r="I1026" s="14">
        <v>201407</v>
      </c>
      <c r="J1026" s="15">
        <v>4010.69</v>
      </c>
      <c r="K1026" s="21">
        <f t="shared" si="95"/>
        <v>42675</v>
      </c>
      <c r="L1026" s="16">
        <f t="shared" si="96"/>
        <v>6</v>
      </c>
      <c r="M1026" s="17">
        <v>2.23333E-3</v>
      </c>
      <c r="N1026" s="18">
        <f t="shared" si="91"/>
        <v>53.743165786199995</v>
      </c>
      <c r="O1026" s="15"/>
      <c r="P1026" s="20">
        <f t="shared" si="92"/>
        <v>0</v>
      </c>
      <c r="Q1026" s="15"/>
      <c r="R1026" s="20">
        <f t="shared" si="93"/>
        <v>0</v>
      </c>
      <c r="S1026" s="130"/>
      <c r="T1026" s="20">
        <f t="shared" si="94"/>
        <v>56.773823631249996</v>
      </c>
    </row>
    <row r="1027" spans="1:20">
      <c r="A1027" s="23" t="s">
        <v>29</v>
      </c>
      <c r="B1027" s="14" t="s">
        <v>191</v>
      </c>
      <c r="C1027" s="14" t="s">
        <v>192</v>
      </c>
      <c r="D1027" s="13" t="s">
        <v>193</v>
      </c>
      <c r="E1027" s="14" t="s">
        <v>194</v>
      </c>
      <c r="F1027" s="13" t="s">
        <v>115</v>
      </c>
      <c r="G1027" s="14" t="s">
        <v>20</v>
      </c>
      <c r="H1027" s="14"/>
      <c r="I1027" s="14">
        <v>201407</v>
      </c>
      <c r="J1027" s="15">
        <v>63243.95</v>
      </c>
      <c r="K1027" s="21">
        <f t="shared" si="95"/>
        <v>42675</v>
      </c>
      <c r="L1027" s="16">
        <f t="shared" si="96"/>
        <v>6</v>
      </c>
      <c r="M1027" s="17">
        <v>2.23333E-3</v>
      </c>
      <c r="N1027" s="18">
        <f t="shared" si="91"/>
        <v>847.46766512099987</v>
      </c>
      <c r="O1027" s="15"/>
      <c r="P1027" s="20">
        <f t="shared" si="92"/>
        <v>0</v>
      </c>
      <c r="Q1027" s="15"/>
      <c r="R1027" s="20">
        <f t="shared" si="93"/>
        <v>0</v>
      </c>
      <c r="S1027" s="130"/>
      <c r="T1027" s="20">
        <f t="shared" si="94"/>
        <v>895.25763971874983</v>
      </c>
    </row>
    <row r="1028" spans="1:20">
      <c r="A1028" s="23" t="s">
        <v>29</v>
      </c>
      <c r="B1028" s="14" t="s">
        <v>111</v>
      </c>
      <c r="C1028" s="14" t="s">
        <v>112</v>
      </c>
      <c r="D1028" s="13" t="s">
        <v>113</v>
      </c>
      <c r="E1028" s="14" t="s">
        <v>114</v>
      </c>
      <c r="F1028" s="13" t="s">
        <v>115</v>
      </c>
      <c r="G1028" s="14" t="s">
        <v>20</v>
      </c>
      <c r="H1028" s="14"/>
      <c r="I1028" s="14">
        <v>201407</v>
      </c>
      <c r="J1028" s="15">
        <v>411.64</v>
      </c>
      <c r="K1028" s="21">
        <f t="shared" si="95"/>
        <v>42675</v>
      </c>
      <c r="L1028" s="16">
        <f t="shared" si="96"/>
        <v>6</v>
      </c>
      <c r="M1028" s="17">
        <v>2.23333E-3</v>
      </c>
      <c r="N1028" s="18">
        <f t="shared" si="91"/>
        <v>5.5159677671999994</v>
      </c>
      <c r="O1028" s="15"/>
      <c r="P1028" s="20">
        <f t="shared" si="92"/>
        <v>0</v>
      </c>
      <c r="Q1028" s="15"/>
      <c r="R1028" s="20">
        <f t="shared" si="93"/>
        <v>0</v>
      </c>
      <c r="S1028" s="130"/>
      <c r="T1028" s="20">
        <f t="shared" si="94"/>
        <v>5.8270214749999987</v>
      </c>
    </row>
    <row r="1029" spans="1:20">
      <c r="A1029" s="23" t="s">
        <v>29</v>
      </c>
      <c r="B1029" s="14" t="s">
        <v>633</v>
      </c>
      <c r="C1029" s="14" t="s">
        <v>634</v>
      </c>
      <c r="D1029" s="13" t="s">
        <v>193</v>
      </c>
      <c r="E1029" s="14" t="s">
        <v>635</v>
      </c>
      <c r="F1029" s="13" t="s">
        <v>115</v>
      </c>
      <c r="G1029" s="14" t="s">
        <v>20</v>
      </c>
      <c r="H1029" s="14"/>
      <c r="I1029" s="14">
        <v>201407</v>
      </c>
      <c r="J1029" s="15">
        <v>645.48</v>
      </c>
      <c r="K1029" s="21">
        <f t="shared" si="95"/>
        <v>42675</v>
      </c>
      <c r="L1029" s="16">
        <f t="shared" si="96"/>
        <v>6</v>
      </c>
      <c r="M1029" s="17">
        <v>2.23333E-3</v>
      </c>
      <c r="N1029" s="18">
        <f t="shared" si="91"/>
        <v>8.6494190904000003</v>
      </c>
      <c r="O1029" s="15"/>
      <c r="P1029" s="20">
        <f t="shared" si="92"/>
        <v>0</v>
      </c>
      <c r="Q1029" s="15"/>
      <c r="R1029" s="20">
        <f t="shared" si="93"/>
        <v>0</v>
      </c>
      <c r="S1029" s="130"/>
      <c r="T1029" s="20">
        <f t="shared" si="94"/>
        <v>9.1371728250000004</v>
      </c>
    </row>
    <row r="1030" spans="1:20">
      <c r="A1030" s="23" t="s">
        <v>29</v>
      </c>
      <c r="B1030" s="14" t="s">
        <v>267</v>
      </c>
      <c r="C1030" s="14" t="s">
        <v>268</v>
      </c>
      <c r="D1030" s="13" t="s">
        <v>269</v>
      </c>
      <c r="E1030" s="14" t="s">
        <v>270</v>
      </c>
      <c r="F1030" s="13" t="s">
        <v>115</v>
      </c>
      <c r="G1030" s="14" t="s">
        <v>20</v>
      </c>
      <c r="H1030" s="14"/>
      <c r="I1030" s="14">
        <v>201407</v>
      </c>
      <c r="J1030" s="15">
        <v>189798.07</v>
      </c>
      <c r="K1030" s="21">
        <f t="shared" si="95"/>
        <v>42675</v>
      </c>
      <c r="L1030" s="16">
        <f t="shared" si="96"/>
        <v>6</v>
      </c>
      <c r="M1030" s="17">
        <v>2.23333E-3</v>
      </c>
      <c r="N1030" s="18">
        <f t="shared" ref="N1030:N1093" si="97">M1030*L1030*J1030</f>
        <v>2543.2903420385996</v>
      </c>
      <c r="O1030" s="15"/>
      <c r="P1030" s="20">
        <f t="shared" ref="P1030:P1093" si="98">$P$4*(J1030*0.5)*$V$10</f>
        <v>0</v>
      </c>
      <c r="Q1030" s="15"/>
      <c r="R1030" s="20">
        <f t="shared" ref="R1030:R1093" si="99">$R$4*(J1030*0.5)*$V$9</f>
        <v>0</v>
      </c>
      <c r="S1030" s="130"/>
      <c r="T1030" s="20">
        <f t="shared" ref="T1030:T1093" si="100">$T$4*(J1030*0.5)*$V$11</f>
        <v>2686.7103046437501</v>
      </c>
    </row>
    <row r="1031" spans="1:20">
      <c r="A1031" s="23" t="s">
        <v>29</v>
      </c>
      <c r="B1031" s="14" t="s">
        <v>54</v>
      </c>
      <c r="C1031" s="14" t="s">
        <v>55</v>
      </c>
      <c r="D1031" s="13" t="s">
        <v>56</v>
      </c>
      <c r="E1031" s="14" t="s">
        <v>57</v>
      </c>
      <c r="F1031" s="13" t="s">
        <v>58</v>
      </c>
      <c r="G1031" s="14" t="s">
        <v>20</v>
      </c>
      <c r="H1031" s="14"/>
      <c r="I1031" s="14">
        <v>201407</v>
      </c>
      <c r="J1031" s="15">
        <v>0.55000000000000004</v>
      </c>
      <c r="K1031" s="21">
        <f t="shared" ref="K1031:K1094" si="101">+K1030</f>
        <v>42675</v>
      </c>
      <c r="L1031" s="16">
        <f t="shared" si="96"/>
        <v>6</v>
      </c>
      <c r="M1031" s="17">
        <v>2.23333E-3</v>
      </c>
      <c r="N1031" s="18">
        <f t="shared" si="97"/>
        <v>7.3699889999999995E-3</v>
      </c>
      <c r="O1031" s="15"/>
      <c r="P1031" s="20">
        <f t="shared" si="98"/>
        <v>0</v>
      </c>
      <c r="Q1031" s="15"/>
      <c r="R1031" s="20">
        <f t="shared" si="99"/>
        <v>0</v>
      </c>
      <c r="S1031" s="130"/>
      <c r="T1031" s="20">
        <f t="shared" si="100"/>
        <v>7.7855937500000008E-3</v>
      </c>
    </row>
    <row r="1032" spans="1:20">
      <c r="A1032" s="23" t="s">
        <v>29</v>
      </c>
      <c r="B1032" s="14" t="s">
        <v>836</v>
      </c>
      <c r="C1032" s="14" t="s">
        <v>837</v>
      </c>
      <c r="D1032" s="13" t="s">
        <v>327</v>
      </c>
      <c r="E1032" s="14" t="s">
        <v>838</v>
      </c>
      <c r="F1032" s="13" t="s">
        <v>58</v>
      </c>
      <c r="G1032" s="14" t="s">
        <v>20</v>
      </c>
      <c r="H1032" s="14"/>
      <c r="I1032" s="14">
        <v>201407</v>
      </c>
      <c r="J1032" s="15">
        <v>2190.04</v>
      </c>
      <c r="K1032" s="21">
        <f t="shared" si="101"/>
        <v>42675</v>
      </c>
      <c r="L1032" s="16">
        <f t="shared" si="96"/>
        <v>6</v>
      </c>
      <c r="M1032" s="17">
        <v>2.23333E-3</v>
      </c>
      <c r="N1032" s="18">
        <f t="shared" si="97"/>
        <v>29.346492199199997</v>
      </c>
      <c r="O1032" s="15"/>
      <c r="P1032" s="20">
        <f t="shared" si="98"/>
        <v>0</v>
      </c>
      <c r="Q1032" s="15"/>
      <c r="R1032" s="20">
        <f t="shared" si="99"/>
        <v>0</v>
      </c>
      <c r="S1032" s="130"/>
      <c r="T1032" s="20">
        <f t="shared" si="100"/>
        <v>31.001384974999997</v>
      </c>
    </row>
    <row r="1033" spans="1:20">
      <c r="A1033" s="23" t="s">
        <v>29</v>
      </c>
      <c r="B1033" s="14" t="s">
        <v>548</v>
      </c>
      <c r="C1033" s="14" t="s">
        <v>549</v>
      </c>
      <c r="D1033" s="13" t="s">
        <v>327</v>
      </c>
      <c r="E1033" s="14" t="s">
        <v>550</v>
      </c>
      <c r="F1033" s="13" t="s">
        <v>58</v>
      </c>
      <c r="G1033" s="14" t="s">
        <v>20</v>
      </c>
      <c r="H1033" s="14"/>
      <c r="I1033" s="14">
        <v>201407</v>
      </c>
      <c r="J1033" s="15">
        <v>0.04</v>
      </c>
      <c r="K1033" s="21">
        <f t="shared" si="101"/>
        <v>42675</v>
      </c>
      <c r="L1033" s="16">
        <f t="shared" si="96"/>
        <v>6</v>
      </c>
      <c r="M1033" s="17">
        <v>2.23333E-3</v>
      </c>
      <c r="N1033" s="18">
        <f t="shared" si="97"/>
        <v>5.3599919999999996E-4</v>
      </c>
      <c r="O1033" s="15"/>
      <c r="P1033" s="20">
        <f t="shared" si="98"/>
        <v>0</v>
      </c>
      <c r="Q1033" s="15"/>
      <c r="R1033" s="20">
        <f t="shared" si="99"/>
        <v>0</v>
      </c>
      <c r="S1033" s="130"/>
      <c r="T1033" s="20">
        <f t="shared" si="100"/>
        <v>5.6622499999999995E-4</v>
      </c>
    </row>
    <row r="1034" spans="1:20">
      <c r="A1034" s="23" t="s">
        <v>29</v>
      </c>
      <c r="B1034" s="14" t="s">
        <v>325</v>
      </c>
      <c r="C1034" s="14" t="s">
        <v>326</v>
      </c>
      <c r="D1034" s="13" t="s">
        <v>327</v>
      </c>
      <c r="E1034" s="14" t="s">
        <v>328</v>
      </c>
      <c r="F1034" s="13" t="s">
        <v>58</v>
      </c>
      <c r="G1034" s="14" t="s">
        <v>20</v>
      </c>
      <c r="H1034" s="14"/>
      <c r="I1034" s="14">
        <v>201407</v>
      </c>
      <c r="J1034" s="15">
        <v>-81801.59</v>
      </c>
      <c r="K1034" s="21">
        <f t="shared" si="101"/>
        <v>42675</v>
      </c>
      <c r="L1034" s="16">
        <f t="shared" si="96"/>
        <v>6</v>
      </c>
      <c r="M1034" s="17">
        <v>2.23333E-3</v>
      </c>
      <c r="N1034" s="18">
        <f t="shared" si="97"/>
        <v>-1096.1396699681998</v>
      </c>
      <c r="O1034" s="15"/>
      <c r="P1034" s="20">
        <f t="shared" si="98"/>
        <v>0</v>
      </c>
      <c r="Q1034" s="15"/>
      <c r="R1034" s="20">
        <f t="shared" si="99"/>
        <v>0</v>
      </c>
      <c r="S1034" s="130"/>
      <c r="T1034" s="20">
        <f t="shared" si="100"/>
        <v>-1157.9526324437497</v>
      </c>
    </row>
    <row r="1035" spans="1:20">
      <c r="A1035" s="23" t="s">
        <v>29</v>
      </c>
      <c r="B1035" s="14" t="s">
        <v>481</v>
      </c>
      <c r="C1035" s="14" t="s">
        <v>482</v>
      </c>
      <c r="D1035" s="13" t="s">
        <v>483</v>
      </c>
      <c r="E1035" s="14" t="s">
        <v>484</v>
      </c>
      <c r="F1035" s="13" t="s">
        <v>190</v>
      </c>
      <c r="G1035" s="14" t="s">
        <v>20</v>
      </c>
      <c r="H1035" s="14"/>
      <c r="I1035" s="14">
        <v>201407</v>
      </c>
      <c r="J1035" s="15">
        <v>2.2599999999999998</v>
      </c>
      <c r="K1035" s="21">
        <f t="shared" si="101"/>
        <v>42675</v>
      </c>
      <c r="L1035" s="16">
        <f t="shared" si="96"/>
        <v>6</v>
      </c>
      <c r="M1035" s="17">
        <v>2.23333E-3</v>
      </c>
      <c r="N1035" s="18">
        <f t="shared" si="97"/>
        <v>3.0283954799999995E-2</v>
      </c>
      <c r="O1035" s="15"/>
      <c r="P1035" s="20">
        <f t="shared" si="98"/>
        <v>0</v>
      </c>
      <c r="Q1035" s="15"/>
      <c r="R1035" s="20">
        <f t="shared" si="99"/>
        <v>0</v>
      </c>
      <c r="S1035" s="130"/>
      <c r="T1035" s="20">
        <f t="shared" si="100"/>
        <v>3.1991712499999991E-2</v>
      </c>
    </row>
    <row r="1036" spans="1:20">
      <c r="A1036" s="23" t="s">
        <v>29</v>
      </c>
      <c r="B1036" s="14" t="s">
        <v>186</v>
      </c>
      <c r="C1036" s="14" t="s">
        <v>187</v>
      </c>
      <c r="D1036" s="13" t="s">
        <v>188</v>
      </c>
      <c r="E1036" s="14" t="s">
        <v>189</v>
      </c>
      <c r="F1036" s="13" t="s">
        <v>190</v>
      </c>
      <c r="G1036" s="14" t="s">
        <v>20</v>
      </c>
      <c r="H1036" s="14"/>
      <c r="I1036" s="14">
        <v>201407</v>
      </c>
      <c r="J1036" s="15">
        <v>19787.18</v>
      </c>
      <c r="K1036" s="21">
        <f t="shared" si="101"/>
        <v>42675</v>
      </c>
      <c r="L1036" s="16">
        <f t="shared" si="96"/>
        <v>6</v>
      </c>
      <c r="M1036" s="17">
        <v>2.23333E-3</v>
      </c>
      <c r="N1036" s="18">
        <f t="shared" si="97"/>
        <v>265.14781625640001</v>
      </c>
      <c r="O1036" s="15"/>
      <c r="P1036" s="20">
        <f t="shared" si="98"/>
        <v>0</v>
      </c>
      <c r="Q1036" s="15"/>
      <c r="R1036" s="20">
        <f t="shared" si="99"/>
        <v>0</v>
      </c>
      <c r="S1036" s="130"/>
      <c r="T1036" s="20">
        <f t="shared" si="100"/>
        <v>280.09989988749999</v>
      </c>
    </row>
    <row r="1037" spans="1:20">
      <c r="A1037" s="23" t="s">
        <v>29</v>
      </c>
      <c r="B1037" s="14" t="s">
        <v>236</v>
      </c>
      <c r="C1037" s="14" t="s">
        <v>237</v>
      </c>
      <c r="D1037" s="13" t="s">
        <v>188</v>
      </c>
      <c r="E1037" s="14" t="s">
        <v>238</v>
      </c>
      <c r="F1037" s="13" t="s">
        <v>190</v>
      </c>
      <c r="G1037" s="14" t="s">
        <v>20</v>
      </c>
      <c r="H1037" s="14"/>
      <c r="I1037" s="14">
        <v>201407</v>
      </c>
      <c r="J1037" s="15">
        <v>142179.04</v>
      </c>
      <c r="K1037" s="21">
        <f t="shared" si="101"/>
        <v>42675</v>
      </c>
      <c r="L1037" s="16">
        <f t="shared" ref="L1037:L1099" si="102">((YEAR($L$1)-YEAR(K1037))*12+MONTH($L$1)-MONTH(K1037))</f>
        <v>6</v>
      </c>
      <c r="M1037" s="17">
        <v>2.23333E-3</v>
      </c>
      <c r="N1037" s="18">
        <f t="shared" si="97"/>
        <v>1905.1962924191998</v>
      </c>
      <c r="O1037" s="15"/>
      <c r="P1037" s="20">
        <f t="shared" si="98"/>
        <v>0</v>
      </c>
      <c r="Q1037" s="15"/>
      <c r="R1037" s="20">
        <f t="shared" si="99"/>
        <v>0</v>
      </c>
      <c r="S1037" s="130"/>
      <c r="T1037" s="20">
        <f t="shared" si="100"/>
        <v>2012.6331730999998</v>
      </c>
    </row>
    <row r="1038" spans="1:20">
      <c r="A1038" s="23" t="s">
        <v>29</v>
      </c>
      <c r="B1038" s="14" t="s">
        <v>107</v>
      </c>
      <c r="C1038" s="14" t="s">
        <v>108</v>
      </c>
      <c r="D1038" s="13" t="s">
        <v>109</v>
      </c>
      <c r="E1038" s="14" t="s">
        <v>110</v>
      </c>
      <c r="F1038" s="13" t="s">
        <v>52</v>
      </c>
      <c r="G1038" s="14" t="s">
        <v>20</v>
      </c>
      <c r="H1038" s="14"/>
      <c r="I1038" s="14">
        <v>201407</v>
      </c>
      <c r="J1038" s="15">
        <v>49918.23</v>
      </c>
      <c r="K1038" s="21">
        <f t="shared" si="101"/>
        <v>42675</v>
      </c>
      <c r="L1038" s="16">
        <f t="shared" si="102"/>
        <v>6</v>
      </c>
      <c r="M1038" s="17">
        <v>2.23333E-3</v>
      </c>
      <c r="N1038" s="18">
        <f t="shared" si="97"/>
        <v>668.90328363539993</v>
      </c>
      <c r="O1038" s="15"/>
      <c r="P1038" s="20">
        <f t="shared" si="98"/>
        <v>0</v>
      </c>
      <c r="Q1038" s="15"/>
      <c r="R1038" s="20">
        <f t="shared" si="99"/>
        <v>0</v>
      </c>
      <c r="S1038" s="130"/>
      <c r="T1038" s="20">
        <f t="shared" si="100"/>
        <v>706.62374454375004</v>
      </c>
    </row>
    <row r="1039" spans="1:20">
      <c r="A1039" s="23" t="s">
        <v>29</v>
      </c>
      <c r="B1039" s="14" t="s">
        <v>321</v>
      </c>
      <c r="C1039" s="14" t="s">
        <v>322</v>
      </c>
      <c r="D1039" s="13" t="s">
        <v>323</v>
      </c>
      <c r="E1039" s="14" t="s">
        <v>324</v>
      </c>
      <c r="F1039" s="13" t="s">
        <v>52</v>
      </c>
      <c r="G1039" s="14" t="s">
        <v>20</v>
      </c>
      <c r="H1039" s="14"/>
      <c r="I1039" s="14">
        <v>201407</v>
      </c>
      <c r="J1039" s="15">
        <v>63913.99</v>
      </c>
      <c r="K1039" s="21">
        <f t="shared" si="101"/>
        <v>42675</v>
      </c>
      <c r="L1039" s="16">
        <f t="shared" si="102"/>
        <v>6</v>
      </c>
      <c r="M1039" s="17">
        <v>2.23333E-3</v>
      </c>
      <c r="N1039" s="18">
        <f t="shared" si="97"/>
        <v>856.44618772019987</v>
      </c>
      <c r="O1039" s="15"/>
      <c r="P1039" s="20">
        <f t="shared" si="98"/>
        <v>0</v>
      </c>
      <c r="Q1039" s="15"/>
      <c r="R1039" s="20">
        <f t="shared" si="99"/>
        <v>0</v>
      </c>
      <c r="S1039" s="130"/>
      <c r="T1039" s="20">
        <f t="shared" si="100"/>
        <v>904.74247469374995</v>
      </c>
    </row>
    <row r="1040" spans="1:20">
      <c r="A1040" s="23" t="s">
        <v>29</v>
      </c>
      <c r="B1040" s="14" t="s">
        <v>121</v>
      </c>
      <c r="C1040" s="14" t="s">
        <v>122</v>
      </c>
      <c r="D1040" s="13" t="s">
        <v>50</v>
      </c>
      <c r="E1040" s="14" t="s">
        <v>123</v>
      </c>
      <c r="F1040" s="13" t="s">
        <v>52</v>
      </c>
      <c r="G1040" s="14" t="s">
        <v>20</v>
      </c>
      <c r="H1040" s="14"/>
      <c r="I1040" s="14">
        <v>201407</v>
      </c>
      <c r="J1040" s="15">
        <v>1528.63</v>
      </c>
      <c r="K1040" s="21">
        <f t="shared" si="101"/>
        <v>42675</v>
      </c>
      <c r="L1040" s="16">
        <f t="shared" si="102"/>
        <v>6</v>
      </c>
      <c r="M1040" s="17">
        <v>2.23333E-3</v>
      </c>
      <c r="N1040" s="18">
        <f t="shared" si="97"/>
        <v>20.4836114274</v>
      </c>
      <c r="O1040" s="15"/>
      <c r="P1040" s="20">
        <f t="shared" si="98"/>
        <v>0</v>
      </c>
      <c r="Q1040" s="15"/>
      <c r="R1040" s="20">
        <f t="shared" si="99"/>
        <v>0</v>
      </c>
      <c r="S1040" s="130"/>
      <c r="T1040" s="20">
        <f t="shared" si="100"/>
        <v>21.638713043750002</v>
      </c>
    </row>
    <row r="1041" spans="1:20">
      <c r="A1041" s="23" t="s">
        <v>29</v>
      </c>
      <c r="B1041" s="14" t="s">
        <v>419</v>
      </c>
      <c r="C1041" s="14" t="s">
        <v>420</v>
      </c>
      <c r="D1041" s="13" t="s">
        <v>50</v>
      </c>
      <c r="E1041" s="14" t="s">
        <v>421</v>
      </c>
      <c r="F1041" s="13" t="s">
        <v>52</v>
      </c>
      <c r="G1041" s="14" t="s">
        <v>20</v>
      </c>
      <c r="H1041" s="14"/>
      <c r="I1041" s="14">
        <v>201407</v>
      </c>
      <c r="J1041" s="15">
        <v>58437.51</v>
      </c>
      <c r="K1041" s="21">
        <f t="shared" si="101"/>
        <v>42675</v>
      </c>
      <c r="L1041" s="16">
        <f t="shared" si="102"/>
        <v>6</v>
      </c>
      <c r="M1041" s="17">
        <v>2.23333E-3</v>
      </c>
      <c r="N1041" s="18">
        <f t="shared" si="97"/>
        <v>783.06146524979999</v>
      </c>
      <c r="O1041" s="15"/>
      <c r="P1041" s="20">
        <f t="shared" si="98"/>
        <v>0</v>
      </c>
      <c r="Q1041" s="15"/>
      <c r="R1041" s="20">
        <f t="shared" si="99"/>
        <v>0</v>
      </c>
      <c r="S1041" s="130"/>
      <c r="T1041" s="20">
        <f t="shared" si="100"/>
        <v>827.21947749374988</v>
      </c>
    </row>
    <row r="1042" spans="1:20">
      <c r="A1042" s="23" t="s">
        <v>29</v>
      </c>
      <c r="B1042" s="14" t="s">
        <v>48</v>
      </c>
      <c r="C1042" s="14" t="s">
        <v>49</v>
      </c>
      <c r="D1042" s="13" t="s">
        <v>50</v>
      </c>
      <c r="E1042" s="14" t="s">
        <v>51</v>
      </c>
      <c r="F1042" s="13" t="s">
        <v>52</v>
      </c>
      <c r="G1042" s="14" t="s">
        <v>20</v>
      </c>
      <c r="H1042" s="14"/>
      <c r="I1042" s="14">
        <v>201407</v>
      </c>
      <c r="J1042" s="15">
        <v>6166.45</v>
      </c>
      <c r="K1042" s="21">
        <f t="shared" si="101"/>
        <v>42675</v>
      </c>
      <c r="L1042" s="16">
        <f t="shared" si="102"/>
        <v>6</v>
      </c>
      <c r="M1042" s="17">
        <v>2.23333E-3</v>
      </c>
      <c r="N1042" s="18">
        <f t="shared" si="97"/>
        <v>82.630306670999985</v>
      </c>
      <c r="O1042" s="15"/>
      <c r="P1042" s="20">
        <f t="shared" si="98"/>
        <v>0</v>
      </c>
      <c r="Q1042" s="15"/>
      <c r="R1042" s="20">
        <f t="shared" si="99"/>
        <v>0</v>
      </c>
      <c r="S1042" s="130"/>
      <c r="T1042" s="20">
        <f t="shared" si="100"/>
        <v>87.289953781249991</v>
      </c>
    </row>
    <row r="1043" spans="1:20">
      <c r="A1043" s="23" t="s">
        <v>29</v>
      </c>
      <c r="B1043" s="14" t="s">
        <v>124</v>
      </c>
      <c r="C1043" s="14" t="s">
        <v>125</v>
      </c>
      <c r="D1043" s="13" t="s">
        <v>50</v>
      </c>
      <c r="E1043" s="14" t="s">
        <v>126</v>
      </c>
      <c r="F1043" s="13" t="s">
        <v>52</v>
      </c>
      <c r="G1043" s="14" t="s">
        <v>20</v>
      </c>
      <c r="H1043" s="14"/>
      <c r="I1043" s="14">
        <v>201407</v>
      </c>
      <c r="J1043" s="15">
        <v>2202.79</v>
      </c>
      <c r="K1043" s="21">
        <f t="shared" si="101"/>
        <v>42675</v>
      </c>
      <c r="L1043" s="16">
        <f t="shared" si="102"/>
        <v>6</v>
      </c>
      <c r="M1043" s="17">
        <v>2.23333E-3</v>
      </c>
      <c r="N1043" s="18">
        <f t="shared" si="97"/>
        <v>29.517341944199998</v>
      </c>
      <c r="O1043" s="15"/>
      <c r="P1043" s="20">
        <f t="shared" si="98"/>
        <v>0</v>
      </c>
      <c r="Q1043" s="15"/>
      <c r="R1043" s="20">
        <f t="shared" si="99"/>
        <v>0</v>
      </c>
      <c r="S1043" s="130"/>
      <c r="T1043" s="20">
        <f t="shared" si="100"/>
        <v>31.181869193749996</v>
      </c>
    </row>
    <row r="1044" spans="1:20">
      <c r="A1044" s="23" t="s">
        <v>29</v>
      </c>
      <c r="B1044" s="14" t="s">
        <v>532</v>
      </c>
      <c r="C1044" s="14" t="s">
        <v>533</v>
      </c>
      <c r="D1044" s="13" t="s">
        <v>50</v>
      </c>
      <c r="E1044" s="14" t="s">
        <v>534</v>
      </c>
      <c r="F1044" s="13" t="s">
        <v>52</v>
      </c>
      <c r="G1044" s="14" t="s">
        <v>20</v>
      </c>
      <c r="H1044" s="14"/>
      <c r="I1044" s="14">
        <v>201407</v>
      </c>
      <c r="J1044" s="15">
        <v>6596.09</v>
      </c>
      <c r="K1044" s="21">
        <f t="shared" si="101"/>
        <v>42675</v>
      </c>
      <c r="L1044" s="16">
        <f t="shared" si="102"/>
        <v>6</v>
      </c>
      <c r="M1044" s="17">
        <v>2.23333E-3</v>
      </c>
      <c r="N1044" s="18">
        <f t="shared" si="97"/>
        <v>88.3874740782</v>
      </c>
      <c r="O1044" s="15"/>
      <c r="P1044" s="20">
        <f t="shared" si="98"/>
        <v>0</v>
      </c>
      <c r="Q1044" s="15"/>
      <c r="R1044" s="20">
        <f t="shared" si="99"/>
        <v>0</v>
      </c>
      <c r="S1044" s="130"/>
      <c r="T1044" s="20">
        <f t="shared" si="100"/>
        <v>93.371776506250001</v>
      </c>
    </row>
    <row r="1045" spans="1:20">
      <c r="A1045" s="23" t="s">
        <v>29</v>
      </c>
      <c r="B1045" s="14" t="s">
        <v>839</v>
      </c>
      <c r="C1045" s="14" t="s">
        <v>840</v>
      </c>
      <c r="D1045" s="13" t="s">
        <v>50</v>
      </c>
      <c r="E1045" s="14" t="s">
        <v>841</v>
      </c>
      <c r="F1045" s="13" t="s">
        <v>52</v>
      </c>
      <c r="G1045" s="14" t="s">
        <v>20</v>
      </c>
      <c r="H1045" s="14"/>
      <c r="I1045" s="14">
        <v>201407</v>
      </c>
      <c r="J1045" s="15">
        <v>35.94</v>
      </c>
      <c r="K1045" s="21">
        <f t="shared" si="101"/>
        <v>42675</v>
      </c>
      <c r="L1045" s="16">
        <f t="shared" si="102"/>
        <v>6</v>
      </c>
      <c r="M1045" s="17">
        <v>2.23333E-3</v>
      </c>
      <c r="N1045" s="18">
        <f t="shared" si="97"/>
        <v>0.48159528119999995</v>
      </c>
      <c r="O1045" s="15"/>
      <c r="P1045" s="20">
        <f t="shared" si="98"/>
        <v>0</v>
      </c>
      <c r="Q1045" s="15"/>
      <c r="R1045" s="20">
        <f t="shared" si="99"/>
        <v>0</v>
      </c>
      <c r="S1045" s="130"/>
      <c r="T1045" s="20">
        <f t="shared" si="100"/>
        <v>0.50875316249999991</v>
      </c>
    </row>
    <row r="1046" spans="1:20">
      <c r="A1046" s="13" t="s">
        <v>127</v>
      </c>
      <c r="B1046" s="14" t="s">
        <v>681</v>
      </c>
      <c r="C1046" s="14" t="s">
        <v>682</v>
      </c>
      <c r="D1046" s="13" t="s">
        <v>683</v>
      </c>
      <c r="E1046" s="14" t="s">
        <v>131</v>
      </c>
      <c r="F1046" s="13" t="s">
        <v>132</v>
      </c>
      <c r="G1046" s="14" t="s">
        <v>20</v>
      </c>
      <c r="H1046" s="14"/>
      <c r="I1046" s="14">
        <v>201407</v>
      </c>
      <c r="J1046" s="15">
        <v>515.4</v>
      </c>
      <c r="K1046" s="21">
        <f t="shared" si="101"/>
        <v>42675</v>
      </c>
      <c r="L1046" s="16">
        <f t="shared" si="102"/>
        <v>6</v>
      </c>
      <c r="M1046" s="17">
        <v>2.3833299999999999E-3</v>
      </c>
      <c r="N1046" s="18">
        <f t="shared" si="97"/>
        <v>7.3702096919999995</v>
      </c>
      <c r="O1046" s="15"/>
      <c r="P1046" s="20">
        <f t="shared" si="98"/>
        <v>0</v>
      </c>
      <c r="Q1046" s="15"/>
      <c r="R1046" s="20">
        <f t="shared" si="99"/>
        <v>0</v>
      </c>
      <c r="S1046" s="130"/>
      <c r="T1046" s="20">
        <f t="shared" si="100"/>
        <v>7.295809124999999</v>
      </c>
    </row>
    <row r="1047" spans="1:20">
      <c r="A1047" s="13" t="s">
        <v>127</v>
      </c>
      <c r="B1047" s="14" t="s">
        <v>295</v>
      </c>
      <c r="C1047" s="14" t="s">
        <v>296</v>
      </c>
      <c r="D1047" s="13" t="s">
        <v>297</v>
      </c>
      <c r="E1047" s="14" t="s">
        <v>216</v>
      </c>
      <c r="F1047" s="13" t="s">
        <v>217</v>
      </c>
      <c r="G1047" s="14" t="s">
        <v>20</v>
      </c>
      <c r="H1047" s="14"/>
      <c r="I1047" s="14">
        <v>201407</v>
      </c>
      <c r="J1047" s="15">
        <v>0.21</v>
      </c>
      <c r="K1047" s="21">
        <f t="shared" si="101"/>
        <v>42675</v>
      </c>
      <c r="L1047" s="16">
        <f t="shared" si="102"/>
        <v>6</v>
      </c>
      <c r="M1047" s="17">
        <v>2.3833299999999999E-3</v>
      </c>
      <c r="N1047" s="18">
        <f t="shared" si="97"/>
        <v>3.0029957999999999E-3</v>
      </c>
      <c r="O1047" s="15"/>
      <c r="P1047" s="20">
        <f t="shared" si="98"/>
        <v>0</v>
      </c>
      <c r="Q1047" s="15"/>
      <c r="R1047" s="20">
        <f t="shared" si="99"/>
        <v>0</v>
      </c>
      <c r="S1047" s="130"/>
      <c r="T1047" s="20">
        <f t="shared" si="100"/>
        <v>2.9726812499999999E-3</v>
      </c>
    </row>
    <row r="1048" spans="1:20">
      <c r="A1048" s="13" t="s">
        <v>127</v>
      </c>
      <c r="B1048" s="14" t="s">
        <v>598</v>
      </c>
      <c r="C1048" s="14" t="s">
        <v>599</v>
      </c>
      <c r="D1048" s="13" t="s">
        <v>600</v>
      </c>
      <c r="E1048" s="14" t="s">
        <v>131</v>
      </c>
      <c r="F1048" s="13" t="s">
        <v>132</v>
      </c>
      <c r="G1048" s="14" t="s">
        <v>20</v>
      </c>
      <c r="H1048" s="14"/>
      <c r="I1048" s="14">
        <v>201407</v>
      </c>
      <c r="J1048" s="15">
        <v>265.35000000000002</v>
      </c>
      <c r="K1048" s="21">
        <f t="shared" si="101"/>
        <v>42675</v>
      </c>
      <c r="L1048" s="16">
        <f t="shared" si="102"/>
        <v>6</v>
      </c>
      <c r="M1048" s="17">
        <v>2.3833299999999999E-3</v>
      </c>
      <c r="N1048" s="18">
        <f t="shared" si="97"/>
        <v>3.7944996930000006</v>
      </c>
      <c r="O1048" s="15"/>
      <c r="P1048" s="20">
        <f t="shared" si="98"/>
        <v>0</v>
      </c>
      <c r="Q1048" s="15"/>
      <c r="R1048" s="20">
        <f t="shared" si="99"/>
        <v>0</v>
      </c>
      <c r="S1048" s="130"/>
      <c r="T1048" s="20">
        <f t="shared" si="100"/>
        <v>3.7561950937500002</v>
      </c>
    </row>
    <row r="1049" spans="1:20">
      <c r="A1049" s="13" t="s">
        <v>127</v>
      </c>
      <c r="B1049" s="14" t="s">
        <v>388</v>
      </c>
      <c r="C1049" s="14" t="s">
        <v>389</v>
      </c>
      <c r="D1049" s="13" t="s">
        <v>390</v>
      </c>
      <c r="E1049" s="14" t="s">
        <v>131</v>
      </c>
      <c r="F1049" s="13" t="s">
        <v>132</v>
      </c>
      <c r="G1049" s="14" t="s">
        <v>20</v>
      </c>
      <c r="H1049" s="14"/>
      <c r="I1049" s="14">
        <v>201407</v>
      </c>
      <c r="J1049" s="15">
        <v>683.14</v>
      </c>
      <c r="K1049" s="21">
        <f t="shared" si="101"/>
        <v>42675</v>
      </c>
      <c r="L1049" s="16">
        <f t="shared" si="102"/>
        <v>6</v>
      </c>
      <c r="M1049" s="17">
        <v>2.3833299999999999E-3</v>
      </c>
      <c r="N1049" s="18">
        <f t="shared" si="97"/>
        <v>9.7688883371999999</v>
      </c>
      <c r="O1049" s="15"/>
      <c r="P1049" s="20">
        <f t="shared" si="98"/>
        <v>0</v>
      </c>
      <c r="Q1049" s="15"/>
      <c r="R1049" s="20">
        <f t="shared" si="99"/>
        <v>0</v>
      </c>
      <c r="S1049" s="130"/>
      <c r="T1049" s="20">
        <f t="shared" si="100"/>
        <v>9.6702736624999996</v>
      </c>
    </row>
    <row r="1050" spans="1:20">
      <c r="A1050" s="13" t="s">
        <v>693</v>
      </c>
      <c r="B1050" s="14" t="s">
        <v>694</v>
      </c>
      <c r="C1050" s="14" t="s">
        <v>695</v>
      </c>
      <c r="D1050" s="13" t="s">
        <v>696</v>
      </c>
      <c r="E1050" s="14" t="s">
        <v>131</v>
      </c>
      <c r="F1050" s="13" t="s">
        <v>132</v>
      </c>
      <c r="G1050" s="14" t="s">
        <v>20</v>
      </c>
      <c r="H1050" s="14"/>
      <c r="I1050" s="14">
        <v>201407</v>
      </c>
      <c r="J1050" s="15">
        <v>105.36</v>
      </c>
      <c r="K1050" s="21">
        <f t="shared" si="101"/>
        <v>42675</v>
      </c>
      <c r="L1050" s="16">
        <f t="shared" si="102"/>
        <v>6</v>
      </c>
      <c r="M1050" s="17">
        <v>2.1916700000000002E-3</v>
      </c>
      <c r="N1050" s="18">
        <f t="shared" si="97"/>
        <v>1.3854861072000002</v>
      </c>
      <c r="O1050" s="15"/>
      <c r="P1050" s="20">
        <f t="shared" si="98"/>
        <v>0</v>
      </c>
      <c r="Q1050" s="15"/>
      <c r="R1050" s="20">
        <f t="shared" si="99"/>
        <v>0</v>
      </c>
      <c r="S1050" s="130"/>
      <c r="T1050" s="20">
        <f t="shared" si="100"/>
        <v>1.4914366499999998</v>
      </c>
    </row>
    <row r="1051" spans="1:20">
      <c r="A1051" s="13" t="s">
        <v>127</v>
      </c>
      <c r="B1051" s="14" t="s">
        <v>684</v>
      </c>
      <c r="C1051" s="14" t="s">
        <v>685</v>
      </c>
      <c r="D1051" s="13" t="s">
        <v>686</v>
      </c>
      <c r="E1051" s="14" t="s">
        <v>131</v>
      </c>
      <c r="F1051" s="13" t="s">
        <v>132</v>
      </c>
      <c r="G1051" s="14" t="s">
        <v>20</v>
      </c>
      <c r="H1051" s="14"/>
      <c r="I1051" s="14">
        <v>201407</v>
      </c>
      <c r="J1051" s="15">
        <v>888.14</v>
      </c>
      <c r="K1051" s="21">
        <f t="shared" si="101"/>
        <v>42675</v>
      </c>
      <c r="L1051" s="16">
        <f t="shared" si="102"/>
        <v>6</v>
      </c>
      <c r="M1051" s="17">
        <v>2.3833299999999999E-3</v>
      </c>
      <c r="N1051" s="18">
        <f t="shared" si="97"/>
        <v>12.7003842372</v>
      </c>
      <c r="O1051" s="15"/>
      <c r="P1051" s="20">
        <f t="shared" si="98"/>
        <v>0</v>
      </c>
      <c r="Q1051" s="15"/>
      <c r="R1051" s="20">
        <f t="shared" si="99"/>
        <v>0</v>
      </c>
      <c r="S1051" s="130"/>
      <c r="T1051" s="20">
        <f t="shared" si="100"/>
        <v>12.572176787499998</v>
      </c>
    </row>
    <row r="1052" spans="1:20">
      <c r="A1052" s="13" t="s">
        <v>127</v>
      </c>
      <c r="B1052" s="14" t="s">
        <v>128</v>
      </c>
      <c r="C1052" s="14" t="s">
        <v>129</v>
      </c>
      <c r="D1052" s="13" t="s">
        <v>130</v>
      </c>
      <c r="E1052" s="14" t="s">
        <v>131</v>
      </c>
      <c r="F1052" s="13" t="s">
        <v>132</v>
      </c>
      <c r="G1052" s="14" t="s">
        <v>20</v>
      </c>
      <c r="H1052" s="14"/>
      <c r="I1052" s="14">
        <v>201407</v>
      </c>
      <c r="J1052" s="15">
        <v>167.92</v>
      </c>
      <c r="K1052" s="21">
        <f t="shared" si="101"/>
        <v>42675</v>
      </c>
      <c r="L1052" s="16">
        <f t="shared" si="102"/>
        <v>6</v>
      </c>
      <c r="M1052" s="17">
        <v>2.3833299999999999E-3</v>
      </c>
      <c r="N1052" s="18">
        <f t="shared" si="97"/>
        <v>2.4012526415999997</v>
      </c>
      <c r="O1052" s="15"/>
      <c r="P1052" s="20">
        <f t="shared" si="98"/>
        <v>0</v>
      </c>
      <c r="Q1052" s="15"/>
      <c r="R1052" s="20">
        <f t="shared" si="99"/>
        <v>0</v>
      </c>
      <c r="S1052" s="130"/>
      <c r="T1052" s="20">
        <f t="shared" si="100"/>
        <v>2.3770125499999999</v>
      </c>
    </row>
    <row r="1053" spans="1:20">
      <c r="A1053" s="13" t="s">
        <v>693</v>
      </c>
      <c r="B1053" s="14" t="s">
        <v>842</v>
      </c>
      <c r="C1053" s="14" t="s">
        <v>843</v>
      </c>
      <c r="D1053" s="13" t="s">
        <v>844</v>
      </c>
      <c r="E1053" s="14" t="s">
        <v>131</v>
      </c>
      <c r="F1053" s="13" t="s">
        <v>132</v>
      </c>
      <c r="G1053" s="14" t="s">
        <v>20</v>
      </c>
      <c r="H1053" s="14"/>
      <c r="I1053" s="14">
        <v>201407</v>
      </c>
      <c r="J1053" s="15">
        <v>0</v>
      </c>
      <c r="K1053" s="21">
        <f t="shared" si="101"/>
        <v>42675</v>
      </c>
      <c r="L1053" s="16">
        <f t="shared" si="102"/>
        <v>6</v>
      </c>
      <c r="M1053" s="17">
        <v>2.1916700000000002E-3</v>
      </c>
      <c r="N1053" s="18">
        <f t="shared" si="97"/>
        <v>0</v>
      </c>
      <c r="O1053" s="15"/>
      <c r="P1053" s="20">
        <f t="shared" si="98"/>
        <v>0</v>
      </c>
      <c r="Q1053" s="15"/>
      <c r="R1053" s="20">
        <f t="shared" si="99"/>
        <v>0</v>
      </c>
      <c r="S1053" s="130"/>
      <c r="T1053" s="20">
        <f t="shared" si="100"/>
        <v>0</v>
      </c>
    </row>
    <row r="1054" spans="1:20">
      <c r="A1054" s="13" t="s">
        <v>127</v>
      </c>
      <c r="B1054" s="14" t="s">
        <v>422</v>
      </c>
      <c r="C1054" s="14" t="s">
        <v>423</v>
      </c>
      <c r="D1054" s="13" t="s">
        <v>424</v>
      </c>
      <c r="E1054" s="14" t="s">
        <v>131</v>
      </c>
      <c r="F1054" s="13" t="s">
        <v>132</v>
      </c>
      <c r="G1054" s="14" t="s">
        <v>20</v>
      </c>
      <c r="H1054" s="14"/>
      <c r="I1054" s="14">
        <v>201407</v>
      </c>
      <c r="J1054" s="15">
        <v>166.87</v>
      </c>
      <c r="K1054" s="21">
        <f t="shared" si="101"/>
        <v>42675</v>
      </c>
      <c r="L1054" s="16">
        <f t="shared" si="102"/>
        <v>6</v>
      </c>
      <c r="M1054" s="17">
        <v>2.3833299999999999E-3</v>
      </c>
      <c r="N1054" s="18">
        <f t="shared" si="97"/>
        <v>2.3862376626000001</v>
      </c>
      <c r="O1054" s="15"/>
      <c r="P1054" s="20">
        <f t="shared" si="98"/>
        <v>0</v>
      </c>
      <c r="Q1054" s="15"/>
      <c r="R1054" s="20">
        <f t="shared" si="99"/>
        <v>0</v>
      </c>
      <c r="S1054" s="130"/>
      <c r="T1054" s="20">
        <f t="shared" si="100"/>
        <v>2.36214914375</v>
      </c>
    </row>
    <row r="1055" spans="1:20">
      <c r="A1055" s="13" t="s">
        <v>21</v>
      </c>
      <c r="B1055" s="14" t="s">
        <v>620</v>
      </c>
      <c r="C1055" s="14" t="s">
        <v>621</v>
      </c>
      <c r="D1055" s="13" t="s">
        <v>622</v>
      </c>
      <c r="E1055" s="14" t="s">
        <v>209</v>
      </c>
      <c r="F1055" s="13" t="s">
        <v>88</v>
      </c>
      <c r="G1055" s="14" t="s">
        <v>20</v>
      </c>
      <c r="H1055" s="14"/>
      <c r="I1055" s="14">
        <v>201407</v>
      </c>
      <c r="J1055" s="15">
        <v>0.03</v>
      </c>
      <c r="K1055" s="21">
        <f t="shared" si="101"/>
        <v>42675</v>
      </c>
      <c r="L1055" s="16">
        <f t="shared" si="102"/>
        <v>6</v>
      </c>
      <c r="M1055" s="17">
        <v>1.4833299999999999E-3</v>
      </c>
      <c r="N1055" s="18">
        <f t="shared" si="97"/>
        <v>2.669994E-4</v>
      </c>
      <c r="O1055" s="15"/>
      <c r="P1055" s="20">
        <f t="shared" si="98"/>
        <v>0</v>
      </c>
      <c r="Q1055" s="15"/>
      <c r="R1055" s="20">
        <f t="shared" si="99"/>
        <v>0</v>
      </c>
      <c r="S1055" s="130"/>
      <c r="T1055" s="20">
        <f t="shared" si="100"/>
        <v>4.2466874999999994E-4</v>
      </c>
    </row>
    <row r="1056" spans="1:20">
      <c r="A1056" s="13" t="s">
        <v>21</v>
      </c>
      <c r="B1056" s="14" t="s">
        <v>332</v>
      </c>
      <c r="C1056" s="14" t="s">
        <v>333</v>
      </c>
      <c r="D1056" s="13" t="s">
        <v>334</v>
      </c>
      <c r="E1056" s="14" t="s">
        <v>209</v>
      </c>
      <c r="F1056" s="13" t="s">
        <v>88</v>
      </c>
      <c r="G1056" s="14" t="s">
        <v>20</v>
      </c>
      <c r="H1056" s="14"/>
      <c r="I1056" s="14">
        <v>201407</v>
      </c>
      <c r="J1056" s="15">
        <v>351.32</v>
      </c>
      <c r="K1056" s="21">
        <f t="shared" si="101"/>
        <v>42675</v>
      </c>
      <c r="L1056" s="16">
        <f t="shared" si="102"/>
        <v>6</v>
      </c>
      <c r="M1056" s="17">
        <v>1.4833299999999999E-3</v>
      </c>
      <c r="N1056" s="18">
        <f t="shared" si="97"/>
        <v>3.1267409736</v>
      </c>
      <c r="O1056" s="15"/>
      <c r="P1056" s="20">
        <f t="shared" si="98"/>
        <v>0</v>
      </c>
      <c r="Q1056" s="15"/>
      <c r="R1056" s="20">
        <f t="shared" si="99"/>
        <v>0</v>
      </c>
      <c r="S1056" s="130"/>
      <c r="T1056" s="20">
        <f t="shared" si="100"/>
        <v>4.9731541749999995</v>
      </c>
    </row>
    <row r="1057" spans="1:20">
      <c r="A1057" s="13" t="s">
        <v>21</v>
      </c>
      <c r="B1057" s="14" t="s">
        <v>744</v>
      </c>
      <c r="C1057" s="14" t="s">
        <v>745</v>
      </c>
      <c r="D1057" s="13" t="s">
        <v>746</v>
      </c>
      <c r="E1057" s="14" t="s">
        <v>209</v>
      </c>
      <c r="F1057" s="13" t="s">
        <v>88</v>
      </c>
      <c r="G1057" s="14" t="s">
        <v>20</v>
      </c>
      <c r="H1057" s="14"/>
      <c r="I1057" s="14">
        <v>201407</v>
      </c>
      <c r="J1057" s="15">
        <v>-91.59</v>
      </c>
      <c r="K1057" s="21">
        <f t="shared" si="101"/>
        <v>42675</v>
      </c>
      <c r="L1057" s="16">
        <f t="shared" si="102"/>
        <v>6</v>
      </c>
      <c r="M1057" s="17">
        <v>1.4833299999999999E-3</v>
      </c>
      <c r="N1057" s="18">
        <f t="shared" si="97"/>
        <v>-0.81514916820000005</v>
      </c>
      <c r="O1057" s="15"/>
      <c r="P1057" s="20">
        <f t="shared" si="98"/>
        <v>0</v>
      </c>
      <c r="Q1057" s="15"/>
      <c r="R1057" s="20">
        <f t="shared" si="99"/>
        <v>0</v>
      </c>
      <c r="S1057" s="130"/>
      <c r="T1057" s="20">
        <f t="shared" si="100"/>
        <v>-1.2965136937499999</v>
      </c>
    </row>
    <row r="1058" spans="1:20">
      <c r="A1058" s="13" t="s">
        <v>626</v>
      </c>
      <c r="B1058" s="14" t="s">
        <v>773</v>
      </c>
      <c r="C1058" s="14" t="s">
        <v>774</v>
      </c>
      <c r="D1058" s="13" t="s">
        <v>775</v>
      </c>
      <c r="E1058" s="14" t="s">
        <v>209</v>
      </c>
      <c r="F1058" s="13" t="s">
        <v>88</v>
      </c>
      <c r="G1058" s="14" t="s">
        <v>20</v>
      </c>
      <c r="H1058" s="14"/>
      <c r="I1058" s="14">
        <v>201407</v>
      </c>
      <c r="J1058" s="15">
        <v>41302.519999999997</v>
      </c>
      <c r="K1058" s="21">
        <f t="shared" si="101"/>
        <v>42675</v>
      </c>
      <c r="L1058" s="16">
        <f t="shared" si="102"/>
        <v>6</v>
      </c>
      <c r="M1058" s="17">
        <v>1.4833299999999999E-3</v>
      </c>
      <c r="N1058" s="18">
        <f t="shared" si="97"/>
        <v>367.59160194959998</v>
      </c>
      <c r="O1058" s="15"/>
      <c r="P1058" s="20">
        <f t="shared" si="98"/>
        <v>0</v>
      </c>
      <c r="Q1058" s="15"/>
      <c r="R1058" s="20">
        <f t="shared" si="99"/>
        <v>0</v>
      </c>
      <c r="S1058" s="130"/>
      <c r="T1058" s="20">
        <f t="shared" si="100"/>
        <v>584.66298467499996</v>
      </c>
    </row>
    <row r="1059" spans="1:20">
      <c r="A1059" s="13" t="s">
        <v>21</v>
      </c>
      <c r="B1059" s="14" t="s">
        <v>206</v>
      </c>
      <c r="C1059" s="14" t="s">
        <v>207</v>
      </c>
      <c r="D1059" s="13" t="s">
        <v>208</v>
      </c>
      <c r="E1059" s="14" t="s">
        <v>209</v>
      </c>
      <c r="F1059" s="13" t="s">
        <v>88</v>
      </c>
      <c r="G1059" s="14" t="s">
        <v>20</v>
      </c>
      <c r="H1059" s="14"/>
      <c r="I1059" s="14">
        <v>201407</v>
      </c>
      <c r="J1059" s="15">
        <v>1304.19</v>
      </c>
      <c r="K1059" s="21">
        <f t="shared" si="101"/>
        <v>42675</v>
      </c>
      <c r="L1059" s="16">
        <f t="shared" si="102"/>
        <v>6</v>
      </c>
      <c r="M1059" s="17">
        <v>1.4833299999999999E-3</v>
      </c>
      <c r="N1059" s="18">
        <f t="shared" si="97"/>
        <v>11.6072649162</v>
      </c>
      <c r="O1059" s="15"/>
      <c r="P1059" s="20">
        <f t="shared" si="98"/>
        <v>0</v>
      </c>
      <c r="Q1059" s="15"/>
      <c r="R1059" s="20">
        <f t="shared" si="99"/>
        <v>0</v>
      </c>
      <c r="S1059" s="130"/>
      <c r="T1059" s="20">
        <f t="shared" si="100"/>
        <v>18.46162456875</v>
      </c>
    </row>
    <row r="1060" spans="1:20">
      <c r="A1060" s="13" t="s">
        <v>21</v>
      </c>
      <c r="B1060" s="14" t="s">
        <v>617</v>
      </c>
      <c r="C1060" s="14" t="s">
        <v>618</v>
      </c>
      <c r="D1060" s="13" t="s">
        <v>619</v>
      </c>
      <c r="E1060" s="14" t="s">
        <v>87</v>
      </c>
      <c r="F1060" s="13" t="s">
        <v>88</v>
      </c>
      <c r="G1060" s="14" t="s">
        <v>20</v>
      </c>
      <c r="H1060" s="14"/>
      <c r="I1060" s="14">
        <v>201407</v>
      </c>
      <c r="J1060" s="15">
        <v>0.02</v>
      </c>
      <c r="K1060" s="21">
        <f t="shared" si="101"/>
        <v>42675</v>
      </c>
      <c r="L1060" s="16">
        <f t="shared" si="102"/>
        <v>6</v>
      </c>
      <c r="M1060" s="17">
        <v>1.4833299999999999E-3</v>
      </c>
      <c r="N1060" s="18">
        <f t="shared" si="97"/>
        <v>1.7799960000000002E-4</v>
      </c>
      <c r="O1060" s="15"/>
      <c r="P1060" s="20">
        <f t="shared" si="98"/>
        <v>0</v>
      </c>
      <c r="Q1060" s="15"/>
      <c r="R1060" s="20">
        <f t="shared" si="99"/>
        <v>0</v>
      </c>
      <c r="S1060" s="130"/>
      <c r="T1060" s="20">
        <f t="shared" si="100"/>
        <v>2.8311249999999998E-4</v>
      </c>
    </row>
    <row r="1061" spans="1:20">
      <c r="A1061" s="13" t="s">
        <v>21</v>
      </c>
      <c r="B1061" s="14" t="s">
        <v>558</v>
      </c>
      <c r="C1061" s="14" t="s">
        <v>559</v>
      </c>
      <c r="D1061" s="13" t="s">
        <v>560</v>
      </c>
      <c r="E1061" s="14" t="s">
        <v>87</v>
      </c>
      <c r="F1061" s="13" t="s">
        <v>88</v>
      </c>
      <c r="G1061" s="14" t="s">
        <v>20</v>
      </c>
      <c r="H1061" s="14"/>
      <c r="I1061" s="14">
        <v>201407</v>
      </c>
      <c r="J1061" s="15">
        <v>595.59</v>
      </c>
      <c r="K1061" s="21">
        <f t="shared" si="101"/>
        <v>42675</v>
      </c>
      <c r="L1061" s="16">
        <f t="shared" si="102"/>
        <v>6</v>
      </c>
      <c r="M1061" s="17">
        <v>1.4833299999999999E-3</v>
      </c>
      <c r="N1061" s="18">
        <f t="shared" si="97"/>
        <v>5.3007390882000003</v>
      </c>
      <c r="O1061" s="15"/>
      <c r="P1061" s="20">
        <f t="shared" si="98"/>
        <v>0</v>
      </c>
      <c r="Q1061" s="15"/>
      <c r="R1061" s="20">
        <f t="shared" si="99"/>
        <v>0</v>
      </c>
      <c r="S1061" s="130"/>
      <c r="T1061" s="20">
        <f t="shared" si="100"/>
        <v>8.4309486937500004</v>
      </c>
    </row>
    <row r="1062" spans="1:20">
      <c r="A1062" s="13" t="s">
        <v>21</v>
      </c>
      <c r="B1062" s="14" t="s">
        <v>666</v>
      </c>
      <c r="C1062" s="14" t="s">
        <v>667</v>
      </c>
      <c r="D1062" s="13" t="s">
        <v>668</v>
      </c>
      <c r="E1062" s="14" t="s">
        <v>87</v>
      </c>
      <c r="F1062" s="13" t="s">
        <v>88</v>
      </c>
      <c r="G1062" s="14" t="s">
        <v>20</v>
      </c>
      <c r="H1062" s="14"/>
      <c r="I1062" s="14">
        <v>201407</v>
      </c>
      <c r="J1062" s="15">
        <v>-41.04</v>
      </c>
      <c r="K1062" s="21">
        <f t="shared" si="101"/>
        <v>42675</v>
      </c>
      <c r="L1062" s="16">
        <f t="shared" si="102"/>
        <v>6</v>
      </c>
      <c r="M1062" s="17">
        <v>1.4833299999999999E-3</v>
      </c>
      <c r="N1062" s="18">
        <f t="shared" si="97"/>
        <v>-0.3652551792</v>
      </c>
      <c r="O1062" s="15"/>
      <c r="P1062" s="20">
        <f t="shared" si="98"/>
        <v>0</v>
      </c>
      <c r="Q1062" s="15"/>
      <c r="R1062" s="20">
        <f t="shared" si="99"/>
        <v>0</v>
      </c>
      <c r="S1062" s="130"/>
      <c r="T1062" s="20">
        <f t="shared" si="100"/>
        <v>-0.58094685000000001</v>
      </c>
    </row>
    <row r="1063" spans="1:20">
      <c r="A1063" s="13" t="s">
        <v>21</v>
      </c>
      <c r="B1063" s="14" t="s">
        <v>491</v>
      </c>
      <c r="C1063" s="14" t="s">
        <v>492</v>
      </c>
      <c r="D1063" s="13" t="s">
        <v>493</v>
      </c>
      <c r="E1063" s="14" t="s">
        <v>87</v>
      </c>
      <c r="F1063" s="13" t="s">
        <v>88</v>
      </c>
      <c r="G1063" s="14" t="s">
        <v>20</v>
      </c>
      <c r="H1063" s="14"/>
      <c r="I1063" s="14">
        <v>201407</v>
      </c>
      <c r="J1063" s="15">
        <v>-1737.31</v>
      </c>
      <c r="K1063" s="21">
        <f t="shared" si="101"/>
        <v>42675</v>
      </c>
      <c r="L1063" s="16">
        <f t="shared" si="102"/>
        <v>6</v>
      </c>
      <c r="M1063" s="17">
        <v>1.4833299999999999E-3</v>
      </c>
      <c r="N1063" s="18">
        <f t="shared" si="97"/>
        <v>-15.462024253799999</v>
      </c>
      <c r="O1063" s="15"/>
      <c r="P1063" s="20">
        <f t="shared" si="98"/>
        <v>0</v>
      </c>
      <c r="Q1063" s="15"/>
      <c r="R1063" s="20">
        <f t="shared" si="99"/>
        <v>0</v>
      </c>
      <c r="S1063" s="130"/>
      <c r="T1063" s="20">
        <f t="shared" si="100"/>
        <v>-24.592708868749998</v>
      </c>
    </row>
    <row r="1064" spans="1:20">
      <c r="A1064" s="13" t="s">
        <v>21</v>
      </c>
      <c r="B1064" s="14" t="s">
        <v>845</v>
      </c>
      <c r="C1064" s="14" t="s">
        <v>846</v>
      </c>
      <c r="D1064" s="13" t="s">
        <v>847</v>
      </c>
      <c r="E1064" s="14" t="s">
        <v>87</v>
      </c>
      <c r="F1064" s="13" t="s">
        <v>88</v>
      </c>
      <c r="G1064" s="14" t="s">
        <v>20</v>
      </c>
      <c r="H1064" s="14"/>
      <c r="I1064" s="14">
        <v>201407</v>
      </c>
      <c r="J1064" s="15">
        <v>182515.69</v>
      </c>
      <c r="K1064" s="21">
        <f t="shared" si="101"/>
        <v>42675</v>
      </c>
      <c r="L1064" s="16">
        <f t="shared" si="102"/>
        <v>6</v>
      </c>
      <c r="M1064" s="17">
        <v>1.4833299999999999E-3</v>
      </c>
      <c r="N1064" s="18">
        <f t="shared" si="97"/>
        <v>1624.3859906862001</v>
      </c>
      <c r="O1064" s="15"/>
      <c r="P1064" s="20">
        <f t="shared" si="98"/>
        <v>0</v>
      </c>
      <c r="Q1064" s="15"/>
      <c r="R1064" s="20">
        <f t="shared" si="99"/>
        <v>0</v>
      </c>
      <c r="S1064" s="130"/>
      <c r="T1064" s="20">
        <f t="shared" si="100"/>
        <v>2583.6236642562499</v>
      </c>
    </row>
    <row r="1065" spans="1:20">
      <c r="A1065" s="13" t="s">
        <v>21</v>
      </c>
      <c r="B1065" s="14" t="s">
        <v>574</v>
      </c>
      <c r="C1065" s="14" t="s">
        <v>575</v>
      </c>
      <c r="D1065" s="13" t="s">
        <v>576</v>
      </c>
      <c r="E1065" s="14" t="s">
        <v>87</v>
      </c>
      <c r="F1065" s="13" t="s">
        <v>88</v>
      </c>
      <c r="G1065" s="14" t="s">
        <v>20</v>
      </c>
      <c r="H1065" s="14"/>
      <c r="I1065" s="14">
        <v>201407</v>
      </c>
      <c r="J1065" s="15">
        <v>-8946.32</v>
      </c>
      <c r="K1065" s="21">
        <f t="shared" si="101"/>
        <v>42675</v>
      </c>
      <c r="L1065" s="16">
        <f t="shared" si="102"/>
        <v>6</v>
      </c>
      <c r="M1065" s="17">
        <v>1.4833299999999999E-3</v>
      </c>
      <c r="N1065" s="18">
        <f t="shared" si="97"/>
        <v>-79.622069073600002</v>
      </c>
      <c r="O1065" s="15"/>
      <c r="P1065" s="20">
        <f t="shared" si="98"/>
        <v>0</v>
      </c>
      <c r="Q1065" s="15"/>
      <c r="R1065" s="20">
        <f t="shared" si="99"/>
        <v>0</v>
      </c>
      <c r="S1065" s="130"/>
      <c r="T1065" s="20">
        <f t="shared" si="100"/>
        <v>-126.64075104999999</v>
      </c>
    </row>
    <row r="1066" spans="1:20">
      <c r="A1066" s="13" t="s">
        <v>626</v>
      </c>
      <c r="B1066" s="14" t="s">
        <v>574</v>
      </c>
      <c r="C1066" s="14" t="s">
        <v>575</v>
      </c>
      <c r="D1066" s="13" t="s">
        <v>576</v>
      </c>
      <c r="E1066" s="14" t="s">
        <v>87</v>
      </c>
      <c r="F1066" s="13" t="s">
        <v>88</v>
      </c>
      <c r="G1066" s="14" t="s">
        <v>20</v>
      </c>
      <c r="H1066" s="14"/>
      <c r="I1066" s="14">
        <v>201407</v>
      </c>
      <c r="J1066" s="15">
        <v>11040.61</v>
      </c>
      <c r="K1066" s="21">
        <f t="shared" si="101"/>
        <v>42675</v>
      </c>
      <c r="L1066" s="16">
        <f t="shared" si="102"/>
        <v>6</v>
      </c>
      <c r="M1066" s="17">
        <v>1.4833299999999999E-3</v>
      </c>
      <c r="N1066" s="18">
        <f t="shared" si="97"/>
        <v>98.261208187800008</v>
      </c>
      <c r="O1066" s="15"/>
      <c r="P1066" s="20">
        <f t="shared" si="98"/>
        <v>0</v>
      </c>
      <c r="Q1066" s="15"/>
      <c r="R1066" s="20">
        <f t="shared" si="99"/>
        <v>0</v>
      </c>
      <c r="S1066" s="130"/>
      <c r="T1066" s="20">
        <f t="shared" si="100"/>
        <v>156.28673493124998</v>
      </c>
    </row>
    <row r="1067" spans="1:20">
      <c r="A1067" s="23" t="s">
        <v>29</v>
      </c>
      <c r="B1067" s="14" t="s">
        <v>717</v>
      </c>
      <c r="C1067" s="14" t="s">
        <v>718</v>
      </c>
      <c r="D1067" s="13" t="s">
        <v>719</v>
      </c>
      <c r="E1067" s="14" t="s">
        <v>87</v>
      </c>
      <c r="F1067" s="13" t="s">
        <v>88</v>
      </c>
      <c r="G1067" s="14" t="s">
        <v>20</v>
      </c>
      <c r="H1067" s="14"/>
      <c r="I1067" s="14">
        <v>201407</v>
      </c>
      <c r="J1067" s="15">
        <v>871.91</v>
      </c>
      <c r="K1067" s="21">
        <f t="shared" si="101"/>
        <v>42675</v>
      </c>
      <c r="L1067" s="16">
        <f t="shared" si="102"/>
        <v>6</v>
      </c>
      <c r="M1067" s="17">
        <v>2.23333E-3</v>
      </c>
      <c r="N1067" s="18">
        <f t="shared" si="97"/>
        <v>11.683576561799999</v>
      </c>
      <c r="O1067" s="15"/>
      <c r="P1067" s="20">
        <f t="shared" si="98"/>
        <v>0</v>
      </c>
      <c r="Q1067" s="15"/>
      <c r="R1067" s="20">
        <f t="shared" si="99"/>
        <v>0</v>
      </c>
      <c r="S1067" s="130"/>
      <c r="T1067" s="20">
        <f t="shared" si="100"/>
        <v>12.342430993749998</v>
      </c>
    </row>
    <row r="1068" spans="1:20">
      <c r="A1068" s="13" t="s">
        <v>21</v>
      </c>
      <c r="B1068" s="14" t="s">
        <v>203</v>
      </c>
      <c r="C1068" s="14" t="s">
        <v>204</v>
      </c>
      <c r="D1068" s="13" t="s">
        <v>205</v>
      </c>
      <c r="E1068" s="14" t="s">
        <v>93</v>
      </c>
      <c r="F1068" s="13" t="s">
        <v>88</v>
      </c>
      <c r="G1068" s="14" t="s">
        <v>20</v>
      </c>
      <c r="H1068" s="14"/>
      <c r="I1068" s="14">
        <v>201407</v>
      </c>
      <c r="J1068" s="15">
        <v>0.17</v>
      </c>
      <c r="K1068" s="21">
        <f t="shared" si="101"/>
        <v>42675</v>
      </c>
      <c r="L1068" s="16">
        <f t="shared" si="102"/>
        <v>6</v>
      </c>
      <c r="M1068" s="17">
        <v>1.4833299999999999E-3</v>
      </c>
      <c r="N1068" s="18">
        <f t="shared" si="97"/>
        <v>1.5129966000000002E-3</v>
      </c>
      <c r="O1068" s="15"/>
      <c r="P1068" s="20">
        <f t="shared" si="98"/>
        <v>0</v>
      </c>
      <c r="Q1068" s="15"/>
      <c r="R1068" s="20">
        <f t="shared" si="99"/>
        <v>0</v>
      </c>
      <c r="S1068" s="130"/>
      <c r="T1068" s="20">
        <f t="shared" si="100"/>
        <v>2.4064562499999998E-3</v>
      </c>
    </row>
    <row r="1069" spans="1:20">
      <c r="A1069" s="13" t="s">
        <v>21</v>
      </c>
      <c r="B1069" s="14" t="s">
        <v>174</v>
      </c>
      <c r="C1069" s="14" t="s">
        <v>175</v>
      </c>
      <c r="D1069" s="13" t="s">
        <v>176</v>
      </c>
      <c r="E1069" s="14" t="s">
        <v>93</v>
      </c>
      <c r="F1069" s="13" t="s">
        <v>88</v>
      </c>
      <c r="G1069" s="14" t="s">
        <v>20</v>
      </c>
      <c r="H1069" s="14"/>
      <c r="I1069" s="14">
        <v>201407</v>
      </c>
      <c r="J1069" s="15">
        <v>449.37</v>
      </c>
      <c r="K1069" s="21">
        <f t="shared" si="101"/>
        <v>42675</v>
      </c>
      <c r="L1069" s="16">
        <f t="shared" si="102"/>
        <v>6</v>
      </c>
      <c r="M1069" s="17">
        <v>1.4833299999999999E-3</v>
      </c>
      <c r="N1069" s="18">
        <f t="shared" si="97"/>
        <v>3.9993840126000002</v>
      </c>
      <c r="O1069" s="15"/>
      <c r="P1069" s="20">
        <f t="shared" si="98"/>
        <v>0</v>
      </c>
      <c r="Q1069" s="15"/>
      <c r="R1069" s="20">
        <f t="shared" si="99"/>
        <v>0</v>
      </c>
      <c r="S1069" s="130"/>
      <c r="T1069" s="20">
        <f t="shared" si="100"/>
        <v>6.3611132062499998</v>
      </c>
    </row>
    <row r="1070" spans="1:20">
      <c r="A1070" s="13" t="s">
        <v>21</v>
      </c>
      <c r="B1070" s="14" t="s">
        <v>90</v>
      </c>
      <c r="C1070" s="14" t="s">
        <v>91</v>
      </c>
      <c r="D1070" s="13" t="s">
        <v>92</v>
      </c>
      <c r="E1070" s="14" t="s">
        <v>93</v>
      </c>
      <c r="F1070" s="13" t="s">
        <v>88</v>
      </c>
      <c r="G1070" s="14" t="s">
        <v>20</v>
      </c>
      <c r="H1070" s="14"/>
      <c r="I1070" s="14">
        <v>201407</v>
      </c>
      <c r="J1070" s="15">
        <v>155.51</v>
      </c>
      <c r="K1070" s="21">
        <f t="shared" si="101"/>
        <v>42675</v>
      </c>
      <c r="L1070" s="16">
        <f t="shared" si="102"/>
        <v>6</v>
      </c>
      <c r="M1070" s="17">
        <v>1.4833299999999999E-3</v>
      </c>
      <c r="N1070" s="18">
        <f t="shared" si="97"/>
        <v>1.3840358898</v>
      </c>
      <c r="O1070" s="15"/>
      <c r="P1070" s="20">
        <f t="shared" si="98"/>
        <v>0</v>
      </c>
      <c r="Q1070" s="15"/>
      <c r="R1070" s="20">
        <f t="shared" si="99"/>
        <v>0</v>
      </c>
      <c r="S1070" s="130"/>
      <c r="T1070" s="20">
        <f t="shared" si="100"/>
        <v>2.20134124375</v>
      </c>
    </row>
    <row r="1071" spans="1:20">
      <c r="A1071" s="13" t="s">
        <v>626</v>
      </c>
      <c r="B1071" s="14" t="s">
        <v>848</v>
      </c>
      <c r="C1071" s="14" t="s">
        <v>849</v>
      </c>
      <c r="D1071" s="13" t="s">
        <v>850</v>
      </c>
      <c r="E1071" s="14" t="s">
        <v>93</v>
      </c>
      <c r="F1071" s="13" t="s">
        <v>88</v>
      </c>
      <c r="G1071" s="14" t="s">
        <v>20</v>
      </c>
      <c r="H1071" s="14"/>
      <c r="I1071" s="14">
        <v>201407</v>
      </c>
      <c r="J1071" s="15">
        <v>15693.94</v>
      </c>
      <c r="K1071" s="21">
        <f t="shared" si="101"/>
        <v>42675</v>
      </c>
      <c r="L1071" s="16">
        <f t="shared" si="102"/>
        <v>6</v>
      </c>
      <c r="M1071" s="17">
        <v>1.4833299999999999E-3</v>
      </c>
      <c r="N1071" s="18">
        <f t="shared" si="97"/>
        <v>139.67575212119999</v>
      </c>
      <c r="O1071" s="15"/>
      <c r="P1071" s="20">
        <f t="shared" si="98"/>
        <v>0</v>
      </c>
      <c r="Q1071" s="15"/>
      <c r="R1071" s="20">
        <f t="shared" si="99"/>
        <v>0</v>
      </c>
      <c r="S1071" s="130"/>
      <c r="T1071" s="20">
        <f t="shared" si="100"/>
        <v>222.1575294125</v>
      </c>
    </row>
    <row r="1072" spans="1:20">
      <c r="A1072" s="13" t="s">
        <v>21</v>
      </c>
      <c r="B1072" s="14" t="s">
        <v>488</v>
      </c>
      <c r="C1072" s="14" t="s">
        <v>489</v>
      </c>
      <c r="D1072" s="13" t="s">
        <v>490</v>
      </c>
      <c r="E1072" s="14" t="s">
        <v>93</v>
      </c>
      <c r="F1072" s="13" t="s">
        <v>88</v>
      </c>
      <c r="G1072" s="14" t="s">
        <v>20</v>
      </c>
      <c r="H1072" s="14"/>
      <c r="I1072" s="14">
        <v>201407</v>
      </c>
      <c r="J1072" s="15">
        <v>642.95000000000005</v>
      </c>
      <c r="K1072" s="21">
        <f t="shared" si="101"/>
        <v>42675</v>
      </c>
      <c r="L1072" s="16">
        <f t="shared" si="102"/>
        <v>6</v>
      </c>
      <c r="M1072" s="17">
        <v>1.4833299999999999E-3</v>
      </c>
      <c r="N1072" s="18">
        <f t="shared" si="97"/>
        <v>5.7222421410000006</v>
      </c>
      <c r="O1072" s="15"/>
      <c r="P1072" s="20">
        <f t="shared" si="98"/>
        <v>0</v>
      </c>
      <c r="Q1072" s="15"/>
      <c r="R1072" s="20">
        <f t="shared" si="99"/>
        <v>0</v>
      </c>
      <c r="S1072" s="130"/>
      <c r="T1072" s="20">
        <f t="shared" si="100"/>
        <v>9.1013590937500002</v>
      </c>
    </row>
    <row r="1073" spans="1:20">
      <c r="A1073" s="13" t="s">
        <v>21</v>
      </c>
      <c r="B1073" s="14" t="s">
        <v>434</v>
      </c>
      <c r="C1073" s="14" t="s">
        <v>435</v>
      </c>
      <c r="D1073" s="13" t="s">
        <v>436</v>
      </c>
      <c r="E1073" s="14" t="s">
        <v>93</v>
      </c>
      <c r="F1073" s="13" t="s">
        <v>88</v>
      </c>
      <c r="G1073" s="14" t="s">
        <v>20</v>
      </c>
      <c r="H1073" s="14"/>
      <c r="I1073" s="14">
        <v>201407</v>
      </c>
      <c r="J1073" s="15">
        <v>413.63</v>
      </c>
      <c r="K1073" s="21">
        <f t="shared" si="101"/>
        <v>42675</v>
      </c>
      <c r="L1073" s="16">
        <f t="shared" si="102"/>
        <v>6</v>
      </c>
      <c r="M1073" s="17">
        <v>1.4833299999999999E-3</v>
      </c>
      <c r="N1073" s="18">
        <f t="shared" si="97"/>
        <v>3.6812987274000002</v>
      </c>
      <c r="O1073" s="15"/>
      <c r="P1073" s="20">
        <f t="shared" si="98"/>
        <v>0</v>
      </c>
      <c r="Q1073" s="15"/>
      <c r="R1073" s="20">
        <f t="shared" si="99"/>
        <v>0</v>
      </c>
      <c r="S1073" s="130"/>
      <c r="T1073" s="20">
        <f t="shared" si="100"/>
        <v>5.8551911687499993</v>
      </c>
    </row>
    <row r="1074" spans="1:20">
      <c r="A1074" s="13" t="s">
        <v>21</v>
      </c>
      <c r="B1074" s="14" t="s">
        <v>851</v>
      </c>
      <c r="C1074" s="14" t="s">
        <v>852</v>
      </c>
      <c r="D1074" s="13" t="s">
        <v>853</v>
      </c>
      <c r="E1074" s="14" t="s">
        <v>415</v>
      </c>
      <c r="F1074" s="13" t="s">
        <v>88</v>
      </c>
      <c r="G1074" s="14" t="s">
        <v>20</v>
      </c>
      <c r="H1074" s="14"/>
      <c r="I1074" s="14">
        <v>201407</v>
      </c>
      <c r="J1074" s="15">
        <v>3154.69</v>
      </c>
      <c r="K1074" s="21">
        <f t="shared" si="101"/>
        <v>42675</v>
      </c>
      <c r="L1074" s="16">
        <f t="shared" si="102"/>
        <v>6</v>
      </c>
      <c r="M1074" s="17">
        <v>1.4833299999999999E-3</v>
      </c>
      <c r="N1074" s="18">
        <f t="shared" si="97"/>
        <v>28.0766779062</v>
      </c>
      <c r="O1074" s="15"/>
      <c r="P1074" s="20">
        <f t="shared" si="98"/>
        <v>0</v>
      </c>
      <c r="Q1074" s="15"/>
      <c r="R1074" s="20">
        <f t="shared" si="99"/>
        <v>0</v>
      </c>
      <c r="S1074" s="130"/>
      <c r="T1074" s="20">
        <f t="shared" si="100"/>
        <v>44.656608631249995</v>
      </c>
    </row>
    <row r="1075" spans="1:20">
      <c r="A1075" s="13" t="s">
        <v>626</v>
      </c>
      <c r="B1075" s="14" t="s">
        <v>741</v>
      </c>
      <c r="C1075" s="14" t="s">
        <v>742</v>
      </c>
      <c r="D1075" s="13" t="s">
        <v>743</v>
      </c>
      <c r="E1075" s="14" t="s">
        <v>415</v>
      </c>
      <c r="F1075" s="13" t="s">
        <v>88</v>
      </c>
      <c r="G1075" s="14" t="s">
        <v>20</v>
      </c>
      <c r="H1075" s="14"/>
      <c r="I1075" s="14">
        <v>201407</v>
      </c>
      <c r="J1075" s="15">
        <v>1606.9</v>
      </c>
      <c r="K1075" s="21">
        <f t="shared" si="101"/>
        <v>42675</v>
      </c>
      <c r="L1075" s="16">
        <f t="shared" si="102"/>
        <v>6</v>
      </c>
      <c r="M1075" s="17">
        <v>1.4833299999999999E-3</v>
      </c>
      <c r="N1075" s="18">
        <f t="shared" si="97"/>
        <v>14.301377862000001</v>
      </c>
      <c r="O1075" s="15"/>
      <c r="P1075" s="20">
        <f t="shared" si="98"/>
        <v>0</v>
      </c>
      <c r="Q1075" s="15"/>
      <c r="R1075" s="20">
        <f t="shared" si="99"/>
        <v>0</v>
      </c>
      <c r="S1075" s="130"/>
      <c r="T1075" s="20">
        <f t="shared" si="100"/>
        <v>22.746673812499999</v>
      </c>
    </row>
    <row r="1076" spans="1:20">
      <c r="A1076" s="13" t="s">
        <v>21</v>
      </c>
      <c r="B1076" s="14" t="s">
        <v>412</v>
      </c>
      <c r="C1076" s="14" t="s">
        <v>413</v>
      </c>
      <c r="D1076" s="13" t="s">
        <v>414</v>
      </c>
      <c r="E1076" s="14" t="s">
        <v>415</v>
      </c>
      <c r="F1076" s="13" t="s">
        <v>88</v>
      </c>
      <c r="G1076" s="14" t="s">
        <v>20</v>
      </c>
      <c r="H1076" s="14"/>
      <c r="I1076" s="14">
        <v>201407</v>
      </c>
      <c r="J1076" s="15">
        <v>0.12</v>
      </c>
      <c r="K1076" s="21">
        <f t="shared" si="101"/>
        <v>42675</v>
      </c>
      <c r="L1076" s="16">
        <f t="shared" si="102"/>
        <v>6</v>
      </c>
      <c r="M1076" s="17">
        <v>1.4833299999999999E-3</v>
      </c>
      <c r="N1076" s="18">
        <f t="shared" si="97"/>
        <v>1.0679976E-3</v>
      </c>
      <c r="O1076" s="15"/>
      <c r="P1076" s="20">
        <f t="shared" si="98"/>
        <v>0</v>
      </c>
      <c r="Q1076" s="15"/>
      <c r="R1076" s="20">
        <f t="shared" si="99"/>
        <v>0</v>
      </c>
      <c r="S1076" s="130"/>
      <c r="T1076" s="20">
        <f t="shared" si="100"/>
        <v>1.6986749999999998E-3</v>
      </c>
    </row>
    <row r="1077" spans="1:20">
      <c r="A1077" s="13" t="s">
        <v>21</v>
      </c>
      <c r="B1077" s="14" t="s">
        <v>416</v>
      </c>
      <c r="C1077" s="14" t="s">
        <v>417</v>
      </c>
      <c r="D1077" s="13" t="s">
        <v>418</v>
      </c>
      <c r="E1077" s="14" t="s">
        <v>209</v>
      </c>
      <c r="F1077" s="13" t="s">
        <v>88</v>
      </c>
      <c r="G1077" s="14" t="s">
        <v>20</v>
      </c>
      <c r="H1077" s="14"/>
      <c r="I1077" s="14">
        <v>201407</v>
      </c>
      <c r="J1077" s="15">
        <v>486.71</v>
      </c>
      <c r="K1077" s="21">
        <f t="shared" si="101"/>
        <v>42675</v>
      </c>
      <c r="L1077" s="16">
        <f t="shared" si="102"/>
        <v>6</v>
      </c>
      <c r="M1077" s="17">
        <v>1.4833299999999999E-3</v>
      </c>
      <c r="N1077" s="18">
        <f t="shared" si="97"/>
        <v>4.3317092657999998</v>
      </c>
      <c r="O1077" s="15"/>
      <c r="P1077" s="20">
        <f t="shared" si="98"/>
        <v>0</v>
      </c>
      <c r="Q1077" s="15"/>
      <c r="R1077" s="20">
        <f t="shared" si="99"/>
        <v>0</v>
      </c>
      <c r="S1077" s="130"/>
      <c r="T1077" s="20">
        <f t="shared" si="100"/>
        <v>6.8896842437499988</v>
      </c>
    </row>
    <row r="1078" spans="1:20">
      <c r="A1078" s="13" t="s">
        <v>21</v>
      </c>
      <c r="B1078" s="14" t="s">
        <v>568</v>
      </c>
      <c r="C1078" s="14" t="s">
        <v>569</v>
      </c>
      <c r="D1078" s="13" t="s">
        <v>570</v>
      </c>
      <c r="E1078" s="14" t="s">
        <v>209</v>
      </c>
      <c r="F1078" s="13" t="s">
        <v>88</v>
      </c>
      <c r="G1078" s="14" t="s">
        <v>20</v>
      </c>
      <c r="H1078" s="14"/>
      <c r="I1078" s="14">
        <v>201407</v>
      </c>
      <c r="J1078" s="15">
        <v>76.459999999999994</v>
      </c>
      <c r="K1078" s="21">
        <f t="shared" si="101"/>
        <v>42675</v>
      </c>
      <c r="L1078" s="16">
        <f t="shared" si="102"/>
        <v>6</v>
      </c>
      <c r="M1078" s="17">
        <v>1.4833299999999999E-3</v>
      </c>
      <c r="N1078" s="18">
        <f t="shared" si="97"/>
        <v>0.68049247079999997</v>
      </c>
      <c r="O1078" s="15"/>
      <c r="P1078" s="20">
        <f t="shared" si="98"/>
        <v>0</v>
      </c>
      <c r="Q1078" s="15"/>
      <c r="R1078" s="20">
        <f t="shared" si="99"/>
        <v>0</v>
      </c>
      <c r="S1078" s="130"/>
      <c r="T1078" s="20">
        <f t="shared" si="100"/>
        <v>1.0823390874999999</v>
      </c>
    </row>
    <row r="1079" spans="1:20">
      <c r="A1079" s="13" t="s">
        <v>21</v>
      </c>
      <c r="B1079" s="14" t="s">
        <v>218</v>
      </c>
      <c r="C1079" s="14" t="s">
        <v>219</v>
      </c>
      <c r="D1079" s="13" t="s">
        <v>220</v>
      </c>
      <c r="E1079" s="14" t="s">
        <v>209</v>
      </c>
      <c r="F1079" s="13" t="s">
        <v>88</v>
      </c>
      <c r="G1079" s="14" t="s">
        <v>20</v>
      </c>
      <c r="H1079" s="14"/>
      <c r="I1079" s="14">
        <v>201407</v>
      </c>
      <c r="J1079" s="15">
        <v>160.25</v>
      </c>
      <c r="K1079" s="21">
        <f t="shared" si="101"/>
        <v>42675</v>
      </c>
      <c r="L1079" s="16">
        <f t="shared" si="102"/>
        <v>6</v>
      </c>
      <c r="M1079" s="17">
        <v>1.4833299999999999E-3</v>
      </c>
      <c r="N1079" s="18">
        <f t="shared" si="97"/>
        <v>1.426221795</v>
      </c>
      <c r="O1079" s="15"/>
      <c r="P1079" s="20">
        <f t="shared" si="98"/>
        <v>0</v>
      </c>
      <c r="Q1079" s="15"/>
      <c r="R1079" s="20">
        <f t="shared" si="99"/>
        <v>0</v>
      </c>
      <c r="S1079" s="130"/>
      <c r="T1079" s="20">
        <f t="shared" si="100"/>
        <v>2.2684389062499997</v>
      </c>
    </row>
    <row r="1080" spans="1:20">
      <c r="A1080" s="13" t="s">
        <v>626</v>
      </c>
      <c r="B1080" s="14" t="s">
        <v>764</v>
      </c>
      <c r="C1080" s="14" t="s">
        <v>765</v>
      </c>
      <c r="D1080" s="13" t="s">
        <v>766</v>
      </c>
      <c r="E1080" s="14" t="s">
        <v>209</v>
      </c>
      <c r="F1080" s="13" t="s">
        <v>88</v>
      </c>
      <c r="G1080" s="14" t="s">
        <v>20</v>
      </c>
      <c r="H1080" s="14"/>
      <c r="I1080" s="14">
        <v>201407</v>
      </c>
      <c r="J1080" s="15">
        <v>567.86</v>
      </c>
      <c r="K1080" s="21">
        <f t="shared" si="101"/>
        <v>42675</v>
      </c>
      <c r="L1080" s="16">
        <f t="shared" si="102"/>
        <v>6</v>
      </c>
      <c r="M1080" s="17">
        <v>1.4833299999999999E-3</v>
      </c>
      <c r="N1080" s="18">
        <f t="shared" si="97"/>
        <v>5.0539426428000001</v>
      </c>
      <c r="O1080" s="15"/>
      <c r="P1080" s="20">
        <f t="shared" si="98"/>
        <v>0</v>
      </c>
      <c r="Q1080" s="15"/>
      <c r="R1080" s="20">
        <f t="shared" si="99"/>
        <v>0</v>
      </c>
      <c r="S1080" s="130"/>
      <c r="T1080" s="20">
        <f t="shared" si="100"/>
        <v>8.0384132125000001</v>
      </c>
    </row>
    <row r="1081" spans="1:20">
      <c r="A1081" s="13" t="s">
        <v>21</v>
      </c>
      <c r="B1081" s="14" t="s">
        <v>513</v>
      </c>
      <c r="C1081" s="14" t="s">
        <v>514</v>
      </c>
      <c r="D1081" s="13" t="s">
        <v>515</v>
      </c>
      <c r="E1081" s="14" t="s">
        <v>209</v>
      </c>
      <c r="F1081" s="13" t="s">
        <v>88</v>
      </c>
      <c r="G1081" s="14" t="s">
        <v>20</v>
      </c>
      <c r="H1081" s="14"/>
      <c r="I1081" s="14">
        <v>201407</v>
      </c>
      <c r="J1081" s="15">
        <v>690.53</v>
      </c>
      <c r="K1081" s="21">
        <f t="shared" si="101"/>
        <v>42675</v>
      </c>
      <c r="L1081" s="16">
        <f t="shared" si="102"/>
        <v>6</v>
      </c>
      <c r="M1081" s="17">
        <v>1.4833299999999999E-3</v>
      </c>
      <c r="N1081" s="18">
        <f t="shared" si="97"/>
        <v>6.1457031893999998</v>
      </c>
      <c r="O1081" s="15"/>
      <c r="P1081" s="20">
        <f t="shared" si="98"/>
        <v>0</v>
      </c>
      <c r="Q1081" s="15"/>
      <c r="R1081" s="20">
        <f t="shared" si="99"/>
        <v>0</v>
      </c>
      <c r="S1081" s="130"/>
      <c r="T1081" s="20">
        <f t="shared" si="100"/>
        <v>9.7748837312499983</v>
      </c>
    </row>
    <row r="1082" spans="1:20">
      <c r="A1082" s="13" t="s">
        <v>626</v>
      </c>
      <c r="B1082" s="14" t="s">
        <v>738</v>
      </c>
      <c r="C1082" s="14" t="s">
        <v>739</v>
      </c>
      <c r="D1082" s="13" t="s">
        <v>740</v>
      </c>
      <c r="E1082" s="14" t="s">
        <v>209</v>
      </c>
      <c r="F1082" s="13" t="s">
        <v>88</v>
      </c>
      <c r="G1082" s="14" t="s">
        <v>20</v>
      </c>
      <c r="H1082" s="14"/>
      <c r="I1082" s="14">
        <v>201407</v>
      </c>
      <c r="J1082" s="15">
        <v>614.51</v>
      </c>
      <c r="K1082" s="21">
        <f t="shared" si="101"/>
        <v>42675</v>
      </c>
      <c r="L1082" s="16">
        <f t="shared" si="102"/>
        <v>6</v>
      </c>
      <c r="M1082" s="17">
        <v>1.4833299999999999E-3</v>
      </c>
      <c r="N1082" s="18">
        <f t="shared" si="97"/>
        <v>5.4691267098000003</v>
      </c>
      <c r="O1082" s="15"/>
      <c r="P1082" s="20">
        <f t="shared" si="98"/>
        <v>0</v>
      </c>
      <c r="Q1082" s="15"/>
      <c r="R1082" s="20">
        <f t="shared" si="99"/>
        <v>0</v>
      </c>
      <c r="S1082" s="130"/>
      <c r="T1082" s="20">
        <f t="shared" si="100"/>
        <v>8.6987731187499993</v>
      </c>
    </row>
    <row r="1083" spans="1:20">
      <c r="A1083" s="23" t="s">
        <v>29</v>
      </c>
      <c r="B1083" s="14" t="s">
        <v>854</v>
      </c>
      <c r="C1083" s="14" t="s">
        <v>855</v>
      </c>
      <c r="D1083" s="13" t="s">
        <v>856</v>
      </c>
      <c r="E1083" s="14" t="s">
        <v>857</v>
      </c>
      <c r="F1083" s="13" t="s">
        <v>88</v>
      </c>
      <c r="G1083" s="14" t="s">
        <v>20</v>
      </c>
      <c r="H1083" s="14"/>
      <c r="I1083" s="14">
        <v>201407</v>
      </c>
      <c r="J1083" s="15">
        <v>1424.21</v>
      </c>
      <c r="K1083" s="21">
        <f t="shared" si="101"/>
        <v>42675</v>
      </c>
      <c r="L1083" s="16">
        <f t="shared" si="102"/>
        <v>6</v>
      </c>
      <c r="M1083" s="17">
        <v>2.23333E-3</v>
      </c>
      <c r="N1083" s="18">
        <f t="shared" si="97"/>
        <v>19.084385515799998</v>
      </c>
      <c r="O1083" s="15"/>
      <c r="P1083" s="20">
        <f t="shared" si="98"/>
        <v>0</v>
      </c>
      <c r="Q1083" s="15"/>
      <c r="R1083" s="20">
        <f t="shared" si="99"/>
        <v>0</v>
      </c>
      <c r="S1083" s="130"/>
      <c r="T1083" s="20">
        <f t="shared" si="100"/>
        <v>20.160582681249998</v>
      </c>
    </row>
    <row r="1084" spans="1:20">
      <c r="A1084" s="13" t="s">
        <v>21</v>
      </c>
      <c r="B1084" s="14" t="s">
        <v>538</v>
      </c>
      <c r="C1084" s="14" t="s">
        <v>539</v>
      </c>
      <c r="D1084" s="13" t="s">
        <v>540</v>
      </c>
      <c r="E1084" s="14" t="s">
        <v>209</v>
      </c>
      <c r="F1084" s="13" t="s">
        <v>88</v>
      </c>
      <c r="G1084" s="14" t="s">
        <v>20</v>
      </c>
      <c r="H1084" s="14"/>
      <c r="I1084" s="14">
        <v>201407</v>
      </c>
      <c r="J1084" s="15">
        <v>-182.31</v>
      </c>
      <c r="K1084" s="21">
        <f t="shared" si="101"/>
        <v>42675</v>
      </c>
      <c r="L1084" s="16">
        <f t="shared" si="102"/>
        <v>6</v>
      </c>
      <c r="M1084" s="17">
        <v>1.4833299999999999E-3</v>
      </c>
      <c r="N1084" s="18">
        <f t="shared" si="97"/>
        <v>-1.6225553537999999</v>
      </c>
      <c r="O1084" s="15"/>
      <c r="P1084" s="20">
        <f t="shared" si="98"/>
        <v>0</v>
      </c>
      <c r="Q1084" s="15"/>
      <c r="R1084" s="20">
        <f t="shared" si="99"/>
        <v>0</v>
      </c>
      <c r="S1084" s="130"/>
      <c r="T1084" s="20">
        <f t="shared" si="100"/>
        <v>-2.58071199375</v>
      </c>
    </row>
    <row r="1085" spans="1:20">
      <c r="A1085" s="13" t="s">
        <v>21</v>
      </c>
      <c r="B1085" s="14" t="s">
        <v>472</v>
      </c>
      <c r="C1085" s="14" t="s">
        <v>473</v>
      </c>
      <c r="D1085" s="13" t="s">
        <v>474</v>
      </c>
      <c r="E1085" s="14" t="s">
        <v>87</v>
      </c>
      <c r="F1085" s="13" t="s">
        <v>88</v>
      </c>
      <c r="G1085" s="14" t="s">
        <v>20</v>
      </c>
      <c r="H1085" s="14"/>
      <c r="I1085" s="14">
        <v>201407</v>
      </c>
      <c r="J1085" s="15">
        <v>1043.07</v>
      </c>
      <c r="K1085" s="21">
        <f t="shared" si="101"/>
        <v>42675</v>
      </c>
      <c r="L1085" s="16">
        <f t="shared" si="102"/>
        <v>6</v>
      </c>
      <c r="M1085" s="17">
        <v>1.4833299999999999E-3</v>
      </c>
      <c r="N1085" s="18">
        <f t="shared" si="97"/>
        <v>9.2833021385999999</v>
      </c>
      <c r="O1085" s="15"/>
      <c r="P1085" s="20">
        <f t="shared" si="98"/>
        <v>0</v>
      </c>
      <c r="Q1085" s="15"/>
      <c r="R1085" s="20">
        <f t="shared" si="99"/>
        <v>0</v>
      </c>
      <c r="S1085" s="130"/>
      <c r="T1085" s="20">
        <f t="shared" si="100"/>
        <v>14.765307768749999</v>
      </c>
    </row>
    <row r="1086" spans="1:20">
      <c r="A1086" s="13" t="s">
        <v>21</v>
      </c>
      <c r="B1086" s="14" t="s">
        <v>522</v>
      </c>
      <c r="C1086" s="14" t="s">
        <v>523</v>
      </c>
      <c r="D1086" s="13" t="s">
        <v>524</v>
      </c>
      <c r="E1086" s="14" t="s">
        <v>87</v>
      </c>
      <c r="F1086" s="13" t="s">
        <v>88</v>
      </c>
      <c r="G1086" s="14" t="s">
        <v>20</v>
      </c>
      <c r="H1086" s="14"/>
      <c r="I1086" s="14">
        <v>201407</v>
      </c>
      <c r="J1086" s="15">
        <v>260.77999999999997</v>
      </c>
      <c r="K1086" s="21">
        <f t="shared" si="101"/>
        <v>42675</v>
      </c>
      <c r="L1086" s="16">
        <f t="shared" si="102"/>
        <v>6</v>
      </c>
      <c r="M1086" s="17">
        <v>1.4833299999999999E-3</v>
      </c>
      <c r="N1086" s="18">
        <f t="shared" si="97"/>
        <v>2.3209367843999997</v>
      </c>
      <c r="O1086" s="15"/>
      <c r="P1086" s="20">
        <f t="shared" si="98"/>
        <v>0</v>
      </c>
      <c r="Q1086" s="15"/>
      <c r="R1086" s="20">
        <f t="shared" si="99"/>
        <v>0</v>
      </c>
      <c r="S1086" s="130"/>
      <c r="T1086" s="20">
        <f t="shared" si="100"/>
        <v>3.6915038874999992</v>
      </c>
    </row>
    <row r="1087" spans="1:20">
      <c r="A1087" s="13" t="s">
        <v>21</v>
      </c>
      <c r="B1087" s="14" t="s">
        <v>406</v>
      </c>
      <c r="C1087" s="14" t="s">
        <v>407</v>
      </c>
      <c r="D1087" s="13" t="s">
        <v>408</v>
      </c>
      <c r="E1087" s="14" t="s">
        <v>87</v>
      </c>
      <c r="F1087" s="13" t="s">
        <v>88</v>
      </c>
      <c r="G1087" s="14" t="s">
        <v>20</v>
      </c>
      <c r="H1087" s="14"/>
      <c r="I1087" s="14">
        <v>201407</v>
      </c>
      <c r="J1087" s="15">
        <v>486.09</v>
      </c>
      <c r="K1087" s="21">
        <f t="shared" si="101"/>
        <v>42675</v>
      </c>
      <c r="L1087" s="16">
        <f t="shared" si="102"/>
        <v>6</v>
      </c>
      <c r="M1087" s="17">
        <v>1.4833299999999999E-3</v>
      </c>
      <c r="N1087" s="18">
        <f t="shared" si="97"/>
        <v>4.3261912781999996</v>
      </c>
      <c r="O1087" s="15"/>
      <c r="P1087" s="20">
        <f t="shared" si="98"/>
        <v>0</v>
      </c>
      <c r="Q1087" s="15"/>
      <c r="R1087" s="20">
        <f t="shared" si="99"/>
        <v>0</v>
      </c>
      <c r="S1087" s="130"/>
      <c r="T1087" s="20">
        <f t="shared" si="100"/>
        <v>6.8809077562499992</v>
      </c>
    </row>
    <row r="1088" spans="1:20">
      <c r="A1088" s="13" t="s">
        <v>626</v>
      </c>
      <c r="B1088" s="14" t="s">
        <v>770</v>
      </c>
      <c r="C1088" s="14" t="s">
        <v>771</v>
      </c>
      <c r="D1088" s="13" t="s">
        <v>772</v>
      </c>
      <c r="E1088" s="14" t="s">
        <v>87</v>
      </c>
      <c r="F1088" s="13" t="s">
        <v>88</v>
      </c>
      <c r="G1088" s="14" t="s">
        <v>20</v>
      </c>
      <c r="H1088" s="14"/>
      <c r="I1088" s="14">
        <v>201407</v>
      </c>
      <c r="J1088" s="15">
        <v>21710.33</v>
      </c>
      <c r="K1088" s="21">
        <f t="shared" si="101"/>
        <v>42675</v>
      </c>
      <c r="L1088" s="16">
        <f t="shared" si="102"/>
        <v>6</v>
      </c>
      <c r="M1088" s="17">
        <v>1.4833299999999999E-3</v>
      </c>
      <c r="N1088" s="18">
        <f t="shared" si="97"/>
        <v>193.22150279340002</v>
      </c>
      <c r="O1088" s="15"/>
      <c r="P1088" s="20">
        <f t="shared" si="98"/>
        <v>0</v>
      </c>
      <c r="Q1088" s="15"/>
      <c r="R1088" s="20">
        <f t="shared" si="99"/>
        <v>0</v>
      </c>
      <c r="S1088" s="130"/>
      <c r="T1088" s="20">
        <f t="shared" si="100"/>
        <v>307.32329010625</v>
      </c>
    </row>
    <row r="1089" spans="1:20">
      <c r="A1089" s="13" t="s">
        <v>21</v>
      </c>
      <c r="B1089" s="14" t="s">
        <v>654</v>
      </c>
      <c r="C1089" s="14" t="s">
        <v>655</v>
      </c>
      <c r="D1089" s="13" t="s">
        <v>656</v>
      </c>
      <c r="E1089" s="14" t="s">
        <v>87</v>
      </c>
      <c r="F1089" s="13" t="s">
        <v>88</v>
      </c>
      <c r="G1089" s="14" t="s">
        <v>20</v>
      </c>
      <c r="H1089" s="14"/>
      <c r="I1089" s="14">
        <v>201407</v>
      </c>
      <c r="J1089" s="15">
        <v>425.17</v>
      </c>
      <c r="K1089" s="21">
        <f t="shared" si="101"/>
        <v>42675</v>
      </c>
      <c r="L1089" s="16">
        <f t="shared" si="102"/>
        <v>6</v>
      </c>
      <c r="M1089" s="17">
        <v>1.4833299999999999E-3</v>
      </c>
      <c r="N1089" s="18">
        <f t="shared" si="97"/>
        <v>3.7840044966000002</v>
      </c>
      <c r="O1089" s="15"/>
      <c r="P1089" s="20">
        <f t="shared" si="98"/>
        <v>0</v>
      </c>
      <c r="Q1089" s="15"/>
      <c r="R1089" s="20">
        <f t="shared" si="99"/>
        <v>0</v>
      </c>
      <c r="S1089" s="130"/>
      <c r="T1089" s="20">
        <f t="shared" si="100"/>
        <v>6.0185470812499995</v>
      </c>
    </row>
    <row r="1090" spans="1:20">
      <c r="A1090" s="13" t="s">
        <v>21</v>
      </c>
      <c r="B1090" s="14" t="s">
        <v>84</v>
      </c>
      <c r="C1090" s="14" t="s">
        <v>85</v>
      </c>
      <c r="D1090" s="13" t="s">
        <v>86</v>
      </c>
      <c r="E1090" s="14" t="s">
        <v>87</v>
      </c>
      <c r="F1090" s="13" t="s">
        <v>88</v>
      </c>
      <c r="G1090" s="14" t="s">
        <v>20</v>
      </c>
      <c r="H1090" s="14"/>
      <c r="I1090" s="14">
        <v>201407</v>
      </c>
      <c r="J1090" s="15">
        <v>117.48</v>
      </c>
      <c r="K1090" s="21">
        <f t="shared" si="101"/>
        <v>42675</v>
      </c>
      <c r="L1090" s="16">
        <f t="shared" si="102"/>
        <v>6</v>
      </c>
      <c r="M1090" s="17">
        <v>1.4833299999999999E-3</v>
      </c>
      <c r="N1090" s="18">
        <f t="shared" si="97"/>
        <v>1.0455696504000001</v>
      </c>
      <c r="O1090" s="15"/>
      <c r="P1090" s="20">
        <f t="shared" si="98"/>
        <v>0</v>
      </c>
      <c r="Q1090" s="15"/>
      <c r="R1090" s="20">
        <f t="shared" si="99"/>
        <v>0</v>
      </c>
      <c r="S1090" s="130"/>
      <c r="T1090" s="20">
        <f t="shared" si="100"/>
        <v>1.663002825</v>
      </c>
    </row>
    <row r="1091" spans="1:20">
      <c r="A1091" s="13" t="s">
        <v>626</v>
      </c>
      <c r="B1091" s="14" t="s">
        <v>758</v>
      </c>
      <c r="C1091" s="14" t="s">
        <v>759</v>
      </c>
      <c r="D1091" s="13" t="s">
        <v>760</v>
      </c>
      <c r="E1091" s="14" t="s">
        <v>613</v>
      </c>
      <c r="F1091" s="13" t="s">
        <v>398</v>
      </c>
      <c r="G1091" s="14" t="s">
        <v>20</v>
      </c>
      <c r="H1091" s="14"/>
      <c r="I1091" s="14">
        <v>201407</v>
      </c>
      <c r="J1091" s="15">
        <v>3734.54</v>
      </c>
      <c r="K1091" s="21">
        <f t="shared" si="101"/>
        <v>42675</v>
      </c>
      <c r="L1091" s="16">
        <f t="shared" si="102"/>
        <v>6</v>
      </c>
      <c r="M1091" s="17">
        <v>1.4833299999999999E-3</v>
      </c>
      <c r="N1091" s="18">
        <f t="shared" si="97"/>
        <v>33.237331309200002</v>
      </c>
      <c r="O1091" s="15"/>
      <c r="P1091" s="20">
        <f t="shared" si="98"/>
        <v>0</v>
      </c>
      <c r="Q1091" s="15"/>
      <c r="R1091" s="20">
        <f t="shared" si="99"/>
        <v>0</v>
      </c>
      <c r="S1091" s="130"/>
      <c r="T1091" s="20">
        <f t="shared" si="100"/>
        <v>52.864747787499994</v>
      </c>
    </row>
    <row r="1092" spans="1:20">
      <c r="A1092" s="13" t="s">
        <v>21</v>
      </c>
      <c r="B1092" s="14" t="s">
        <v>711</v>
      </c>
      <c r="C1092" s="14" t="s">
        <v>712</v>
      </c>
      <c r="D1092" s="13" t="s">
        <v>713</v>
      </c>
      <c r="E1092" s="14" t="s">
        <v>613</v>
      </c>
      <c r="F1092" s="13" t="s">
        <v>398</v>
      </c>
      <c r="G1092" s="14" t="s">
        <v>20</v>
      </c>
      <c r="H1092" s="14"/>
      <c r="I1092" s="14">
        <v>201407</v>
      </c>
      <c r="J1092" s="15">
        <v>342.44</v>
      </c>
      <c r="K1092" s="21">
        <f t="shared" si="101"/>
        <v>42675</v>
      </c>
      <c r="L1092" s="16">
        <f t="shared" si="102"/>
        <v>6</v>
      </c>
      <c r="M1092" s="17">
        <v>1.4833299999999999E-3</v>
      </c>
      <c r="N1092" s="18">
        <f t="shared" si="97"/>
        <v>3.0477091511999999</v>
      </c>
      <c r="O1092" s="15"/>
      <c r="P1092" s="20">
        <f t="shared" si="98"/>
        <v>0</v>
      </c>
      <c r="Q1092" s="15"/>
      <c r="R1092" s="20">
        <f t="shared" si="99"/>
        <v>0</v>
      </c>
      <c r="S1092" s="130"/>
      <c r="T1092" s="20">
        <f t="shared" si="100"/>
        <v>4.8474522249999996</v>
      </c>
    </row>
    <row r="1093" spans="1:20">
      <c r="A1093" s="13" t="s">
        <v>21</v>
      </c>
      <c r="B1093" s="14" t="s">
        <v>630</v>
      </c>
      <c r="C1093" s="14" t="s">
        <v>631</v>
      </c>
      <c r="D1093" s="13" t="s">
        <v>632</v>
      </c>
      <c r="E1093" s="14" t="s">
        <v>613</v>
      </c>
      <c r="F1093" s="13" t="s">
        <v>398</v>
      </c>
      <c r="G1093" s="14" t="s">
        <v>20</v>
      </c>
      <c r="H1093" s="14"/>
      <c r="I1093" s="14">
        <v>201407</v>
      </c>
      <c r="J1093" s="15">
        <v>-11802.07</v>
      </c>
      <c r="K1093" s="21">
        <f t="shared" si="101"/>
        <v>42675</v>
      </c>
      <c r="L1093" s="16">
        <f t="shared" si="102"/>
        <v>6</v>
      </c>
      <c r="M1093" s="17">
        <v>1.4833299999999999E-3</v>
      </c>
      <c r="N1093" s="18">
        <f t="shared" si="97"/>
        <v>-105.03818695859999</v>
      </c>
      <c r="O1093" s="15"/>
      <c r="P1093" s="20">
        <f t="shared" si="98"/>
        <v>0</v>
      </c>
      <c r="Q1093" s="15"/>
      <c r="R1093" s="20">
        <f t="shared" si="99"/>
        <v>0</v>
      </c>
      <c r="S1093" s="130"/>
      <c r="T1093" s="20">
        <f t="shared" si="100"/>
        <v>-167.06567714374998</v>
      </c>
    </row>
    <row r="1094" spans="1:20">
      <c r="A1094" s="13" t="s">
        <v>626</v>
      </c>
      <c r="B1094" s="14" t="s">
        <v>630</v>
      </c>
      <c r="C1094" s="14" t="s">
        <v>631</v>
      </c>
      <c r="D1094" s="13" t="s">
        <v>632</v>
      </c>
      <c r="E1094" s="14" t="s">
        <v>613</v>
      </c>
      <c r="F1094" s="13" t="s">
        <v>398</v>
      </c>
      <c r="G1094" s="14" t="s">
        <v>20</v>
      </c>
      <c r="H1094" s="14"/>
      <c r="I1094" s="14">
        <v>201407</v>
      </c>
      <c r="J1094" s="15">
        <v>12845.46</v>
      </c>
      <c r="K1094" s="21">
        <f t="shared" si="101"/>
        <v>42675</v>
      </c>
      <c r="L1094" s="16">
        <f t="shared" si="102"/>
        <v>6</v>
      </c>
      <c r="M1094" s="17">
        <v>1.4833299999999999E-3</v>
      </c>
      <c r="N1094" s="18">
        <f t="shared" ref="N1094:N1157" si="103">M1094*L1094*J1094</f>
        <v>114.32433709079999</v>
      </c>
      <c r="O1094" s="15"/>
      <c r="P1094" s="20">
        <f t="shared" ref="P1094:P1157" si="104">$P$4*(J1094*0.5)*$V$10</f>
        <v>0</v>
      </c>
      <c r="Q1094" s="15"/>
      <c r="R1094" s="20">
        <f t="shared" ref="R1094:R1157" si="105">$R$4*(J1094*0.5)*$V$9</f>
        <v>0</v>
      </c>
      <c r="S1094" s="130"/>
      <c r="T1094" s="20">
        <f t="shared" ref="T1094:T1157" si="106">$T$4*(J1094*0.5)*$V$11</f>
        <v>181.83551471249999</v>
      </c>
    </row>
    <row r="1095" spans="1:20">
      <c r="A1095" s="13" t="s">
        <v>21</v>
      </c>
      <c r="B1095" s="14" t="s">
        <v>645</v>
      </c>
      <c r="C1095" s="14" t="s">
        <v>646</v>
      </c>
      <c r="D1095" s="13" t="s">
        <v>647</v>
      </c>
      <c r="E1095" s="14" t="s">
        <v>397</v>
      </c>
      <c r="F1095" s="13" t="s">
        <v>398</v>
      </c>
      <c r="G1095" s="14" t="s">
        <v>20</v>
      </c>
      <c r="H1095" s="14"/>
      <c r="I1095" s="14">
        <v>201407</v>
      </c>
      <c r="J1095" s="15">
        <v>9733.49</v>
      </c>
      <c r="K1095" s="21">
        <f t="shared" ref="K1095:K1158" si="107">+K1094</f>
        <v>42675</v>
      </c>
      <c r="L1095" s="16">
        <f t="shared" si="102"/>
        <v>6</v>
      </c>
      <c r="M1095" s="17">
        <v>1.4833299999999999E-3</v>
      </c>
      <c r="N1095" s="18">
        <f t="shared" si="103"/>
        <v>86.627866330199993</v>
      </c>
      <c r="O1095" s="15"/>
      <c r="P1095" s="20">
        <f t="shared" si="104"/>
        <v>0</v>
      </c>
      <c r="Q1095" s="15"/>
      <c r="R1095" s="20">
        <f t="shared" si="105"/>
        <v>0</v>
      </c>
      <c r="S1095" s="130"/>
      <c r="T1095" s="20">
        <f t="shared" si="106"/>
        <v>137.78363438124998</v>
      </c>
    </row>
    <row r="1096" spans="1:20">
      <c r="A1096" s="13" t="s">
        <v>21</v>
      </c>
      <c r="B1096" s="14" t="s">
        <v>394</v>
      </c>
      <c r="C1096" s="14" t="s">
        <v>395</v>
      </c>
      <c r="D1096" s="13" t="s">
        <v>396</v>
      </c>
      <c r="E1096" s="14" t="s">
        <v>397</v>
      </c>
      <c r="F1096" s="13" t="s">
        <v>398</v>
      </c>
      <c r="G1096" s="14" t="s">
        <v>20</v>
      </c>
      <c r="H1096" s="14"/>
      <c r="I1096" s="14">
        <v>201407</v>
      </c>
      <c r="J1096" s="15">
        <v>980.7</v>
      </c>
      <c r="K1096" s="21">
        <f t="shared" si="107"/>
        <v>42675</v>
      </c>
      <c r="L1096" s="16">
        <f t="shared" si="102"/>
        <v>6</v>
      </c>
      <c r="M1096" s="17">
        <v>1.4833299999999999E-3</v>
      </c>
      <c r="N1096" s="18">
        <f t="shared" si="103"/>
        <v>8.7282103860000007</v>
      </c>
      <c r="O1096" s="15"/>
      <c r="P1096" s="20">
        <f t="shared" si="104"/>
        <v>0</v>
      </c>
      <c r="Q1096" s="15"/>
      <c r="R1096" s="20">
        <f t="shared" si="105"/>
        <v>0</v>
      </c>
      <c r="S1096" s="130"/>
      <c r="T1096" s="20">
        <f t="shared" si="106"/>
        <v>13.8824214375</v>
      </c>
    </row>
    <row r="1097" spans="1:20">
      <c r="A1097" s="13" t="s">
        <v>21</v>
      </c>
      <c r="B1097" s="14" t="s">
        <v>449</v>
      </c>
      <c r="C1097" s="14" t="s">
        <v>450</v>
      </c>
      <c r="D1097" s="13" t="s">
        <v>451</v>
      </c>
      <c r="E1097" s="14" t="s">
        <v>452</v>
      </c>
      <c r="F1097" s="13" t="s">
        <v>398</v>
      </c>
      <c r="G1097" s="14" t="s">
        <v>20</v>
      </c>
      <c r="H1097" s="14"/>
      <c r="I1097" s="14">
        <v>201407</v>
      </c>
      <c r="J1097" s="15">
        <v>64.69</v>
      </c>
      <c r="K1097" s="21">
        <f t="shared" si="107"/>
        <v>42675</v>
      </c>
      <c r="L1097" s="16">
        <f t="shared" si="102"/>
        <v>6</v>
      </c>
      <c r="M1097" s="17">
        <v>1.4833299999999999E-3</v>
      </c>
      <c r="N1097" s="18">
        <f t="shared" si="103"/>
        <v>0.57573970620000003</v>
      </c>
      <c r="O1097" s="15"/>
      <c r="P1097" s="20">
        <f t="shared" si="104"/>
        <v>0</v>
      </c>
      <c r="Q1097" s="15"/>
      <c r="R1097" s="20">
        <f t="shared" si="105"/>
        <v>0</v>
      </c>
      <c r="S1097" s="130"/>
      <c r="T1097" s="20">
        <f t="shared" si="106"/>
        <v>0.91572738124999997</v>
      </c>
    </row>
    <row r="1098" spans="1:20">
      <c r="A1098" s="13" t="s">
        <v>21</v>
      </c>
      <c r="B1098" s="14" t="s">
        <v>610</v>
      </c>
      <c r="C1098" s="14" t="s">
        <v>611</v>
      </c>
      <c r="D1098" s="13" t="s">
        <v>612</v>
      </c>
      <c r="E1098" s="14" t="s">
        <v>613</v>
      </c>
      <c r="F1098" s="13" t="s">
        <v>398</v>
      </c>
      <c r="G1098" s="14" t="s">
        <v>20</v>
      </c>
      <c r="H1098" s="14"/>
      <c r="I1098" s="14">
        <v>201407</v>
      </c>
      <c r="J1098" s="15">
        <v>-57377.64</v>
      </c>
      <c r="K1098" s="21">
        <f t="shared" si="107"/>
        <v>42675</v>
      </c>
      <c r="L1098" s="16">
        <f t="shared" si="102"/>
        <v>6</v>
      </c>
      <c r="M1098" s="17">
        <v>1.4833299999999999E-3</v>
      </c>
      <c r="N1098" s="18">
        <f t="shared" si="103"/>
        <v>-510.65984844719998</v>
      </c>
      <c r="O1098" s="15"/>
      <c r="P1098" s="20">
        <f t="shared" si="104"/>
        <v>0</v>
      </c>
      <c r="Q1098" s="15"/>
      <c r="R1098" s="20">
        <f t="shared" si="105"/>
        <v>0</v>
      </c>
      <c r="S1098" s="130"/>
      <c r="T1098" s="20">
        <f t="shared" si="106"/>
        <v>-812.21635522500003</v>
      </c>
    </row>
    <row r="1099" spans="1:20">
      <c r="A1099" s="13" t="s">
        <v>626</v>
      </c>
      <c r="B1099" s="14" t="s">
        <v>610</v>
      </c>
      <c r="C1099" s="14" t="s">
        <v>611</v>
      </c>
      <c r="D1099" s="13" t="s">
        <v>612</v>
      </c>
      <c r="E1099" s="14" t="s">
        <v>613</v>
      </c>
      <c r="F1099" s="13" t="s">
        <v>398</v>
      </c>
      <c r="G1099" s="14" t="s">
        <v>20</v>
      </c>
      <c r="H1099" s="14"/>
      <c r="I1099" s="14">
        <v>201407</v>
      </c>
      <c r="J1099" s="15">
        <v>59028.14</v>
      </c>
      <c r="K1099" s="21">
        <f t="shared" si="107"/>
        <v>42675</v>
      </c>
      <c r="L1099" s="16">
        <f t="shared" si="102"/>
        <v>6</v>
      </c>
      <c r="M1099" s="17">
        <v>1.4833299999999999E-3</v>
      </c>
      <c r="N1099" s="18">
        <f t="shared" si="103"/>
        <v>525.34926543719996</v>
      </c>
      <c r="O1099" s="15"/>
      <c r="P1099" s="20">
        <f t="shared" si="104"/>
        <v>0</v>
      </c>
      <c r="Q1099" s="15"/>
      <c r="R1099" s="20">
        <f t="shared" si="105"/>
        <v>0</v>
      </c>
      <c r="S1099" s="130"/>
      <c r="T1099" s="20">
        <f t="shared" si="106"/>
        <v>835.58021428749998</v>
      </c>
    </row>
    <row r="1100" spans="1:20">
      <c r="A1100" s="13" t="s">
        <v>21</v>
      </c>
      <c r="B1100" s="14" t="s">
        <v>67</v>
      </c>
      <c r="C1100" s="14" t="s">
        <v>68</v>
      </c>
      <c r="D1100" s="13" t="s">
        <v>69</v>
      </c>
      <c r="E1100" s="14" t="s">
        <v>70</v>
      </c>
      <c r="F1100" s="13" t="s">
        <v>71</v>
      </c>
      <c r="G1100" s="14" t="s">
        <v>20</v>
      </c>
      <c r="H1100" s="14"/>
      <c r="I1100" s="14">
        <v>201408</v>
      </c>
      <c r="J1100" s="41">
        <v>2.4500000000000002</v>
      </c>
      <c r="K1100" s="21">
        <f t="shared" si="107"/>
        <v>42675</v>
      </c>
      <c r="L1100" s="16">
        <f>((YEAR($L$1)-YEAR(K1100))*12+MONTH($L$1)-MONTH(K1100))</f>
        <v>6</v>
      </c>
      <c r="M1100" s="17">
        <v>1.4833299999999999E-3</v>
      </c>
      <c r="N1100" s="18">
        <f t="shared" si="103"/>
        <v>2.1804951000000003E-2</v>
      </c>
      <c r="O1100" s="15"/>
      <c r="P1100" s="20">
        <f t="shared" si="104"/>
        <v>0</v>
      </c>
      <c r="Q1100" s="15"/>
      <c r="R1100" s="20">
        <f t="shared" si="105"/>
        <v>0</v>
      </c>
      <c r="S1100" s="130"/>
      <c r="T1100" s="20">
        <f t="shared" si="106"/>
        <v>3.4681281250000001E-2</v>
      </c>
    </row>
    <row r="1101" spans="1:20">
      <c r="A1101" s="13" t="s">
        <v>21</v>
      </c>
      <c r="B1101" s="14" t="s">
        <v>169</v>
      </c>
      <c r="C1101" s="14" t="s">
        <v>170</v>
      </c>
      <c r="D1101" s="13" t="s">
        <v>171</v>
      </c>
      <c r="E1101" s="14" t="s">
        <v>172</v>
      </c>
      <c r="F1101" s="13" t="s">
        <v>173</v>
      </c>
      <c r="G1101" s="14" t="s">
        <v>20</v>
      </c>
      <c r="H1101" s="14"/>
      <c r="I1101" s="14">
        <v>201408</v>
      </c>
      <c r="J1101" s="41">
        <v>-94.83</v>
      </c>
      <c r="K1101" s="21">
        <f t="shared" si="107"/>
        <v>42675</v>
      </c>
      <c r="L1101" s="16">
        <f t="shared" ref="L1101:L1164" si="108">((YEAR($L$1)-YEAR(K1101))*12+MONTH($L$1)-MONTH(K1101))</f>
        <v>6</v>
      </c>
      <c r="M1101" s="17">
        <v>1.4833299999999999E-3</v>
      </c>
      <c r="N1101" s="18">
        <f t="shared" si="103"/>
        <v>-0.84398510339999999</v>
      </c>
      <c r="O1101" s="15"/>
      <c r="P1101" s="20">
        <f t="shared" si="104"/>
        <v>0</v>
      </c>
      <c r="Q1101" s="15"/>
      <c r="R1101" s="20">
        <f t="shared" si="105"/>
        <v>0</v>
      </c>
      <c r="S1101" s="130"/>
      <c r="T1101" s="20">
        <f t="shared" si="106"/>
        <v>-1.3423779187499998</v>
      </c>
    </row>
    <row r="1102" spans="1:20">
      <c r="A1102" s="13" t="s">
        <v>21</v>
      </c>
      <c r="B1102" s="14" t="s">
        <v>177</v>
      </c>
      <c r="C1102" s="14" t="s">
        <v>178</v>
      </c>
      <c r="D1102" s="13" t="s">
        <v>179</v>
      </c>
      <c r="E1102" s="14" t="s">
        <v>172</v>
      </c>
      <c r="F1102" s="13" t="s">
        <v>173</v>
      </c>
      <c r="G1102" s="14" t="s">
        <v>20</v>
      </c>
      <c r="H1102" s="14"/>
      <c r="I1102" s="14">
        <v>201408</v>
      </c>
      <c r="J1102" s="41">
        <v>119.52</v>
      </c>
      <c r="K1102" s="21">
        <f t="shared" si="107"/>
        <v>42675</v>
      </c>
      <c r="L1102" s="16">
        <f t="shared" si="108"/>
        <v>6</v>
      </c>
      <c r="M1102" s="17">
        <v>1.4833299999999999E-3</v>
      </c>
      <c r="N1102" s="18">
        <f t="shared" si="103"/>
        <v>1.0637256096000001</v>
      </c>
      <c r="O1102" s="15"/>
      <c r="P1102" s="20">
        <f t="shared" si="104"/>
        <v>0</v>
      </c>
      <c r="Q1102" s="15"/>
      <c r="R1102" s="20">
        <f t="shared" si="105"/>
        <v>0</v>
      </c>
      <c r="S1102" s="130"/>
      <c r="T1102" s="20">
        <f t="shared" si="106"/>
        <v>1.6918803</v>
      </c>
    </row>
    <row r="1103" spans="1:20">
      <c r="A1103" s="13" t="s">
        <v>21</v>
      </c>
      <c r="B1103" s="14" t="s">
        <v>233</v>
      </c>
      <c r="C1103" s="14" t="s">
        <v>234</v>
      </c>
      <c r="D1103" s="13" t="s">
        <v>235</v>
      </c>
      <c r="E1103" s="14" t="s">
        <v>172</v>
      </c>
      <c r="F1103" s="13" t="s">
        <v>173</v>
      </c>
      <c r="G1103" s="14" t="s">
        <v>20</v>
      </c>
      <c r="H1103" s="14"/>
      <c r="I1103" s="14">
        <v>201408</v>
      </c>
      <c r="J1103" s="41">
        <v>-63.53</v>
      </c>
      <c r="K1103" s="21">
        <f t="shared" si="107"/>
        <v>42675</v>
      </c>
      <c r="L1103" s="16">
        <f t="shared" si="108"/>
        <v>6</v>
      </c>
      <c r="M1103" s="17">
        <v>1.4833299999999999E-3</v>
      </c>
      <c r="N1103" s="18">
        <f t="shared" si="103"/>
        <v>-0.56541572940000007</v>
      </c>
      <c r="O1103" s="15"/>
      <c r="P1103" s="20">
        <f t="shared" si="104"/>
        <v>0</v>
      </c>
      <c r="Q1103" s="15"/>
      <c r="R1103" s="20">
        <f t="shared" si="105"/>
        <v>0</v>
      </c>
      <c r="S1103" s="130"/>
      <c r="T1103" s="20">
        <f t="shared" si="106"/>
        <v>-0.89930685624999995</v>
      </c>
    </row>
    <row r="1104" spans="1:20">
      <c r="A1104" s="13" t="s">
        <v>21</v>
      </c>
      <c r="B1104" s="14" t="s">
        <v>797</v>
      </c>
      <c r="C1104" s="14" t="s">
        <v>798</v>
      </c>
      <c r="D1104" s="13" t="s">
        <v>799</v>
      </c>
      <c r="E1104" s="14" t="s">
        <v>172</v>
      </c>
      <c r="F1104" s="13" t="s">
        <v>173</v>
      </c>
      <c r="G1104" s="14" t="s">
        <v>20</v>
      </c>
      <c r="H1104" s="14"/>
      <c r="I1104" s="14">
        <v>201408</v>
      </c>
      <c r="J1104" s="41">
        <v>7225.96</v>
      </c>
      <c r="K1104" s="21">
        <f t="shared" si="107"/>
        <v>42675</v>
      </c>
      <c r="L1104" s="16">
        <f t="shared" si="108"/>
        <v>6</v>
      </c>
      <c r="M1104" s="17">
        <v>1.4833299999999999E-3</v>
      </c>
      <c r="N1104" s="18">
        <f t="shared" si="103"/>
        <v>64.310899480800003</v>
      </c>
      <c r="O1104" s="15"/>
      <c r="P1104" s="20">
        <f t="shared" si="104"/>
        <v>0</v>
      </c>
      <c r="Q1104" s="15"/>
      <c r="R1104" s="20">
        <f t="shared" si="105"/>
        <v>0</v>
      </c>
      <c r="S1104" s="130"/>
      <c r="T1104" s="20">
        <f t="shared" si="106"/>
        <v>102.287980025</v>
      </c>
    </row>
    <row r="1105" spans="1:20">
      <c r="A1105" s="13" t="s">
        <v>21</v>
      </c>
      <c r="B1105" s="14" t="s">
        <v>245</v>
      </c>
      <c r="C1105" s="14" t="s">
        <v>246</v>
      </c>
      <c r="D1105" s="13" t="s">
        <v>247</v>
      </c>
      <c r="E1105" s="14" t="s">
        <v>70</v>
      </c>
      <c r="F1105" s="13" t="s">
        <v>71</v>
      </c>
      <c r="G1105" s="14" t="s">
        <v>20</v>
      </c>
      <c r="H1105" s="14"/>
      <c r="I1105" s="14">
        <v>201408</v>
      </c>
      <c r="J1105" s="41">
        <v>15.29</v>
      </c>
      <c r="K1105" s="21">
        <f t="shared" si="107"/>
        <v>42675</v>
      </c>
      <c r="L1105" s="16">
        <f t="shared" si="108"/>
        <v>6</v>
      </c>
      <c r="M1105" s="17">
        <v>1.4833299999999999E-3</v>
      </c>
      <c r="N1105" s="18">
        <f t="shared" si="103"/>
        <v>0.13608069419999999</v>
      </c>
      <c r="O1105" s="15"/>
      <c r="P1105" s="20">
        <f t="shared" si="104"/>
        <v>0</v>
      </c>
      <c r="Q1105" s="15"/>
      <c r="R1105" s="20">
        <f t="shared" si="105"/>
        <v>0</v>
      </c>
      <c r="S1105" s="130"/>
      <c r="T1105" s="20">
        <f t="shared" si="106"/>
        <v>0.21643950624999997</v>
      </c>
    </row>
    <row r="1106" spans="1:20">
      <c r="A1106" s="13" t="s">
        <v>21</v>
      </c>
      <c r="B1106" s="14" t="s">
        <v>248</v>
      </c>
      <c r="C1106" s="14" t="s">
        <v>249</v>
      </c>
      <c r="D1106" s="13" t="s">
        <v>250</v>
      </c>
      <c r="E1106" s="14" t="s">
        <v>70</v>
      </c>
      <c r="F1106" s="13" t="s">
        <v>71</v>
      </c>
      <c r="G1106" s="14" t="s">
        <v>20</v>
      </c>
      <c r="H1106" s="14"/>
      <c r="I1106" s="14">
        <v>201408</v>
      </c>
      <c r="J1106" s="41">
        <v>58.92</v>
      </c>
      <c r="K1106" s="21">
        <f t="shared" si="107"/>
        <v>42675</v>
      </c>
      <c r="L1106" s="16">
        <f t="shared" si="108"/>
        <v>6</v>
      </c>
      <c r="M1106" s="17">
        <v>1.4833299999999999E-3</v>
      </c>
      <c r="N1106" s="18">
        <f t="shared" si="103"/>
        <v>0.52438682160000005</v>
      </c>
      <c r="O1106" s="15"/>
      <c r="P1106" s="20">
        <f t="shared" si="104"/>
        <v>0</v>
      </c>
      <c r="Q1106" s="15"/>
      <c r="R1106" s="20">
        <f t="shared" si="105"/>
        <v>0</v>
      </c>
      <c r="S1106" s="130"/>
      <c r="T1106" s="20">
        <f t="shared" si="106"/>
        <v>0.8340494249999999</v>
      </c>
    </row>
    <row r="1107" spans="1:20">
      <c r="A1107" s="13" t="s">
        <v>21</v>
      </c>
      <c r="B1107" s="14" t="s">
        <v>753</v>
      </c>
      <c r="C1107" s="14" t="s">
        <v>754</v>
      </c>
      <c r="D1107" s="13" t="s">
        <v>755</v>
      </c>
      <c r="E1107" s="14" t="s">
        <v>756</v>
      </c>
      <c r="F1107" s="13" t="s">
        <v>757</v>
      </c>
      <c r="G1107" s="14" t="s">
        <v>20</v>
      </c>
      <c r="H1107" s="14"/>
      <c r="I1107" s="14">
        <v>201408</v>
      </c>
      <c r="J1107" s="41">
        <v>3171.29</v>
      </c>
      <c r="K1107" s="21">
        <f t="shared" si="107"/>
        <v>42675</v>
      </c>
      <c r="L1107" s="16">
        <f t="shared" si="108"/>
        <v>6</v>
      </c>
      <c r="M1107" s="17">
        <v>1.4833299999999999E-3</v>
      </c>
      <c r="N1107" s="18">
        <f t="shared" si="103"/>
        <v>28.2244175742</v>
      </c>
      <c r="O1107" s="15"/>
      <c r="P1107" s="20">
        <f t="shared" si="104"/>
        <v>0</v>
      </c>
      <c r="Q1107" s="15"/>
      <c r="R1107" s="20">
        <f t="shared" si="105"/>
        <v>0</v>
      </c>
      <c r="S1107" s="130"/>
      <c r="T1107" s="20">
        <f t="shared" si="106"/>
        <v>44.891592006250001</v>
      </c>
    </row>
    <row r="1108" spans="1:20">
      <c r="A1108" s="13" t="s">
        <v>21</v>
      </c>
      <c r="B1108" s="14" t="s">
        <v>264</v>
      </c>
      <c r="C1108" s="14" t="s">
        <v>265</v>
      </c>
      <c r="D1108" s="13" t="s">
        <v>266</v>
      </c>
      <c r="E1108" s="14" t="s">
        <v>172</v>
      </c>
      <c r="F1108" s="13" t="s">
        <v>173</v>
      </c>
      <c r="G1108" s="14" t="s">
        <v>20</v>
      </c>
      <c r="H1108" s="14"/>
      <c r="I1108" s="14">
        <v>201408</v>
      </c>
      <c r="J1108" s="41">
        <v>-30.21</v>
      </c>
      <c r="K1108" s="21">
        <f t="shared" si="107"/>
        <v>42675</v>
      </c>
      <c r="L1108" s="16">
        <f t="shared" si="108"/>
        <v>6</v>
      </c>
      <c r="M1108" s="17">
        <v>1.4833299999999999E-3</v>
      </c>
      <c r="N1108" s="18">
        <f t="shared" si="103"/>
        <v>-0.26886839579999999</v>
      </c>
      <c r="O1108" s="15"/>
      <c r="P1108" s="20">
        <f t="shared" si="104"/>
        <v>0</v>
      </c>
      <c r="Q1108" s="15"/>
      <c r="R1108" s="20">
        <f t="shared" si="105"/>
        <v>0</v>
      </c>
      <c r="S1108" s="130"/>
      <c r="T1108" s="20">
        <f t="shared" si="106"/>
        <v>-0.42764143124999998</v>
      </c>
    </row>
    <row r="1109" spans="1:20">
      <c r="A1109" s="13" t="s">
        <v>21</v>
      </c>
      <c r="B1109" s="14" t="s">
        <v>794</v>
      </c>
      <c r="C1109" s="14" t="s">
        <v>795</v>
      </c>
      <c r="D1109" s="13" t="s">
        <v>796</v>
      </c>
      <c r="E1109" s="14" t="s">
        <v>172</v>
      </c>
      <c r="F1109" s="13" t="s">
        <v>173</v>
      </c>
      <c r="G1109" s="14" t="s">
        <v>20</v>
      </c>
      <c r="H1109" s="14"/>
      <c r="I1109" s="14">
        <v>201408</v>
      </c>
      <c r="J1109" s="41">
        <v>8453.24</v>
      </c>
      <c r="K1109" s="21">
        <f t="shared" si="107"/>
        <v>42675</v>
      </c>
      <c r="L1109" s="16">
        <f t="shared" si="108"/>
        <v>6</v>
      </c>
      <c r="M1109" s="17">
        <v>1.4833299999999999E-3</v>
      </c>
      <c r="N1109" s="18">
        <f t="shared" si="103"/>
        <v>75.233666935199992</v>
      </c>
      <c r="O1109" s="15"/>
      <c r="P1109" s="20">
        <f t="shared" si="104"/>
        <v>0</v>
      </c>
      <c r="Q1109" s="15"/>
      <c r="R1109" s="20">
        <f t="shared" si="105"/>
        <v>0</v>
      </c>
      <c r="S1109" s="130"/>
      <c r="T1109" s="20">
        <f t="shared" si="106"/>
        <v>119.66089547499999</v>
      </c>
    </row>
    <row r="1110" spans="1:20">
      <c r="A1110" s="13" t="s">
        <v>554</v>
      </c>
      <c r="B1110" s="14" t="s">
        <v>116</v>
      </c>
      <c r="C1110" s="14" t="s">
        <v>117</v>
      </c>
      <c r="D1110" s="13" t="s">
        <v>118</v>
      </c>
      <c r="E1110" s="14" t="s">
        <v>119</v>
      </c>
      <c r="F1110" s="13" t="s">
        <v>120</v>
      </c>
      <c r="G1110" s="14" t="s">
        <v>20</v>
      </c>
      <c r="H1110" s="14"/>
      <c r="I1110" s="14">
        <v>201408</v>
      </c>
      <c r="J1110" s="41">
        <v>102020.07</v>
      </c>
      <c r="K1110" s="21">
        <f t="shared" si="107"/>
        <v>42675</v>
      </c>
      <c r="L1110" s="16">
        <f t="shared" si="108"/>
        <v>6</v>
      </c>
      <c r="M1110" s="17">
        <v>1.4833299999999999E-3</v>
      </c>
      <c r="N1110" s="18">
        <f t="shared" si="103"/>
        <v>907.97658259860009</v>
      </c>
      <c r="O1110" s="15"/>
      <c r="P1110" s="20">
        <f t="shared" si="104"/>
        <v>0</v>
      </c>
      <c r="Q1110" s="15"/>
      <c r="R1110" s="20">
        <f t="shared" si="105"/>
        <v>0</v>
      </c>
      <c r="S1110" s="130"/>
      <c r="T1110" s="20">
        <f t="shared" si="106"/>
        <v>1444.15785339375</v>
      </c>
    </row>
    <row r="1111" spans="1:20">
      <c r="A1111" s="13" t="s">
        <v>21</v>
      </c>
      <c r="B1111" s="14" t="s">
        <v>522</v>
      </c>
      <c r="C1111" s="14" t="s">
        <v>523</v>
      </c>
      <c r="D1111" s="13" t="s">
        <v>524</v>
      </c>
      <c r="E1111" s="14" t="s">
        <v>87</v>
      </c>
      <c r="F1111" s="13" t="s">
        <v>88</v>
      </c>
      <c r="G1111" s="14" t="s">
        <v>20</v>
      </c>
      <c r="H1111" s="14"/>
      <c r="I1111" s="14">
        <v>201408</v>
      </c>
      <c r="J1111" s="41">
        <v>26.95</v>
      </c>
      <c r="K1111" s="21">
        <f t="shared" si="107"/>
        <v>42675</v>
      </c>
      <c r="L1111" s="16">
        <f t="shared" si="108"/>
        <v>6</v>
      </c>
      <c r="M1111" s="17">
        <v>1.4833299999999999E-3</v>
      </c>
      <c r="N1111" s="18">
        <f t="shared" si="103"/>
        <v>0.23985446099999999</v>
      </c>
      <c r="O1111" s="15"/>
      <c r="P1111" s="20">
        <f t="shared" si="104"/>
        <v>0</v>
      </c>
      <c r="Q1111" s="15"/>
      <c r="R1111" s="20">
        <f t="shared" si="105"/>
        <v>0</v>
      </c>
      <c r="S1111" s="130"/>
      <c r="T1111" s="20">
        <f t="shared" si="106"/>
        <v>0.38149409374999993</v>
      </c>
    </row>
    <row r="1112" spans="1:20">
      <c r="A1112" s="13" t="s">
        <v>21</v>
      </c>
      <c r="B1112" s="14" t="s">
        <v>538</v>
      </c>
      <c r="C1112" s="14" t="s">
        <v>539</v>
      </c>
      <c r="D1112" s="13" t="s">
        <v>540</v>
      </c>
      <c r="E1112" s="14" t="s">
        <v>209</v>
      </c>
      <c r="F1112" s="13" t="s">
        <v>88</v>
      </c>
      <c r="G1112" s="14" t="s">
        <v>20</v>
      </c>
      <c r="H1112" s="14"/>
      <c r="I1112" s="14">
        <v>201408</v>
      </c>
      <c r="J1112" s="41">
        <v>-30.48</v>
      </c>
      <c r="K1112" s="21">
        <f t="shared" si="107"/>
        <v>42675</v>
      </c>
      <c r="L1112" s="16">
        <f t="shared" si="108"/>
        <v>6</v>
      </c>
      <c r="M1112" s="17">
        <v>1.4833299999999999E-3</v>
      </c>
      <c r="N1112" s="18">
        <f t="shared" si="103"/>
        <v>-0.27127139039999998</v>
      </c>
      <c r="O1112" s="15"/>
      <c r="P1112" s="20">
        <f t="shared" si="104"/>
        <v>0</v>
      </c>
      <c r="Q1112" s="15"/>
      <c r="R1112" s="20">
        <f t="shared" si="105"/>
        <v>0</v>
      </c>
      <c r="S1112" s="130"/>
      <c r="T1112" s="20">
        <f t="shared" si="106"/>
        <v>-0.43146344999999997</v>
      </c>
    </row>
    <row r="1113" spans="1:20">
      <c r="A1113" s="13" t="s">
        <v>21</v>
      </c>
      <c r="B1113" s="14" t="s">
        <v>858</v>
      </c>
      <c r="C1113" s="14" t="s">
        <v>859</v>
      </c>
      <c r="D1113" s="13" t="s">
        <v>860</v>
      </c>
      <c r="E1113" s="14" t="s">
        <v>613</v>
      </c>
      <c r="F1113" s="13" t="s">
        <v>398</v>
      </c>
      <c r="G1113" s="14" t="s">
        <v>20</v>
      </c>
      <c r="H1113" s="14"/>
      <c r="I1113" s="14">
        <v>201408</v>
      </c>
      <c r="J1113" s="41">
        <v>170782.41</v>
      </c>
      <c r="K1113" s="21">
        <f t="shared" si="107"/>
        <v>42675</v>
      </c>
      <c r="L1113" s="16">
        <f t="shared" si="108"/>
        <v>6</v>
      </c>
      <c r="M1113" s="17">
        <v>1.4833299999999999E-3</v>
      </c>
      <c r="N1113" s="18">
        <f t="shared" si="103"/>
        <v>1519.9600333518001</v>
      </c>
      <c r="O1113" s="15"/>
      <c r="P1113" s="20">
        <f t="shared" si="104"/>
        <v>0</v>
      </c>
      <c r="Q1113" s="15"/>
      <c r="R1113" s="20">
        <f t="shared" si="105"/>
        <v>0</v>
      </c>
      <c r="S1113" s="130"/>
      <c r="T1113" s="20">
        <f t="shared" si="106"/>
        <v>2417.53175255625</v>
      </c>
    </row>
    <row r="1114" spans="1:20">
      <c r="A1114" s="13" t="s">
        <v>21</v>
      </c>
      <c r="B1114" s="14" t="s">
        <v>84</v>
      </c>
      <c r="C1114" s="14" t="s">
        <v>85</v>
      </c>
      <c r="D1114" s="13" t="s">
        <v>86</v>
      </c>
      <c r="E1114" s="14" t="s">
        <v>87</v>
      </c>
      <c r="F1114" s="13" t="s">
        <v>88</v>
      </c>
      <c r="G1114" s="14" t="s">
        <v>20</v>
      </c>
      <c r="H1114" s="14"/>
      <c r="I1114" s="14">
        <v>201408</v>
      </c>
      <c r="J1114" s="41">
        <v>-297.47000000000003</v>
      </c>
      <c r="K1114" s="21">
        <f t="shared" si="107"/>
        <v>42675</v>
      </c>
      <c r="L1114" s="16">
        <f t="shared" si="108"/>
        <v>6</v>
      </c>
      <c r="M1114" s="17">
        <v>1.4833299999999999E-3</v>
      </c>
      <c r="N1114" s="18">
        <f t="shared" si="103"/>
        <v>-2.6474770506</v>
      </c>
      <c r="O1114" s="15"/>
      <c r="P1114" s="20">
        <f t="shared" si="104"/>
        <v>0</v>
      </c>
      <c r="Q1114" s="15"/>
      <c r="R1114" s="20">
        <f t="shared" si="105"/>
        <v>0</v>
      </c>
      <c r="S1114" s="130"/>
      <c r="T1114" s="20">
        <f t="shared" si="106"/>
        <v>-4.21087376875</v>
      </c>
    </row>
    <row r="1115" spans="1:20">
      <c r="A1115" s="13" t="s">
        <v>21</v>
      </c>
      <c r="B1115" s="14" t="s">
        <v>90</v>
      </c>
      <c r="C1115" s="14" t="s">
        <v>91</v>
      </c>
      <c r="D1115" s="13" t="s">
        <v>92</v>
      </c>
      <c r="E1115" s="14" t="s">
        <v>93</v>
      </c>
      <c r="F1115" s="13" t="s">
        <v>88</v>
      </c>
      <c r="G1115" s="14" t="s">
        <v>20</v>
      </c>
      <c r="H1115" s="14"/>
      <c r="I1115" s="14">
        <v>201408</v>
      </c>
      <c r="J1115" s="41">
        <v>2.44</v>
      </c>
      <c r="K1115" s="21">
        <f t="shared" si="107"/>
        <v>42675</v>
      </c>
      <c r="L1115" s="16">
        <f t="shared" si="108"/>
        <v>6</v>
      </c>
      <c r="M1115" s="17">
        <v>1.4833299999999999E-3</v>
      </c>
      <c r="N1115" s="18">
        <f t="shared" si="103"/>
        <v>2.17159512E-2</v>
      </c>
      <c r="O1115" s="15"/>
      <c r="P1115" s="20">
        <f t="shared" si="104"/>
        <v>0</v>
      </c>
      <c r="Q1115" s="15"/>
      <c r="R1115" s="20">
        <f t="shared" si="105"/>
        <v>0</v>
      </c>
      <c r="S1115" s="130"/>
      <c r="T1115" s="20">
        <f t="shared" si="106"/>
        <v>3.4539724999999993E-2</v>
      </c>
    </row>
    <row r="1116" spans="1:20">
      <c r="A1116" s="13" t="s">
        <v>21</v>
      </c>
      <c r="B1116" s="14" t="s">
        <v>861</v>
      </c>
      <c r="C1116" s="14" t="s">
        <v>862</v>
      </c>
      <c r="D1116" s="13" t="s">
        <v>863</v>
      </c>
      <c r="E1116" s="14" t="s">
        <v>93</v>
      </c>
      <c r="F1116" s="13" t="s">
        <v>88</v>
      </c>
      <c r="G1116" s="14" t="s">
        <v>20</v>
      </c>
      <c r="H1116" s="14"/>
      <c r="I1116" s="14">
        <v>201408</v>
      </c>
      <c r="J1116" s="41">
        <v>12770.6</v>
      </c>
      <c r="K1116" s="21">
        <f t="shared" si="107"/>
        <v>42675</v>
      </c>
      <c r="L1116" s="16">
        <f t="shared" si="108"/>
        <v>6</v>
      </c>
      <c r="M1116" s="17">
        <v>1.4833299999999999E-3</v>
      </c>
      <c r="N1116" s="18">
        <f t="shared" si="103"/>
        <v>113.65808458800001</v>
      </c>
      <c r="O1116" s="15"/>
      <c r="P1116" s="20">
        <f t="shared" si="104"/>
        <v>0</v>
      </c>
      <c r="Q1116" s="15"/>
      <c r="R1116" s="20">
        <f t="shared" si="105"/>
        <v>0</v>
      </c>
      <c r="S1116" s="130"/>
      <c r="T1116" s="20">
        <f t="shared" si="106"/>
        <v>180.77582462499998</v>
      </c>
    </row>
    <row r="1117" spans="1:20">
      <c r="A1117" s="13" t="s">
        <v>21</v>
      </c>
      <c r="B1117" s="14" t="s">
        <v>434</v>
      </c>
      <c r="C1117" s="14" t="s">
        <v>435</v>
      </c>
      <c r="D1117" s="13" t="s">
        <v>436</v>
      </c>
      <c r="E1117" s="14" t="s">
        <v>93</v>
      </c>
      <c r="F1117" s="13" t="s">
        <v>88</v>
      </c>
      <c r="G1117" s="14" t="s">
        <v>20</v>
      </c>
      <c r="H1117" s="14"/>
      <c r="I1117" s="14">
        <v>201408</v>
      </c>
      <c r="J1117" s="41">
        <v>-388.8</v>
      </c>
      <c r="K1117" s="21">
        <f t="shared" si="107"/>
        <v>42675</v>
      </c>
      <c r="L1117" s="16">
        <f t="shared" si="108"/>
        <v>6</v>
      </c>
      <c r="M1117" s="17">
        <v>1.4833299999999999E-3</v>
      </c>
      <c r="N1117" s="18">
        <f t="shared" si="103"/>
        <v>-3.4603122239999999</v>
      </c>
      <c r="O1117" s="15"/>
      <c r="P1117" s="20">
        <f t="shared" si="104"/>
        <v>0</v>
      </c>
      <c r="Q1117" s="15"/>
      <c r="R1117" s="20">
        <f t="shared" si="105"/>
        <v>0</v>
      </c>
      <c r="S1117" s="130"/>
      <c r="T1117" s="20">
        <f t="shared" si="106"/>
        <v>-5.5037070000000003</v>
      </c>
    </row>
    <row r="1118" spans="1:20">
      <c r="A1118" s="13" t="s">
        <v>21</v>
      </c>
      <c r="B1118" s="14" t="s">
        <v>558</v>
      </c>
      <c r="C1118" s="14" t="s">
        <v>559</v>
      </c>
      <c r="D1118" s="13" t="s">
        <v>560</v>
      </c>
      <c r="E1118" s="14" t="s">
        <v>87</v>
      </c>
      <c r="F1118" s="13" t="s">
        <v>88</v>
      </c>
      <c r="G1118" s="14" t="s">
        <v>20</v>
      </c>
      <c r="H1118" s="14"/>
      <c r="I1118" s="14">
        <v>201408</v>
      </c>
      <c r="J1118" s="41">
        <v>65.349999999999994</v>
      </c>
      <c r="K1118" s="21">
        <f t="shared" si="107"/>
        <v>42675</v>
      </c>
      <c r="L1118" s="16">
        <f t="shared" si="108"/>
        <v>6</v>
      </c>
      <c r="M1118" s="17">
        <v>1.4833299999999999E-3</v>
      </c>
      <c r="N1118" s="18">
        <f t="shared" si="103"/>
        <v>0.58161369299999999</v>
      </c>
      <c r="O1118" s="15"/>
      <c r="P1118" s="20">
        <f t="shared" si="104"/>
        <v>0</v>
      </c>
      <c r="Q1118" s="15"/>
      <c r="R1118" s="20">
        <f t="shared" si="105"/>
        <v>0</v>
      </c>
      <c r="S1118" s="130"/>
      <c r="T1118" s="20">
        <f t="shared" si="106"/>
        <v>0.92507009374999982</v>
      </c>
    </row>
    <row r="1119" spans="1:20">
      <c r="A1119" s="13" t="s">
        <v>21</v>
      </c>
      <c r="B1119" s="14" t="s">
        <v>568</v>
      </c>
      <c r="C1119" s="14" t="s">
        <v>569</v>
      </c>
      <c r="D1119" s="13" t="s">
        <v>570</v>
      </c>
      <c r="E1119" s="14" t="s">
        <v>209</v>
      </c>
      <c r="F1119" s="13" t="s">
        <v>88</v>
      </c>
      <c r="G1119" s="14" t="s">
        <v>20</v>
      </c>
      <c r="H1119" s="14"/>
      <c r="I1119" s="14">
        <v>201408</v>
      </c>
      <c r="J1119" s="41">
        <v>7.86</v>
      </c>
      <c r="K1119" s="21">
        <f t="shared" si="107"/>
        <v>42675</v>
      </c>
      <c r="L1119" s="16">
        <f t="shared" si="108"/>
        <v>6</v>
      </c>
      <c r="M1119" s="17">
        <v>1.4833299999999999E-3</v>
      </c>
      <c r="N1119" s="18">
        <f t="shared" si="103"/>
        <v>6.9953842799999999E-2</v>
      </c>
      <c r="O1119" s="15"/>
      <c r="P1119" s="20">
        <f t="shared" si="104"/>
        <v>0</v>
      </c>
      <c r="Q1119" s="15"/>
      <c r="R1119" s="20">
        <f t="shared" si="105"/>
        <v>0</v>
      </c>
      <c r="S1119" s="130"/>
      <c r="T1119" s="20">
        <f t="shared" si="106"/>
        <v>0.1112632125</v>
      </c>
    </row>
    <row r="1120" spans="1:20">
      <c r="A1120" s="13" t="s">
        <v>21</v>
      </c>
      <c r="B1120" s="14" t="s">
        <v>574</v>
      </c>
      <c r="C1120" s="14" t="s">
        <v>575</v>
      </c>
      <c r="D1120" s="13" t="s">
        <v>576</v>
      </c>
      <c r="E1120" s="14" t="s">
        <v>87</v>
      </c>
      <c r="F1120" s="13" t="s">
        <v>88</v>
      </c>
      <c r="G1120" s="14" t="s">
        <v>20</v>
      </c>
      <c r="H1120" s="14"/>
      <c r="I1120" s="14">
        <v>201408</v>
      </c>
      <c r="J1120" s="41">
        <v>-448.9</v>
      </c>
      <c r="K1120" s="21">
        <f t="shared" si="107"/>
        <v>42675</v>
      </c>
      <c r="L1120" s="16">
        <f t="shared" si="108"/>
        <v>6</v>
      </c>
      <c r="M1120" s="17">
        <v>1.4833299999999999E-3</v>
      </c>
      <c r="N1120" s="18">
        <f t="shared" si="103"/>
        <v>-3.9952010219999998</v>
      </c>
      <c r="O1120" s="15"/>
      <c r="P1120" s="20">
        <f t="shared" si="104"/>
        <v>0</v>
      </c>
      <c r="Q1120" s="15"/>
      <c r="R1120" s="20">
        <f t="shared" si="105"/>
        <v>0</v>
      </c>
      <c r="S1120" s="130"/>
      <c r="T1120" s="20">
        <f t="shared" si="106"/>
        <v>-6.3544600624999994</v>
      </c>
    </row>
    <row r="1121" spans="1:20">
      <c r="A1121" s="13" t="s">
        <v>21</v>
      </c>
      <c r="B1121" s="14" t="s">
        <v>864</v>
      </c>
      <c r="C1121" s="14" t="s">
        <v>865</v>
      </c>
      <c r="D1121" s="13" t="s">
        <v>866</v>
      </c>
      <c r="E1121" s="14" t="s">
        <v>209</v>
      </c>
      <c r="F1121" s="13" t="s">
        <v>88</v>
      </c>
      <c r="G1121" s="14" t="s">
        <v>20</v>
      </c>
      <c r="H1121" s="14"/>
      <c r="I1121" s="14">
        <v>201408</v>
      </c>
      <c r="J1121" s="41">
        <v>2026.15</v>
      </c>
      <c r="K1121" s="21">
        <f t="shared" si="107"/>
        <v>42675</v>
      </c>
      <c r="L1121" s="16">
        <f t="shared" si="108"/>
        <v>6</v>
      </c>
      <c r="M1121" s="17">
        <v>1.4833299999999999E-3</v>
      </c>
      <c r="N1121" s="18">
        <f t="shared" si="103"/>
        <v>18.032694477</v>
      </c>
      <c r="O1121" s="15"/>
      <c r="P1121" s="20">
        <f t="shared" si="104"/>
        <v>0</v>
      </c>
      <c r="Q1121" s="15"/>
      <c r="R1121" s="20">
        <f t="shared" si="105"/>
        <v>0</v>
      </c>
      <c r="S1121" s="130"/>
      <c r="T1121" s="20">
        <f t="shared" si="106"/>
        <v>28.68141959375</v>
      </c>
    </row>
    <row r="1122" spans="1:20">
      <c r="A1122" s="13" t="s">
        <v>21</v>
      </c>
      <c r="B1122" s="14" t="s">
        <v>845</v>
      </c>
      <c r="C1122" s="14" t="s">
        <v>846</v>
      </c>
      <c r="D1122" s="13" t="s">
        <v>847</v>
      </c>
      <c r="E1122" s="14" t="s">
        <v>87</v>
      </c>
      <c r="F1122" s="13" t="s">
        <v>88</v>
      </c>
      <c r="G1122" s="14" t="s">
        <v>20</v>
      </c>
      <c r="H1122" s="14"/>
      <c r="I1122" s="14">
        <v>201408</v>
      </c>
      <c r="J1122" s="41">
        <v>-1017.49</v>
      </c>
      <c r="K1122" s="21">
        <f t="shared" si="107"/>
        <v>42675</v>
      </c>
      <c r="L1122" s="16">
        <f t="shared" si="108"/>
        <v>6</v>
      </c>
      <c r="M1122" s="17">
        <v>1.4833299999999999E-3</v>
      </c>
      <c r="N1122" s="18">
        <f t="shared" si="103"/>
        <v>-9.0556406502000009</v>
      </c>
      <c r="O1122" s="15"/>
      <c r="P1122" s="20">
        <f t="shared" si="104"/>
        <v>0</v>
      </c>
      <c r="Q1122" s="15"/>
      <c r="R1122" s="20">
        <f t="shared" si="105"/>
        <v>0</v>
      </c>
      <c r="S1122" s="130"/>
      <c r="T1122" s="20">
        <f t="shared" si="106"/>
        <v>-14.40320688125</v>
      </c>
    </row>
    <row r="1123" spans="1:20">
      <c r="A1123" s="13" t="s">
        <v>21</v>
      </c>
      <c r="B1123" s="14" t="s">
        <v>174</v>
      </c>
      <c r="C1123" s="14" t="s">
        <v>175</v>
      </c>
      <c r="D1123" s="13" t="s">
        <v>176</v>
      </c>
      <c r="E1123" s="14" t="s">
        <v>93</v>
      </c>
      <c r="F1123" s="13" t="s">
        <v>88</v>
      </c>
      <c r="G1123" s="14" t="s">
        <v>20</v>
      </c>
      <c r="H1123" s="14"/>
      <c r="I1123" s="14">
        <v>201408</v>
      </c>
      <c r="J1123" s="41">
        <v>-604.88</v>
      </c>
      <c r="K1123" s="21">
        <f t="shared" si="107"/>
        <v>42675</v>
      </c>
      <c r="L1123" s="16">
        <f t="shared" si="108"/>
        <v>6</v>
      </c>
      <c r="M1123" s="17">
        <v>1.4833299999999999E-3</v>
      </c>
      <c r="N1123" s="18">
        <f t="shared" si="103"/>
        <v>-5.3834199024</v>
      </c>
      <c r="O1123" s="15"/>
      <c r="P1123" s="20">
        <f t="shared" si="104"/>
        <v>0</v>
      </c>
      <c r="Q1123" s="15"/>
      <c r="R1123" s="20">
        <f t="shared" si="105"/>
        <v>0</v>
      </c>
      <c r="S1123" s="130"/>
      <c r="T1123" s="20">
        <f t="shared" si="106"/>
        <v>-8.5624544499999988</v>
      </c>
    </row>
    <row r="1124" spans="1:20">
      <c r="A1124" s="13" t="s">
        <v>21</v>
      </c>
      <c r="B1124" s="14" t="s">
        <v>449</v>
      </c>
      <c r="C1124" s="14" t="s">
        <v>450</v>
      </c>
      <c r="D1124" s="13" t="s">
        <v>451</v>
      </c>
      <c r="E1124" s="14" t="s">
        <v>452</v>
      </c>
      <c r="F1124" s="13" t="s">
        <v>398</v>
      </c>
      <c r="G1124" s="14" t="s">
        <v>20</v>
      </c>
      <c r="H1124" s="14"/>
      <c r="I1124" s="14">
        <v>201408</v>
      </c>
      <c r="J1124" s="41">
        <v>-139.74</v>
      </c>
      <c r="K1124" s="21">
        <f t="shared" si="107"/>
        <v>42675</v>
      </c>
      <c r="L1124" s="16">
        <f t="shared" si="108"/>
        <v>6</v>
      </c>
      <c r="M1124" s="17">
        <v>1.4833299999999999E-3</v>
      </c>
      <c r="N1124" s="18">
        <f t="shared" si="103"/>
        <v>-1.2436832052000002</v>
      </c>
      <c r="O1124" s="15"/>
      <c r="P1124" s="20">
        <f t="shared" si="104"/>
        <v>0</v>
      </c>
      <c r="Q1124" s="15"/>
      <c r="R1124" s="20">
        <f t="shared" si="105"/>
        <v>0</v>
      </c>
      <c r="S1124" s="130"/>
      <c r="T1124" s="20">
        <f t="shared" si="106"/>
        <v>-1.9781070374999998</v>
      </c>
    </row>
    <row r="1125" spans="1:20">
      <c r="A1125" s="13" t="s">
        <v>21</v>
      </c>
      <c r="B1125" s="14" t="s">
        <v>744</v>
      </c>
      <c r="C1125" s="14" t="s">
        <v>745</v>
      </c>
      <c r="D1125" s="13" t="s">
        <v>746</v>
      </c>
      <c r="E1125" s="14" t="s">
        <v>209</v>
      </c>
      <c r="F1125" s="13" t="s">
        <v>88</v>
      </c>
      <c r="G1125" s="14" t="s">
        <v>20</v>
      </c>
      <c r="H1125" s="14"/>
      <c r="I1125" s="14">
        <v>201408</v>
      </c>
      <c r="J1125" s="41">
        <v>-4.43</v>
      </c>
      <c r="K1125" s="21">
        <f t="shared" si="107"/>
        <v>42675</v>
      </c>
      <c r="L1125" s="16">
        <f t="shared" si="108"/>
        <v>6</v>
      </c>
      <c r="M1125" s="17">
        <v>1.4833299999999999E-3</v>
      </c>
      <c r="N1125" s="18">
        <f t="shared" si="103"/>
        <v>-3.94269114E-2</v>
      </c>
      <c r="O1125" s="15"/>
      <c r="P1125" s="20">
        <f t="shared" si="104"/>
        <v>0</v>
      </c>
      <c r="Q1125" s="15"/>
      <c r="R1125" s="20">
        <f t="shared" si="105"/>
        <v>0</v>
      </c>
      <c r="S1125" s="130"/>
      <c r="T1125" s="20">
        <f t="shared" si="106"/>
        <v>-6.2709418749999996E-2</v>
      </c>
    </row>
    <row r="1126" spans="1:20">
      <c r="A1126" s="13" t="s">
        <v>21</v>
      </c>
      <c r="B1126" s="14" t="s">
        <v>203</v>
      </c>
      <c r="C1126" s="14" t="s">
        <v>204</v>
      </c>
      <c r="D1126" s="13" t="s">
        <v>205</v>
      </c>
      <c r="E1126" s="14" t="s">
        <v>93</v>
      </c>
      <c r="F1126" s="13" t="s">
        <v>88</v>
      </c>
      <c r="G1126" s="14" t="s">
        <v>20</v>
      </c>
      <c r="H1126" s="14"/>
      <c r="I1126" s="14">
        <v>201408</v>
      </c>
      <c r="J1126" s="41">
        <v>-68.44</v>
      </c>
      <c r="K1126" s="21">
        <f t="shared" si="107"/>
        <v>42675</v>
      </c>
      <c r="L1126" s="16">
        <f t="shared" si="108"/>
        <v>6</v>
      </c>
      <c r="M1126" s="17">
        <v>1.4833299999999999E-3</v>
      </c>
      <c r="N1126" s="18">
        <f t="shared" si="103"/>
        <v>-0.60911463119999998</v>
      </c>
      <c r="O1126" s="15"/>
      <c r="P1126" s="20">
        <f t="shared" si="104"/>
        <v>0</v>
      </c>
      <c r="Q1126" s="15"/>
      <c r="R1126" s="20">
        <f t="shared" si="105"/>
        <v>0</v>
      </c>
      <c r="S1126" s="130"/>
      <c r="T1126" s="20">
        <f t="shared" si="106"/>
        <v>-0.96881097499999991</v>
      </c>
    </row>
    <row r="1127" spans="1:20">
      <c r="A1127" s="13" t="s">
        <v>21</v>
      </c>
      <c r="B1127" s="14" t="s">
        <v>206</v>
      </c>
      <c r="C1127" s="14" t="s">
        <v>207</v>
      </c>
      <c r="D1127" s="13" t="s">
        <v>208</v>
      </c>
      <c r="E1127" s="14" t="s">
        <v>209</v>
      </c>
      <c r="F1127" s="13" t="s">
        <v>88</v>
      </c>
      <c r="G1127" s="14" t="s">
        <v>20</v>
      </c>
      <c r="H1127" s="14"/>
      <c r="I1127" s="14">
        <v>201408</v>
      </c>
      <c r="J1127" s="41">
        <v>53.58</v>
      </c>
      <c r="K1127" s="21">
        <f t="shared" si="107"/>
        <v>42675</v>
      </c>
      <c r="L1127" s="16">
        <f t="shared" si="108"/>
        <v>6</v>
      </c>
      <c r="M1127" s="17">
        <v>1.4833299999999999E-3</v>
      </c>
      <c r="N1127" s="18">
        <f t="shared" si="103"/>
        <v>0.47686092839999999</v>
      </c>
      <c r="O1127" s="15"/>
      <c r="P1127" s="20">
        <f t="shared" si="104"/>
        <v>0</v>
      </c>
      <c r="Q1127" s="15"/>
      <c r="R1127" s="20">
        <f t="shared" si="105"/>
        <v>0</v>
      </c>
      <c r="S1127" s="130"/>
      <c r="T1127" s="20">
        <f t="shared" si="106"/>
        <v>0.75845838749999994</v>
      </c>
    </row>
    <row r="1128" spans="1:20">
      <c r="A1128" s="13" t="s">
        <v>21</v>
      </c>
      <c r="B1128" s="14" t="s">
        <v>218</v>
      </c>
      <c r="C1128" s="14" t="s">
        <v>219</v>
      </c>
      <c r="D1128" s="13" t="s">
        <v>220</v>
      </c>
      <c r="E1128" s="14" t="s">
        <v>209</v>
      </c>
      <c r="F1128" s="13" t="s">
        <v>88</v>
      </c>
      <c r="G1128" s="14" t="s">
        <v>20</v>
      </c>
      <c r="H1128" s="14"/>
      <c r="I1128" s="14">
        <v>201408</v>
      </c>
      <c r="J1128" s="41">
        <v>14.97</v>
      </c>
      <c r="K1128" s="21">
        <f t="shared" si="107"/>
        <v>42675</v>
      </c>
      <c r="L1128" s="16">
        <f t="shared" si="108"/>
        <v>6</v>
      </c>
      <c r="M1128" s="17">
        <v>1.4833299999999999E-3</v>
      </c>
      <c r="N1128" s="18">
        <f t="shared" si="103"/>
        <v>0.1332327006</v>
      </c>
      <c r="O1128" s="15"/>
      <c r="P1128" s="20">
        <f t="shared" si="104"/>
        <v>0</v>
      </c>
      <c r="Q1128" s="15"/>
      <c r="R1128" s="20">
        <f t="shared" si="105"/>
        <v>0</v>
      </c>
      <c r="S1128" s="130"/>
      <c r="T1128" s="20">
        <f t="shared" si="106"/>
        <v>0.21190970625</v>
      </c>
    </row>
    <row r="1129" spans="1:20">
      <c r="A1129" s="13" t="s">
        <v>21</v>
      </c>
      <c r="B1129" s="14" t="s">
        <v>472</v>
      </c>
      <c r="C1129" s="14" t="s">
        <v>473</v>
      </c>
      <c r="D1129" s="13" t="s">
        <v>474</v>
      </c>
      <c r="E1129" s="14" t="s">
        <v>87</v>
      </c>
      <c r="F1129" s="13" t="s">
        <v>88</v>
      </c>
      <c r="G1129" s="14" t="s">
        <v>20</v>
      </c>
      <c r="H1129" s="14"/>
      <c r="I1129" s="14">
        <v>201408</v>
      </c>
      <c r="J1129" s="41">
        <v>-291.66000000000003</v>
      </c>
      <c r="K1129" s="21">
        <f t="shared" si="107"/>
        <v>42675</v>
      </c>
      <c r="L1129" s="16">
        <f t="shared" si="108"/>
        <v>6</v>
      </c>
      <c r="M1129" s="17">
        <v>1.4833299999999999E-3</v>
      </c>
      <c r="N1129" s="18">
        <f t="shared" si="103"/>
        <v>-2.5957681668000001</v>
      </c>
      <c r="O1129" s="15"/>
      <c r="P1129" s="20">
        <f t="shared" si="104"/>
        <v>0</v>
      </c>
      <c r="Q1129" s="15"/>
      <c r="R1129" s="20">
        <f t="shared" si="105"/>
        <v>0</v>
      </c>
      <c r="S1129" s="130"/>
      <c r="T1129" s="20">
        <f t="shared" si="106"/>
        <v>-4.1286295874999999</v>
      </c>
    </row>
    <row r="1130" spans="1:20">
      <c r="A1130" s="13" t="s">
        <v>21</v>
      </c>
      <c r="B1130" s="14" t="s">
        <v>617</v>
      </c>
      <c r="C1130" s="14" t="s">
        <v>618</v>
      </c>
      <c r="D1130" s="13" t="s">
        <v>619</v>
      </c>
      <c r="E1130" s="14" t="s">
        <v>87</v>
      </c>
      <c r="F1130" s="13" t="s">
        <v>88</v>
      </c>
      <c r="G1130" s="14" t="s">
        <v>20</v>
      </c>
      <c r="H1130" s="14"/>
      <c r="I1130" s="14">
        <v>201408</v>
      </c>
      <c r="J1130" s="41">
        <v>-10.220000000000001</v>
      </c>
      <c r="K1130" s="21">
        <f t="shared" si="107"/>
        <v>42675</v>
      </c>
      <c r="L1130" s="16">
        <f t="shared" si="108"/>
        <v>6</v>
      </c>
      <c r="M1130" s="17">
        <v>1.4833299999999999E-3</v>
      </c>
      <c r="N1130" s="18">
        <f t="shared" si="103"/>
        <v>-9.0957795600000002E-2</v>
      </c>
      <c r="O1130" s="15"/>
      <c r="P1130" s="20">
        <f t="shared" si="104"/>
        <v>0</v>
      </c>
      <c r="Q1130" s="15"/>
      <c r="R1130" s="20">
        <f t="shared" si="105"/>
        <v>0</v>
      </c>
      <c r="S1130" s="130"/>
      <c r="T1130" s="20">
        <f t="shared" si="106"/>
        <v>-0.1446704875</v>
      </c>
    </row>
    <row r="1131" spans="1:20">
      <c r="A1131" s="13" t="s">
        <v>21</v>
      </c>
      <c r="B1131" s="14" t="s">
        <v>620</v>
      </c>
      <c r="C1131" s="14" t="s">
        <v>621</v>
      </c>
      <c r="D1131" s="13" t="s">
        <v>622</v>
      </c>
      <c r="E1131" s="14" t="s">
        <v>209</v>
      </c>
      <c r="F1131" s="13" t="s">
        <v>88</v>
      </c>
      <c r="G1131" s="14" t="s">
        <v>20</v>
      </c>
      <c r="H1131" s="14"/>
      <c r="I1131" s="14">
        <v>201408</v>
      </c>
      <c r="J1131" s="41">
        <v>-9.7200000000000006</v>
      </c>
      <c r="K1131" s="21">
        <f t="shared" si="107"/>
        <v>42675</v>
      </c>
      <c r="L1131" s="16">
        <f t="shared" si="108"/>
        <v>6</v>
      </c>
      <c r="M1131" s="17">
        <v>1.4833299999999999E-3</v>
      </c>
      <c r="N1131" s="18">
        <f t="shared" si="103"/>
        <v>-8.6507805600000001E-2</v>
      </c>
      <c r="O1131" s="15"/>
      <c r="P1131" s="20">
        <f t="shared" si="104"/>
        <v>0</v>
      </c>
      <c r="Q1131" s="15"/>
      <c r="R1131" s="20">
        <f t="shared" si="105"/>
        <v>0</v>
      </c>
      <c r="S1131" s="130"/>
      <c r="T1131" s="20">
        <f t="shared" si="106"/>
        <v>-0.137592675</v>
      </c>
    </row>
    <row r="1132" spans="1:20">
      <c r="A1132" s="13" t="s">
        <v>21</v>
      </c>
      <c r="B1132" s="14" t="s">
        <v>867</v>
      </c>
      <c r="C1132" s="14" t="s">
        <v>868</v>
      </c>
      <c r="D1132" s="13" t="s">
        <v>869</v>
      </c>
      <c r="E1132" s="14" t="s">
        <v>93</v>
      </c>
      <c r="F1132" s="13" t="s">
        <v>88</v>
      </c>
      <c r="G1132" s="14" t="s">
        <v>20</v>
      </c>
      <c r="H1132" s="14"/>
      <c r="I1132" s="14">
        <v>201408</v>
      </c>
      <c r="J1132" s="41">
        <v>262776.23</v>
      </c>
      <c r="K1132" s="21">
        <f t="shared" si="107"/>
        <v>42675</v>
      </c>
      <c r="L1132" s="16">
        <f t="shared" si="108"/>
        <v>6</v>
      </c>
      <c r="M1132" s="17">
        <v>1.4833299999999999E-3</v>
      </c>
      <c r="N1132" s="18">
        <f t="shared" si="103"/>
        <v>2338.7031914753998</v>
      </c>
      <c r="O1132" s="15"/>
      <c r="P1132" s="20">
        <f t="shared" si="104"/>
        <v>0</v>
      </c>
      <c r="Q1132" s="15"/>
      <c r="R1132" s="20">
        <f t="shared" si="105"/>
        <v>0</v>
      </c>
      <c r="S1132" s="130"/>
      <c r="T1132" s="20">
        <f t="shared" si="106"/>
        <v>3719.7617707937493</v>
      </c>
    </row>
    <row r="1133" spans="1:20">
      <c r="A1133" s="13" t="s">
        <v>21</v>
      </c>
      <c r="B1133" s="14" t="s">
        <v>488</v>
      </c>
      <c r="C1133" s="14" t="s">
        <v>489</v>
      </c>
      <c r="D1133" s="13" t="s">
        <v>490</v>
      </c>
      <c r="E1133" s="14" t="s">
        <v>93</v>
      </c>
      <c r="F1133" s="13" t="s">
        <v>88</v>
      </c>
      <c r="G1133" s="14" t="s">
        <v>20</v>
      </c>
      <c r="H1133" s="14"/>
      <c r="I1133" s="14">
        <v>201408</v>
      </c>
      <c r="J1133" s="41">
        <v>-48.63</v>
      </c>
      <c r="K1133" s="21">
        <f t="shared" si="107"/>
        <v>42675</v>
      </c>
      <c r="L1133" s="16">
        <f t="shared" si="108"/>
        <v>6</v>
      </c>
      <c r="M1133" s="17">
        <v>1.4833299999999999E-3</v>
      </c>
      <c r="N1133" s="18">
        <f t="shared" si="103"/>
        <v>-0.43280602740000002</v>
      </c>
      <c r="O1133" s="15"/>
      <c r="P1133" s="20">
        <f t="shared" si="104"/>
        <v>0</v>
      </c>
      <c r="Q1133" s="15"/>
      <c r="R1133" s="20">
        <f t="shared" si="105"/>
        <v>0</v>
      </c>
      <c r="S1133" s="130"/>
      <c r="T1133" s="20">
        <f t="shared" si="106"/>
        <v>-0.68838804374999996</v>
      </c>
    </row>
    <row r="1134" spans="1:20">
      <c r="A1134" s="13" t="s">
        <v>21</v>
      </c>
      <c r="B1134" s="14" t="s">
        <v>394</v>
      </c>
      <c r="C1134" s="14" t="s">
        <v>395</v>
      </c>
      <c r="D1134" s="13" t="s">
        <v>396</v>
      </c>
      <c r="E1134" s="14" t="s">
        <v>397</v>
      </c>
      <c r="F1134" s="13" t="s">
        <v>398</v>
      </c>
      <c r="G1134" s="14" t="s">
        <v>20</v>
      </c>
      <c r="H1134" s="14"/>
      <c r="I1134" s="14">
        <v>201408</v>
      </c>
      <c r="J1134" s="41">
        <v>92.11</v>
      </c>
      <c r="K1134" s="21">
        <f t="shared" si="107"/>
        <v>42675</v>
      </c>
      <c r="L1134" s="16">
        <f t="shared" si="108"/>
        <v>6</v>
      </c>
      <c r="M1134" s="17">
        <v>1.4833299999999999E-3</v>
      </c>
      <c r="N1134" s="18">
        <f t="shared" si="103"/>
        <v>0.81977715780000004</v>
      </c>
      <c r="O1134" s="15"/>
      <c r="P1134" s="20">
        <f t="shared" si="104"/>
        <v>0</v>
      </c>
      <c r="Q1134" s="15"/>
      <c r="R1134" s="20">
        <f t="shared" si="105"/>
        <v>0</v>
      </c>
      <c r="S1134" s="130"/>
      <c r="T1134" s="20">
        <f t="shared" si="106"/>
        <v>1.3038746187499999</v>
      </c>
    </row>
    <row r="1135" spans="1:20">
      <c r="A1135" s="13" t="s">
        <v>21</v>
      </c>
      <c r="B1135" s="14" t="s">
        <v>406</v>
      </c>
      <c r="C1135" s="14" t="s">
        <v>407</v>
      </c>
      <c r="D1135" s="13" t="s">
        <v>408</v>
      </c>
      <c r="E1135" s="14" t="s">
        <v>87</v>
      </c>
      <c r="F1135" s="13" t="s">
        <v>88</v>
      </c>
      <c r="G1135" s="14" t="s">
        <v>20</v>
      </c>
      <c r="H1135" s="14"/>
      <c r="I1135" s="14">
        <v>201408</v>
      </c>
      <c r="J1135" s="41">
        <v>41.09</v>
      </c>
      <c r="K1135" s="21">
        <f t="shared" si="107"/>
        <v>42675</v>
      </c>
      <c r="L1135" s="16">
        <f t="shared" si="108"/>
        <v>6</v>
      </c>
      <c r="M1135" s="17">
        <v>1.4833299999999999E-3</v>
      </c>
      <c r="N1135" s="18">
        <f t="shared" si="103"/>
        <v>0.36570017820000006</v>
      </c>
      <c r="O1135" s="15"/>
      <c r="P1135" s="20">
        <f t="shared" si="104"/>
        <v>0</v>
      </c>
      <c r="Q1135" s="15"/>
      <c r="R1135" s="20">
        <f t="shared" si="105"/>
        <v>0</v>
      </c>
      <c r="S1135" s="130"/>
      <c r="T1135" s="20">
        <f t="shared" si="106"/>
        <v>0.58165463124999994</v>
      </c>
    </row>
    <row r="1136" spans="1:20">
      <c r="A1136" s="13" t="s">
        <v>21</v>
      </c>
      <c r="B1136" s="14" t="s">
        <v>645</v>
      </c>
      <c r="C1136" s="14" t="s">
        <v>646</v>
      </c>
      <c r="D1136" s="13" t="s">
        <v>647</v>
      </c>
      <c r="E1136" s="14" t="s">
        <v>397</v>
      </c>
      <c r="F1136" s="13" t="s">
        <v>398</v>
      </c>
      <c r="G1136" s="14" t="s">
        <v>20</v>
      </c>
      <c r="H1136" s="14"/>
      <c r="I1136" s="14">
        <v>201408</v>
      </c>
      <c r="J1136" s="41">
        <v>-3456.02</v>
      </c>
      <c r="K1136" s="21">
        <f t="shared" si="107"/>
        <v>42675</v>
      </c>
      <c r="L1136" s="16">
        <f t="shared" si="108"/>
        <v>6</v>
      </c>
      <c r="M1136" s="17">
        <v>1.4833299999999999E-3</v>
      </c>
      <c r="N1136" s="18">
        <f t="shared" si="103"/>
        <v>-30.758508879600001</v>
      </c>
      <c r="O1136" s="15"/>
      <c r="P1136" s="20">
        <f t="shared" si="104"/>
        <v>0</v>
      </c>
      <c r="Q1136" s="15"/>
      <c r="R1136" s="20">
        <f t="shared" si="105"/>
        <v>0</v>
      </c>
      <c r="S1136" s="130"/>
      <c r="T1136" s="20">
        <f t="shared" si="106"/>
        <v>-48.922123112499996</v>
      </c>
    </row>
    <row r="1137" spans="1:20">
      <c r="A1137" s="13" t="s">
        <v>21</v>
      </c>
      <c r="B1137" s="14" t="s">
        <v>711</v>
      </c>
      <c r="C1137" s="14" t="s">
        <v>712</v>
      </c>
      <c r="D1137" s="13" t="s">
        <v>713</v>
      </c>
      <c r="E1137" s="14" t="s">
        <v>613</v>
      </c>
      <c r="F1137" s="13" t="s">
        <v>398</v>
      </c>
      <c r="G1137" s="14" t="s">
        <v>20</v>
      </c>
      <c r="H1137" s="14"/>
      <c r="I1137" s="14">
        <v>201408</v>
      </c>
      <c r="J1137" s="41">
        <v>-99.97</v>
      </c>
      <c r="K1137" s="21">
        <f t="shared" si="107"/>
        <v>42675</v>
      </c>
      <c r="L1137" s="16">
        <f t="shared" si="108"/>
        <v>6</v>
      </c>
      <c r="M1137" s="17">
        <v>1.4833299999999999E-3</v>
      </c>
      <c r="N1137" s="18">
        <f t="shared" si="103"/>
        <v>-0.88973100059999999</v>
      </c>
      <c r="O1137" s="15"/>
      <c r="P1137" s="20">
        <f t="shared" si="104"/>
        <v>0</v>
      </c>
      <c r="Q1137" s="15"/>
      <c r="R1137" s="20">
        <f t="shared" si="105"/>
        <v>0</v>
      </c>
      <c r="S1137" s="130"/>
      <c r="T1137" s="20">
        <f t="shared" si="106"/>
        <v>-1.4151378312499998</v>
      </c>
    </row>
    <row r="1138" spans="1:20">
      <c r="A1138" s="13" t="s">
        <v>21</v>
      </c>
      <c r="B1138" s="14" t="s">
        <v>412</v>
      </c>
      <c r="C1138" s="14" t="s">
        <v>413</v>
      </c>
      <c r="D1138" s="13" t="s">
        <v>414</v>
      </c>
      <c r="E1138" s="14" t="s">
        <v>415</v>
      </c>
      <c r="F1138" s="13" t="s">
        <v>88</v>
      </c>
      <c r="G1138" s="14" t="s">
        <v>20</v>
      </c>
      <c r="H1138" s="14"/>
      <c r="I1138" s="14">
        <v>201408</v>
      </c>
      <c r="J1138" s="41">
        <v>-41.22</v>
      </c>
      <c r="K1138" s="21">
        <f t="shared" si="107"/>
        <v>42675</v>
      </c>
      <c r="L1138" s="16">
        <f t="shared" si="108"/>
        <v>6</v>
      </c>
      <c r="M1138" s="17">
        <v>1.4833299999999999E-3</v>
      </c>
      <c r="N1138" s="18">
        <f t="shared" si="103"/>
        <v>-0.36685717559999997</v>
      </c>
      <c r="O1138" s="15"/>
      <c r="P1138" s="20">
        <f t="shared" si="104"/>
        <v>0</v>
      </c>
      <c r="Q1138" s="15"/>
      <c r="R1138" s="20">
        <f t="shared" si="105"/>
        <v>0</v>
      </c>
      <c r="S1138" s="130"/>
      <c r="T1138" s="20">
        <f t="shared" si="106"/>
        <v>-0.58349486250000004</v>
      </c>
    </row>
    <row r="1139" spans="1:20">
      <c r="A1139" s="13" t="s">
        <v>21</v>
      </c>
      <c r="B1139" s="14" t="s">
        <v>491</v>
      </c>
      <c r="C1139" s="14" t="s">
        <v>492</v>
      </c>
      <c r="D1139" s="13" t="s">
        <v>493</v>
      </c>
      <c r="E1139" s="14" t="s">
        <v>87</v>
      </c>
      <c r="F1139" s="13" t="s">
        <v>88</v>
      </c>
      <c r="G1139" s="14" t="s">
        <v>20</v>
      </c>
      <c r="H1139" s="14"/>
      <c r="I1139" s="14">
        <v>201408</v>
      </c>
      <c r="J1139" s="41">
        <v>-572.64</v>
      </c>
      <c r="K1139" s="21">
        <f t="shared" si="107"/>
        <v>42675</v>
      </c>
      <c r="L1139" s="16">
        <f t="shared" si="108"/>
        <v>6</v>
      </c>
      <c r="M1139" s="17">
        <v>1.4833299999999999E-3</v>
      </c>
      <c r="N1139" s="18">
        <f t="shared" si="103"/>
        <v>-5.0964845472000002</v>
      </c>
      <c r="O1139" s="15"/>
      <c r="P1139" s="20">
        <f t="shared" si="104"/>
        <v>0</v>
      </c>
      <c r="Q1139" s="15"/>
      <c r="R1139" s="20">
        <f t="shared" si="105"/>
        <v>0</v>
      </c>
      <c r="S1139" s="130"/>
      <c r="T1139" s="20">
        <f t="shared" si="106"/>
        <v>-8.1060771000000003</v>
      </c>
    </row>
    <row r="1140" spans="1:20">
      <c r="A1140" s="13" t="s">
        <v>21</v>
      </c>
      <c r="B1140" s="14" t="s">
        <v>654</v>
      </c>
      <c r="C1140" s="14" t="s">
        <v>655</v>
      </c>
      <c r="D1140" s="13" t="s">
        <v>656</v>
      </c>
      <c r="E1140" s="14" t="s">
        <v>87</v>
      </c>
      <c r="F1140" s="13" t="s">
        <v>88</v>
      </c>
      <c r="G1140" s="14" t="s">
        <v>20</v>
      </c>
      <c r="H1140" s="14"/>
      <c r="I1140" s="14">
        <v>201408</v>
      </c>
      <c r="J1140" s="41">
        <v>-29.38</v>
      </c>
      <c r="K1140" s="21">
        <f t="shared" si="107"/>
        <v>42675</v>
      </c>
      <c r="L1140" s="16">
        <f t="shared" si="108"/>
        <v>6</v>
      </c>
      <c r="M1140" s="17">
        <v>1.4833299999999999E-3</v>
      </c>
      <c r="N1140" s="18">
        <f t="shared" si="103"/>
        <v>-0.2614814124</v>
      </c>
      <c r="O1140" s="15"/>
      <c r="P1140" s="20">
        <f t="shared" si="104"/>
        <v>0</v>
      </c>
      <c r="Q1140" s="15"/>
      <c r="R1140" s="20">
        <f t="shared" si="105"/>
        <v>0</v>
      </c>
      <c r="S1140" s="130"/>
      <c r="T1140" s="20">
        <f t="shared" si="106"/>
        <v>-0.41589226249999994</v>
      </c>
    </row>
    <row r="1141" spans="1:20">
      <c r="A1141" s="13" t="s">
        <v>21</v>
      </c>
      <c r="B1141" s="14" t="s">
        <v>666</v>
      </c>
      <c r="C1141" s="14" t="s">
        <v>667</v>
      </c>
      <c r="D1141" s="13" t="s">
        <v>668</v>
      </c>
      <c r="E1141" s="14" t="s">
        <v>87</v>
      </c>
      <c r="F1141" s="13" t="s">
        <v>88</v>
      </c>
      <c r="G1141" s="14" t="s">
        <v>20</v>
      </c>
      <c r="H1141" s="14"/>
      <c r="I1141" s="14">
        <v>201408</v>
      </c>
      <c r="J1141" s="41">
        <v>2118.63</v>
      </c>
      <c r="K1141" s="21">
        <f t="shared" si="107"/>
        <v>42675</v>
      </c>
      <c r="L1141" s="16">
        <f t="shared" si="108"/>
        <v>6</v>
      </c>
      <c r="M1141" s="17">
        <v>1.4833299999999999E-3</v>
      </c>
      <c r="N1141" s="18">
        <f t="shared" si="103"/>
        <v>18.855764627400003</v>
      </c>
      <c r="O1141" s="15"/>
      <c r="P1141" s="20">
        <f t="shared" si="104"/>
        <v>0</v>
      </c>
      <c r="Q1141" s="15"/>
      <c r="R1141" s="20">
        <f t="shared" si="105"/>
        <v>0</v>
      </c>
      <c r="S1141" s="130"/>
      <c r="T1141" s="20">
        <f t="shared" si="106"/>
        <v>29.990531793750002</v>
      </c>
    </row>
    <row r="1142" spans="1:20">
      <c r="A1142" s="13" t="s">
        <v>21</v>
      </c>
      <c r="B1142" s="14" t="s">
        <v>416</v>
      </c>
      <c r="C1142" s="14" t="s">
        <v>417</v>
      </c>
      <c r="D1142" s="13" t="s">
        <v>418</v>
      </c>
      <c r="E1142" s="14" t="s">
        <v>209</v>
      </c>
      <c r="F1142" s="13" t="s">
        <v>88</v>
      </c>
      <c r="G1142" s="14" t="s">
        <v>20</v>
      </c>
      <c r="H1142" s="14"/>
      <c r="I1142" s="14">
        <v>201408</v>
      </c>
      <c r="J1142" s="41">
        <v>26.85</v>
      </c>
      <c r="K1142" s="21">
        <f t="shared" si="107"/>
        <v>42675</v>
      </c>
      <c r="L1142" s="16">
        <f t="shared" si="108"/>
        <v>6</v>
      </c>
      <c r="M1142" s="17">
        <v>1.4833299999999999E-3</v>
      </c>
      <c r="N1142" s="18">
        <f t="shared" si="103"/>
        <v>0.23896446300000002</v>
      </c>
      <c r="O1142" s="15"/>
      <c r="P1142" s="20">
        <f t="shared" si="104"/>
        <v>0</v>
      </c>
      <c r="Q1142" s="15"/>
      <c r="R1142" s="20">
        <f t="shared" si="105"/>
        <v>0</v>
      </c>
      <c r="S1142" s="130"/>
      <c r="T1142" s="20">
        <f t="shared" si="106"/>
        <v>0.38007853124999996</v>
      </c>
    </row>
    <row r="1143" spans="1:20">
      <c r="A1143" s="13" t="s">
        <v>21</v>
      </c>
      <c r="B1143" s="14" t="s">
        <v>332</v>
      </c>
      <c r="C1143" s="14" t="s">
        <v>333</v>
      </c>
      <c r="D1143" s="13" t="s">
        <v>334</v>
      </c>
      <c r="E1143" s="14" t="s">
        <v>209</v>
      </c>
      <c r="F1143" s="13" t="s">
        <v>88</v>
      </c>
      <c r="G1143" s="14" t="s">
        <v>20</v>
      </c>
      <c r="H1143" s="14"/>
      <c r="I1143" s="14">
        <v>201408</v>
      </c>
      <c r="J1143" s="41">
        <v>-193.31</v>
      </c>
      <c r="K1143" s="21">
        <f t="shared" si="107"/>
        <v>42675</v>
      </c>
      <c r="L1143" s="16">
        <f t="shared" si="108"/>
        <v>6</v>
      </c>
      <c r="M1143" s="17">
        <v>1.4833299999999999E-3</v>
      </c>
      <c r="N1143" s="18">
        <f t="shared" si="103"/>
        <v>-1.7204551338</v>
      </c>
      <c r="O1143" s="15"/>
      <c r="P1143" s="20">
        <f t="shared" si="104"/>
        <v>0</v>
      </c>
      <c r="Q1143" s="15"/>
      <c r="R1143" s="20">
        <f t="shared" si="105"/>
        <v>0</v>
      </c>
      <c r="S1143" s="130"/>
      <c r="T1143" s="20">
        <f t="shared" si="106"/>
        <v>-2.7364238687499998</v>
      </c>
    </row>
    <row r="1144" spans="1:20">
      <c r="A1144" s="23" t="s">
        <v>21</v>
      </c>
      <c r="B1144" s="14" t="s">
        <v>870</v>
      </c>
      <c r="C1144" s="14" t="s">
        <v>871</v>
      </c>
      <c r="D1144" s="13" t="s">
        <v>872</v>
      </c>
      <c r="E1144" s="14" t="s">
        <v>873</v>
      </c>
      <c r="F1144" s="13" t="s">
        <v>874</v>
      </c>
      <c r="G1144" s="14" t="s">
        <v>20</v>
      </c>
      <c r="H1144" s="14"/>
      <c r="I1144" s="14">
        <v>201408</v>
      </c>
      <c r="J1144" s="41">
        <v>99971.18</v>
      </c>
      <c r="K1144" s="21">
        <f t="shared" si="107"/>
        <v>42675</v>
      </c>
      <c r="L1144" s="16">
        <f t="shared" si="108"/>
        <v>6</v>
      </c>
      <c r="M1144" s="17">
        <v>1.4833299999999999E-3</v>
      </c>
      <c r="N1144" s="18">
        <f t="shared" si="103"/>
        <v>889.74150257639997</v>
      </c>
      <c r="O1144" s="15"/>
      <c r="P1144" s="20">
        <f t="shared" si="104"/>
        <v>0</v>
      </c>
      <c r="Q1144" s="15"/>
      <c r="R1144" s="20">
        <f t="shared" si="105"/>
        <v>0</v>
      </c>
      <c r="S1144" s="130"/>
      <c r="T1144" s="20">
        <f t="shared" si="106"/>
        <v>1415.1545348874997</v>
      </c>
    </row>
    <row r="1145" spans="1:20">
      <c r="A1145" s="42" t="s">
        <v>21</v>
      </c>
      <c r="B1145" s="43" t="s">
        <v>870</v>
      </c>
      <c r="C1145" s="43" t="s">
        <v>871</v>
      </c>
      <c r="D1145" s="42" t="s">
        <v>875</v>
      </c>
      <c r="E1145" s="43" t="s">
        <v>873</v>
      </c>
      <c r="F1145" s="42" t="s">
        <v>874</v>
      </c>
      <c r="G1145" s="43" t="s">
        <v>20</v>
      </c>
      <c r="H1145" s="43"/>
      <c r="I1145" s="43">
        <v>201408</v>
      </c>
      <c r="J1145" s="44">
        <v>-57068.67</v>
      </c>
      <c r="K1145" s="21">
        <f t="shared" si="107"/>
        <v>42675</v>
      </c>
      <c r="L1145" s="16">
        <f t="shared" si="108"/>
        <v>6</v>
      </c>
      <c r="M1145" s="45">
        <v>1.4833299999999999E-3</v>
      </c>
      <c r="N1145" s="18">
        <f t="shared" si="103"/>
        <v>-507.91002162659998</v>
      </c>
      <c r="O1145" s="15"/>
      <c r="P1145" s="20">
        <f t="shared" si="104"/>
        <v>0</v>
      </c>
      <c r="Q1145" s="15"/>
      <c r="R1145" s="20">
        <f t="shared" si="105"/>
        <v>0</v>
      </c>
      <c r="S1145" s="130"/>
      <c r="T1145" s="20">
        <f t="shared" si="106"/>
        <v>-807.84269176874989</v>
      </c>
    </row>
    <row r="1146" spans="1:20">
      <c r="A1146" s="23" t="s">
        <v>21</v>
      </c>
      <c r="B1146" s="14" t="s">
        <v>851</v>
      </c>
      <c r="C1146" s="14" t="s">
        <v>852</v>
      </c>
      <c r="D1146" s="13" t="s">
        <v>853</v>
      </c>
      <c r="E1146" s="14" t="s">
        <v>415</v>
      </c>
      <c r="F1146" s="13" t="s">
        <v>88</v>
      </c>
      <c r="G1146" s="14" t="s">
        <v>20</v>
      </c>
      <c r="H1146" s="14"/>
      <c r="I1146" s="14">
        <v>201408</v>
      </c>
      <c r="J1146" s="41">
        <v>-28.44</v>
      </c>
      <c r="K1146" s="21">
        <f t="shared" si="107"/>
        <v>42675</v>
      </c>
      <c r="L1146" s="16">
        <f t="shared" si="108"/>
        <v>6</v>
      </c>
      <c r="M1146" s="17">
        <v>1.4833299999999999E-3</v>
      </c>
      <c r="N1146" s="18">
        <f t="shared" si="103"/>
        <v>-0.25311543120000002</v>
      </c>
      <c r="O1146" s="15"/>
      <c r="P1146" s="20">
        <f t="shared" si="104"/>
        <v>0</v>
      </c>
      <c r="Q1146" s="15"/>
      <c r="R1146" s="20">
        <f t="shared" si="105"/>
        <v>0</v>
      </c>
      <c r="S1146" s="130"/>
      <c r="T1146" s="20">
        <f t="shared" si="106"/>
        <v>-0.40258597499999998</v>
      </c>
    </row>
    <row r="1147" spans="1:20">
      <c r="A1147" s="23" t="s">
        <v>21</v>
      </c>
      <c r="B1147" s="14" t="s">
        <v>876</v>
      </c>
      <c r="C1147" s="14" t="s">
        <v>877</v>
      </c>
      <c r="D1147" s="13" t="s">
        <v>878</v>
      </c>
      <c r="E1147" s="14" t="s">
        <v>93</v>
      </c>
      <c r="F1147" s="13" t="s">
        <v>88</v>
      </c>
      <c r="G1147" s="14" t="s">
        <v>20</v>
      </c>
      <c r="H1147" s="14"/>
      <c r="I1147" s="14">
        <v>201408</v>
      </c>
      <c r="J1147" s="41">
        <v>9047.7099999999991</v>
      </c>
      <c r="K1147" s="21">
        <f t="shared" si="107"/>
        <v>42675</v>
      </c>
      <c r="L1147" s="16">
        <f t="shared" si="108"/>
        <v>6</v>
      </c>
      <c r="M1147" s="17">
        <v>1.4833299999999999E-3</v>
      </c>
      <c r="N1147" s="18">
        <f t="shared" si="103"/>
        <v>80.524438045799997</v>
      </c>
      <c r="O1147" s="15"/>
      <c r="P1147" s="20">
        <f t="shared" si="104"/>
        <v>0</v>
      </c>
      <c r="Q1147" s="15"/>
      <c r="R1147" s="20">
        <f t="shared" si="105"/>
        <v>0</v>
      </c>
      <c r="S1147" s="130"/>
      <c r="T1147" s="20">
        <f t="shared" si="106"/>
        <v>128.07598986874999</v>
      </c>
    </row>
    <row r="1148" spans="1:20">
      <c r="A1148" s="23" t="s">
        <v>21</v>
      </c>
      <c r="B1148" s="14" t="s">
        <v>879</v>
      </c>
      <c r="C1148" s="14" t="s">
        <v>880</v>
      </c>
      <c r="D1148" s="13" t="s">
        <v>881</v>
      </c>
      <c r="E1148" s="14" t="s">
        <v>87</v>
      </c>
      <c r="F1148" s="13" t="s">
        <v>88</v>
      </c>
      <c r="G1148" s="14" t="s">
        <v>20</v>
      </c>
      <c r="H1148" s="14"/>
      <c r="I1148" s="14">
        <v>201408</v>
      </c>
      <c r="J1148" s="41">
        <v>17331.669999999998</v>
      </c>
      <c r="K1148" s="21">
        <f t="shared" si="107"/>
        <v>42675</v>
      </c>
      <c r="L1148" s="16">
        <f t="shared" si="108"/>
        <v>6</v>
      </c>
      <c r="M1148" s="17">
        <v>1.4833299999999999E-3</v>
      </c>
      <c r="N1148" s="18">
        <f t="shared" si="103"/>
        <v>154.25151636659999</v>
      </c>
      <c r="O1148" s="15"/>
      <c r="P1148" s="20">
        <f t="shared" si="104"/>
        <v>0</v>
      </c>
      <c r="Q1148" s="15"/>
      <c r="R1148" s="20">
        <f t="shared" si="105"/>
        <v>0</v>
      </c>
      <c r="S1148" s="130"/>
      <c r="T1148" s="20">
        <f t="shared" si="106"/>
        <v>245.34062114374998</v>
      </c>
    </row>
    <row r="1149" spans="1:20">
      <c r="A1149" s="23" t="s">
        <v>21</v>
      </c>
      <c r="B1149" s="14" t="s">
        <v>882</v>
      </c>
      <c r="C1149" s="14" t="s">
        <v>883</v>
      </c>
      <c r="D1149" s="13" t="s">
        <v>884</v>
      </c>
      <c r="E1149" s="14" t="s">
        <v>87</v>
      </c>
      <c r="F1149" s="13" t="s">
        <v>88</v>
      </c>
      <c r="G1149" s="14" t="s">
        <v>20</v>
      </c>
      <c r="H1149" s="14"/>
      <c r="I1149" s="14">
        <v>201408</v>
      </c>
      <c r="J1149" s="41">
        <v>8127.71</v>
      </c>
      <c r="K1149" s="21">
        <f t="shared" si="107"/>
        <v>42675</v>
      </c>
      <c r="L1149" s="16">
        <f t="shared" si="108"/>
        <v>6</v>
      </c>
      <c r="M1149" s="17">
        <v>1.4833299999999999E-3</v>
      </c>
      <c r="N1149" s="18">
        <f t="shared" si="103"/>
        <v>72.336456445799996</v>
      </c>
      <c r="O1149" s="15"/>
      <c r="P1149" s="20">
        <f t="shared" si="104"/>
        <v>0</v>
      </c>
      <c r="Q1149" s="15"/>
      <c r="R1149" s="20">
        <f t="shared" si="105"/>
        <v>0</v>
      </c>
      <c r="S1149" s="130"/>
      <c r="T1149" s="20">
        <f t="shared" si="106"/>
        <v>115.05281486874999</v>
      </c>
    </row>
    <row r="1150" spans="1:20">
      <c r="A1150" s="13" t="s">
        <v>626</v>
      </c>
      <c r="B1150" s="14" t="s">
        <v>574</v>
      </c>
      <c r="C1150" s="14" t="s">
        <v>575</v>
      </c>
      <c r="D1150" s="13" t="s">
        <v>576</v>
      </c>
      <c r="E1150" s="14" t="s">
        <v>87</v>
      </c>
      <c r="F1150" s="13" t="s">
        <v>88</v>
      </c>
      <c r="G1150" s="14" t="s">
        <v>20</v>
      </c>
      <c r="H1150" s="14"/>
      <c r="I1150" s="14">
        <v>201408</v>
      </c>
      <c r="J1150" s="41">
        <v>-99.54</v>
      </c>
      <c r="K1150" s="21">
        <f t="shared" si="107"/>
        <v>42675</v>
      </c>
      <c r="L1150" s="16">
        <f t="shared" si="108"/>
        <v>6</v>
      </c>
      <c r="M1150" s="17">
        <v>1.4833299999999999E-3</v>
      </c>
      <c r="N1150" s="18">
        <f t="shared" si="103"/>
        <v>-0.88590400920000001</v>
      </c>
      <c r="O1150" s="15"/>
      <c r="P1150" s="20">
        <f t="shared" si="104"/>
        <v>0</v>
      </c>
      <c r="Q1150" s="15"/>
      <c r="R1150" s="20">
        <f t="shared" si="105"/>
        <v>0</v>
      </c>
      <c r="S1150" s="130"/>
      <c r="T1150" s="20">
        <f t="shared" si="106"/>
        <v>-1.4090509124999999</v>
      </c>
    </row>
    <row r="1151" spans="1:20">
      <c r="A1151" s="13" t="s">
        <v>626</v>
      </c>
      <c r="B1151" s="14" t="s">
        <v>738</v>
      </c>
      <c r="C1151" s="14" t="s">
        <v>739</v>
      </c>
      <c r="D1151" s="13" t="s">
        <v>740</v>
      </c>
      <c r="E1151" s="14" t="s">
        <v>209</v>
      </c>
      <c r="F1151" s="13" t="s">
        <v>88</v>
      </c>
      <c r="G1151" s="14" t="s">
        <v>20</v>
      </c>
      <c r="H1151" s="14"/>
      <c r="I1151" s="14">
        <v>201408</v>
      </c>
      <c r="J1151" s="41">
        <v>16.28</v>
      </c>
      <c r="K1151" s="21">
        <f t="shared" si="107"/>
        <v>42675</v>
      </c>
      <c r="L1151" s="16">
        <f t="shared" si="108"/>
        <v>6</v>
      </c>
      <c r="M1151" s="17">
        <v>1.4833299999999999E-3</v>
      </c>
      <c r="N1151" s="18">
        <f t="shared" si="103"/>
        <v>0.1448916744</v>
      </c>
      <c r="O1151" s="15"/>
      <c r="P1151" s="20">
        <f t="shared" si="104"/>
        <v>0</v>
      </c>
      <c r="Q1151" s="15"/>
      <c r="R1151" s="20">
        <f t="shared" si="105"/>
        <v>0</v>
      </c>
      <c r="S1151" s="130"/>
      <c r="T1151" s="20">
        <f t="shared" si="106"/>
        <v>0.23045357499999999</v>
      </c>
    </row>
    <row r="1152" spans="1:20">
      <c r="A1152" s="13" t="s">
        <v>626</v>
      </c>
      <c r="B1152" s="14" t="s">
        <v>741</v>
      </c>
      <c r="C1152" s="14" t="s">
        <v>742</v>
      </c>
      <c r="D1152" s="13" t="s">
        <v>743</v>
      </c>
      <c r="E1152" s="14" t="s">
        <v>415</v>
      </c>
      <c r="F1152" s="13" t="s">
        <v>88</v>
      </c>
      <c r="G1152" s="14" t="s">
        <v>20</v>
      </c>
      <c r="H1152" s="14"/>
      <c r="I1152" s="14">
        <v>201408</v>
      </c>
      <c r="J1152" s="41">
        <v>-5820.18</v>
      </c>
      <c r="K1152" s="21">
        <f t="shared" si="107"/>
        <v>42675</v>
      </c>
      <c r="L1152" s="16">
        <f t="shared" si="108"/>
        <v>6</v>
      </c>
      <c r="M1152" s="17">
        <v>1.4833299999999999E-3</v>
      </c>
      <c r="N1152" s="18">
        <f t="shared" si="103"/>
        <v>-51.799485596400004</v>
      </c>
      <c r="O1152" s="15"/>
      <c r="P1152" s="20">
        <f t="shared" si="104"/>
        <v>0</v>
      </c>
      <c r="Q1152" s="15"/>
      <c r="R1152" s="20">
        <f t="shared" si="105"/>
        <v>0</v>
      </c>
      <c r="S1152" s="130"/>
      <c r="T1152" s="20">
        <f t="shared" si="106"/>
        <v>-82.388285512500005</v>
      </c>
    </row>
    <row r="1153" spans="1:20">
      <c r="A1153" s="13" t="s">
        <v>626</v>
      </c>
      <c r="B1153" s="14" t="s">
        <v>610</v>
      </c>
      <c r="C1153" s="14" t="s">
        <v>611</v>
      </c>
      <c r="D1153" s="13" t="s">
        <v>612</v>
      </c>
      <c r="E1153" s="14" t="s">
        <v>613</v>
      </c>
      <c r="F1153" s="13" t="s">
        <v>398</v>
      </c>
      <c r="G1153" s="14" t="s">
        <v>20</v>
      </c>
      <c r="H1153" s="14"/>
      <c r="I1153" s="14">
        <v>201408</v>
      </c>
      <c r="J1153" s="41">
        <v>3103.37</v>
      </c>
      <c r="K1153" s="21">
        <f t="shared" si="107"/>
        <v>42675</v>
      </c>
      <c r="L1153" s="16">
        <f t="shared" si="108"/>
        <v>6</v>
      </c>
      <c r="M1153" s="17">
        <v>1.4833299999999999E-3</v>
      </c>
      <c r="N1153" s="18">
        <f t="shared" si="103"/>
        <v>27.619930932599999</v>
      </c>
      <c r="O1153" s="15"/>
      <c r="P1153" s="20">
        <f t="shared" si="104"/>
        <v>0</v>
      </c>
      <c r="Q1153" s="15"/>
      <c r="R1153" s="20">
        <f t="shared" si="105"/>
        <v>0</v>
      </c>
      <c r="S1153" s="130"/>
      <c r="T1153" s="20">
        <f t="shared" si="106"/>
        <v>43.930141956249997</v>
      </c>
    </row>
    <row r="1154" spans="1:20">
      <c r="A1154" s="13" t="s">
        <v>626</v>
      </c>
      <c r="B1154" s="14" t="s">
        <v>758</v>
      </c>
      <c r="C1154" s="14" t="s">
        <v>759</v>
      </c>
      <c r="D1154" s="13" t="s">
        <v>760</v>
      </c>
      <c r="E1154" s="14" t="s">
        <v>613</v>
      </c>
      <c r="F1154" s="13" t="s">
        <v>398</v>
      </c>
      <c r="G1154" s="14" t="s">
        <v>20</v>
      </c>
      <c r="H1154" s="14"/>
      <c r="I1154" s="14">
        <v>201408</v>
      </c>
      <c r="J1154" s="41">
        <v>-2455.36</v>
      </c>
      <c r="K1154" s="21">
        <f t="shared" si="107"/>
        <v>42675</v>
      </c>
      <c r="L1154" s="16">
        <f t="shared" si="108"/>
        <v>6</v>
      </c>
      <c r="M1154" s="17">
        <v>1.4833299999999999E-3</v>
      </c>
      <c r="N1154" s="18">
        <f t="shared" si="103"/>
        <v>-21.8526548928</v>
      </c>
      <c r="O1154" s="15"/>
      <c r="P1154" s="20">
        <f t="shared" si="104"/>
        <v>0</v>
      </c>
      <c r="Q1154" s="15"/>
      <c r="R1154" s="20">
        <f t="shared" si="105"/>
        <v>0</v>
      </c>
      <c r="S1154" s="130"/>
      <c r="T1154" s="20">
        <f t="shared" si="106"/>
        <v>-34.757155400000002</v>
      </c>
    </row>
    <row r="1155" spans="1:20">
      <c r="A1155" s="13" t="s">
        <v>626</v>
      </c>
      <c r="B1155" s="14" t="s">
        <v>630</v>
      </c>
      <c r="C1155" s="14" t="s">
        <v>631</v>
      </c>
      <c r="D1155" s="13" t="s">
        <v>632</v>
      </c>
      <c r="E1155" s="14" t="s">
        <v>613</v>
      </c>
      <c r="F1155" s="13" t="s">
        <v>398</v>
      </c>
      <c r="G1155" s="14" t="s">
        <v>20</v>
      </c>
      <c r="H1155" s="14"/>
      <c r="I1155" s="14">
        <v>201408</v>
      </c>
      <c r="J1155" s="41">
        <v>76.09</v>
      </c>
      <c r="K1155" s="21">
        <f t="shared" si="107"/>
        <v>42675</v>
      </c>
      <c r="L1155" s="16">
        <f t="shared" si="108"/>
        <v>6</v>
      </c>
      <c r="M1155" s="17">
        <v>1.4833299999999999E-3</v>
      </c>
      <c r="N1155" s="18">
        <f t="shared" si="103"/>
        <v>0.67719947820000004</v>
      </c>
      <c r="O1155" s="15"/>
      <c r="P1155" s="20">
        <f t="shared" si="104"/>
        <v>0</v>
      </c>
      <c r="Q1155" s="15"/>
      <c r="R1155" s="20">
        <f t="shared" si="105"/>
        <v>0</v>
      </c>
      <c r="S1155" s="130"/>
      <c r="T1155" s="20">
        <f t="shared" si="106"/>
        <v>1.07710150625</v>
      </c>
    </row>
    <row r="1156" spans="1:20">
      <c r="A1156" s="13" t="s">
        <v>626</v>
      </c>
      <c r="B1156" s="14" t="s">
        <v>764</v>
      </c>
      <c r="C1156" s="14" t="s">
        <v>765</v>
      </c>
      <c r="D1156" s="13" t="s">
        <v>766</v>
      </c>
      <c r="E1156" s="14" t="s">
        <v>209</v>
      </c>
      <c r="F1156" s="13" t="s">
        <v>88</v>
      </c>
      <c r="G1156" s="14" t="s">
        <v>20</v>
      </c>
      <c r="H1156" s="14"/>
      <c r="I1156" s="14">
        <v>201408</v>
      </c>
      <c r="J1156" s="41">
        <v>20.05</v>
      </c>
      <c r="K1156" s="21">
        <f t="shared" si="107"/>
        <v>42675</v>
      </c>
      <c r="L1156" s="16">
        <f t="shared" si="108"/>
        <v>6</v>
      </c>
      <c r="M1156" s="17">
        <v>1.4833299999999999E-3</v>
      </c>
      <c r="N1156" s="18">
        <f t="shared" si="103"/>
        <v>0.17844459900000001</v>
      </c>
      <c r="O1156" s="15"/>
      <c r="P1156" s="20">
        <f t="shared" si="104"/>
        <v>0</v>
      </c>
      <c r="Q1156" s="15"/>
      <c r="R1156" s="20">
        <f t="shared" si="105"/>
        <v>0</v>
      </c>
      <c r="S1156" s="130"/>
      <c r="T1156" s="20">
        <f t="shared" si="106"/>
        <v>0.28382028125000003</v>
      </c>
    </row>
    <row r="1157" spans="1:20">
      <c r="A1157" s="13" t="s">
        <v>626</v>
      </c>
      <c r="B1157" s="14" t="s">
        <v>770</v>
      </c>
      <c r="C1157" s="14" t="s">
        <v>771</v>
      </c>
      <c r="D1157" s="13" t="s">
        <v>772</v>
      </c>
      <c r="E1157" s="14" t="s">
        <v>87</v>
      </c>
      <c r="F1157" s="13" t="s">
        <v>88</v>
      </c>
      <c r="G1157" s="14" t="s">
        <v>20</v>
      </c>
      <c r="H1157" s="14"/>
      <c r="I1157" s="14">
        <v>201408</v>
      </c>
      <c r="J1157" s="41">
        <v>-1656.31</v>
      </c>
      <c r="K1157" s="21">
        <f t="shared" si="107"/>
        <v>42675</v>
      </c>
      <c r="L1157" s="16">
        <f t="shared" si="108"/>
        <v>6</v>
      </c>
      <c r="M1157" s="17">
        <v>1.4833299999999999E-3</v>
      </c>
      <c r="N1157" s="18">
        <f t="shared" si="103"/>
        <v>-14.7411258738</v>
      </c>
      <c r="O1157" s="15"/>
      <c r="P1157" s="20">
        <f t="shared" si="104"/>
        <v>0</v>
      </c>
      <c r="Q1157" s="15"/>
      <c r="R1157" s="20">
        <f t="shared" si="105"/>
        <v>0</v>
      </c>
      <c r="S1157" s="130"/>
      <c r="T1157" s="20">
        <f t="shared" si="106"/>
        <v>-23.446103243749999</v>
      </c>
    </row>
    <row r="1158" spans="1:20">
      <c r="A1158" s="13" t="s">
        <v>626</v>
      </c>
      <c r="B1158" s="14" t="s">
        <v>773</v>
      </c>
      <c r="C1158" s="14" t="s">
        <v>774</v>
      </c>
      <c r="D1158" s="13" t="s">
        <v>775</v>
      </c>
      <c r="E1158" s="14" t="s">
        <v>209</v>
      </c>
      <c r="F1158" s="13" t="s">
        <v>88</v>
      </c>
      <c r="G1158" s="14" t="s">
        <v>20</v>
      </c>
      <c r="H1158" s="14"/>
      <c r="I1158" s="14">
        <v>201408</v>
      </c>
      <c r="J1158" s="41">
        <v>-1198.7</v>
      </c>
      <c r="K1158" s="21">
        <f t="shared" si="107"/>
        <v>42675</v>
      </c>
      <c r="L1158" s="16">
        <f t="shared" si="108"/>
        <v>6</v>
      </c>
      <c r="M1158" s="17">
        <v>1.4833299999999999E-3</v>
      </c>
      <c r="N1158" s="18">
        <f t="shared" ref="N1158:N1221" si="109">M1158*L1158*J1158</f>
        <v>-10.668406026000001</v>
      </c>
      <c r="O1158" s="15"/>
      <c r="P1158" s="20">
        <f t="shared" ref="P1158:P1221" si="110">$P$4*(J1158*0.5)*$V$10</f>
        <v>0</v>
      </c>
      <c r="Q1158" s="15"/>
      <c r="R1158" s="20">
        <f t="shared" ref="R1158:R1221" si="111">$R$4*(J1158*0.5)*$V$9</f>
        <v>0</v>
      </c>
      <c r="S1158" s="130"/>
      <c r="T1158" s="20">
        <f t="shared" ref="T1158:T1221" si="112">$T$4*(J1158*0.5)*$V$11</f>
        <v>-16.9683476875</v>
      </c>
    </row>
    <row r="1159" spans="1:20">
      <c r="A1159" s="23" t="s">
        <v>626</v>
      </c>
      <c r="B1159" s="14" t="s">
        <v>848</v>
      </c>
      <c r="C1159" s="14" t="s">
        <v>849</v>
      </c>
      <c r="D1159" s="13" t="s">
        <v>850</v>
      </c>
      <c r="E1159" s="14" t="s">
        <v>93</v>
      </c>
      <c r="F1159" s="13" t="s">
        <v>88</v>
      </c>
      <c r="G1159" s="14" t="s">
        <v>20</v>
      </c>
      <c r="H1159" s="14"/>
      <c r="I1159" s="14">
        <v>201408</v>
      </c>
      <c r="J1159" s="41">
        <v>6704.92</v>
      </c>
      <c r="K1159" s="21">
        <f t="shared" ref="K1159:K1222" si="113">+K1158</f>
        <v>42675</v>
      </c>
      <c r="L1159" s="16">
        <f t="shared" si="108"/>
        <v>6</v>
      </c>
      <c r="M1159" s="17">
        <v>1.4833299999999999E-3</v>
      </c>
      <c r="N1159" s="18">
        <f t="shared" si="109"/>
        <v>59.673653901599998</v>
      </c>
      <c r="O1159" s="15"/>
      <c r="P1159" s="20">
        <f t="shared" si="110"/>
        <v>0</v>
      </c>
      <c r="Q1159" s="15"/>
      <c r="R1159" s="20">
        <f t="shared" si="111"/>
        <v>0</v>
      </c>
      <c r="S1159" s="130"/>
      <c r="T1159" s="20">
        <f t="shared" si="112"/>
        <v>94.912333175000001</v>
      </c>
    </row>
    <row r="1160" spans="1:20">
      <c r="A1160" s="23" t="s">
        <v>626</v>
      </c>
      <c r="B1160" s="14" t="s">
        <v>885</v>
      </c>
      <c r="C1160" s="14" t="s">
        <v>886</v>
      </c>
      <c r="D1160" s="13" t="s">
        <v>887</v>
      </c>
      <c r="E1160" s="14" t="s">
        <v>93</v>
      </c>
      <c r="F1160" s="13" t="s">
        <v>88</v>
      </c>
      <c r="G1160" s="14" t="s">
        <v>20</v>
      </c>
      <c r="H1160" s="14"/>
      <c r="I1160" s="14">
        <v>201408</v>
      </c>
      <c r="J1160" s="41">
        <v>62778.55</v>
      </c>
      <c r="K1160" s="21">
        <f t="shared" si="113"/>
        <v>42675</v>
      </c>
      <c r="L1160" s="16">
        <f t="shared" si="108"/>
        <v>6</v>
      </c>
      <c r="M1160" s="17">
        <v>1.4833299999999999E-3</v>
      </c>
      <c r="N1160" s="18">
        <f t="shared" si="109"/>
        <v>558.72783942900003</v>
      </c>
      <c r="O1160" s="15"/>
      <c r="P1160" s="20">
        <f t="shared" si="110"/>
        <v>0</v>
      </c>
      <c r="Q1160" s="15"/>
      <c r="R1160" s="20">
        <f t="shared" si="111"/>
        <v>0</v>
      </c>
      <c r="S1160" s="130"/>
      <c r="T1160" s="20">
        <f t="shared" si="112"/>
        <v>888.66961184374998</v>
      </c>
    </row>
    <row r="1161" spans="1:20">
      <c r="A1161" s="23" t="s">
        <v>29</v>
      </c>
      <c r="B1161" s="14" t="s">
        <v>717</v>
      </c>
      <c r="C1161" s="14" t="s">
        <v>718</v>
      </c>
      <c r="D1161" s="13" t="s">
        <v>719</v>
      </c>
      <c r="E1161" s="14" t="s">
        <v>87</v>
      </c>
      <c r="F1161" s="13" t="s">
        <v>88</v>
      </c>
      <c r="G1161" s="14" t="s">
        <v>20</v>
      </c>
      <c r="H1161" s="14"/>
      <c r="I1161" s="14">
        <v>201408</v>
      </c>
      <c r="J1161" s="41">
        <v>-163.65</v>
      </c>
      <c r="K1161" s="21">
        <f t="shared" si="113"/>
        <v>42675</v>
      </c>
      <c r="L1161" s="16">
        <f t="shared" si="108"/>
        <v>6</v>
      </c>
      <c r="M1161" s="17">
        <v>2.23333E-3</v>
      </c>
      <c r="N1161" s="18">
        <f t="shared" si="109"/>
        <v>-2.192906727</v>
      </c>
      <c r="O1161" s="15"/>
      <c r="P1161" s="20">
        <f t="shared" si="110"/>
        <v>0</v>
      </c>
      <c r="Q1161" s="15"/>
      <c r="R1161" s="20">
        <f t="shared" si="111"/>
        <v>0</v>
      </c>
      <c r="S1161" s="130"/>
      <c r="T1161" s="20">
        <f t="shared" si="112"/>
        <v>-2.3165680312500001</v>
      </c>
    </row>
    <row r="1162" spans="1:20">
      <c r="A1162" s="13" t="s">
        <v>21</v>
      </c>
      <c r="B1162" s="14" t="s">
        <v>425</v>
      </c>
      <c r="C1162" s="14" t="s">
        <v>426</v>
      </c>
      <c r="D1162" s="13" t="s">
        <v>427</v>
      </c>
      <c r="E1162" s="14" t="s">
        <v>156</v>
      </c>
      <c r="F1162" s="13" t="s">
        <v>26</v>
      </c>
      <c r="G1162" s="14" t="s">
        <v>20</v>
      </c>
      <c r="H1162" s="14"/>
      <c r="I1162" s="14">
        <v>201408</v>
      </c>
      <c r="J1162" s="41">
        <v>-276.06</v>
      </c>
      <c r="K1162" s="21">
        <f t="shared" si="113"/>
        <v>42675</v>
      </c>
      <c r="L1162" s="16">
        <f t="shared" si="108"/>
        <v>6</v>
      </c>
      <c r="M1162" s="17">
        <v>1.4833299999999999E-3</v>
      </c>
      <c r="N1162" s="18">
        <f t="shared" si="109"/>
        <v>-2.4569284788000001</v>
      </c>
      <c r="O1162" s="15"/>
      <c r="P1162" s="20">
        <f t="shared" si="110"/>
        <v>0</v>
      </c>
      <c r="Q1162" s="15"/>
      <c r="R1162" s="20">
        <f t="shared" si="111"/>
        <v>0</v>
      </c>
      <c r="S1162" s="130"/>
      <c r="T1162" s="20">
        <f t="shared" si="112"/>
        <v>-3.9078018374999997</v>
      </c>
    </row>
    <row r="1163" spans="1:20">
      <c r="A1163" s="13" t="s">
        <v>21</v>
      </c>
      <c r="B1163" s="14" t="s">
        <v>15</v>
      </c>
      <c r="C1163" s="14" t="s">
        <v>16</v>
      </c>
      <c r="D1163" s="13" t="s">
        <v>17</v>
      </c>
      <c r="E1163" s="14" t="s">
        <v>18</v>
      </c>
      <c r="F1163" s="13" t="s">
        <v>19</v>
      </c>
      <c r="G1163" s="14" t="s">
        <v>20</v>
      </c>
      <c r="H1163" s="14"/>
      <c r="I1163" s="14">
        <v>201408</v>
      </c>
      <c r="J1163" s="41">
        <v>21.47</v>
      </c>
      <c r="K1163" s="21">
        <f t="shared" si="113"/>
        <v>42675</v>
      </c>
      <c r="L1163" s="16">
        <f t="shared" si="108"/>
        <v>6</v>
      </c>
      <c r="M1163" s="17">
        <v>1.4833299999999999E-3</v>
      </c>
      <c r="N1163" s="18">
        <f t="shared" si="109"/>
        <v>0.1910825706</v>
      </c>
      <c r="O1163" s="15"/>
      <c r="P1163" s="20">
        <f t="shared" si="110"/>
        <v>0</v>
      </c>
      <c r="Q1163" s="15"/>
      <c r="R1163" s="20">
        <f t="shared" si="111"/>
        <v>0</v>
      </c>
      <c r="S1163" s="130"/>
      <c r="T1163" s="20">
        <f t="shared" si="112"/>
        <v>0.30392126874999997</v>
      </c>
    </row>
    <row r="1164" spans="1:20">
      <c r="A1164" s="13" t="s">
        <v>21</v>
      </c>
      <c r="B1164" s="14" t="s">
        <v>516</v>
      </c>
      <c r="C1164" s="14" t="s">
        <v>517</v>
      </c>
      <c r="D1164" s="13" t="s">
        <v>518</v>
      </c>
      <c r="E1164" s="14" t="s">
        <v>25</v>
      </c>
      <c r="F1164" s="13" t="s">
        <v>26</v>
      </c>
      <c r="G1164" s="14" t="s">
        <v>20</v>
      </c>
      <c r="H1164" s="14"/>
      <c r="I1164" s="14">
        <v>201408</v>
      </c>
      <c r="J1164" s="41">
        <v>20.88</v>
      </c>
      <c r="K1164" s="21">
        <f t="shared" si="113"/>
        <v>42675</v>
      </c>
      <c r="L1164" s="16">
        <f t="shared" si="108"/>
        <v>6</v>
      </c>
      <c r="M1164" s="17">
        <v>1.4833299999999999E-3</v>
      </c>
      <c r="N1164" s="18">
        <f t="shared" si="109"/>
        <v>0.1858315824</v>
      </c>
      <c r="O1164" s="15"/>
      <c r="P1164" s="20">
        <f t="shared" si="110"/>
        <v>0</v>
      </c>
      <c r="Q1164" s="15"/>
      <c r="R1164" s="20">
        <f t="shared" si="111"/>
        <v>0</v>
      </c>
      <c r="S1164" s="130"/>
      <c r="T1164" s="20">
        <f t="shared" si="112"/>
        <v>0.29556944999999996</v>
      </c>
    </row>
    <row r="1165" spans="1:20">
      <c r="A1165" s="13" t="s">
        <v>21</v>
      </c>
      <c r="B1165" s="14" t="s">
        <v>519</v>
      </c>
      <c r="C1165" s="14" t="s">
        <v>520</v>
      </c>
      <c r="D1165" s="13" t="s">
        <v>521</v>
      </c>
      <c r="E1165" s="14" t="s">
        <v>79</v>
      </c>
      <c r="F1165" s="13" t="s">
        <v>26</v>
      </c>
      <c r="G1165" s="14" t="s">
        <v>20</v>
      </c>
      <c r="H1165" s="14"/>
      <c r="I1165" s="14">
        <v>201408</v>
      </c>
      <c r="J1165" s="41">
        <v>-117.97</v>
      </c>
      <c r="K1165" s="21">
        <f t="shared" si="113"/>
        <v>42675</v>
      </c>
      <c r="L1165" s="16">
        <f t="shared" ref="L1165:L1228" si="114">((YEAR($L$1)-YEAR(K1165))*12+MONTH($L$1)-MONTH(K1165))</f>
        <v>6</v>
      </c>
      <c r="M1165" s="17">
        <v>1.4833299999999999E-3</v>
      </c>
      <c r="N1165" s="18">
        <f t="shared" si="109"/>
        <v>-1.0499306406</v>
      </c>
      <c r="O1165" s="15"/>
      <c r="P1165" s="20">
        <f t="shared" si="110"/>
        <v>0</v>
      </c>
      <c r="Q1165" s="15"/>
      <c r="R1165" s="20">
        <f t="shared" si="111"/>
        <v>0</v>
      </c>
      <c r="S1165" s="130"/>
      <c r="T1165" s="20">
        <f t="shared" si="112"/>
        <v>-1.6699390812499999</v>
      </c>
    </row>
    <row r="1166" spans="1:20">
      <c r="A1166" s="13" t="s">
        <v>21</v>
      </c>
      <c r="B1166" s="14" t="s">
        <v>525</v>
      </c>
      <c r="C1166" s="14" t="s">
        <v>526</v>
      </c>
      <c r="D1166" s="13" t="s">
        <v>527</v>
      </c>
      <c r="E1166" s="14" t="s">
        <v>280</v>
      </c>
      <c r="F1166" s="13" t="s">
        <v>26</v>
      </c>
      <c r="G1166" s="14" t="s">
        <v>20</v>
      </c>
      <c r="H1166" s="14"/>
      <c r="I1166" s="14">
        <v>201408</v>
      </c>
      <c r="J1166" s="41">
        <v>37.28</v>
      </c>
      <c r="K1166" s="21">
        <f t="shared" si="113"/>
        <v>42675</v>
      </c>
      <c r="L1166" s="16">
        <f t="shared" si="114"/>
        <v>6</v>
      </c>
      <c r="M1166" s="17">
        <v>1.4833299999999999E-3</v>
      </c>
      <c r="N1166" s="18">
        <f t="shared" si="109"/>
        <v>0.33179125440000001</v>
      </c>
      <c r="O1166" s="15"/>
      <c r="P1166" s="20">
        <f t="shared" si="110"/>
        <v>0</v>
      </c>
      <c r="Q1166" s="15"/>
      <c r="R1166" s="20">
        <f t="shared" si="111"/>
        <v>0</v>
      </c>
      <c r="S1166" s="130"/>
      <c r="T1166" s="20">
        <f t="shared" si="112"/>
        <v>0.52772169999999996</v>
      </c>
    </row>
    <row r="1167" spans="1:20">
      <c r="A1167" s="13" t="s">
        <v>21</v>
      </c>
      <c r="B1167" s="14" t="s">
        <v>528</v>
      </c>
      <c r="C1167" s="14" t="s">
        <v>529</v>
      </c>
      <c r="D1167" s="13" t="s">
        <v>530</v>
      </c>
      <c r="E1167" s="14" t="s">
        <v>531</v>
      </c>
      <c r="F1167" s="13" t="s">
        <v>26</v>
      </c>
      <c r="G1167" s="14" t="s">
        <v>20</v>
      </c>
      <c r="H1167" s="14"/>
      <c r="I1167" s="14">
        <v>201408</v>
      </c>
      <c r="J1167" s="41">
        <v>41.15</v>
      </c>
      <c r="K1167" s="21">
        <f t="shared" si="113"/>
        <v>42675</v>
      </c>
      <c r="L1167" s="16">
        <f t="shared" si="114"/>
        <v>6</v>
      </c>
      <c r="M1167" s="17">
        <v>1.4833299999999999E-3</v>
      </c>
      <c r="N1167" s="18">
        <f t="shared" si="109"/>
        <v>0.36623417699999999</v>
      </c>
      <c r="O1167" s="15"/>
      <c r="P1167" s="20">
        <f t="shared" si="110"/>
        <v>0</v>
      </c>
      <c r="Q1167" s="15"/>
      <c r="R1167" s="20">
        <f t="shared" si="111"/>
        <v>0</v>
      </c>
      <c r="S1167" s="130"/>
      <c r="T1167" s="20">
        <f t="shared" si="112"/>
        <v>0.58250396874999999</v>
      </c>
    </row>
    <row r="1168" spans="1:20">
      <c r="A1168" s="13" t="s">
        <v>21</v>
      </c>
      <c r="B1168" s="14" t="s">
        <v>22</v>
      </c>
      <c r="C1168" s="14" t="s">
        <v>23</v>
      </c>
      <c r="D1168" s="13" t="s">
        <v>24</v>
      </c>
      <c r="E1168" s="14" t="s">
        <v>25</v>
      </c>
      <c r="F1168" s="13" t="s">
        <v>26</v>
      </c>
      <c r="G1168" s="14" t="s">
        <v>20</v>
      </c>
      <c r="H1168" s="14"/>
      <c r="I1168" s="14">
        <v>201408</v>
      </c>
      <c r="J1168" s="41">
        <v>64.489999999999995</v>
      </c>
      <c r="K1168" s="21">
        <f t="shared" si="113"/>
        <v>42675</v>
      </c>
      <c r="L1168" s="16">
        <f t="shared" si="114"/>
        <v>6</v>
      </c>
      <c r="M1168" s="17">
        <v>1.4833299999999999E-3</v>
      </c>
      <c r="N1168" s="18">
        <f t="shared" si="109"/>
        <v>0.57395971019999992</v>
      </c>
      <c r="O1168" s="15"/>
      <c r="P1168" s="20">
        <f t="shared" si="110"/>
        <v>0</v>
      </c>
      <c r="Q1168" s="15"/>
      <c r="R1168" s="20">
        <f t="shared" si="111"/>
        <v>0</v>
      </c>
      <c r="S1168" s="130"/>
      <c r="T1168" s="20">
        <f t="shared" si="112"/>
        <v>0.91289625624999993</v>
      </c>
    </row>
    <row r="1169" spans="1:20">
      <c r="A1169" s="13" t="s">
        <v>21</v>
      </c>
      <c r="B1169" s="14" t="s">
        <v>535</v>
      </c>
      <c r="C1169" s="14" t="s">
        <v>536</v>
      </c>
      <c r="D1169" s="13" t="s">
        <v>537</v>
      </c>
      <c r="E1169" s="14" t="s">
        <v>75</v>
      </c>
      <c r="F1169" s="13" t="s">
        <v>26</v>
      </c>
      <c r="G1169" s="14" t="s">
        <v>20</v>
      </c>
      <c r="H1169" s="14"/>
      <c r="I1169" s="14">
        <v>201408</v>
      </c>
      <c r="J1169" s="41">
        <v>48.44</v>
      </c>
      <c r="K1169" s="21">
        <f t="shared" si="113"/>
        <v>42675</v>
      </c>
      <c r="L1169" s="16">
        <f t="shared" si="114"/>
        <v>6</v>
      </c>
      <c r="M1169" s="17">
        <v>1.4833299999999999E-3</v>
      </c>
      <c r="N1169" s="18">
        <f t="shared" si="109"/>
        <v>0.4311150312</v>
      </c>
      <c r="O1169" s="15"/>
      <c r="P1169" s="20">
        <f t="shared" si="110"/>
        <v>0</v>
      </c>
      <c r="Q1169" s="15"/>
      <c r="R1169" s="20">
        <f t="shared" si="111"/>
        <v>0</v>
      </c>
      <c r="S1169" s="130"/>
      <c r="T1169" s="20">
        <f t="shared" si="112"/>
        <v>0.68569847499999992</v>
      </c>
    </row>
    <row r="1170" spans="1:20">
      <c r="A1170" s="13" t="s">
        <v>21</v>
      </c>
      <c r="B1170" s="14" t="s">
        <v>60</v>
      </c>
      <c r="C1170" s="14" t="s">
        <v>61</v>
      </c>
      <c r="D1170" s="13" t="s">
        <v>62</v>
      </c>
      <c r="E1170" s="14" t="s">
        <v>63</v>
      </c>
      <c r="F1170" s="13" t="s">
        <v>19</v>
      </c>
      <c r="G1170" s="14" t="s">
        <v>20</v>
      </c>
      <c r="H1170" s="14"/>
      <c r="I1170" s="14">
        <v>201408</v>
      </c>
      <c r="J1170" s="41">
        <v>-3496.03</v>
      </c>
      <c r="K1170" s="21">
        <f t="shared" si="113"/>
        <v>42675</v>
      </c>
      <c r="L1170" s="16">
        <f t="shared" si="114"/>
        <v>6</v>
      </c>
      <c r="M1170" s="17">
        <v>1.4833299999999999E-3</v>
      </c>
      <c r="N1170" s="18">
        <f t="shared" si="109"/>
        <v>-31.114597079400003</v>
      </c>
      <c r="O1170" s="15"/>
      <c r="P1170" s="20">
        <f t="shared" si="110"/>
        <v>0</v>
      </c>
      <c r="Q1170" s="15"/>
      <c r="R1170" s="20">
        <f t="shared" si="111"/>
        <v>0</v>
      </c>
      <c r="S1170" s="130"/>
      <c r="T1170" s="20">
        <f t="shared" si="112"/>
        <v>-49.488489668749999</v>
      </c>
    </row>
    <row r="1171" spans="1:20">
      <c r="A1171" s="13" t="s">
        <v>21</v>
      </c>
      <c r="B1171" s="14" t="s">
        <v>541</v>
      </c>
      <c r="C1171" s="14" t="s">
        <v>542</v>
      </c>
      <c r="D1171" s="13" t="s">
        <v>543</v>
      </c>
      <c r="E1171" s="14" t="s">
        <v>544</v>
      </c>
      <c r="F1171" s="13" t="s">
        <v>26</v>
      </c>
      <c r="G1171" s="14" t="s">
        <v>20</v>
      </c>
      <c r="H1171" s="14"/>
      <c r="I1171" s="14">
        <v>201408</v>
      </c>
      <c r="J1171" s="41">
        <v>-23.11</v>
      </c>
      <c r="K1171" s="21">
        <f t="shared" si="113"/>
        <v>42675</v>
      </c>
      <c r="L1171" s="16">
        <f t="shared" si="114"/>
        <v>6</v>
      </c>
      <c r="M1171" s="17">
        <v>1.4833299999999999E-3</v>
      </c>
      <c r="N1171" s="18">
        <f t="shared" si="109"/>
        <v>-0.20567853780000001</v>
      </c>
      <c r="O1171" s="15"/>
      <c r="P1171" s="20">
        <f t="shared" si="110"/>
        <v>0</v>
      </c>
      <c r="Q1171" s="15"/>
      <c r="R1171" s="20">
        <f t="shared" si="111"/>
        <v>0</v>
      </c>
      <c r="S1171" s="130"/>
      <c r="T1171" s="20">
        <f t="shared" si="112"/>
        <v>-0.32713649374999998</v>
      </c>
    </row>
    <row r="1172" spans="1:20">
      <c r="A1172" s="13" t="s">
        <v>21</v>
      </c>
      <c r="B1172" s="14" t="s">
        <v>545</v>
      </c>
      <c r="C1172" s="14" t="s">
        <v>546</v>
      </c>
      <c r="D1172" s="13" t="s">
        <v>547</v>
      </c>
      <c r="E1172" s="14" t="s">
        <v>497</v>
      </c>
      <c r="F1172" s="13" t="s">
        <v>26</v>
      </c>
      <c r="G1172" s="14" t="s">
        <v>20</v>
      </c>
      <c r="H1172" s="14"/>
      <c r="I1172" s="14">
        <v>201408</v>
      </c>
      <c r="J1172" s="41">
        <v>-61.05</v>
      </c>
      <c r="K1172" s="21">
        <f t="shared" si="113"/>
        <v>42675</v>
      </c>
      <c r="L1172" s="16">
        <f t="shared" si="114"/>
        <v>6</v>
      </c>
      <c r="M1172" s="17">
        <v>1.4833299999999999E-3</v>
      </c>
      <c r="N1172" s="18">
        <f t="shared" si="109"/>
        <v>-0.54334377899999997</v>
      </c>
      <c r="O1172" s="15"/>
      <c r="P1172" s="20">
        <f t="shared" si="110"/>
        <v>0</v>
      </c>
      <c r="Q1172" s="15"/>
      <c r="R1172" s="20">
        <f t="shared" si="111"/>
        <v>0</v>
      </c>
      <c r="S1172" s="130"/>
      <c r="T1172" s="20">
        <f t="shared" si="112"/>
        <v>-0.8642009062499999</v>
      </c>
    </row>
    <row r="1173" spans="1:20">
      <c r="A1173" s="13" t="s">
        <v>21</v>
      </c>
      <c r="B1173" s="14" t="s">
        <v>822</v>
      </c>
      <c r="C1173" s="14" t="s">
        <v>823</v>
      </c>
      <c r="D1173" s="13" t="s">
        <v>824</v>
      </c>
      <c r="E1173" s="14" t="s">
        <v>18</v>
      </c>
      <c r="F1173" s="13" t="s">
        <v>19</v>
      </c>
      <c r="G1173" s="14" t="s">
        <v>20</v>
      </c>
      <c r="H1173" s="14"/>
      <c r="I1173" s="14">
        <v>201408</v>
      </c>
      <c r="J1173" s="41">
        <v>-174.38</v>
      </c>
      <c r="K1173" s="21">
        <f t="shared" si="113"/>
        <v>42675</v>
      </c>
      <c r="L1173" s="16">
        <f t="shared" si="114"/>
        <v>6</v>
      </c>
      <c r="M1173" s="17">
        <v>1.4833299999999999E-3</v>
      </c>
      <c r="N1173" s="18">
        <f t="shared" si="109"/>
        <v>-1.5519785124000001</v>
      </c>
      <c r="O1173" s="15"/>
      <c r="P1173" s="20">
        <f t="shared" si="110"/>
        <v>0</v>
      </c>
      <c r="Q1173" s="15"/>
      <c r="R1173" s="20">
        <f t="shared" si="111"/>
        <v>0</v>
      </c>
      <c r="S1173" s="130"/>
      <c r="T1173" s="20">
        <f t="shared" si="112"/>
        <v>-2.4684578875000001</v>
      </c>
    </row>
    <row r="1174" spans="1:20">
      <c r="A1174" s="13" t="s">
        <v>21</v>
      </c>
      <c r="B1174" s="14" t="s">
        <v>64</v>
      </c>
      <c r="C1174" s="14" t="s">
        <v>65</v>
      </c>
      <c r="D1174" s="13" t="s">
        <v>66</v>
      </c>
      <c r="E1174" s="14" t="s">
        <v>25</v>
      </c>
      <c r="F1174" s="13" t="s">
        <v>26</v>
      </c>
      <c r="G1174" s="14" t="s">
        <v>20</v>
      </c>
      <c r="H1174" s="14"/>
      <c r="I1174" s="14">
        <v>201408</v>
      </c>
      <c r="J1174" s="41">
        <v>-12.17</v>
      </c>
      <c r="K1174" s="21">
        <f t="shared" si="113"/>
        <v>42675</v>
      </c>
      <c r="L1174" s="16">
        <f t="shared" si="114"/>
        <v>6</v>
      </c>
      <c r="M1174" s="17">
        <v>1.4833299999999999E-3</v>
      </c>
      <c r="N1174" s="18">
        <f t="shared" si="109"/>
        <v>-0.1083127566</v>
      </c>
      <c r="O1174" s="15"/>
      <c r="P1174" s="20">
        <f t="shared" si="110"/>
        <v>0</v>
      </c>
      <c r="Q1174" s="15"/>
      <c r="R1174" s="20">
        <f t="shared" si="111"/>
        <v>0</v>
      </c>
      <c r="S1174" s="130"/>
      <c r="T1174" s="20">
        <f t="shared" si="112"/>
        <v>-0.17227395624999997</v>
      </c>
    </row>
    <row r="1175" spans="1:20">
      <c r="A1175" s="13" t="s">
        <v>21</v>
      </c>
      <c r="B1175" s="14" t="s">
        <v>72</v>
      </c>
      <c r="C1175" s="14" t="s">
        <v>73</v>
      </c>
      <c r="D1175" s="13" t="s">
        <v>74</v>
      </c>
      <c r="E1175" s="14" t="s">
        <v>75</v>
      </c>
      <c r="F1175" s="13" t="s">
        <v>26</v>
      </c>
      <c r="G1175" s="14" t="s">
        <v>20</v>
      </c>
      <c r="H1175" s="14"/>
      <c r="I1175" s="14">
        <v>201408</v>
      </c>
      <c r="J1175" s="41">
        <v>-376.29</v>
      </c>
      <c r="K1175" s="21">
        <f t="shared" si="113"/>
        <v>42675</v>
      </c>
      <c r="L1175" s="16">
        <f t="shared" si="114"/>
        <v>6</v>
      </c>
      <c r="M1175" s="17">
        <v>1.4833299999999999E-3</v>
      </c>
      <c r="N1175" s="18">
        <f t="shared" si="109"/>
        <v>-3.3489734742000001</v>
      </c>
      <c r="O1175" s="15"/>
      <c r="P1175" s="20">
        <f t="shared" si="110"/>
        <v>0</v>
      </c>
      <c r="Q1175" s="15"/>
      <c r="R1175" s="20">
        <f t="shared" si="111"/>
        <v>0</v>
      </c>
      <c r="S1175" s="130"/>
      <c r="T1175" s="20">
        <f t="shared" si="112"/>
        <v>-5.3266201312499994</v>
      </c>
    </row>
    <row r="1176" spans="1:20">
      <c r="A1176" s="13" t="s">
        <v>21</v>
      </c>
      <c r="B1176" s="14" t="s">
        <v>76</v>
      </c>
      <c r="C1176" s="14" t="s">
        <v>77</v>
      </c>
      <c r="D1176" s="13" t="s">
        <v>78</v>
      </c>
      <c r="E1176" s="14" t="s">
        <v>79</v>
      </c>
      <c r="F1176" s="13" t="s">
        <v>26</v>
      </c>
      <c r="G1176" s="14" t="s">
        <v>20</v>
      </c>
      <c r="H1176" s="14"/>
      <c r="I1176" s="14">
        <v>201408</v>
      </c>
      <c r="J1176" s="41">
        <v>-49.16</v>
      </c>
      <c r="K1176" s="21">
        <f t="shared" si="113"/>
        <v>42675</v>
      </c>
      <c r="L1176" s="16">
        <f t="shared" si="114"/>
        <v>6</v>
      </c>
      <c r="M1176" s="17">
        <v>1.4833299999999999E-3</v>
      </c>
      <c r="N1176" s="18">
        <f t="shared" si="109"/>
        <v>-0.4375230168</v>
      </c>
      <c r="O1176" s="15"/>
      <c r="P1176" s="20">
        <f t="shared" si="110"/>
        <v>0</v>
      </c>
      <c r="Q1176" s="15"/>
      <c r="R1176" s="20">
        <f t="shared" si="111"/>
        <v>0</v>
      </c>
      <c r="S1176" s="130"/>
      <c r="T1176" s="20">
        <f t="shared" si="112"/>
        <v>-0.69589052499999993</v>
      </c>
    </row>
    <row r="1177" spans="1:20">
      <c r="A1177" s="13" t="s">
        <v>21</v>
      </c>
      <c r="B1177" s="14" t="s">
        <v>81</v>
      </c>
      <c r="C1177" s="14" t="s">
        <v>82</v>
      </c>
      <c r="D1177" s="13" t="s">
        <v>83</v>
      </c>
      <c r="E1177" s="14" t="s">
        <v>75</v>
      </c>
      <c r="F1177" s="13" t="s">
        <v>26</v>
      </c>
      <c r="G1177" s="14" t="s">
        <v>20</v>
      </c>
      <c r="H1177" s="14"/>
      <c r="I1177" s="14">
        <v>201408</v>
      </c>
      <c r="J1177" s="41">
        <v>-82.96</v>
      </c>
      <c r="K1177" s="21">
        <f t="shared" si="113"/>
        <v>42675</v>
      </c>
      <c r="L1177" s="16">
        <f t="shared" si="114"/>
        <v>6</v>
      </c>
      <c r="M1177" s="17">
        <v>1.4833299999999999E-3</v>
      </c>
      <c r="N1177" s="18">
        <f t="shared" si="109"/>
        <v>-0.73834234079999994</v>
      </c>
      <c r="O1177" s="15"/>
      <c r="P1177" s="20">
        <f t="shared" si="110"/>
        <v>0</v>
      </c>
      <c r="Q1177" s="15"/>
      <c r="R1177" s="20">
        <f t="shared" si="111"/>
        <v>0</v>
      </c>
      <c r="S1177" s="130"/>
      <c r="T1177" s="20">
        <f t="shared" si="112"/>
        <v>-1.1743506499999998</v>
      </c>
    </row>
    <row r="1178" spans="1:20">
      <c r="A1178" s="13" t="s">
        <v>21</v>
      </c>
      <c r="B1178" s="14" t="s">
        <v>364</v>
      </c>
      <c r="C1178" s="14" t="s">
        <v>365</v>
      </c>
      <c r="D1178" s="13" t="s">
        <v>366</v>
      </c>
      <c r="E1178" s="14" t="s">
        <v>25</v>
      </c>
      <c r="F1178" s="13" t="s">
        <v>26</v>
      </c>
      <c r="G1178" s="14" t="s">
        <v>20</v>
      </c>
      <c r="H1178" s="14"/>
      <c r="I1178" s="14">
        <v>201408</v>
      </c>
      <c r="J1178" s="41">
        <v>-106.97</v>
      </c>
      <c r="K1178" s="21">
        <f t="shared" si="113"/>
        <v>42675</v>
      </c>
      <c r="L1178" s="16">
        <f t="shared" si="114"/>
        <v>6</v>
      </c>
      <c r="M1178" s="17">
        <v>1.4833299999999999E-3</v>
      </c>
      <c r="N1178" s="18">
        <f t="shared" si="109"/>
        <v>-0.95203086059999997</v>
      </c>
      <c r="O1178" s="15"/>
      <c r="P1178" s="20">
        <f t="shared" si="110"/>
        <v>0</v>
      </c>
      <c r="Q1178" s="15"/>
      <c r="R1178" s="20">
        <f t="shared" si="111"/>
        <v>0</v>
      </c>
      <c r="S1178" s="130"/>
      <c r="T1178" s="20">
        <f t="shared" si="112"/>
        <v>-1.5142272062499997</v>
      </c>
    </row>
    <row r="1179" spans="1:20">
      <c r="A1179" s="13" t="s">
        <v>21</v>
      </c>
      <c r="B1179" s="14" t="s">
        <v>367</v>
      </c>
      <c r="C1179" s="14" t="s">
        <v>368</v>
      </c>
      <c r="D1179" s="13" t="s">
        <v>369</v>
      </c>
      <c r="E1179" s="14" t="s">
        <v>63</v>
      </c>
      <c r="F1179" s="13" t="s">
        <v>19</v>
      </c>
      <c r="G1179" s="14" t="s">
        <v>20</v>
      </c>
      <c r="H1179" s="14"/>
      <c r="I1179" s="14">
        <v>201408</v>
      </c>
      <c r="J1179" s="41">
        <v>-77.849999999999994</v>
      </c>
      <c r="K1179" s="21">
        <f t="shared" si="113"/>
        <v>42675</v>
      </c>
      <c r="L1179" s="16">
        <f t="shared" si="114"/>
        <v>6</v>
      </c>
      <c r="M1179" s="17">
        <v>1.4833299999999999E-3</v>
      </c>
      <c r="N1179" s="18">
        <f t="shared" si="109"/>
        <v>-0.69286344299999991</v>
      </c>
      <c r="O1179" s="15"/>
      <c r="P1179" s="20">
        <f t="shared" si="110"/>
        <v>0</v>
      </c>
      <c r="Q1179" s="15"/>
      <c r="R1179" s="20">
        <f t="shared" si="111"/>
        <v>0</v>
      </c>
      <c r="S1179" s="130"/>
      <c r="T1179" s="20">
        <f t="shared" si="112"/>
        <v>-1.1020154062499998</v>
      </c>
    </row>
    <row r="1180" spans="1:20">
      <c r="A1180" s="13" t="s">
        <v>21</v>
      </c>
      <c r="B1180" s="14" t="s">
        <v>95</v>
      </c>
      <c r="C1180" s="14" t="s">
        <v>96</v>
      </c>
      <c r="D1180" s="13" t="s">
        <v>97</v>
      </c>
      <c r="E1180" s="14" t="s">
        <v>75</v>
      </c>
      <c r="F1180" s="13" t="s">
        <v>26</v>
      </c>
      <c r="G1180" s="14" t="s">
        <v>20</v>
      </c>
      <c r="H1180" s="14"/>
      <c r="I1180" s="14">
        <v>201408</v>
      </c>
      <c r="J1180" s="41">
        <v>-59.5</v>
      </c>
      <c r="K1180" s="21">
        <f t="shared" si="113"/>
        <v>42675</v>
      </c>
      <c r="L1180" s="16">
        <f t="shared" si="114"/>
        <v>6</v>
      </c>
      <c r="M1180" s="17">
        <v>1.4833299999999999E-3</v>
      </c>
      <c r="N1180" s="18">
        <f t="shared" si="109"/>
        <v>-0.52954880999999998</v>
      </c>
      <c r="O1180" s="15"/>
      <c r="P1180" s="20">
        <f t="shared" si="110"/>
        <v>0</v>
      </c>
      <c r="Q1180" s="15"/>
      <c r="R1180" s="20">
        <f t="shared" si="111"/>
        <v>0</v>
      </c>
      <c r="S1180" s="130"/>
      <c r="T1180" s="20">
        <f t="shared" si="112"/>
        <v>-0.84225968749999991</v>
      </c>
    </row>
    <row r="1181" spans="1:20">
      <c r="A1181" s="13" t="s">
        <v>21</v>
      </c>
      <c r="B1181" s="14" t="s">
        <v>431</v>
      </c>
      <c r="C1181" s="14" t="s">
        <v>432</v>
      </c>
      <c r="D1181" s="13" t="s">
        <v>433</v>
      </c>
      <c r="E1181" s="14" t="s">
        <v>75</v>
      </c>
      <c r="F1181" s="13" t="s">
        <v>26</v>
      </c>
      <c r="G1181" s="14" t="s">
        <v>20</v>
      </c>
      <c r="H1181" s="14"/>
      <c r="I1181" s="14">
        <v>201408</v>
      </c>
      <c r="J1181" s="41">
        <v>-1338.68</v>
      </c>
      <c r="K1181" s="21">
        <f t="shared" si="113"/>
        <v>42675</v>
      </c>
      <c r="L1181" s="16">
        <f t="shared" si="114"/>
        <v>6</v>
      </c>
      <c r="M1181" s="17">
        <v>1.4833299999999999E-3</v>
      </c>
      <c r="N1181" s="18">
        <f t="shared" si="109"/>
        <v>-11.914225226400001</v>
      </c>
      <c r="O1181" s="15"/>
      <c r="P1181" s="20">
        <f t="shared" si="110"/>
        <v>0</v>
      </c>
      <c r="Q1181" s="15"/>
      <c r="R1181" s="20">
        <f t="shared" si="111"/>
        <v>0</v>
      </c>
      <c r="S1181" s="130"/>
      <c r="T1181" s="20">
        <f t="shared" si="112"/>
        <v>-18.949852075000003</v>
      </c>
    </row>
    <row r="1182" spans="1:20">
      <c r="A1182" s="13" t="s">
        <v>21</v>
      </c>
      <c r="B1182" s="14" t="s">
        <v>819</v>
      </c>
      <c r="C1182" s="14" t="s">
        <v>820</v>
      </c>
      <c r="D1182" s="13" t="s">
        <v>821</v>
      </c>
      <c r="E1182" s="14" t="s">
        <v>102</v>
      </c>
      <c r="F1182" s="13" t="s">
        <v>19</v>
      </c>
      <c r="G1182" s="14" t="s">
        <v>20</v>
      </c>
      <c r="H1182" s="14"/>
      <c r="I1182" s="14">
        <v>201408</v>
      </c>
      <c r="J1182" s="41">
        <v>60.54</v>
      </c>
      <c r="K1182" s="21">
        <f t="shared" si="113"/>
        <v>42675</v>
      </c>
      <c r="L1182" s="16">
        <f t="shared" si="114"/>
        <v>6</v>
      </c>
      <c r="M1182" s="17">
        <v>1.4833299999999999E-3</v>
      </c>
      <c r="N1182" s="18">
        <f t="shared" si="109"/>
        <v>0.53880478919999997</v>
      </c>
      <c r="O1182" s="15"/>
      <c r="P1182" s="20">
        <f t="shared" si="110"/>
        <v>0</v>
      </c>
      <c r="Q1182" s="15"/>
      <c r="R1182" s="20">
        <f t="shared" si="111"/>
        <v>0</v>
      </c>
      <c r="S1182" s="130"/>
      <c r="T1182" s="20">
        <f t="shared" si="112"/>
        <v>0.85698153749999995</v>
      </c>
    </row>
    <row r="1183" spans="1:20">
      <c r="A1183" s="13" t="s">
        <v>21</v>
      </c>
      <c r="B1183" s="14" t="s">
        <v>99</v>
      </c>
      <c r="C1183" s="14" t="s">
        <v>100</v>
      </c>
      <c r="D1183" s="13" t="s">
        <v>101</v>
      </c>
      <c r="E1183" s="14" t="s">
        <v>102</v>
      </c>
      <c r="F1183" s="13" t="s">
        <v>19</v>
      </c>
      <c r="G1183" s="14" t="s">
        <v>20</v>
      </c>
      <c r="H1183" s="14"/>
      <c r="I1183" s="14">
        <v>201408</v>
      </c>
      <c r="J1183" s="41">
        <v>95.4</v>
      </c>
      <c r="K1183" s="21">
        <f t="shared" si="113"/>
        <v>42675</v>
      </c>
      <c r="L1183" s="16">
        <f t="shared" si="114"/>
        <v>6</v>
      </c>
      <c r="M1183" s="17">
        <v>1.4833299999999999E-3</v>
      </c>
      <c r="N1183" s="18">
        <f t="shared" si="109"/>
        <v>0.84905809200000004</v>
      </c>
      <c r="O1183" s="15"/>
      <c r="P1183" s="20">
        <f t="shared" si="110"/>
        <v>0</v>
      </c>
      <c r="Q1183" s="15"/>
      <c r="R1183" s="20">
        <f t="shared" si="111"/>
        <v>0</v>
      </c>
      <c r="S1183" s="130"/>
      <c r="T1183" s="20">
        <f t="shared" si="112"/>
        <v>1.350446625</v>
      </c>
    </row>
    <row r="1184" spans="1:20">
      <c r="A1184" s="13" t="s">
        <v>21</v>
      </c>
      <c r="B1184" s="14" t="s">
        <v>370</v>
      </c>
      <c r="C1184" s="14" t="s">
        <v>371</v>
      </c>
      <c r="D1184" s="13" t="s">
        <v>372</v>
      </c>
      <c r="E1184" s="14" t="s">
        <v>63</v>
      </c>
      <c r="F1184" s="13" t="s">
        <v>19</v>
      </c>
      <c r="G1184" s="14" t="s">
        <v>20</v>
      </c>
      <c r="H1184" s="14"/>
      <c r="I1184" s="14">
        <v>201408</v>
      </c>
      <c r="J1184" s="41">
        <v>72.11</v>
      </c>
      <c r="K1184" s="21">
        <f t="shared" si="113"/>
        <v>42675</v>
      </c>
      <c r="L1184" s="16">
        <f t="shared" si="114"/>
        <v>6</v>
      </c>
      <c r="M1184" s="17">
        <v>1.4833299999999999E-3</v>
      </c>
      <c r="N1184" s="18">
        <f t="shared" si="109"/>
        <v>0.64177755780000001</v>
      </c>
      <c r="O1184" s="15"/>
      <c r="P1184" s="20">
        <f t="shared" si="110"/>
        <v>0</v>
      </c>
      <c r="Q1184" s="15"/>
      <c r="R1184" s="20">
        <f t="shared" si="111"/>
        <v>0</v>
      </c>
      <c r="S1184" s="130"/>
      <c r="T1184" s="20">
        <f t="shared" si="112"/>
        <v>1.02076211875</v>
      </c>
    </row>
    <row r="1185" spans="1:20">
      <c r="A1185" s="13" t="s">
        <v>21</v>
      </c>
      <c r="B1185" s="14" t="s">
        <v>735</v>
      </c>
      <c r="C1185" s="14" t="s">
        <v>736</v>
      </c>
      <c r="D1185" s="13" t="s">
        <v>737</v>
      </c>
      <c r="E1185" s="14" t="s">
        <v>75</v>
      </c>
      <c r="F1185" s="13" t="s">
        <v>26</v>
      </c>
      <c r="G1185" s="14" t="s">
        <v>20</v>
      </c>
      <c r="H1185" s="14"/>
      <c r="I1185" s="14">
        <v>201408</v>
      </c>
      <c r="J1185" s="41">
        <v>24698.7</v>
      </c>
      <c r="K1185" s="21">
        <f t="shared" si="113"/>
        <v>42675</v>
      </c>
      <c r="L1185" s="16">
        <f t="shared" si="114"/>
        <v>6</v>
      </c>
      <c r="M1185" s="17">
        <v>1.4833299999999999E-3</v>
      </c>
      <c r="N1185" s="18">
        <f t="shared" si="109"/>
        <v>219.81793602600001</v>
      </c>
      <c r="O1185" s="15"/>
      <c r="P1185" s="20">
        <f t="shared" si="110"/>
        <v>0</v>
      </c>
      <c r="Q1185" s="15"/>
      <c r="R1185" s="20">
        <f t="shared" si="111"/>
        <v>0</v>
      </c>
      <c r="S1185" s="130"/>
      <c r="T1185" s="20">
        <f t="shared" si="112"/>
        <v>349.62553518750002</v>
      </c>
    </row>
    <row r="1186" spans="1:20">
      <c r="A1186" s="13" t="s">
        <v>21</v>
      </c>
      <c r="B1186" s="14" t="s">
        <v>551</v>
      </c>
      <c r="C1186" s="14" t="s">
        <v>552</v>
      </c>
      <c r="D1186" s="13" t="s">
        <v>553</v>
      </c>
      <c r="E1186" s="14" t="s">
        <v>260</v>
      </c>
      <c r="F1186" s="13" t="s">
        <v>26</v>
      </c>
      <c r="G1186" s="14" t="s">
        <v>20</v>
      </c>
      <c r="H1186" s="14"/>
      <c r="I1186" s="14">
        <v>201408</v>
      </c>
      <c r="J1186" s="41">
        <v>-223.7</v>
      </c>
      <c r="K1186" s="21">
        <f t="shared" si="113"/>
        <v>42675</v>
      </c>
      <c r="L1186" s="16">
        <f t="shared" si="114"/>
        <v>6</v>
      </c>
      <c r="M1186" s="17">
        <v>1.4833299999999999E-3</v>
      </c>
      <c r="N1186" s="18">
        <f t="shared" si="109"/>
        <v>-1.9909255259999998</v>
      </c>
      <c r="O1186" s="15"/>
      <c r="P1186" s="20">
        <f t="shared" si="110"/>
        <v>0</v>
      </c>
      <c r="Q1186" s="15"/>
      <c r="R1186" s="20">
        <f t="shared" si="111"/>
        <v>0</v>
      </c>
      <c r="S1186" s="130"/>
      <c r="T1186" s="20">
        <f t="shared" si="112"/>
        <v>-3.1666133124999996</v>
      </c>
    </row>
    <row r="1187" spans="1:20">
      <c r="A1187" s="13" t="s">
        <v>21</v>
      </c>
      <c r="B1187" s="14" t="s">
        <v>561</v>
      </c>
      <c r="C1187" s="14" t="s">
        <v>562</v>
      </c>
      <c r="D1187" s="13" t="s">
        <v>563</v>
      </c>
      <c r="E1187" s="14" t="s">
        <v>75</v>
      </c>
      <c r="F1187" s="13" t="s">
        <v>26</v>
      </c>
      <c r="G1187" s="14" t="s">
        <v>20</v>
      </c>
      <c r="H1187" s="14"/>
      <c r="I1187" s="14">
        <v>201408</v>
      </c>
      <c r="J1187" s="41">
        <v>5.91</v>
      </c>
      <c r="K1187" s="21">
        <f t="shared" si="113"/>
        <v>42675</v>
      </c>
      <c r="L1187" s="16">
        <f t="shared" si="114"/>
        <v>6</v>
      </c>
      <c r="M1187" s="17">
        <v>1.4833299999999999E-3</v>
      </c>
      <c r="N1187" s="18">
        <f t="shared" si="109"/>
        <v>5.2598881800000004E-2</v>
      </c>
      <c r="O1187" s="15"/>
      <c r="P1187" s="20">
        <f t="shared" si="110"/>
        <v>0</v>
      </c>
      <c r="Q1187" s="15"/>
      <c r="R1187" s="20">
        <f t="shared" si="111"/>
        <v>0</v>
      </c>
      <c r="S1187" s="130"/>
      <c r="T1187" s="20">
        <f t="shared" si="112"/>
        <v>8.3659743750000001E-2</v>
      </c>
    </row>
    <row r="1188" spans="1:20">
      <c r="A1188" s="13" t="s">
        <v>21</v>
      </c>
      <c r="B1188" s="14" t="s">
        <v>567</v>
      </c>
      <c r="C1188" s="14" t="s">
        <v>565</v>
      </c>
      <c r="D1188" s="13" t="s">
        <v>566</v>
      </c>
      <c r="E1188" s="14" t="s">
        <v>75</v>
      </c>
      <c r="F1188" s="13" t="s">
        <v>26</v>
      </c>
      <c r="G1188" s="14" t="s">
        <v>20</v>
      </c>
      <c r="H1188" s="14"/>
      <c r="I1188" s="14">
        <v>201408</v>
      </c>
      <c r="J1188" s="41">
        <v>-246.32</v>
      </c>
      <c r="K1188" s="21">
        <f t="shared" si="113"/>
        <v>42675</v>
      </c>
      <c r="L1188" s="16">
        <f t="shared" si="114"/>
        <v>6</v>
      </c>
      <c r="M1188" s="17">
        <v>1.4833299999999999E-3</v>
      </c>
      <c r="N1188" s="18">
        <f t="shared" si="109"/>
        <v>-2.1922430735999998</v>
      </c>
      <c r="O1188" s="15"/>
      <c r="P1188" s="20">
        <f t="shared" si="110"/>
        <v>0</v>
      </c>
      <c r="Q1188" s="15"/>
      <c r="R1188" s="20">
        <f t="shared" si="111"/>
        <v>0</v>
      </c>
      <c r="S1188" s="130"/>
      <c r="T1188" s="20">
        <f t="shared" si="112"/>
        <v>-3.4868135499999995</v>
      </c>
    </row>
    <row r="1189" spans="1:20">
      <c r="A1189" s="13" t="s">
        <v>21</v>
      </c>
      <c r="B1189" s="14" t="s">
        <v>564</v>
      </c>
      <c r="C1189" s="14" t="s">
        <v>565</v>
      </c>
      <c r="D1189" s="13" t="s">
        <v>566</v>
      </c>
      <c r="E1189" s="14" t="s">
        <v>75</v>
      </c>
      <c r="F1189" s="13" t="s">
        <v>26</v>
      </c>
      <c r="G1189" s="14" t="s">
        <v>20</v>
      </c>
      <c r="H1189" s="14"/>
      <c r="I1189" s="14">
        <v>201408</v>
      </c>
      <c r="J1189" s="41">
        <v>-0.27</v>
      </c>
      <c r="K1189" s="21">
        <f t="shared" si="113"/>
        <v>42675</v>
      </c>
      <c r="L1189" s="16">
        <f t="shared" si="114"/>
        <v>6</v>
      </c>
      <c r="M1189" s="17">
        <v>1.4833299999999999E-3</v>
      </c>
      <c r="N1189" s="18">
        <f t="shared" si="109"/>
        <v>-2.4029946000000001E-3</v>
      </c>
      <c r="O1189" s="15"/>
      <c r="P1189" s="20">
        <f t="shared" si="110"/>
        <v>0</v>
      </c>
      <c r="Q1189" s="15"/>
      <c r="R1189" s="20">
        <f t="shared" si="111"/>
        <v>0</v>
      </c>
      <c r="S1189" s="130"/>
      <c r="T1189" s="20">
        <f t="shared" si="112"/>
        <v>-3.8220187499999995E-3</v>
      </c>
    </row>
    <row r="1190" spans="1:20">
      <c r="A1190" s="13" t="s">
        <v>21</v>
      </c>
      <c r="B1190" s="14" t="s">
        <v>373</v>
      </c>
      <c r="C1190" s="14" t="s">
        <v>374</v>
      </c>
      <c r="D1190" s="13" t="s">
        <v>375</v>
      </c>
      <c r="E1190" s="14" t="s">
        <v>164</v>
      </c>
      <c r="F1190" s="13" t="s">
        <v>165</v>
      </c>
      <c r="G1190" s="14" t="s">
        <v>20</v>
      </c>
      <c r="H1190" s="14"/>
      <c r="I1190" s="14">
        <v>201408</v>
      </c>
      <c r="J1190" s="41">
        <v>-66.11</v>
      </c>
      <c r="K1190" s="21">
        <f t="shared" si="113"/>
        <v>42675</v>
      </c>
      <c r="L1190" s="16">
        <f t="shared" si="114"/>
        <v>6</v>
      </c>
      <c r="M1190" s="17">
        <v>1.4833299999999999E-3</v>
      </c>
      <c r="N1190" s="18">
        <f t="shared" si="109"/>
        <v>-0.58837767779999994</v>
      </c>
      <c r="O1190" s="15"/>
      <c r="P1190" s="20">
        <f t="shared" si="110"/>
        <v>0</v>
      </c>
      <c r="Q1190" s="15"/>
      <c r="R1190" s="20">
        <f t="shared" si="111"/>
        <v>0</v>
      </c>
      <c r="S1190" s="130"/>
      <c r="T1190" s="20">
        <f t="shared" si="112"/>
        <v>-0.93582836874999997</v>
      </c>
    </row>
    <row r="1191" spans="1:20">
      <c r="A1191" s="13" t="s">
        <v>21</v>
      </c>
      <c r="B1191" s="14" t="s">
        <v>139</v>
      </c>
      <c r="C1191" s="14" t="s">
        <v>140</v>
      </c>
      <c r="D1191" s="13" t="s">
        <v>141</v>
      </c>
      <c r="E1191" s="14" t="s">
        <v>142</v>
      </c>
      <c r="F1191" s="13" t="s">
        <v>143</v>
      </c>
      <c r="G1191" s="14" t="s">
        <v>20</v>
      </c>
      <c r="H1191" s="14"/>
      <c r="I1191" s="14">
        <v>201408</v>
      </c>
      <c r="J1191" s="41">
        <v>-81.38</v>
      </c>
      <c r="K1191" s="21">
        <f t="shared" si="113"/>
        <v>42675</v>
      </c>
      <c r="L1191" s="16">
        <f t="shared" si="114"/>
        <v>6</v>
      </c>
      <c r="M1191" s="17">
        <v>1.4833299999999999E-3</v>
      </c>
      <c r="N1191" s="18">
        <f t="shared" si="109"/>
        <v>-0.72428037239999998</v>
      </c>
      <c r="O1191" s="15"/>
      <c r="P1191" s="20">
        <f t="shared" si="110"/>
        <v>0</v>
      </c>
      <c r="Q1191" s="15"/>
      <c r="R1191" s="20">
        <f t="shared" si="111"/>
        <v>0</v>
      </c>
      <c r="S1191" s="130"/>
      <c r="T1191" s="20">
        <f t="shared" si="112"/>
        <v>-1.1519847624999997</v>
      </c>
    </row>
    <row r="1192" spans="1:20">
      <c r="A1192" s="13" t="s">
        <v>21</v>
      </c>
      <c r="B1192" s="14" t="s">
        <v>144</v>
      </c>
      <c r="C1192" s="14" t="s">
        <v>145</v>
      </c>
      <c r="D1192" s="13" t="s">
        <v>146</v>
      </c>
      <c r="E1192" s="14" t="s">
        <v>142</v>
      </c>
      <c r="F1192" s="13" t="s">
        <v>143</v>
      </c>
      <c r="G1192" s="14" t="s">
        <v>20</v>
      </c>
      <c r="H1192" s="14"/>
      <c r="I1192" s="14">
        <v>201408</v>
      </c>
      <c r="J1192" s="41">
        <v>-59.49</v>
      </c>
      <c r="K1192" s="21">
        <f t="shared" si="113"/>
        <v>42675</v>
      </c>
      <c r="L1192" s="16">
        <f t="shared" si="114"/>
        <v>6</v>
      </c>
      <c r="M1192" s="17">
        <v>1.4833299999999999E-3</v>
      </c>
      <c r="N1192" s="18">
        <f t="shared" si="109"/>
        <v>-0.52945981019999999</v>
      </c>
      <c r="O1192" s="15"/>
      <c r="P1192" s="20">
        <f t="shared" si="110"/>
        <v>0</v>
      </c>
      <c r="Q1192" s="15"/>
      <c r="R1192" s="20">
        <f t="shared" si="111"/>
        <v>0</v>
      </c>
      <c r="S1192" s="130"/>
      <c r="T1192" s="20">
        <f t="shared" si="112"/>
        <v>-0.84211813125000001</v>
      </c>
    </row>
    <row r="1193" spans="1:20">
      <c r="A1193" s="13" t="s">
        <v>21</v>
      </c>
      <c r="B1193" s="14" t="s">
        <v>147</v>
      </c>
      <c r="C1193" s="14" t="s">
        <v>148</v>
      </c>
      <c r="D1193" s="13" t="s">
        <v>149</v>
      </c>
      <c r="E1193" s="14" t="s">
        <v>75</v>
      </c>
      <c r="F1193" s="13" t="s">
        <v>26</v>
      </c>
      <c r="G1193" s="14" t="s">
        <v>20</v>
      </c>
      <c r="H1193" s="14"/>
      <c r="I1193" s="14">
        <v>201408</v>
      </c>
      <c r="J1193" s="41">
        <v>-131.19</v>
      </c>
      <c r="K1193" s="21">
        <f t="shared" si="113"/>
        <v>42675</v>
      </c>
      <c r="L1193" s="16">
        <f t="shared" si="114"/>
        <v>6</v>
      </c>
      <c r="M1193" s="17">
        <v>1.4833299999999999E-3</v>
      </c>
      <c r="N1193" s="18">
        <f t="shared" si="109"/>
        <v>-1.1675883761999999</v>
      </c>
      <c r="O1193" s="15"/>
      <c r="P1193" s="20">
        <f t="shared" si="110"/>
        <v>0</v>
      </c>
      <c r="Q1193" s="15"/>
      <c r="R1193" s="20">
        <f t="shared" si="111"/>
        <v>0</v>
      </c>
      <c r="S1193" s="130"/>
      <c r="T1193" s="20">
        <f t="shared" si="112"/>
        <v>-1.8570764437499998</v>
      </c>
    </row>
    <row r="1194" spans="1:20">
      <c r="A1194" s="13" t="s">
        <v>21</v>
      </c>
      <c r="B1194" s="14" t="s">
        <v>150</v>
      </c>
      <c r="C1194" s="14" t="s">
        <v>151</v>
      </c>
      <c r="D1194" s="13" t="s">
        <v>152</v>
      </c>
      <c r="E1194" s="14" t="s">
        <v>75</v>
      </c>
      <c r="F1194" s="13" t="s">
        <v>26</v>
      </c>
      <c r="G1194" s="14" t="s">
        <v>20</v>
      </c>
      <c r="H1194" s="14"/>
      <c r="I1194" s="14">
        <v>201408</v>
      </c>
      <c r="J1194" s="41">
        <v>37.49</v>
      </c>
      <c r="K1194" s="21">
        <f t="shared" si="113"/>
        <v>42675</v>
      </c>
      <c r="L1194" s="16">
        <f t="shared" si="114"/>
        <v>6</v>
      </c>
      <c r="M1194" s="17">
        <v>1.4833299999999999E-3</v>
      </c>
      <c r="N1194" s="18">
        <f t="shared" si="109"/>
        <v>0.33366025020000001</v>
      </c>
      <c r="O1194" s="15"/>
      <c r="P1194" s="20">
        <f t="shared" si="110"/>
        <v>0</v>
      </c>
      <c r="Q1194" s="15"/>
      <c r="R1194" s="20">
        <f t="shared" si="111"/>
        <v>0</v>
      </c>
      <c r="S1194" s="130"/>
      <c r="T1194" s="20">
        <f t="shared" si="112"/>
        <v>0.53069438125000001</v>
      </c>
    </row>
    <row r="1195" spans="1:20">
      <c r="A1195" s="13" t="s">
        <v>21</v>
      </c>
      <c r="B1195" s="14" t="s">
        <v>571</v>
      </c>
      <c r="C1195" s="14" t="s">
        <v>572</v>
      </c>
      <c r="D1195" s="13" t="s">
        <v>573</v>
      </c>
      <c r="E1195" s="14" t="s">
        <v>79</v>
      </c>
      <c r="F1195" s="13" t="s">
        <v>26</v>
      </c>
      <c r="G1195" s="14" t="s">
        <v>20</v>
      </c>
      <c r="H1195" s="14"/>
      <c r="I1195" s="14">
        <v>201408</v>
      </c>
      <c r="J1195" s="41">
        <v>182.1</v>
      </c>
      <c r="K1195" s="21">
        <f t="shared" si="113"/>
        <v>42675</v>
      </c>
      <c r="L1195" s="16">
        <f t="shared" si="114"/>
        <v>6</v>
      </c>
      <c r="M1195" s="17">
        <v>1.4833299999999999E-3</v>
      </c>
      <c r="N1195" s="18">
        <f t="shared" si="109"/>
        <v>1.6206863579999999</v>
      </c>
      <c r="O1195" s="15"/>
      <c r="P1195" s="20">
        <f t="shared" si="110"/>
        <v>0</v>
      </c>
      <c r="Q1195" s="15"/>
      <c r="R1195" s="20">
        <f t="shared" si="111"/>
        <v>0</v>
      </c>
      <c r="S1195" s="130"/>
      <c r="T1195" s="20">
        <f t="shared" si="112"/>
        <v>2.5777393124999999</v>
      </c>
    </row>
    <row r="1196" spans="1:20">
      <c r="A1196" s="13" t="s">
        <v>21</v>
      </c>
      <c r="B1196" s="14" t="s">
        <v>153</v>
      </c>
      <c r="C1196" s="14" t="s">
        <v>154</v>
      </c>
      <c r="D1196" s="13" t="s">
        <v>155</v>
      </c>
      <c r="E1196" s="14" t="s">
        <v>156</v>
      </c>
      <c r="F1196" s="13" t="s">
        <v>26</v>
      </c>
      <c r="G1196" s="14" t="s">
        <v>20</v>
      </c>
      <c r="H1196" s="14"/>
      <c r="I1196" s="14">
        <v>201408</v>
      </c>
      <c r="J1196" s="41">
        <v>-88.6</v>
      </c>
      <c r="K1196" s="21">
        <f t="shared" si="113"/>
        <v>42675</v>
      </c>
      <c r="L1196" s="16">
        <f t="shared" si="114"/>
        <v>6</v>
      </c>
      <c r="M1196" s="17">
        <v>1.4833299999999999E-3</v>
      </c>
      <c r="N1196" s="18">
        <f t="shared" si="109"/>
        <v>-0.78853822799999995</v>
      </c>
      <c r="O1196" s="15"/>
      <c r="P1196" s="20">
        <f t="shared" si="110"/>
        <v>0</v>
      </c>
      <c r="Q1196" s="15"/>
      <c r="R1196" s="20">
        <f t="shared" si="111"/>
        <v>0</v>
      </c>
      <c r="S1196" s="130"/>
      <c r="T1196" s="20">
        <f t="shared" si="112"/>
        <v>-1.254188375</v>
      </c>
    </row>
    <row r="1197" spans="1:20">
      <c r="A1197" s="13" t="s">
        <v>21</v>
      </c>
      <c r="B1197" s="14" t="s">
        <v>577</v>
      </c>
      <c r="C1197" s="14" t="s">
        <v>578</v>
      </c>
      <c r="D1197" s="13" t="s">
        <v>579</v>
      </c>
      <c r="E1197" s="14" t="s">
        <v>75</v>
      </c>
      <c r="F1197" s="13" t="s">
        <v>26</v>
      </c>
      <c r="G1197" s="14" t="s">
        <v>20</v>
      </c>
      <c r="H1197" s="14"/>
      <c r="I1197" s="14">
        <v>201408</v>
      </c>
      <c r="J1197" s="41">
        <v>-110.75</v>
      </c>
      <c r="K1197" s="21">
        <f t="shared" si="113"/>
        <v>42675</v>
      </c>
      <c r="L1197" s="16">
        <f t="shared" si="114"/>
        <v>6</v>
      </c>
      <c r="M1197" s="17">
        <v>1.4833299999999999E-3</v>
      </c>
      <c r="N1197" s="18">
        <f t="shared" si="109"/>
        <v>-0.985672785</v>
      </c>
      <c r="O1197" s="15"/>
      <c r="P1197" s="20">
        <f t="shared" si="110"/>
        <v>0</v>
      </c>
      <c r="Q1197" s="15"/>
      <c r="R1197" s="20">
        <f t="shared" si="111"/>
        <v>0</v>
      </c>
      <c r="S1197" s="130"/>
      <c r="T1197" s="20">
        <f t="shared" si="112"/>
        <v>-1.56773546875</v>
      </c>
    </row>
    <row r="1198" spans="1:20">
      <c r="A1198" s="13" t="s">
        <v>21</v>
      </c>
      <c r="B1198" s="14" t="s">
        <v>157</v>
      </c>
      <c r="C1198" s="14" t="s">
        <v>158</v>
      </c>
      <c r="D1198" s="13" t="s">
        <v>159</v>
      </c>
      <c r="E1198" s="14" t="s">
        <v>160</v>
      </c>
      <c r="F1198" s="13" t="s">
        <v>19</v>
      </c>
      <c r="G1198" s="14" t="s">
        <v>20</v>
      </c>
      <c r="H1198" s="14"/>
      <c r="I1198" s="14">
        <v>201408</v>
      </c>
      <c r="J1198" s="41">
        <v>-20.89</v>
      </c>
      <c r="K1198" s="21">
        <f t="shared" si="113"/>
        <v>42675</v>
      </c>
      <c r="L1198" s="16">
        <f t="shared" si="114"/>
        <v>6</v>
      </c>
      <c r="M1198" s="17">
        <v>1.4833299999999999E-3</v>
      </c>
      <c r="N1198" s="18">
        <f t="shared" si="109"/>
        <v>-0.18592058220000002</v>
      </c>
      <c r="O1198" s="15"/>
      <c r="P1198" s="20">
        <f t="shared" si="110"/>
        <v>0</v>
      </c>
      <c r="Q1198" s="15"/>
      <c r="R1198" s="20">
        <f t="shared" si="111"/>
        <v>0</v>
      </c>
      <c r="S1198" s="130"/>
      <c r="T1198" s="20">
        <f t="shared" si="112"/>
        <v>-0.29571100624999996</v>
      </c>
    </row>
    <row r="1199" spans="1:20">
      <c r="A1199" s="13" t="s">
        <v>21</v>
      </c>
      <c r="B1199" s="14" t="s">
        <v>376</v>
      </c>
      <c r="C1199" s="14" t="s">
        <v>377</v>
      </c>
      <c r="D1199" s="13" t="s">
        <v>378</v>
      </c>
      <c r="E1199" s="14" t="s">
        <v>156</v>
      </c>
      <c r="F1199" s="13" t="s">
        <v>26</v>
      </c>
      <c r="G1199" s="14" t="s">
        <v>20</v>
      </c>
      <c r="H1199" s="14"/>
      <c r="I1199" s="14">
        <v>201408</v>
      </c>
      <c r="J1199" s="41">
        <v>-347.5</v>
      </c>
      <c r="K1199" s="21">
        <f t="shared" si="113"/>
        <v>42675</v>
      </c>
      <c r="L1199" s="16">
        <f t="shared" si="114"/>
        <v>6</v>
      </c>
      <c r="M1199" s="17">
        <v>1.4833299999999999E-3</v>
      </c>
      <c r="N1199" s="18">
        <f t="shared" si="109"/>
        <v>-3.0927430500000002</v>
      </c>
      <c r="O1199" s="15"/>
      <c r="P1199" s="20">
        <f t="shared" si="110"/>
        <v>0</v>
      </c>
      <c r="Q1199" s="15"/>
      <c r="R1199" s="20">
        <f t="shared" si="111"/>
        <v>0</v>
      </c>
      <c r="S1199" s="130"/>
      <c r="T1199" s="20">
        <f t="shared" si="112"/>
        <v>-4.9190796874999991</v>
      </c>
    </row>
    <row r="1200" spans="1:20">
      <c r="A1200" s="13" t="s">
        <v>21</v>
      </c>
      <c r="B1200" s="14" t="s">
        <v>161</v>
      </c>
      <c r="C1200" s="14" t="s">
        <v>162</v>
      </c>
      <c r="D1200" s="13" t="s">
        <v>163</v>
      </c>
      <c r="E1200" s="14" t="s">
        <v>164</v>
      </c>
      <c r="F1200" s="13" t="s">
        <v>165</v>
      </c>
      <c r="G1200" s="14" t="s">
        <v>20</v>
      </c>
      <c r="H1200" s="14"/>
      <c r="I1200" s="14">
        <v>201408</v>
      </c>
      <c r="J1200" s="41">
        <v>-229.43</v>
      </c>
      <c r="K1200" s="21">
        <f t="shared" si="113"/>
        <v>42675</v>
      </c>
      <c r="L1200" s="16">
        <f t="shared" si="114"/>
        <v>6</v>
      </c>
      <c r="M1200" s="17">
        <v>1.4833299999999999E-3</v>
      </c>
      <c r="N1200" s="18">
        <f t="shared" si="109"/>
        <v>-2.0419224113999999</v>
      </c>
      <c r="O1200" s="15"/>
      <c r="P1200" s="20">
        <f t="shared" si="110"/>
        <v>0</v>
      </c>
      <c r="Q1200" s="15"/>
      <c r="R1200" s="20">
        <f t="shared" si="111"/>
        <v>0</v>
      </c>
      <c r="S1200" s="130"/>
      <c r="T1200" s="20">
        <f t="shared" si="112"/>
        <v>-3.24772504375</v>
      </c>
    </row>
    <row r="1201" spans="1:20">
      <c r="A1201" s="13" t="s">
        <v>21</v>
      </c>
      <c r="B1201" s="14" t="s">
        <v>166</v>
      </c>
      <c r="C1201" s="14" t="s">
        <v>167</v>
      </c>
      <c r="D1201" s="13" t="s">
        <v>168</v>
      </c>
      <c r="E1201" s="14" t="s">
        <v>102</v>
      </c>
      <c r="F1201" s="13" t="s">
        <v>19</v>
      </c>
      <c r="G1201" s="14" t="s">
        <v>20</v>
      </c>
      <c r="H1201" s="14"/>
      <c r="I1201" s="14">
        <v>201408</v>
      </c>
      <c r="J1201" s="41">
        <v>16.05</v>
      </c>
      <c r="K1201" s="21">
        <f t="shared" si="113"/>
        <v>42675</v>
      </c>
      <c r="L1201" s="16">
        <f t="shared" si="114"/>
        <v>6</v>
      </c>
      <c r="M1201" s="17">
        <v>1.4833299999999999E-3</v>
      </c>
      <c r="N1201" s="18">
        <f t="shared" si="109"/>
        <v>0.142844679</v>
      </c>
      <c r="O1201" s="15"/>
      <c r="P1201" s="20">
        <f t="shared" si="110"/>
        <v>0</v>
      </c>
      <c r="Q1201" s="15"/>
      <c r="R1201" s="20">
        <f t="shared" si="111"/>
        <v>0</v>
      </c>
      <c r="S1201" s="130"/>
      <c r="T1201" s="20">
        <f t="shared" si="112"/>
        <v>0.22719778125000001</v>
      </c>
    </row>
    <row r="1202" spans="1:20">
      <c r="A1202" s="13" t="s">
        <v>21</v>
      </c>
      <c r="B1202" s="14" t="s">
        <v>379</v>
      </c>
      <c r="C1202" s="14" t="s">
        <v>380</v>
      </c>
      <c r="D1202" s="13" t="s">
        <v>381</v>
      </c>
      <c r="E1202" s="14" t="s">
        <v>164</v>
      </c>
      <c r="F1202" s="13" t="s">
        <v>165</v>
      </c>
      <c r="G1202" s="14" t="s">
        <v>20</v>
      </c>
      <c r="H1202" s="14"/>
      <c r="I1202" s="14">
        <v>201408</v>
      </c>
      <c r="J1202" s="41">
        <v>-113.17</v>
      </c>
      <c r="K1202" s="21">
        <f t="shared" si="113"/>
        <v>42675</v>
      </c>
      <c r="L1202" s="16">
        <f t="shared" si="114"/>
        <v>6</v>
      </c>
      <c r="M1202" s="17">
        <v>1.4833299999999999E-3</v>
      </c>
      <c r="N1202" s="18">
        <f t="shared" si="109"/>
        <v>-1.0072107366</v>
      </c>
      <c r="O1202" s="15"/>
      <c r="P1202" s="20">
        <f t="shared" si="110"/>
        <v>0</v>
      </c>
      <c r="Q1202" s="15"/>
      <c r="R1202" s="20">
        <f t="shared" si="111"/>
        <v>0</v>
      </c>
      <c r="S1202" s="130"/>
      <c r="T1202" s="20">
        <f t="shared" si="112"/>
        <v>-1.6019920812499999</v>
      </c>
    </row>
    <row r="1203" spans="1:20">
      <c r="A1203" s="13" t="s">
        <v>21</v>
      </c>
      <c r="B1203" s="14" t="s">
        <v>385</v>
      </c>
      <c r="C1203" s="14" t="s">
        <v>386</v>
      </c>
      <c r="D1203" s="13" t="s">
        <v>387</v>
      </c>
      <c r="E1203" s="14" t="s">
        <v>164</v>
      </c>
      <c r="F1203" s="13" t="s">
        <v>165</v>
      </c>
      <c r="G1203" s="14" t="s">
        <v>20</v>
      </c>
      <c r="H1203" s="14"/>
      <c r="I1203" s="14">
        <v>201408</v>
      </c>
      <c r="J1203" s="41">
        <v>-134.4</v>
      </c>
      <c r="K1203" s="21">
        <f t="shared" si="113"/>
        <v>42675</v>
      </c>
      <c r="L1203" s="16">
        <f t="shared" si="114"/>
        <v>6</v>
      </c>
      <c r="M1203" s="17">
        <v>1.4833299999999999E-3</v>
      </c>
      <c r="N1203" s="18">
        <f t="shared" si="109"/>
        <v>-1.196157312</v>
      </c>
      <c r="O1203" s="15"/>
      <c r="P1203" s="20">
        <f t="shared" si="110"/>
        <v>0</v>
      </c>
      <c r="Q1203" s="15"/>
      <c r="R1203" s="20">
        <f t="shared" si="111"/>
        <v>0</v>
      </c>
      <c r="S1203" s="130"/>
      <c r="T1203" s="20">
        <f t="shared" si="112"/>
        <v>-1.9025159999999999</v>
      </c>
    </row>
    <row r="1204" spans="1:20">
      <c r="A1204" s="13" t="s">
        <v>21</v>
      </c>
      <c r="B1204" s="14" t="s">
        <v>446</v>
      </c>
      <c r="C1204" s="14" t="s">
        <v>447</v>
      </c>
      <c r="D1204" s="13" t="s">
        <v>448</v>
      </c>
      <c r="E1204" s="14" t="s">
        <v>63</v>
      </c>
      <c r="F1204" s="13" t="s">
        <v>19</v>
      </c>
      <c r="G1204" s="14" t="s">
        <v>20</v>
      </c>
      <c r="H1204" s="14"/>
      <c r="I1204" s="14">
        <v>201408</v>
      </c>
      <c r="J1204" s="41">
        <v>69.849999999999994</v>
      </c>
      <c r="K1204" s="21">
        <f t="shared" si="113"/>
        <v>42675</v>
      </c>
      <c r="L1204" s="16">
        <f t="shared" si="114"/>
        <v>6</v>
      </c>
      <c r="M1204" s="17">
        <v>1.4833299999999999E-3</v>
      </c>
      <c r="N1204" s="18">
        <f t="shared" si="109"/>
        <v>0.6216636029999999</v>
      </c>
      <c r="O1204" s="15"/>
      <c r="P1204" s="20">
        <f t="shared" si="110"/>
        <v>0</v>
      </c>
      <c r="Q1204" s="15"/>
      <c r="R1204" s="20">
        <f t="shared" si="111"/>
        <v>0</v>
      </c>
      <c r="S1204" s="130"/>
      <c r="T1204" s="20">
        <f t="shared" si="112"/>
        <v>0.98877040624999979</v>
      </c>
    </row>
    <row r="1205" spans="1:20">
      <c r="A1205" s="13" t="s">
        <v>21</v>
      </c>
      <c r="B1205" s="14" t="s">
        <v>583</v>
      </c>
      <c r="C1205" s="14" t="s">
        <v>584</v>
      </c>
      <c r="D1205" s="13" t="s">
        <v>585</v>
      </c>
      <c r="E1205" s="14" t="s">
        <v>75</v>
      </c>
      <c r="F1205" s="13" t="s">
        <v>26</v>
      </c>
      <c r="G1205" s="14" t="s">
        <v>20</v>
      </c>
      <c r="H1205" s="14"/>
      <c r="I1205" s="14">
        <v>201408</v>
      </c>
      <c r="J1205" s="41">
        <v>-753.85</v>
      </c>
      <c r="K1205" s="21">
        <f t="shared" si="113"/>
        <v>42675</v>
      </c>
      <c r="L1205" s="16">
        <f t="shared" si="114"/>
        <v>6</v>
      </c>
      <c r="M1205" s="17">
        <v>1.4833299999999999E-3</v>
      </c>
      <c r="N1205" s="18">
        <f t="shared" si="109"/>
        <v>-6.7092499230000007</v>
      </c>
      <c r="O1205" s="15"/>
      <c r="P1205" s="20">
        <f t="shared" si="110"/>
        <v>0</v>
      </c>
      <c r="Q1205" s="15"/>
      <c r="R1205" s="20">
        <f t="shared" si="111"/>
        <v>0</v>
      </c>
      <c r="S1205" s="130"/>
      <c r="T1205" s="20">
        <f t="shared" si="112"/>
        <v>-10.67121790625</v>
      </c>
    </row>
    <row r="1206" spans="1:20">
      <c r="A1206" s="13" t="s">
        <v>21</v>
      </c>
      <c r="B1206" s="14" t="s">
        <v>586</v>
      </c>
      <c r="C1206" s="14" t="s">
        <v>587</v>
      </c>
      <c r="D1206" s="13" t="s">
        <v>588</v>
      </c>
      <c r="E1206" s="14" t="s">
        <v>75</v>
      </c>
      <c r="F1206" s="13" t="s">
        <v>26</v>
      </c>
      <c r="G1206" s="14" t="s">
        <v>20</v>
      </c>
      <c r="H1206" s="14"/>
      <c r="I1206" s="14">
        <v>201408</v>
      </c>
      <c r="J1206" s="41">
        <v>-584.69000000000005</v>
      </c>
      <c r="K1206" s="21">
        <f t="shared" si="113"/>
        <v>42675</v>
      </c>
      <c r="L1206" s="16">
        <f t="shared" si="114"/>
        <v>6</v>
      </c>
      <c r="M1206" s="17">
        <v>1.4833299999999999E-3</v>
      </c>
      <c r="N1206" s="18">
        <f t="shared" si="109"/>
        <v>-5.2037293062000005</v>
      </c>
      <c r="O1206" s="15"/>
      <c r="P1206" s="20">
        <f t="shared" si="110"/>
        <v>0</v>
      </c>
      <c r="Q1206" s="15"/>
      <c r="R1206" s="20">
        <f t="shared" si="111"/>
        <v>0</v>
      </c>
      <c r="S1206" s="130"/>
      <c r="T1206" s="20">
        <f t="shared" si="112"/>
        <v>-8.2766523812500008</v>
      </c>
    </row>
    <row r="1207" spans="1:20">
      <c r="A1207" s="13" t="s">
        <v>21</v>
      </c>
      <c r="B1207" s="14" t="s">
        <v>589</v>
      </c>
      <c r="C1207" s="14" t="s">
        <v>590</v>
      </c>
      <c r="D1207" s="13" t="s">
        <v>591</v>
      </c>
      <c r="E1207" s="14" t="s">
        <v>63</v>
      </c>
      <c r="F1207" s="13" t="s">
        <v>19</v>
      </c>
      <c r="G1207" s="14" t="s">
        <v>20</v>
      </c>
      <c r="H1207" s="14"/>
      <c r="I1207" s="14">
        <v>201408</v>
      </c>
      <c r="J1207" s="41">
        <v>40.1</v>
      </c>
      <c r="K1207" s="21">
        <f t="shared" si="113"/>
        <v>42675</v>
      </c>
      <c r="L1207" s="16">
        <f t="shared" si="114"/>
        <v>6</v>
      </c>
      <c r="M1207" s="17">
        <v>1.4833299999999999E-3</v>
      </c>
      <c r="N1207" s="18">
        <f t="shared" si="109"/>
        <v>0.35688919800000002</v>
      </c>
      <c r="O1207" s="15"/>
      <c r="P1207" s="20">
        <f t="shared" si="110"/>
        <v>0</v>
      </c>
      <c r="Q1207" s="15"/>
      <c r="R1207" s="20">
        <f t="shared" si="111"/>
        <v>0</v>
      </c>
      <c r="S1207" s="130"/>
      <c r="T1207" s="20">
        <f t="shared" si="112"/>
        <v>0.56764056250000006</v>
      </c>
    </row>
    <row r="1208" spans="1:20">
      <c r="A1208" s="13" t="s">
        <v>21</v>
      </c>
      <c r="B1208" s="14" t="s">
        <v>180</v>
      </c>
      <c r="C1208" s="14" t="s">
        <v>181</v>
      </c>
      <c r="D1208" s="13" t="s">
        <v>182</v>
      </c>
      <c r="E1208" s="14" t="s">
        <v>75</v>
      </c>
      <c r="F1208" s="13" t="s">
        <v>26</v>
      </c>
      <c r="G1208" s="14" t="s">
        <v>20</v>
      </c>
      <c r="H1208" s="14"/>
      <c r="I1208" s="14">
        <v>201408</v>
      </c>
      <c r="J1208" s="41">
        <v>-457.54</v>
      </c>
      <c r="K1208" s="21">
        <f t="shared" si="113"/>
        <v>42675</v>
      </c>
      <c r="L1208" s="16">
        <f t="shared" si="114"/>
        <v>6</v>
      </c>
      <c r="M1208" s="17">
        <v>1.4833299999999999E-3</v>
      </c>
      <c r="N1208" s="18">
        <f t="shared" si="109"/>
        <v>-4.0720968492000003</v>
      </c>
      <c r="O1208" s="15"/>
      <c r="P1208" s="20">
        <f t="shared" si="110"/>
        <v>0</v>
      </c>
      <c r="Q1208" s="15"/>
      <c r="R1208" s="20">
        <f t="shared" si="111"/>
        <v>0</v>
      </c>
      <c r="S1208" s="130"/>
      <c r="T1208" s="20">
        <f t="shared" si="112"/>
        <v>-6.4767646624999999</v>
      </c>
    </row>
    <row r="1209" spans="1:20">
      <c r="A1209" s="13" t="s">
        <v>21</v>
      </c>
      <c r="B1209" s="14" t="s">
        <v>592</v>
      </c>
      <c r="C1209" s="14" t="s">
        <v>593</v>
      </c>
      <c r="D1209" s="13" t="s">
        <v>594</v>
      </c>
      <c r="E1209" s="14" t="s">
        <v>156</v>
      </c>
      <c r="F1209" s="13" t="s">
        <v>26</v>
      </c>
      <c r="G1209" s="14" t="s">
        <v>20</v>
      </c>
      <c r="H1209" s="14"/>
      <c r="I1209" s="14">
        <v>201408</v>
      </c>
      <c r="J1209" s="41">
        <v>65.849999999999994</v>
      </c>
      <c r="K1209" s="21">
        <f t="shared" si="113"/>
        <v>42675</v>
      </c>
      <c r="L1209" s="16">
        <f t="shared" si="114"/>
        <v>6</v>
      </c>
      <c r="M1209" s="17">
        <v>1.4833299999999999E-3</v>
      </c>
      <c r="N1209" s="18">
        <f t="shared" si="109"/>
        <v>0.586063683</v>
      </c>
      <c r="O1209" s="15"/>
      <c r="P1209" s="20">
        <f t="shared" si="110"/>
        <v>0</v>
      </c>
      <c r="Q1209" s="15"/>
      <c r="R1209" s="20">
        <f t="shared" si="111"/>
        <v>0</v>
      </c>
      <c r="S1209" s="130"/>
      <c r="T1209" s="20">
        <f t="shared" si="112"/>
        <v>0.93214790624999999</v>
      </c>
    </row>
    <row r="1210" spans="1:20">
      <c r="A1210" s="13" t="s">
        <v>21</v>
      </c>
      <c r="B1210" s="14" t="s">
        <v>595</v>
      </c>
      <c r="C1210" s="14" t="s">
        <v>596</v>
      </c>
      <c r="D1210" s="13" t="s">
        <v>597</v>
      </c>
      <c r="E1210" s="14" t="s">
        <v>531</v>
      </c>
      <c r="F1210" s="13" t="s">
        <v>26</v>
      </c>
      <c r="G1210" s="14" t="s">
        <v>20</v>
      </c>
      <c r="H1210" s="14"/>
      <c r="I1210" s="14">
        <v>201408</v>
      </c>
      <c r="J1210" s="41">
        <v>-3.25</v>
      </c>
      <c r="K1210" s="21">
        <f t="shared" si="113"/>
        <v>42675</v>
      </c>
      <c r="L1210" s="16">
        <f t="shared" si="114"/>
        <v>6</v>
      </c>
      <c r="M1210" s="17">
        <v>1.4833299999999999E-3</v>
      </c>
      <c r="N1210" s="18">
        <f t="shared" si="109"/>
        <v>-2.8924934999999999E-2</v>
      </c>
      <c r="O1210" s="15"/>
      <c r="P1210" s="20">
        <f t="shared" si="110"/>
        <v>0</v>
      </c>
      <c r="Q1210" s="15"/>
      <c r="R1210" s="20">
        <f t="shared" si="111"/>
        <v>0</v>
      </c>
      <c r="S1210" s="130"/>
      <c r="T1210" s="20">
        <f t="shared" si="112"/>
        <v>-4.6005781249999995E-2</v>
      </c>
    </row>
    <row r="1211" spans="1:20">
      <c r="A1211" s="13" t="s">
        <v>21</v>
      </c>
      <c r="B1211" s="14" t="s">
        <v>601</v>
      </c>
      <c r="C1211" s="14" t="s">
        <v>602</v>
      </c>
      <c r="D1211" s="13" t="s">
        <v>603</v>
      </c>
      <c r="E1211" s="14" t="s">
        <v>497</v>
      </c>
      <c r="F1211" s="13" t="s">
        <v>26</v>
      </c>
      <c r="G1211" s="14" t="s">
        <v>20</v>
      </c>
      <c r="H1211" s="14"/>
      <c r="I1211" s="14">
        <v>201408</v>
      </c>
      <c r="J1211" s="41">
        <v>-103.57</v>
      </c>
      <c r="K1211" s="21">
        <f t="shared" si="113"/>
        <v>42675</v>
      </c>
      <c r="L1211" s="16">
        <f t="shared" si="114"/>
        <v>6</v>
      </c>
      <c r="M1211" s="17">
        <v>1.4833299999999999E-3</v>
      </c>
      <c r="N1211" s="18">
        <f t="shared" si="109"/>
        <v>-0.92177092859999998</v>
      </c>
      <c r="O1211" s="15"/>
      <c r="P1211" s="20">
        <f t="shared" si="110"/>
        <v>0</v>
      </c>
      <c r="Q1211" s="15"/>
      <c r="R1211" s="20">
        <f t="shared" si="111"/>
        <v>0</v>
      </c>
      <c r="S1211" s="130"/>
      <c r="T1211" s="20">
        <f t="shared" si="112"/>
        <v>-1.46609808125</v>
      </c>
    </row>
    <row r="1212" spans="1:20">
      <c r="A1212" s="13" t="s">
        <v>21</v>
      </c>
      <c r="B1212" s="14" t="s">
        <v>221</v>
      </c>
      <c r="C1212" s="14" t="s">
        <v>222</v>
      </c>
      <c r="D1212" s="13" t="s">
        <v>223</v>
      </c>
      <c r="E1212" s="14" t="s">
        <v>25</v>
      </c>
      <c r="F1212" s="13" t="s">
        <v>26</v>
      </c>
      <c r="G1212" s="14" t="s">
        <v>20</v>
      </c>
      <c r="H1212" s="14"/>
      <c r="I1212" s="14">
        <v>201408</v>
      </c>
      <c r="J1212" s="41">
        <v>47.26</v>
      </c>
      <c r="K1212" s="21">
        <f t="shared" si="113"/>
        <v>42675</v>
      </c>
      <c r="L1212" s="16">
        <f t="shared" si="114"/>
        <v>6</v>
      </c>
      <c r="M1212" s="17">
        <v>1.4833299999999999E-3</v>
      </c>
      <c r="N1212" s="18">
        <f t="shared" si="109"/>
        <v>0.4206130548</v>
      </c>
      <c r="O1212" s="15"/>
      <c r="P1212" s="20">
        <f t="shared" si="110"/>
        <v>0</v>
      </c>
      <c r="Q1212" s="15"/>
      <c r="R1212" s="20">
        <f t="shared" si="111"/>
        <v>0</v>
      </c>
      <c r="S1212" s="130"/>
      <c r="T1212" s="20">
        <f t="shared" si="112"/>
        <v>0.66899483749999999</v>
      </c>
    </row>
    <row r="1213" spans="1:20">
      <c r="A1213" s="13" t="s">
        <v>21</v>
      </c>
      <c r="B1213" s="14" t="s">
        <v>224</v>
      </c>
      <c r="C1213" s="14" t="s">
        <v>225</v>
      </c>
      <c r="D1213" s="13" t="s">
        <v>226</v>
      </c>
      <c r="E1213" s="14" t="s">
        <v>142</v>
      </c>
      <c r="F1213" s="13" t="s">
        <v>143</v>
      </c>
      <c r="G1213" s="14" t="s">
        <v>20</v>
      </c>
      <c r="H1213" s="14"/>
      <c r="I1213" s="14">
        <v>201408</v>
      </c>
      <c r="J1213" s="41">
        <v>-56.89</v>
      </c>
      <c r="K1213" s="21">
        <f t="shared" si="113"/>
        <v>42675</v>
      </c>
      <c r="L1213" s="16">
        <f t="shared" si="114"/>
        <v>6</v>
      </c>
      <c r="M1213" s="17">
        <v>1.4833299999999999E-3</v>
      </c>
      <c r="N1213" s="18">
        <f t="shared" si="109"/>
        <v>-0.50631986220000003</v>
      </c>
      <c r="O1213" s="15"/>
      <c r="P1213" s="20">
        <f t="shared" si="110"/>
        <v>0</v>
      </c>
      <c r="Q1213" s="15"/>
      <c r="R1213" s="20">
        <f t="shared" si="111"/>
        <v>0</v>
      </c>
      <c r="S1213" s="130"/>
      <c r="T1213" s="20">
        <f t="shared" si="112"/>
        <v>-0.80531350624999998</v>
      </c>
    </row>
    <row r="1214" spans="1:20">
      <c r="A1214" s="13" t="s">
        <v>21</v>
      </c>
      <c r="B1214" s="14" t="s">
        <v>604</v>
      </c>
      <c r="C1214" s="14" t="s">
        <v>605</v>
      </c>
      <c r="D1214" s="13" t="s">
        <v>606</v>
      </c>
      <c r="E1214" s="14" t="s">
        <v>360</v>
      </c>
      <c r="F1214" s="13" t="s">
        <v>19</v>
      </c>
      <c r="G1214" s="14" t="s">
        <v>20</v>
      </c>
      <c r="H1214" s="14"/>
      <c r="I1214" s="14">
        <v>201408</v>
      </c>
      <c r="J1214" s="41">
        <v>29.43</v>
      </c>
      <c r="K1214" s="21">
        <f t="shared" si="113"/>
        <v>42675</v>
      </c>
      <c r="L1214" s="16">
        <f t="shared" si="114"/>
        <v>6</v>
      </c>
      <c r="M1214" s="17">
        <v>1.4833299999999999E-3</v>
      </c>
      <c r="N1214" s="18">
        <f t="shared" si="109"/>
        <v>0.2619264114</v>
      </c>
      <c r="O1214" s="15"/>
      <c r="P1214" s="20">
        <f t="shared" si="110"/>
        <v>0</v>
      </c>
      <c r="Q1214" s="15"/>
      <c r="R1214" s="20">
        <f t="shared" si="111"/>
        <v>0</v>
      </c>
      <c r="S1214" s="130"/>
      <c r="T1214" s="20">
        <f t="shared" si="112"/>
        <v>0.41660004374999998</v>
      </c>
    </row>
    <row r="1215" spans="1:20">
      <c r="A1215" s="13" t="s">
        <v>21</v>
      </c>
      <c r="B1215" s="14" t="s">
        <v>607</v>
      </c>
      <c r="C1215" s="14" t="s">
        <v>608</v>
      </c>
      <c r="D1215" s="13" t="s">
        <v>609</v>
      </c>
      <c r="E1215" s="14" t="s">
        <v>75</v>
      </c>
      <c r="F1215" s="13" t="s">
        <v>26</v>
      </c>
      <c r="G1215" s="14" t="s">
        <v>20</v>
      </c>
      <c r="H1215" s="14"/>
      <c r="I1215" s="14">
        <v>201408</v>
      </c>
      <c r="J1215" s="41">
        <v>-35079.660000000003</v>
      </c>
      <c r="K1215" s="21">
        <f t="shared" si="113"/>
        <v>42675</v>
      </c>
      <c r="L1215" s="16">
        <f t="shared" si="114"/>
        <v>6</v>
      </c>
      <c r="M1215" s="17">
        <v>1.4833299999999999E-3</v>
      </c>
      <c r="N1215" s="18">
        <f t="shared" si="109"/>
        <v>-312.20827240680001</v>
      </c>
      <c r="O1215" s="15"/>
      <c r="P1215" s="20">
        <f t="shared" si="110"/>
        <v>0</v>
      </c>
      <c r="Q1215" s="15"/>
      <c r="R1215" s="20">
        <f t="shared" si="111"/>
        <v>0</v>
      </c>
      <c r="S1215" s="130"/>
      <c r="T1215" s="20">
        <f t="shared" si="112"/>
        <v>-496.57451208750001</v>
      </c>
    </row>
    <row r="1216" spans="1:20">
      <c r="A1216" s="13" t="s">
        <v>21</v>
      </c>
      <c r="B1216" s="14" t="s">
        <v>459</v>
      </c>
      <c r="C1216" s="14" t="s">
        <v>460</v>
      </c>
      <c r="D1216" s="13" t="s">
        <v>461</v>
      </c>
      <c r="E1216" s="14" t="s">
        <v>160</v>
      </c>
      <c r="F1216" s="13" t="s">
        <v>19</v>
      </c>
      <c r="G1216" s="14" t="s">
        <v>20</v>
      </c>
      <c r="H1216" s="14"/>
      <c r="I1216" s="14">
        <v>201408</v>
      </c>
      <c r="J1216" s="41">
        <v>-194.99</v>
      </c>
      <c r="K1216" s="21">
        <f t="shared" si="113"/>
        <v>42675</v>
      </c>
      <c r="L1216" s="16">
        <f t="shared" si="114"/>
        <v>6</v>
      </c>
      <c r="M1216" s="17">
        <v>1.4833299999999999E-3</v>
      </c>
      <c r="N1216" s="18">
        <f t="shared" si="109"/>
        <v>-1.7354071002</v>
      </c>
      <c r="O1216" s="15"/>
      <c r="P1216" s="20">
        <f t="shared" si="110"/>
        <v>0</v>
      </c>
      <c r="Q1216" s="15"/>
      <c r="R1216" s="20">
        <f t="shared" si="111"/>
        <v>0</v>
      </c>
      <c r="S1216" s="130"/>
      <c r="T1216" s="20">
        <f t="shared" si="112"/>
        <v>-2.7602053187499997</v>
      </c>
    </row>
    <row r="1217" spans="1:20">
      <c r="A1217" s="13" t="s">
        <v>21</v>
      </c>
      <c r="B1217" s="14" t="s">
        <v>462</v>
      </c>
      <c r="C1217" s="14" t="s">
        <v>463</v>
      </c>
      <c r="D1217" s="13" t="s">
        <v>464</v>
      </c>
      <c r="E1217" s="14" t="s">
        <v>280</v>
      </c>
      <c r="F1217" s="13" t="s">
        <v>26</v>
      </c>
      <c r="G1217" s="14" t="s">
        <v>20</v>
      </c>
      <c r="H1217" s="14"/>
      <c r="I1217" s="14">
        <v>201408</v>
      </c>
      <c r="J1217" s="41">
        <v>101.68</v>
      </c>
      <c r="K1217" s="21">
        <f t="shared" si="113"/>
        <v>42675</v>
      </c>
      <c r="L1217" s="16">
        <f t="shared" si="114"/>
        <v>6</v>
      </c>
      <c r="M1217" s="17">
        <v>1.4833299999999999E-3</v>
      </c>
      <c r="N1217" s="18">
        <f t="shared" si="109"/>
        <v>0.90494996640000003</v>
      </c>
      <c r="O1217" s="15"/>
      <c r="P1217" s="20">
        <f t="shared" si="110"/>
        <v>0</v>
      </c>
      <c r="Q1217" s="15"/>
      <c r="R1217" s="20">
        <f t="shared" si="111"/>
        <v>0</v>
      </c>
      <c r="S1217" s="130"/>
      <c r="T1217" s="20">
        <f t="shared" si="112"/>
        <v>1.4393439499999998</v>
      </c>
    </row>
    <row r="1218" spans="1:20">
      <c r="A1218" s="13" t="s">
        <v>21</v>
      </c>
      <c r="B1218" s="14" t="s">
        <v>391</v>
      </c>
      <c r="C1218" s="14" t="s">
        <v>392</v>
      </c>
      <c r="D1218" s="13" t="s">
        <v>393</v>
      </c>
      <c r="E1218" s="14" t="s">
        <v>156</v>
      </c>
      <c r="F1218" s="13" t="s">
        <v>26</v>
      </c>
      <c r="G1218" s="14" t="s">
        <v>20</v>
      </c>
      <c r="H1218" s="14"/>
      <c r="I1218" s="14">
        <v>201408</v>
      </c>
      <c r="J1218" s="41">
        <v>-235.01</v>
      </c>
      <c r="K1218" s="21">
        <f t="shared" si="113"/>
        <v>42675</v>
      </c>
      <c r="L1218" s="16">
        <f t="shared" si="114"/>
        <v>6</v>
      </c>
      <c r="M1218" s="17">
        <v>1.4833299999999999E-3</v>
      </c>
      <c r="N1218" s="18">
        <f t="shared" si="109"/>
        <v>-2.0915842998</v>
      </c>
      <c r="O1218" s="15"/>
      <c r="P1218" s="20">
        <f t="shared" si="110"/>
        <v>0</v>
      </c>
      <c r="Q1218" s="15"/>
      <c r="R1218" s="20">
        <f t="shared" si="111"/>
        <v>0</v>
      </c>
      <c r="S1218" s="130"/>
      <c r="T1218" s="20">
        <f t="shared" si="112"/>
        <v>-3.32671343125</v>
      </c>
    </row>
    <row r="1219" spans="1:20">
      <c r="A1219" s="13" t="s">
        <v>21</v>
      </c>
      <c r="B1219" s="14" t="s">
        <v>614</v>
      </c>
      <c r="C1219" s="14" t="s">
        <v>615</v>
      </c>
      <c r="D1219" s="13" t="s">
        <v>616</v>
      </c>
      <c r="E1219" s="14" t="s">
        <v>18</v>
      </c>
      <c r="F1219" s="13" t="s">
        <v>19</v>
      </c>
      <c r="G1219" s="14" t="s">
        <v>20</v>
      </c>
      <c r="H1219" s="14"/>
      <c r="I1219" s="14">
        <v>201408</v>
      </c>
      <c r="J1219" s="41">
        <v>4.3099999999999996</v>
      </c>
      <c r="K1219" s="21">
        <f t="shared" si="113"/>
        <v>42675</v>
      </c>
      <c r="L1219" s="16">
        <f t="shared" si="114"/>
        <v>6</v>
      </c>
      <c r="M1219" s="17">
        <v>1.4833299999999999E-3</v>
      </c>
      <c r="N1219" s="18">
        <f t="shared" si="109"/>
        <v>3.8358913799999998E-2</v>
      </c>
      <c r="O1219" s="15"/>
      <c r="P1219" s="20">
        <f t="shared" si="110"/>
        <v>0</v>
      </c>
      <c r="Q1219" s="15"/>
      <c r="R1219" s="20">
        <f t="shared" si="111"/>
        <v>0</v>
      </c>
      <c r="S1219" s="130"/>
      <c r="T1219" s="20">
        <f t="shared" si="112"/>
        <v>6.1010743749999992E-2</v>
      </c>
    </row>
    <row r="1220" spans="1:20">
      <c r="A1220" s="13" t="s">
        <v>21</v>
      </c>
      <c r="B1220" s="14" t="s">
        <v>475</v>
      </c>
      <c r="C1220" s="14" t="s">
        <v>476</v>
      </c>
      <c r="D1220" s="13" t="s">
        <v>477</v>
      </c>
      <c r="E1220" s="14" t="s">
        <v>360</v>
      </c>
      <c r="F1220" s="13" t="s">
        <v>19</v>
      </c>
      <c r="G1220" s="14" t="s">
        <v>20</v>
      </c>
      <c r="H1220" s="14"/>
      <c r="I1220" s="14">
        <v>201408</v>
      </c>
      <c r="J1220" s="41">
        <v>14.07</v>
      </c>
      <c r="K1220" s="21">
        <f t="shared" si="113"/>
        <v>42675</v>
      </c>
      <c r="L1220" s="16">
        <f t="shared" si="114"/>
        <v>6</v>
      </c>
      <c r="M1220" s="17">
        <v>1.4833299999999999E-3</v>
      </c>
      <c r="N1220" s="18">
        <f t="shared" si="109"/>
        <v>0.1252227186</v>
      </c>
      <c r="O1220" s="15"/>
      <c r="P1220" s="20">
        <f t="shared" si="110"/>
        <v>0</v>
      </c>
      <c r="Q1220" s="15"/>
      <c r="R1220" s="20">
        <f t="shared" si="111"/>
        <v>0</v>
      </c>
      <c r="S1220" s="130"/>
      <c r="T1220" s="20">
        <f t="shared" si="112"/>
        <v>0.19916964375000001</v>
      </c>
    </row>
    <row r="1221" spans="1:20">
      <c r="A1221" s="13" t="s">
        <v>21</v>
      </c>
      <c r="B1221" s="14" t="s">
        <v>230</v>
      </c>
      <c r="C1221" s="14" t="s">
        <v>231</v>
      </c>
      <c r="D1221" s="13" t="s">
        <v>232</v>
      </c>
      <c r="E1221" s="14" t="s">
        <v>164</v>
      </c>
      <c r="F1221" s="13" t="s">
        <v>165</v>
      </c>
      <c r="G1221" s="14" t="s">
        <v>20</v>
      </c>
      <c r="H1221" s="14"/>
      <c r="I1221" s="14">
        <v>201408</v>
      </c>
      <c r="J1221" s="41">
        <v>-155.47</v>
      </c>
      <c r="K1221" s="21">
        <f t="shared" si="113"/>
        <v>42675</v>
      </c>
      <c r="L1221" s="16">
        <f t="shared" si="114"/>
        <v>6</v>
      </c>
      <c r="M1221" s="17">
        <v>1.4833299999999999E-3</v>
      </c>
      <c r="N1221" s="18">
        <f t="shared" si="109"/>
        <v>-1.3836798906000001</v>
      </c>
      <c r="O1221" s="15"/>
      <c r="P1221" s="20">
        <f t="shared" si="110"/>
        <v>0</v>
      </c>
      <c r="Q1221" s="15"/>
      <c r="R1221" s="20">
        <f t="shared" si="111"/>
        <v>0</v>
      </c>
      <c r="S1221" s="130"/>
      <c r="T1221" s="20">
        <f t="shared" si="112"/>
        <v>-2.2007750187499999</v>
      </c>
    </row>
    <row r="1222" spans="1:20">
      <c r="A1222" s="13" t="s">
        <v>21</v>
      </c>
      <c r="B1222" s="14" t="s">
        <v>478</v>
      </c>
      <c r="C1222" s="14" t="s">
        <v>479</v>
      </c>
      <c r="D1222" s="13" t="s">
        <v>480</v>
      </c>
      <c r="E1222" s="14" t="s">
        <v>164</v>
      </c>
      <c r="F1222" s="13" t="s">
        <v>165</v>
      </c>
      <c r="G1222" s="14" t="s">
        <v>20</v>
      </c>
      <c r="H1222" s="14"/>
      <c r="I1222" s="14">
        <v>201408</v>
      </c>
      <c r="J1222" s="41">
        <v>-72.489999999999995</v>
      </c>
      <c r="K1222" s="21">
        <f t="shared" si="113"/>
        <v>42675</v>
      </c>
      <c r="L1222" s="16">
        <f t="shared" si="114"/>
        <v>6</v>
      </c>
      <c r="M1222" s="17">
        <v>1.4833299999999999E-3</v>
      </c>
      <c r="N1222" s="18">
        <f t="shared" ref="N1222:N1285" si="115">M1222*L1222*J1222</f>
        <v>-0.64515955019999993</v>
      </c>
      <c r="O1222" s="15"/>
      <c r="P1222" s="20">
        <f t="shared" ref="P1222:P1285" si="116">$P$4*(J1222*0.5)*$V$10</f>
        <v>0</v>
      </c>
      <c r="Q1222" s="15"/>
      <c r="R1222" s="20">
        <f t="shared" ref="R1222:R1285" si="117">$R$4*(J1222*0.5)*$V$9</f>
        <v>0</v>
      </c>
      <c r="S1222" s="130"/>
      <c r="T1222" s="20">
        <f t="shared" ref="T1222:T1285" si="118">$T$4*(J1222*0.5)*$V$11</f>
        <v>-1.0261412562499999</v>
      </c>
    </row>
    <row r="1223" spans="1:20">
      <c r="A1223" s="13" t="s">
        <v>21</v>
      </c>
      <c r="B1223" s="14" t="s">
        <v>485</v>
      </c>
      <c r="C1223" s="14" t="s">
        <v>486</v>
      </c>
      <c r="D1223" s="13" t="s">
        <v>487</v>
      </c>
      <c r="E1223" s="14" t="s">
        <v>75</v>
      </c>
      <c r="F1223" s="13" t="s">
        <v>26</v>
      </c>
      <c r="G1223" s="14" t="s">
        <v>20</v>
      </c>
      <c r="H1223" s="14"/>
      <c r="I1223" s="14">
        <v>201408</v>
      </c>
      <c r="J1223" s="41">
        <v>-8.6300000000000008</v>
      </c>
      <c r="K1223" s="21">
        <f t="shared" ref="K1223:K1286" si="119">+K1222</f>
        <v>42675</v>
      </c>
      <c r="L1223" s="16">
        <f t="shared" si="114"/>
        <v>6</v>
      </c>
      <c r="M1223" s="17">
        <v>1.4833299999999999E-3</v>
      </c>
      <c r="N1223" s="18">
        <f t="shared" si="115"/>
        <v>-7.6806827400000013E-2</v>
      </c>
      <c r="O1223" s="15"/>
      <c r="P1223" s="20">
        <f t="shared" si="116"/>
        <v>0</v>
      </c>
      <c r="Q1223" s="15"/>
      <c r="R1223" s="20">
        <f t="shared" si="117"/>
        <v>0</v>
      </c>
      <c r="S1223" s="130"/>
      <c r="T1223" s="20">
        <f t="shared" si="118"/>
        <v>-0.12216304375000001</v>
      </c>
    </row>
    <row r="1224" spans="1:20">
      <c r="A1224" s="13" t="s">
        <v>21</v>
      </c>
      <c r="B1224" s="14" t="s">
        <v>242</v>
      </c>
      <c r="C1224" s="14" t="s">
        <v>243</v>
      </c>
      <c r="D1224" s="13" t="s">
        <v>244</v>
      </c>
      <c r="E1224" s="14" t="s">
        <v>18</v>
      </c>
      <c r="F1224" s="13" t="s">
        <v>19</v>
      </c>
      <c r="G1224" s="14" t="s">
        <v>20</v>
      </c>
      <c r="H1224" s="14"/>
      <c r="I1224" s="14">
        <v>201408</v>
      </c>
      <c r="J1224" s="41">
        <v>-13.18</v>
      </c>
      <c r="K1224" s="21">
        <f t="shared" si="119"/>
        <v>42675</v>
      </c>
      <c r="L1224" s="16">
        <f t="shared" si="114"/>
        <v>6</v>
      </c>
      <c r="M1224" s="17">
        <v>1.4833299999999999E-3</v>
      </c>
      <c r="N1224" s="18">
        <f t="shared" si="115"/>
        <v>-0.1173017364</v>
      </c>
      <c r="O1224" s="15"/>
      <c r="P1224" s="20">
        <f t="shared" si="116"/>
        <v>0</v>
      </c>
      <c r="Q1224" s="15"/>
      <c r="R1224" s="20">
        <f t="shared" si="117"/>
        <v>0</v>
      </c>
      <c r="S1224" s="130"/>
      <c r="T1224" s="20">
        <f t="shared" si="118"/>
        <v>-0.18657113749999998</v>
      </c>
    </row>
    <row r="1225" spans="1:20">
      <c r="A1225" s="13" t="s">
        <v>21</v>
      </c>
      <c r="B1225" s="14" t="s">
        <v>623</v>
      </c>
      <c r="C1225" s="14" t="s">
        <v>624</v>
      </c>
      <c r="D1225" s="13" t="s">
        <v>625</v>
      </c>
      <c r="E1225" s="14" t="s">
        <v>531</v>
      </c>
      <c r="F1225" s="13" t="s">
        <v>26</v>
      </c>
      <c r="G1225" s="14" t="s">
        <v>20</v>
      </c>
      <c r="H1225" s="14"/>
      <c r="I1225" s="14">
        <v>201408</v>
      </c>
      <c r="J1225" s="41">
        <v>-16.440000000000001</v>
      </c>
      <c r="K1225" s="21">
        <f t="shared" si="119"/>
        <v>42675</v>
      </c>
      <c r="L1225" s="16">
        <f t="shared" si="114"/>
        <v>6</v>
      </c>
      <c r="M1225" s="17">
        <v>1.4833299999999999E-3</v>
      </c>
      <c r="N1225" s="18">
        <f t="shared" si="115"/>
        <v>-0.14631567120000002</v>
      </c>
      <c r="O1225" s="15"/>
      <c r="P1225" s="20">
        <f t="shared" si="116"/>
        <v>0</v>
      </c>
      <c r="Q1225" s="15"/>
      <c r="R1225" s="20">
        <f t="shared" si="117"/>
        <v>0</v>
      </c>
      <c r="S1225" s="130"/>
      <c r="T1225" s="20">
        <f t="shared" si="118"/>
        <v>-0.23271847500000001</v>
      </c>
    </row>
    <row r="1226" spans="1:20">
      <c r="A1226" s="13" t="s">
        <v>21</v>
      </c>
      <c r="B1226" s="14" t="s">
        <v>251</v>
      </c>
      <c r="C1226" s="14" t="s">
        <v>252</v>
      </c>
      <c r="D1226" s="13" t="s">
        <v>253</v>
      </c>
      <c r="E1226" s="14" t="s">
        <v>164</v>
      </c>
      <c r="F1226" s="13" t="s">
        <v>165</v>
      </c>
      <c r="G1226" s="14" t="s">
        <v>20</v>
      </c>
      <c r="H1226" s="14"/>
      <c r="I1226" s="14">
        <v>201408</v>
      </c>
      <c r="J1226" s="41">
        <v>0.11</v>
      </c>
      <c r="K1226" s="21">
        <f t="shared" si="119"/>
        <v>42675</v>
      </c>
      <c r="L1226" s="16">
        <f t="shared" si="114"/>
        <v>6</v>
      </c>
      <c r="M1226" s="17">
        <v>1.4833299999999999E-3</v>
      </c>
      <c r="N1226" s="18">
        <f t="shared" si="115"/>
        <v>9.7899779999999995E-4</v>
      </c>
      <c r="O1226" s="15"/>
      <c r="P1226" s="20">
        <f t="shared" si="116"/>
        <v>0</v>
      </c>
      <c r="Q1226" s="15"/>
      <c r="R1226" s="20">
        <f t="shared" si="117"/>
        <v>0</v>
      </c>
      <c r="S1226" s="130"/>
      <c r="T1226" s="20">
        <f t="shared" si="118"/>
        <v>1.55711875E-3</v>
      </c>
    </row>
    <row r="1227" spans="1:20">
      <c r="A1227" s="13" t="s">
        <v>21</v>
      </c>
      <c r="B1227" s="14" t="s">
        <v>254</v>
      </c>
      <c r="C1227" s="14" t="s">
        <v>255</v>
      </c>
      <c r="D1227" s="13" t="s">
        <v>256</v>
      </c>
      <c r="E1227" s="14" t="s">
        <v>164</v>
      </c>
      <c r="F1227" s="13" t="s">
        <v>165</v>
      </c>
      <c r="G1227" s="14" t="s">
        <v>20</v>
      </c>
      <c r="H1227" s="14"/>
      <c r="I1227" s="14">
        <v>201408</v>
      </c>
      <c r="J1227" s="41">
        <v>-144.6</v>
      </c>
      <c r="K1227" s="21">
        <f t="shared" si="119"/>
        <v>42675</v>
      </c>
      <c r="L1227" s="16">
        <f t="shared" si="114"/>
        <v>6</v>
      </c>
      <c r="M1227" s="17">
        <v>1.4833299999999999E-3</v>
      </c>
      <c r="N1227" s="18">
        <f t="shared" si="115"/>
        <v>-1.2869371080000001</v>
      </c>
      <c r="O1227" s="15"/>
      <c r="P1227" s="20">
        <f t="shared" si="116"/>
        <v>0</v>
      </c>
      <c r="Q1227" s="15"/>
      <c r="R1227" s="20">
        <f t="shared" si="117"/>
        <v>0</v>
      </c>
      <c r="S1227" s="130"/>
      <c r="T1227" s="20">
        <f t="shared" si="118"/>
        <v>-2.0469033749999999</v>
      </c>
    </row>
    <row r="1228" spans="1:20">
      <c r="A1228" s="13" t="s">
        <v>21</v>
      </c>
      <c r="B1228" s="14" t="s">
        <v>257</v>
      </c>
      <c r="C1228" s="14" t="s">
        <v>258</v>
      </c>
      <c r="D1228" s="13" t="s">
        <v>259</v>
      </c>
      <c r="E1228" s="14" t="s">
        <v>260</v>
      </c>
      <c r="F1228" s="13" t="s">
        <v>26</v>
      </c>
      <c r="G1228" s="14" t="s">
        <v>20</v>
      </c>
      <c r="H1228" s="14"/>
      <c r="I1228" s="14">
        <v>201408</v>
      </c>
      <c r="J1228" s="41">
        <v>-39.9</v>
      </c>
      <c r="K1228" s="21">
        <f t="shared" si="119"/>
        <v>42675</v>
      </c>
      <c r="L1228" s="16">
        <f t="shared" si="114"/>
        <v>6</v>
      </c>
      <c r="M1228" s="17">
        <v>1.4833299999999999E-3</v>
      </c>
      <c r="N1228" s="18">
        <f t="shared" si="115"/>
        <v>-0.35510920200000001</v>
      </c>
      <c r="O1228" s="15"/>
      <c r="P1228" s="20">
        <f t="shared" si="116"/>
        <v>0</v>
      </c>
      <c r="Q1228" s="15"/>
      <c r="R1228" s="20">
        <f t="shared" si="117"/>
        <v>0</v>
      </c>
      <c r="S1228" s="130"/>
      <c r="T1228" s="20">
        <f t="shared" si="118"/>
        <v>-0.56480943750000001</v>
      </c>
    </row>
    <row r="1229" spans="1:20">
      <c r="A1229" s="13" t="s">
        <v>21</v>
      </c>
      <c r="B1229" s="14" t="s">
        <v>261</v>
      </c>
      <c r="C1229" s="14" t="s">
        <v>262</v>
      </c>
      <c r="D1229" s="13" t="s">
        <v>263</v>
      </c>
      <c r="E1229" s="14" t="s">
        <v>75</v>
      </c>
      <c r="F1229" s="13" t="s">
        <v>26</v>
      </c>
      <c r="G1229" s="14" t="s">
        <v>20</v>
      </c>
      <c r="H1229" s="14"/>
      <c r="I1229" s="14">
        <v>201408</v>
      </c>
      <c r="J1229" s="41">
        <v>-484.37</v>
      </c>
      <c r="K1229" s="21">
        <f t="shared" si="119"/>
        <v>42675</v>
      </c>
      <c r="L1229" s="16">
        <f t="shared" ref="L1229:L1292" si="120">((YEAR($L$1)-YEAR(K1229))*12+MONTH($L$1)-MONTH(K1229))</f>
        <v>6</v>
      </c>
      <c r="M1229" s="17">
        <v>1.4833299999999999E-3</v>
      </c>
      <c r="N1229" s="18">
        <f t="shared" si="115"/>
        <v>-4.3108833125999997</v>
      </c>
      <c r="O1229" s="15"/>
      <c r="P1229" s="20">
        <f t="shared" si="116"/>
        <v>0</v>
      </c>
      <c r="Q1229" s="15"/>
      <c r="R1229" s="20">
        <f t="shared" si="117"/>
        <v>0</v>
      </c>
      <c r="S1229" s="130"/>
      <c r="T1229" s="20">
        <f t="shared" si="118"/>
        <v>-6.8565600812499996</v>
      </c>
    </row>
    <row r="1230" spans="1:20">
      <c r="A1230" s="13" t="s">
        <v>21</v>
      </c>
      <c r="B1230" s="14" t="s">
        <v>703</v>
      </c>
      <c r="C1230" s="14" t="s">
        <v>704</v>
      </c>
      <c r="D1230" s="13" t="s">
        <v>705</v>
      </c>
      <c r="E1230" s="14" t="s">
        <v>164</v>
      </c>
      <c r="F1230" s="13" t="s">
        <v>165</v>
      </c>
      <c r="G1230" s="14" t="s">
        <v>20</v>
      </c>
      <c r="H1230" s="14"/>
      <c r="I1230" s="14">
        <v>201408</v>
      </c>
      <c r="J1230" s="41">
        <v>-463.64</v>
      </c>
      <c r="K1230" s="21">
        <f t="shared" si="119"/>
        <v>42675</v>
      </c>
      <c r="L1230" s="16">
        <f t="shared" si="120"/>
        <v>6</v>
      </c>
      <c r="M1230" s="17">
        <v>1.4833299999999999E-3</v>
      </c>
      <c r="N1230" s="18">
        <f t="shared" si="115"/>
        <v>-4.1263867271999999</v>
      </c>
      <c r="O1230" s="15"/>
      <c r="P1230" s="20">
        <f t="shared" si="116"/>
        <v>0</v>
      </c>
      <c r="Q1230" s="15"/>
      <c r="R1230" s="20">
        <f t="shared" si="117"/>
        <v>0</v>
      </c>
      <c r="S1230" s="130"/>
      <c r="T1230" s="20">
        <f t="shared" si="118"/>
        <v>-6.5631139749999994</v>
      </c>
    </row>
    <row r="1231" spans="1:20">
      <c r="A1231" s="13" t="s">
        <v>21</v>
      </c>
      <c r="B1231" s="14" t="s">
        <v>399</v>
      </c>
      <c r="C1231" s="14" t="s">
        <v>400</v>
      </c>
      <c r="D1231" s="13" t="s">
        <v>401</v>
      </c>
      <c r="E1231" s="14" t="s">
        <v>402</v>
      </c>
      <c r="F1231" s="13" t="s">
        <v>19</v>
      </c>
      <c r="G1231" s="14" t="s">
        <v>20</v>
      </c>
      <c r="H1231" s="14"/>
      <c r="I1231" s="14">
        <v>201408</v>
      </c>
      <c r="J1231" s="41">
        <v>-42</v>
      </c>
      <c r="K1231" s="21">
        <f t="shared" si="119"/>
        <v>42675</v>
      </c>
      <c r="L1231" s="16">
        <f t="shared" si="120"/>
        <v>6</v>
      </c>
      <c r="M1231" s="17">
        <v>1.4833299999999999E-3</v>
      </c>
      <c r="N1231" s="18">
        <f t="shared" si="115"/>
        <v>-0.37379916000000002</v>
      </c>
      <c r="O1231" s="15"/>
      <c r="P1231" s="20">
        <f t="shared" si="116"/>
        <v>0</v>
      </c>
      <c r="Q1231" s="15"/>
      <c r="R1231" s="20">
        <f t="shared" si="117"/>
        <v>0</v>
      </c>
      <c r="S1231" s="130"/>
      <c r="T1231" s="20">
        <f t="shared" si="118"/>
        <v>-0.59453624999999999</v>
      </c>
    </row>
    <row r="1232" spans="1:20">
      <c r="A1232" s="13" t="s">
        <v>21</v>
      </c>
      <c r="B1232" s="14" t="s">
        <v>810</v>
      </c>
      <c r="C1232" s="14" t="s">
        <v>811</v>
      </c>
      <c r="D1232" s="13" t="s">
        <v>812</v>
      </c>
      <c r="E1232" s="14" t="s">
        <v>471</v>
      </c>
      <c r="F1232" s="13" t="s">
        <v>165</v>
      </c>
      <c r="G1232" s="14" t="s">
        <v>20</v>
      </c>
      <c r="H1232" s="14"/>
      <c r="I1232" s="14">
        <v>201408</v>
      </c>
      <c r="J1232" s="41">
        <v>72.349999999999994</v>
      </c>
      <c r="K1232" s="21">
        <f t="shared" si="119"/>
        <v>42675</v>
      </c>
      <c r="L1232" s="16">
        <f t="shared" si="120"/>
        <v>6</v>
      </c>
      <c r="M1232" s="17">
        <v>1.4833299999999999E-3</v>
      </c>
      <c r="N1232" s="18">
        <f t="shared" si="115"/>
        <v>0.64391355299999997</v>
      </c>
      <c r="O1232" s="15"/>
      <c r="P1232" s="20">
        <f t="shared" si="116"/>
        <v>0</v>
      </c>
      <c r="Q1232" s="15"/>
      <c r="R1232" s="20">
        <f t="shared" si="117"/>
        <v>0</v>
      </c>
      <c r="S1232" s="130"/>
      <c r="T1232" s="20">
        <f t="shared" si="118"/>
        <v>1.0241594687499997</v>
      </c>
    </row>
    <row r="1233" spans="1:20">
      <c r="A1233" s="13" t="s">
        <v>21</v>
      </c>
      <c r="B1233" s="14" t="s">
        <v>403</v>
      </c>
      <c r="C1233" s="14" t="s">
        <v>404</v>
      </c>
      <c r="D1233" s="13" t="s">
        <v>405</v>
      </c>
      <c r="E1233" s="14" t="s">
        <v>75</v>
      </c>
      <c r="F1233" s="13" t="s">
        <v>26</v>
      </c>
      <c r="G1233" s="14" t="s">
        <v>20</v>
      </c>
      <c r="H1233" s="14"/>
      <c r="I1233" s="14">
        <v>201408</v>
      </c>
      <c r="J1233" s="41">
        <v>-2385.4299999999998</v>
      </c>
      <c r="K1233" s="21">
        <f t="shared" si="119"/>
        <v>42675</v>
      </c>
      <c r="L1233" s="16">
        <f t="shared" si="120"/>
        <v>6</v>
      </c>
      <c r="M1233" s="17">
        <v>1.4833299999999999E-3</v>
      </c>
      <c r="N1233" s="18">
        <f t="shared" si="115"/>
        <v>-21.230279291399999</v>
      </c>
      <c r="O1233" s="15"/>
      <c r="P1233" s="20">
        <f t="shared" si="116"/>
        <v>0</v>
      </c>
      <c r="Q1233" s="15"/>
      <c r="R1233" s="20">
        <f t="shared" si="117"/>
        <v>0</v>
      </c>
      <c r="S1233" s="130"/>
      <c r="T1233" s="20">
        <f t="shared" si="118"/>
        <v>-33.767252543749997</v>
      </c>
    </row>
    <row r="1234" spans="1:20">
      <c r="A1234" s="13" t="s">
        <v>21</v>
      </c>
      <c r="B1234" s="14" t="s">
        <v>636</v>
      </c>
      <c r="C1234" s="14" t="s">
        <v>637</v>
      </c>
      <c r="D1234" s="13" t="s">
        <v>638</v>
      </c>
      <c r="E1234" s="14" t="s">
        <v>497</v>
      </c>
      <c r="F1234" s="13" t="s">
        <v>26</v>
      </c>
      <c r="G1234" s="14" t="s">
        <v>20</v>
      </c>
      <c r="H1234" s="14"/>
      <c r="I1234" s="14">
        <v>201408</v>
      </c>
      <c r="J1234" s="41">
        <v>18.2</v>
      </c>
      <c r="K1234" s="21">
        <f t="shared" si="119"/>
        <v>42675</v>
      </c>
      <c r="L1234" s="16">
        <f t="shared" si="120"/>
        <v>6</v>
      </c>
      <c r="M1234" s="17">
        <v>1.4833299999999999E-3</v>
      </c>
      <c r="N1234" s="18">
        <f t="shared" si="115"/>
        <v>0.16197963599999998</v>
      </c>
      <c r="O1234" s="15"/>
      <c r="P1234" s="20">
        <f t="shared" si="116"/>
        <v>0</v>
      </c>
      <c r="Q1234" s="15"/>
      <c r="R1234" s="20">
        <f t="shared" si="117"/>
        <v>0</v>
      </c>
      <c r="S1234" s="130"/>
      <c r="T1234" s="20">
        <f t="shared" si="118"/>
        <v>0.25763237499999997</v>
      </c>
    </row>
    <row r="1235" spans="1:20">
      <c r="A1235" s="13" t="s">
        <v>21</v>
      </c>
      <c r="B1235" s="14" t="s">
        <v>274</v>
      </c>
      <c r="C1235" s="14" t="s">
        <v>275</v>
      </c>
      <c r="D1235" s="13" t="s">
        <v>276</v>
      </c>
      <c r="E1235" s="14" t="s">
        <v>75</v>
      </c>
      <c r="F1235" s="13" t="s">
        <v>26</v>
      </c>
      <c r="G1235" s="14" t="s">
        <v>20</v>
      </c>
      <c r="H1235" s="14"/>
      <c r="I1235" s="14">
        <v>201408</v>
      </c>
      <c r="J1235" s="41">
        <v>-429.29</v>
      </c>
      <c r="K1235" s="21">
        <f t="shared" si="119"/>
        <v>42675</v>
      </c>
      <c r="L1235" s="16">
        <f t="shared" si="120"/>
        <v>6</v>
      </c>
      <c r="M1235" s="17">
        <v>1.4833299999999999E-3</v>
      </c>
      <c r="N1235" s="18">
        <f t="shared" si="115"/>
        <v>-3.8206724142000001</v>
      </c>
      <c r="O1235" s="15"/>
      <c r="P1235" s="20">
        <f t="shared" si="116"/>
        <v>0</v>
      </c>
      <c r="Q1235" s="15"/>
      <c r="R1235" s="20">
        <f t="shared" si="117"/>
        <v>0</v>
      </c>
      <c r="S1235" s="130"/>
      <c r="T1235" s="20">
        <f t="shared" si="118"/>
        <v>-6.07686825625</v>
      </c>
    </row>
    <row r="1236" spans="1:20">
      <c r="A1236" s="13" t="s">
        <v>21</v>
      </c>
      <c r="B1236" s="14" t="s">
        <v>277</v>
      </c>
      <c r="C1236" s="14" t="s">
        <v>278</v>
      </c>
      <c r="D1236" s="13" t="s">
        <v>279</v>
      </c>
      <c r="E1236" s="14" t="s">
        <v>280</v>
      </c>
      <c r="F1236" s="13" t="s">
        <v>26</v>
      </c>
      <c r="G1236" s="14" t="s">
        <v>20</v>
      </c>
      <c r="H1236" s="14"/>
      <c r="I1236" s="14">
        <v>201408</v>
      </c>
      <c r="J1236" s="41">
        <v>34.130000000000003</v>
      </c>
      <c r="K1236" s="21">
        <f t="shared" si="119"/>
        <v>42675</v>
      </c>
      <c r="L1236" s="16">
        <f t="shared" si="120"/>
        <v>6</v>
      </c>
      <c r="M1236" s="17">
        <v>1.4833299999999999E-3</v>
      </c>
      <c r="N1236" s="18">
        <f t="shared" si="115"/>
        <v>0.30375631740000003</v>
      </c>
      <c r="O1236" s="15"/>
      <c r="P1236" s="20">
        <f t="shared" si="116"/>
        <v>0</v>
      </c>
      <c r="Q1236" s="15"/>
      <c r="R1236" s="20">
        <f t="shared" si="117"/>
        <v>0</v>
      </c>
      <c r="S1236" s="130"/>
      <c r="T1236" s="20">
        <f t="shared" si="118"/>
        <v>0.48313148124999999</v>
      </c>
    </row>
    <row r="1237" spans="1:20">
      <c r="A1237" s="13" t="s">
        <v>21</v>
      </c>
      <c r="B1237" s="14" t="s">
        <v>639</v>
      </c>
      <c r="C1237" s="14" t="s">
        <v>640</v>
      </c>
      <c r="D1237" s="13" t="s">
        <v>641</v>
      </c>
      <c r="E1237" s="14" t="s">
        <v>164</v>
      </c>
      <c r="F1237" s="13" t="s">
        <v>165</v>
      </c>
      <c r="G1237" s="14" t="s">
        <v>20</v>
      </c>
      <c r="H1237" s="14"/>
      <c r="I1237" s="14">
        <v>201408</v>
      </c>
      <c r="J1237" s="41">
        <v>-239.04</v>
      </c>
      <c r="K1237" s="21">
        <f t="shared" si="119"/>
        <v>42675</v>
      </c>
      <c r="L1237" s="16">
        <f t="shared" si="120"/>
        <v>6</v>
      </c>
      <c r="M1237" s="17">
        <v>1.4833299999999999E-3</v>
      </c>
      <c r="N1237" s="18">
        <f t="shared" si="115"/>
        <v>-2.1274512192000001</v>
      </c>
      <c r="O1237" s="15"/>
      <c r="P1237" s="20">
        <f t="shared" si="116"/>
        <v>0</v>
      </c>
      <c r="Q1237" s="15"/>
      <c r="R1237" s="20">
        <f t="shared" si="117"/>
        <v>0</v>
      </c>
      <c r="S1237" s="130"/>
      <c r="T1237" s="20">
        <f t="shared" si="118"/>
        <v>-3.3837606</v>
      </c>
    </row>
    <row r="1238" spans="1:20">
      <c r="A1238" s="13" t="s">
        <v>21</v>
      </c>
      <c r="B1238" s="14" t="s">
        <v>409</v>
      </c>
      <c r="C1238" s="14" t="s">
        <v>410</v>
      </c>
      <c r="D1238" s="13" t="s">
        <v>411</v>
      </c>
      <c r="E1238" s="14" t="s">
        <v>75</v>
      </c>
      <c r="F1238" s="13" t="s">
        <v>26</v>
      </c>
      <c r="G1238" s="14" t="s">
        <v>20</v>
      </c>
      <c r="H1238" s="14"/>
      <c r="I1238" s="14">
        <v>201408</v>
      </c>
      <c r="J1238" s="41">
        <v>-123.17</v>
      </c>
      <c r="K1238" s="21">
        <f t="shared" si="119"/>
        <v>42675</v>
      </c>
      <c r="L1238" s="16">
        <f t="shared" si="120"/>
        <v>6</v>
      </c>
      <c r="M1238" s="17">
        <v>1.4833299999999999E-3</v>
      </c>
      <c r="N1238" s="18">
        <f t="shared" si="115"/>
        <v>-1.0962105366000001</v>
      </c>
      <c r="O1238" s="15"/>
      <c r="P1238" s="20">
        <f t="shared" si="116"/>
        <v>0</v>
      </c>
      <c r="Q1238" s="15"/>
      <c r="R1238" s="20">
        <f t="shared" si="117"/>
        <v>0</v>
      </c>
      <c r="S1238" s="130"/>
      <c r="T1238" s="20">
        <f t="shared" si="118"/>
        <v>-1.7435483312499997</v>
      </c>
    </row>
    <row r="1239" spans="1:20">
      <c r="A1239" s="13" t="s">
        <v>21</v>
      </c>
      <c r="B1239" s="14" t="s">
        <v>642</v>
      </c>
      <c r="C1239" s="14" t="s">
        <v>643</v>
      </c>
      <c r="D1239" s="13" t="s">
        <v>644</v>
      </c>
      <c r="E1239" s="14" t="s">
        <v>360</v>
      </c>
      <c r="F1239" s="13" t="s">
        <v>19</v>
      </c>
      <c r="G1239" s="14" t="s">
        <v>20</v>
      </c>
      <c r="H1239" s="14"/>
      <c r="I1239" s="14">
        <v>201408</v>
      </c>
      <c r="J1239" s="41">
        <v>83.34</v>
      </c>
      <c r="K1239" s="21">
        <f t="shared" si="119"/>
        <v>42675</v>
      </c>
      <c r="L1239" s="16">
        <f t="shared" si="120"/>
        <v>6</v>
      </c>
      <c r="M1239" s="17">
        <v>1.4833299999999999E-3</v>
      </c>
      <c r="N1239" s="18">
        <f t="shared" si="115"/>
        <v>0.74172433320000009</v>
      </c>
      <c r="O1239" s="15"/>
      <c r="P1239" s="20">
        <f t="shared" si="116"/>
        <v>0</v>
      </c>
      <c r="Q1239" s="15"/>
      <c r="R1239" s="20">
        <f t="shared" si="117"/>
        <v>0</v>
      </c>
      <c r="S1239" s="130"/>
      <c r="T1239" s="20">
        <f t="shared" si="118"/>
        <v>1.1797297874999999</v>
      </c>
    </row>
    <row r="1240" spans="1:20">
      <c r="A1240" s="13" t="s">
        <v>21</v>
      </c>
      <c r="B1240" s="14" t="s">
        <v>286</v>
      </c>
      <c r="C1240" s="14" t="s">
        <v>287</v>
      </c>
      <c r="D1240" s="13" t="s">
        <v>288</v>
      </c>
      <c r="E1240" s="14" t="s">
        <v>25</v>
      </c>
      <c r="F1240" s="13" t="s">
        <v>26</v>
      </c>
      <c r="G1240" s="14" t="s">
        <v>20</v>
      </c>
      <c r="H1240" s="14"/>
      <c r="I1240" s="14">
        <v>201408</v>
      </c>
      <c r="J1240" s="41">
        <v>-3.98</v>
      </c>
      <c r="K1240" s="21">
        <f t="shared" si="119"/>
        <v>42675</v>
      </c>
      <c r="L1240" s="16">
        <f t="shared" si="120"/>
        <v>6</v>
      </c>
      <c r="M1240" s="17">
        <v>1.4833299999999999E-3</v>
      </c>
      <c r="N1240" s="18">
        <f t="shared" si="115"/>
        <v>-3.5421920400000001E-2</v>
      </c>
      <c r="O1240" s="15"/>
      <c r="P1240" s="20">
        <f t="shared" si="116"/>
        <v>0</v>
      </c>
      <c r="Q1240" s="15"/>
      <c r="R1240" s="20">
        <f t="shared" si="117"/>
        <v>0</v>
      </c>
      <c r="S1240" s="130"/>
      <c r="T1240" s="20">
        <f t="shared" si="118"/>
        <v>-5.6339387499999997E-2</v>
      </c>
    </row>
    <row r="1241" spans="1:20">
      <c r="A1241" s="13" t="s">
        <v>21</v>
      </c>
      <c r="B1241" s="14" t="s">
        <v>289</v>
      </c>
      <c r="C1241" s="14" t="s">
        <v>290</v>
      </c>
      <c r="D1241" s="13" t="s">
        <v>291</v>
      </c>
      <c r="E1241" s="14" t="s">
        <v>164</v>
      </c>
      <c r="F1241" s="13" t="s">
        <v>165</v>
      </c>
      <c r="G1241" s="14" t="s">
        <v>20</v>
      </c>
      <c r="H1241" s="14"/>
      <c r="I1241" s="14">
        <v>201408</v>
      </c>
      <c r="J1241" s="41">
        <v>-308.79000000000002</v>
      </c>
      <c r="K1241" s="21">
        <f t="shared" si="119"/>
        <v>42675</v>
      </c>
      <c r="L1241" s="16">
        <f t="shared" si="120"/>
        <v>6</v>
      </c>
      <c r="M1241" s="17">
        <v>1.4833299999999999E-3</v>
      </c>
      <c r="N1241" s="18">
        <f t="shared" si="115"/>
        <v>-2.7482248242000002</v>
      </c>
      <c r="O1241" s="15"/>
      <c r="P1241" s="20">
        <f t="shared" si="116"/>
        <v>0</v>
      </c>
      <c r="Q1241" s="15"/>
      <c r="R1241" s="20">
        <f t="shared" si="117"/>
        <v>0</v>
      </c>
      <c r="S1241" s="130"/>
      <c r="T1241" s="20">
        <f t="shared" si="118"/>
        <v>-4.3711154437499999</v>
      </c>
    </row>
    <row r="1242" spans="1:20">
      <c r="A1242" s="13" t="s">
        <v>21</v>
      </c>
      <c r="B1242" s="14" t="s">
        <v>648</v>
      </c>
      <c r="C1242" s="14" t="s">
        <v>649</v>
      </c>
      <c r="D1242" s="13" t="s">
        <v>650</v>
      </c>
      <c r="E1242" s="14" t="s">
        <v>79</v>
      </c>
      <c r="F1242" s="13" t="s">
        <v>26</v>
      </c>
      <c r="G1242" s="14" t="s">
        <v>20</v>
      </c>
      <c r="H1242" s="14"/>
      <c r="I1242" s="14">
        <v>201408</v>
      </c>
      <c r="J1242" s="41">
        <v>50.06</v>
      </c>
      <c r="K1242" s="21">
        <f t="shared" si="119"/>
        <v>42675</v>
      </c>
      <c r="L1242" s="16">
        <f t="shared" si="120"/>
        <v>6</v>
      </c>
      <c r="M1242" s="17">
        <v>1.4833299999999999E-3</v>
      </c>
      <c r="N1242" s="18">
        <f t="shared" si="115"/>
        <v>0.44553299880000002</v>
      </c>
      <c r="O1242" s="15"/>
      <c r="P1242" s="20">
        <f t="shared" si="116"/>
        <v>0</v>
      </c>
      <c r="Q1242" s="15"/>
      <c r="R1242" s="20">
        <f t="shared" si="117"/>
        <v>0</v>
      </c>
      <c r="S1242" s="130"/>
      <c r="T1242" s="20">
        <f t="shared" si="118"/>
        <v>0.70863058749999996</v>
      </c>
    </row>
    <row r="1243" spans="1:20">
      <c r="A1243" s="13" t="s">
        <v>21</v>
      </c>
      <c r="B1243" s="14" t="s">
        <v>651</v>
      </c>
      <c r="C1243" s="14" t="s">
        <v>652</v>
      </c>
      <c r="D1243" s="13" t="s">
        <v>653</v>
      </c>
      <c r="E1243" s="14" t="s">
        <v>360</v>
      </c>
      <c r="F1243" s="13" t="s">
        <v>19</v>
      </c>
      <c r="G1243" s="14" t="s">
        <v>20</v>
      </c>
      <c r="H1243" s="14"/>
      <c r="I1243" s="14">
        <v>201408</v>
      </c>
      <c r="J1243" s="41">
        <v>38.4</v>
      </c>
      <c r="K1243" s="21">
        <f t="shared" si="119"/>
        <v>42675</v>
      </c>
      <c r="L1243" s="16">
        <f t="shared" si="120"/>
        <v>6</v>
      </c>
      <c r="M1243" s="17">
        <v>1.4833299999999999E-3</v>
      </c>
      <c r="N1243" s="18">
        <f t="shared" si="115"/>
        <v>0.34175923199999997</v>
      </c>
      <c r="O1243" s="15"/>
      <c r="P1243" s="20">
        <f t="shared" si="116"/>
        <v>0</v>
      </c>
      <c r="Q1243" s="15"/>
      <c r="R1243" s="20">
        <f t="shared" si="117"/>
        <v>0</v>
      </c>
      <c r="S1243" s="130"/>
      <c r="T1243" s="20">
        <f t="shared" si="118"/>
        <v>0.54357599999999995</v>
      </c>
    </row>
    <row r="1244" spans="1:20">
      <c r="A1244" s="13" t="s">
        <v>21</v>
      </c>
      <c r="B1244" s="14" t="s">
        <v>657</v>
      </c>
      <c r="C1244" s="14" t="s">
        <v>658</v>
      </c>
      <c r="D1244" s="13" t="s">
        <v>659</v>
      </c>
      <c r="E1244" s="14" t="s">
        <v>356</v>
      </c>
      <c r="F1244" s="13" t="s">
        <v>19</v>
      </c>
      <c r="G1244" s="14" t="s">
        <v>20</v>
      </c>
      <c r="H1244" s="14"/>
      <c r="I1244" s="14">
        <v>201408</v>
      </c>
      <c r="J1244" s="41">
        <v>15.39</v>
      </c>
      <c r="K1244" s="21">
        <f t="shared" si="119"/>
        <v>42675</v>
      </c>
      <c r="L1244" s="16">
        <f t="shared" si="120"/>
        <v>6</v>
      </c>
      <c r="M1244" s="17">
        <v>1.4833299999999999E-3</v>
      </c>
      <c r="N1244" s="18">
        <f t="shared" si="115"/>
        <v>0.13697069219999999</v>
      </c>
      <c r="O1244" s="15"/>
      <c r="P1244" s="20">
        <f t="shared" si="116"/>
        <v>0</v>
      </c>
      <c r="Q1244" s="15"/>
      <c r="R1244" s="20">
        <f t="shared" si="117"/>
        <v>0</v>
      </c>
      <c r="S1244" s="130"/>
      <c r="T1244" s="20">
        <f t="shared" si="118"/>
        <v>0.21785506874999999</v>
      </c>
    </row>
    <row r="1245" spans="1:20">
      <c r="A1245" s="13" t="s">
        <v>21</v>
      </c>
      <c r="B1245" s="14" t="s">
        <v>660</v>
      </c>
      <c r="C1245" s="14" t="s">
        <v>661</v>
      </c>
      <c r="D1245" s="13" t="s">
        <v>662</v>
      </c>
      <c r="E1245" s="14" t="s">
        <v>280</v>
      </c>
      <c r="F1245" s="13" t="s">
        <v>26</v>
      </c>
      <c r="G1245" s="14" t="s">
        <v>20</v>
      </c>
      <c r="H1245" s="14"/>
      <c r="I1245" s="14">
        <v>201408</v>
      </c>
      <c r="J1245" s="41">
        <v>-69.09</v>
      </c>
      <c r="K1245" s="21">
        <f t="shared" si="119"/>
        <v>42675</v>
      </c>
      <c r="L1245" s="16">
        <f t="shared" si="120"/>
        <v>6</v>
      </c>
      <c r="M1245" s="17">
        <v>1.4833299999999999E-3</v>
      </c>
      <c r="N1245" s="18">
        <f t="shared" si="115"/>
        <v>-0.61489961820000005</v>
      </c>
      <c r="O1245" s="15"/>
      <c r="P1245" s="20">
        <f t="shared" si="116"/>
        <v>0</v>
      </c>
      <c r="Q1245" s="15"/>
      <c r="R1245" s="20">
        <f t="shared" si="117"/>
        <v>0</v>
      </c>
      <c r="S1245" s="130"/>
      <c r="T1245" s="20">
        <f t="shared" si="118"/>
        <v>-0.97801213124999986</v>
      </c>
    </row>
    <row r="1246" spans="1:20">
      <c r="A1246" s="13" t="s">
        <v>21</v>
      </c>
      <c r="B1246" s="14" t="s">
        <v>663</v>
      </c>
      <c r="C1246" s="14" t="s">
        <v>664</v>
      </c>
      <c r="D1246" s="13" t="s">
        <v>665</v>
      </c>
      <c r="E1246" s="14" t="s">
        <v>260</v>
      </c>
      <c r="F1246" s="13" t="s">
        <v>26</v>
      </c>
      <c r="G1246" s="14" t="s">
        <v>20</v>
      </c>
      <c r="H1246" s="14"/>
      <c r="I1246" s="14">
        <v>201408</v>
      </c>
      <c r="J1246" s="41">
        <v>2.2799999999999998</v>
      </c>
      <c r="K1246" s="21">
        <f t="shared" si="119"/>
        <v>42675</v>
      </c>
      <c r="L1246" s="16">
        <f t="shared" si="120"/>
        <v>6</v>
      </c>
      <c r="M1246" s="17">
        <v>1.4833299999999999E-3</v>
      </c>
      <c r="N1246" s="18">
        <f t="shared" si="115"/>
        <v>2.0291954399999999E-2</v>
      </c>
      <c r="O1246" s="15"/>
      <c r="P1246" s="20">
        <f t="shared" si="116"/>
        <v>0</v>
      </c>
      <c r="Q1246" s="15"/>
      <c r="R1246" s="20">
        <f t="shared" si="117"/>
        <v>0</v>
      </c>
      <c r="S1246" s="130"/>
      <c r="T1246" s="20">
        <f t="shared" si="118"/>
        <v>3.2274824999999993E-2</v>
      </c>
    </row>
    <row r="1247" spans="1:20">
      <c r="A1247" s="13" t="s">
        <v>21</v>
      </c>
      <c r="B1247" s="14" t="s">
        <v>298</v>
      </c>
      <c r="C1247" s="14" t="s">
        <v>299</v>
      </c>
      <c r="D1247" s="13" t="s">
        <v>300</v>
      </c>
      <c r="E1247" s="14" t="s">
        <v>164</v>
      </c>
      <c r="F1247" s="13" t="s">
        <v>165</v>
      </c>
      <c r="G1247" s="14" t="s">
        <v>20</v>
      </c>
      <c r="H1247" s="14"/>
      <c r="I1247" s="14">
        <v>201408</v>
      </c>
      <c r="J1247" s="41">
        <v>-283.74</v>
      </c>
      <c r="K1247" s="21">
        <f t="shared" si="119"/>
        <v>42675</v>
      </c>
      <c r="L1247" s="16">
        <f t="shared" si="120"/>
        <v>6</v>
      </c>
      <c r="M1247" s="17">
        <v>1.4833299999999999E-3</v>
      </c>
      <c r="N1247" s="18">
        <f t="shared" si="115"/>
        <v>-2.5252803252000002</v>
      </c>
      <c r="O1247" s="15"/>
      <c r="P1247" s="20">
        <f t="shared" si="116"/>
        <v>0</v>
      </c>
      <c r="Q1247" s="15"/>
      <c r="R1247" s="20">
        <f t="shared" si="117"/>
        <v>0</v>
      </c>
      <c r="S1247" s="130"/>
      <c r="T1247" s="20">
        <f t="shared" si="118"/>
        <v>-4.0165170374999999</v>
      </c>
    </row>
    <row r="1248" spans="1:20">
      <c r="A1248" s="13" t="s">
        <v>21</v>
      </c>
      <c r="B1248" s="14" t="s">
        <v>669</v>
      </c>
      <c r="C1248" s="14" t="s">
        <v>670</v>
      </c>
      <c r="D1248" s="13" t="s">
        <v>671</v>
      </c>
      <c r="E1248" s="14" t="s">
        <v>497</v>
      </c>
      <c r="F1248" s="13" t="s">
        <v>26</v>
      </c>
      <c r="G1248" s="14" t="s">
        <v>20</v>
      </c>
      <c r="H1248" s="14"/>
      <c r="I1248" s="14">
        <v>201408</v>
      </c>
      <c r="J1248" s="41">
        <v>-41.39</v>
      </c>
      <c r="K1248" s="21">
        <f t="shared" si="119"/>
        <v>42675</v>
      </c>
      <c r="L1248" s="16">
        <f t="shared" si="120"/>
        <v>6</v>
      </c>
      <c r="M1248" s="17">
        <v>1.4833299999999999E-3</v>
      </c>
      <c r="N1248" s="18">
        <f t="shared" si="115"/>
        <v>-0.36837017220000001</v>
      </c>
      <c r="O1248" s="15"/>
      <c r="P1248" s="20">
        <f t="shared" si="116"/>
        <v>0</v>
      </c>
      <c r="Q1248" s="15"/>
      <c r="R1248" s="20">
        <f t="shared" si="117"/>
        <v>0</v>
      </c>
      <c r="S1248" s="130"/>
      <c r="T1248" s="20">
        <f t="shared" si="118"/>
        <v>-0.58590131874999996</v>
      </c>
    </row>
    <row r="1249" spans="1:20">
      <c r="A1249" s="13" t="s">
        <v>21</v>
      </c>
      <c r="B1249" s="14" t="s">
        <v>672</v>
      </c>
      <c r="C1249" s="14" t="s">
        <v>673</v>
      </c>
      <c r="D1249" s="13" t="s">
        <v>674</v>
      </c>
      <c r="E1249" s="14" t="s">
        <v>164</v>
      </c>
      <c r="F1249" s="13" t="s">
        <v>165</v>
      </c>
      <c r="G1249" s="14" t="s">
        <v>20</v>
      </c>
      <c r="H1249" s="14"/>
      <c r="I1249" s="14">
        <v>201408</v>
      </c>
      <c r="J1249" s="41">
        <v>-32.200000000000003</v>
      </c>
      <c r="K1249" s="21">
        <f t="shared" si="119"/>
        <v>42675</v>
      </c>
      <c r="L1249" s="16">
        <f t="shared" si="120"/>
        <v>6</v>
      </c>
      <c r="M1249" s="17">
        <v>1.4833299999999999E-3</v>
      </c>
      <c r="N1249" s="18">
        <f t="shared" si="115"/>
        <v>-0.28657935600000001</v>
      </c>
      <c r="O1249" s="15"/>
      <c r="P1249" s="20">
        <f t="shared" si="116"/>
        <v>0</v>
      </c>
      <c r="Q1249" s="15"/>
      <c r="R1249" s="20">
        <f t="shared" si="117"/>
        <v>0</v>
      </c>
      <c r="S1249" s="130"/>
      <c r="T1249" s="20">
        <f t="shared" si="118"/>
        <v>-0.45581112500000004</v>
      </c>
    </row>
    <row r="1250" spans="1:20">
      <c r="A1250" s="13" t="s">
        <v>21</v>
      </c>
      <c r="B1250" s="14" t="s">
        <v>301</v>
      </c>
      <c r="C1250" s="14" t="s">
        <v>302</v>
      </c>
      <c r="D1250" s="13" t="s">
        <v>303</v>
      </c>
      <c r="E1250" s="14" t="s">
        <v>63</v>
      </c>
      <c r="F1250" s="13" t="s">
        <v>19</v>
      </c>
      <c r="G1250" s="14" t="s">
        <v>20</v>
      </c>
      <c r="H1250" s="14"/>
      <c r="I1250" s="14">
        <v>201408</v>
      </c>
      <c r="J1250" s="41">
        <v>-21.92</v>
      </c>
      <c r="K1250" s="21">
        <f t="shared" si="119"/>
        <v>42675</v>
      </c>
      <c r="L1250" s="16">
        <f t="shared" si="120"/>
        <v>6</v>
      </c>
      <c r="M1250" s="17">
        <v>1.4833299999999999E-3</v>
      </c>
      <c r="N1250" s="18">
        <f t="shared" si="115"/>
        <v>-0.19508756160000001</v>
      </c>
      <c r="O1250" s="15"/>
      <c r="P1250" s="20">
        <f t="shared" si="116"/>
        <v>0</v>
      </c>
      <c r="Q1250" s="15"/>
      <c r="R1250" s="20">
        <f t="shared" si="117"/>
        <v>0</v>
      </c>
      <c r="S1250" s="130"/>
      <c r="T1250" s="20">
        <f t="shared" si="118"/>
        <v>-0.31029129999999999</v>
      </c>
    </row>
    <row r="1251" spans="1:20">
      <c r="A1251" s="13" t="s">
        <v>21</v>
      </c>
      <c r="B1251" s="14" t="s">
        <v>304</v>
      </c>
      <c r="C1251" s="14" t="s">
        <v>305</v>
      </c>
      <c r="D1251" s="13" t="s">
        <v>306</v>
      </c>
      <c r="E1251" s="14" t="s">
        <v>307</v>
      </c>
      <c r="F1251" s="13" t="s">
        <v>165</v>
      </c>
      <c r="G1251" s="14" t="s">
        <v>20</v>
      </c>
      <c r="H1251" s="14"/>
      <c r="I1251" s="14">
        <v>201408</v>
      </c>
      <c r="J1251" s="41">
        <v>-396.23</v>
      </c>
      <c r="K1251" s="21">
        <f t="shared" si="119"/>
        <v>42675</v>
      </c>
      <c r="L1251" s="16">
        <f t="shared" si="120"/>
        <v>6</v>
      </c>
      <c r="M1251" s="17">
        <v>1.4833299999999999E-3</v>
      </c>
      <c r="N1251" s="18">
        <f t="shared" si="115"/>
        <v>-3.5264390754000003</v>
      </c>
      <c r="O1251" s="15"/>
      <c r="P1251" s="20">
        <f t="shared" si="116"/>
        <v>0</v>
      </c>
      <c r="Q1251" s="15"/>
      <c r="R1251" s="20">
        <f t="shared" si="117"/>
        <v>0</v>
      </c>
      <c r="S1251" s="130"/>
      <c r="T1251" s="20">
        <f t="shared" si="118"/>
        <v>-5.6088832937499999</v>
      </c>
    </row>
    <row r="1252" spans="1:20">
      <c r="A1252" s="13" t="s">
        <v>21</v>
      </c>
      <c r="B1252" s="14" t="s">
        <v>494</v>
      </c>
      <c r="C1252" s="14" t="s">
        <v>495</v>
      </c>
      <c r="D1252" s="13" t="s">
        <v>496</v>
      </c>
      <c r="E1252" s="14" t="s">
        <v>497</v>
      </c>
      <c r="F1252" s="13" t="s">
        <v>26</v>
      </c>
      <c r="G1252" s="14" t="s">
        <v>20</v>
      </c>
      <c r="H1252" s="14"/>
      <c r="I1252" s="14">
        <v>201408</v>
      </c>
      <c r="J1252" s="41">
        <v>-993.23</v>
      </c>
      <c r="K1252" s="21">
        <f t="shared" si="119"/>
        <v>42675</v>
      </c>
      <c r="L1252" s="16">
        <f t="shared" si="120"/>
        <v>6</v>
      </c>
      <c r="M1252" s="17">
        <v>1.4833299999999999E-3</v>
      </c>
      <c r="N1252" s="18">
        <f t="shared" si="115"/>
        <v>-8.8397271354000004</v>
      </c>
      <c r="O1252" s="15"/>
      <c r="P1252" s="20">
        <f t="shared" si="116"/>
        <v>0</v>
      </c>
      <c r="Q1252" s="15"/>
      <c r="R1252" s="20">
        <f t="shared" si="117"/>
        <v>0</v>
      </c>
      <c r="S1252" s="130"/>
      <c r="T1252" s="20">
        <f t="shared" si="118"/>
        <v>-14.059791418749999</v>
      </c>
    </row>
    <row r="1253" spans="1:20">
      <c r="A1253" s="13" t="s">
        <v>21</v>
      </c>
      <c r="B1253" s="14" t="s">
        <v>501</v>
      </c>
      <c r="C1253" s="14" t="s">
        <v>502</v>
      </c>
      <c r="D1253" s="13" t="s">
        <v>503</v>
      </c>
      <c r="E1253" s="14" t="s">
        <v>280</v>
      </c>
      <c r="F1253" s="13" t="s">
        <v>26</v>
      </c>
      <c r="G1253" s="14" t="s">
        <v>20</v>
      </c>
      <c r="H1253" s="14"/>
      <c r="I1253" s="14">
        <v>201408</v>
      </c>
      <c r="J1253" s="41">
        <v>-2106.33</v>
      </c>
      <c r="K1253" s="21">
        <f t="shared" si="119"/>
        <v>42675</v>
      </c>
      <c r="L1253" s="16">
        <f t="shared" si="120"/>
        <v>6</v>
      </c>
      <c r="M1253" s="17">
        <v>1.4833299999999999E-3</v>
      </c>
      <c r="N1253" s="18">
        <f t="shared" si="115"/>
        <v>-18.7462948734</v>
      </c>
      <c r="O1253" s="15"/>
      <c r="P1253" s="20">
        <f t="shared" si="116"/>
        <v>0</v>
      </c>
      <c r="Q1253" s="15"/>
      <c r="R1253" s="20">
        <f t="shared" si="117"/>
        <v>0</v>
      </c>
      <c r="S1253" s="130"/>
      <c r="T1253" s="20">
        <f t="shared" si="118"/>
        <v>-29.816417606249995</v>
      </c>
    </row>
    <row r="1254" spans="1:20">
      <c r="A1254" s="13" t="s">
        <v>21</v>
      </c>
      <c r="B1254" s="14" t="s">
        <v>308</v>
      </c>
      <c r="C1254" s="14" t="s">
        <v>309</v>
      </c>
      <c r="D1254" s="13" t="s">
        <v>310</v>
      </c>
      <c r="E1254" s="14" t="s">
        <v>142</v>
      </c>
      <c r="F1254" s="13" t="s">
        <v>143</v>
      </c>
      <c r="G1254" s="14" t="s">
        <v>20</v>
      </c>
      <c r="H1254" s="14"/>
      <c r="I1254" s="14">
        <v>201408</v>
      </c>
      <c r="J1254" s="41">
        <v>-110.46</v>
      </c>
      <c r="K1254" s="21">
        <f t="shared" si="119"/>
        <v>42675</v>
      </c>
      <c r="L1254" s="16">
        <f t="shared" si="120"/>
        <v>6</v>
      </c>
      <c r="M1254" s="17">
        <v>1.4833299999999999E-3</v>
      </c>
      <c r="N1254" s="18">
        <f t="shared" si="115"/>
        <v>-0.98309179079999998</v>
      </c>
      <c r="O1254" s="15"/>
      <c r="P1254" s="20">
        <f t="shared" si="116"/>
        <v>0</v>
      </c>
      <c r="Q1254" s="15"/>
      <c r="R1254" s="20">
        <f t="shared" si="117"/>
        <v>0</v>
      </c>
      <c r="S1254" s="130"/>
      <c r="T1254" s="20">
        <f t="shared" si="118"/>
        <v>-1.5636303374999998</v>
      </c>
    </row>
    <row r="1255" spans="1:20">
      <c r="A1255" s="13" t="s">
        <v>21</v>
      </c>
      <c r="B1255" s="14" t="s">
        <v>311</v>
      </c>
      <c r="C1255" s="14" t="s">
        <v>312</v>
      </c>
      <c r="D1255" s="13" t="s">
        <v>313</v>
      </c>
      <c r="E1255" s="14" t="s">
        <v>164</v>
      </c>
      <c r="F1255" s="13" t="s">
        <v>165</v>
      </c>
      <c r="G1255" s="14" t="s">
        <v>20</v>
      </c>
      <c r="H1255" s="14"/>
      <c r="I1255" s="14">
        <v>201408</v>
      </c>
      <c r="J1255" s="41">
        <v>-450.99</v>
      </c>
      <c r="K1255" s="21">
        <f t="shared" si="119"/>
        <v>42675</v>
      </c>
      <c r="L1255" s="16">
        <f t="shared" si="120"/>
        <v>6</v>
      </c>
      <c r="M1255" s="17">
        <v>1.4833299999999999E-3</v>
      </c>
      <c r="N1255" s="18">
        <f t="shared" si="115"/>
        <v>-4.0138019802000002</v>
      </c>
      <c r="O1255" s="15"/>
      <c r="P1255" s="20">
        <f t="shared" si="116"/>
        <v>0</v>
      </c>
      <c r="Q1255" s="15"/>
      <c r="R1255" s="20">
        <f t="shared" si="117"/>
        <v>0</v>
      </c>
      <c r="S1255" s="130"/>
      <c r="T1255" s="20">
        <f t="shared" si="118"/>
        <v>-6.3840453187500001</v>
      </c>
    </row>
    <row r="1256" spans="1:20">
      <c r="A1256" s="13" t="s">
        <v>21</v>
      </c>
      <c r="B1256" s="14" t="s">
        <v>504</v>
      </c>
      <c r="C1256" s="14" t="s">
        <v>505</v>
      </c>
      <c r="D1256" s="13" t="s">
        <v>506</v>
      </c>
      <c r="E1256" s="14" t="s">
        <v>164</v>
      </c>
      <c r="F1256" s="13" t="s">
        <v>165</v>
      </c>
      <c r="G1256" s="14" t="s">
        <v>20</v>
      </c>
      <c r="H1256" s="14"/>
      <c r="I1256" s="14">
        <v>201408</v>
      </c>
      <c r="J1256" s="41">
        <v>-180.88</v>
      </c>
      <c r="K1256" s="21">
        <f t="shared" si="119"/>
        <v>42675</v>
      </c>
      <c r="L1256" s="16">
        <f t="shared" si="120"/>
        <v>6</v>
      </c>
      <c r="M1256" s="17">
        <v>1.4833299999999999E-3</v>
      </c>
      <c r="N1256" s="18">
        <f t="shared" si="115"/>
        <v>-1.6098283823999999</v>
      </c>
      <c r="O1256" s="15"/>
      <c r="P1256" s="20">
        <f t="shared" si="116"/>
        <v>0</v>
      </c>
      <c r="Q1256" s="15"/>
      <c r="R1256" s="20">
        <f t="shared" si="117"/>
        <v>0</v>
      </c>
      <c r="S1256" s="130"/>
      <c r="T1256" s="20">
        <f t="shared" si="118"/>
        <v>-2.5604694499999998</v>
      </c>
    </row>
    <row r="1257" spans="1:20">
      <c r="A1257" s="13" t="s">
        <v>21</v>
      </c>
      <c r="B1257" s="14" t="s">
        <v>329</v>
      </c>
      <c r="C1257" s="14" t="s">
        <v>330</v>
      </c>
      <c r="D1257" s="13" t="s">
        <v>331</v>
      </c>
      <c r="E1257" s="14" t="s">
        <v>164</v>
      </c>
      <c r="F1257" s="13" t="s">
        <v>165</v>
      </c>
      <c r="G1257" s="14" t="s">
        <v>20</v>
      </c>
      <c r="H1257" s="14"/>
      <c r="I1257" s="14">
        <v>201408</v>
      </c>
      <c r="J1257" s="41">
        <v>-1447.83</v>
      </c>
      <c r="K1257" s="21">
        <f t="shared" si="119"/>
        <v>42675</v>
      </c>
      <c r="L1257" s="16">
        <f t="shared" si="120"/>
        <v>6</v>
      </c>
      <c r="M1257" s="17">
        <v>1.4833299999999999E-3</v>
      </c>
      <c r="N1257" s="18">
        <f t="shared" si="115"/>
        <v>-12.885658043399999</v>
      </c>
      <c r="O1257" s="15"/>
      <c r="P1257" s="20">
        <f t="shared" si="116"/>
        <v>0</v>
      </c>
      <c r="Q1257" s="15"/>
      <c r="R1257" s="20">
        <f t="shared" si="117"/>
        <v>0</v>
      </c>
      <c r="S1257" s="130"/>
      <c r="T1257" s="20">
        <f t="shared" si="118"/>
        <v>-20.494938543749996</v>
      </c>
    </row>
    <row r="1258" spans="1:20">
      <c r="A1258" s="13" t="s">
        <v>21</v>
      </c>
      <c r="B1258" s="14" t="s">
        <v>678</v>
      </c>
      <c r="C1258" s="14" t="s">
        <v>679</v>
      </c>
      <c r="D1258" s="13" t="s">
        <v>680</v>
      </c>
      <c r="E1258" s="14" t="s">
        <v>75</v>
      </c>
      <c r="F1258" s="13" t="s">
        <v>26</v>
      </c>
      <c r="G1258" s="14" t="s">
        <v>20</v>
      </c>
      <c r="H1258" s="14"/>
      <c r="I1258" s="14">
        <v>201408</v>
      </c>
      <c r="J1258" s="41">
        <v>-30.08</v>
      </c>
      <c r="K1258" s="21">
        <f t="shared" si="119"/>
        <v>42675</v>
      </c>
      <c r="L1258" s="16">
        <f t="shared" si="120"/>
        <v>6</v>
      </c>
      <c r="M1258" s="17">
        <v>1.4833299999999999E-3</v>
      </c>
      <c r="N1258" s="18">
        <f t="shared" si="115"/>
        <v>-0.26771139839999997</v>
      </c>
      <c r="O1258" s="15"/>
      <c r="P1258" s="20">
        <f t="shared" si="116"/>
        <v>0</v>
      </c>
      <c r="Q1258" s="15"/>
      <c r="R1258" s="20">
        <f t="shared" si="117"/>
        <v>0</v>
      </c>
      <c r="S1258" s="130"/>
      <c r="T1258" s="20">
        <f t="shared" si="118"/>
        <v>-0.42580119999999999</v>
      </c>
    </row>
    <row r="1259" spans="1:20">
      <c r="A1259" s="13" t="s">
        <v>21</v>
      </c>
      <c r="B1259" s="14" t="s">
        <v>507</v>
      </c>
      <c r="C1259" s="14" t="s">
        <v>508</v>
      </c>
      <c r="D1259" s="13" t="s">
        <v>509</v>
      </c>
      <c r="E1259" s="14" t="s">
        <v>260</v>
      </c>
      <c r="F1259" s="13" t="s">
        <v>26</v>
      </c>
      <c r="G1259" s="14" t="s">
        <v>20</v>
      </c>
      <c r="H1259" s="14"/>
      <c r="I1259" s="14">
        <v>201408</v>
      </c>
      <c r="J1259" s="41">
        <v>-454.35</v>
      </c>
      <c r="K1259" s="21">
        <f t="shared" si="119"/>
        <v>42675</v>
      </c>
      <c r="L1259" s="16">
        <f t="shared" si="120"/>
        <v>6</v>
      </c>
      <c r="M1259" s="17">
        <v>1.4833299999999999E-3</v>
      </c>
      <c r="N1259" s="18">
        <f t="shared" si="115"/>
        <v>-4.0437059130000002</v>
      </c>
      <c r="O1259" s="15"/>
      <c r="P1259" s="20">
        <f t="shared" si="116"/>
        <v>0</v>
      </c>
      <c r="Q1259" s="15"/>
      <c r="R1259" s="20">
        <f t="shared" si="117"/>
        <v>0</v>
      </c>
      <c r="S1259" s="130"/>
      <c r="T1259" s="20">
        <f t="shared" si="118"/>
        <v>-6.4316082187500001</v>
      </c>
    </row>
    <row r="1260" spans="1:20">
      <c r="A1260" s="23" t="s">
        <v>21</v>
      </c>
      <c r="B1260" s="14" t="s">
        <v>335</v>
      </c>
      <c r="C1260" s="14" t="s">
        <v>336</v>
      </c>
      <c r="D1260" s="13" t="s">
        <v>337</v>
      </c>
      <c r="E1260" s="14" t="s">
        <v>75</v>
      </c>
      <c r="F1260" s="13" t="s">
        <v>26</v>
      </c>
      <c r="G1260" s="14" t="s">
        <v>20</v>
      </c>
      <c r="H1260" s="14"/>
      <c r="I1260" s="14">
        <v>201408</v>
      </c>
      <c r="J1260" s="41">
        <v>-23.66</v>
      </c>
      <c r="K1260" s="21">
        <f t="shared" si="119"/>
        <v>42675</v>
      </c>
      <c r="L1260" s="16">
        <f t="shared" si="120"/>
        <v>6</v>
      </c>
      <c r="M1260" s="17">
        <v>1.4833299999999999E-3</v>
      </c>
      <c r="N1260" s="18">
        <f t="shared" si="115"/>
        <v>-0.21057352679999999</v>
      </c>
      <c r="O1260" s="15"/>
      <c r="P1260" s="20">
        <f t="shared" si="116"/>
        <v>0</v>
      </c>
      <c r="Q1260" s="15"/>
      <c r="R1260" s="20">
        <f t="shared" si="117"/>
        <v>0</v>
      </c>
      <c r="S1260" s="130"/>
      <c r="T1260" s="20">
        <f t="shared" si="118"/>
        <v>-0.33492208749999997</v>
      </c>
    </row>
    <row r="1261" spans="1:20">
      <c r="A1261" s="23" t="s">
        <v>21</v>
      </c>
      <c r="B1261" s="14" t="s">
        <v>338</v>
      </c>
      <c r="C1261" s="14" t="s">
        <v>339</v>
      </c>
      <c r="D1261" s="13" t="s">
        <v>340</v>
      </c>
      <c r="E1261" s="14" t="s">
        <v>164</v>
      </c>
      <c r="F1261" s="13" t="s">
        <v>165</v>
      </c>
      <c r="G1261" s="14" t="s">
        <v>20</v>
      </c>
      <c r="H1261" s="14"/>
      <c r="I1261" s="14">
        <v>201408</v>
      </c>
      <c r="J1261" s="41">
        <v>-551.54</v>
      </c>
      <c r="K1261" s="21">
        <f t="shared" si="119"/>
        <v>42675</v>
      </c>
      <c r="L1261" s="16">
        <f t="shared" si="120"/>
        <v>6</v>
      </c>
      <c r="M1261" s="17">
        <v>1.4833299999999999E-3</v>
      </c>
      <c r="N1261" s="18">
        <f t="shared" si="115"/>
        <v>-4.9086949691999999</v>
      </c>
      <c r="O1261" s="15"/>
      <c r="P1261" s="20">
        <f t="shared" si="116"/>
        <v>0</v>
      </c>
      <c r="Q1261" s="15"/>
      <c r="R1261" s="20">
        <f t="shared" si="117"/>
        <v>0</v>
      </c>
      <c r="S1261" s="130"/>
      <c r="T1261" s="20">
        <f t="shared" si="118"/>
        <v>-7.8073934124999997</v>
      </c>
    </row>
    <row r="1262" spans="1:20">
      <c r="A1262" s="23" t="s">
        <v>21</v>
      </c>
      <c r="B1262" s="14" t="s">
        <v>687</v>
      </c>
      <c r="C1262" s="14" t="s">
        <v>688</v>
      </c>
      <c r="D1262" s="13" t="s">
        <v>689</v>
      </c>
      <c r="E1262" s="14" t="s">
        <v>164</v>
      </c>
      <c r="F1262" s="13" t="s">
        <v>165</v>
      </c>
      <c r="G1262" s="14" t="s">
        <v>20</v>
      </c>
      <c r="H1262" s="14"/>
      <c r="I1262" s="14">
        <v>201408</v>
      </c>
      <c r="J1262" s="41">
        <v>-871.83</v>
      </c>
      <c r="K1262" s="21">
        <f t="shared" si="119"/>
        <v>42675</v>
      </c>
      <c r="L1262" s="16">
        <f t="shared" si="120"/>
        <v>6</v>
      </c>
      <c r="M1262" s="17">
        <v>1.4833299999999999E-3</v>
      </c>
      <c r="N1262" s="18">
        <f t="shared" si="115"/>
        <v>-7.7592695634000002</v>
      </c>
      <c r="O1262" s="15"/>
      <c r="P1262" s="20">
        <f t="shared" si="116"/>
        <v>0</v>
      </c>
      <c r="Q1262" s="15"/>
      <c r="R1262" s="20">
        <f t="shared" si="117"/>
        <v>0</v>
      </c>
      <c r="S1262" s="130"/>
      <c r="T1262" s="20">
        <f t="shared" si="118"/>
        <v>-12.34129854375</v>
      </c>
    </row>
    <row r="1263" spans="1:20">
      <c r="A1263" s="23" t="s">
        <v>21</v>
      </c>
      <c r="B1263" s="14" t="s">
        <v>347</v>
      </c>
      <c r="C1263" s="14" t="s">
        <v>348</v>
      </c>
      <c r="D1263" s="13" t="s">
        <v>349</v>
      </c>
      <c r="E1263" s="14" t="s">
        <v>102</v>
      </c>
      <c r="F1263" s="13" t="s">
        <v>19</v>
      </c>
      <c r="G1263" s="14" t="s">
        <v>20</v>
      </c>
      <c r="H1263" s="14"/>
      <c r="I1263" s="14">
        <v>201408</v>
      </c>
      <c r="J1263" s="41">
        <v>-30.53</v>
      </c>
      <c r="K1263" s="21">
        <f t="shared" si="119"/>
        <v>42675</v>
      </c>
      <c r="L1263" s="16">
        <f t="shared" si="120"/>
        <v>6</v>
      </c>
      <c r="M1263" s="17">
        <v>1.4833299999999999E-3</v>
      </c>
      <c r="N1263" s="18">
        <f t="shared" si="115"/>
        <v>-0.27171638940000004</v>
      </c>
      <c r="O1263" s="15"/>
      <c r="P1263" s="20">
        <f t="shared" si="116"/>
        <v>0</v>
      </c>
      <c r="Q1263" s="15"/>
      <c r="R1263" s="20">
        <f t="shared" si="117"/>
        <v>0</v>
      </c>
      <c r="S1263" s="130"/>
      <c r="T1263" s="20">
        <f t="shared" si="118"/>
        <v>-0.43217123124999995</v>
      </c>
    </row>
    <row r="1264" spans="1:20">
      <c r="A1264" s="23" t="s">
        <v>21</v>
      </c>
      <c r="B1264" s="14" t="s">
        <v>350</v>
      </c>
      <c r="C1264" s="14" t="s">
        <v>351</v>
      </c>
      <c r="D1264" s="13" t="s">
        <v>352</v>
      </c>
      <c r="E1264" s="14" t="s">
        <v>75</v>
      </c>
      <c r="F1264" s="13" t="s">
        <v>26</v>
      </c>
      <c r="G1264" s="14" t="s">
        <v>20</v>
      </c>
      <c r="H1264" s="14"/>
      <c r="I1264" s="14">
        <v>201408</v>
      </c>
      <c r="J1264" s="41">
        <v>-89.93</v>
      </c>
      <c r="K1264" s="21">
        <f t="shared" si="119"/>
        <v>42675</v>
      </c>
      <c r="L1264" s="16">
        <f t="shared" si="120"/>
        <v>6</v>
      </c>
      <c r="M1264" s="17">
        <v>1.4833299999999999E-3</v>
      </c>
      <c r="N1264" s="18">
        <f t="shared" si="115"/>
        <v>-0.80037520140000007</v>
      </c>
      <c r="O1264" s="15"/>
      <c r="P1264" s="20">
        <f t="shared" si="116"/>
        <v>0</v>
      </c>
      <c r="Q1264" s="15"/>
      <c r="R1264" s="20">
        <f t="shared" si="117"/>
        <v>0</v>
      </c>
      <c r="S1264" s="130"/>
      <c r="T1264" s="20">
        <f t="shared" si="118"/>
        <v>-1.27301535625</v>
      </c>
    </row>
    <row r="1265" spans="1:20">
      <c r="A1265" s="23" t="s">
        <v>21</v>
      </c>
      <c r="B1265" s="14" t="s">
        <v>353</v>
      </c>
      <c r="C1265" s="14" t="s">
        <v>354</v>
      </c>
      <c r="D1265" s="13" t="s">
        <v>355</v>
      </c>
      <c r="E1265" s="14" t="s">
        <v>356</v>
      </c>
      <c r="F1265" s="13" t="s">
        <v>19</v>
      </c>
      <c r="G1265" s="14" t="s">
        <v>20</v>
      </c>
      <c r="H1265" s="14"/>
      <c r="I1265" s="14">
        <v>201408</v>
      </c>
      <c r="J1265" s="41">
        <v>-2546.27</v>
      </c>
      <c r="K1265" s="21">
        <f t="shared" si="119"/>
        <v>42675</v>
      </c>
      <c r="L1265" s="16">
        <f t="shared" si="120"/>
        <v>6</v>
      </c>
      <c r="M1265" s="17">
        <v>1.4833299999999999E-3</v>
      </c>
      <c r="N1265" s="18">
        <f t="shared" si="115"/>
        <v>-22.661752074599999</v>
      </c>
      <c r="O1265" s="15"/>
      <c r="P1265" s="20">
        <f t="shared" si="116"/>
        <v>0</v>
      </c>
      <c r="Q1265" s="15"/>
      <c r="R1265" s="20">
        <f t="shared" si="117"/>
        <v>0</v>
      </c>
      <c r="S1265" s="130"/>
      <c r="T1265" s="20">
        <f t="shared" si="118"/>
        <v>-36.044043268750002</v>
      </c>
    </row>
    <row r="1266" spans="1:20">
      <c r="A1266" s="23" t="s">
        <v>21</v>
      </c>
      <c r="B1266" s="14" t="s">
        <v>357</v>
      </c>
      <c r="C1266" s="14" t="s">
        <v>358</v>
      </c>
      <c r="D1266" s="13" t="s">
        <v>359</v>
      </c>
      <c r="E1266" s="14" t="s">
        <v>360</v>
      </c>
      <c r="F1266" s="13" t="s">
        <v>19</v>
      </c>
      <c r="G1266" s="14" t="s">
        <v>20</v>
      </c>
      <c r="H1266" s="14"/>
      <c r="I1266" s="14">
        <v>201408</v>
      </c>
      <c r="J1266" s="41">
        <v>-181.1</v>
      </c>
      <c r="K1266" s="21">
        <f t="shared" si="119"/>
        <v>42675</v>
      </c>
      <c r="L1266" s="16">
        <f t="shared" si="120"/>
        <v>6</v>
      </c>
      <c r="M1266" s="17">
        <v>1.4833299999999999E-3</v>
      </c>
      <c r="N1266" s="18">
        <f t="shared" si="115"/>
        <v>-1.6117863779999999</v>
      </c>
      <c r="O1266" s="15"/>
      <c r="P1266" s="20">
        <f t="shared" si="116"/>
        <v>0</v>
      </c>
      <c r="Q1266" s="15"/>
      <c r="R1266" s="20">
        <f t="shared" si="117"/>
        <v>0</v>
      </c>
      <c r="S1266" s="130"/>
      <c r="T1266" s="20">
        <f t="shared" si="118"/>
        <v>-2.5635836874999995</v>
      </c>
    </row>
    <row r="1267" spans="1:20">
      <c r="A1267" s="23" t="s">
        <v>21</v>
      </c>
      <c r="B1267" s="14" t="s">
        <v>361</v>
      </c>
      <c r="C1267" s="14" t="s">
        <v>362</v>
      </c>
      <c r="D1267" s="13" t="s">
        <v>363</v>
      </c>
      <c r="E1267" s="14" t="s">
        <v>164</v>
      </c>
      <c r="F1267" s="13" t="s">
        <v>165</v>
      </c>
      <c r="G1267" s="14" t="s">
        <v>20</v>
      </c>
      <c r="H1267" s="14"/>
      <c r="I1267" s="14">
        <v>201408</v>
      </c>
      <c r="J1267" s="41">
        <v>-124.99</v>
      </c>
      <c r="K1267" s="21">
        <f t="shared" si="119"/>
        <v>42675</v>
      </c>
      <c r="L1267" s="16">
        <f t="shared" si="120"/>
        <v>6</v>
      </c>
      <c r="M1267" s="17">
        <v>1.4833299999999999E-3</v>
      </c>
      <c r="N1267" s="18">
        <f t="shared" si="115"/>
        <v>-1.1124085001999999</v>
      </c>
      <c r="O1267" s="15"/>
      <c r="P1267" s="20">
        <f t="shared" si="116"/>
        <v>0</v>
      </c>
      <c r="Q1267" s="15"/>
      <c r="R1267" s="20">
        <f t="shared" si="117"/>
        <v>0</v>
      </c>
      <c r="S1267" s="130"/>
      <c r="T1267" s="20">
        <f t="shared" si="118"/>
        <v>-1.7693115687499998</v>
      </c>
    </row>
    <row r="1268" spans="1:20">
      <c r="A1268" s="23" t="s">
        <v>21</v>
      </c>
      <c r="B1268" s="14" t="s">
        <v>690</v>
      </c>
      <c r="C1268" s="14" t="s">
        <v>691</v>
      </c>
      <c r="D1268" s="13" t="s">
        <v>692</v>
      </c>
      <c r="E1268" s="14" t="s">
        <v>63</v>
      </c>
      <c r="F1268" s="13" t="s">
        <v>19</v>
      </c>
      <c r="G1268" s="14" t="s">
        <v>20</v>
      </c>
      <c r="H1268" s="14"/>
      <c r="I1268" s="14">
        <v>201408</v>
      </c>
      <c r="J1268" s="41">
        <v>78.55</v>
      </c>
      <c r="K1268" s="21">
        <f t="shared" si="119"/>
        <v>42675</v>
      </c>
      <c r="L1268" s="16">
        <f t="shared" si="120"/>
        <v>6</v>
      </c>
      <c r="M1268" s="17">
        <v>1.4833299999999999E-3</v>
      </c>
      <c r="N1268" s="18">
        <f t="shared" si="115"/>
        <v>0.69909342899999993</v>
      </c>
      <c r="O1268" s="15"/>
      <c r="P1268" s="20">
        <f t="shared" si="116"/>
        <v>0</v>
      </c>
      <c r="Q1268" s="15"/>
      <c r="R1268" s="20">
        <f t="shared" si="117"/>
        <v>0</v>
      </c>
      <c r="S1268" s="130"/>
      <c r="T1268" s="20">
        <f t="shared" si="118"/>
        <v>1.1119243437499999</v>
      </c>
    </row>
    <row r="1269" spans="1:20">
      <c r="A1269" s="23" t="s">
        <v>21</v>
      </c>
      <c r="B1269" s="14" t="s">
        <v>888</v>
      </c>
      <c r="C1269" s="14" t="s">
        <v>889</v>
      </c>
      <c r="D1269" s="13" t="s">
        <v>890</v>
      </c>
      <c r="E1269" s="14" t="s">
        <v>280</v>
      </c>
      <c r="F1269" s="13" t="s">
        <v>26</v>
      </c>
      <c r="G1269" s="14" t="s">
        <v>20</v>
      </c>
      <c r="H1269" s="14"/>
      <c r="I1269" s="14">
        <v>201408</v>
      </c>
      <c r="J1269" s="41">
        <v>7650.16</v>
      </c>
      <c r="K1269" s="21">
        <f t="shared" si="119"/>
        <v>42675</v>
      </c>
      <c r="L1269" s="16">
        <f t="shared" si="120"/>
        <v>6</v>
      </c>
      <c r="M1269" s="17">
        <v>1.4833299999999999E-3</v>
      </c>
      <c r="N1269" s="18">
        <f t="shared" si="115"/>
        <v>68.086270996799996</v>
      </c>
      <c r="O1269" s="15"/>
      <c r="P1269" s="20">
        <f t="shared" si="116"/>
        <v>0</v>
      </c>
      <c r="Q1269" s="15"/>
      <c r="R1269" s="20">
        <f t="shared" si="117"/>
        <v>0</v>
      </c>
      <c r="S1269" s="130"/>
      <c r="T1269" s="20">
        <f t="shared" si="118"/>
        <v>108.29279615</v>
      </c>
    </row>
    <row r="1270" spans="1:20">
      <c r="A1270" s="23" t="s">
        <v>21</v>
      </c>
      <c r="B1270" s="14" t="s">
        <v>782</v>
      </c>
      <c r="C1270" s="14" t="s">
        <v>783</v>
      </c>
      <c r="D1270" s="13" t="s">
        <v>784</v>
      </c>
      <c r="E1270" s="14" t="s">
        <v>18</v>
      </c>
      <c r="F1270" s="13" t="s">
        <v>19</v>
      </c>
      <c r="G1270" s="14" t="s">
        <v>20</v>
      </c>
      <c r="H1270" s="14"/>
      <c r="I1270" s="14">
        <v>201408</v>
      </c>
      <c r="J1270" s="41">
        <v>-146.27000000000001</v>
      </c>
      <c r="K1270" s="21">
        <f t="shared" si="119"/>
        <v>42675</v>
      </c>
      <c r="L1270" s="16">
        <f t="shared" si="120"/>
        <v>6</v>
      </c>
      <c r="M1270" s="17">
        <v>1.4833299999999999E-3</v>
      </c>
      <c r="N1270" s="18">
        <f t="shared" si="115"/>
        <v>-1.3018000746</v>
      </c>
      <c r="O1270" s="15"/>
      <c r="P1270" s="20">
        <f t="shared" si="116"/>
        <v>0</v>
      </c>
      <c r="Q1270" s="15"/>
      <c r="R1270" s="20">
        <f t="shared" si="117"/>
        <v>0</v>
      </c>
      <c r="S1270" s="130"/>
      <c r="T1270" s="20">
        <f t="shared" si="118"/>
        <v>-2.0705432687499998</v>
      </c>
    </row>
    <row r="1271" spans="1:20">
      <c r="A1271" s="23" t="s">
        <v>21</v>
      </c>
      <c r="B1271" s="14" t="s">
        <v>800</v>
      </c>
      <c r="C1271" s="14" t="s">
        <v>801</v>
      </c>
      <c r="D1271" s="13" t="s">
        <v>802</v>
      </c>
      <c r="E1271" s="14" t="s">
        <v>260</v>
      </c>
      <c r="F1271" s="13" t="s">
        <v>26</v>
      </c>
      <c r="G1271" s="14" t="s">
        <v>20</v>
      </c>
      <c r="H1271" s="14"/>
      <c r="I1271" s="14">
        <v>201408</v>
      </c>
      <c r="J1271" s="41">
        <v>-6.72</v>
      </c>
      <c r="K1271" s="21">
        <f t="shared" si="119"/>
        <v>42675</v>
      </c>
      <c r="L1271" s="16">
        <f t="shared" si="120"/>
        <v>6</v>
      </c>
      <c r="M1271" s="17">
        <v>1.4833299999999999E-3</v>
      </c>
      <c r="N1271" s="18">
        <f t="shared" si="115"/>
        <v>-5.9807865599999996E-2</v>
      </c>
      <c r="O1271" s="15"/>
      <c r="P1271" s="20">
        <f t="shared" si="116"/>
        <v>0</v>
      </c>
      <c r="Q1271" s="15"/>
      <c r="R1271" s="20">
        <f t="shared" si="117"/>
        <v>0</v>
      </c>
      <c r="S1271" s="130"/>
      <c r="T1271" s="20">
        <f t="shared" si="118"/>
        <v>-9.5125799999999996E-2</v>
      </c>
    </row>
    <row r="1272" spans="1:20">
      <c r="A1272" s="23" t="s">
        <v>21</v>
      </c>
      <c r="B1272" s="14" t="s">
        <v>803</v>
      </c>
      <c r="C1272" s="14" t="s">
        <v>804</v>
      </c>
      <c r="D1272" s="13" t="s">
        <v>805</v>
      </c>
      <c r="E1272" s="14" t="s">
        <v>25</v>
      </c>
      <c r="F1272" s="13" t="s">
        <v>26</v>
      </c>
      <c r="G1272" s="14" t="s">
        <v>20</v>
      </c>
      <c r="H1272" s="14"/>
      <c r="I1272" s="14">
        <v>201408</v>
      </c>
      <c r="J1272" s="41">
        <v>-3712.91</v>
      </c>
      <c r="K1272" s="21">
        <f t="shared" si="119"/>
        <v>42675</v>
      </c>
      <c r="L1272" s="16">
        <f t="shared" si="120"/>
        <v>6</v>
      </c>
      <c r="M1272" s="17">
        <v>1.4833299999999999E-3</v>
      </c>
      <c r="N1272" s="18">
        <f t="shared" si="115"/>
        <v>-33.044824741799999</v>
      </c>
      <c r="O1272" s="15"/>
      <c r="P1272" s="20">
        <f t="shared" si="116"/>
        <v>0</v>
      </c>
      <c r="Q1272" s="15"/>
      <c r="R1272" s="20">
        <f t="shared" si="117"/>
        <v>0</v>
      </c>
      <c r="S1272" s="130"/>
      <c r="T1272" s="20">
        <f t="shared" si="118"/>
        <v>-52.558561618749998</v>
      </c>
    </row>
    <row r="1273" spans="1:20">
      <c r="A1273" s="23" t="s">
        <v>21</v>
      </c>
      <c r="B1273" s="14" t="s">
        <v>828</v>
      </c>
      <c r="C1273" s="14" t="s">
        <v>829</v>
      </c>
      <c r="D1273" s="13" t="s">
        <v>830</v>
      </c>
      <c r="E1273" s="14" t="s">
        <v>360</v>
      </c>
      <c r="F1273" s="13" t="s">
        <v>19</v>
      </c>
      <c r="G1273" s="14" t="s">
        <v>20</v>
      </c>
      <c r="H1273" s="14"/>
      <c r="I1273" s="14">
        <v>201408</v>
      </c>
      <c r="J1273" s="41">
        <v>-178.22</v>
      </c>
      <c r="K1273" s="21">
        <f t="shared" si="119"/>
        <v>42675</v>
      </c>
      <c r="L1273" s="16">
        <f t="shared" si="120"/>
        <v>6</v>
      </c>
      <c r="M1273" s="17">
        <v>1.4833299999999999E-3</v>
      </c>
      <c r="N1273" s="18">
        <f t="shared" si="115"/>
        <v>-1.5861544355999999</v>
      </c>
      <c r="O1273" s="15"/>
      <c r="P1273" s="20">
        <f t="shared" si="116"/>
        <v>0</v>
      </c>
      <c r="Q1273" s="15"/>
      <c r="R1273" s="20">
        <f t="shared" si="117"/>
        <v>0</v>
      </c>
      <c r="S1273" s="130"/>
      <c r="T1273" s="20">
        <f t="shared" si="118"/>
        <v>-2.5228154875</v>
      </c>
    </row>
    <row r="1274" spans="1:20">
      <c r="A1274" s="23" t="s">
        <v>21</v>
      </c>
      <c r="B1274" s="14" t="s">
        <v>891</v>
      </c>
      <c r="C1274" s="14" t="s">
        <v>892</v>
      </c>
      <c r="D1274" s="13" t="s">
        <v>893</v>
      </c>
      <c r="E1274" s="14" t="s">
        <v>360</v>
      </c>
      <c r="F1274" s="13" t="s">
        <v>19</v>
      </c>
      <c r="G1274" s="14" t="s">
        <v>20</v>
      </c>
      <c r="H1274" s="14"/>
      <c r="I1274" s="14">
        <v>201408</v>
      </c>
      <c r="J1274" s="41">
        <v>3527.99</v>
      </c>
      <c r="K1274" s="21">
        <f t="shared" si="119"/>
        <v>42675</v>
      </c>
      <c r="L1274" s="16">
        <f t="shared" si="120"/>
        <v>6</v>
      </c>
      <c r="M1274" s="17">
        <v>1.4833299999999999E-3</v>
      </c>
      <c r="N1274" s="18">
        <f t="shared" si="115"/>
        <v>31.399040440199997</v>
      </c>
      <c r="O1274" s="15"/>
      <c r="P1274" s="20">
        <f t="shared" si="116"/>
        <v>0</v>
      </c>
      <c r="Q1274" s="15"/>
      <c r="R1274" s="20">
        <f t="shared" si="117"/>
        <v>0</v>
      </c>
      <c r="S1274" s="130"/>
      <c r="T1274" s="20">
        <f t="shared" si="118"/>
        <v>49.940903443749995</v>
      </c>
    </row>
    <row r="1275" spans="1:20">
      <c r="A1275" s="23" t="s">
        <v>21</v>
      </c>
      <c r="B1275" s="14" t="s">
        <v>894</v>
      </c>
      <c r="C1275" s="14" t="s">
        <v>895</v>
      </c>
      <c r="D1275" s="13" t="s">
        <v>896</v>
      </c>
      <c r="E1275" s="14" t="s">
        <v>280</v>
      </c>
      <c r="F1275" s="13" t="s">
        <v>26</v>
      </c>
      <c r="G1275" s="14" t="s">
        <v>20</v>
      </c>
      <c r="H1275" s="14"/>
      <c r="I1275" s="14">
        <v>201408</v>
      </c>
      <c r="J1275" s="41">
        <v>4721.45</v>
      </c>
      <c r="K1275" s="21">
        <f t="shared" si="119"/>
        <v>42675</v>
      </c>
      <c r="L1275" s="16">
        <f t="shared" si="120"/>
        <v>6</v>
      </c>
      <c r="M1275" s="17">
        <v>1.4833299999999999E-3</v>
      </c>
      <c r="N1275" s="18">
        <f t="shared" si="115"/>
        <v>42.020810570999998</v>
      </c>
      <c r="O1275" s="15"/>
      <c r="P1275" s="20">
        <f t="shared" si="116"/>
        <v>0</v>
      </c>
      <c r="Q1275" s="15"/>
      <c r="R1275" s="20">
        <f t="shared" si="117"/>
        <v>0</v>
      </c>
      <c r="S1275" s="130"/>
      <c r="T1275" s="20">
        <f t="shared" si="118"/>
        <v>66.835075656249998</v>
      </c>
    </row>
    <row r="1276" spans="1:20">
      <c r="A1276" s="13" t="s">
        <v>626</v>
      </c>
      <c r="B1276" s="14" t="s">
        <v>730</v>
      </c>
      <c r="C1276" s="14" t="s">
        <v>731</v>
      </c>
      <c r="D1276" s="13" t="s">
        <v>732</v>
      </c>
      <c r="E1276" s="14" t="s">
        <v>75</v>
      </c>
      <c r="F1276" s="13" t="s">
        <v>26</v>
      </c>
      <c r="G1276" s="14" t="s">
        <v>20</v>
      </c>
      <c r="H1276" s="14"/>
      <c r="I1276" s="14">
        <v>201408</v>
      </c>
      <c r="J1276" s="41">
        <v>2499.5</v>
      </c>
      <c r="K1276" s="21">
        <f t="shared" si="119"/>
        <v>42675</v>
      </c>
      <c r="L1276" s="16">
        <f t="shared" si="120"/>
        <v>6</v>
      </c>
      <c r="M1276" s="17">
        <v>1.4833299999999999E-3</v>
      </c>
      <c r="N1276" s="18">
        <f t="shared" si="115"/>
        <v>22.245500010000001</v>
      </c>
      <c r="O1276" s="15"/>
      <c r="P1276" s="20">
        <f t="shared" si="116"/>
        <v>0</v>
      </c>
      <c r="Q1276" s="15"/>
      <c r="R1276" s="20">
        <f t="shared" si="117"/>
        <v>0</v>
      </c>
      <c r="S1276" s="130"/>
      <c r="T1276" s="20">
        <f t="shared" si="118"/>
        <v>35.381984687500001</v>
      </c>
    </row>
    <row r="1277" spans="1:20">
      <c r="A1277" s="13" t="s">
        <v>626</v>
      </c>
      <c r="B1277" s="14" t="s">
        <v>428</v>
      </c>
      <c r="C1277" s="14" t="s">
        <v>429</v>
      </c>
      <c r="D1277" s="13" t="s">
        <v>430</v>
      </c>
      <c r="E1277" s="14" t="s">
        <v>164</v>
      </c>
      <c r="F1277" s="13" t="s">
        <v>165</v>
      </c>
      <c r="G1277" s="14" t="s">
        <v>20</v>
      </c>
      <c r="H1277" s="14"/>
      <c r="I1277" s="14">
        <v>201408</v>
      </c>
      <c r="J1277" s="41">
        <v>-942.88</v>
      </c>
      <c r="K1277" s="21">
        <f t="shared" si="119"/>
        <v>42675</v>
      </c>
      <c r="L1277" s="16">
        <f t="shared" si="120"/>
        <v>6</v>
      </c>
      <c r="M1277" s="17">
        <v>1.4833299999999999E-3</v>
      </c>
      <c r="N1277" s="18">
        <f t="shared" si="115"/>
        <v>-8.3916131424000007</v>
      </c>
      <c r="O1277" s="15"/>
      <c r="P1277" s="20">
        <f t="shared" si="116"/>
        <v>0</v>
      </c>
      <c r="Q1277" s="15"/>
      <c r="R1277" s="20">
        <f t="shared" si="117"/>
        <v>0</v>
      </c>
      <c r="S1277" s="130"/>
      <c r="T1277" s="20">
        <f t="shared" si="118"/>
        <v>-13.347055699999999</v>
      </c>
    </row>
    <row r="1278" spans="1:20">
      <c r="A1278" s="13" t="s">
        <v>626</v>
      </c>
      <c r="B1278" s="14" t="s">
        <v>431</v>
      </c>
      <c r="C1278" s="14" t="s">
        <v>432</v>
      </c>
      <c r="D1278" s="13" t="s">
        <v>433</v>
      </c>
      <c r="E1278" s="14" t="s">
        <v>75</v>
      </c>
      <c r="F1278" s="13" t="s">
        <v>26</v>
      </c>
      <c r="G1278" s="14" t="s">
        <v>20</v>
      </c>
      <c r="H1278" s="14"/>
      <c r="I1278" s="14">
        <v>201408</v>
      </c>
      <c r="J1278" s="41">
        <v>-298.57</v>
      </c>
      <c r="K1278" s="21">
        <f t="shared" si="119"/>
        <v>42675</v>
      </c>
      <c r="L1278" s="16">
        <f t="shared" si="120"/>
        <v>6</v>
      </c>
      <c r="M1278" s="17">
        <v>1.4833299999999999E-3</v>
      </c>
      <c r="N1278" s="18">
        <f t="shared" si="115"/>
        <v>-2.6572670285999997</v>
      </c>
      <c r="O1278" s="15"/>
      <c r="P1278" s="20">
        <f t="shared" si="116"/>
        <v>0</v>
      </c>
      <c r="Q1278" s="15"/>
      <c r="R1278" s="20">
        <f t="shared" si="117"/>
        <v>0</v>
      </c>
      <c r="S1278" s="130"/>
      <c r="T1278" s="20">
        <f t="shared" si="118"/>
        <v>-4.2264449562499991</v>
      </c>
    </row>
    <row r="1279" spans="1:20">
      <c r="A1279" s="13" t="s">
        <v>626</v>
      </c>
      <c r="B1279" s="14" t="s">
        <v>697</v>
      </c>
      <c r="C1279" s="14" t="s">
        <v>698</v>
      </c>
      <c r="D1279" s="13" t="s">
        <v>699</v>
      </c>
      <c r="E1279" s="14" t="s">
        <v>79</v>
      </c>
      <c r="F1279" s="13" t="s">
        <v>26</v>
      </c>
      <c r="G1279" s="14" t="s">
        <v>20</v>
      </c>
      <c r="H1279" s="14"/>
      <c r="I1279" s="14">
        <v>201408</v>
      </c>
      <c r="J1279" s="41">
        <v>-70.010000000000005</v>
      </c>
      <c r="K1279" s="21">
        <f t="shared" si="119"/>
        <v>42675</v>
      </c>
      <c r="L1279" s="16">
        <f t="shared" si="120"/>
        <v>6</v>
      </c>
      <c r="M1279" s="17">
        <v>1.4833299999999999E-3</v>
      </c>
      <c r="N1279" s="18">
        <f t="shared" si="115"/>
        <v>-0.62308759980000006</v>
      </c>
      <c r="O1279" s="15"/>
      <c r="P1279" s="20">
        <f t="shared" si="116"/>
        <v>0</v>
      </c>
      <c r="Q1279" s="15"/>
      <c r="R1279" s="20">
        <f t="shared" si="117"/>
        <v>0</v>
      </c>
      <c r="S1279" s="130"/>
      <c r="T1279" s="20">
        <f t="shared" si="118"/>
        <v>-0.99103530625000003</v>
      </c>
    </row>
    <row r="1280" spans="1:20">
      <c r="A1280" s="13" t="s">
        <v>626</v>
      </c>
      <c r="B1280" s="14" t="s">
        <v>443</v>
      </c>
      <c r="C1280" s="14" t="s">
        <v>444</v>
      </c>
      <c r="D1280" s="13" t="s">
        <v>445</v>
      </c>
      <c r="E1280" s="14" t="s">
        <v>25</v>
      </c>
      <c r="F1280" s="13" t="s">
        <v>26</v>
      </c>
      <c r="G1280" s="14" t="s">
        <v>20</v>
      </c>
      <c r="H1280" s="14"/>
      <c r="I1280" s="14">
        <v>201408</v>
      </c>
      <c r="J1280" s="41">
        <v>13.24</v>
      </c>
      <c r="K1280" s="21">
        <f t="shared" si="119"/>
        <v>42675</v>
      </c>
      <c r="L1280" s="16">
        <f t="shared" si="120"/>
        <v>6</v>
      </c>
      <c r="M1280" s="17">
        <v>1.4833299999999999E-3</v>
      </c>
      <c r="N1280" s="18">
        <f t="shared" si="115"/>
        <v>0.1178357352</v>
      </c>
      <c r="O1280" s="15"/>
      <c r="P1280" s="20">
        <f t="shared" si="116"/>
        <v>0</v>
      </c>
      <c r="Q1280" s="15"/>
      <c r="R1280" s="20">
        <f t="shared" si="117"/>
        <v>0</v>
      </c>
      <c r="S1280" s="130"/>
      <c r="T1280" s="20">
        <f t="shared" si="118"/>
        <v>0.18742047499999998</v>
      </c>
    </row>
    <row r="1281" spans="1:20">
      <c r="A1281" s="13" t="s">
        <v>626</v>
      </c>
      <c r="B1281" s="14" t="s">
        <v>580</v>
      </c>
      <c r="C1281" s="14" t="s">
        <v>581</v>
      </c>
      <c r="D1281" s="13" t="s">
        <v>582</v>
      </c>
      <c r="E1281" s="14" t="s">
        <v>79</v>
      </c>
      <c r="F1281" s="13" t="s">
        <v>26</v>
      </c>
      <c r="G1281" s="14" t="s">
        <v>20</v>
      </c>
      <c r="H1281" s="14"/>
      <c r="I1281" s="14">
        <v>201408</v>
      </c>
      <c r="J1281" s="41">
        <v>-11.3</v>
      </c>
      <c r="K1281" s="21">
        <f t="shared" si="119"/>
        <v>42675</v>
      </c>
      <c r="L1281" s="16">
        <f t="shared" si="120"/>
        <v>6</v>
      </c>
      <c r="M1281" s="17">
        <v>1.4833299999999999E-3</v>
      </c>
      <c r="N1281" s="18">
        <f t="shared" si="115"/>
        <v>-0.100569774</v>
      </c>
      <c r="O1281" s="15"/>
      <c r="P1281" s="20">
        <f t="shared" si="116"/>
        <v>0</v>
      </c>
      <c r="Q1281" s="15"/>
      <c r="R1281" s="20">
        <f t="shared" si="117"/>
        <v>0</v>
      </c>
      <c r="S1281" s="130"/>
      <c r="T1281" s="20">
        <f t="shared" si="118"/>
        <v>-0.15995856249999998</v>
      </c>
    </row>
    <row r="1282" spans="1:20">
      <c r="A1282" s="13" t="s">
        <v>626</v>
      </c>
      <c r="B1282" s="14" t="s">
        <v>453</v>
      </c>
      <c r="C1282" s="14" t="s">
        <v>454</v>
      </c>
      <c r="D1282" s="13" t="s">
        <v>455</v>
      </c>
      <c r="E1282" s="14" t="s">
        <v>75</v>
      </c>
      <c r="F1282" s="13" t="s">
        <v>26</v>
      </c>
      <c r="G1282" s="14" t="s">
        <v>20</v>
      </c>
      <c r="H1282" s="14"/>
      <c r="I1282" s="14">
        <v>201408</v>
      </c>
      <c r="J1282" s="41">
        <v>-108.6</v>
      </c>
      <c r="K1282" s="21">
        <f t="shared" si="119"/>
        <v>42675</v>
      </c>
      <c r="L1282" s="16">
        <f t="shared" si="120"/>
        <v>6</v>
      </c>
      <c r="M1282" s="17">
        <v>1.4833299999999999E-3</v>
      </c>
      <c r="N1282" s="18">
        <f t="shared" si="115"/>
        <v>-0.96653782799999999</v>
      </c>
      <c r="O1282" s="15"/>
      <c r="P1282" s="20">
        <f t="shared" si="116"/>
        <v>0</v>
      </c>
      <c r="Q1282" s="15"/>
      <c r="R1282" s="20">
        <f t="shared" si="117"/>
        <v>0</v>
      </c>
      <c r="S1282" s="130"/>
      <c r="T1282" s="20">
        <f t="shared" si="118"/>
        <v>-1.5373008749999997</v>
      </c>
    </row>
    <row r="1283" spans="1:20">
      <c r="A1283" s="13" t="s">
        <v>626</v>
      </c>
      <c r="B1283" s="14" t="s">
        <v>456</v>
      </c>
      <c r="C1283" s="14" t="s">
        <v>457</v>
      </c>
      <c r="D1283" s="13" t="s">
        <v>458</v>
      </c>
      <c r="E1283" s="14" t="s">
        <v>164</v>
      </c>
      <c r="F1283" s="13" t="s">
        <v>165</v>
      </c>
      <c r="G1283" s="14" t="s">
        <v>20</v>
      </c>
      <c r="H1283" s="14"/>
      <c r="I1283" s="14">
        <v>201408</v>
      </c>
      <c r="J1283" s="41">
        <v>537.80999999999995</v>
      </c>
      <c r="K1283" s="21">
        <f t="shared" si="119"/>
        <v>42675</v>
      </c>
      <c r="L1283" s="16">
        <f t="shared" si="120"/>
        <v>6</v>
      </c>
      <c r="M1283" s="17">
        <v>1.4833299999999999E-3</v>
      </c>
      <c r="N1283" s="18">
        <f t="shared" si="115"/>
        <v>4.7864982437999997</v>
      </c>
      <c r="O1283" s="15"/>
      <c r="P1283" s="20">
        <f t="shared" si="116"/>
        <v>0</v>
      </c>
      <c r="Q1283" s="15"/>
      <c r="R1283" s="20">
        <f t="shared" si="117"/>
        <v>0</v>
      </c>
      <c r="S1283" s="130"/>
      <c r="T1283" s="20">
        <f t="shared" si="118"/>
        <v>7.6130366812499979</v>
      </c>
    </row>
    <row r="1284" spans="1:20">
      <c r="A1284" s="13" t="s">
        <v>626</v>
      </c>
      <c r="B1284" s="14" t="s">
        <v>700</v>
      </c>
      <c r="C1284" s="14" t="s">
        <v>701</v>
      </c>
      <c r="D1284" s="13" t="s">
        <v>702</v>
      </c>
      <c r="E1284" s="14" t="s">
        <v>25</v>
      </c>
      <c r="F1284" s="13" t="s">
        <v>26</v>
      </c>
      <c r="G1284" s="14" t="s">
        <v>20</v>
      </c>
      <c r="H1284" s="14"/>
      <c r="I1284" s="14">
        <v>201408</v>
      </c>
      <c r="J1284" s="41">
        <v>-473.17</v>
      </c>
      <c r="K1284" s="21">
        <f t="shared" si="119"/>
        <v>42675</v>
      </c>
      <c r="L1284" s="16">
        <f t="shared" si="120"/>
        <v>6</v>
      </c>
      <c r="M1284" s="17">
        <v>1.4833299999999999E-3</v>
      </c>
      <c r="N1284" s="18">
        <f t="shared" si="115"/>
        <v>-4.2112035366000002</v>
      </c>
      <c r="O1284" s="15"/>
      <c r="P1284" s="20">
        <f t="shared" si="116"/>
        <v>0</v>
      </c>
      <c r="Q1284" s="15"/>
      <c r="R1284" s="20">
        <f t="shared" si="117"/>
        <v>0</v>
      </c>
      <c r="S1284" s="130"/>
      <c r="T1284" s="20">
        <f t="shared" si="118"/>
        <v>-6.6980170812499997</v>
      </c>
    </row>
    <row r="1285" spans="1:20">
      <c r="A1285" s="13" t="s">
        <v>626</v>
      </c>
      <c r="B1285" s="14" t="s">
        <v>747</v>
      </c>
      <c r="C1285" s="14" t="s">
        <v>748</v>
      </c>
      <c r="D1285" s="13" t="s">
        <v>749</v>
      </c>
      <c r="E1285" s="14" t="s">
        <v>497</v>
      </c>
      <c r="F1285" s="13" t="s">
        <v>26</v>
      </c>
      <c r="G1285" s="14" t="s">
        <v>20</v>
      </c>
      <c r="H1285" s="14"/>
      <c r="I1285" s="14">
        <v>201408</v>
      </c>
      <c r="J1285" s="41">
        <v>-104.98</v>
      </c>
      <c r="K1285" s="21">
        <f t="shared" si="119"/>
        <v>42675</v>
      </c>
      <c r="L1285" s="16">
        <f t="shared" si="120"/>
        <v>6</v>
      </c>
      <c r="M1285" s="17">
        <v>1.4833299999999999E-3</v>
      </c>
      <c r="N1285" s="18">
        <f t="shared" si="115"/>
        <v>-0.93431990040000001</v>
      </c>
      <c r="O1285" s="15"/>
      <c r="P1285" s="20">
        <f t="shared" si="116"/>
        <v>0</v>
      </c>
      <c r="Q1285" s="15"/>
      <c r="R1285" s="20">
        <f t="shared" si="117"/>
        <v>0</v>
      </c>
      <c r="S1285" s="130"/>
      <c r="T1285" s="20">
        <f t="shared" si="118"/>
        <v>-1.4860575125</v>
      </c>
    </row>
    <row r="1286" spans="1:20">
      <c r="A1286" s="13" t="s">
        <v>626</v>
      </c>
      <c r="B1286" s="14" t="s">
        <v>750</v>
      </c>
      <c r="C1286" s="14" t="s">
        <v>751</v>
      </c>
      <c r="D1286" s="13" t="s">
        <v>752</v>
      </c>
      <c r="E1286" s="14" t="s">
        <v>164</v>
      </c>
      <c r="F1286" s="13" t="s">
        <v>165</v>
      </c>
      <c r="G1286" s="14" t="s">
        <v>20</v>
      </c>
      <c r="H1286" s="14"/>
      <c r="I1286" s="14">
        <v>201408</v>
      </c>
      <c r="J1286" s="41">
        <v>20303.78</v>
      </c>
      <c r="K1286" s="21">
        <f t="shared" si="119"/>
        <v>42675</v>
      </c>
      <c r="L1286" s="16">
        <f t="shared" si="120"/>
        <v>6</v>
      </c>
      <c r="M1286" s="17">
        <v>1.4833299999999999E-3</v>
      </c>
      <c r="N1286" s="18">
        <f t="shared" ref="N1286:N1349" si="121">M1286*L1286*J1286</f>
        <v>180.70323592439999</v>
      </c>
      <c r="O1286" s="15"/>
      <c r="P1286" s="20">
        <f t="shared" ref="P1286:P1349" si="122">$P$4*(J1286*0.5)*$V$10</f>
        <v>0</v>
      </c>
      <c r="Q1286" s="15"/>
      <c r="R1286" s="20">
        <f t="shared" ref="R1286:R1349" si="123">$R$4*(J1286*0.5)*$V$9</f>
        <v>0</v>
      </c>
      <c r="S1286" s="130"/>
      <c r="T1286" s="20">
        <f t="shared" ref="T1286:T1349" si="124">$T$4*(J1286*0.5)*$V$11</f>
        <v>287.41269576249999</v>
      </c>
    </row>
    <row r="1287" spans="1:20">
      <c r="A1287" s="13" t="s">
        <v>626</v>
      </c>
      <c r="B1287" s="14" t="s">
        <v>607</v>
      </c>
      <c r="C1287" s="14" t="s">
        <v>608</v>
      </c>
      <c r="D1287" s="13" t="s">
        <v>609</v>
      </c>
      <c r="E1287" s="14" t="s">
        <v>75</v>
      </c>
      <c r="F1287" s="13" t="s">
        <v>26</v>
      </c>
      <c r="G1287" s="14" t="s">
        <v>20</v>
      </c>
      <c r="H1287" s="14"/>
      <c r="I1287" s="14">
        <v>201408</v>
      </c>
      <c r="J1287" s="41">
        <v>35211.61</v>
      </c>
      <c r="K1287" s="21">
        <f t="shared" ref="K1287:K1350" si="125">+K1286</f>
        <v>42675</v>
      </c>
      <c r="L1287" s="16">
        <f t="shared" si="120"/>
        <v>6</v>
      </c>
      <c r="M1287" s="17">
        <v>1.4833299999999999E-3</v>
      </c>
      <c r="N1287" s="18">
        <f t="shared" si="121"/>
        <v>313.3826247678</v>
      </c>
      <c r="O1287" s="15"/>
      <c r="P1287" s="20">
        <f t="shared" si="122"/>
        <v>0</v>
      </c>
      <c r="Q1287" s="15"/>
      <c r="R1287" s="20">
        <f t="shared" si="123"/>
        <v>0</v>
      </c>
      <c r="S1287" s="130"/>
      <c r="T1287" s="20">
        <f t="shared" si="124"/>
        <v>498.44234680624999</v>
      </c>
    </row>
    <row r="1288" spans="1:20">
      <c r="A1288" s="13" t="s">
        <v>626</v>
      </c>
      <c r="B1288" s="14" t="s">
        <v>465</v>
      </c>
      <c r="C1288" s="14" t="s">
        <v>466</v>
      </c>
      <c r="D1288" s="13" t="s">
        <v>467</v>
      </c>
      <c r="E1288" s="14" t="s">
        <v>75</v>
      </c>
      <c r="F1288" s="13" t="s">
        <v>26</v>
      </c>
      <c r="G1288" s="14" t="s">
        <v>20</v>
      </c>
      <c r="H1288" s="14"/>
      <c r="I1288" s="14">
        <v>201408</v>
      </c>
      <c r="J1288" s="41">
        <v>-339.64</v>
      </c>
      <c r="K1288" s="21">
        <f t="shared" si="125"/>
        <v>42675</v>
      </c>
      <c r="L1288" s="16">
        <f t="shared" si="120"/>
        <v>6</v>
      </c>
      <c r="M1288" s="17">
        <v>1.4833299999999999E-3</v>
      </c>
      <c r="N1288" s="18">
        <f t="shared" si="121"/>
        <v>-3.0227892071999998</v>
      </c>
      <c r="O1288" s="15"/>
      <c r="P1288" s="20">
        <f t="shared" si="122"/>
        <v>0</v>
      </c>
      <c r="Q1288" s="15"/>
      <c r="R1288" s="20">
        <f t="shared" si="123"/>
        <v>0</v>
      </c>
      <c r="S1288" s="130"/>
      <c r="T1288" s="20">
        <f t="shared" si="124"/>
        <v>-4.8078164750000001</v>
      </c>
    </row>
    <row r="1289" spans="1:20">
      <c r="A1289" s="13" t="s">
        <v>626</v>
      </c>
      <c r="B1289" s="14" t="s">
        <v>468</v>
      </c>
      <c r="C1289" s="14" t="s">
        <v>469</v>
      </c>
      <c r="D1289" s="13" t="s">
        <v>470</v>
      </c>
      <c r="E1289" s="14" t="s">
        <v>471</v>
      </c>
      <c r="F1289" s="13" t="s">
        <v>165</v>
      </c>
      <c r="G1289" s="14" t="s">
        <v>20</v>
      </c>
      <c r="H1289" s="14"/>
      <c r="I1289" s="14">
        <v>201408</v>
      </c>
      <c r="J1289" s="41">
        <v>-413.16</v>
      </c>
      <c r="K1289" s="21">
        <f t="shared" si="125"/>
        <v>42675</v>
      </c>
      <c r="L1289" s="16">
        <f t="shared" si="120"/>
        <v>6</v>
      </c>
      <c r="M1289" s="17">
        <v>1.4833299999999999E-3</v>
      </c>
      <c r="N1289" s="18">
        <f t="shared" si="121"/>
        <v>-3.6771157368000003</v>
      </c>
      <c r="O1289" s="15"/>
      <c r="P1289" s="20">
        <f t="shared" si="122"/>
        <v>0</v>
      </c>
      <c r="Q1289" s="15"/>
      <c r="R1289" s="20">
        <f t="shared" si="123"/>
        <v>0</v>
      </c>
      <c r="S1289" s="130"/>
      <c r="T1289" s="20">
        <f t="shared" si="124"/>
        <v>-5.8485380249999999</v>
      </c>
    </row>
    <row r="1290" spans="1:20">
      <c r="A1290" s="13" t="s">
        <v>626</v>
      </c>
      <c r="B1290" s="14" t="s">
        <v>813</v>
      </c>
      <c r="C1290" s="14" t="s">
        <v>814</v>
      </c>
      <c r="D1290" s="13" t="s">
        <v>815</v>
      </c>
      <c r="E1290" s="14" t="s">
        <v>164</v>
      </c>
      <c r="F1290" s="13" t="s">
        <v>165</v>
      </c>
      <c r="G1290" s="14" t="s">
        <v>20</v>
      </c>
      <c r="H1290" s="14"/>
      <c r="I1290" s="14">
        <v>201408</v>
      </c>
      <c r="J1290" s="41">
        <v>1829.43</v>
      </c>
      <c r="K1290" s="21">
        <f t="shared" si="125"/>
        <v>42675</v>
      </c>
      <c r="L1290" s="16">
        <f t="shared" si="120"/>
        <v>6</v>
      </c>
      <c r="M1290" s="17">
        <v>1.4833299999999999E-3</v>
      </c>
      <c r="N1290" s="18">
        <f t="shared" si="121"/>
        <v>16.281890411399999</v>
      </c>
      <c r="O1290" s="15"/>
      <c r="P1290" s="20">
        <f t="shared" si="122"/>
        <v>0</v>
      </c>
      <c r="Q1290" s="15"/>
      <c r="R1290" s="20">
        <f t="shared" si="123"/>
        <v>0</v>
      </c>
      <c r="S1290" s="130"/>
      <c r="T1290" s="20">
        <f t="shared" si="124"/>
        <v>25.896725043749999</v>
      </c>
    </row>
    <row r="1291" spans="1:20">
      <c r="A1291" s="13" t="s">
        <v>626</v>
      </c>
      <c r="B1291" s="14" t="s">
        <v>627</v>
      </c>
      <c r="C1291" s="14" t="s">
        <v>628</v>
      </c>
      <c r="D1291" s="13" t="s">
        <v>629</v>
      </c>
      <c r="E1291" s="14" t="s">
        <v>79</v>
      </c>
      <c r="F1291" s="13" t="s">
        <v>26</v>
      </c>
      <c r="G1291" s="14" t="s">
        <v>20</v>
      </c>
      <c r="H1291" s="14"/>
      <c r="I1291" s="14">
        <v>201408</v>
      </c>
      <c r="J1291" s="41">
        <v>2240.23</v>
      </c>
      <c r="K1291" s="21">
        <f t="shared" si="125"/>
        <v>42675</v>
      </c>
      <c r="L1291" s="16">
        <f t="shared" si="120"/>
        <v>6</v>
      </c>
      <c r="M1291" s="17">
        <v>1.4833299999999999E-3</v>
      </c>
      <c r="N1291" s="18">
        <f t="shared" si="121"/>
        <v>19.938002195399999</v>
      </c>
      <c r="O1291" s="15"/>
      <c r="P1291" s="20">
        <f t="shared" si="122"/>
        <v>0</v>
      </c>
      <c r="Q1291" s="15"/>
      <c r="R1291" s="20">
        <f t="shared" si="123"/>
        <v>0</v>
      </c>
      <c r="S1291" s="130"/>
      <c r="T1291" s="20">
        <f t="shared" si="124"/>
        <v>31.711855793749997</v>
      </c>
    </row>
    <row r="1292" spans="1:20">
      <c r="A1292" s="13" t="s">
        <v>626</v>
      </c>
      <c r="B1292" s="14" t="s">
        <v>761</v>
      </c>
      <c r="C1292" s="14" t="s">
        <v>762</v>
      </c>
      <c r="D1292" s="13" t="s">
        <v>763</v>
      </c>
      <c r="E1292" s="14" t="s">
        <v>497</v>
      </c>
      <c r="F1292" s="13" t="s">
        <v>26</v>
      </c>
      <c r="G1292" s="14" t="s">
        <v>20</v>
      </c>
      <c r="H1292" s="14"/>
      <c r="I1292" s="14">
        <v>201408</v>
      </c>
      <c r="J1292" s="41">
        <v>-188.51</v>
      </c>
      <c r="K1292" s="21">
        <f t="shared" si="125"/>
        <v>42675</v>
      </c>
      <c r="L1292" s="16">
        <f t="shared" si="120"/>
        <v>6</v>
      </c>
      <c r="M1292" s="17">
        <v>1.4833299999999999E-3</v>
      </c>
      <c r="N1292" s="18">
        <f t="shared" si="121"/>
        <v>-1.6777352297999999</v>
      </c>
      <c r="O1292" s="15"/>
      <c r="P1292" s="20">
        <f t="shared" si="122"/>
        <v>0</v>
      </c>
      <c r="Q1292" s="15"/>
      <c r="R1292" s="20">
        <f t="shared" si="123"/>
        <v>0</v>
      </c>
      <c r="S1292" s="130"/>
      <c r="T1292" s="20">
        <f t="shared" si="124"/>
        <v>-2.6684768687499996</v>
      </c>
    </row>
    <row r="1293" spans="1:20">
      <c r="A1293" s="13" t="s">
        <v>626</v>
      </c>
      <c r="B1293" s="14" t="s">
        <v>810</v>
      </c>
      <c r="C1293" s="14" t="s">
        <v>811</v>
      </c>
      <c r="D1293" s="13" t="s">
        <v>812</v>
      </c>
      <c r="E1293" s="14" t="s">
        <v>471</v>
      </c>
      <c r="F1293" s="13" t="s">
        <v>165</v>
      </c>
      <c r="G1293" s="14" t="s">
        <v>20</v>
      </c>
      <c r="H1293" s="14"/>
      <c r="I1293" s="14">
        <v>201408</v>
      </c>
      <c r="J1293" s="41">
        <v>4067.41</v>
      </c>
      <c r="K1293" s="21">
        <f t="shared" si="125"/>
        <v>42675</v>
      </c>
      <c r="L1293" s="16">
        <f t="shared" ref="L1293:L1356" si="126">((YEAR($L$1)-YEAR(K1293))*12+MONTH($L$1)-MONTH(K1293))</f>
        <v>6</v>
      </c>
      <c r="M1293" s="17">
        <v>1.4833299999999999E-3</v>
      </c>
      <c r="N1293" s="18">
        <f t="shared" si="121"/>
        <v>36.199867651799998</v>
      </c>
      <c r="O1293" s="15"/>
      <c r="P1293" s="20">
        <f t="shared" si="122"/>
        <v>0</v>
      </c>
      <c r="Q1293" s="15"/>
      <c r="R1293" s="20">
        <f t="shared" si="123"/>
        <v>0</v>
      </c>
      <c r="S1293" s="130"/>
      <c r="T1293" s="20">
        <f t="shared" si="124"/>
        <v>57.576730681249991</v>
      </c>
    </row>
    <row r="1294" spans="1:20">
      <c r="A1294" s="13" t="s">
        <v>626</v>
      </c>
      <c r="B1294" s="14" t="s">
        <v>498</v>
      </c>
      <c r="C1294" s="14" t="s">
        <v>499</v>
      </c>
      <c r="D1294" s="13" t="s">
        <v>500</v>
      </c>
      <c r="E1294" s="14" t="s">
        <v>75</v>
      </c>
      <c r="F1294" s="13" t="s">
        <v>26</v>
      </c>
      <c r="G1294" s="14" t="s">
        <v>20</v>
      </c>
      <c r="H1294" s="14"/>
      <c r="I1294" s="14">
        <v>201408</v>
      </c>
      <c r="J1294" s="41">
        <v>720.87</v>
      </c>
      <c r="K1294" s="21">
        <f t="shared" si="125"/>
        <v>42675</v>
      </c>
      <c r="L1294" s="16">
        <f t="shared" si="126"/>
        <v>6</v>
      </c>
      <c r="M1294" s="17">
        <v>1.4833299999999999E-3</v>
      </c>
      <c r="N1294" s="18">
        <f t="shared" si="121"/>
        <v>6.4157285825999999</v>
      </c>
      <c r="O1294" s="15"/>
      <c r="P1294" s="20">
        <f t="shared" si="122"/>
        <v>0</v>
      </c>
      <c r="Q1294" s="15"/>
      <c r="R1294" s="20">
        <f t="shared" si="123"/>
        <v>0</v>
      </c>
      <c r="S1294" s="130"/>
      <c r="T1294" s="20">
        <f t="shared" si="124"/>
        <v>10.204365393749999</v>
      </c>
    </row>
    <row r="1295" spans="1:20">
      <c r="A1295" s="13" t="s">
        <v>626</v>
      </c>
      <c r="B1295" s="14" t="s">
        <v>767</v>
      </c>
      <c r="C1295" s="14" t="s">
        <v>768</v>
      </c>
      <c r="D1295" s="13" t="s">
        <v>769</v>
      </c>
      <c r="E1295" s="14" t="s">
        <v>18</v>
      </c>
      <c r="F1295" s="13" t="s">
        <v>19</v>
      </c>
      <c r="G1295" s="14" t="s">
        <v>20</v>
      </c>
      <c r="H1295" s="14"/>
      <c r="I1295" s="14">
        <v>201408</v>
      </c>
      <c r="J1295" s="41">
        <v>-331.63</v>
      </c>
      <c r="K1295" s="21">
        <f t="shared" si="125"/>
        <v>42675</v>
      </c>
      <c r="L1295" s="16">
        <f t="shared" si="126"/>
        <v>6</v>
      </c>
      <c r="M1295" s="17">
        <v>1.4833299999999999E-3</v>
      </c>
      <c r="N1295" s="18">
        <f t="shared" si="121"/>
        <v>-2.9515003674</v>
      </c>
      <c r="O1295" s="15"/>
      <c r="P1295" s="20">
        <f t="shared" si="122"/>
        <v>0</v>
      </c>
      <c r="Q1295" s="15"/>
      <c r="R1295" s="20">
        <f t="shared" si="123"/>
        <v>0</v>
      </c>
      <c r="S1295" s="130"/>
      <c r="T1295" s="20">
        <f t="shared" si="124"/>
        <v>-4.69442991875</v>
      </c>
    </row>
    <row r="1296" spans="1:20">
      <c r="A1296" s="23" t="s">
        <v>626</v>
      </c>
      <c r="B1296" s="14" t="s">
        <v>510</v>
      </c>
      <c r="C1296" s="14" t="s">
        <v>511</v>
      </c>
      <c r="D1296" s="13" t="s">
        <v>512</v>
      </c>
      <c r="E1296" s="14" t="s">
        <v>497</v>
      </c>
      <c r="F1296" s="13" t="s">
        <v>26</v>
      </c>
      <c r="G1296" s="14" t="s">
        <v>20</v>
      </c>
      <c r="H1296" s="14"/>
      <c r="I1296" s="14">
        <v>201408</v>
      </c>
      <c r="J1296" s="41">
        <v>5229.29</v>
      </c>
      <c r="K1296" s="21">
        <f t="shared" si="125"/>
        <v>42675</v>
      </c>
      <c r="L1296" s="16">
        <f t="shared" si="126"/>
        <v>6</v>
      </c>
      <c r="M1296" s="17">
        <v>1.4833299999999999E-3</v>
      </c>
      <c r="N1296" s="18">
        <f t="shared" si="121"/>
        <v>46.540576414199997</v>
      </c>
      <c r="O1296" s="15"/>
      <c r="P1296" s="20">
        <f t="shared" si="122"/>
        <v>0</v>
      </c>
      <c r="Q1296" s="15"/>
      <c r="R1296" s="20">
        <f t="shared" si="123"/>
        <v>0</v>
      </c>
      <c r="S1296" s="130"/>
      <c r="T1296" s="20">
        <f t="shared" si="124"/>
        <v>74.023868256249997</v>
      </c>
    </row>
    <row r="1297" spans="1:20">
      <c r="A1297" s="23" t="s">
        <v>626</v>
      </c>
      <c r="B1297" s="14" t="s">
        <v>714</v>
      </c>
      <c r="C1297" s="14" t="s">
        <v>715</v>
      </c>
      <c r="D1297" s="13" t="s">
        <v>716</v>
      </c>
      <c r="E1297" s="14" t="s">
        <v>75</v>
      </c>
      <c r="F1297" s="13" t="s">
        <v>26</v>
      </c>
      <c r="G1297" s="14" t="s">
        <v>20</v>
      </c>
      <c r="H1297" s="14"/>
      <c r="I1297" s="14">
        <v>201408</v>
      </c>
      <c r="J1297" s="41">
        <v>-480.21</v>
      </c>
      <c r="K1297" s="21">
        <f t="shared" si="125"/>
        <v>42675</v>
      </c>
      <c r="L1297" s="16">
        <f t="shared" si="126"/>
        <v>6</v>
      </c>
      <c r="M1297" s="17">
        <v>1.4833299999999999E-3</v>
      </c>
      <c r="N1297" s="18">
        <f t="shared" si="121"/>
        <v>-4.2738593957999997</v>
      </c>
      <c r="O1297" s="15"/>
      <c r="P1297" s="20">
        <f t="shared" si="122"/>
        <v>0</v>
      </c>
      <c r="Q1297" s="15"/>
      <c r="R1297" s="20">
        <f t="shared" si="123"/>
        <v>0</v>
      </c>
      <c r="S1297" s="130"/>
      <c r="T1297" s="20">
        <f t="shared" si="124"/>
        <v>-6.797672681249999</v>
      </c>
    </row>
    <row r="1298" spans="1:20">
      <c r="A1298" s="23" t="s">
        <v>626</v>
      </c>
      <c r="B1298" s="14" t="s">
        <v>776</v>
      </c>
      <c r="C1298" s="14" t="s">
        <v>777</v>
      </c>
      <c r="D1298" s="13" t="s">
        <v>778</v>
      </c>
      <c r="E1298" s="14" t="s">
        <v>75</v>
      </c>
      <c r="F1298" s="13" t="s">
        <v>26</v>
      </c>
      <c r="G1298" s="14" t="s">
        <v>20</v>
      </c>
      <c r="H1298" s="14"/>
      <c r="I1298" s="14">
        <v>201408</v>
      </c>
      <c r="J1298" s="41">
        <v>-33.380000000000003</v>
      </c>
      <c r="K1298" s="21">
        <f t="shared" si="125"/>
        <v>42675</v>
      </c>
      <c r="L1298" s="16">
        <f t="shared" si="126"/>
        <v>6</v>
      </c>
      <c r="M1298" s="17">
        <v>1.4833299999999999E-3</v>
      </c>
      <c r="N1298" s="18">
        <f t="shared" si="121"/>
        <v>-0.29708133240000001</v>
      </c>
      <c r="O1298" s="15"/>
      <c r="P1298" s="20">
        <f t="shared" si="122"/>
        <v>0</v>
      </c>
      <c r="Q1298" s="15"/>
      <c r="R1298" s="20">
        <f t="shared" si="123"/>
        <v>0</v>
      </c>
      <c r="S1298" s="130"/>
      <c r="T1298" s="20">
        <f t="shared" si="124"/>
        <v>-0.47251476250000002</v>
      </c>
    </row>
    <row r="1299" spans="1:20">
      <c r="A1299" s="23" t="s">
        <v>626</v>
      </c>
      <c r="B1299" s="14" t="s">
        <v>779</v>
      </c>
      <c r="C1299" s="14" t="s">
        <v>780</v>
      </c>
      <c r="D1299" s="13" t="s">
        <v>781</v>
      </c>
      <c r="E1299" s="14" t="s">
        <v>156</v>
      </c>
      <c r="F1299" s="13" t="s">
        <v>26</v>
      </c>
      <c r="G1299" s="14" t="s">
        <v>20</v>
      </c>
      <c r="H1299" s="14"/>
      <c r="I1299" s="14">
        <v>201408</v>
      </c>
      <c r="J1299" s="41">
        <v>1299.1099999999999</v>
      </c>
      <c r="K1299" s="21">
        <f t="shared" si="125"/>
        <v>42675</v>
      </c>
      <c r="L1299" s="16">
        <f t="shared" si="126"/>
        <v>6</v>
      </c>
      <c r="M1299" s="17">
        <v>1.4833299999999999E-3</v>
      </c>
      <c r="N1299" s="18">
        <f t="shared" si="121"/>
        <v>11.562053017799998</v>
      </c>
      <c r="O1299" s="15"/>
      <c r="P1299" s="20">
        <f t="shared" si="122"/>
        <v>0</v>
      </c>
      <c r="Q1299" s="15"/>
      <c r="R1299" s="20">
        <f t="shared" si="123"/>
        <v>0</v>
      </c>
      <c r="S1299" s="130"/>
      <c r="T1299" s="20">
        <f t="shared" si="124"/>
        <v>18.389713993749996</v>
      </c>
    </row>
    <row r="1300" spans="1:20">
      <c r="A1300" s="23" t="s">
        <v>626</v>
      </c>
      <c r="B1300" s="14" t="s">
        <v>785</v>
      </c>
      <c r="C1300" s="14" t="s">
        <v>786</v>
      </c>
      <c r="D1300" s="13" t="s">
        <v>787</v>
      </c>
      <c r="E1300" s="14" t="s">
        <v>75</v>
      </c>
      <c r="F1300" s="13" t="s">
        <v>26</v>
      </c>
      <c r="G1300" s="14" t="s">
        <v>20</v>
      </c>
      <c r="H1300" s="14"/>
      <c r="I1300" s="14">
        <v>201408</v>
      </c>
      <c r="J1300" s="41">
        <v>2828.23</v>
      </c>
      <c r="K1300" s="21">
        <f t="shared" si="125"/>
        <v>42675</v>
      </c>
      <c r="L1300" s="16">
        <f t="shared" si="126"/>
        <v>6</v>
      </c>
      <c r="M1300" s="17">
        <v>1.4833299999999999E-3</v>
      </c>
      <c r="N1300" s="18">
        <f t="shared" si="121"/>
        <v>25.1711904354</v>
      </c>
      <c r="O1300" s="15"/>
      <c r="P1300" s="20">
        <f t="shared" si="122"/>
        <v>0</v>
      </c>
      <c r="Q1300" s="15"/>
      <c r="R1300" s="20">
        <f t="shared" si="123"/>
        <v>0</v>
      </c>
      <c r="S1300" s="130"/>
      <c r="T1300" s="20">
        <f t="shared" si="124"/>
        <v>40.035363293750002</v>
      </c>
    </row>
    <row r="1301" spans="1:20">
      <c r="A1301" s="23" t="s">
        <v>626</v>
      </c>
      <c r="B1301" s="14" t="s">
        <v>724</v>
      </c>
      <c r="C1301" s="14" t="s">
        <v>725</v>
      </c>
      <c r="D1301" s="13" t="s">
        <v>726</v>
      </c>
      <c r="E1301" s="14" t="s">
        <v>280</v>
      </c>
      <c r="F1301" s="13" t="s">
        <v>26</v>
      </c>
      <c r="G1301" s="14" t="s">
        <v>20</v>
      </c>
      <c r="H1301" s="14"/>
      <c r="I1301" s="14">
        <v>201408</v>
      </c>
      <c r="J1301" s="41">
        <v>-163.19999999999999</v>
      </c>
      <c r="K1301" s="21">
        <f t="shared" si="125"/>
        <v>42675</v>
      </c>
      <c r="L1301" s="16">
        <f t="shared" si="126"/>
        <v>6</v>
      </c>
      <c r="M1301" s="17">
        <v>1.4833299999999999E-3</v>
      </c>
      <c r="N1301" s="18">
        <f t="shared" si="121"/>
        <v>-1.4524767359999999</v>
      </c>
      <c r="O1301" s="15"/>
      <c r="P1301" s="20">
        <f t="shared" si="122"/>
        <v>0</v>
      </c>
      <c r="Q1301" s="15"/>
      <c r="R1301" s="20">
        <f t="shared" si="123"/>
        <v>0</v>
      </c>
      <c r="S1301" s="130"/>
      <c r="T1301" s="20">
        <f t="shared" si="124"/>
        <v>-2.3101979999999993</v>
      </c>
    </row>
    <row r="1302" spans="1:20">
      <c r="A1302" s="23" t="s">
        <v>626</v>
      </c>
      <c r="B1302" s="14" t="s">
        <v>788</v>
      </c>
      <c r="C1302" s="14" t="s">
        <v>789</v>
      </c>
      <c r="D1302" s="13" t="s">
        <v>790</v>
      </c>
      <c r="E1302" s="14" t="s">
        <v>164</v>
      </c>
      <c r="F1302" s="13" t="s">
        <v>165</v>
      </c>
      <c r="G1302" s="14" t="s">
        <v>20</v>
      </c>
      <c r="H1302" s="14"/>
      <c r="I1302" s="14">
        <v>201408</v>
      </c>
      <c r="J1302" s="41">
        <v>-192.93</v>
      </c>
      <c r="K1302" s="21">
        <f t="shared" si="125"/>
        <v>42675</v>
      </c>
      <c r="L1302" s="16">
        <f t="shared" si="126"/>
        <v>6</v>
      </c>
      <c r="M1302" s="17">
        <v>1.4833299999999999E-3</v>
      </c>
      <c r="N1302" s="18">
        <f t="shared" si="121"/>
        <v>-1.7170731414</v>
      </c>
      <c r="O1302" s="15"/>
      <c r="P1302" s="20">
        <f t="shared" si="122"/>
        <v>0</v>
      </c>
      <c r="Q1302" s="15"/>
      <c r="R1302" s="20">
        <f t="shared" si="123"/>
        <v>0</v>
      </c>
      <c r="S1302" s="130"/>
      <c r="T1302" s="20">
        <f t="shared" si="124"/>
        <v>-2.7310447312499999</v>
      </c>
    </row>
    <row r="1303" spans="1:20">
      <c r="A1303" s="23" t="s">
        <v>626</v>
      </c>
      <c r="B1303" s="14" t="s">
        <v>727</v>
      </c>
      <c r="C1303" s="14" t="s">
        <v>728</v>
      </c>
      <c r="D1303" s="13" t="s">
        <v>729</v>
      </c>
      <c r="E1303" s="14" t="s">
        <v>79</v>
      </c>
      <c r="F1303" s="13" t="s">
        <v>26</v>
      </c>
      <c r="G1303" s="14" t="s">
        <v>20</v>
      </c>
      <c r="H1303" s="14"/>
      <c r="I1303" s="14">
        <v>201408</v>
      </c>
      <c r="J1303" s="41">
        <v>-6.24</v>
      </c>
      <c r="K1303" s="21">
        <f t="shared" si="125"/>
        <v>42675</v>
      </c>
      <c r="L1303" s="16">
        <f t="shared" si="126"/>
        <v>6</v>
      </c>
      <c r="M1303" s="17">
        <v>1.4833299999999999E-3</v>
      </c>
      <c r="N1303" s="18">
        <f t="shared" si="121"/>
        <v>-5.5535875200000001E-2</v>
      </c>
      <c r="O1303" s="15"/>
      <c r="P1303" s="20">
        <f t="shared" si="122"/>
        <v>0</v>
      </c>
      <c r="Q1303" s="15"/>
      <c r="R1303" s="20">
        <f t="shared" si="123"/>
        <v>0</v>
      </c>
      <c r="S1303" s="130"/>
      <c r="T1303" s="20">
        <f t="shared" si="124"/>
        <v>-8.8331099999999996E-2</v>
      </c>
    </row>
    <row r="1304" spans="1:20">
      <c r="A1304" s="23" t="s">
        <v>626</v>
      </c>
      <c r="B1304" s="14" t="s">
        <v>825</v>
      </c>
      <c r="C1304" s="14" t="s">
        <v>826</v>
      </c>
      <c r="D1304" s="13" t="s">
        <v>827</v>
      </c>
      <c r="E1304" s="14" t="s">
        <v>63</v>
      </c>
      <c r="F1304" s="13" t="s">
        <v>19</v>
      </c>
      <c r="G1304" s="14" t="s">
        <v>20</v>
      </c>
      <c r="H1304" s="14"/>
      <c r="I1304" s="14">
        <v>201408</v>
      </c>
      <c r="J1304" s="41">
        <v>-73.47</v>
      </c>
      <c r="K1304" s="21">
        <f t="shared" si="125"/>
        <v>42675</v>
      </c>
      <c r="L1304" s="16">
        <f t="shared" si="126"/>
        <v>6</v>
      </c>
      <c r="M1304" s="17">
        <v>1.4833299999999999E-3</v>
      </c>
      <c r="N1304" s="18">
        <f t="shared" si="121"/>
        <v>-0.65388153059999998</v>
      </c>
      <c r="O1304" s="15"/>
      <c r="P1304" s="20">
        <f t="shared" si="122"/>
        <v>0</v>
      </c>
      <c r="Q1304" s="15"/>
      <c r="R1304" s="20">
        <f t="shared" si="123"/>
        <v>0</v>
      </c>
      <c r="S1304" s="130"/>
      <c r="T1304" s="20">
        <f t="shared" si="124"/>
        <v>-1.04001376875</v>
      </c>
    </row>
    <row r="1305" spans="1:20">
      <c r="A1305" s="23" t="s">
        <v>626</v>
      </c>
      <c r="B1305" s="14" t="s">
        <v>791</v>
      </c>
      <c r="C1305" s="14" t="s">
        <v>792</v>
      </c>
      <c r="D1305" s="13" t="s">
        <v>793</v>
      </c>
      <c r="E1305" s="14" t="s">
        <v>79</v>
      </c>
      <c r="F1305" s="13" t="s">
        <v>26</v>
      </c>
      <c r="G1305" s="14" t="s">
        <v>20</v>
      </c>
      <c r="H1305" s="14"/>
      <c r="I1305" s="14">
        <v>201408</v>
      </c>
      <c r="J1305" s="41">
        <v>-16.52</v>
      </c>
      <c r="K1305" s="21">
        <f t="shared" si="125"/>
        <v>42675</v>
      </c>
      <c r="L1305" s="16">
        <f t="shared" si="126"/>
        <v>6</v>
      </c>
      <c r="M1305" s="17">
        <v>1.4833299999999999E-3</v>
      </c>
      <c r="N1305" s="18">
        <f t="shared" si="121"/>
        <v>-0.14702766959999999</v>
      </c>
      <c r="O1305" s="15"/>
      <c r="P1305" s="20">
        <f t="shared" si="122"/>
        <v>0</v>
      </c>
      <c r="Q1305" s="15"/>
      <c r="R1305" s="20">
        <f t="shared" si="123"/>
        <v>0</v>
      </c>
      <c r="S1305" s="130"/>
      <c r="T1305" s="20">
        <f t="shared" si="124"/>
        <v>-0.23385092499999999</v>
      </c>
    </row>
    <row r="1306" spans="1:20">
      <c r="A1306" s="23" t="s">
        <v>626</v>
      </c>
      <c r="B1306" s="14" t="s">
        <v>800</v>
      </c>
      <c r="C1306" s="14" t="s">
        <v>801</v>
      </c>
      <c r="D1306" s="13" t="s">
        <v>802</v>
      </c>
      <c r="E1306" s="14" t="s">
        <v>260</v>
      </c>
      <c r="F1306" s="13" t="s">
        <v>26</v>
      </c>
      <c r="G1306" s="14" t="s">
        <v>20</v>
      </c>
      <c r="H1306" s="14"/>
      <c r="I1306" s="14">
        <v>201408</v>
      </c>
      <c r="J1306" s="41">
        <v>-1789.1</v>
      </c>
      <c r="K1306" s="21">
        <f t="shared" si="125"/>
        <v>42675</v>
      </c>
      <c r="L1306" s="16">
        <f t="shared" si="126"/>
        <v>6</v>
      </c>
      <c r="M1306" s="17">
        <v>1.4833299999999999E-3</v>
      </c>
      <c r="N1306" s="18">
        <f t="shared" si="121"/>
        <v>-15.922954217999999</v>
      </c>
      <c r="O1306" s="15"/>
      <c r="P1306" s="20">
        <f t="shared" si="122"/>
        <v>0</v>
      </c>
      <c r="Q1306" s="15"/>
      <c r="R1306" s="20">
        <f t="shared" si="123"/>
        <v>0</v>
      </c>
      <c r="S1306" s="130"/>
      <c r="T1306" s="20">
        <f t="shared" si="124"/>
        <v>-25.325828687499996</v>
      </c>
    </row>
    <row r="1307" spans="1:20">
      <c r="A1307" s="23" t="s">
        <v>626</v>
      </c>
      <c r="B1307" s="14" t="s">
        <v>897</v>
      </c>
      <c r="C1307" s="14" t="s">
        <v>898</v>
      </c>
      <c r="D1307" s="13" t="s">
        <v>899</v>
      </c>
      <c r="E1307" s="14" t="s">
        <v>164</v>
      </c>
      <c r="F1307" s="13" t="s">
        <v>165</v>
      </c>
      <c r="G1307" s="14" t="s">
        <v>20</v>
      </c>
      <c r="H1307" s="14"/>
      <c r="I1307" s="14">
        <v>201408</v>
      </c>
      <c r="J1307" s="41">
        <v>5612.03</v>
      </c>
      <c r="K1307" s="21">
        <f t="shared" si="125"/>
        <v>42675</v>
      </c>
      <c r="L1307" s="16">
        <f t="shared" si="126"/>
        <v>6</v>
      </c>
      <c r="M1307" s="17">
        <v>1.4833299999999999E-3</v>
      </c>
      <c r="N1307" s="18">
        <f t="shared" si="121"/>
        <v>49.946954759400001</v>
      </c>
      <c r="O1307" s="15"/>
      <c r="P1307" s="20">
        <f t="shared" si="122"/>
        <v>0</v>
      </c>
      <c r="Q1307" s="15"/>
      <c r="R1307" s="20">
        <f t="shared" si="123"/>
        <v>0</v>
      </c>
      <c r="S1307" s="130"/>
      <c r="T1307" s="20">
        <f t="shared" si="124"/>
        <v>79.441792168749998</v>
      </c>
    </row>
    <row r="1308" spans="1:20">
      <c r="A1308" s="23" t="s">
        <v>626</v>
      </c>
      <c r="B1308" s="14" t="s">
        <v>900</v>
      </c>
      <c r="C1308" s="14" t="s">
        <v>901</v>
      </c>
      <c r="D1308" s="13" t="s">
        <v>902</v>
      </c>
      <c r="E1308" s="14" t="s">
        <v>25</v>
      </c>
      <c r="F1308" s="13" t="s">
        <v>26</v>
      </c>
      <c r="G1308" s="14" t="s">
        <v>20</v>
      </c>
      <c r="H1308" s="14"/>
      <c r="I1308" s="14">
        <v>201408</v>
      </c>
      <c r="J1308" s="41">
        <v>7343.09</v>
      </c>
      <c r="K1308" s="21">
        <f t="shared" si="125"/>
        <v>42675</v>
      </c>
      <c r="L1308" s="16">
        <f t="shared" si="126"/>
        <v>6</v>
      </c>
      <c r="M1308" s="17">
        <v>1.4833299999999999E-3</v>
      </c>
      <c r="N1308" s="18">
        <f t="shared" si="121"/>
        <v>65.353354138200004</v>
      </c>
      <c r="O1308" s="15"/>
      <c r="P1308" s="20">
        <f t="shared" si="122"/>
        <v>0</v>
      </c>
      <c r="Q1308" s="15"/>
      <c r="R1308" s="20">
        <f t="shared" si="123"/>
        <v>0</v>
      </c>
      <c r="S1308" s="130"/>
      <c r="T1308" s="20">
        <f t="shared" si="124"/>
        <v>103.94602838125</v>
      </c>
    </row>
    <row r="1309" spans="1:20">
      <c r="A1309" s="23" t="s">
        <v>626</v>
      </c>
      <c r="B1309" s="14" t="s">
        <v>903</v>
      </c>
      <c r="C1309" s="14" t="s">
        <v>904</v>
      </c>
      <c r="D1309" s="13" t="s">
        <v>905</v>
      </c>
      <c r="E1309" s="14" t="s">
        <v>280</v>
      </c>
      <c r="F1309" s="13" t="s">
        <v>26</v>
      </c>
      <c r="G1309" s="14" t="s">
        <v>20</v>
      </c>
      <c r="H1309" s="14"/>
      <c r="I1309" s="14">
        <v>201408</v>
      </c>
      <c r="J1309" s="41">
        <v>105381.52</v>
      </c>
      <c r="K1309" s="21">
        <f t="shared" si="125"/>
        <v>42675</v>
      </c>
      <c r="L1309" s="16">
        <f t="shared" si="126"/>
        <v>6</v>
      </c>
      <c r="M1309" s="17">
        <v>1.4833299999999999E-3</v>
      </c>
      <c r="N1309" s="18">
        <f t="shared" si="121"/>
        <v>937.89342036959999</v>
      </c>
      <c r="O1309" s="15"/>
      <c r="P1309" s="20">
        <f t="shared" si="122"/>
        <v>0</v>
      </c>
      <c r="Q1309" s="15"/>
      <c r="R1309" s="20">
        <f t="shared" si="123"/>
        <v>0</v>
      </c>
      <c r="S1309" s="130"/>
      <c r="T1309" s="20">
        <f t="shared" si="124"/>
        <v>1491.74127905</v>
      </c>
    </row>
    <row r="1310" spans="1:20">
      <c r="A1310" s="23" t="s">
        <v>626</v>
      </c>
      <c r="B1310" s="14" t="s">
        <v>906</v>
      </c>
      <c r="C1310" s="14" t="s">
        <v>907</v>
      </c>
      <c r="D1310" s="13" t="s">
        <v>908</v>
      </c>
      <c r="E1310" s="14" t="s">
        <v>471</v>
      </c>
      <c r="F1310" s="13" t="s">
        <v>165</v>
      </c>
      <c r="G1310" s="14" t="s">
        <v>20</v>
      </c>
      <c r="H1310" s="14"/>
      <c r="I1310" s="14">
        <v>201408</v>
      </c>
      <c r="J1310" s="41">
        <v>9368.56</v>
      </c>
      <c r="K1310" s="21">
        <f t="shared" si="125"/>
        <v>42675</v>
      </c>
      <c r="L1310" s="16">
        <f t="shared" si="126"/>
        <v>6</v>
      </c>
      <c r="M1310" s="17">
        <v>1.4833299999999999E-3</v>
      </c>
      <c r="N1310" s="18">
        <f t="shared" si="121"/>
        <v>83.379996628800001</v>
      </c>
      <c r="O1310" s="15"/>
      <c r="P1310" s="20">
        <f t="shared" si="122"/>
        <v>0</v>
      </c>
      <c r="Q1310" s="15"/>
      <c r="R1310" s="20">
        <f t="shared" si="123"/>
        <v>0</v>
      </c>
      <c r="S1310" s="130"/>
      <c r="T1310" s="20">
        <f t="shared" si="124"/>
        <v>132.61782214999999</v>
      </c>
    </row>
    <row r="1311" spans="1:20">
      <c r="A1311" s="23" t="s">
        <v>626</v>
      </c>
      <c r="B1311" s="14" t="s">
        <v>806</v>
      </c>
      <c r="C1311" s="14" t="s">
        <v>807</v>
      </c>
      <c r="D1311" s="13" t="s">
        <v>808</v>
      </c>
      <c r="E1311" s="14" t="s">
        <v>809</v>
      </c>
      <c r="F1311" s="13" t="s">
        <v>26</v>
      </c>
      <c r="G1311" s="14" t="s">
        <v>20</v>
      </c>
      <c r="H1311" s="14"/>
      <c r="I1311" s="14">
        <v>201408</v>
      </c>
      <c r="J1311" s="41">
        <v>-3482.79</v>
      </c>
      <c r="K1311" s="21">
        <f t="shared" si="125"/>
        <v>42675</v>
      </c>
      <c r="L1311" s="16">
        <f t="shared" si="126"/>
        <v>6</v>
      </c>
      <c r="M1311" s="17">
        <v>1.4833299999999999E-3</v>
      </c>
      <c r="N1311" s="18">
        <f t="shared" si="121"/>
        <v>-30.996761344199999</v>
      </c>
      <c r="O1311" s="15"/>
      <c r="P1311" s="20">
        <f t="shared" si="122"/>
        <v>0</v>
      </c>
      <c r="Q1311" s="15"/>
      <c r="R1311" s="20">
        <f t="shared" si="123"/>
        <v>0</v>
      </c>
      <c r="S1311" s="130"/>
      <c r="T1311" s="20">
        <f t="shared" si="124"/>
        <v>-49.301069193749996</v>
      </c>
    </row>
    <row r="1312" spans="1:20">
      <c r="A1312" s="23" t="s">
        <v>626</v>
      </c>
      <c r="B1312" s="14" t="s">
        <v>909</v>
      </c>
      <c r="C1312" s="14" t="s">
        <v>910</v>
      </c>
      <c r="D1312" s="13" t="s">
        <v>911</v>
      </c>
      <c r="E1312" s="14" t="s">
        <v>79</v>
      </c>
      <c r="F1312" s="13" t="s">
        <v>26</v>
      </c>
      <c r="G1312" s="14" t="s">
        <v>20</v>
      </c>
      <c r="H1312" s="14"/>
      <c r="I1312" s="14">
        <v>201408</v>
      </c>
      <c r="J1312" s="41">
        <v>6122.98</v>
      </c>
      <c r="K1312" s="21">
        <f t="shared" si="125"/>
        <v>42675</v>
      </c>
      <c r="L1312" s="16">
        <f t="shared" si="126"/>
        <v>6</v>
      </c>
      <c r="M1312" s="17">
        <v>1.4833299999999999E-3</v>
      </c>
      <c r="N1312" s="18">
        <f t="shared" si="121"/>
        <v>54.494399540399996</v>
      </c>
      <c r="O1312" s="15"/>
      <c r="P1312" s="20">
        <f t="shared" si="122"/>
        <v>0</v>
      </c>
      <c r="Q1312" s="15"/>
      <c r="R1312" s="20">
        <f t="shared" si="123"/>
        <v>0</v>
      </c>
      <c r="S1312" s="130"/>
      <c r="T1312" s="20">
        <f t="shared" si="124"/>
        <v>86.674608762499986</v>
      </c>
    </row>
    <row r="1313" spans="1:20">
      <c r="A1313" s="23" t="s">
        <v>626</v>
      </c>
      <c r="B1313" s="14" t="s">
        <v>816</v>
      </c>
      <c r="C1313" s="14" t="s">
        <v>817</v>
      </c>
      <c r="D1313" s="13" t="s">
        <v>818</v>
      </c>
      <c r="E1313" s="14" t="s">
        <v>164</v>
      </c>
      <c r="F1313" s="13" t="s">
        <v>165</v>
      </c>
      <c r="G1313" s="14" t="s">
        <v>20</v>
      </c>
      <c r="H1313" s="14"/>
      <c r="I1313" s="14">
        <v>201408</v>
      </c>
      <c r="J1313" s="41">
        <v>-539.75</v>
      </c>
      <c r="K1313" s="21">
        <f t="shared" si="125"/>
        <v>42675</v>
      </c>
      <c r="L1313" s="16">
        <f t="shared" si="126"/>
        <v>6</v>
      </c>
      <c r="M1313" s="17">
        <v>1.4833299999999999E-3</v>
      </c>
      <c r="N1313" s="18">
        <f t="shared" si="121"/>
        <v>-4.8037642050000002</v>
      </c>
      <c r="O1313" s="15"/>
      <c r="P1313" s="20">
        <f t="shared" si="122"/>
        <v>0</v>
      </c>
      <c r="Q1313" s="15"/>
      <c r="R1313" s="20">
        <f t="shared" si="123"/>
        <v>0</v>
      </c>
      <c r="S1313" s="130"/>
      <c r="T1313" s="20">
        <f t="shared" si="124"/>
        <v>-7.6404985937499985</v>
      </c>
    </row>
    <row r="1314" spans="1:20">
      <c r="A1314" s="23" t="s">
        <v>626</v>
      </c>
      <c r="B1314" s="14" t="s">
        <v>912</v>
      </c>
      <c r="C1314" s="14" t="s">
        <v>913</v>
      </c>
      <c r="D1314" s="13" t="s">
        <v>914</v>
      </c>
      <c r="E1314" s="14" t="s">
        <v>164</v>
      </c>
      <c r="F1314" s="13" t="s">
        <v>165</v>
      </c>
      <c r="G1314" s="14" t="s">
        <v>20</v>
      </c>
      <c r="H1314" s="14"/>
      <c r="I1314" s="14">
        <v>201408</v>
      </c>
      <c r="J1314" s="41">
        <v>8001.94</v>
      </c>
      <c r="K1314" s="21">
        <f t="shared" si="125"/>
        <v>42675</v>
      </c>
      <c r="L1314" s="16">
        <f t="shared" si="126"/>
        <v>6</v>
      </c>
      <c r="M1314" s="17">
        <v>1.4833299999999999E-3</v>
      </c>
      <c r="N1314" s="18">
        <f t="shared" si="121"/>
        <v>71.217105961199991</v>
      </c>
      <c r="O1314" s="15"/>
      <c r="P1314" s="20">
        <f t="shared" si="122"/>
        <v>0</v>
      </c>
      <c r="Q1314" s="15"/>
      <c r="R1314" s="20">
        <f t="shared" si="123"/>
        <v>0</v>
      </c>
      <c r="S1314" s="130"/>
      <c r="T1314" s="20">
        <f t="shared" si="124"/>
        <v>113.27246191249998</v>
      </c>
    </row>
    <row r="1315" spans="1:20">
      <c r="A1315" s="23" t="s">
        <v>626</v>
      </c>
      <c r="B1315" s="14" t="s">
        <v>915</v>
      </c>
      <c r="C1315" s="14" t="s">
        <v>916</v>
      </c>
      <c r="D1315" s="13" t="s">
        <v>917</v>
      </c>
      <c r="E1315" s="14" t="s">
        <v>918</v>
      </c>
      <c r="F1315" s="13" t="s">
        <v>143</v>
      </c>
      <c r="G1315" s="14" t="s">
        <v>20</v>
      </c>
      <c r="H1315" s="14"/>
      <c r="I1315" s="14">
        <v>201408</v>
      </c>
      <c r="J1315" s="41">
        <v>3818.46</v>
      </c>
      <c r="K1315" s="21">
        <f t="shared" si="125"/>
        <v>42675</v>
      </c>
      <c r="L1315" s="16">
        <f t="shared" si="126"/>
        <v>6</v>
      </c>
      <c r="M1315" s="17">
        <v>1.4833299999999999E-3</v>
      </c>
      <c r="N1315" s="18">
        <f t="shared" si="121"/>
        <v>33.984217630800003</v>
      </c>
      <c r="O1315" s="15"/>
      <c r="P1315" s="20">
        <f t="shared" si="122"/>
        <v>0</v>
      </c>
      <c r="Q1315" s="15"/>
      <c r="R1315" s="20">
        <f t="shared" si="123"/>
        <v>0</v>
      </c>
      <c r="S1315" s="130"/>
      <c r="T1315" s="20">
        <f t="shared" si="124"/>
        <v>54.052687837499995</v>
      </c>
    </row>
    <row r="1316" spans="1:20">
      <c r="A1316" s="23" t="s">
        <v>626</v>
      </c>
      <c r="B1316" s="14" t="s">
        <v>919</v>
      </c>
      <c r="C1316" s="14" t="s">
        <v>920</v>
      </c>
      <c r="D1316" s="13" t="s">
        <v>921</v>
      </c>
      <c r="E1316" s="14" t="s">
        <v>164</v>
      </c>
      <c r="F1316" s="13" t="s">
        <v>165</v>
      </c>
      <c r="G1316" s="14" t="s">
        <v>20</v>
      </c>
      <c r="H1316" s="14"/>
      <c r="I1316" s="14">
        <v>201408</v>
      </c>
      <c r="J1316" s="41">
        <v>3918.58</v>
      </c>
      <c r="K1316" s="21">
        <f t="shared" si="125"/>
        <v>42675</v>
      </c>
      <c r="L1316" s="16">
        <f t="shared" si="126"/>
        <v>6</v>
      </c>
      <c r="M1316" s="17">
        <v>1.4833299999999999E-3</v>
      </c>
      <c r="N1316" s="18">
        <f t="shared" si="121"/>
        <v>34.875283628399998</v>
      </c>
      <c r="O1316" s="15"/>
      <c r="P1316" s="20">
        <f t="shared" si="122"/>
        <v>0</v>
      </c>
      <c r="Q1316" s="15"/>
      <c r="R1316" s="20">
        <f t="shared" si="123"/>
        <v>0</v>
      </c>
      <c r="S1316" s="130"/>
      <c r="T1316" s="20">
        <f t="shared" si="124"/>
        <v>55.469949012499995</v>
      </c>
    </row>
    <row r="1317" spans="1:20">
      <c r="A1317" s="13" t="s">
        <v>127</v>
      </c>
      <c r="B1317" s="14" t="s">
        <v>128</v>
      </c>
      <c r="C1317" s="14" t="s">
        <v>129</v>
      </c>
      <c r="D1317" s="13" t="s">
        <v>130</v>
      </c>
      <c r="E1317" s="14" t="s">
        <v>131</v>
      </c>
      <c r="F1317" s="13" t="s">
        <v>132</v>
      </c>
      <c r="G1317" s="14" t="s">
        <v>20</v>
      </c>
      <c r="H1317" s="14"/>
      <c r="I1317" s="14">
        <v>201408</v>
      </c>
      <c r="J1317" s="41">
        <v>16.61</v>
      </c>
      <c r="K1317" s="21">
        <f t="shared" si="125"/>
        <v>42675</v>
      </c>
      <c r="L1317" s="16">
        <f t="shared" si="126"/>
        <v>6</v>
      </c>
      <c r="M1317" s="17">
        <v>2.3833299999999999E-3</v>
      </c>
      <c r="N1317" s="18">
        <f t="shared" si="121"/>
        <v>0.2375226678</v>
      </c>
      <c r="O1317" s="15"/>
      <c r="P1317" s="20">
        <f t="shared" si="122"/>
        <v>0</v>
      </c>
      <c r="Q1317" s="15"/>
      <c r="R1317" s="20">
        <f t="shared" si="123"/>
        <v>0</v>
      </c>
      <c r="S1317" s="130"/>
      <c r="T1317" s="20">
        <f t="shared" si="124"/>
        <v>0.23512493124999995</v>
      </c>
    </row>
    <row r="1318" spans="1:20">
      <c r="A1318" s="13" t="s">
        <v>127</v>
      </c>
      <c r="B1318" s="14" t="s">
        <v>388</v>
      </c>
      <c r="C1318" s="14" t="s">
        <v>389</v>
      </c>
      <c r="D1318" s="13" t="s">
        <v>390</v>
      </c>
      <c r="E1318" s="14" t="s">
        <v>131</v>
      </c>
      <c r="F1318" s="13" t="s">
        <v>132</v>
      </c>
      <c r="G1318" s="14" t="s">
        <v>20</v>
      </c>
      <c r="H1318" s="14"/>
      <c r="I1318" s="14">
        <v>201408</v>
      </c>
      <c r="J1318" s="41">
        <v>-759.43</v>
      </c>
      <c r="K1318" s="21">
        <f t="shared" si="125"/>
        <v>42675</v>
      </c>
      <c r="L1318" s="16">
        <f t="shared" si="126"/>
        <v>6</v>
      </c>
      <c r="M1318" s="17">
        <v>2.3833299999999999E-3</v>
      </c>
      <c r="N1318" s="18">
        <f t="shared" si="121"/>
        <v>-10.8598338114</v>
      </c>
      <c r="O1318" s="15"/>
      <c r="P1318" s="20">
        <f t="shared" si="122"/>
        <v>0</v>
      </c>
      <c r="Q1318" s="15"/>
      <c r="R1318" s="20">
        <f t="shared" si="123"/>
        <v>0</v>
      </c>
      <c r="S1318" s="130"/>
      <c r="T1318" s="20">
        <f t="shared" si="124"/>
        <v>-10.750206293749999</v>
      </c>
    </row>
    <row r="1319" spans="1:20">
      <c r="A1319" s="13" t="s">
        <v>127</v>
      </c>
      <c r="B1319" s="14" t="s">
        <v>598</v>
      </c>
      <c r="C1319" s="14" t="s">
        <v>599</v>
      </c>
      <c r="D1319" s="13" t="s">
        <v>600</v>
      </c>
      <c r="E1319" s="14" t="s">
        <v>131</v>
      </c>
      <c r="F1319" s="13" t="s">
        <v>132</v>
      </c>
      <c r="G1319" s="14" t="s">
        <v>20</v>
      </c>
      <c r="H1319" s="14"/>
      <c r="I1319" s="14">
        <v>201408</v>
      </c>
      <c r="J1319" s="41">
        <v>-85.32</v>
      </c>
      <c r="K1319" s="21">
        <f t="shared" si="125"/>
        <v>42675</v>
      </c>
      <c r="L1319" s="16">
        <f t="shared" si="126"/>
        <v>6</v>
      </c>
      <c r="M1319" s="17">
        <v>2.3833299999999999E-3</v>
      </c>
      <c r="N1319" s="18">
        <f t="shared" si="121"/>
        <v>-1.2200742936</v>
      </c>
      <c r="O1319" s="15"/>
      <c r="P1319" s="20">
        <f t="shared" si="122"/>
        <v>0</v>
      </c>
      <c r="Q1319" s="15"/>
      <c r="R1319" s="20">
        <f t="shared" si="123"/>
        <v>0</v>
      </c>
      <c r="S1319" s="130"/>
      <c r="T1319" s="20">
        <f t="shared" si="124"/>
        <v>-1.2077579249999999</v>
      </c>
    </row>
    <row r="1320" spans="1:20">
      <c r="A1320" s="13" t="s">
        <v>127</v>
      </c>
      <c r="B1320" s="14" t="s">
        <v>295</v>
      </c>
      <c r="C1320" s="14" t="s">
        <v>296</v>
      </c>
      <c r="D1320" s="13" t="s">
        <v>297</v>
      </c>
      <c r="E1320" s="14" t="s">
        <v>216</v>
      </c>
      <c r="F1320" s="13" t="s">
        <v>217</v>
      </c>
      <c r="G1320" s="14" t="s">
        <v>20</v>
      </c>
      <c r="H1320" s="14"/>
      <c r="I1320" s="14">
        <v>201408</v>
      </c>
      <c r="J1320" s="41">
        <v>-77.2</v>
      </c>
      <c r="K1320" s="21">
        <f t="shared" si="125"/>
        <v>42675</v>
      </c>
      <c r="L1320" s="16">
        <f t="shared" si="126"/>
        <v>6</v>
      </c>
      <c r="M1320" s="17">
        <v>2.3833299999999999E-3</v>
      </c>
      <c r="N1320" s="18">
        <f t="shared" si="121"/>
        <v>-1.103958456</v>
      </c>
      <c r="O1320" s="15"/>
      <c r="P1320" s="20">
        <f t="shared" si="122"/>
        <v>0</v>
      </c>
      <c r="Q1320" s="15"/>
      <c r="R1320" s="20">
        <f t="shared" si="123"/>
        <v>0</v>
      </c>
      <c r="S1320" s="130"/>
      <c r="T1320" s="20">
        <f t="shared" si="124"/>
        <v>-1.09281425</v>
      </c>
    </row>
    <row r="1321" spans="1:20">
      <c r="A1321" s="13" t="s">
        <v>127</v>
      </c>
      <c r="B1321" s="14" t="s">
        <v>681</v>
      </c>
      <c r="C1321" s="14" t="s">
        <v>682</v>
      </c>
      <c r="D1321" s="13" t="s">
        <v>683</v>
      </c>
      <c r="E1321" s="14" t="s">
        <v>131</v>
      </c>
      <c r="F1321" s="13" t="s">
        <v>132</v>
      </c>
      <c r="G1321" s="14" t="s">
        <v>20</v>
      </c>
      <c r="H1321" s="14"/>
      <c r="I1321" s="14">
        <v>201408</v>
      </c>
      <c r="J1321" s="41">
        <v>-197.66</v>
      </c>
      <c r="K1321" s="21">
        <f t="shared" si="125"/>
        <v>42675</v>
      </c>
      <c r="L1321" s="16">
        <f t="shared" si="126"/>
        <v>6</v>
      </c>
      <c r="M1321" s="17">
        <v>2.3833299999999999E-3</v>
      </c>
      <c r="N1321" s="18">
        <f t="shared" si="121"/>
        <v>-2.8265340468</v>
      </c>
      <c r="O1321" s="15"/>
      <c r="P1321" s="20">
        <f t="shared" si="122"/>
        <v>0</v>
      </c>
      <c r="Q1321" s="15"/>
      <c r="R1321" s="20">
        <f t="shared" si="123"/>
        <v>0</v>
      </c>
      <c r="S1321" s="130"/>
      <c r="T1321" s="20">
        <f t="shared" si="124"/>
        <v>-2.7980008375000001</v>
      </c>
    </row>
    <row r="1322" spans="1:20">
      <c r="A1322" s="13" t="s">
        <v>127</v>
      </c>
      <c r="B1322" s="14" t="s">
        <v>684</v>
      </c>
      <c r="C1322" s="14" t="s">
        <v>685</v>
      </c>
      <c r="D1322" s="13" t="s">
        <v>686</v>
      </c>
      <c r="E1322" s="14" t="s">
        <v>131</v>
      </c>
      <c r="F1322" s="13" t="s">
        <v>132</v>
      </c>
      <c r="G1322" s="14" t="s">
        <v>20</v>
      </c>
      <c r="H1322" s="14"/>
      <c r="I1322" s="14">
        <v>201408</v>
      </c>
      <c r="J1322" s="41">
        <v>3.05</v>
      </c>
      <c r="K1322" s="21">
        <f t="shared" si="125"/>
        <v>42675</v>
      </c>
      <c r="L1322" s="16">
        <f t="shared" si="126"/>
        <v>6</v>
      </c>
      <c r="M1322" s="17">
        <v>2.3833299999999999E-3</v>
      </c>
      <c r="N1322" s="18">
        <f t="shared" si="121"/>
        <v>4.3614938999999998E-2</v>
      </c>
      <c r="O1322" s="15"/>
      <c r="P1322" s="20">
        <f t="shared" si="122"/>
        <v>0</v>
      </c>
      <c r="Q1322" s="15"/>
      <c r="R1322" s="20">
        <f t="shared" si="123"/>
        <v>0</v>
      </c>
      <c r="S1322" s="130"/>
      <c r="T1322" s="20">
        <f t="shared" si="124"/>
        <v>4.3174656249999999E-2</v>
      </c>
    </row>
    <row r="1323" spans="1:20">
      <c r="A1323" s="13" t="s">
        <v>127</v>
      </c>
      <c r="B1323" s="14" t="s">
        <v>422</v>
      </c>
      <c r="C1323" s="14" t="s">
        <v>423</v>
      </c>
      <c r="D1323" s="13" t="s">
        <v>424</v>
      </c>
      <c r="E1323" s="14" t="s">
        <v>131</v>
      </c>
      <c r="F1323" s="13" t="s">
        <v>132</v>
      </c>
      <c r="G1323" s="14" t="s">
        <v>20</v>
      </c>
      <c r="H1323" s="14"/>
      <c r="I1323" s="14">
        <v>201408</v>
      </c>
      <c r="J1323" s="41">
        <v>19.170000000000002</v>
      </c>
      <c r="K1323" s="21">
        <f t="shared" si="125"/>
        <v>42675</v>
      </c>
      <c r="L1323" s="16">
        <f t="shared" si="126"/>
        <v>6</v>
      </c>
      <c r="M1323" s="17">
        <v>2.3833299999999999E-3</v>
      </c>
      <c r="N1323" s="18">
        <f t="shared" si="121"/>
        <v>0.27413061660000004</v>
      </c>
      <c r="O1323" s="15"/>
      <c r="P1323" s="20">
        <f t="shared" si="122"/>
        <v>0</v>
      </c>
      <c r="Q1323" s="15"/>
      <c r="R1323" s="20">
        <f t="shared" si="123"/>
        <v>0</v>
      </c>
      <c r="S1323" s="130"/>
      <c r="T1323" s="20">
        <f t="shared" si="124"/>
        <v>0.27136333125000001</v>
      </c>
    </row>
    <row r="1324" spans="1:20">
      <c r="A1324" s="13" t="s">
        <v>693</v>
      </c>
      <c r="B1324" s="14" t="s">
        <v>694</v>
      </c>
      <c r="C1324" s="14" t="s">
        <v>695</v>
      </c>
      <c r="D1324" s="13" t="s">
        <v>696</v>
      </c>
      <c r="E1324" s="14" t="s">
        <v>131</v>
      </c>
      <c r="F1324" s="13" t="s">
        <v>132</v>
      </c>
      <c r="G1324" s="14" t="s">
        <v>20</v>
      </c>
      <c r="H1324" s="14"/>
      <c r="I1324" s="14">
        <v>201408</v>
      </c>
      <c r="J1324" s="41">
        <v>-28.26</v>
      </c>
      <c r="K1324" s="21">
        <f t="shared" si="125"/>
        <v>42675</v>
      </c>
      <c r="L1324" s="16">
        <f t="shared" si="126"/>
        <v>6</v>
      </c>
      <c r="M1324" s="17">
        <v>2.1916700000000002E-3</v>
      </c>
      <c r="N1324" s="18">
        <f t="shared" si="121"/>
        <v>-0.37161956520000006</v>
      </c>
      <c r="O1324" s="15"/>
      <c r="P1324" s="20">
        <f t="shared" si="122"/>
        <v>0</v>
      </c>
      <c r="Q1324" s="15"/>
      <c r="R1324" s="20">
        <f t="shared" si="123"/>
        <v>0</v>
      </c>
      <c r="S1324" s="130"/>
      <c r="T1324" s="20">
        <f t="shared" si="124"/>
        <v>-0.40003796250000001</v>
      </c>
    </row>
    <row r="1325" spans="1:20">
      <c r="A1325" s="13" t="s">
        <v>693</v>
      </c>
      <c r="B1325" s="14" t="s">
        <v>842</v>
      </c>
      <c r="C1325" s="14" t="s">
        <v>843</v>
      </c>
      <c r="D1325" s="13" t="s">
        <v>844</v>
      </c>
      <c r="E1325" s="14" t="s">
        <v>131</v>
      </c>
      <c r="F1325" s="13" t="s">
        <v>132</v>
      </c>
      <c r="G1325" s="14" t="s">
        <v>20</v>
      </c>
      <c r="H1325" s="14"/>
      <c r="I1325" s="14">
        <v>201408</v>
      </c>
      <c r="J1325" s="41">
        <v>-281.47000000000003</v>
      </c>
      <c r="K1325" s="21">
        <f t="shared" si="125"/>
        <v>42675</v>
      </c>
      <c r="L1325" s="16">
        <f t="shared" si="126"/>
        <v>6</v>
      </c>
      <c r="M1325" s="17">
        <v>2.1916700000000002E-3</v>
      </c>
      <c r="N1325" s="18">
        <f t="shared" si="121"/>
        <v>-3.7013361294000009</v>
      </c>
      <c r="O1325" s="15"/>
      <c r="P1325" s="20">
        <f t="shared" si="122"/>
        <v>0</v>
      </c>
      <c r="Q1325" s="15"/>
      <c r="R1325" s="20">
        <f t="shared" si="123"/>
        <v>0</v>
      </c>
      <c r="S1325" s="130"/>
      <c r="T1325" s="20">
        <f t="shared" si="124"/>
        <v>-3.9843837687500003</v>
      </c>
    </row>
    <row r="1326" spans="1:20">
      <c r="A1326" s="23" t="s">
        <v>21</v>
      </c>
      <c r="B1326" s="14" t="s">
        <v>513</v>
      </c>
      <c r="C1326" s="14" t="s">
        <v>514</v>
      </c>
      <c r="D1326" s="13" t="s">
        <v>515</v>
      </c>
      <c r="E1326" s="14" t="s">
        <v>209</v>
      </c>
      <c r="F1326" s="13" t="s">
        <v>88</v>
      </c>
      <c r="G1326" s="14" t="s">
        <v>20</v>
      </c>
      <c r="H1326" s="14"/>
      <c r="I1326" s="14">
        <v>201408</v>
      </c>
      <c r="J1326" s="41">
        <v>-113.66</v>
      </c>
      <c r="K1326" s="21">
        <f t="shared" si="125"/>
        <v>42675</v>
      </c>
      <c r="L1326" s="16">
        <f t="shared" si="126"/>
        <v>6</v>
      </c>
      <c r="M1326" s="17">
        <v>1.4833299999999999E-3</v>
      </c>
      <c r="N1326" s="18">
        <f t="shared" si="121"/>
        <v>-1.0115717268</v>
      </c>
      <c r="O1326" s="15"/>
      <c r="P1326" s="20">
        <f t="shared" si="122"/>
        <v>0</v>
      </c>
      <c r="Q1326" s="15"/>
      <c r="R1326" s="20">
        <f t="shared" si="123"/>
        <v>0</v>
      </c>
      <c r="S1326" s="130"/>
      <c r="T1326" s="20">
        <f t="shared" si="124"/>
        <v>-1.6089283374999999</v>
      </c>
    </row>
    <row r="1327" spans="1:20">
      <c r="A1327" s="23" t="s">
        <v>29</v>
      </c>
      <c r="B1327" s="14" t="s">
        <v>733</v>
      </c>
      <c r="C1327" s="14" t="s">
        <v>734</v>
      </c>
      <c r="D1327" s="13" t="s">
        <v>105</v>
      </c>
      <c r="E1327" s="14" t="s">
        <v>320</v>
      </c>
      <c r="F1327" s="13" t="s">
        <v>34</v>
      </c>
      <c r="G1327" s="14" t="s">
        <v>20</v>
      </c>
      <c r="H1327" s="14"/>
      <c r="I1327" s="14">
        <v>201408</v>
      </c>
      <c r="J1327" s="41">
        <v>-4.79</v>
      </c>
      <c r="K1327" s="21">
        <f t="shared" si="125"/>
        <v>42675</v>
      </c>
      <c r="L1327" s="16">
        <f t="shared" si="126"/>
        <v>6</v>
      </c>
      <c r="M1327" s="17">
        <v>2.23333E-3</v>
      </c>
      <c r="N1327" s="18">
        <f t="shared" si="121"/>
        <v>-6.4185904199999991E-2</v>
      </c>
      <c r="O1327" s="15"/>
      <c r="P1327" s="20">
        <f t="shared" si="122"/>
        <v>0</v>
      </c>
      <c r="Q1327" s="15"/>
      <c r="R1327" s="20">
        <f t="shared" si="123"/>
        <v>0</v>
      </c>
      <c r="S1327" s="130"/>
      <c r="T1327" s="20">
        <f t="shared" si="124"/>
        <v>-6.780544375E-2</v>
      </c>
    </row>
    <row r="1328" spans="1:20">
      <c r="A1328" s="23" t="s">
        <v>29</v>
      </c>
      <c r="B1328" s="14" t="s">
        <v>30</v>
      </c>
      <c r="C1328" s="14" t="s">
        <v>31</v>
      </c>
      <c r="D1328" s="13" t="s">
        <v>32</v>
      </c>
      <c r="E1328" s="14" t="s">
        <v>33</v>
      </c>
      <c r="F1328" s="13" t="s">
        <v>34</v>
      </c>
      <c r="G1328" s="14" t="s">
        <v>20</v>
      </c>
      <c r="H1328" s="14"/>
      <c r="I1328" s="14">
        <v>201408</v>
      </c>
      <c r="J1328" s="41">
        <v>13354.47</v>
      </c>
      <c r="K1328" s="21">
        <f t="shared" si="125"/>
        <v>42675</v>
      </c>
      <c r="L1328" s="16">
        <f t="shared" si="126"/>
        <v>6</v>
      </c>
      <c r="M1328" s="17">
        <v>2.23333E-3</v>
      </c>
      <c r="N1328" s="18">
        <f t="shared" si="121"/>
        <v>178.94963091059998</v>
      </c>
      <c r="O1328" s="15"/>
      <c r="P1328" s="20">
        <f t="shared" si="122"/>
        <v>0</v>
      </c>
      <c r="Q1328" s="15"/>
      <c r="R1328" s="20">
        <f t="shared" si="123"/>
        <v>0</v>
      </c>
      <c r="S1328" s="130"/>
      <c r="T1328" s="20">
        <f t="shared" si="124"/>
        <v>189.04086939374997</v>
      </c>
    </row>
    <row r="1329" spans="1:20">
      <c r="A1329" s="23" t="s">
        <v>29</v>
      </c>
      <c r="B1329" s="14" t="s">
        <v>532</v>
      </c>
      <c r="C1329" s="14" t="s">
        <v>533</v>
      </c>
      <c r="D1329" s="13" t="s">
        <v>50</v>
      </c>
      <c r="E1329" s="14" t="s">
        <v>534</v>
      </c>
      <c r="F1329" s="13" t="s">
        <v>52</v>
      </c>
      <c r="G1329" s="14" t="s">
        <v>20</v>
      </c>
      <c r="H1329" s="14"/>
      <c r="I1329" s="14">
        <v>201408</v>
      </c>
      <c r="J1329" s="41">
        <v>-7061.29</v>
      </c>
      <c r="K1329" s="21">
        <f t="shared" si="125"/>
        <v>42675</v>
      </c>
      <c r="L1329" s="16">
        <f t="shared" si="126"/>
        <v>6</v>
      </c>
      <c r="M1329" s="17">
        <v>2.23333E-3</v>
      </c>
      <c r="N1329" s="18">
        <f t="shared" si="121"/>
        <v>-94.62114477419999</v>
      </c>
      <c r="O1329" s="15"/>
      <c r="P1329" s="20">
        <f t="shared" si="122"/>
        <v>0</v>
      </c>
      <c r="Q1329" s="15"/>
      <c r="R1329" s="20">
        <f t="shared" si="123"/>
        <v>0</v>
      </c>
      <c r="S1329" s="130"/>
      <c r="T1329" s="20">
        <f t="shared" si="124"/>
        <v>-99.956973256249995</v>
      </c>
    </row>
    <row r="1330" spans="1:20">
      <c r="A1330" s="23" t="s">
        <v>29</v>
      </c>
      <c r="B1330" s="14" t="s">
        <v>37</v>
      </c>
      <c r="C1330" s="14" t="s">
        <v>38</v>
      </c>
      <c r="D1330" s="13" t="s">
        <v>39</v>
      </c>
      <c r="E1330" s="14" t="s">
        <v>40</v>
      </c>
      <c r="F1330" s="13" t="s">
        <v>41</v>
      </c>
      <c r="G1330" s="14" t="s">
        <v>20</v>
      </c>
      <c r="H1330" s="14"/>
      <c r="I1330" s="14">
        <v>201408</v>
      </c>
      <c r="J1330" s="41">
        <v>183940.08</v>
      </c>
      <c r="K1330" s="21">
        <f t="shared" si="125"/>
        <v>42675</v>
      </c>
      <c r="L1330" s="16">
        <f t="shared" si="126"/>
        <v>6</v>
      </c>
      <c r="M1330" s="17">
        <v>2.23333E-3</v>
      </c>
      <c r="N1330" s="18">
        <f t="shared" si="121"/>
        <v>2464.7933931983998</v>
      </c>
      <c r="O1330" s="15"/>
      <c r="P1330" s="20">
        <f t="shared" si="122"/>
        <v>0</v>
      </c>
      <c r="Q1330" s="15"/>
      <c r="R1330" s="20">
        <f t="shared" si="123"/>
        <v>0</v>
      </c>
      <c r="S1330" s="130"/>
      <c r="T1330" s="20">
        <f t="shared" si="124"/>
        <v>2603.7867949499996</v>
      </c>
    </row>
    <row r="1331" spans="1:20">
      <c r="A1331" s="23" t="s">
        <v>29</v>
      </c>
      <c r="B1331" s="14" t="s">
        <v>43</v>
      </c>
      <c r="C1331" s="14" t="s">
        <v>44</v>
      </c>
      <c r="D1331" s="13" t="s">
        <v>45</v>
      </c>
      <c r="E1331" s="14" t="s">
        <v>46</v>
      </c>
      <c r="F1331" s="13" t="s">
        <v>41</v>
      </c>
      <c r="G1331" s="14" t="s">
        <v>20</v>
      </c>
      <c r="H1331" s="14"/>
      <c r="I1331" s="14">
        <v>201408</v>
      </c>
      <c r="J1331" s="41">
        <v>-2353.09</v>
      </c>
      <c r="K1331" s="21">
        <f t="shared" si="125"/>
        <v>42675</v>
      </c>
      <c r="L1331" s="16">
        <f t="shared" si="126"/>
        <v>6</v>
      </c>
      <c r="M1331" s="17">
        <v>2.23333E-3</v>
      </c>
      <c r="N1331" s="18">
        <f t="shared" si="121"/>
        <v>-31.5313589382</v>
      </c>
      <c r="O1331" s="15"/>
      <c r="P1331" s="20">
        <f t="shared" si="122"/>
        <v>0</v>
      </c>
      <c r="Q1331" s="15"/>
      <c r="R1331" s="20">
        <f t="shared" si="123"/>
        <v>0</v>
      </c>
      <c r="S1331" s="130"/>
      <c r="T1331" s="20">
        <f t="shared" si="124"/>
        <v>-33.30945963125</v>
      </c>
    </row>
    <row r="1332" spans="1:20">
      <c r="A1332" s="23" t="s">
        <v>29</v>
      </c>
      <c r="B1332" s="14" t="s">
        <v>48</v>
      </c>
      <c r="C1332" s="14" t="s">
        <v>49</v>
      </c>
      <c r="D1332" s="13" t="s">
        <v>50</v>
      </c>
      <c r="E1332" s="14" t="s">
        <v>51</v>
      </c>
      <c r="F1332" s="13" t="s">
        <v>52</v>
      </c>
      <c r="G1332" s="14" t="s">
        <v>20</v>
      </c>
      <c r="H1332" s="14"/>
      <c r="I1332" s="14">
        <v>201408</v>
      </c>
      <c r="J1332" s="41">
        <v>22470.43</v>
      </c>
      <c r="K1332" s="21">
        <f t="shared" si="125"/>
        <v>42675</v>
      </c>
      <c r="L1332" s="16">
        <f t="shared" si="126"/>
        <v>6</v>
      </c>
      <c r="M1332" s="17">
        <v>2.23333E-3</v>
      </c>
      <c r="N1332" s="18">
        <f t="shared" si="121"/>
        <v>301.10331259139997</v>
      </c>
      <c r="O1332" s="15"/>
      <c r="P1332" s="20">
        <f t="shared" si="122"/>
        <v>0</v>
      </c>
      <c r="Q1332" s="15"/>
      <c r="R1332" s="20">
        <f t="shared" si="123"/>
        <v>0</v>
      </c>
      <c r="S1332" s="130"/>
      <c r="T1332" s="20">
        <f t="shared" si="124"/>
        <v>318.08298066875</v>
      </c>
    </row>
    <row r="1333" spans="1:20">
      <c r="A1333" s="23" t="s">
        <v>29</v>
      </c>
      <c r="B1333" s="14" t="s">
        <v>54</v>
      </c>
      <c r="C1333" s="14" t="s">
        <v>55</v>
      </c>
      <c r="D1333" s="13" t="s">
        <v>56</v>
      </c>
      <c r="E1333" s="14" t="s">
        <v>57</v>
      </c>
      <c r="F1333" s="13" t="s">
        <v>58</v>
      </c>
      <c r="G1333" s="14" t="s">
        <v>20</v>
      </c>
      <c r="H1333" s="14"/>
      <c r="I1333" s="14">
        <v>201408</v>
      </c>
      <c r="J1333" s="41">
        <v>-213.19</v>
      </c>
      <c r="K1333" s="21">
        <f t="shared" si="125"/>
        <v>42675</v>
      </c>
      <c r="L1333" s="16">
        <f t="shared" si="126"/>
        <v>6</v>
      </c>
      <c r="M1333" s="17">
        <v>2.23333E-3</v>
      </c>
      <c r="N1333" s="18">
        <f t="shared" si="121"/>
        <v>-2.8567417361999996</v>
      </c>
      <c r="O1333" s="15"/>
      <c r="P1333" s="20">
        <f t="shared" si="122"/>
        <v>0</v>
      </c>
      <c r="Q1333" s="15"/>
      <c r="R1333" s="20">
        <f t="shared" si="123"/>
        <v>0</v>
      </c>
      <c r="S1333" s="130"/>
      <c r="T1333" s="20">
        <f t="shared" si="124"/>
        <v>-3.0178376937499998</v>
      </c>
    </row>
    <row r="1334" spans="1:20">
      <c r="A1334" s="23" t="s">
        <v>29</v>
      </c>
      <c r="B1334" s="14" t="s">
        <v>103</v>
      </c>
      <c r="C1334" s="14" t="s">
        <v>104</v>
      </c>
      <c r="D1334" s="13" t="s">
        <v>105</v>
      </c>
      <c r="E1334" s="14" t="s">
        <v>106</v>
      </c>
      <c r="F1334" s="13" t="s">
        <v>34</v>
      </c>
      <c r="G1334" s="14" t="s">
        <v>20</v>
      </c>
      <c r="H1334" s="14"/>
      <c r="I1334" s="14">
        <v>201408</v>
      </c>
      <c r="J1334" s="41">
        <v>-1086.6099999999999</v>
      </c>
      <c r="K1334" s="21">
        <f t="shared" si="125"/>
        <v>42675</v>
      </c>
      <c r="L1334" s="16">
        <f t="shared" si="126"/>
        <v>6</v>
      </c>
      <c r="M1334" s="17">
        <v>2.23333E-3</v>
      </c>
      <c r="N1334" s="18">
        <f t="shared" si="121"/>
        <v>-14.560552267799997</v>
      </c>
      <c r="O1334" s="15"/>
      <c r="P1334" s="20">
        <f t="shared" si="122"/>
        <v>0</v>
      </c>
      <c r="Q1334" s="15"/>
      <c r="R1334" s="20">
        <f t="shared" si="123"/>
        <v>0</v>
      </c>
      <c r="S1334" s="130"/>
      <c r="T1334" s="20">
        <f t="shared" si="124"/>
        <v>-15.381643681249997</v>
      </c>
    </row>
    <row r="1335" spans="1:20">
      <c r="A1335" s="23" t="s">
        <v>29</v>
      </c>
      <c r="B1335" s="14" t="s">
        <v>107</v>
      </c>
      <c r="C1335" s="14" t="s">
        <v>108</v>
      </c>
      <c r="D1335" s="13" t="s">
        <v>109</v>
      </c>
      <c r="E1335" s="14" t="s">
        <v>110</v>
      </c>
      <c r="F1335" s="13" t="s">
        <v>52</v>
      </c>
      <c r="G1335" s="14" t="s">
        <v>20</v>
      </c>
      <c r="H1335" s="14"/>
      <c r="I1335" s="14">
        <v>201408</v>
      </c>
      <c r="J1335" s="41">
        <v>66350.95</v>
      </c>
      <c r="K1335" s="21">
        <f t="shared" si="125"/>
        <v>42675</v>
      </c>
      <c r="L1335" s="16">
        <f t="shared" si="126"/>
        <v>6</v>
      </c>
      <c r="M1335" s="17">
        <v>2.23333E-3</v>
      </c>
      <c r="N1335" s="18">
        <f t="shared" si="121"/>
        <v>889.10140298099986</v>
      </c>
      <c r="O1335" s="15"/>
      <c r="P1335" s="20">
        <f t="shared" si="122"/>
        <v>0</v>
      </c>
      <c r="Q1335" s="15"/>
      <c r="R1335" s="20">
        <f t="shared" si="123"/>
        <v>0</v>
      </c>
      <c r="S1335" s="130"/>
      <c r="T1335" s="20">
        <f t="shared" si="124"/>
        <v>939.23916659375004</v>
      </c>
    </row>
    <row r="1336" spans="1:20">
      <c r="A1336" s="23" t="s">
        <v>29</v>
      </c>
      <c r="B1336" s="14" t="s">
        <v>548</v>
      </c>
      <c r="C1336" s="14" t="s">
        <v>549</v>
      </c>
      <c r="D1336" s="13" t="s">
        <v>327</v>
      </c>
      <c r="E1336" s="14" t="s">
        <v>550</v>
      </c>
      <c r="F1336" s="13" t="s">
        <v>58</v>
      </c>
      <c r="G1336" s="14" t="s">
        <v>20</v>
      </c>
      <c r="H1336" s="14"/>
      <c r="I1336" s="14">
        <v>201408</v>
      </c>
      <c r="J1336" s="41">
        <v>-16.670000000000002</v>
      </c>
      <c r="K1336" s="21">
        <f t="shared" si="125"/>
        <v>42675</v>
      </c>
      <c r="L1336" s="16">
        <f t="shared" si="126"/>
        <v>6</v>
      </c>
      <c r="M1336" s="17">
        <v>2.23333E-3</v>
      </c>
      <c r="N1336" s="18">
        <f t="shared" si="121"/>
        <v>-0.2233776666</v>
      </c>
      <c r="O1336" s="15"/>
      <c r="P1336" s="20">
        <f t="shared" si="122"/>
        <v>0</v>
      </c>
      <c r="Q1336" s="15"/>
      <c r="R1336" s="20">
        <f t="shared" si="123"/>
        <v>0</v>
      </c>
      <c r="S1336" s="130"/>
      <c r="T1336" s="20">
        <f t="shared" si="124"/>
        <v>-0.23597426875000002</v>
      </c>
    </row>
    <row r="1337" spans="1:20">
      <c r="A1337" s="23" t="s">
        <v>29</v>
      </c>
      <c r="B1337" s="14" t="s">
        <v>111</v>
      </c>
      <c r="C1337" s="14" t="s">
        <v>112</v>
      </c>
      <c r="D1337" s="13" t="s">
        <v>113</v>
      </c>
      <c r="E1337" s="14" t="s">
        <v>114</v>
      </c>
      <c r="F1337" s="13" t="s">
        <v>115</v>
      </c>
      <c r="G1337" s="14" t="s">
        <v>20</v>
      </c>
      <c r="H1337" s="14"/>
      <c r="I1337" s="14">
        <v>201408</v>
      </c>
      <c r="J1337" s="41">
        <v>-58.15</v>
      </c>
      <c r="K1337" s="21">
        <f t="shared" si="125"/>
        <v>42675</v>
      </c>
      <c r="L1337" s="16">
        <f t="shared" si="126"/>
        <v>6</v>
      </c>
      <c r="M1337" s="17">
        <v>2.23333E-3</v>
      </c>
      <c r="N1337" s="18">
        <f t="shared" si="121"/>
        <v>-0.77920883699999988</v>
      </c>
      <c r="O1337" s="15"/>
      <c r="P1337" s="20">
        <f t="shared" si="122"/>
        <v>0</v>
      </c>
      <c r="Q1337" s="15"/>
      <c r="R1337" s="20">
        <f t="shared" si="123"/>
        <v>0</v>
      </c>
      <c r="S1337" s="130"/>
      <c r="T1337" s="20">
        <f t="shared" si="124"/>
        <v>-0.82314959374999996</v>
      </c>
    </row>
    <row r="1338" spans="1:20">
      <c r="A1338" s="23" t="s">
        <v>29</v>
      </c>
      <c r="B1338" s="14" t="s">
        <v>555</v>
      </c>
      <c r="C1338" s="14" t="s">
        <v>556</v>
      </c>
      <c r="D1338" s="13" t="s">
        <v>45</v>
      </c>
      <c r="E1338" s="14" t="s">
        <v>557</v>
      </c>
      <c r="F1338" s="13" t="s">
        <v>41</v>
      </c>
      <c r="G1338" s="14" t="s">
        <v>20</v>
      </c>
      <c r="H1338" s="14"/>
      <c r="I1338" s="14">
        <v>201408</v>
      </c>
      <c r="J1338" s="41">
        <v>-17271.810000000001</v>
      </c>
      <c r="K1338" s="21">
        <f t="shared" si="125"/>
        <v>42675</v>
      </c>
      <c r="L1338" s="16">
        <f t="shared" si="126"/>
        <v>6</v>
      </c>
      <c r="M1338" s="17">
        <v>2.23333E-3</v>
      </c>
      <c r="N1338" s="18">
        <f t="shared" si="121"/>
        <v>-231.44190856379998</v>
      </c>
      <c r="O1338" s="15"/>
      <c r="P1338" s="20">
        <f t="shared" si="122"/>
        <v>0</v>
      </c>
      <c r="Q1338" s="15"/>
      <c r="R1338" s="20">
        <f t="shared" si="123"/>
        <v>0</v>
      </c>
      <c r="S1338" s="130"/>
      <c r="T1338" s="20">
        <f t="shared" si="124"/>
        <v>-244.49326543125002</v>
      </c>
    </row>
    <row r="1339" spans="1:20">
      <c r="A1339" s="23" t="s">
        <v>29</v>
      </c>
      <c r="B1339" s="14" t="s">
        <v>121</v>
      </c>
      <c r="C1339" s="14" t="s">
        <v>122</v>
      </c>
      <c r="D1339" s="13" t="s">
        <v>50</v>
      </c>
      <c r="E1339" s="14" t="s">
        <v>123</v>
      </c>
      <c r="F1339" s="13" t="s">
        <v>52</v>
      </c>
      <c r="G1339" s="14" t="s">
        <v>20</v>
      </c>
      <c r="H1339" s="14"/>
      <c r="I1339" s="14">
        <v>201408</v>
      </c>
      <c r="J1339" s="41">
        <v>2765.83</v>
      </c>
      <c r="K1339" s="21">
        <f t="shared" si="125"/>
        <v>42675</v>
      </c>
      <c r="L1339" s="16">
        <f t="shared" si="126"/>
        <v>6</v>
      </c>
      <c r="M1339" s="17">
        <v>2.23333E-3</v>
      </c>
      <c r="N1339" s="18">
        <f t="shared" si="121"/>
        <v>37.062066683399998</v>
      </c>
      <c r="O1339" s="15"/>
      <c r="P1339" s="20">
        <f t="shared" si="122"/>
        <v>0</v>
      </c>
      <c r="Q1339" s="15"/>
      <c r="R1339" s="20">
        <f t="shared" si="123"/>
        <v>0</v>
      </c>
      <c r="S1339" s="130"/>
      <c r="T1339" s="20">
        <f t="shared" si="124"/>
        <v>39.152052293749996</v>
      </c>
    </row>
    <row r="1340" spans="1:20">
      <c r="A1340" s="23" t="s">
        <v>29</v>
      </c>
      <c r="B1340" s="14" t="s">
        <v>124</v>
      </c>
      <c r="C1340" s="14" t="s">
        <v>125</v>
      </c>
      <c r="D1340" s="13" t="s">
        <v>50</v>
      </c>
      <c r="E1340" s="14" t="s">
        <v>126</v>
      </c>
      <c r="F1340" s="13" t="s">
        <v>52</v>
      </c>
      <c r="G1340" s="14" t="s">
        <v>20</v>
      </c>
      <c r="H1340" s="14"/>
      <c r="I1340" s="14">
        <v>201408</v>
      </c>
      <c r="J1340" s="41">
        <v>8170.1</v>
      </c>
      <c r="K1340" s="21">
        <f t="shared" si="125"/>
        <v>42675</v>
      </c>
      <c r="L1340" s="16">
        <f t="shared" si="126"/>
        <v>6</v>
      </c>
      <c r="M1340" s="17">
        <v>2.23333E-3</v>
      </c>
      <c r="N1340" s="18">
        <f t="shared" si="121"/>
        <v>109.479176598</v>
      </c>
      <c r="O1340" s="15"/>
      <c r="P1340" s="20">
        <f t="shared" si="122"/>
        <v>0</v>
      </c>
      <c r="Q1340" s="15"/>
      <c r="R1340" s="20">
        <f t="shared" si="123"/>
        <v>0</v>
      </c>
      <c r="S1340" s="130"/>
      <c r="T1340" s="20">
        <f t="shared" si="124"/>
        <v>115.6528718125</v>
      </c>
    </row>
    <row r="1341" spans="1:20">
      <c r="A1341" s="23" t="s">
        <v>29</v>
      </c>
      <c r="B1341" s="14" t="s">
        <v>183</v>
      </c>
      <c r="C1341" s="14" t="s">
        <v>184</v>
      </c>
      <c r="D1341" s="13" t="s">
        <v>45</v>
      </c>
      <c r="E1341" s="14" t="s">
        <v>185</v>
      </c>
      <c r="F1341" s="13" t="s">
        <v>41</v>
      </c>
      <c r="G1341" s="14" t="s">
        <v>20</v>
      </c>
      <c r="H1341" s="14"/>
      <c r="I1341" s="14">
        <v>201408</v>
      </c>
      <c r="J1341" s="41">
        <v>44898.19</v>
      </c>
      <c r="K1341" s="21">
        <f t="shared" si="125"/>
        <v>42675</v>
      </c>
      <c r="L1341" s="16">
        <f t="shared" si="126"/>
        <v>6</v>
      </c>
      <c r="M1341" s="17">
        <v>2.23333E-3</v>
      </c>
      <c r="N1341" s="18">
        <f t="shared" si="121"/>
        <v>601.63484803619997</v>
      </c>
      <c r="O1341" s="15"/>
      <c r="P1341" s="20">
        <f t="shared" si="122"/>
        <v>0</v>
      </c>
      <c r="Q1341" s="15"/>
      <c r="R1341" s="20">
        <f t="shared" si="123"/>
        <v>0</v>
      </c>
      <c r="S1341" s="130"/>
      <c r="T1341" s="20">
        <f t="shared" si="124"/>
        <v>635.56194081875003</v>
      </c>
    </row>
    <row r="1342" spans="1:20">
      <c r="A1342" s="23" t="s">
        <v>29</v>
      </c>
      <c r="B1342" s="14" t="s">
        <v>186</v>
      </c>
      <c r="C1342" s="14" t="s">
        <v>187</v>
      </c>
      <c r="D1342" s="13" t="s">
        <v>188</v>
      </c>
      <c r="E1342" s="14" t="s">
        <v>189</v>
      </c>
      <c r="F1342" s="13" t="s">
        <v>190</v>
      </c>
      <c r="G1342" s="14" t="s">
        <v>20</v>
      </c>
      <c r="H1342" s="14"/>
      <c r="I1342" s="14">
        <v>201408</v>
      </c>
      <c r="J1342" s="41">
        <v>26967.81</v>
      </c>
      <c r="K1342" s="21">
        <f t="shared" si="125"/>
        <v>42675</v>
      </c>
      <c r="L1342" s="16">
        <f t="shared" si="126"/>
        <v>6</v>
      </c>
      <c r="M1342" s="17">
        <v>2.23333E-3</v>
      </c>
      <c r="N1342" s="18">
        <f t="shared" si="121"/>
        <v>361.36811464379997</v>
      </c>
      <c r="O1342" s="15"/>
      <c r="P1342" s="20">
        <f t="shared" si="122"/>
        <v>0</v>
      </c>
      <c r="Q1342" s="15"/>
      <c r="R1342" s="20">
        <f t="shared" si="123"/>
        <v>0</v>
      </c>
      <c r="S1342" s="130"/>
      <c r="T1342" s="20">
        <f t="shared" si="124"/>
        <v>381.74620543124996</v>
      </c>
    </row>
    <row r="1343" spans="1:20">
      <c r="A1343" s="23" t="s">
        <v>29</v>
      </c>
      <c r="B1343" s="14" t="s">
        <v>191</v>
      </c>
      <c r="C1343" s="14" t="s">
        <v>192</v>
      </c>
      <c r="D1343" s="13" t="s">
        <v>193</v>
      </c>
      <c r="E1343" s="14" t="s">
        <v>194</v>
      </c>
      <c r="F1343" s="13" t="s">
        <v>115</v>
      </c>
      <c r="G1343" s="14" t="s">
        <v>20</v>
      </c>
      <c r="H1343" s="14"/>
      <c r="I1343" s="14">
        <v>201408</v>
      </c>
      <c r="J1343" s="41">
        <v>43214.62</v>
      </c>
      <c r="K1343" s="21">
        <f t="shared" si="125"/>
        <v>42675</v>
      </c>
      <c r="L1343" s="16">
        <f t="shared" si="126"/>
        <v>6</v>
      </c>
      <c r="M1343" s="17">
        <v>2.23333E-3</v>
      </c>
      <c r="N1343" s="18">
        <f t="shared" si="121"/>
        <v>579.0750437076</v>
      </c>
      <c r="O1343" s="15"/>
      <c r="P1343" s="20">
        <f t="shared" si="122"/>
        <v>0</v>
      </c>
      <c r="Q1343" s="15"/>
      <c r="R1343" s="20">
        <f t="shared" si="123"/>
        <v>0</v>
      </c>
      <c r="S1343" s="130"/>
      <c r="T1343" s="20">
        <f t="shared" si="124"/>
        <v>611.72995523750001</v>
      </c>
    </row>
    <row r="1344" spans="1:20">
      <c r="A1344" s="23" t="s">
        <v>29</v>
      </c>
      <c r="B1344" s="14" t="s">
        <v>195</v>
      </c>
      <c r="C1344" s="14" t="s">
        <v>196</v>
      </c>
      <c r="D1344" s="13" t="s">
        <v>197</v>
      </c>
      <c r="E1344" s="14" t="s">
        <v>198</v>
      </c>
      <c r="F1344" s="13" t="s">
        <v>199</v>
      </c>
      <c r="G1344" s="14" t="s">
        <v>20</v>
      </c>
      <c r="H1344" s="14"/>
      <c r="I1344" s="14">
        <v>201408</v>
      </c>
      <c r="J1344" s="41">
        <v>52985.120000000003</v>
      </c>
      <c r="K1344" s="21">
        <f t="shared" si="125"/>
        <v>42675</v>
      </c>
      <c r="L1344" s="16">
        <f t="shared" si="126"/>
        <v>6</v>
      </c>
      <c r="M1344" s="17">
        <v>2.23333E-3</v>
      </c>
      <c r="N1344" s="18">
        <f t="shared" si="121"/>
        <v>709.99954829759997</v>
      </c>
      <c r="O1344" s="15"/>
      <c r="P1344" s="20">
        <f t="shared" si="122"/>
        <v>0</v>
      </c>
      <c r="Q1344" s="15"/>
      <c r="R1344" s="20">
        <f t="shared" si="123"/>
        <v>0</v>
      </c>
      <c r="S1344" s="130"/>
      <c r="T1344" s="20">
        <f t="shared" si="124"/>
        <v>750.03748929999995</v>
      </c>
    </row>
    <row r="1345" spans="1:20">
      <c r="A1345" s="23" t="s">
        <v>29</v>
      </c>
      <c r="B1345" s="14" t="s">
        <v>200</v>
      </c>
      <c r="C1345" s="14" t="s">
        <v>201</v>
      </c>
      <c r="D1345" s="13" t="s">
        <v>197</v>
      </c>
      <c r="E1345" s="14" t="s">
        <v>202</v>
      </c>
      <c r="F1345" s="13" t="s">
        <v>199</v>
      </c>
      <c r="G1345" s="14" t="s">
        <v>20</v>
      </c>
      <c r="H1345" s="14"/>
      <c r="I1345" s="14">
        <v>201408</v>
      </c>
      <c r="J1345" s="41">
        <v>4213.7299999999996</v>
      </c>
      <c r="K1345" s="21">
        <f t="shared" si="125"/>
        <v>42675</v>
      </c>
      <c r="L1345" s="16">
        <f t="shared" si="126"/>
        <v>6</v>
      </c>
      <c r="M1345" s="17">
        <v>2.23333E-3</v>
      </c>
      <c r="N1345" s="18">
        <f t="shared" si="121"/>
        <v>56.463897725399988</v>
      </c>
      <c r="O1345" s="15"/>
      <c r="P1345" s="20">
        <f t="shared" si="122"/>
        <v>0</v>
      </c>
      <c r="Q1345" s="15"/>
      <c r="R1345" s="20">
        <f t="shared" si="123"/>
        <v>0</v>
      </c>
      <c r="S1345" s="130"/>
      <c r="T1345" s="20">
        <f t="shared" si="124"/>
        <v>59.647981731249992</v>
      </c>
    </row>
    <row r="1346" spans="1:20">
      <c r="A1346" s="23" t="s">
        <v>29</v>
      </c>
      <c r="B1346" s="14" t="s">
        <v>831</v>
      </c>
      <c r="C1346" s="14" t="s">
        <v>832</v>
      </c>
      <c r="D1346" s="13" t="s">
        <v>833</v>
      </c>
      <c r="E1346" s="14" t="s">
        <v>834</v>
      </c>
      <c r="F1346" s="13" t="s">
        <v>835</v>
      </c>
      <c r="G1346" s="14" t="s">
        <v>20</v>
      </c>
      <c r="H1346" s="14"/>
      <c r="I1346" s="14">
        <v>201408</v>
      </c>
      <c r="J1346" s="41">
        <v>-143.46</v>
      </c>
      <c r="K1346" s="21">
        <f t="shared" si="125"/>
        <v>42675</v>
      </c>
      <c r="L1346" s="16">
        <f t="shared" si="126"/>
        <v>6</v>
      </c>
      <c r="M1346" s="17">
        <v>2.23333E-3</v>
      </c>
      <c r="N1346" s="18">
        <f t="shared" si="121"/>
        <v>-1.9223611307999999</v>
      </c>
      <c r="O1346" s="15"/>
      <c r="P1346" s="20">
        <f t="shared" si="122"/>
        <v>0</v>
      </c>
      <c r="Q1346" s="15"/>
      <c r="R1346" s="20">
        <f t="shared" si="123"/>
        <v>0</v>
      </c>
      <c r="S1346" s="130"/>
      <c r="T1346" s="20">
        <f t="shared" si="124"/>
        <v>-2.0307659624999999</v>
      </c>
    </row>
    <row r="1347" spans="1:20">
      <c r="A1347" s="23" t="s">
        <v>29</v>
      </c>
      <c r="B1347" s="14" t="s">
        <v>481</v>
      </c>
      <c r="C1347" s="14" t="s">
        <v>482</v>
      </c>
      <c r="D1347" s="13" t="s">
        <v>483</v>
      </c>
      <c r="E1347" s="14" t="s">
        <v>484</v>
      </c>
      <c r="F1347" s="13" t="s">
        <v>190</v>
      </c>
      <c r="G1347" s="14" t="s">
        <v>20</v>
      </c>
      <c r="H1347" s="14"/>
      <c r="I1347" s="14">
        <v>201408</v>
      </c>
      <c r="J1347" s="41">
        <v>-864.24</v>
      </c>
      <c r="K1347" s="21">
        <f t="shared" si="125"/>
        <v>42675</v>
      </c>
      <c r="L1347" s="16">
        <f t="shared" si="126"/>
        <v>6</v>
      </c>
      <c r="M1347" s="17">
        <v>2.23333E-3</v>
      </c>
      <c r="N1347" s="18">
        <f t="shared" si="121"/>
        <v>-11.580798715199998</v>
      </c>
      <c r="O1347" s="15"/>
      <c r="P1347" s="20">
        <f t="shared" si="122"/>
        <v>0</v>
      </c>
      <c r="Q1347" s="15"/>
      <c r="R1347" s="20">
        <f t="shared" si="123"/>
        <v>0</v>
      </c>
      <c r="S1347" s="130"/>
      <c r="T1347" s="20">
        <f t="shared" si="124"/>
        <v>-12.233857349999999</v>
      </c>
    </row>
    <row r="1348" spans="1:20">
      <c r="A1348" s="23" t="s">
        <v>29</v>
      </c>
      <c r="B1348" s="14" t="s">
        <v>236</v>
      </c>
      <c r="C1348" s="14" t="s">
        <v>237</v>
      </c>
      <c r="D1348" s="13" t="s">
        <v>188</v>
      </c>
      <c r="E1348" s="14" t="s">
        <v>238</v>
      </c>
      <c r="F1348" s="13" t="s">
        <v>190</v>
      </c>
      <c r="G1348" s="14" t="s">
        <v>20</v>
      </c>
      <c r="H1348" s="14"/>
      <c r="I1348" s="14">
        <v>201408</v>
      </c>
      <c r="J1348" s="41">
        <v>74618.95</v>
      </c>
      <c r="K1348" s="21">
        <f t="shared" si="125"/>
        <v>42675</v>
      </c>
      <c r="L1348" s="16">
        <f t="shared" si="126"/>
        <v>6</v>
      </c>
      <c r="M1348" s="17">
        <v>2.23333E-3</v>
      </c>
      <c r="N1348" s="18">
        <f t="shared" si="121"/>
        <v>999.89243762099989</v>
      </c>
      <c r="O1348" s="15"/>
      <c r="P1348" s="20">
        <f t="shared" si="122"/>
        <v>0</v>
      </c>
      <c r="Q1348" s="15"/>
      <c r="R1348" s="20">
        <f t="shared" si="123"/>
        <v>0</v>
      </c>
      <c r="S1348" s="130"/>
      <c r="T1348" s="20">
        <f t="shared" si="124"/>
        <v>1056.2778740937499</v>
      </c>
    </row>
    <row r="1349" spans="1:20">
      <c r="A1349" s="23" t="s">
        <v>29</v>
      </c>
      <c r="B1349" s="14" t="s">
        <v>239</v>
      </c>
      <c r="C1349" s="14" t="s">
        <v>240</v>
      </c>
      <c r="D1349" s="13" t="s">
        <v>197</v>
      </c>
      <c r="E1349" s="14" t="s">
        <v>241</v>
      </c>
      <c r="F1349" s="13" t="s">
        <v>199</v>
      </c>
      <c r="G1349" s="14" t="s">
        <v>20</v>
      </c>
      <c r="H1349" s="14"/>
      <c r="I1349" s="14">
        <v>201408</v>
      </c>
      <c r="J1349" s="41">
        <v>-3136.9</v>
      </c>
      <c r="K1349" s="21">
        <f t="shared" si="125"/>
        <v>42675</v>
      </c>
      <c r="L1349" s="16">
        <f t="shared" si="126"/>
        <v>6</v>
      </c>
      <c r="M1349" s="17">
        <v>2.23333E-3</v>
      </c>
      <c r="N1349" s="18">
        <f t="shared" si="121"/>
        <v>-42.034397261999999</v>
      </c>
      <c r="O1349" s="15"/>
      <c r="P1349" s="20">
        <f t="shared" si="122"/>
        <v>0</v>
      </c>
      <c r="Q1349" s="15"/>
      <c r="R1349" s="20">
        <f t="shared" si="123"/>
        <v>0</v>
      </c>
      <c r="S1349" s="130"/>
      <c r="T1349" s="20">
        <f t="shared" si="124"/>
        <v>-44.404780062499995</v>
      </c>
    </row>
    <row r="1350" spans="1:20">
      <c r="A1350" s="23" t="s">
        <v>29</v>
      </c>
      <c r="B1350" s="14" t="s">
        <v>706</v>
      </c>
      <c r="C1350" s="14" t="s">
        <v>707</v>
      </c>
      <c r="D1350" s="13" t="s">
        <v>708</v>
      </c>
      <c r="E1350" s="14" t="s">
        <v>709</v>
      </c>
      <c r="F1350" s="13" t="s">
        <v>710</v>
      </c>
      <c r="G1350" s="14" t="s">
        <v>20</v>
      </c>
      <c r="H1350" s="14"/>
      <c r="I1350" s="14">
        <v>201408</v>
      </c>
      <c r="J1350" s="41">
        <v>-1.74</v>
      </c>
      <c r="K1350" s="21">
        <f t="shared" si="125"/>
        <v>42675</v>
      </c>
      <c r="L1350" s="16">
        <f t="shared" si="126"/>
        <v>6</v>
      </c>
      <c r="M1350" s="17">
        <v>2.23333E-3</v>
      </c>
      <c r="N1350" s="18">
        <f t="shared" ref="N1350:N1367" si="127">M1350*L1350*J1350</f>
        <v>-2.3315965199999997E-2</v>
      </c>
      <c r="O1350" s="15"/>
      <c r="P1350" s="20">
        <f t="shared" ref="P1350:P1367" si="128">$P$4*(J1350*0.5)*$V$10</f>
        <v>0</v>
      </c>
      <c r="Q1350" s="15"/>
      <c r="R1350" s="20">
        <f t="shared" ref="R1350:R1367" si="129">$R$4*(J1350*0.5)*$V$9</f>
        <v>0</v>
      </c>
      <c r="S1350" s="130"/>
      <c r="T1350" s="20">
        <f t="shared" ref="T1350:T1367" si="130">$T$4*(J1350*0.5)*$V$11</f>
        <v>-2.4630787499999997E-2</v>
      </c>
    </row>
    <row r="1351" spans="1:20">
      <c r="A1351" s="23" t="s">
        <v>29</v>
      </c>
      <c r="B1351" s="14" t="s">
        <v>633</v>
      </c>
      <c r="C1351" s="14" t="s">
        <v>634</v>
      </c>
      <c r="D1351" s="13" t="s">
        <v>193</v>
      </c>
      <c r="E1351" s="14" t="s">
        <v>635</v>
      </c>
      <c r="F1351" s="13" t="s">
        <v>115</v>
      </c>
      <c r="G1351" s="14" t="s">
        <v>20</v>
      </c>
      <c r="H1351" s="14"/>
      <c r="I1351" s="14">
        <v>201408</v>
      </c>
      <c r="J1351" s="41">
        <v>-99.06</v>
      </c>
      <c r="K1351" s="21">
        <f t="shared" ref="K1351:K1367" si="131">+K1350</f>
        <v>42675</v>
      </c>
      <c r="L1351" s="16">
        <f t="shared" si="126"/>
        <v>6</v>
      </c>
      <c r="M1351" s="17">
        <v>2.23333E-3</v>
      </c>
      <c r="N1351" s="18">
        <f t="shared" si="127"/>
        <v>-1.3274020188</v>
      </c>
      <c r="O1351" s="15"/>
      <c r="P1351" s="20">
        <f t="shared" si="128"/>
        <v>0</v>
      </c>
      <c r="Q1351" s="15"/>
      <c r="R1351" s="20">
        <f t="shared" si="129"/>
        <v>0</v>
      </c>
      <c r="S1351" s="130"/>
      <c r="T1351" s="20">
        <f t="shared" si="130"/>
        <v>-1.4022562125</v>
      </c>
    </row>
    <row r="1352" spans="1:20">
      <c r="A1352" s="23" t="s">
        <v>29</v>
      </c>
      <c r="B1352" s="14" t="s">
        <v>267</v>
      </c>
      <c r="C1352" s="14" t="s">
        <v>268</v>
      </c>
      <c r="D1352" s="13" t="s">
        <v>269</v>
      </c>
      <c r="E1352" s="14" t="s">
        <v>270</v>
      </c>
      <c r="F1352" s="13" t="s">
        <v>115</v>
      </c>
      <c r="G1352" s="14" t="s">
        <v>20</v>
      </c>
      <c r="H1352" s="14"/>
      <c r="I1352" s="14">
        <v>201408</v>
      </c>
      <c r="J1352" s="41">
        <v>230519.28</v>
      </c>
      <c r="K1352" s="21">
        <f t="shared" si="131"/>
        <v>42675</v>
      </c>
      <c r="L1352" s="16">
        <f t="shared" si="126"/>
        <v>6</v>
      </c>
      <c r="M1352" s="17">
        <v>2.23333E-3</v>
      </c>
      <c r="N1352" s="18">
        <f t="shared" si="127"/>
        <v>3088.9537416143999</v>
      </c>
      <c r="O1352" s="15"/>
      <c r="P1352" s="20">
        <f t="shared" si="128"/>
        <v>0</v>
      </c>
      <c r="Q1352" s="15"/>
      <c r="R1352" s="20">
        <f t="shared" si="129"/>
        <v>0</v>
      </c>
      <c r="S1352" s="130"/>
      <c r="T1352" s="20">
        <f t="shared" si="130"/>
        <v>3263.1444829500001</v>
      </c>
    </row>
    <row r="1353" spans="1:20">
      <c r="A1353" s="23" t="s">
        <v>29</v>
      </c>
      <c r="B1353" s="14" t="s">
        <v>271</v>
      </c>
      <c r="C1353" s="14" t="s">
        <v>272</v>
      </c>
      <c r="D1353" s="13" t="s">
        <v>197</v>
      </c>
      <c r="E1353" s="14" t="s">
        <v>273</v>
      </c>
      <c r="F1353" s="13" t="s">
        <v>199</v>
      </c>
      <c r="G1353" s="14" t="s">
        <v>20</v>
      </c>
      <c r="H1353" s="14"/>
      <c r="I1353" s="14">
        <v>201408</v>
      </c>
      <c r="J1353" s="41">
        <v>2331.64</v>
      </c>
      <c r="K1353" s="21">
        <f t="shared" si="131"/>
        <v>42675</v>
      </c>
      <c r="L1353" s="16">
        <f t="shared" si="126"/>
        <v>6</v>
      </c>
      <c r="M1353" s="17">
        <v>2.23333E-3</v>
      </c>
      <c r="N1353" s="18">
        <f t="shared" si="127"/>
        <v>31.243929367199996</v>
      </c>
      <c r="O1353" s="15"/>
      <c r="P1353" s="20">
        <f t="shared" si="128"/>
        <v>0</v>
      </c>
      <c r="Q1353" s="15"/>
      <c r="R1353" s="20">
        <f t="shared" si="129"/>
        <v>0</v>
      </c>
      <c r="S1353" s="130"/>
      <c r="T1353" s="20">
        <f t="shared" si="130"/>
        <v>33.005821474999998</v>
      </c>
    </row>
    <row r="1354" spans="1:20">
      <c r="A1354" s="23" t="s">
        <v>29</v>
      </c>
      <c r="B1354" s="14" t="s">
        <v>281</v>
      </c>
      <c r="C1354" s="14" t="s">
        <v>282</v>
      </c>
      <c r="D1354" s="13" t="s">
        <v>283</v>
      </c>
      <c r="E1354" s="14" t="s">
        <v>284</v>
      </c>
      <c r="F1354" s="13" t="s">
        <v>285</v>
      </c>
      <c r="G1354" s="14" t="s">
        <v>20</v>
      </c>
      <c r="H1354" s="14"/>
      <c r="I1354" s="14">
        <v>201408</v>
      </c>
      <c r="J1354" s="41">
        <v>-53.07</v>
      </c>
      <c r="K1354" s="21">
        <f t="shared" si="131"/>
        <v>42675</v>
      </c>
      <c r="L1354" s="16">
        <f t="shared" si="126"/>
        <v>6</v>
      </c>
      <c r="M1354" s="17">
        <v>2.23333E-3</v>
      </c>
      <c r="N1354" s="18">
        <f t="shared" si="127"/>
        <v>-0.71113693859999993</v>
      </c>
      <c r="O1354" s="15"/>
      <c r="P1354" s="20">
        <f t="shared" si="128"/>
        <v>0</v>
      </c>
      <c r="Q1354" s="15"/>
      <c r="R1354" s="20">
        <f t="shared" si="129"/>
        <v>0</v>
      </c>
      <c r="S1354" s="130"/>
      <c r="T1354" s="20">
        <f t="shared" si="130"/>
        <v>-0.75123901874999988</v>
      </c>
    </row>
    <row r="1355" spans="1:20">
      <c r="A1355" s="23" t="s">
        <v>29</v>
      </c>
      <c r="B1355" s="14" t="s">
        <v>836</v>
      </c>
      <c r="C1355" s="14" t="s">
        <v>837</v>
      </c>
      <c r="D1355" s="13" t="s">
        <v>327</v>
      </c>
      <c r="E1355" s="14" t="s">
        <v>838</v>
      </c>
      <c r="F1355" s="13" t="s">
        <v>58</v>
      </c>
      <c r="G1355" s="14" t="s">
        <v>20</v>
      </c>
      <c r="H1355" s="14"/>
      <c r="I1355" s="14">
        <v>201408</v>
      </c>
      <c r="J1355" s="41">
        <v>992.06</v>
      </c>
      <c r="K1355" s="21">
        <f t="shared" si="131"/>
        <v>42675</v>
      </c>
      <c r="L1355" s="16">
        <f t="shared" si="126"/>
        <v>6</v>
      </c>
      <c r="M1355" s="17">
        <v>2.23333E-3</v>
      </c>
      <c r="N1355" s="18">
        <f t="shared" si="127"/>
        <v>13.293584158799998</v>
      </c>
      <c r="O1355" s="15"/>
      <c r="P1355" s="20">
        <f t="shared" si="128"/>
        <v>0</v>
      </c>
      <c r="Q1355" s="15"/>
      <c r="R1355" s="20">
        <f t="shared" si="129"/>
        <v>0</v>
      </c>
      <c r="S1355" s="130"/>
      <c r="T1355" s="20">
        <f t="shared" si="130"/>
        <v>14.0432293375</v>
      </c>
    </row>
    <row r="1356" spans="1:20">
      <c r="A1356" s="23" t="s">
        <v>29</v>
      </c>
      <c r="B1356" s="14" t="s">
        <v>292</v>
      </c>
      <c r="C1356" s="14" t="s">
        <v>293</v>
      </c>
      <c r="D1356" s="13" t="s">
        <v>197</v>
      </c>
      <c r="E1356" s="14" t="s">
        <v>294</v>
      </c>
      <c r="F1356" s="13" t="s">
        <v>199</v>
      </c>
      <c r="G1356" s="14" t="s">
        <v>20</v>
      </c>
      <c r="H1356" s="14"/>
      <c r="I1356" s="14">
        <v>201408</v>
      </c>
      <c r="J1356" s="41">
        <v>-2171.91</v>
      </c>
      <c r="K1356" s="21">
        <f t="shared" si="131"/>
        <v>42675</v>
      </c>
      <c r="L1356" s="16">
        <f t="shared" si="126"/>
        <v>6</v>
      </c>
      <c r="M1356" s="17">
        <v>2.23333E-3</v>
      </c>
      <c r="N1356" s="18">
        <f t="shared" si="127"/>
        <v>-29.103550561799995</v>
      </c>
      <c r="O1356" s="15"/>
      <c r="P1356" s="20">
        <f t="shared" si="128"/>
        <v>0</v>
      </c>
      <c r="Q1356" s="15"/>
      <c r="R1356" s="20">
        <f t="shared" si="129"/>
        <v>0</v>
      </c>
      <c r="S1356" s="130"/>
      <c r="T1356" s="20">
        <f t="shared" si="130"/>
        <v>-30.744743493749997</v>
      </c>
    </row>
    <row r="1357" spans="1:20">
      <c r="A1357" s="23" t="s">
        <v>29</v>
      </c>
      <c r="B1357" s="14" t="s">
        <v>314</v>
      </c>
      <c r="C1357" s="14" t="s">
        <v>315</v>
      </c>
      <c r="D1357" s="13" t="s">
        <v>316</v>
      </c>
      <c r="E1357" s="14" t="s">
        <v>317</v>
      </c>
      <c r="F1357" s="13" t="s">
        <v>285</v>
      </c>
      <c r="G1357" s="14" t="s">
        <v>20</v>
      </c>
      <c r="H1357" s="14"/>
      <c r="I1357" s="14">
        <v>201408</v>
      </c>
      <c r="J1357" s="41">
        <v>31.41</v>
      </c>
      <c r="K1357" s="21">
        <f t="shared" si="131"/>
        <v>42675</v>
      </c>
      <c r="L1357" s="16">
        <f t="shared" ref="L1357:L1367" si="132">((YEAR($L$1)-YEAR(K1357))*12+MONTH($L$1)-MONTH(K1357))</f>
        <v>6</v>
      </c>
      <c r="M1357" s="17">
        <v>2.23333E-3</v>
      </c>
      <c r="N1357" s="18">
        <f t="shared" si="127"/>
        <v>0.42089337179999997</v>
      </c>
      <c r="O1357" s="15"/>
      <c r="P1357" s="20">
        <f t="shared" si="128"/>
        <v>0</v>
      </c>
      <c r="Q1357" s="15"/>
      <c r="R1357" s="20">
        <f t="shared" si="129"/>
        <v>0</v>
      </c>
      <c r="S1357" s="130"/>
      <c r="T1357" s="20">
        <f t="shared" si="130"/>
        <v>0.44462818124999998</v>
      </c>
    </row>
    <row r="1358" spans="1:20">
      <c r="A1358" s="23" t="s">
        <v>29</v>
      </c>
      <c r="B1358" s="14" t="s">
        <v>318</v>
      </c>
      <c r="C1358" s="14" t="s">
        <v>319</v>
      </c>
      <c r="D1358" s="13" t="s">
        <v>105</v>
      </c>
      <c r="E1358" s="14" t="s">
        <v>320</v>
      </c>
      <c r="F1358" s="13" t="s">
        <v>34</v>
      </c>
      <c r="G1358" s="14" t="s">
        <v>20</v>
      </c>
      <c r="H1358" s="14"/>
      <c r="I1358" s="14">
        <v>201408</v>
      </c>
      <c r="J1358" s="41">
        <v>2360.13</v>
      </c>
      <c r="K1358" s="21">
        <f t="shared" si="131"/>
        <v>42675</v>
      </c>
      <c r="L1358" s="16">
        <f t="shared" si="132"/>
        <v>6</v>
      </c>
      <c r="M1358" s="17">
        <v>2.23333E-3</v>
      </c>
      <c r="N1358" s="18">
        <f t="shared" si="127"/>
        <v>31.625694797399998</v>
      </c>
      <c r="O1358" s="15"/>
      <c r="P1358" s="20">
        <f t="shared" si="128"/>
        <v>0</v>
      </c>
      <c r="Q1358" s="15"/>
      <c r="R1358" s="20">
        <f t="shared" si="129"/>
        <v>0</v>
      </c>
      <c r="S1358" s="130"/>
      <c r="T1358" s="20">
        <f t="shared" si="130"/>
        <v>33.409115231249999</v>
      </c>
    </row>
    <row r="1359" spans="1:20">
      <c r="A1359" s="23" t="s">
        <v>29</v>
      </c>
      <c r="B1359" s="14" t="s">
        <v>321</v>
      </c>
      <c r="C1359" s="14" t="s">
        <v>322</v>
      </c>
      <c r="D1359" s="13" t="s">
        <v>323</v>
      </c>
      <c r="E1359" s="14" t="s">
        <v>324</v>
      </c>
      <c r="F1359" s="13" t="s">
        <v>52</v>
      </c>
      <c r="G1359" s="14" t="s">
        <v>20</v>
      </c>
      <c r="H1359" s="14"/>
      <c r="I1359" s="14">
        <v>201408</v>
      </c>
      <c r="J1359" s="41">
        <v>29834.3</v>
      </c>
      <c r="K1359" s="21">
        <f t="shared" si="131"/>
        <v>42675</v>
      </c>
      <c r="L1359" s="16">
        <f t="shared" si="132"/>
        <v>6</v>
      </c>
      <c r="M1359" s="17">
        <v>2.23333E-3</v>
      </c>
      <c r="N1359" s="18">
        <f t="shared" si="127"/>
        <v>399.77902331399997</v>
      </c>
      <c r="O1359" s="15"/>
      <c r="P1359" s="20">
        <f t="shared" si="128"/>
        <v>0</v>
      </c>
      <c r="Q1359" s="15"/>
      <c r="R1359" s="20">
        <f t="shared" si="129"/>
        <v>0</v>
      </c>
      <c r="S1359" s="130"/>
      <c r="T1359" s="20">
        <f t="shared" si="130"/>
        <v>422.32316293749994</v>
      </c>
    </row>
    <row r="1360" spans="1:20">
      <c r="A1360" s="23" t="s">
        <v>29</v>
      </c>
      <c r="B1360" s="14" t="s">
        <v>419</v>
      </c>
      <c r="C1360" s="14" t="s">
        <v>420</v>
      </c>
      <c r="D1360" s="13" t="s">
        <v>50</v>
      </c>
      <c r="E1360" s="14" t="s">
        <v>421</v>
      </c>
      <c r="F1360" s="13" t="s">
        <v>52</v>
      </c>
      <c r="G1360" s="14" t="s">
        <v>20</v>
      </c>
      <c r="H1360" s="14"/>
      <c r="I1360" s="14">
        <v>201408</v>
      </c>
      <c r="J1360" s="41">
        <v>68566.92</v>
      </c>
      <c r="K1360" s="21">
        <f t="shared" si="131"/>
        <v>42675</v>
      </c>
      <c r="L1360" s="16">
        <f t="shared" si="132"/>
        <v>6</v>
      </c>
      <c r="M1360" s="17">
        <v>2.23333E-3</v>
      </c>
      <c r="N1360" s="18">
        <f t="shared" si="127"/>
        <v>918.79535666159995</v>
      </c>
      <c r="O1360" s="15"/>
      <c r="P1360" s="20">
        <f t="shared" si="128"/>
        <v>0</v>
      </c>
      <c r="Q1360" s="15"/>
      <c r="R1360" s="20">
        <f t="shared" si="129"/>
        <v>0</v>
      </c>
      <c r="S1360" s="130"/>
      <c r="T1360" s="20">
        <f t="shared" si="130"/>
        <v>970.60760692500003</v>
      </c>
    </row>
    <row r="1361" spans="1:20">
      <c r="A1361" s="23" t="s">
        <v>29</v>
      </c>
      <c r="B1361" s="14" t="s">
        <v>839</v>
      </c>
      <c r="C1361" s="14" t="s">
        <v>840</v>
      </c>
      <c r="D1361" s="13" t="s">
        <v>50</v>
      </c>
      <c r="E1361" s="14" t="s">
        <v>841</v>
      </c>
      <c r="F1361" s="13" t="s">
        <v>52</v>
      </c>
      <c r="G1361" s="14" t="s">
        <v>20</v>
      </c>
      <c r="H1361" s="14"/>
      <c r="I1361" s="14">
        <v>201408</v>
      </c>
      <c r="J1361" s="41">
        <v>-0.35</v>
      </c>
      <c r="K1361" s="21">
        <f t="shared" si="131"/>
        <v>42675</v>
      </c>
      <c r="L1361" s="16">
        <f t="shared" si="132"/>
        <v>6</v>
      </c>
      <c r="M1361" s="17">
        <v>2.23333E-3</v>
      </c>
      <c r="N1361" s="18">
        <f t="shared" si="127"/>
        <v>-4.6899929999999991E-3</v>
      </c>
      <c r="O1361" s="15"/>
      <c r="P1361" s="20">
        <f t="shared" si="128"/>
        <v>0</v>
      </c>
      <c r="Q1361" s="15"/>
      <c r="R1361" s="20">
        <f t="shared" si="129"/>
        <v>0</v>
      </c>
      <c r="S1361" s="130"/>
      <c r="T1361" s="20">
        <f t="shared" si="130"/>
        <v>-4.9544687499999997E-3</v>
      </c>
    </row>
    <row r="1362" spans="1:20">
      <c r="A1362" s="23" t="s">
        <v>29</v>
      </c>
      <c r="B1362" s="14" t="s">
        <v>325</v>
      </c>
      <c r="C1362" s="14" t="s">
        <v>326</v>
      </c>
      <c r="D1362" s="13" t="s">
        <v>327</v>
      </c>
      <c r="E1362" s="14" t="s">
        <v>328</v>
      </c>
      <c r="F1362" s="13" t="s">
        <v>58</v>
      </c>
      <c r="G1362" s="14" t="s">
        <v>20</v>
      </c>
      <c r="H1362" s="14"/>
      <c r="I1362" s="14">
        <v>201408</v>
      </c>
      <c r="J1362" s="41">
        <v>7100.94</v>
      </c>
      <c r="K1362" s="21">
        <f t="shared" si="131"/>
        <v>42675</v>
      </c>
      <c r="L1362" s="16">
        <f t="shared" si="132"/>
        <v>6</v>
      </c>
      <c r="M1362" s="17">
        <v>2.23333E-3</v>
      </c>
      <c r="N1362" s="18">
        <f t="shared" si="127"/>
        <v>95.152453981199983</v>
      </c>
      <c r="O1362" s="15"/>
      <c r="P1362" s="20">
        <f t="shared" si="128"/>
        <v>0</v>
      </c>
      <c r="Q1362" s="15"/>
      <c r="R1362" s="20">
        <f t="shared" si="129"/>
        <v>0</v>
      </c>
      <c r="S1362" s="130"/>
      <c r="T1362" s="20">
        <f t="shared" si="130"/>
        <v>100.51824378749998</v>
      </c>
    </row>
    <row r="1363" spans="1:20">
      <c r="A1363" s="23" t="s">
        <v>29</v>
      </c>
      <c r="B1363" s="14" t="s">
        <v>720</v>
      </c>
      <c r="C1363" s="14" t="s">
        <v>721</v>
      </c>
      <c r="D1363" s="13" t="s">
        <v>722</v>
      </c>
      <c r="E1363" s="14" t="s">
        <v>723</v>
      </c>
      <c r="F1363" s="13" t="s">
        <v>285</v>
      </c>
      <c r="G1363" s="14" t="s">
        <v>20</v>
      </c>
      <c r="H1363" s="14"/>
      <c r="I1363" s="14">
        <v>201408</v>
      </c>
      <c r="J1363" s="41">
        <v>-43.37</v>
      </c>
      <c r="K1363" s="21">
        <f t="shared" si="131"/>
        <v>42675</v>
      </c>
      <c r="L1363" s="16">
        <f t="shared" si="132"/>
        <v>6</v>
      </c>
      <c r="M1363" s="17">
        <v>2.23333E-3</v>
      </c>
      <c r="N1363" s="18">
        <f t="shared" si="127"/>
        <v>-0.5811571325999999</v>
      </c>
      <c r="O1363" s="15"/>
      <c r="P1363" s="20">
        <f t="shared" si="128"/>
        <v>0</v>
      </c>
      <c r="Q1363" s="15"/>
      <c r="R1363" s="20">
        <f t="shared" si="129"/>
        <v>0</v>
      </c>
      <c r="S1363" s="130"/>
      <c r="T1363" s="20">
        <f t="shared" si="130"/>
        <v>-0.61392945624999995</v>
      </c>
    </row>
    <row r="1364" spans="1:20">
      <c r="A1364" s="23" t="s">
        <v>29</v>
      </c>
      <c r="B1364" s="14" t="s">
        <v>854</v>
      </c>
      <c r="C1364" s="14" t="s">
        <v>855</v>
      </c>
      <c r="D1364" s="13" t="s">
        <v>856</v>
      </c>
      <c r="E1364" s="14" t="s">
        <v>857</v>
      </c>
      <c r="F1364" s="13" t="s">
        <v>88</v>
      </c>
      <c r="G1364" s="14" t="s">
        <v>20</v>
      </c>
      <c r="H1364" s="14"/>
      <c r="I1364" s="14">
        <v>201408</v>
      </c>
      <c r="J1364" s="41">
        <v>-18.55</v>
      </c>
      <c r="K1364" s="21">
        <f t="shared" si="131"/>
        <v>42675</v>
      </c>
      <c r="L1364" s="16">
        <f t="shared" si="132"/>
        <v>6</v>
      </c>
      <c r="M1364" s="17">
        <v>2.23333E-3</v>
      </c>
      <c r="N1364" s="18">
        <f t="shared" si="127"/>
        <v>-0.24856962899999999</v>
      </c>
      <c r="O1364" s="15"/>
      <c r="P1364" s="20">
        <f t="shared" si="128"/>
        <v>0</v>
      </c>
      <c r="Q1364" s="15"/>
      <c r="R1364" s="20">
        <f t="shared" si="129"/>
        <v>0</v>
      </c>
      <c r="S1364" s="130"/>
      <c r="T1364" s="20">
        <f t="shared" si="130"/>
        <v>-0.26258684374999997</v>
      </c>
    </row>
    <row r="1365" spans="1:20">
      <c r="A1365" s="13" t="s">
        <v>21</v>
      </c>
      <c r="B1365" s="14" t="s">
        <v>210</v>
      </c>
      <c r="C1365" s="14" t="s">
        <v>211</v>
      </c>
      <c r="D1365" s="13" t="s">
        <v>212</v>
      </c>
      <c r="E1365" s="14" t="s">
        <v>137</v>
      </c>
      <c r="F1365" s="13" t="s">
        <v>138</v>
      </c>
      <c r="G1365" s="14" t="s">
        <v>20</v>
      </c>
      <c r="H1365" s="14"/>
      <c r="I1365" s="14">
        <v>201408</v>
      </c>
      <c r="J1365" s="41">
        <v>-149.79</v>
      </c>
      <c r="K1365" s="21">
        <f t="shared" si="131"/>
        <v>42675</v>
      </c>
      <c r="L1365" s="16">
        <f t="shared" si="132"/>
        <v>6</v>
      </c>
      <c r="M1365" s="17">
        <v>1.4833299999999999E-3</v>
      </c>
      <c r="N1365" s="18">
        <f t="shared" si="127"/>
        <v>-1.3331280042</v>
      </c>
      <c r="O1365" s="15"/>
      <c r="P1365" s="20">
        <f t="shared" si="128"/>
        <v>0</v>
      </c>
      <c r="Q1365" s="15"/>
      <c r="R1365" s="20">
        <f t="shared" si="129"/>
        <v>0</v>
      </c>
      <c r="S1365" s="130"/>
      <c r="T1365" s="20">
        <f t="shared" si="130"/>
        <v>-2.1203710687499999</v>
      </c>
    </row>
    <row r="1366" spans="1:20">
      <c r="A1366" s="23" t="s">
        <v>21</v>
      </c>
      <c r="B1366" s="14" t="s">
        <v>341</v>
      </c>
      <c r="C1366" s="14" t="s">
        <v>342</v>
      </c>
      <c r="D1366" s="13" t="s">
        <v>343</v>
      </c>
      <c r="E1366" s="14" t="s">
        <v>137</v>
      </c>
      <c r="F1366" s="13" t="s">
        <v>138</v>
      </c>
      <c r="G1366" s="14" t="s">
        <v>20</v>
      </c>
      <c r="H1366" s="14"/>
      <c r="I1366" s="14">
        <v>201408</v>
      </c>
      <c r="J1366" s="41">
        <v>-4867.8</v>
      </c>
      <c r="K1366" s="21">
        <f t="shared" si="131"/>
        <v>42675</v>
      </c>
      <c r="L1366" s="16">
        <f t="shared" si="132"/>
        <v>6</v>
      </c>
      <c r="M1366" s="17">
        <v>1.4833299999999999E-3</v>
      </c>
      <c r="N1366" s="18">
        <f t="shared" si="127"/>
        <v>-43.323322644000001</v>
      </c>
      <c r="O1366" s="15"/>
      <c r="P1366" s="20">
        <f t="shared" si="128"/>
        <v>0</v>
      </c>
      <c r="Q1366" s="15"/>
      <c r="R1366" s="20">
        <f t="shared" si="129"/>
        <v>0</v>
      </c>
      <c r="S1366" s="130"/>
      <c r="T1366" s="20">
        <f t="shared" si="130"/>
        <v>-68.906751374999999</v>
      </c>
    </row>
    <row r="1367" spans="1:20">
      <c r="A1367" s="23" t="s">
        <v>21</v>
      </c>
      <c r="B1367" s="14" t="s">
        <v>344</v>
      </c>
      <c r="C1367" s="14" t="s">
        <v>345</v>
      </c>
      <c r="D1367" s="13" t="s">
        <v>346</v>
      </c>
      <c r="E1367" s="14" t="s">
        <v>137</v>
      </c>
      <c r="F1367" s="13" t="s">
        <v>138</v>
      </c>
      <c r="G1367" s="14" t="s">
        <v>20</v>
      </c>
      <c r="H1367" s="14"/>
      <c r="I1367" s="14">
        <v>201408</v>
      </c>
      <c r="J1367" s="41">
        <v>-678.1</v>
      </c>
      <c r="K1367" s="21">
        <f t="shared" si="131"/>
        <v>42675</v>
      </c>
      <c r="L1367" s="16">
        <f t="shared" si="132"/>
        <v>6</v>
      </c>
      <c r="M1367" s="17">
        <v>1.4833299999999999E-3</v>
      </c>
      <c r="N1367" s="18">
        <f t="shared" si="127"/>
        <v>-6.0350764379999999</v>
      </c>
      <c r="O1367" s="15"/>
      <c r="P1367" s="20">
        <f t="shared" si="128"/>
        <v>0</v>
      </c>
      <c r="Q1367" s="15"/>
      <c r="R1367" s="20">
        <f t="shared" si="129"/>
        <v>0</v>
      </c>
      <c r="S1367" s="130"/>
      <c r="T1367" s="20">
        <f t="shared" si="130"/>
        <v>-9.5989293124999993</v>
      </c>
    </row>
    <row r="1369" spans="1:20" ht="15.75" thickBot="1">
      <c r="H1369" s="46" t="s">
        <v>922</v>
      </c>
      <c r="J1369" s="47">
        <f>SUM(J5:J1367)</f>
        <v>13840900.259999968</v>
      </c>
      <c r="N1369" s="47">
        <f>SUM(N5:N1367)</f>
        <v>144253.38015458497</v>
      </c>
      <c r="P1369" s="47">
        <f>SUM(P5:P1367)</f>
        <v>0</v>
      </c>
      <c r="R1369" s="47">
        <f>SUM(R5:R1367)</f>
        <v>0</v>
      </c>
      <c r="S1369" s="131"/>
      <c r="T1369" s="47">
        <f>SUM(T5:T1367)</f>
        <v>195926.5937429624</v>
      </c>
    </row>
    <row r="1370" spans="1:20" ht="15.75" thickTop="1"/>
    <row r="1373" spans="1:20">
      <c r="N1373" s="4" t="s">
        <v>923</v>
      </c>
      <c r="Q1373" s="4">
        <f>+R1369+P1369</f>
        <v>0</v>
      </c>
    </row>
    <row r="1374" spans="1:20" ht="17.25">
      <c r="N1374" s="4" t="s">
        <v>924</v>
      </c>
      <c r="Q1374" s="48">
        <f>+N1369</f>
        <v>144253.38015458497</v>
      </c>
    </row>
    <row r="1375" spans="1:20">
      <c r="N1375" s="4" t="s">
        <v>925</v>
      </c>
      <c r="Q1375" s="4">
        <f>+Q1373-Q1374</f>
        <v>-144253.38015458497</v>
      </c>
    </row>
    <row r="1376" spans="1:20" ht="17.25">
      <c r="N1376" s="4" t="s">
        <v>926</v>
      </c>
      <c r="Q1376" s="48">
        <v>0.38388600000000001</v>
      </c>
    </row>
    <row r="1377" spans="14:17" ht="17.25">
      <c r="N1377" s="4" t="s">
        <v>927</v>
      </c>
      <c r="Q1377" s="49">
        <f>+Q1375*Q1376</f>
        <v>-55376.853094023005</v>
      </c>
    </row>
    <row r="1400" spans="3:3">
      <c r="C1400" s="50"/>
    </row>
  </sheetData>
  <mergeCells count="15">
    <mergeCell ref="K4:N4"/>
    <mergeCell ref="W6:Y6"/>
    <mergeCell ref="S1:T1"/>
    <mergeCell ref="S2:S3"/>
    <mergeCell ref="T2:T3"/>
    <mergeCell ref="K1:K3"/>
    <mergeCell ref="M1:M3"/>
    <mergeCell ref="N1:N3"/>
    <mergeCell ref="O1:P1"/>
    <mergeCell ref="Q1:R1"/>
    <mergeCell ref="L2:L3"/>
    <mergeCell ref="O2:O3"/>
    <mergeCell ref="P2:P3"/>
    <mergeCell ref="Q2:Q3"/>
    <mergeCell ref="R2:R3"/>
  </mergeCell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933"/>
  <sheetViews>
    <sheetView topLeftCell="H1" zoomScale="85" zoomScaleNormal="85" workbookViewId="0">
      <pane ySplit="4" topLeftCell="A20" activePane="bottomLeft" state="frozen"/>
      <selection activeCell="AA1752" sqref="AA1752"/>
      <selection pane="bottomLeft" activeCell="R628" sqref="R628:R922"/>
    </sheetView>
  </sheetViews>
  <sheetFormatPr defaultColWidth="9.140625" defaultRowHeight="15"/>
  <cols>
    <col min="1" max="1" width="37" style="53" customWidth="1"/>
    <col min="2" max="2" width="17.28515625" style="52" customWidth="1"/>
    <col min="3" max="3" width="13.85546875" style="52" customWidth="1"/>
    <col min="4" max="4" width="34.5703125" style="53" customWidth="1"/>
    <col min="5" max="5" width="8.7109375" style="52" customWidth="1"/>
    <col min="6" max="6" width="36.7109375" style="53" bestFit="1" customWidth="1"/>
    <col min="7" max="8" width="14.140625" style="52" customWidth="1"/>
    <col min="9" max="9" width="9.28515625" style="52" customWidth="1"/>
    <col min="10" max="18" width="14.7109375" style="54" customWidth="1"/>
    <col min="19" max="19" width="24.5703125" style="53" customWidth="1"/>
    <col min="20" max="16384" width="9.140625" style="53"/>
  </cols>
  <sheetData>
    <row r="1" spans="1:24">
      <c r="A1" s="51" t="s">
        <v>0</v>
      </c>
      <c r="K1" s="447" t="s">
        <v>1</v>
      </c>
      <c r="L1" s="55">
        <v>42856</v>
      </c>
      <c r="M1" s="450" t="s">
        <v>2</v>
      </c>
      <c r="N1" s="450" t="s">
        <v>2455</v>
      </c>
      <c r="O1" s="441">
        <v>2016</v>
      </c>
      <c r="P1" s="442"/>
      <c r="Q1" s="441">
        <v>2017</v>
      </c>
      <c r="R1" s="442"/>
    </row>
    <row r="2" spans="1:24">
      <c r="A2" s="51" t="s">
        <v>2428</v>
      </c>
      <c r="K2" s="448"/>
      <c r="L2" s="453" t="s">
        <v>3</v>
      </c>
      <c r="M2" s="451"/>
      <c r="N2" s="451"/>
      <c r="O2" s="443" t="s">
        <v>4</v>
      </c>
      <c r="P2" s="445" t="s">
        <v>5</v>
      </c>
      <c r="Q2" s="443" t="s">
        <v>4</v>
      </c>
      <c r="R2" s="445" t="s">
        <v>5</v>
      </c>
    </row>
    <row r="3" spans="1:24" ht="15.75" thickBot="1">
      <c r="K3" s="449"/>
      <c r="L3" s="454"/>
      <c r="M3" s="452"/>
      <c r="N3" s="452"/>
      <c r="O3" s="444"/>
      <c r="P3" s="446"/>
      <c r="Q3" s="444"/>
      <c r="R3" s="446"/>
    </row>
    <row r="4" spans="1:24" s="63" customFormat="1" ht="35.25" customHeight="1" thickBot="1">
      <c r="A4" s="56" t="s">
        <v>6</v>
      </c>
      <c r="B4" s="57" t="s">
        <v>7</v>
      </c>
      <c r="C4" s="57" t="s">
        <v>8</v>
      </c>
      <c r="D4" s="56" t="s">
        <v>9</v>
      </c>
      <c r="E4" s="57" t="s">
        <v>10</v>
      </c>
      <c r="F4" s="56" t="s">
        <v>11</v>
      </c>
      <c r="G4" s="58" t="s">
        <v>12</v>
      </c>
      <c r="H4" s="58"/>
      <c r="I4" s="57" t="s">
        <v>1</v>
      </c>
      <c r="J4" s="59" t="s">
        <v>13</v>
      </c>
      <c r="K4" s="436"/>
      <c r="L4" s="437"/>
      <c r="M4" s="437"/>
      <c r="N4" s="437"/>
      <c r="O4" s="60"/>
      <c r="P4" s="61">
        <v>0</v>
      </c>
      <c r="Q4" s="128"/>
      <c r="R4" s="61">
        <f>(0.06177*0.5)</f>
        <v>3.0884999999999999E-2</v>
      </c>
      <c r="S4" s="62"/>
    </row>
    <row r="5" spans="1:24">
      <c r="A5" s="64" t="s">
        <v>21</v>
      </c>
      <c r="B5" s="65" t="s">
        <v>425</v>
      </c>
      <c r="C5" s="65" t="s">
        <v>426</v>
      </c>
      <c r="D5" s="64" t="s">
        <v>427</v>
      </c>
      <c r="E5" s="65" t="s">
        <v>156</v>
      </c>
      <c r="F5" s="64" t="s">
        <v>26</v>
      </c>
      <c r="G5" s="65" t="s">
        <v>20</v>
      </c>
      <c r="H5" s="65" t="s">
        <v>928</v>
      </c>
      <c r="I5" s="65">
        <v>201409</v>
      </c>
      <c r="J5" s="66">
        <v>-607.88</v>
      </c>
      <c r="K5" s="55">
        <v>42675</v>
      </c>
      <c r="L5" s="67">
        <f>((YEAR($L$1)-YEAR(K5))*12+MONTH($L$1)-MONTH(K5))</f>
        <v>6</v>
      </c>
      <c r="M5" s="68">
        <v>1.4833299999999999E-3</v>
      </c>
      <c r="N5" s="69">
        <f>M5*L5*J5</f>
        <v>-5.4101198424000003</v>
      </c>
      <c r="O5" s="70"/>
      <c r="P5" s="71">
        <f>$P$4*J5*$U$11</f>
        <v>0</v>
      </c>
      <c r="Q5" s="132"/>
      <c r="R5" s="71">
        <f>$R$4*J5*$U$12</f>
        <v>-8.6049213249999994</v>
      </c>
      <c r="S5" s="64"/>
    </row>
    <row r="6" spans="1:24">
      <c r="A6" s="64" t="s">
        <v>21</v>
      </c>
      <c r="B6" s="65" t="s">
        <v>15</v>
      </c>
      <c r="C6" s="65" t="s">
        <v>16</v>
      </c>
      <c r="D6" s="64" t="s">
        <v>17</v>
      </c>
      <c r="E6" s="65" t="s">
        <v>18</v>
      </c>
      <c r="F6" s="64" t="s">
        <v>19</v>
      </c>
      <c r="G6" s="65" t="s">
        <v>20</v>
      </c>
      <c r="H6" s="65" t="s">
        <v>928</v>
      </c>
      <c r="I6" s="65">
        <v>201409</v>
      </c>
      <c r="J6" s="66">
        <v>0</v>
      </c>
      <c r="K6" s="72">
        <f>+K5</f>
        <v>42675</v>
      </c>
      <c r="L6" s="67">
        <f t="shared" ref="L6:L69" si="0">((YEAR($L$1)-YEAR(K6))*12+MONTH($L$1)-MONTH(K6))</f>
        <v>6</v>
      </c>
      <c r="M6" s="68">
        <v>1.4833299999999999E-3</v>
      </c>
      <c r="N6" s="69">
        <f t="shared" ref="N6:N69" si="1">M6*L6*J6</f>
        <v>0</v>
      </c>
      <c r="O6" s="66"/>
      <c r="P6" s="71">
        <f t="shared" ref="P6:P69" si="2">$P$4*J6*$U$11</f>
        <v>0</v>
      </c>
      <c r="Q6" s="132"/>
      <c r="R6" s="71">
        <f t="shared" ref="R6:R69" si="3">$R$4*J6*$U$12</f>
        <v>0</v>
      </c>
      <c r="S6" s="64"/>
      <c r="U6" s="73" t="s">
        <v>27</v>
      </c>
      <c r="V6" s="438" t="s">
        <v>28</v>
      </c>
      <c r="W6" s="439"/>
      <c r="X6" s="440"/>
    </row>
    <row r="7" spans="1:24">
      <c r="A7" s="64" t="s">
        <v>21</v>
      </c>
      <c r="B7" s="65" t="s">
        <v>516</v>
      </c>
      <c r="C7" s="65" t="s">
        <v>517</v>
      </c>
      <c r="D7" s="64" t="s">
        <v>518</v>
      </c>
      <c r="E7" s="65" t="s">
        <v>25</v>
      </c>
      <c r="F7" s="64" t="s">
        <v>26</v>
      </c>
      <c r="G7" s="65" t="s">
        <v>20</v>
      </c>
      <c r="H7" s="65" t="s">
        <v>928</v>
      </c>
      <c r="I7" s="65">
        <v>201409</v>
      </c>
      <c r="J7" s="66">
        <v>-49.61</v>
      </c>
      <c r="K7" s="72">
        <f>+K6</f>
        <v>42675</v>
      </c>
      <c r="L7" s="67">
        <f t="shared" si="0"/>
        <v>6</v>
      </c>
      <c r="M7" s="68">
        <v>1.4833299999999999E-3</v>
      </c>
      <c r="N7" s="69">
        <f t="shared" si="1"/>
        <v>-0.44152800780000001</v>
      </c>
      <c r="O7" s="66"/>
      <c r="P7" s="71">
        <f>$P$4*J7*$U$11</f>
        <v>0</v>
      </c>
      <c r="Q7" s="132"/>
      <c r="R7" s="71">
        <f t="shared" si="3"/>
        <v>-0.70226055624999995</v>
      </c>
      <c r="S7" s="64"/>
      <c r="U7" s="74">
        <f>12/12</f>
        <v>1</v>
      </c>
      <c r="V7" s="75"/>
      <c r="W7" s="76" t="s">
        <v>35</v>
      </c>
      <c r="X7" s="77" t="s">
        <v>36</v>
      </c>
    </row>
    <row r="8" spans="1:24">
      <c r="A8" s="64" t="s">
        <v>21</v>
      </c>
      <c r="B8" s="65" t="s">
        <v>519</v>
      </c>
      <c r="C8" s="65" t="s">
        <v>520</v>
      </c>
      <c r="D8" s="64" t="s">
        <v>521</v>
      </c>
      <c r="E8" s="65" t="s">
        <v>79</v>
      </c>
      <c r="F8" s="64" t="s">
        <v>26</v>
      </c>
      <c r="G8" s="65" t="s">
        <v>20</v>
      </c>
      <c r="H8" s="65" t="s">
        <v>928</v>
      </c>
      <c r="I8" s="65">
        <v>201409</v>
      </c>
      <c r="J8" s="66">
        <v>-133.36000000000001</v>
      </c>
      <c r="K8" s="72">
        <f t="shared" ref="K8:K71" si="4">+K7</f>
        <v>42675</v>
      </c>
      <c r="L8" s="67">
        <f t="shared" si="0"/>
        <v>6</v>
      </c>
      <c r="M8" s="68">
        <v>1.4833299999999999E-3</v>
      </c>
      <c r="N8" s="69">
        <f t="shared" si="1"/>
        <v>-1.1869013328000002</v>
      </c>
      <c r="O8" s="66"/>
      <c r="P8" s="71">
        <f t="shared" si="2"/>
        <v>0</v>
      </c>
      <c r="Q8" s="132"/>
      <c r="R8" s="71">
        <f t="shared" si="3"/>
        <v>-1.8877941500000002</v>
      </c>
      <c r="S8" s="64"/>
      <c r="U8" s="78">
        <f>1.5/12</f>
        <v>0.125</v>
      </c>
      <c r="V8" s="79" t="s">
        <v>42</v>
      </c>
      <c r="W8" s="80">
        <v>0.05</v>
      </c>
      <c r="X8" s="81">
        <v>3.7499999999999999E-2</v>
      </c>
    </row>
    <row r="9" spans="1:24">
      <c r="A9" s="64" t="s">
        <v>21</v>
      </c>
      <c r="B9" s="65" t="s">
        <v>522</v>
      </c>
      <c r="C9" s="65" t="s">
        <v>523</v>
      </c>
      <c r="D9" s="64" t="s">
        <v>524</v>
      </c>
      <c r="E9" s="65" t="s">
        <v>87</v>
      </c>
      <c r="F9" s="64" t="s">
        <v>88</v>
      </c>
      <c r="G9" s="65" t="s">
        <v>20</v>
      </c>
      <c r="H9" s="65" t="s">
        <v>929</v>
      </c>
      <c r="I9" s="65">
        <v>201409</v>
      </c>
      <c r="J9" s="66">
        <v>10.42</v>
      </c>
      <c r="K9" s="72">
        <f t="shared" si="4"/>
        <v>42675</v>
      </c>
      <c r="L9" s="67">
        <f t="shared" si="0"/>
        <v>6</v>
      </c>
      <c r="M9" s="68">
        <v>1.4833299999999999E-3</v>
      </c>
      <c r="N9" s="69">
        <f t="shared" si="1"/>
        <v>9.2737791599999994E-2</v>
      </c>
      <c r="O9" s="66"/>
      <c r="P9" s="71">
        <f t="shared" si="2"/>
        <v>0</v>
      </c>
      <c r="Q9" s="132"/>
      <c r="R9" s="71">
        <f t="shared" si="3"/>
        <v>0.14750161249999999</v>
      </c>
      <c r="S9" s="64"/>
      <c r="U9" s="78">
        <f>7.5/12</f>
        <v>0.625</v>
      </c>
      <c r="V9" s="79" t="s">
        <v>47</v>
      </c>
      <c r="W9" s="80">
        <v>9.5000000000000001E-2</v>
      </c>
      <c r="X9" s="81">
        <v>7.2190000000000004E-2</v>
      </c>
    </row>
    <row r="10" spans="1:24">
      <c r="A10" s="64" t="s">
        <v>21</v>
      </c>
      <c r="B10" s="65" t="s">
        <v>525</v>
      </c>
      <c r="C10" s="65" t="s">
        <v>526</v>
      </c>
      <c r="D10" s="64" t="s">
        <v>527</v>
      </c>
      <c r="E10" s="65" t="s">
        <v>280</v>
      </c>
      <c r="F10" s="64" t="s">
        <v>26</v>
      </c>
      <c r="G10" s="65" t="s">
        <v>20</v>
      </c>
      <c r="H10" s="65" t="s">
        <v>928</v>
      </c>
      <c r="I10" s="65">
        <v>201409</v>
      </c>
      <c r="J10" s="66">
        <v>7.45</v>
      </c>
      <c r="K10" s="72">
        <f t="shared" si="4"/>
        <v>42675</v>
      </c>
      <c r="L10" s="67">
        <f t="shared" si="0"/>
        <v>6</v>
      </c>
      <c r="M10" s="68">
        <v>1.4833299999999999E-3</v>
      </c>
      <c r="N10" s="69">
        <f t="shared" si="1"/>
        <v>6.6304850999999998E-2</v>
      </c>
      <c r="O10" s="66"/>
      <c r="P10" s="71">
        <f t="shared" si="2"/>
        <v>0</v>
      </c>
      <c r="Q10" s="132"/>
      <c r="R10" s="71">
        <f t="shared" si="3"/>
        <v>0.10545940625</v>
      </c>
      <c r="S10" s="64"/>
      <c r="U10" s="78">
        <f>4.5/12</f>
        <v>0.375</v>
      </c>
      <c r="V10" s="79" t="s">
        <v>53</v>
      </c>
      <c r="W10" s="80">
        <v>8.5500000000000007E-2</v>
      </c>
      <c r="X10" s="81">
        <v>6.6769999999999996E-2</v>
      </c>
    </row>
    <row r="11" spans="1:24">
      <c r="A11" s="64" t="s">
        <v>21</v>
      </c>
      <c r="B11" s="65" t="s">
        <v>528</v>
      </c>
      <c r="C11" s="65" t="s">
        <v>529</v>
      </c>
      <c r="D11" s="64" t="s">
        <v>530</v>
      </c>
      <c r="E11" s="65" t="s">
        <v>531</v>
      </c>
      <c r="F11" s="64" t="s">
        <v>26</v>
      </c>
      <c r="G11" s="65" t="s">
        <v>20</v>
      </c>
      <c r="H11" s="65" t="s">
        <v>928</v>
      </c>
      <c r="I11" s="65">
        <v>201409</v>
      </c>
      <c r="J11" s="66">
        <v>20.05</v>
      </c>
      <c r="K11" s="72">
        <f t="shared" si="4"/>
        <v>42675</v>
      </c>
      <c r="L11" s="67">
        <f t="shared" si="0"/>
        <v>6</v>
      </c>
      <c r="M11" s="68">
        <v>1.4833299999999999E-3</v>
      </c>
      <c r="N11" s="69">
        <f t="shared" si="1"/>
        <v>0.17844459900000001</v>
      </c>
      <c r="O11" s="66"/>
      <c r="P11" s="71">
        <f t="shared" si="2"/>
        <v>0</v>
      </c>
      <c r="Q11" s="132"/>
      <c r="R11" s="71">
        <f t="shared" si="3"/>
        <v>0.28382028125000003</v>
      </c>
      <c r="S11" s="64"/>
      <c r="U11" s="316">
        <f>6/12</f>
        <v>0.5</v>
      </c>
      <c r="V11" s="79" t="s">
        <v>59</v>
      </c>
      <c r="W11" s="80">
        <v>7.6999999999999999E-2</v>
      </c>
      <c r="X11" s="81">
        <v>6.1769999999999999E-2</v>
      </c>
    </row>
    <row r="12" spans="1:24">
      <c r="A12" s="64" t="s">
        <v>21</v>
      </c>
      <c r="B12" s="65" t="s">
        <v>930</v>
      </c>
      <c r="C12" s="65" t="s">
        <v>931</v>
      </c>
      <c r="D12" s="64" t="s">
        <v>932</v>
      </c>
      <c r="E12" s="65" t="s">
        <v>93</v>
      </c>
      <c r="F12" s="64" t="s">
        <v>88</v>
      </c>
      <c r="G12" s="65" t="s">
        <v>20</v>
      </c>
      <c r="H12" s="65" t="s">
        <v>929</v>
      </c>
      <c r="I12" s="65">
        <v>201409</v>
      </c>
      <c r="J12" s="66">
        <v>24425.73</v>
      </c>
      <c r="K12" s="72">
        <f t="shared" si="4"/>
        <v>42675</v>
      </c>
      <c r="L12" s="67">
        <f t="shared" si="0"/>
        <v>6</v>
      </c>
      <c r="M12" s="68">
        <v>1.4833299999999999E-3</v>
      </c>
      <c r="N12" s="69">
        <f t="shared" si="1"/>
        <v>217.3885084854</v>
      </c>
      <c r="O12" s="66"/>
      <c r="P12" s="71">
        <f t="shared" si="2"/>
        <v>0</v>
      </c>
      <c r="Q12" s="132"/>
      <c r="R12" s="71">
        <f t="shared" si="3"/>
        <v>345.76147423124996</v>
      </c>
      <c r="S12" s="64"/>
      <c r="U12" s="78">
        <f>5.5/12</f>
        <v>0.45833333333333331</v>
      </c>
      <c r="V12" s="82"/>
      <c r="W12" s="83"/>
      <c r="X12" s="84"/>
    </row>
    <row r="13" spans="1:24">
      <c r="A13" s="64" t="s">
        <v>626</v>
      </c>
      <c r="B13" s="65" t="s">
        <v>730</v>
      </c>
      <c r="C13" s="65" t="s">
        <v>731</v>
      </c>
      <c r="D13" s="64" t="s">
        <v>732</v>
      </c>
      <c r="E13" s="65" t="s">
        <v>75</v>
      </c>
      <c r="F13" s="64" t="s">
        <v>26</v>
      </c>
      <c r="G13" s="65" t="s">
        <v>20</v>
      </c>
      <c r="H13" s="65" t="s">
        <v>928</v>
      </c>
      <c r="I13" s="65">
        <v>201409</v>
      </c>
      <c r="J13" s="66">
        <v>9975.01</v>
      </c>
      <c r="K13" s="72">
        <f t="shared" si="4"/>
        <v>42675</v>
      </c>
      <c r="L13" s="67">
        <f t="shared" si="0"/>
        <v>6</v>
      </c>
      <c r="M13" s="68">
        <v>1.4833299999999999E-3</v>
      </c>
      <c r="N13" s="69">
        <f t="shared" si="1"/>
        <v>88.777389499800009</v>
      </c>
      <c r="O13" s="66"/>
      <c r="P13" s="71">
        <f t="shared" si="2"/>
        <v>0</v>
      </c>
      <c r="Q13" s="132"/>
      <c r="R13" s="71">
        <f t="shared" si="3"/>
        <v>141.20250093125</v>
      </c>
      <c r="S13" s="64"/>
    </row>
    <row r="14" spans="1:24">
      <c r="A14" s="64" t="s">
        <v>21</v>
      </c>
      <c r="B14" s="65" t="s">
        <v>22</v>
      </c>
      <c r="C14" s="65" t="s">
        <v>23</v>
      </c>
      <c r="D14" s="64" t="s">
        <v>24</v>
      </c>
      <c r="E14" s="65" t="s">
        <v>25</v>
      </c>
      <c r="F14" s="64" t="s">
        <v>26</v>
      </c>
      <c r="G14" s="65" t="s">
        <v>20</v>
      </c>
      <c r="H14" s="65" t="s">
        <v>928</v>
      </c>
      <c r="I14" s="65">
        <v>201409</v>
      </c>
      <c r="J14" s="66">
        <v>3.2</v>
      </c>
      <c r="K14" s="72">
        <f t="shared" si="4"/>
        <v>42675</v>
      </c>
      <c r="L14" s="67">
        <f t="shared" si="0"/>
        <v>6</v>
      </c>
      <c r="M14" s="68">
        <v>1.4833299999999999E-3</v>
      </c>
      <c r="N14" s="69">
        <f t="shared" si="1"/>
        <v>2.8479936000000001E-2</v>
      </c>
      <c r="O14" s="66"/>
      <c r="P14" s="71">
        <f t="shared" si="2"/>
        <v>0</v>
      </c>
      <c r="Q14" s="132"/>
      <c r="R14" s="71">
        <f t="shared" si="3"/>
        <v>4.5297999999999998E-2</v>
      </c>
      <c r="S14" s="64"/>
    </row>
    <row r="15" spans="1:24">
      <c r="A15" s="64" t="s">
        <v>29</v>
      </c>
      <c r="B15" s="65" t="s">
        <v>733</v>
      </c>
      <c r="C15" s="65" t="s">
        <v>734</v>
      </c>
      <c r="D15" s="64" t="s">
        <v>105</v>
      </c>
      <c r="E15" s="65" t="s">
        <v>320</v>
      </c>
      <c r="F15" s="64" t="s">
        <v>34</v>
      </c>
      <c r="G15" s="65" t="s">
        <v>20</v>
      </c>
      <c r="H15" s="65" t="s">
        <v>933</v>
      </c>
      <c r="I15" s="65">
        <v>201409</v>
      </c>
      <c r="J15" s="66">
        <v>33.67</v>
      </c>
      <c r="K15" s="72">
        <f t="shared" si="4"/>
        <v>42675</v>
      </c>
      <c r="L15" s="67">
        <f t="shared" si="0"/>
        <v>6</v>
      </c>
      <c r="M15" s="68">
        <v>2.23333E-3</v>
      </c>
      <c r="N15" s="69">
        <f t="shared" si="1"/>
        <v>0.45117732659999998</v>
      </c>
      <c r="O15" s="66"/>
      <c r="P15" s="71">
        <f t="shared" si="2"/>
        <v>0</v>
      </c>
      <c r="Q15" s="132"/>
      <c r="R15" s="71">
        <f t="shared" si="3"/>
        <v>0.47661989375000002</v>
      </c>
      <c r="S15" s="64"/>
    </row>
    <row r="16" spans="1:24">
      <c r="A16" s="64" t="s">
        <v>29</v>
      </c>
      <c r="B16" s="65" t="s">
        <v>30</v>
      </c>
      <c r="C16" s="65" t="s">
        <v>31</v>
      </c>
      <c r="D16" s="64" t="s">
        <v>32</v>
      </c>
      <c r="E16" s="65" t="s">
        <v>33</v>
      </c>
      <c r="F16" s="64" t="s">
        <v>34</v>
      </c>
      <c r="G16" s="65" t="s">
        <v>20</v>
      </c>
      <c r="H16" s="65" t="s">
        <v>933</v>
      </c>
      <c r="I16" s="65">
        <v>201409</v>
      </c>
      <c r="J16" s="66">
        <v>29889.97</v>
      </c>
      <c r="K16" s="72">
        <f t="shared" si="4"/>
        <v>42675</v>
      </c>
      <c r="L16" s="67">
        <f t="shared" si="0"/>
        <v>6</v>
      </c>
      <c r="M16" s="68">
        <v>2.23333E-3</v>
      </c>
      <c r="N16" s="69">
        <f t="shared" si="1"/>
        <v>400.5250002006</v>
      </c>
      <c r="O16" s="66"/>
      <c r="P16" s="71">
        <f t="shared" si="2"/>
        <v>0</v>
      </c>
      <c r="Q16" s="132"/>
      <c r="R16" s="71">
        <f t="shared" si="3"/>
        <v>423.11120658124997</v>
      </c>
      <c r="S16" s="64"/>
    </row>
    <row r="17" spans="1:19">
      <c r="A17" s="64" t="s">
        <v>29</v>
      </c>
      <c r="B17" s="65" t="s">
        <v>532</v>
      </c>
      <c r="C17" s="65" t="s">
        <v>533</v>
      </c>
      <c r="D17" s="64" t="s">
        <v>50</v>
      </c>
      <c r="E17" s="65" t="s">
        <v>534</v>
      </c>
      <c r="F17" s="64" t="s">
        <v>52</v>
      </c>
      <c r="G17" s="65" t="s">
        <v>20</v>
      </c>
      <c r="H17" s="65" t="s">
        <v>934</v>
      </c>
      <c r="I17" s="65">
        <v>201409</v>
      </c>
      <c r="J17" s="66">
        <v>5719.2</v>
      </c>
      <c r="K17" s="72">
        <f t="shared" si="4"/>
        <v>42675</v>
      </c>
      <c r="L17" s="67">
        <f t="shared" si="0"/>
        <v>6</v>
      </c>
      <c r="M17" s="68">
        <v>2.23333E-3</v>
      </c>
      <c r="N17" s="69">
        <f t="shared" si="1"/>
        <v>76.63716561599999</v>
      </c>
      <c r="O17" s="66"/>
      <c r="P17" s="71">
        <f t="shared" si="2"/>
        <v>0</v>
      </c>
      <c r="Q17" s="132"/>
      <c r="R17" s="71">
        <f t="shared" si="3"/>
        <v>80.958850499999983</v>
      </c>
      <c r="S17" s="64"/>
    </row>
    <row r="18" spans="1:19">
      <c r="A18" s="64" t="s">
        <v>29</v>
      </c>
      <c r="B18" s="65" t="s">
        <v>37</v>
      </c>
      <c r="C18" s="65" t="s">
        <v>38</v>
      </c>
      <c r="D18" s="64" t="s">
        <v>39</v>
      </c>
      <c r="E18" s="65" t="s">
        <v>40</v>
      </c>
      <c r="F18" s="64" t="s">
        <v>41</v>
      </c>
      <c r="G18" s="65" t="s">
        <v>20</v>
      </c>
      <c r="H18" s="65" t="s">
        <v>933</v>
      </c>
      <c r="I18" s="65">
        <v>201409</v>
      </c>
      <c r="J18" s="66">
        <v>152025.89000000001</v>
      </c>
      <c r="K18" s="72">
        <f t="shared" si="4"/>
        <v>42675</v>
      </c>
      <c r="L18" s="67">
        <f t="shared" si="0"/>
        <v>6</v>
      </c>
      <c r="M18" s="68">
        <v>2.23333E-3</v>
      </c>
      <c r="N18" s="69">
        <f t="shared" si="1"/>
        <v>2037.1438854821999</v>
      </c>
      <c r="O18" s="66"/>
      <c r="P18" s="71">
        <f t="shared" si="2"/>
        <v>0</v>
      </c>
      <c r="Q18" s="132"/>
      <c r="R18" s="71">
        <f t="shared" si="3"/>
        <v>2152.0214891312503</v>
      </c>
      <c r="S18" s="64"/>
    </row>
    <row r="19" spans="1:19">
      <c r="A19" s="64" t="s">
        <v>29</v>
      </c>
      <c r="B19" s="65" t="s">
        <v>43</v>
      </c>
      <c r="C19" s="65" t="s">
        <v>44</v>
      </c>
      <c r="D19" s="64" t="s">
        <v>45</v>
      </c>
      <c r="E19" s="65" t="s">
        <v>46</v>
      </c>
      <c r="F19" s="64" t="s">
        <v>41</v>
      </c>
      <c r="G19" s="65" t="s">
        <v>20</v>
      </c>
      <c r="H19" s="65" t="s">
        <v>933</v>
      </c>
      <c r="I19" s="65">
        <v>201409</v>
      </c>
      <c r="J19" s="66">
        <v>5005.29</v>
      </c>
      <c r="K19" s="72">
        <f t="shared" si="4"/>
        <v>42675</v>
      </c>
      <c r="L19" s="67">
        <f t="shared" si="0"/>
        <v>6</v>
      </c>
      <c r="M19" s="68">
        <v>2.23333E-3</v>
      </c>
      <c r="N19" s="69">
        <f t="shared" si="1"/>
        <v>67.0707858942</v>
      </c>
      <c r="O19" s="66"/>
      <c r="P19" s="71">
        <f t="shared" si="2"/>
        <v>0</v>
      </c>
      <c r="Q19" s="132"/>
      <c r="R19" s="71">
        <f t="shared" si="3"/>
        <v>70.853008256249993</v>
      </c>
      <c r="S19" s="64"/>
    </row>
    <row r="20" spans="1:19">
      <c r="A20" s="64" t="s">
        <v>29</v>
      </c>
      <c r="B20" s="65" t="s">
        <v>48</v>
      </c>
      <c r="C20" s="65" t="s">
        <v>49</v>
      </c>
      <c r="D20" s="64" t="s">
        <v>50</v>
      </c>
      <c r="E20" s="65" t="s">
        <v>51</v>
      </c>
      <c r="F20" s="64" t="s">
        <v>52</v>
      </c>
      <c r="G20" s="65" t="s">
        <v>20</v>
      </c>
      <c r="H20" s="65" t="s">
        <v>933</v>
      </c>
      <c r="I20" s="65">
        <v>201409</v>
      </c>
      <c r="J20" s="66">
        <v>26370.98</v>
      </c>
      <c r="K20" s="72">
        <f t="shared" si="4"/>
        <v>42675</v>
      </c>
      <c r="L20" s="67">
        <f t="shared" si="0"/>
        <v>6</v>
      </c>
      <c r="M20" s="68">
        <v>2.23333E-3</v>
      </c>
      <c r="N20" s="69">
        <f t="shared" si="1"/>
        <v>353.37060458039997</v>
      </c>
      <c r="O20" s="66"/>
      <c r="P20" s="71">
        <f t="shared" si="2"/>
        <v>0</v>
      </c>
      <c r="Q20" s="132"/>
      <c r="R20" s="71">
        <f t="shared" si="3"/>
        <v>373.29770376249996</v>
      </c>
      <c r="S20" s="64"/>
    </row>
    <row r="21" spans="1:19">
      <c r="A21" s="64" t="s">
        <v>29</v>
      </c>
      <c r="B21" s="65" t="s">
        <v>54</v>
      </c>
      <c r="C21" s="65" t="s">
        <v>55</v>
      </c>
      <c r="D21" s="64" t="s">
        <v>56</v>
      </c>
      <c r="E21" s="65" t="s">
        <v>57</v>
      </c>
      <c r="F21" s="64" t="s">
        <v>58</v>
      </c>
      <c r="G21" s="65" t="s">
        <v>20</v>
      </c>
      <c r="H21" s="65" t="s">
        <v>933</v>
      </c>
      <c r="I21" s="65">
        <v>201409</v>
      </c>
      <c r="J21" s="66">
        <v>-596.15</v>
      </c>
      <c r="K21" s="72">
        <f t="shared" si="4"/>
        <v>42675</v>
      </c>
      <c r="L21" s="67">
        <f t="shared" si="0"/>
        <v>6</v>
      </c>
      <c r="M21" s="68">
        <v>2.23333E-3</v>
      </c>
      <c r="N21" s="69">
        <f t="shared" si="1"/>
        <v>-7.9883980769999994</v>
      </c>
      <c r="O21" s="66"/>
      <c r="P21" s="71">
        <f t="shared" si="2"/>
        <v>0</v>
      </c>
      <c r="Q21" s="132"/>
      <c r="R21" s="71">
        <f t="shared" si="3"/>
        <v>-8.4388758437499991</v>
      </c>
      <c r="S21" s="64"/>
    </row>
    <row r="22" spans="1:19">
      <c r="A22" s="64" t="s">
        <v>21</v>
      </c>
      <c r="B22" s="65" t="s">
        <v>535</v>
      </c>
      <c r="C22" s="65" t="s">
        <v>536</v>
      </c>
      <c r="D22" s="64" t="s">
        <v>537</v>
      </c>
      <c r="E22" s="65" t="s">
        <v>75</v>
      </c>
      <c r="F22" s="64" t="s">
        <v>26</v>
      </c>
      <c r="G22" s="65" t="s">
        <v>20</v>
      </c>
      <c r="H22" s="65" t="s">
        <v>928</v>
      </c>
      <c r="I22" s="65">
        <v>201409</v>
      </c>
      <c r="J22" s="66">
        <v>0.32</v>
      </c>
      <c r="K22" s="72">
        <f t="shared" si="4"/>
        <v>42675</v>
      </c>
      <c r="L22" s="67">
        <f t="shared" si="0"/>
        <v>6</v>
      </c>
      <c r="M22" s="68">
        <v>1.4833299999999999E-3</v>
      </c>
      <c r="N22" s="69">
        <f t="shared" si="1"/>
        <v>2.8479936000000003E-3</v>
      </c>
      <c r="O22" s="66"/>
      <c r="P22" s="71">
        <f t="shared" si="2"/>
        <v>0</v>
      </c>
      <c r="Q22" s="132"/>
      <c r="R22" s="71">
        <f t="shared" si="3"/>
        <v>4.5297999999999996E-3</v>
      </c>
      <c r="S22" s="64"/>
    </row>
    <row r="23" spans="1:19">
      <c r="A23" s="64" t="s">
        <v>21</v>
      </c>
      <c r="B23" s="65" t="s">
        <v>538</v>
      </c>
      <c r="C23" s="65" t="s">
        <v>539</v>
      </c>
      <c r="D23" s="64" t="s">
        <v>540</v>
      </c>
      <c r="E23" s="65" t="s">
        <v>209</v>
      </c>
      <c r="F23" s="64" t="s">
        <v>88</v>
      </c>
      <c r="G23" s="65" t="s">
        <v>20</v>
      </c>
      <c r="H23" s="65" t="s">
        <v>929</v>
      </c>
      <c r="I23" s="65">
        <v>201409</v>
      </c>
      <c r="J23" s="66">
        <v>-39.9</v>
      </c>
      <c r="K23" s="72">
        <f t="shared" si="4"/>
        <v>42675</v>
      </c>
      <c r="L23" s="67">
        <f t="shared" si="0"/>
        <v>6</v>
      </c>
      <c r="M23" s="68">
        <v>1.4833299999999999E-3</v>
      </c>
      <c r="N23" s="69">
        <f t="shared" si="1"/>
        <v>-0.35510920200000001</v>
      </c>
      <c r="O23" s="66"/>
      <c r="P23" s="71">
        <f t="shared" si="2"/>
        <v>0</v>
      </c>
      <c r="Q23" s="132"/>
      <c r="R23" s="71">
        <f t="shared" si="3"/>
        <v>-0.56480943750000001</v>
      </c>
      <c r="S23" s="64"/>
    </row>
    <row r="24" spans="1:19">
      <c r="A24" s="64" t="s">
        <v>21</v>
      </c>
      <c r="B24" s="65" t="s">
        <v>60</v>
      </c>
      <c r="C24" s="65" t="s">
        <v>61</v>
      </c>
      <c r="D24" s="64" t="s">
        <v>62</v>
      </c>
      <c r="E24" s="65" t="s">
        <v>63</v>
      </c>
      <c r="F24" s="64" t="s">
        <v>19</v>
      </c>
      <c r="G24" s="65" t="s">
        <v>20</v>
      </c>
      <c r="H24" s="65" t="s">
        <v>928</v>
      </c>
      <c r="I24" s="65">
        <v>201409</v>
      </c>
      <c r="J24" s="66">
        <v>-10120.82</v>
      </c>
      <c r="K24" s="72">
        <f t="shared" si="4"/>
        <v>42675</v>
      </c>
      <c r="L24" s="67">
        <f t="shared" si="0"/>
        <v>6</v>
      </c>
      <c r="M24" s="68">
        <v>1.4833299999999999E-3</v>
      </c>
      <c r="N24" s="69">
        <f t="shared" si="1"/>
        <v>-90.075095583600003</v>
      </c>
      <c r="O24" s="66"/>
      <c r="P24" s="71">
        <f t="shared" si="2"/>
        <v>0</v>
      </c>
      <c r="Q24" s="132"/>
      <c r="R24" s="71">
        <f t="shared" si="3"/>
        <v>-143.26653261249999</v>
      </c>
      <c r="S24" s="64"/>
    </row>
    <row r="25" spans="1:19">
      <c r="A25" s="64" t="s">
        <v>21</v>
      </c>
      <c r="B25" s="65" t="s">
        <v>541</v>
      </c>
      <c r="C25" s="65" t="s">
        <v>542</v>
      </c>
      <c r="D25" s="64" t="s">
        <v>543</v>
      </c>
      <c r="E25" s="65" t="s">
        <v>544</v>
      </c>
      <c r="F25" s="64" t="s">
        <v>26</v>
      </c>
      <c r="G25" s="65" t="s">
        <v>20</v>
      </c>
      <c r="H25" s="65" t="s">
        <v>928</v>
      </c>
      <c r="I25" s="65">
        <v>201409</v>
      </c>
      <c r="J25" s="66">
        <v>-30.63</v>
      </c>
      <c r="K25" s="72">
        <f t="shared" si="4"/>
        <v>42675</v>
      </c>
      <c r="L25" s="67">
        <f t="shared" si="0"/>
        <v>6</v>
      </c>
      <c r="M25" s="68">
        <v>1.4833299999999999E-3</v>
      </c>
      <c r="N25" s="69">
        <f t="shared" si="1"/>
        <v>-0.27260638739999998</v>
      </c>
      <c r="O25" s="66"/>
      <c r="P25" s="71">
        <f t="shared" si="2"/>
        <v>0</v>
      </c>
      <c r="Q25" s="132"/>
      <c r="R25" s="71">
        <f t="shared" si="3"/>
        <v>-0.43358679374999992</v>
      </c>
      <c r="S25" s="64"/>
    </row>
    <row r="26" spans="1:19">
      <c r="A26" s="64" t="s">
        <v>21</v>
      </c>
      <c r="B26" s="65" t="s">
        <v>545</v>
      </c>
      <c r="C26" s="65" t="s">
        <v>546</v>
      </c>
      <c r="D26" s="64" t="s">
        <v>547</v>
      </c>
      <c r="E26" s="65" t="s">
        <v>497</v>
      </c>
      <c r="F26" s="64" t="s">
        <v>26</v>
      </c>
      <c r="G26" s="65" t="s">
        <v>20</v>
      </c>
      <c r="H26" s="65" t="s">
        <v>928</v>
      </c>
      <c r="I26" s="65">
        <v>201409</v>
      </c>
      <c r="J26" s="66">
        <v>-170.7</v>
      </c>
      <c r="K26" s="72">
        <f t="shared" si="4"/>
        <v>42675</v>
      </c>
      <c r="L26" s="67">
        <f t="shared" si="0"/>
        <v>6</v>
      </c>
      <c r="M26" s="68">
        <v>1.4833299999999999E-3</v>
      </c>
      <c r="N26" s="69">
        <f t="shared" si="1"/>
        <v>-1.5192265859999998</v>
      </c>
      <c r="O26" s="66"/>
      <c r="P26" s="71">
        <f t="shared" si="2"/>
        <v>0</v>
      </c>
      <c r="Q26" s="132"/>
      <c r="R26" s="71">
        <f t="shared" si="3"/>
        <v>-2.4163651874999998</v>
      </c>
      <c r="S26" s="64"/>
    </row>
    <row r="27" spans="1:19">
      <c r="A27" s="64" t="s">
        <v>21</v>
      </c>
      <c r="B27" s="65" t="s">
        <v>822</v>
      </c>
      <c r="C27" s="65" t="s">
        <v>823</v>
      </c>
      <c r="D27" s="64" t="s">
        <v>824</v>
      </c>
      <c r="E27" s="65" t="s">
        <v>18</v>
      </c>
      <c r="F27" s="64" t="s">
        <v>19</v>
      </c>
      <c r="G27" s="65" t="s">
        <v>20</v>
      </c>
      <c r="H27" s="65" t="s">
        <v>928</v>
      </c>
      <c r="I27" s="65">
        <v>201409</v>
      </c>
      <c r="J27" s="66">
        <v>-586.59</v>
      </c>
      <c r="K27" s="72">
        <f t="shared" si="4"/>
        <v>42675</v>
      </c>
      <c r="L27" s="67">
        <f t="shared" si="0"/>
        <v>6</v>
      </c>
      <c r="M27" s="68">
        <v>1.4833299999999999E-3</v>
      </c>
      <c r="N27" s="69">
        <f t="shared" si="1"/>
        <v>-5.2206392682000002</v>
      </c>
      <c r="O27" s="66"/>
      <c r="P27" s="71">
        <f t="shared" si="2"/>
        <v>0</v>
      </c>
      <c r="Q27" s="132"/>
      <c r="R27" s="71">
        <f t="shared" si="3"/>
        <v>-8.3035480687500005</v>
      </c>
      <c r="S27" s="64"/>
    </row>
    <row r="28" spans="1:19">
      <c r="A28" s="64" t="s">
        <v>21</v>
      </c>
      <c r="B28" s="65" t="s">
        <v>64</v>
      </c>
      <c r="C28" s="65" t="s">
        <v>65</v>
      </c>
      <c r="D28" s="64" t="s">
        <v>66</v>
      </c>
      <c r="E28" s="65" t="s">
        <v>25</v>
      </c>
      <c r="F28" s="64" t="s">
        <v>26</v>
      </c>
      <c r="G28" s="65" t="s">
        <v>20</v>
      </c>
      <c r="H28" s="65" t="s">
        <v>928</v>
      </c>
      <c r="I28" s="65">
        <v>201409</v>
      </c>
      <c r="J28" s="66">
        <v>-269.26</v>
      </c>
      <c r="K28" s="72">
        <f t="shared" si="4"/>
        <v>42675</v>
      </c>
      <c r="L28" s="67">
        <f t="shared" si="0"/>
        <v>6</v>
      </c>
      <c r="M28" s="68">
        <v>1.4833299999999999E-3</v>
      </c>
      <c r="N28" s="69">
        <f t="shared" si="1"/>
        <v>-2.3964086147999999</v>
      </c>
      <c r="O28" s="66"/>
      <c r="P28" s="71">
        <f t="shared" si="2"/>
        <v>0</v>
      </c>
      <c r="Q28" s="132"/>
      <c r="R28" s="71">
        <f t="shared" si="3"/>
        <v>-3.8115435874999997</v>
      </c>
      <c r="S28" s="64"/>
    </row>
    <row r="29" spans="1:19">
      <c r="A29" s="64" t="s">
        <v>21</v>
      </c>
      <c r="B29" s="65" t="s">
        <v>67</v>
      </c>
      <c r="C29" s="65" t="s">
        <v>68</v>
      </c>
      <c r="D29" s="64" t="s">
        <v>69</v>
      </c>
      <c r="E29" s="65" t="s">
        <v>70</v>
      </c>
      <c r="F29" s="64" t="s">
        <v>71</v>
      </c>
      <c r="G29" s="65" t="s">
        <v>20</v>
      </c>
      <c r="H29" s="65" t="s">
        <v>928</v>
      </c>
      <c r="I29" s="65">
        <v>201409</v>
      </c>
      <c r="J29" s="66">
        <v>-131.71</v>
      </c>
      <c r="K29" s="72">
        <f t="shared" si="4"/>
        <v>42675</v>
      </c>
      <c r="L29" s="67">
        <f t="shared" si="0"/>
        <v>6</v>
      </c>
      <c r="M29" s="68">
        <v>1.4833299999999999E-3</v>
      </c>
      <c r="N29" s="69">
        <f t="shared" si="1"/>
        <v>-1.1722163658</v>
      </c>
      <c r="O29" s="66"/>
      <c r="P29" s="71">
        <f t="shared" si="2"/>
        <v>0</v>
      </c>
      <c r="Q29" s="132"/>
      <c r="R29" s="71">
        <f t="shared" si="3"/>
        <v>-1.8644373687500002</v>
      </c>
      <c r="S29" s="64"/>
    </row>
    <row r="30" spans="1:19">
      <c r="A30" s="64" t="s">
        <v>21</v>
      </c>
      <c r="B30" s="65" t="s">
        <v>72</v>
      </c>
      <c r="C30" s="65" t="s">
        <v>73</v>
      </c>
      <c r="D30" s="64" t="s">
        <v>74</v>
      </c>
      <c r="E30" s="65" t="s">
        <v>75</v>
      </c>
      <c r="F30" s="64" t="s">
        <v>26</v>
      </c>
      <c r="G30" s="65" t="s">
        <v>20</v>
      </c>
      <c r="H30" s="65" t="s">
        <v>928</v>
      </c>
      <c r="I30" s="65">
        <v>201409</v>
      </c>
      <c r="J30" s="66">
        <v>-1334.18</v>
      </c>
      <c r="K30" s="72">
        <f t="shared" si="4"/>
        <v>42675</v>
      </c>
      <c r="L30" s="67">
        <f t="shared" si="0"/>
        <v>6</v>
      </c>
      <c r="M30" s="68">
        <v>1.4833299999999999E-3</v>
      </c>
      <c r="N30" s="69">
        <f t="shared" si="1"/>
        <v>-11.874175316400001</v>
      </c>
      <c r="O30" s="66"/>
      <c r="P30" s="71">
        <f t="shared" si="2"/>
        <v>0</v>
      </c>
      <c r="Q30" s="132"/>
      <c r="R30" s="71">
        <f t="shared" si="3"/>
        <v>-18.886151762499999</v>
      </c>
      <c r="S30" s="64"/>
    </row>
    <row r="31" spans="1:19">
      <c r="A31" s="64" t="s">
        <v>21</v>
      </c>
      <c r="B31" s="65" t="s">
        <v>76</v>
      </c>
      <c r="C31" s="65" t="s">
        <v>77</v>
      </c>
      <c r="D31" s="64" t="s">
        <v>78</v>
      </c>
      <c r="E31" s="65" t="s">
        <v>79</v>
      </c>
      <c r="F31" s="64" t="s">
        <v>26</v>
      </c>
      <c r="G31" s="65" t="s">
        <v>20</v>
      </c>
      <c r="H31" s="65" t="s">
        <v>928</v>
      </c>
      <c r="I31" s="65">
        <v>201409</v>
      </c>
      <c r="J31" s="66">
        <v>-317.52</v>
      </c>
      <c r="K31" s="72">
        <f t="shared" si="4"/>
        <v>42675</v>
      </c>
      <c r="L31" s="67">
        <f t="shared" si="0"/>
        <v>6</v>
      </c>
      <c r="M31" s="68">
        <v>1.4833299999999999E-3</v>
      </c>
      <c r="N31" s="69">
        <f t="shared" si="1"/>
        <v>-2.8259216495999997</v>
      </c>
      <c r="O31" s="66"/>
      <c r="P31" s="71">
        <f t="shared" si="2"/>
        <v>0</v>
      </c>
      <c r="Q31" s="132"/>
      <c r="R31" s="71">
        <f t="shared" si="3"/>
        <v>-4.4946940499999997</v>
      </c>
      <c r="S31" s="64"/>
    </row>
    <row r="32" spans="1:19">
      <c r="A32" s="64" t="s">
        <v>21</v>
      </c>
      <c r="B32" s="65" t="s">
        <v>858</v>
      </c>
      <c r="C32" s="65" t="s">
        <v>859</v>
      </c>
      <c r="D32" s="64" t="s">
        <v>860</v>
      </c>
      <c r="E32" s="65" t="s">
        <v>613</v>
      </c>
      <c r="F32" s="64" t="s">
        <v>398</v>
      </c>
      <c r="G32" s="65" t="s">
        <v>20</v>
      </c>
      <c r="H32" s="65" t="s">
        <v>929</v>
      </c>
      <c r="I32" s="65">
        <v>201409</v>
      </c>
      <c r="J32" s="66">
        <v>-3718.06</v>
      </c>
      <c r="K32" s="72">
        <f t="shared" si="4"/>
        <v>42675</v>
      </c>
      <c r="L32" s="67">
        <f t="shared" si="0"/>
        <v>6</v>
      </c>
      <c r="M32" s="68">
        <v>1.4833299999999999E-3</v>
      </c>
      <c r="N32" s="69">
        <f t="shared" si="1"/>
        <v>-33.090659638799998</v>
      </c>
      <c r="O32" s="66"/>
      <c r="P32" s="71">
        <f t="shared" si="2"/>
        <v>0</v>
      </c>
      <c r="Q32" s="132"/>
      <c r="R32" s="71">
        <f t="shared" si="3"/>
        <v>-52.631463087499995</v>
      </c>
      <c r="S32" s="64"/>
    </row>
    <row r="33" spans="1:19">
      <c r="A33" s="64" t="s">
        <v>626</v>
      </c>
      <c r="B33" s="65" t="s">
        <v>428</v>
      </c>
      <c r="C33" s="65" t="s">
        <v>429</v>
      </c>
      <c r="D33" s="64" t="s">
        <v>430</v>
      </c>
      <c r="E33" s="65" t="s">
        <v>164</v>
      </c>
      <c r="F33" s="64" t="s">
        <v>165</v>
      </c>
      <c r="G33" s="65" t="s">
        <v>20</v>
      </c>
      <c r="H33" s="65" t="s">
        <v>928</v>
      </c>
      <c r="I33" s="65">
        <v>201409</v>
      </c>
      <c r="J33" s="66">
        <v>-2154.0500000000002</v>
      </c>
      <c r="K33" s="72">
        <f t="shared" si="4"/>
        <v>42675</v>
      </c>
      <c r="L33" s="67">
        <f t="shared" si="0"/>
        <v>6</v>
      </c>
      <c r="M33" s="68">
        <v>1.4833299999999999E-3</v>
      </c>
      <c r="N33" s="69">
        <f t="shared" si="1"/>
        <v>-19.171001919000002</v>
      </c>
      <c r="O33" s="66"/>
      <c r="P33" s="71">
        <f t="shared" si="2"/>
        <v>0</v>
      </c>
      <c r="Q33" s="132"/>
      <c r="R33" s="71">
        <f t="shared" si="3"/>
        <v>-30.491924031249997</v>
      </c>
      <c r="S33" s="64"/>
    </row>
    <row r="34" spans="1:19">
      <c r="A34" s="64" t="s">
        <v>21</v>
      </c>
      <c r="B34" s="65" t="s">
        <v>81</v>
      </c>
      <c r="C34" s="65" t="s">
        <v>82</v>
      </c>
      <c r="D34" s="64" t="s">
        <v>83</v>
      </c>
      <c r="E34" s="65" t="s">
        <v>75</v>
      </c>
      <c r="F34" s="64" t="s">
        <v>26</v>
      </c>
      <c r="G34" s="65" t="s">
        <v>20</v>
      </c>
      <c r="H34" s="65" t="s">
        <v>928</v>
      </c>
      <c r="I34" s="65">
        <v>201409</v>
      </c>
      <c r="J34" s="66">
        <v>-515.72</v>
      </c>
      <c r="K34" s="72">
        <f t="shared" si="4"/>
        <v>42675</v>
      </c>
      <c r="L34" s="67">
        <f t="shared" si="0"/>
        <v>6</v>
      </c>
      <c r="M34" s="68">
        <v>1.4833299999999999E-3</v>
      </c>
      <c r="N34" s="69">
        <f t="shared" si="1"/>
        <v>-4.5898976856000004</v>
      </c>
      <c r="O34" s="66"/>
      <c r="P34" s="71">
        <f t="shared" si="2"/>
        <v>0</v>
      </c>
      <c r="Q34" s="132"/>
      <c r="R34" s="71">
        <f t="shared" si="3"/>
        <v>-7.3003389250000001</v>
      </c>
      <c r="S34" s="64"/>
    </row>
    <row r="35" spans="1:19">
      <c r="A35" s="64" t="s">
        <v>21</v>
      </c>
      <c r="B35" s="65" t="s">
        <v>84</v>
      </c>
      <c r="C35" s="65" t="s">
        <v>85</v>
      </c>
      <c r="D35" s="64" t="s">
        <v>86</v>
      </c>
      <c r="E35" s="65" t="s">
        <v>87</v>
      </c>
      <c r="F35" s="64" t="s">
        <v>88</v>
      </c>
      <c r="G35" s="65" t="s">
        <v>20</v>
      </c>
      <c r="H35" s="65" t="s">
        <v>929</v>
      </c>
      <c r="I35" s="65">
        <v>201409</v>
      </c>
      <c r="J35" s="66">
        <v>-860.78</v>
      </c>
      <c r="K35" s="72">
        <f t="shared" si="4"/>
        <v>42675</v>
      </c>
      <c r="L35" s="67">
        <f t="shared" si="0"/>
        <v>6</v>
      </c>
      <c r="M35" s="68">
        <v>1.4833299999999999E-3</v>
      </c>
      <c r="N35" s="69">
        <f t="shared" si="1"/>
        <v>-7.6609247843999997</v>
      </c>
      <c r="O35" s="66"/>
      <c r="P35" s="71">
        <f t="shared" si="2"/>
        <v>0</v>
      </c>
      <c r="Q35" s="132"/>
      <c r="R35" s="71">
        <f t="shared" si="3"/>
        <v>-12.184878887499998</v>
      </c>
      <c r="S35" s="64"/>
    </row>
    <row r="36" spans="1:19">
      <c r="A36" s="85" t="s">
        <v>21</v>
      </c>
      <c r="B36" s="65" t="s">
        <v>90</v>
      </c>
      <c r="C36" s="65" t="s">
        <v>91</v>
      </c>
      <c r="D36" s="64" t="s">
        <v>92</v>
      </c>
      <c r="E36" s="65" t="s">
        <v>93</v>
      </c>
      <c r="F36" s="64" t="s">
        <v>88</v>
      </c>
      <c r="G36" s="65" t="s">
        <v>20</v>
      </c>
      <c r="H36" s="65" t="s">
        <v>929</v>
      </c>
      <c r="I36" s="65">
        <v>201409</v>
      </c>
      <c r="J36" s="66">
        <v>-31.85</v>
      </c>
      <c r="K36" s="72">
        <f t="shared" si="4"/>
        <v>42675</v>
      </c>
      <c r="L36" s="67">
        <f t="shared" si="0"/>
        <v>6</v>
      </c>
      <c r="M36" s="68">
        <v>1.4833299999999999E-3</v>
      </c>
      <c r="N36" s="69">
        <f t="shared" si="1"/>
        <v>-0.283464363</v>
      </c>
      <c r="O36" s="66"/>
      <c r="P36" s="71">
        <f t="shared" si="2"/>
        <v>0</v>
      </c>
      <c r="Q36" s="132"/>
      <c r="R36" s="71">
        <f t="shared" si="3"/>
        <v>-0.45085665624999999</v>
      </c>
      <c r="S36" s="64"/>
    </row>
    <row r="37" spans="1:19">
      <c r="A37" s="85" t="s">
        <v>21</v>
      </c>
      <c r="B37" s="65" t="s">
        <v>364</v>
      </c>
      <c r="C37" s="65" t="s">
        <v>365</v>
      </c>
      <c r="D37" s="64" t="s">
        <v>366</v>
      </c>
      <c r="E37" s="65" t="s">
        <v>25</v>
      </c>
      <c r="F37" s="64" t="s">
        <v>26</v>
      </c>
      <c r="G37" s="65" t="s">
        <v>20</v>
      </c>
      <c r="H37" s="65" t="s">
        <v>928</v>
      </c>
      <c r="I37" s="65">
        <v>201409</v>
      </c>
      <c r="J37" s="66">
        <v>-469.08</v>
      </c>
      <c r="K37" s="72">
        <f t="shared" si="4"/>
        <v>42675</v>
      </c>
      <c r="L37" s="67">
        <f t="shared" si="0"/>
        <v>6</v>
      </c>
      <c r="M37" s="68">
        <v>1.4833299999999999E-3</v>
      </c>
      <c r="N37" s="69">
        <f t="shared" si="1"/>
        <v>-4.1748026184000002</v>
      </c>
      <c r="O37" s="66"/>
      <c r="P37" s="71">
        <f t="shared" si="2"/>
        <v>0</v>
      </c>
      <c r="Q37" s="132"/>
      <c r="R37" s="71">
        <f t="shared" si="3"/>
        <v>-6.6401205750000001</v>
      </c>
      <c r="S37" s="64"/>
    </row>
    <row r="38" spans="1:19">
      <c r="A38" s="64" t="s">
        <v>21</v>
      </c>
      <c r="B38" s="65" t="s">
        <v>367</v>
      </c>
      <c r="C38" s="65" t="s">
        <v>368</v>
      </c>
      <c r="D38" s="64" t="s">
        <v>369</v>
      </c>
      <c r="E38" s="65" t="s">
        <v>63</v>
      </c>
      <c r="F38" s="64" t="s">
        <v>19</v>
      </c>
      <c r="G38" s="65" t="s">
        <v>20</v>
      </c>
      <c r="H38" s="65" t="s">
        <v>928</v>
      </c>
      <c r="I38" s="65">
        <v>201409</v>
      </c>
      <c r="J38" s="66">
        <v>-217.66</v>
      </c>
      <c r="K38" s="72">
        <f t="shared" si="4"/>
        <v>42675</v>
      </c>
      <c r="L38" s="67">
        <f t="shared" si="0"/>
        <v>6</v>
      </c>
      <c r="M38" s="68">
        <v>1.4833299999999999E-3</v>
      </c>
      <c r="N38" s="69">
        <f t="shared" si="1"/>
        <v>-1.9371696467999999</v>
      </c>
      <c r="O38" s="66"/>
      <c r="P38" s="71">
        <f t="shared" si="2"/>
        <v>0</v>
      </c>
      <c r="Q38" s="132"/>
      <c r="R38" s="71">
        <f t="shared" si="3"/>
        <v>-3.0811133374999997</v>
      </c>
      <c r="S38" s="64"/>
    </row>
    <row r="39" spans="1:19">
      <c r="A39" s="85" t="s">
        <v>21</v>
      </c>
      <c r="B39" s="65" t="s">
        <v>95</v>
      </c>
      <c r="C39" s="65" t="s">
        <v>96</v>
      </c>
      <c r="D39" s="64" t="s">
        <v>97</v>
      </c>
      <c r="E39" s="65" t="s">
        <v>75</v>
      </c>
      <c r="F39" s="64" t="s">
        <v>26</v>
      </c>
      <c r="G39" s="65" t="s">
        <v>20</v>
      </c>
      <c r="H39" s="65" t="s">
        <v>928</v>
      </c>
      <c r="I39" s="65">
        <v>201409</v>
      </c>
      <c r="J39" s="66">
        <v>-286.58999999999997</v>
      </c>
      <c r="K39" s="72">
        <f t="shared" si="4"/>
        <v>42675</v>
      </c>
      <c r="L39" s="67">
        <f t="shared" si="0"/>
        <v>6</v>
      </c>
      <c r="M39" s="68">
        <v>1.4833299999999999E-3</v>
      </c>
      <c r="N39" s="69">
        <f t="shared" si="1"/>
        <v>-2.5506452681999998</v>
      </c>
      <c r="O39" s="66"/>
      <c r="P39" s="71">
        <f t="shared" si="2"/>
        <v>0</v>
      </c>
      <c r="Q39" s="132"/>
      <c r="R39" s="71">
        <f t="shared" si="3"/>
        <v>-4.0568605687499995</v>
      </c>
      <c r="S39" s="64"/>
    </row>
    <row r="40" spans="1:19">
      <c r="A40" s="85" t="s">
        <v>693</v>
      </c>
      <c r="B40" s="65" t="s">
        <v>694</v>
      </c>
      <c r="C40" s="65" t="s">
        <v>695</v>
      </c>
      <c r="D40" s="64" t="s">
        <v>696</v>
      </c>
      <c r="E40" s="65" t="s">
        <v>131</v>
      </c>
      <c r="F40" s="64" t="s">
        <v>132</v>
      </c>
      <c r="G40" s="65" t="s">
        <v>20</v>
      </c>
      <c r="H40" s="65" t="s">
        <v>935</v>
      </c>
      <c r="I40" s="65">
        <v>201409</v>
      </c>
      <c r="J40" s="66">
        <v>-54</v>
      </c>
      <c r="K40" s="72">
        <f t="shared" si="4"/>
        <v>42675</v>
      </c>
      <c r="L40" s="67">
        <f t="shared" si="0"/>
        <v>6</v>
      </c>
      <c r="M40" s="68">
        <v>2.1916700000000002E-3</v>
      </c>
      <c r="N40" s="69">
        <f t="shared" si="1"/>
        <v>-0.71010108000000005</v>
      </c>
      <c r="O40" s="66"/>
      <c r="P40" s="71">
        <f t="shared" si="2"/>
        <v>0</v>
      </c>
      <c r="Q40" s="132"/>
      <c r="R40" s="71">
        <f t="shared" si="3"/>
        <v>-0.76440374999999994</v>
      </c>
      <c r="S40" s="64"/>
    </row>
    <row r="41" spans="1:19">
      <c r="A41" s="85" t="s">
        <v>21</v>
      </c>
      <c r="B41" s="65" t="s">
        <v>431</v>
      </c>
      <c r="C41" s="65" t="s">
        <v>432</v>
      </c>
      <c r="D41" s="64" t="s">
        <v>433</v>
      </c>
      <c r="E41" s="65" t="s">
        <v>75</v>
      </c>
      <c r="F41" s="64" t="s">
        <v>26</v>
      </c>
      <c r="G41" s="65" t="s">
        <v>20</v>
      </c>
      <c r="H41" s="65" t="s">
        <v>928</v>
      </c>
      <c r="I41" s="65">
        <v>201409</v>
      </c>
      <c r="J41" s="66">
        <v>-3880.74</v>
      </c>
      <c r="K41" s="72">
        <f t="shared" si="4"/>
        <v>42675</v>
      </c>
      <c r="L41" s="67">
        <f t="shared" si="0"/>
        <v>6</v>
      </c>
      <c r="M41" s="68">
        <v>1.4833299999999999E-3</v>
      </c>
      <c r="N41" s="69">
        <f t="shared" si="1"/>
        <v>-34.538508385199997</v>
      </c>
      <c r="O41" s="66"/>
      <c r="P41" s="71">
        <f t="shared" si="2"/>
        <v>0</v>
      </c>
      <c r="Q41" s="132"/>
      <c r="R41" s="71">
        <f t="shared" si="3"/>
        <v>-54.934300162499994</v>
      </c>
      <c r="S41" s="64"/>
    </row>
    <row r="42" spans="1:19">
      <c r="A42" s="85" t="s">
        <v>626</v>
      </c>
      <c r="B42" s="65" t="s">
        <v>431</v>
      </c>
      <c r="C42" s="65" t="s">
        <v>432</v>
      </c>
      <c r="D42" s="64" t="s">
        <v>433</v>
      </c>
      <c r="E42" s="65" t="s">
        <v>75</v>
      </c>
      <c r="F42" s="64" t="s">
        <v>26</v>
      </c>
      <c r="G42" s="65" t="s">
        <v>20</v>
      </c>
      <c r="H42" s="65" t="s">
        <v>928</v>
      </c>
      <c r="I42" s="65">
        <v>201409</v>
      </c>
      <c r="J42" s="66">
        <v>-865.45</v>
      </c>
      <c r="K42" s="72">
        <f t="shared" si="4"/>
        <v>42675</v>
      </c>
      <c r="L42" s="67">
        <f t="shared" si="0"/>
        <v>6</v>
      </c>
      <c r="M42" s="68">
        <v>1.4833299999999999E-3</v>
      </c>
      <c r="N42" s="69">
        <f t="shared" si="1"/>
        <v>-7.7024876910000009</v>
      </c>
      <c r="O42" s="66"/>
      <c r="P42" s="71">
        <f t="shared" si="2"/>
        <v>0</v>
      </c>
      <c r="Q42" s="132"/>
      <c r="R42" s="71">
        <f t="shared" si="3"/>
        <v>-12.25098565625</v>
      </c>
      <c r="S42" s="64"/>
    </row>
    <row r="43" spans="1:19">
      <c r="A43" s="85" t="s">
        <v>21</v>
      </c>
      <c r="B43" s="65" t="s">
        <v>819</v>
      </c>
      <c r="C43" s="65" t="s">
        <v>820</v>
      </c>
      <c r="D43" s="64" t="s">
        <v>821</v>
      </c>
      <c r="E43" s="65" t="s">
        <v>102</v>
      </c>
      <c r="F43" s="64" t="s">
        <v>19</v>
      </c>
      <c r="G43" s="65" t="s">
        <v>20</v>
      </c>
      <c r="H43" s="65" t="s">
        <v>928</v>
      </c>
      <c r="I43" s="65">
        <v>201409</v>
      </c>
      <c r="J43" s="66">
        <v>0</v>
      </c>
      <c r="K43" s="72">
        <f t="shared" si="4"/>
        <v>42675</v>
      </c>
      <c r="L43" s="67">
        <f t="shared" si="0"/>
        <v>6</v>
      </c>
      <c r="M43" s="68">
        <v>1.4833299999999999E-3</v>
      </c>
      <c r="N43" s="69">
        <f t="shared" si="1"/>
        <v>0</v>
      </c>
      <c r="O43" s="66"/>
      <c r="P43" s="71">
        <f t="shared" si="2"/>
        <v>0</v>
      </c>
      <c r="Q43" s="132"/>
      <c r="R43" s="71">
        <f t="shared" si="3"/>
        <v>0</v>
      </c>
      <c r="S43" s="64"/>
    </row>
    <row r="44" spans="1:19">
      <c r="A44" s="85" t="s">
        <v>21</v>
      </c>
      <c r="B44" s="65" t="s">
        <v>99</v>
      </c>
      <c r="C44" s="65" t="s">
        <v>100</v>
      </c>
      <c r="D44" s="64" t="s">
        <v>101</v>
      </c>
      <c r="E44" s="65" t="s">
        <v>102</v>
      </c>
      <c r="F44" s="64" t="s">
        <v>19</v>
      </c>
      <c r="G44" s="65" t="s">
        <v>20</v>
      </c>
      <c r="H44" s="65" t="s">
        <v>928</v>
      </c>
      <c r="I44" s="65">
        <v>201409</v>
      </c>
      <c r="J44" s="66">
        <v>28.45</v>
      </c>
      <c r="K44" s="72">
        <f t="shared" si="4"/>
        <v>42675</v>
      </c>
      <c r="L44" s="67">
        <f t="shared" si="0"/>
        <v>6</v>
      </c>
      <c r="M44" s="68">
        <v>1.4833299999999999E-3</v>
      </c>
      <c r="N44" s="69">
        <f t="shared" si="1"/>
        <v>0.25320443100000001</v>
      </c>
      <c r="O44" s="66"/>
      <c r="P44" s="71">
        <f t="shared" si="2"/>
        <v>0</v>
      </c>
      <c r="Q44" s="132"/>
      <c r="R44" s="71">
        <f t="shared" si="3"/>
        <v>0.40272753124999999</v>
      </c>
      <c r="S44" s="64"/>
    </row>
    <row r="45" spans="1:19">
      <c r="A45" s="85" t="s">
        <v>21</v>
      </c>
      <c r="B45" s="65" t="s">
        <v>861</v>
      </c>
      <c r="C45" s="65" t="s">
        <v>862</v>
      </c>
      <c r="D45" s="64" t="s">
        <v>863</v>
      </c>
      <c r="E45" s="65" t="s">
        <v>93</v>
      </c>
      <c r="F45" s="64" t="s">
        <v>88</v>
      </c>
      <c r="G45" s="65" t="s">
        <v>20</v>
      </c>
      <c r="H45" s="65" t="s">
        <v>929</v>
      </c>
      <c r="I45" s="65">
        <v>201409</v>
      </c>
      <c r="J45" s="66">
        <v>-243.49</v>
      </c>
      <c r="K45" s="72">
        <f t="shared" si="4"/>
        <v>42675</v>
      </c>
      <c r="L45" s="67">
        <f t="shared" si="0"/>
        <v>6</v>
      </c>
      <c r="M45" s="68">
        <v>1.4833299999999999E-3</v>
      </c>
      <c r="N45" s="69">
        <f t="shared" si="1"/>
        <v>-2.1670561302000002</v>
      </c>
      <c r="O45" s="66"/>
      <c r="P45" s="71">
        <f t="shared" si="2"/>
        <v>0</v>
      </c>
      <c r="Q45" s="132"/>
      <c r="R45" s="71">
        <f t="shared" si="3"/>
        <v>-3.4467531312499999</v>
      </c>
      <c r="S45" s="64"/>
    </row>
    <row r="46" spans="1:19">
      <c r="A46" s="64" t="s">
        <v>21</v>
      </c>
      <c r="B46" s="65" t="s">
        <v>434</v>
      </c>
      <c r="C46" s="65" t="s">
        <v>435</v>
      </c>
      <c r="D46" s="64" t="s">
        <v>436</v>
      </c>
      <c r="E46" s="65" t="s">
        <v>93</v>
      </c>
      <c r="F46" s="64" t="s">
        <v>88</v>
      </c>
      <c r="G46" s="65" t="s">
        <v>20</v>
      </c>
      <c r="H46" s="65" t="s">
        <v>929</v>
      </c>
      <c r="I46" s="65">
        <v>201409</v>
      </c>
      <c r="J46" s="66">
        <v>-1163.68</v>
      </c>
      <c r="K46" s="72">
        <f t="shared" si="4"/>
        <v>42675</v>
      </c>
      <c r="L46" s="67">
        <f t="shared" si="0"/>
        <v>6</v>
      </c>
      <c r="M46" s="68">
        <v>1.4833299999999999E-3</v>
      </c>
      <c r="N46" s="69">
        <f t="shared" si="1"/>
        <v>-10.3567287264</v>
      </c>
      <c r="O46" s="66"/>
      <c r="P46" s="71">
        <f t="shared" si="2"/>
        <v>0</v>
      </c>
      <c r="Q46" s="132"/>
      <c r="R46" s="71">
        <f t="shared" si="3"/>
        <v>-16.472617700000001</v>
      </c>
      <c r="S46" s="64"/>
    </row>
    <row r="47" spans="1:19">
      <c r="A47" s="85" t="s">
        <v>21</v>
      </c>
      <c r="B47" s="65" t="s">
        <v>370</v>
      </c>
      <c r="C47" s="65" t="s">
        <v>371</v>
      </c>
      <c r="D47" s="64" t="s">
        <v>372</v>
      </c>
      <c r="E47" s="65" t="s">
        <v>63</v>
      </c>
      <c r="F47" s="64" t="s">
        <v>19</v>
      </c>
      <c r="G47" s="65" t="s">
        <v>20</v>
      </c>
      <c r="H47" s="65" t="s">
        <v>928</v>
      </c>
      <c r="I47" s="65">
        <v>201409</v>
      </c>
      <c r="J47" s="66">
        <v>-23.18</v>
      </c>
      <c r="K47" s="72">
        <f t="shared" si="4"/>
        <v>42675</v>
      </c>
      <c r="L47" s="67">
        <f t="shared" si="0"/>
        <v>6</v>
      </c>
      <c r="M47" s="68">
        <v>1.4833299999999999E-3</v>
      </c>
      <c r="N47" s="69">
        <f t="shared" si="1"/>
        <v>-0.20630153639999999</v>
      </c>
      <c r="O47" s="66"/>
      <c r="P47" s="71">
        <f t="shared" si="2"/>
        <v>0</v>
      </c>
      <c r="Q47" s="132"/>
      <c r="R47" s="71">
        <f t="shared" si="3"/>
        <v>-0.32812738749999998</v>
      </c>
      <c r="S47" s="64"/>
    </row>
    <row r="48" spans="1:19">
      <c r="A48" s="85" t="s">
        <v>21</v>
      </c>
      <c r="B48" s="65" t="s">
        <v>735</v>
      </c>
      <c r="C48" s="65" t="s">
        <v>736</v>
      </c>
      <c r="D48" s="64" t="s">
        <v>737</v>
      </c>
      <c r="E48" s="65" t="s">
        <v>75</v>
      </c>
      <c r="F48" s="64" t="s">
        <v>26</v>
      </c>
      <c r="G48" s="65" t="s">
        <v>20</v>
      </c>
      <c r="H48" s="65" t="s">
        <v>928</v>
      </c>
      <c r="I48" s="65">
        <v>201409</v>
      </c>
      <c r="J48" s="66">
        <v>-2735.91</v>
      </c>
      <c r="K48" s="72">
        <f t="shared" si="4"/>
        <v>42675</v>
      </c>
      <c r="L48" s="67">
        <f t="shared" si="0"/>
        <v>6</v>
      </c>
      <c r="M48" s="68">
        <v>1.4833299999999999E-3</v>
      </c>
      <c r="N48" s="69">
        <f t="shared" si="1"/>
        <v>-24.3495442818</v>
      </c>
      <c r="O48" s="66"/>
      <c r="P48" s="71">
        <f t="shared" si="2"/>
        <v>0</v>
      </c>
      <c r="Q48" s="132"/>
      <c r="R48" s="71">
        <f t="shared" si="3"/>
        <v>-38.728515993749994</v>
      </c>
      <c r="S48" s="64"/>
    </row>
    <row r="49" spans="1:19">
      <c r="A49" s="64" t="s">
        <v>29</v>
      </c>
      <c r="B49" s="65" t="s">
        <v>103</v>
      </c>
      <c r="C49" s="65" t="s">
        <v>104</v>
      </c>
      <c r="D49" s="64" t="s">
        <v>105</v>
      </c>
      <c r="E49" s="65" t="s">
        <v>106</v>
      </c>
      <c r="F49" s="64" t="s">
        <v>34</v>
      </c>
      <c r="G49" s="65" t="s">
        <v>20</v>
      </c>
      <c r="H49" s="65" t="s">
        <v>933</v>
      </c>
      <c r="I49" s="65">
        <v>201409</v>
      </c>
      <c r="J49" s="66">
        <v>4610.79</v>
      </c>
      <c r="K49" s="72">
        <f t="shared" si="4"/>
        <v>42675</v>
      </c>
      <c r="L49" s="67">
        <f t="shared" si="0"/>
        <v>6</v>
      </c>
      <c r="M49" s="68">
        <v>2.23333E-3</v>
      </c>
      <c r="N49" s="69">
        <f t="shared" si="1"/>
        <v>61.784493784199995</v>
      </c>
      <c r="O49" s="66"/>
      <c r="P49" s="71">
        <f t="shared" si="2"/>
        <v>0</v>
      </c>
      <c r="Q49" s="132"/>
      <c r="R49" s="71">
        <f t="shared" si="3"/>
        <v>65.268614193749997</v>
      </c>
      <c r="S49" s="64"/>
    </row>
    <row r="50" spans="1:19">
      <c r="A50" s="64" t="s">
        <v>29</v>
      </c>
      <c r="B50" s="65" t="s">
        <v>107</v>
      </c>
      <c r="C50" s="65" t="s">
        <v>108</v>
      </c>
      <c r="D50" s="64" t="s">
        <v>109</v>
      </c>
      <c r="E50" s="65" t="s">
        <v>110</v>
      </c>
      <c r="F50" s="64" t="s">
        <v>52</v>
      </c>
      <c r="G50" s="65" t="s">
        <v>20</v>
      </c>
      <c r="H50" s="65" t="s">
        <v>933</v>
      </c>
      <c r="I50" s="65">
        <v>201409</v>
      </c>
      <c r="J50" s="66">
        <v>103697.26</v>
      </c>
      <c r="K50" s="72">
        <f t="shared" si="4"/>
        <v>42675</v>
      </c>
      <c r="L50" s="67">
        <f t="shared" si="0"/>
        <v>6</v>
      </c>
      <c r="M50" s="68">
        <v>2.23333E-3</v>
      </c>
      <c r="N50" s="69">
        <f t="shared" si="1"/>
        <v>1389.5412100547999</v>
      </c>
      <c r="O50" s="66"/>
      <c r="P50" s="71">
        <f t="shared" si="2"/>
        <v>0</v>
      </c>
      <c r="Q50" s="132"/>
      <c r="R50" s="71">
        <f t="shared" si="3"/>
        <v>1467.8995260874999</v>
      </c>
      <c r="S50" s="64"/>
    </row>
    <row r="51" spans="1:19">
      <c r="A51" s="64" t="s">
        <v>29</v>
      </c>
      <c r="B51" s="65" t="s">
        <v>548</v>
      </c>
      <c r="C51" s="65" t="s">
        <v>549</v>
      </c>
      <c r="D51" s="64" t="s">
        <v>327</v>
      </c>
      <c r="E51" s="65" t="s">
        <v>550</v>
      </c>
      <c r="F51" s="64" t="s">
        <v>58</v>
      </c>
      <c r="G51" s="65" t="s">
        <v>20</v>
      </c>
      <c r="H51" s="65" t="s">
        <v>933</v>
      </c>
      <c r="I51" s="65">
        <v>201409</v>
      </c>
      <c r="J51" s="66">
        <v>-46.62</v>
      </c>
      <c r="K51" s="72">
        <f t="shared" si="4"/>
        <v>42675</v>
      </c>
      <c r="L51" s="67">
        <f t="shared" si="0"/>
        <v>6</v>
      </c>
      <c r="M51" s="68">
        <v>2.23333E-3</v>
      </c>
      <c r="N51" s="69">
        <f t="shared" si="1"/>
        <v>-0.62470706759999994</v>
      </c>
      <c r="O51" s="66"/>
      <c r="P51" s="71">
        <f t="shared" si="2"/>
        <v>0</v>
      </c>
      <c r="Q51" s="132"/>
      <c r="R51" s="71">
        <f t="shared" si="3"/>
        <v>-0.65993523749999994</v>
      </c>
      <c r="S51" s="64"/>
    </row>
    <row r="52" spans="1:19">
      <c r="A52" s="64" t="s">
        <v>29</v>
      </c>
      <c r="B52" s="65" t="s">
        <v>111</v>
      </c>
      <c r="C52" s="65" t="s">
        <v>112</v>
      </c>
      <c r="D52" s="64" t="s">
        <v>113</v>
      </c>
      <c r="E52" s="65" t="s">
        <v>114</v>
      </c>
      <c r="F52" s="64" t="s">
        <v>115</v>
      </c>
      <c r="G52" s="65" t="s">
        <v>20</v>
      </c>
      <c r="H52" s="65" t="s">
        <v>933</v>
      </c>
      <c r="I52" s="65">
        <v>201409</v>
      </c>
      <c r="J52" s="66">
        <v>-620.16</v>
      </c>
      <c r="K52" s="72">
        <f t="shared" si="4"/>
        <v>42675</v>
      </c>
      <c r="L52" s="67">
        <f t="shared" si="0"/>
        <v>6</v>
      </c>
      <c r="M52" s="68">
        <v>2.23333E-3</v>
      </c>
      <c r="N52" s="69">
        <f t="shared" si="1"/>
        <v>-8.310131596799998</v>
      </c>
      <c r="O52" s="66"/>
      <c r="P52" s="71">
        <f t="shared" si="2"/>
        <v>0</v>
      </c>
      <c r="Q52" s="132"/>
      <c r="R52" s="71">
        <f t="shared" si="3"/>
        <v>-8.7787524000000001</v>
      </c>
      <c r="S52" s="64"/>
    </row>
    <row r="53" spans="1:19">
      <c r="A53" s="85" t="s">
        <v>21</v>
      </c>
      <c r="B53" s="65" t="s">
        <v>551</v>
      </c>
      <c r="C53" s="65" t="s">
        <v>552</v>
      </c>
      <c r="D53" s="64" t="s">
        <v>553</v>
      </c>
      <c r="E53" s="65" t="s">
        <v>260</v>
      </c>
      <c r="F53" s="64" t="s">
        <v>26</v>
      </c>
      <c r="G53" s="65" t="s">
        <v>20</v>
      </c>
      <c r="H53" s="65" t="s">
        <v>928</v>
      </c>
      <c r="I53" s="65">
        <v>201409</v>
      </c>
      <c r="J53" s="66">
        <v>-587.16999999999996</v>
      </c>
      <c r="K53" s="72">
        <f t="shared" si="4"/>
        <v>42675</v>
      </c>
      <c r="L53" s="67">
        <f t="shared" si="0"/>
        <v>6</v>
      </c>
      <c r="M53" s="68">
        <v>1.4833299999999999E-3</v>
      </c>
      <c r="N53" s="69">
        <f t="shared" si="1"/>
        <v>-5.2258012565999996</v>
      </c>
      <c r="O53" s="66"/>
      <c r="P53" s="71">
        <f t="shared" si="2"/>
        <v>0</v>
      </c>
      <c r="Q53" s="132"/>
      <c r="R53" s="71">
        <f t="shared" si="3"/>
        <v>-8.3117583312499974</v>
      </c>
      <c r="S53" s="64"/>
    </row>
    <row r="54" spans="1:19">
      <c r="A54" s="85" t="s">
        <v>554</v>
      </c>
      <c r="B54" s="65" t="s">
        <v>116</v>
      </c>
      <c r="C54" s="65" t="s">
        <v>117</v>
      </c>
      <c r="D54" s="64" t="s">
        <v>118</v>
      </c>
      <c r="E54" s="65" t="s">
        <v>119</v>
      </c>
      <c r="F54" s="64" t="s">
        <v>120</v>
      </c>
      <c r="G54" s="65" t="s">
        <v>20</v>
      </c>
      <c r="H54" s="65" t="s">
        <v>936</v>
      </c>
      <c r="I54" s="65">
        <v>201409</v>
      </c>
      <c r="J54" s="66">
        <v>120417.26</v>
      </c>
      <c r="K54" s="72">
        <f t="shared" si="4"/>
        <v>42675</v>
      </c>
      <c r="L54" s="67">
        <f t="shared" si="0"/>
        <v>6</v>
      </c>
      <c r="M54" s="68">
        <v>1.4833299999999999E-3</v>
      </c>
      <c r="N54" s="69">
        <f t="shared" si="1"/>
        <v>1071.7112056547999</v>
      </c>
      <c r="O54" s="66"/>
      <c r="P54" s="71">
        <f t="shared" si="2"/>
        <v>0</v>
      </c>
      <c r="Q54" s="132"/>
      <c r="R54" s="71">
        <f t="shared" si="3"/>
        <v>1704.5815760874998</v>
      </c>
      <c r="S54" s="64"/>
    </row>
    <row r="55" spans="1:19">
      <c r="A55" s="64" t="s">
        <v>29</v>
      </c>
      <c r="B55" s="65" t="s">
        <v>555</v>
      </c>
      <c r="C55" s="65" t="s">
        <v>556</v>
      </c>
      <c r="D55" s="64" t="s">
        <v>45</v>
      </c>
      <c r="E55" s="65" t="s">
        <v>557</v>
      </c>
      <c r="F55" s="64" t="s">
        <v>41</v>
      </c>
      <c r="G55" s="65" t="s">
        <v>20</v>
      </c>
      <c r="H55" s="65" t="s">
        <v>933</v>
      </c>
      <c r="I55" s="65">
        <v>201409</v>
      </c>
      <c r="J55" s="66">
        <v>6250.26</v>
      </c>
      <c r="K55" s="72">
        <f t="shared" si="4"/>
        <v>42675</v>
      </c>
      <c r="L55" s="67">
        <f t="shared" si="0"/>
        <v>6</v>
      </c>
      <c r="M55" s="68">
        <v>2.23333E-3</v>
      </c>
      <c r="N55" s="69">
        <f t="shared" si="1"/>
        <v>83.753358994799996</v>
      </c>
      <c r="O55" s="66"/>
      <c r="P55" s="71">
        <f t="shared" si="2"/>
        <v>0</v>
      </c>
      <c r="Q55" s="132"/>
      <c r="R55" s="71">
        <f t="shared" si="3"/>
        <v>88.4763367125</v>
      </c>
      <c r="S55" s="64"/>
    </row>
    <row r="56" spans="1:19">
      <c r="A56" s="64" t="s">
        <v>29</v>
      </c>
      <c r="B56" s="65" t="s">
        <v>121</v>
      </c>
      <c r="C56" s="65" t="s">
        <v>122</v>
      </c>
      <c r="D56" s="64" t="s">
        <v>50</v>
      </c>
      <c r="E56" s="65" t="s">
        <v>123</v>
      </c>
      <c r="F56" s="64" t="s">
        <v>52</v>
      </c>
      <c r="G56" s="65" t="s">
        <v>20</v>
      </c>
      <c r="H56" s="65" t="s">
        <v>933</v>
      </c>
      <c r="I56" s="65">
        <v>201409</v>
      </c>
      <c r="J56" s="66">
        <v>16732.5</v>
      </c>
      <c r="K56" s="72">
        <f t="shared" si="4"/>
        <v>42675</v>
      </c>
      <c r="L56" s="67">
        <f t="shared" si="0"/>
        <v>6</v>
      </c>
      <c r="M56" s="68">
        <v>2.23333E-3</v>
      </c>
      <c r="N56" s="69">
        <f t="shared" si="1"/>
        <v>224.21516534999998</v>
      </c>
      <c r="O56" s="66"/>
      <c r="P56" s="71">
        <f t="shared" si="2"/>
        <v>0</v>
      </c>
      <c r="Q56" s="132"/>
      <c r="R56" s="71">
        <f t="shared" si="3"/>
        <v>236.85899531249999</v>
      </c>
      <c r="S56" s="64"/>
    </row>
    <row r="57" spans="1:19">
      <c r="A57" s="64" t="s">
        <v>29</v>
      </c>
      <c r="B57" s="65" t="s">
        <v>124</v>
      </c>
      <c r="C57" s="65" t="s">
        <v>125</v>
      </c>
      <c r="D57" s="64" t="s">
        <v>50</v>
      </c>
      <c r="E57" s="65" t="s">
        <v>126</v>
      </c>
      <c r="F57" s="64" t="s">
        <v>52</v>
      </c>
      <c r="G57" s="65" t="s">
        <v>20</v>
      </c>
      <c r="H57" s="65" t="s">
        <v>933</v>
      </c>
      <c r="I57" s="65">
        <v>201409</v>
      </c>
      <c r="J57" s="66">
        <v>46346.59</v>
      </c>
      <c r="K57" s="72">
        <f t="shared" si="4"/>
        <v>42675</v>
      </c>
      <c r="L57" s="67">
        <f t="shared" si="0"/>
        <v>6</v>
      </c>
      <c r="M57" s="68">
        <v>2.23333E-3</v>
      </c>
      <c r="N57" s="69">
        <f t="shared" si="1"/>
        <v>621.0433790681999</v>
      </c>
      <c r="O57" s="66"/>
      <c r="P57" s="71">
        <f t="shared" si="2"/>
        <v>0</v>
      </c>
      <c r="Q57" s="132"/>
      <c r="R57" s="71">
        <f t="shared" si="3"/>
        <v>656.06494806874991</v>
      </c>
      <c r="S57" s="64"/>
    </row>
    <row r="58" spans="1:19">
      <c r="A58" s="85" t="s">
        <v>21</v>
      </c>
      <c r="B58" s="65" t="s">
        <v>558</v>
      </c>
      <c r="C58" s="65" t="s">
        <v>559</v>
      </c>
      <c r="D58" s="64" t="s">
        <v>560</v>
      </c>
      <c r="E58" s="65" t="s">
        <v>87</v>
      </c>
      <c r="F58" s="64" t="s">
        <v>88</v>
      </c>
      <c r="G58" s="65" t="s">
        <v>20</v>
      </c>
      <c r="H58" s="65" t="s">
        <v>929</v>
      </c>
      <c r="I58" s="65">
        <v>201409</v>
      </c>
      <c r="J58" s="66">
        <v>34.520000000000003</v>
      </c>
      <c r="K58" s="72">
        <f t="shared" si="4"/>
        <v>42675</v>
      </c>
      <c r="L58" s="67">
        <f t="shared" si="0"/>
        <v>6</v>
      </c>
      <c r="M58" s="68">
        <v>1.4833299999999999E-3</v>
      </c>
      <c r="N58" s="69">
        <f t="shared" si="1"/>
        <v>0.30722730960000005</v>
      </c>
      <c r="O58" s="66"/>
      <c r="P58" s="71">
        <f t="shared" si="2"/>
        <v>0</v>
      </c>
      <c r="Q58" s="132"/>
      <c r="R58" s="71">
        <f t="shared" si="3"/>
        <v>0.48865217500000002</v>
      </c>
      <c r="S58" s="64"/>
    </row>
    <row r="59" spans="1:19">
      <c r="A59" s="64" t="s">
        <v>21</v>
      </c>
      <c r="B59" s="65" t="s">
        <v>561</v>
      </c>
      <c r="C59" s="65" t="s">
        <v>562</v>
      </c>
      <c r="D59" s="64" t="s">
        <v>563</v>
      </c>
      <c r="E59" s="65" t="s">
        <v>75</v>
      </c>
      <c r="F59" s="64" t="s">
        <v>26</v>
      </c>
      <c r="G59" s="65" t="s">
        <v>20</v>
      </c>
      <c r="H59" s="65" t="s">
        <v>928</v>
      </c>
      <c r="I59" s="65">
        <v>201409</v>
      </c>
      <c r="J59" s="66">
        <v>16.510000000000002</v>
      </c>
      <c r="K59" s="72">
        <f t="shared" si="4"/>
        <v>42675</v>
      </c>
      <c r="L59" s="67">
        <f t="shared" si="0"/>
        <v>6</v>
      </c>
      <c r="M59" s="68">
        <v>1.4833299999999999E-3</v>
      </c>
      <c r="N59" s="69">
        <f t="shared" si="1"/>
        <v>0.1469386698</v>
      </c>
      <c r="O59" s="66"/>
      <c r="P59" s="71">
        <f t="shared" si="2"/>
        <v>0</v>
      </c>
      <c r="Q59" s="132"/>
      <c r="R59" s="71">
        <f t="shared" si="3"/>
        <v>0.23370936874999998</v>
      </c>
      <c r="S59" s="64"/>
    </row>
    <row r="60" spans="1:19">
      <c r="A60" s="85" t="s">
        <v>127</v>
      </c>
      <c r="B60" s="65" t="s">
        <v>128</v>
      </c>
      <c r="C60" s="65" t="s">
        <v>129</v>
      </c>
      <c r="D60" s="64" t="s">
        <v>130</v>
      </c>
      <c r="E60" s="65" t="s">
        <v>131</v>
      </c>
      <c r="F60" s="64" t="s">
        <v>132</v>
      </c>
      <c r="G60" s="65" t="s">
        <v>20</v>
      </c>
      <c r="H60" s="65" t="s">
        <v>935</v>
      </c>
      <c r="I60" s="65">
        <v>201409</v>
      </c>
      <c r="J60" s="66">
        <v>5.08</v>
      </c>
      <c r="K60" s="72">
        <f t="shared" si="4"/>
        <v>42675</v>
      </c>
      <c r="L60" s="67">
        <f t="shared" si="0"/>
        <v>6</v>
      </c>
      <c r="M60" s="68">
        <v>2.3833299999999999E-3</v>
      </c>
      <c r="N60" s="69">
        <f t="shared" si="1"/>
        <v>7.2643898400000004E-2</v>
      </c>
      <c r="O60" s="66"/>
      <c r="P60" s="71">
        <f t="shared" si="2"/>
        <v>0</v>
      </c>
      <c r="Q60" s="132"/>
      <c r="R60" s="71">
        <f t="shared" si="3"/>
        <v>7.1910575000000004E-2</v>
      </c>
      <c r="S60" s="64"/>
    </row>
    <row r="61" spans="1:19">
      <c r="A61" s="85" t="s">
        <v>133</v>
      </c>
      <c r="B61" s="65" t="s">
        <v>134</v>
      </c>
      <c r="C61" s="65" t="s">
        <v>135</v>
      </c>
      <c r="D61" s="64" t="s">
        <v>136</v>
      </c>
      <c r="E61" s="65" t="s">
        <v>137</v>
      </c>
      <c r="F61" s="64" t="s">
        <v>138</v>
      </c>
      <c r="G61" s="65" t="s">
        <v>20</v>
      </c>
      <c r="H61" s="65" t="s">
        <v>928</v>
      </c>
      <c r="I61" s="65">
        <v>201409</v>
      </c>
      <c r="J61" s="66">
        <v>-9517.91</v>
      </c>
      <c r="K61" s="72">
        <f t="shared" si="4"/>
        <v>42675</v>
      </c>
      <c r="L61" s="67">
        <f t="shared" si="0"/>
        <v>6</v>
      </c>
      <c r="M61" s="68">
        <v>1.4833299999999999E-3</v>
      </c>
      <c r="N61" s="69">
        <f t="shared" si="1"/>
        <v>-84.709208641800004</v>
      </c>
      <c r="O61" s="66"/>
      <c r="P61" s="71">
        <f t="shared" si="2"/>
        <v>0</v>
      </c>
      <c r="Q61" s="132"/>
      <c r="R61" s="71">
        <f t="shared" si="3"/>
        <v>-134.73196474374998</v>
      </c>
      <c r="S61" s="64"/>
    </row>
    <row r="62" spans="1:19">
      <c r="A62" s="85" t="s">
        <v>21</v>
      </c>
      <c r="B62" s="65" t="s">
        <v>564</v>
      </c>
      <c r="C62" s="65" t="s">
        <v>565</v>
      </c>
      <c r="D62" s="64" t="s">
        <v>566</v>
      </c>
      <c r="E62" s="65" t="s">
        <v>75</v>
      </c>
      <c r="F62" s="64" t="s">
        <v>26</v>
      </c>
      <c r="G62" s="65" t="s">
        <v>20</v>
      </c>
      <c r="H62" s="65" t="s">
        <v>928</v>
      </c>
      <c r="I62" s="65">
        <v>201409</v>
      </c>
      <c r="J62" s="66">
        <v>-0.82</v>
      </c>
      <c r="K62" s="72">
        <f t="shared" si="4"/>
        <v>42675</v>
      </c>
      <c r="L62" s="67">
        <f t="shared" si="0"/>
        <v>6</v>
      </c>
      <c r="M62" s="68">
        <v>1.4833299999999999E-3</v>
      </c>
      <c r="N62" s="69">
        <f t="shared" si="1"/>
        <v>-7.2979835999999994E-3</v>
      </c>
      <c r="O62" s="66"/>
      <c r="P62" s="71">
        <f t="shared" si="2"/>
        <v>0</v>
      </c>
      <c r="Q62" s="132"/>
      <c r="R62" s="71">
        <f t="shared" si="3"/>
        <v>-1.16076125E-2</v>
      </c>
      <c r="S62" s="64"/>
    </row>
    <row r="63" spans="1:19">
      <c r="A63" s="85" t="s">
        <v>21</v>
      </c>
      <c r="B63" s="65" t="s">
        <v>567</v>
      </c>
      <c r="C63" s="65" t="s">
        <v>565</v>
      </c>
      <c r="D63" s="64" t="s">
        <v>566</v>
      </c>
      <c r="E63" s="65" t="s">
        <v>75</v>
      </c>
      <c r="F63" s="64" t="s">
        <v>26</v>
      </c>
      <c r="G63" s="65" t="s">
        <v>20</v>
      </c>
      <c r="H63" s="65" t="s">
        <v>928</v>
      </c>
      <c r="I63" s="65">
        <v>201409</v>
      </c>
      <c r="J63" s="66">
        <v>-735.35</v>
      </c>
      <c r="K63" s="72">
        <f t="shared" si="4"/>
        <v>42675</v>
      </c>
      <c r="L63" s="67">
        <f t="shared" si="0"/>
        <v>6</v>
      </c>
      <c r="M63" s="68">
        <v>1.4833299999999999E-3</v>
      </c>
      <c r="N63" s="69">
        <f t="shared" si="1"/>
        <v>-6.5446002930000002</v>
      </c>
      <c r="O63" s="66"/>
      <c r="P63" s="71">
        <f t="shared" si="2"/>
        <v>0</v>
      </c>
      <c r="Q63" s="132"/>
      <c r="R63" s="71">
        <f t="shared" si="3"/>
        <v>-10.40933884375</v>
      </c>
      <c r="S63" s="64"/>
    </row>
    <row r="64" spans="1:19">
      <c r="A64" s="85" t="s">
        <v>21</v>
      </c>
      <c r="B64" s="65" t="s">
        <v>373</v>
      </c>
      <c r="C64" s="65" t="s">
        <v>374</v>
      </c>
      <c r="D64" s="64" t="s">
        <v>375</v>
      </c>
      <c r="E64" s="65" t="s">
        <v>164</v>
      </c>
      <c r="F64" s="64" t="s">
        <v>165</v>
      </c>
      <c r="G64" s="65" t="s">
        <v>20</v>
      </c>
      <c r="H64" s="65" t="s">
        <v>928</v>
      </c>
      <c r="I64" s="65">
        <v>201409</v>
      </c>
      <c r="J64" s="66">
        <v>-226.18</v>
      </c>
      <c r="K64" s="72">
        <f t="shared" si="4"/>
        <v>42675</v>
      </c>
      <c r="L64" s="67">
        <f t="shared" si="0"/>
        <v>6</v>
      </c>
      <c r="M64" s="68">
        <v>1.4833299999999999E-3</v>
      </c>
      <c r="N64" s="69">
        <f t="shared" si="1"/>
        <v>-2.0129974764000003</v>
      </c>
      <c r="O64" s="66"/>
      <c r="P64" s="71">
        <f t="shared" si="2"/>
        <v>0</v>
      </c>
      <c r="Q64" s="132"/>
      <c r="R64" s="71">
        <f t="shared" si="3"/>
        <v>-3.2017192624999997</v>
      </c>
      <c r="S64" s="64"/>
    </row>
    <row r="65" spans="1:19">
      <c r="A65" s="85" t="s">
        <v>21</v>
      </c>
      <c r="B65" s="65" t="s">
        <v>139</v>
      </c>
      <c r="C65" s="65" t="s">
        <v>140</v>
      </c>
      <c r="D65" s="64" t="s">
        <v>141</v>
      </c>
      <c r="E65" s="65" t="s">
        <v>142</v>
      </c>
      <c r="F65" s="64" t="s">
        <v>143</v>
      </c>
      <c r="G65" s="65" t="s">
        <v>20</v>
      </c>
      <c r="H65" s="65" t="s">
        <v>928</v>
      </c>
      <c r="I65" s="65">
        <v>201409</v>
      </c>
      <c r="J65" s="66">
        <v>-257.27</v>
      </c>
      <c r="K65" s="72">
        <f t="shared" si="4"/>
        <v>42675</v>
      </c>
      <c r="L65" s="67">
        <f t="shared" si="0"/>
        <v>6</v>
      </c>
      <c r="M65" s="68">
        <v>1.4833299999999999E-3</v>
      </c>
      <c r="N65" s="69">
        <f t="shared" si="1"/>
        <v>-2.2896978546</v>
      </c>
      <c r="O65" s="66"/>
      <c r="P65" s="71">
        <f t="shared" si="2"/>
        <v>0</v>
      </c>
      <c r="Q65" s="132"/>
      <c r="R65" s="71">
        <f t="shared" si="3"/>
        <v>-3.6418176437499996</v>
      </c>
      <c r="S65" s="64"/>
    </row>
    <row r="66" spans="1:19">
      <c r="A66" s="85" t="s">
        <v>21</v>
      </c>
      <c r="B66" s="65" t="s">
        <v>144</v>
      </c>
      <c r="C66" s="65" t="s">
        <v>145</v>
      </c>
      <c r="D66" s="64" t="s">
        <v>146</v>
      </c>
      <c r="E66" s="65" t="s">
        <v>142</v>
      </c>
      <c r="F66" s="64" t="s">
        <v>143</v>
      </c>
      <c r="G66" s="65" t="s">
        <v>20</v>
      </c>
      <c r="H66" s="65" t="s">
        <v>928</v>
      </c>
      <c r="I66" s="65">
        <v>201409</v>
      </c>
      <c r="J66" s="66">
        <v>-264.56</v>
      </c>
      <c r="K66" s="72">
        <f t="shared" si="4"/>
        <v>42675</v>
      </c>
      <c r="L66" s="67">
        <f t="shared" si="0"/>
        <v>6</v>
      </c>
      <c r="M66" s="68">
        <v>1.4833299999999999E-3</v>
      </c>
      <c r="N66" s="69">
        <f t="shared" si="1"/>
        <v>-2.3545787088000001</v>
      </c>
      <c r="O66" s="66"/>
      <c r="P66" s="71">
        <f t="shared" si="2"/>
        <v>0</v>
      </c>
      <c r="Q66" s="132"/>
      <c r="R66" s="71">
        <f t="shared" si="3"/>
        <v>-3.74501215</v>
      </c>
      <c r="S66" s="64"/>
    </row>
    <row r="67" spans="1:19">
      <c r="A67" s="64" t="s">
        <v>21</v>
      </c>
      <c r="B67" s="65" t="s">
        <v>147</v>
      </c>
      <c r="C67" s="65" t="s">
        <v>148</v>
      </c>
      <c r="D67" s="64" t="s">
        <v>149</v>
      </c>
      <c r="E67" s="65" t="s">
        <v>75</v>
      </c>
      <c r="F67" s="64" t="s">
        <v>26</v>
      </c>
      <c r="G67" s="65" t="s">
        <v>20</v>
      </c>
      <c r="H67" s="65" t="s">
        <v>928</v>
      </c>
      <c r="I67" s="65">
        <v>201409</v>
      </c>
      <c r="J67" s="66">
        <v>-405.55</v>
      </c>
      <c r="K67" s="72">
        <f t="shared" si="4"/>
        <v>42675</v>
      </c>
      <c r="L67" s="67">
        <f t="shared" si="0"/>
        <v>6</v>
      </c>
      <c r="M67" s="68">
        <v>1.4833299999999999E-3</v>
      </c>
      <c r="N67" s="69">
        <f t="shared" si="1"/>
        <v>-3.609386889</v>
      </c>
      <c r="O67" s="66"/>
      <c r="P67" s="71">
        <f t="shared" si="2"/>
        <v>0</v>
      </c>
      <c r="Q67" s="132"/>
      <c r="R67" s="71">
        <f t="shared" si="3"/>
        <v>-5.7408137187500001</v>
      </c>
      <c r="S67" s="64"/>
    </row>
    <row r="68" spans="1:19">
      <c r="A68" s="64" t="s">
        <v>21</v>
      </c>
      <c r="B68" s="65" t="s">
        <v>568</v>
      </c>
      <c r="C68" s="65" t="s">
        <v>569</v>
      </c>
      <c r="D68" s="64" t="s">
        <v>570</v>
      </c>
      <c r="E68" s="65" t="s">
        <v>209</v>
      </c>
      <c r="F68" s="64" t="s">
        <v>88</v>
      </c>
      <c r="G68" s="65" t="s">
        <v>20</v>
      </c>
      <c r="H68" s="65" t="s">
        <v>929</v>
      </c>
      <c r="I68" s="65">
        <v>201409</v>
      </c>
      <c r="J68" s="66">
        <v>3</v>
      </c>
      <c r="K68" s="72">
        <f t="shared" si="4"/>
        <v>42675</v>
      </c>
      <c r="L68" s="67">
        <f t="shared" si="0"/>
        <v>6</v>
      </c>
      <c r="M68" s="68">
        <v>1.4833299999999999E-3</v>
      </c>
      <c r="N68" s="69">
        <f t="shared" si="1"/>
        <v>2.6699939999999998E-2</v>
      </c>
      <c r="O68" s="66"/>
      <c r="P68" s="71">
        <f t="shared" si="2"/>
        <v>0</v>
      </c>
      <c r="Q68" s="132"/>
      <c r="R68" s="71">
        <f t="shared" si="3"/>
        <v>4.2466875000000001E-2</v>
      </c>
      <c r="S68" s="64"/>
    </row>
    <row r="69" spans="1:19">
      <c r="A69" s="64" t="s">
        <v>21</v>
      </c>
      <c r="B69" s="65" t="s">
        <v>150</v>
      </c>
      <c r="C69" s="65" t="s">
        <v>151</v>
      </c>
      <c r="D69" s="64" t="s">
        <v>152</v>
      </c>
      <c r="E69" s="65" t="s">
        <v>75</v>
      </c>
      <c r="F69" s="64" t="s">
        <v>26</v>
      </c>
      <c r="G69" s="65" t="s">
        <v>20</v>
      </c>
      <c r="H69" s="65" t="s">
        <v>928</v>
      </c>
      <c r="I69" s="65">
        <v>201409</v>
      </c>
      <c r="J69" s="66">
        <v>0.82</v>
      </c>
      <c r="K69" s="72">
        <f t="shared" si="4"/>
        <v>42675</v>
      </c>
      <c r="L69" s="67">
        <f t="shared" si="0"/>
        <v>6</v>
      </c>
      <c r="M69" s="68">
        <v>1.4833299999999999E-3</v>
      </c>
      <c r="N69" s="69">
        <f t="shared" si="1"/>
        <v>7.2979835999999994E-3</v>
      </c>
      <c r="O69" s="66"/>
      <c r="P69" s="71">
        <f t="shared" si="2"/>
        <v>0</v>
      </c>
      <c r="Q69" s="132"/>
      <c r="R69" s="71">
        <f t="shared" si="3"/>
        <v>1.16076125E-2</v>
      </c>
      <c r="S69" s="64"/>
    </row>
    <row r="70" spans="1:19">
      <c r="A70" s="64" t="s">
        <v>21</v>
      </c>
      <c r="B70" s="65" t="s">
        <v>571</v>
      </c>
      <c r="C70" s="65" t="s">
        <v>572</v>
      </c>
      <c r="D70" s="64" t="s">
        <v>573</v>
      </c>
      <c r="E70" s="65" t="s">
        <v>79</v>
      </c>
      <c r="F70" s="64" t="s">
        <v>26</v>
      </c>
      <c r="G70" s="65" t="s">
        <v>20</v>
      </c>
      <c r="H70" s="65" t="s">
        <v>928</v>
      </c>
      <c r="I70" s="65">
        <v>201409</v>
      </c>
      <c r="J70" s="66">
        <v>-319.74</v>
      </c>
      <c r="K70" s="72">
        <f t="shared" si="4"/>
        <v>42675</v>
      </c>
      <c r="L70" s="67">
        <f t="shared" ref="L70:L133" si="5">((YEAR($L$1)-YEAR(K70))*12+MONTH($L$1)-MONTH(K70))</f>
        <v>6</v>
      </c>
      <c r="M70" s="68">
        <v>1.4833299999999999E-3</v>
      </c>
      <c r="N70" s="69">
        <f t="shared" ref="N70:N133" si="6">M70*L70*J70</f>
        <v>-2.8456796052</v>
      </c>
      <c r="O70" s="66"/>
      <c r="P70" s="71">
        <f t="shared" ref="P70:P133" si="7">$P$4*J70*$U$11</f>
        <v>0</v>
      </c>
      <c r="Q70" s="132"/>
      <c r="R70" s="71">
        <f t="shared" ref="R70:R133" si="8">$R$4*J70*$U$12</f>
        <v>-4.5261195374999996</v>
      </c>
      <c r="S70" s="64"/>
    </row>
    <row r="71" spans="1:19">
      <c r="A71" s="64" t="s">
        <v>21</v>
      </c>
      <c r="B71" s="65" t="s">
        <v>574</v>
      </c>
      <c r="C71" s="65" t="s">
        <v>575</v>
      </c>
      <c r="D71" s="64" t="s">
        <v>576</v>
      </c>
      <c r="E71" s="65" t="s">
        <v>87</v>
      </c>
      <c r="F71" s="64" t="s">
        <v>88</v>
      </c>
      <c r="G71" s="65" t="s">
        <v>20</v>
      </c>
      <c r="H71" s="65" t="s">
        <v>929</v>
      </c>
      <c r="I71" s="65">
        <v>201409</v>
      </c>
      <c r="J71" s="66">
        <v>-955.41</v>
      </c>
      <c r="K71" s="72">
        <f t="shared" si="4"/>
        <v>42675</v>
      </c>
      <c r="L71" s="67">
        <f t="shared" si="5"/>
        <v>6</v>
      </c>
      <c r="M71" s="68">
        <v>1.4833299999999999E-3</v>
      </c>
      <c r="N71" s="69">
        <f t="shared" si="6"/>
        <v>-8.5031298918000005</v>
      </c>
      <c r="O71" s="66"/>
      <c r="P71" s="71">
        <f t="shared" si="7"/>
        <v>0</v>
      </c>
      <c r="Q71" s="132"/>
      <c r="R71" s="71">
        <f t="shared" si="8"/>
        <v>-13.524425681249998</v>
      </c>
      <c r="S71" s="64"/>
    </row>
    <row r="72" spans="1:19">
      <c r="A72" s="64" t="s">
        <v>626</v>
      </c>
      <c r="B72" s="65" t="s">
        <v>574</v>
      </c>
      <c r="C72" s="65" t="s">
        <v>575</v>
      </c>
      <c r="D72" s="64" t="s">
        <v>576</v>
      </c>
      <c r="E72" s="65" t="s">
        <v>87</v>
      </c>
      <c r="F72" s="64" t="s">
        <v>88</v>
      </c>
      <c r="G72" s="65" t="s">
        <v>20</v>
      </c>
      <c r="H72" s="65" t="s">
        <v>929</v>
      </c>
      <c r="I72" s="65">
        <v>201409</v>
      </c>
      <c r="J72" s="66">
        <v>-211.86</v>
      </c>
      <c r="K72" s="72">
        <f t="shared" ref="K72:K87" si="9">+K71</f>
        <v>42675</v>
      </c>
      <c r="L72" s="67">
        <f t="shared" si="5"/>
        <v>6</v>
      </c>
      <c r="M72" s="68">
        <v>1.4833299999999999E-3</v>
      </c>
      <c r="N72" s="69">
        <f t="shared" si="6"/>
        <v>-1.8855497628000002</v>
      </c>
      <c r="O72" s="66"/>
      <c r="P72" s="71">
        <f t="shared" si="7"/>
        <v>0</v>
      </c>
      <c r="Q72" s="132"/>
      <c r="R72" s="71">
        <f t="shared" si="8"/>
        <v>-2.9990107125000001</v>
      </c>
      <c r="S72" s="64"/>
    </row>
    <row r="73" spans="1:19">
      <c r="A73" s="64" t="s">
        <v>21</v>
      </c>
      <c r="B73" s="65" t="s">
        <v>864</v>
      </c>
      <c r="C73" s="65" t="s">
        <v>865</v>
      </c>
      <c r="D73" s="64" t="s">
        <v>866</v>
      </c>
      <c r="E73" s="65" t="s">
        <v>209</v>
      </c>
      <c r="F73" s="64" t="s">
        <v>88</v>
      </c>
      <c r="G73" s="65" t="s">
        <v>20</v>
      </c>
      <c r="H73" s="65" t="s">
        <v>929</v>
      </c>
      <c r="I73" s="65">
        <v>201409</v>
      </c>
      <c r="J73" s="66">
        <v>-53.52</v>
      </c>
      <c r="K73" s="72">
        <f t="shared" si="9"/>
        <v>42675</v>
      </c>
      <c r="L73" s="67">
        <f t="shared" si="5"/>
        <v>6</v>
      </c>
      <c r="M73" s="68">
        <v>1.4833299999999999E-3</v>
      </c>
      <c r="N73" s="69">
        <f t="shared" si="6"/>
        <v>-0.4763269296</v>
      </c>
      <c r="O73" s="66"/>
      <c r="P73" s="71">
        <f t="shared" si="7"/>
        <v>0</v>
      </c>
      <c r="Q73" s="132"/>
      <c r="R73" s="71">
        <f t="shared" si="8"/>
        <v>-0.75760905000000001</v>
      </c>
      <c r="S73" s="64"/>
    </row>
    <row r="74" spans="1:19">
      <c r="A74" s="64" t="s">
        <v>21</v>
      </c>
      <c r="B74" s="65" t="s">
        <v>845</v>
      </c>
      <c r="C74" s="65" t="s">
        <v>846</v>
      </c>
      <c r="D74" s="64" t="s">
        <v>847</v>
      </c>
      <c r="E74" s="65" t="s">
        <v>87</v>
      </c>
      <c r="F74" s="64" t="s">
        <v>88</v>
      </c>
      <c r="G74" s="65" t="s">
        <v>20</v>
      </c>
      <c r="H74" s="65" t="s">
        <v>929</v>
      </c>
      <c r="I74" s="65">
        <v>201409</v>
      </c>
      <c r="J74" s="66">
        <v>-3433.06</v>
      </c>
      <c r="K74" s="72">
        <f t="shared" si="9"/>
        <v>42675</v>
      </c>
      <c r="L74" s="67">
        <f t="shared" si="5"/>
        <v>6</v>
      </c>
      <c r="M74" s="68">
        <v>1.4833299999999999E-3</v>
      </c>
      <c r="N74" s="69">
        <f t="shared" si="6"/>
        <v>-30.554165338800001</v>
      </c>
      <c r="O74" s="66"/>
      <c r="P74" s="71">
        <f t="shared" si="7"/>
        <v>0</v>
      </c>
      <c r="Q74" s="132"/>
      <c r="R74" s="71">
        <f t="shared" si="8"/>
        <v>-48.597109962499992</v>
      </c>
      <c r="S74" s="64"/>
    </row>
    <row r="75" spans="1:19">
      <c r="A75" s="64" t="s">
        <v>21</v>
      </c>
      <c r="B75" s="65" t="s">
        <v>153</v>
      </c>
      <c r="C75" s="65" t="s">
        <v>154</v>
      </c>
      <c r="D75" s="64" t="s">
        <v>155</v>
      </c>
      <c r="E75" s="65" t="s">
        <v>156</v>
      </c>
      <c r="F75" s="64" t="s">
        <v>26</v>
      </c>
      <c r="G75" s="65" t="s">
        <v>20</v>
      </c>
      <c r="H75" s="65" t="s">
        <v>928</v>
      </c>
      <c r="I75" s="65">
        <v>201409</v>
      </c>
      <c r="J75" s="66">
        <v>-258.58</v>
      </c>
      <c r="K75" s="72">
        <f t="shared" si="9"/>
        <v>42675</v>
      </c>
      <c r="L75" s="67">
        <f t="shared" si="5"/>
        <v>6</v>
      </c>
      <c r="M75" s="68">
        <v>1.4833299999999999E-3</v>
      </c>
      <c r="N75" s="69">
        <f t="shared" si="6"/>
        <v>-2.3013568283999999</v>
      </c>
      <c r="O75" s="66"/>
      <c r="P75" s="71">
        <f t="shared" si="7"/>
        <v>0</v>
      </c>
      <c r="Q75" s="132"/>
      <c r="R75" s="71">
        <f t="shared" si="8"/>
        <v>-3.6603615124999993</v>
      </c>
      <c r="S75" s="64"/>
    </row>
    <row r="76" spans="1:19">
      <c r="A76" s="64" t="s">
        <v>21</v>
      </c>
      <c r="B76" s="65" t="s">
        <v>577</v>
      </c>
      <c r="C76" s="65" t="s">
        <v>578</v>
      </c>
      <c r="D76" s="64" t="s">
        <v>579</v>
      </c>
      <c r="E76" s="65" t="s">
        <v>75</v>
      </c>
      <c r="F76" s="64" t="s">
        <v>26</v>
      </c>
      <c r="G76" s="65" t="s">
        <v>20</v>
      </c>
      <c r="H76" s="65" t="s">
        <v>928</v>
      </c>
      <c r="I76" s="65">
        <v>201409</v>
      </c>
      <c r="J76" s="66">
        <v>-309.68</v>
      </c>
      <c r="K76" s="72">
        <f t="shared" si="9"/>
        <v>42675</v>
      </c>
      <c r="L76" s="67">
        <f t="shared" si="5"/>
        <v>6</v>
      </c>
      <c r="M76" s="68">
        <v>1.4833299999999999E-3</v>
      </c>
      <c r="N76" s="69">
        <f t="shared" si="6"/>
        <v>-2.7561458064000002</v>
      </c>
      <c r="O76" s="66"/>
      <c r="P76" s="71">
        <f t="shared" si="7"/>
        <v>0</v>
      </c>
      <c r="Q76" s="132"/>
      <c r="R76" s="71">
        <f t="shared" si="8"/>
        <v>-4.3837139499999997</v>
      </c>
      <c r="S76" s="64"/>
    </row>
    <row r="77" spans="1:19">
      <c r="A77" s="64" t="s">
        <v>21</v>
      </c>
      <c r="B77" s="65" t="s">
        <v>157</v>
      </c>
      <c r="C77" s="65" t="s">
        <v>158</v>
      </c>
      <c r="D77" s="64" t="s">
        <v>159</v>
      </c>
      <c r="E77" s="65" t="s">
        <v>160</v>
      </c>
      <c r="F77" s="64" t="s">
        <v>19</v>
      </c>
      <c r="G77" s="65" t="s">
        <v>20</v>
      </c>
      <c r="H77" s="65" t="s">
        <v>928</v>
      </c>
      <c r="I77" s="65">
        <v>201409</v>
      </c>
      <c r="J77" s="66">
        <v>-79.17</v>
      </c>
      <c r="K77" s="72">
        <f t="shared" si="9"/>
        <v>42675</v>
      </c>
      <c r="L77" s="67">
        <f t="shared" si="5"/>
        <v>6</v>
      </c>
      <c r="M77" s="68">
        <v>1.4833299999999999E-3</v>
      </c>
      <c r="N77" s="69">
        <f t="shared" si="6"/>
        <v>-0.70461141660000004</v>
      </c>
      <c r="O77" s="66"/>
      <c r="P77" s="71">
        <f t="shared" si="7"/>
        <v>0</v>
      </c>
      <c r="Q77" s="132"/>
      <c r="R77" s="71">
        <f t="shared" si="8"/>
        <v>-1.12070083125</v>
      </c>
      <c r="S77" s="64"/>
    </row>
    <row r="78" spans="1:19">
      <c r="A78" s="64" t="s">
        <v>21</v>
      </c>
      <c r="B78" s="65" t="s">
        <v>376</v>
      </c>
      <c r="C78" s="65" t="s">
        <v>377</v>
      </c>
      <c r="D78" s="64" t="s">
        <v>378</v>
      </c>
      <c r="E78" s="65" t="s">
        <v>156</v>
      </c>
      <c r="F78" s="64" t="s">
        <v>26</v>
      </c>
      <c r="G78" s="65" t="s">
        <v>20</v>
      </c>
      <c r="H78" s="65" t="s">
        <v>928</v>
      </c>
      <c r="I78" s="65">
        <v>201409</v>
      </c>
      <c r="J78" s="66">
        <v>-1027.9100000000001</v>
      </c>
      <c r="K78" s="72">
        <f t="shared" si="9"/>
        <v>42675</v>
      </c>
      <c r="L78" s="67">
        <f t="shared" si="5"/>
        <v>6</v>
      </c>
      <c r="M78" s="68">
        <v>1.4833299999999999E-3</v>
      </c>
      <c r="N78" s="69">
        <f t="shared" si="6"/>
        <v>-9.1483784418000003</v>
      </c>
      <c r="O78" s="66"/>
      <c r="P78" s="71">
        <f t="shared" si="7"/>
        <v>0</v>
      </c>
      <c r="Q78" s="132"/>
      <c r="R78" s="71">
        <f t="shared" si="8"/>
        <v>-14.550708493749999</v>
      </c>
      <c r="S78" s="64"/>
    </row>
    <row r="79" spans="1:19">
      <c r="A79" s="64" t="s">
        <v>21</v>
      </c>
      <c r="B79" s="65" t="s">
        <v>161</v>
      </c>
      <c r="C79" s="65" t="s">
        <v>162</v>
      </c>
      <c r="D79" s="64" t="s">
        <v>163</v>
      </c>
      <c r="E79" s="65" t="s">
        <v>164</v>
      </c>
      <c r="F79" s="64" t="s">
        <v>165</v>
      </c>
      <c r="G79" s="65" t="s">
        <v>20</v>
      </c>
      <c r="H79" s="65" t="s">
        <v>928</v>
      </c>
      <c r="I79" s="65">
        <v>201409</v>
      </c>
      <c r="J79" s="66">
        <v>-683.05</v>
      </c>
      <c r="K79" s="72">
        <f t="shared" si="9"/>
        <v>42675</v>
      </c>
      <c r="L79" s="67">
        <f t="shared" si="5"/>
        <v>6</v>
      </c>
      <c r="M79" s="68">
        <v>1.4833299999999999E-3</v>
      </c>
      <c r="N79" s="69">
        <f t="shared" si="6"/>
        <v>-6.0791313389999999</v>
      </c>
      <c r="O79" s="66"/>
      <c r="P79" s="71">
        <f t="shared" si="7"/>
        <v>0</v>
      </c>
      <c r="Q79" s="132"/>
      <c r="R79" s="71">
        <f t="shared" si="8"/>
        <v>-9.6689996562499996</v>
      </c>
      <c r="S79" s="64"/>
    </row>
    <row r="80" spans="1:19">
      <c r="A80" s="64" t="s">
        <v>626</v>
      </c>
      <c r="B80" s="65" t="s">
        <v>738</v>
      </c>
      <c r="C80" s="65" t="s">
        <v>739</v>
      </c>
      <c r="D80" s="64" t="s">
        <v>740</v>
      </c>
      <c r="E80" s="65" t="s">
        <v>209</v>
      </c>
      <c r="F80" s="64" t="s">
        <v>88</v>
      </c>
      <c r="G80" s="65" t="s">
        <v>20</v>
      </c>
      <c r="H80" s="65" t="s">
        <v>929</v>
      </c>
      <c r="I80" s="65">
        <v>201409</v>
      </c>
      <c r="J80" s="66">
        <v>-52.25</v>
      </c>
      <c r="K80" s="72">
        <f t="shared" si="9"/>
        <v>42675</v>
      </c>
      <c r="L80" s="67">
        <f t="shared" si="5"/>
        <v>6</v>
      </c>
      <c r="M80" s="68">
        <v>1.4833299999999999E-3</v>
      </c>
      <c r="N80" s="69">
        <f t="shared" si="6"/>
        <v>-0.46502395499999999</v>
      </c>
      <c r="O80" s="66"/>
      <c r="P80" s="71">
        <f t="shared" si="7"/>
        <v>0</v>
      </c>
      <c r="Q80" s="132"/>
      <c r="R80" s="71">
        <f t="shared" si="8"/>
        <v>-0.7396314062499999</v>
      </c>
      <c r="S80" s="64"/>
    </row>
    <row r="81" spans="1:19">
      <c r="A81" s="64" t="s">
        <v>626</v>
      </c>
      <c r="B81" s="65" t="s">
        <v>697</v>
      </c>
      <c r="C81" s="65" t="s">
        <v>698</v>
      </c>
      <c r="D81" s="64" t="s">
        <v>699</v>
      </c>
      <c r="E81" s="65" t="s">
        <v>79</v>
      </c>
      <c r="F81" s="64" t="s">
        <v>26</v>
      </c>
      <c r="G81" s="65" t="s">
        <v>20</v>
      </c>
      <c r="H81" s="65" t="s">
        <v>928</v>
      </c>
      <c r="I81" s="65">
        <v>201409</v>
      </c>
      <c r="J81" s="66">
        <v>-195.22</v>
      </c>
      <c r="K81" s="72">
        <f t="shared" si="9"/>
        <v>42675</v>
      </c>
      <c r="L81" s="67">
        <f t="shared" si="5"/>
        <v>6</v>
      </c>
      <c r="M81" s="68">
        <v>1.4833299999999999E-3</v>
      </c>
      <c r="N81" s="69">
        <f t="shared" si="6"/>
        <v>-1.7374540956</v>
      </c>
      <c r="O81" s="66"/>
      <c r="P81" s="71">
        <f t="shared" si="7"/>
        <v>0</v>
      </c>
      <c r="Q81" s="132"/>
      <c r="R81" s="71">
        <f t="shared" si="8"/>
        <v>-2.7634611124999999</v>
      </c>
      <c r="S81" s="64"/>
    </row>
    <row r="82" spans="1:19">
      <c r="A82" s="64" t="s">
        <v>21</v>
      </c>
      <c r="B82" s="65" t="s">
        <v>166</v>
      </c>
      <c r="C82" s="65" t="s">
        <v>167</v>
      </c>
      <c r="D82" s="64" t="s">
        <v>168</v>
      </c>
      <c r="E82" s="65" t="s">
        <v>102</v>
      </c>
      <c r="F82" s="64" t="s">
        <v>19</v>
      </c>
      <c r="G82" s="65" t="s">
        <v>20</v>
      </c>
      <c r="H82" s="65" t="s">
        <v>928</v>
      </c>
      <c r="I82" s="65">
        <v>201409</v>
      </c>
      <c r="J82" s="66">
        <v>0</v>
      </c>
      <c r="K82" s="72">
        <f t="shared" si="9"/>
        <v>42675</v>
      </c>
      <c r="L82" s="67">
        <f t="shared" si="5"/>
        <v>6</v>
      </c>
      <c r="M82" s="68">
        <v>1.4833299999999999E-3</v>
      </c>
      <c r="N82" s="69">
        <f t="shared" si="6"/>
        <v>0</v>
      </c>
      <c r="O82" s="66"/>
      <c r="P82" s="71">
        <f t="shared" si="7"/>
        <v>0</v>
      </c>
      <c r="Q82" s="132"/>
      <c r="R82" s="71">
        <f t="shared" si="8"/>
        <v>0</v>
      </c>
      <c r="S82" s="64"/>
    </row>
    <row r="83" spans="1:19">
      <c r="A83" s="64" t="s">
        <v>21</v>
      </c>
      <c r="B83" s="65" t="s">
        <v>379</v>
      </c>
      <c r="C83" s="65" t="s">
        <v>380</v>
      </c>
      <c r="D83" s="64" t="s">
        <v>381</v>
      </c>
      <c r="E83" s="65" t="s">
        <v>164</v>
      </c>
      <c r="F83" s="64" t="s">
        <v>165</v>
      </c>
      <c r="G83" s="65" t="s">
        <v>20</v>
      </c>
      <c r="H83" s="65" t="s">
        <v>928</v>
      </c>
      <c r="I83" s="65">
        <v>201409</v>
      </c>
      <c r="J83" s="66">
        <v>-417.76</v>
      </c>
      <c r="K83" s="72">
        <f t="shared" si="9"/>
        <v>42675</v>
      </c>
      <c r="L83" s="67">
        <f t="shared" si="5"/>
        <v>6</v>
      </c>
      <c r="M83" s="68">
        <v>1.4833299999999999E-3</v>
      </c>
      <c r="N83" s="69">
        <f t="shared" si="6"/>
        <v>-3.7180556447999997</v>
      </c>
      <c r="O83" s="66"/>
      <c r="P83" s="71">
        <f t="shared" si="7"/>
        <v>0</v>
      </c>
      <c r="Q83" s="132"/>
      <c r="R83" s="71">
        <f t="shared" si="8"/>
        <v>-5.9136538999999999</v>
      </c>
      <c r="S83" s="64"/>
    </row>
    <row r="84" spans="1:19">
      <c r="A84" s="64" t="s">
        <v>21</v>
      </c>
      <c r="B84" s="65" t="s">
        <v>385</v>
      </c>
      <c r="C84" s="65" t="s">
        <v>386</v>
      </c>
      <c r="D84" s="64" t="s">
        <v>387</v>
      </c>
      <c r="E84" s="65" t="s">
        <v>164</v>
      </c>
      <c r="F84" s="64" t="s">
        <v>165</v>
      </c>
      <c r="G84" s="65" t="s">
        <v>20</v>
      </c>
      <c r="H84" s="65" t="s">
        <v>928</v>
      </c>
      <c r="I84" s="65">
        <v>201409</v>
      </c>
      <c r="J84" s="66">
        <v>-427.59</v>
      </c>
      <c r="K84" s="72">
        <f t="shared" si="9"/>
        <v>42675</v>
      </c>
      <c r="L84" s="67">
        <f t="shared" si="5"/>
        <v>6</v>
      </c>
      <c r="M84" s="68">
        <v>1.4833299999999999E-3</v>
      </c>
      <c r="N84" s="69">
        <f t="shared" si="6"/>
        <v>-3.8055424481999998</v>
      </c>
      <c r="O84" s="66"/>
      <c r="P84" s="71">
        <f t="shared" si="7"/>
        <v>0</v>
      </c>
      <c r="Q84" s="132"/>
      <c r="R84" s="71">
        <f t="shared" si="8"/>
        <v>-6.0528036937499996</v>
      </c>
      <c r="S84" s="64"/>
    </row>
    <row r="85" spans="1:19">
      <c r="A85" s="64" t="s">
        <v>21</v>
      </c>
      <c r="B85" s="65" t="s">
        <v>169</v>
      </c>
      <c r="C85" s="65" t="s">
        <v>170</v>
      </c>
      <c r="D85" s="64" t="s">
        <v>171</v>
      </c>
      <c r="E85" s="65" t="s">
        <v>172</v>
      </c>
      <c r="F85" s="64" t="s">
        <v>173</v>
      </c>
      <c r="G85" s="65" t="s">
        <v>20</v>
      </c>
      <c r="H85" s="65" t="s">
        <v>928</v>
      </c>
      <c r="I85" s="65">
        <v>201409</v>
      </c>
      <c r="J85" s="66">
        <v>-370.12</v>
      </c>
      <c r="K85" s="72">
        <f t="shared" si="9"/>
        <v>42675</v>
      </c>
      <c r="L85" s="67">
        <f t="shared" si="5"/>
        <v>6</v>
      </c>
      <c r="M85" s="68">
        <v>1.4833299999999999E-3</v>
      </c>
      <c r="N85" s="69">
        <f t="shared" si="6"/>
        <v>-3.2940605976000001</v>
      </c>
      <c r="O85" s="66"/>
      <c r="P85" s="71">
        <f t="shared" si="7"/>
        <v>0</v>
      </c>
      <c r="Q85" s="132"/>
      <c r="R85" s="71">
        <f t="shared" si="8"/>
        <v>-5.2392799249999999</v>
      </c>
      <c r="S85" s="64"/>
    </row>
    <row r="86" spans="1:19">
      <c r="A86" s="64" t="s">
        <v>626</v>
      </c>
      <c r="B86" s="65" t="s">
        <v>443</v>
      </c>
      <c r="C86" s="65" t="s">
        <v>444</v>
      </c>
      <c r="D86" s="64" t="s">
        <v>445</v>
      </c>
      <c r="E86" s="65" t="s">
        <v>25</v>
      </c>
      <c r="F86" s="64" t="s">
        <v>26</v>
      </c>
      <c r="G86" s="65" t="s">
        <v>20</v>
      </c>
      <c r="H86" s="65" t="s">
        <v>928</v>
      </c>
      <c r="I86" s="65">
        <v>201409</v>
      </c>
      <c r="J86" s="66">
        <v>-118.82</v>
      </c>
      <c r="K86" s="72">
        <f t="shared" si="9"/>
        <v>42675</v>
      </c>
      <c r="L86" s="67">
        <f t="shared" si="5"/>
        <v>6</v>
      </c>
      <c r="M86" s="68">
        <v>1.4833299999999999E-3</v>
      </c>
      <c r="N86" s="69">
        <f t="shared" si="6"/>
        <v>-1.0574956235999999</v>
      </c>
      <c r="O86" s="66"/>
      <c r="P86" s="71">
        <f t="shared" si="7"/>
        <v>0</v>
      </c>
      <c r="Q86" s="132"/>
      <c r="R86" s="71">
        <f t="shared" si="8"/>
        <v>-1.6819713624999997</v>
      </c>
      <c r="S86" s="64"/>
    </row>
    <row r="87" spans="1:19">
      <c r="A87" s="64" t="s">
        <v>21</v>
      </c>
      <c r="B87" s="65" t="s">
        <v>446</v>
      </c>
      <c r="C87" s="65" t="s">
        <v>447</v>
      </c>
      <c r="D87" s="64" t="s">
        <v>448</v>
      </c>
      <c r="E87" s="65" t="s">
        <v>63</v>
      </c>
      <c r="F87" s="64" t="s">
        <v>19</v>
      </c>
      <c r="G87" s="65" t="s">
        <v>20</v>
      </c>
      <c r="H87" s="65" t="s">
        <v>928</v>
      </c>
      <c r="I87" s="65">
        <v>201409</v>
      </c>
      <c r="J87" s="66">
        <v>5.61</v>
      </c>
      <c r="K87" s="72">
        <f t="shared" si="9"/>
        <v>42675</v>
      </c>
      <c r="L87" s="67">
        <f t="shared" si="5"/>
        <v>6</v>
      </c>
      <c r="M87" s="68">
        <v>1.4833299999999999E-3</v>
      </c>
      <c r="N87" s="69">
        <f t="shared" si="6"/>
        <v>4.9928887800000002E-2</v>
      </c>
      <c r="O87" s="66"/>
      <c r="P87" s="71">
        <f t="shared" si="7"/>
        <v>0</v>
      </c>
      <c r="Q87" s="132"/>
      <c r="R87" s="71">
        <f t="shared" si="8"/>
        <v>7.9413056250000003E-2</v>
      </c>
      <c r="S87" s="64"/>
    </row>
    <row r="88" spans="1:19">
      <c r="A88" s="64" t="s">
        <v>626</v>
      </c>
      <c r="B88" s="65" t="s">
        <v>580</v>
      </c>
      <c r="C88" s="65" t="s">
        <v>581</v>
      </c>
      <c r="D88" s="64" t="s">
        <v>582</v>
      </c>
      <c r="E88" s="65" t="s">
        <v>79</v>
      </c>
      <c r="F88" s="64" t="s">
        <v>26</v>
      </c>
      <c r="G88" s="65" t="s">
        <v>20</v>
      </c>
      <c r="H88" s="65" t="s">
        <v>928</v>
      </c>
      <c r="I88" s="65">
        <v>201409</v>
      </c>
      <c r="J88" s="66">
        <v>-149.47999999999999</v>
      </c>
      <c r="K88" s="72">
        <f>+K87</f>
        <v>42675</v>
      </c>
      <c r="L88" s="67">
        <f t="shared" si="5"/>
        <v>6</v>
      </c>
      <c r="M88" s="68">
        <v>1.4833299999999999E-3</v>
      </c>
      <c r="N88" s="69">
        <f t="shared" si="6"/>
        <v>-1.3303690103999999</v>
      </c>
      <c r="O88" s="66"/>
      <c r="P88" s="71">
        <f t="shared" si="7"/>
        <v>0</v>
      </c>
      <c r="Q88" s="132"/>
      <c r="R88" s="71">
        <f t="shared" si="8"/>
        <v>-2.1159828249999997</v>
      </c>
      <c r="S88" s="64"/>
    </row>
    <row r="89" spans="1:19">
      <c r="A89" s="64" t="s">
        <v>21</v>
      </c>
      <c r="B89" s="65" t="s">
        <v>583</v>
      </c>
      <c r="C89" s="65" t="s">
        <v>584</v>
      </c>
      <c r="D89" s="64" t="s">
        <v>585</v>
      </c>
      <c r="E89" s="65" t="s">
        <v>75</v>
      </c>
      <c r="F89" s="64" t="s">
        <v>26</v>
      </c>
      <c r="G89" s="65" t="s">
        <v>20</v>
      </c>
      <c r="H89" s="65" t="s">
        <v>928</v>
      </c>
      <c r="I89" s="65">
        <v>201409</v>
      </c>
      <c r="J89" s="66">
        <v>-2164.7800000000002</v>
      </c>
      <c r="K89" s="72">
        <f t="shared" ref="K89:K152" si="10">+K88</f>
        <v>42675</v>
      </c>
      <c r="L89" s="67">
        <f t="shared" si="5"/>
        <v>6</v>
      </c>
      <c r="M89" s="68">
        <v>1.4833299999999999E-3</v>
      </c>
      <c r="N89" s="69">
        <f t="shared" si="6"/>
        <v>-19.266498704400004</v>
      </c>
      <c r="O89" s="66"/>
      <c r="P89" s="71">
        <f t="shared" si="7"/>
        <v>0</v>
      </c>
      <c r="Q89" s="132"/>
      <c r="R89" s="71">
        <f t="shared" si="8"/>
        <v>-30.643813887500002</v>
      </c>
      <c r="S89" s="64"/>
    </row>
    <row r="90" spans="1:19">
      <c r="A90" s="64" t="s">
        <v>21</v>
      </c>
      <c r="B90" s="65" t="s">
        <v>586</v>
      </c>
      <c r="C90" s="65" t="s">
        <v>587</v>
      </c>
      <c r="D90" s="64" t="s">
        <v>588</v>
      </c>
      <c r="E90" s="65" t="s">
        <v>75</v>
      </c>
      <c r="F90" s="64" t="s">
        <v>26</v>
      </c>
      <c r="G90" s="65" t="s">
        <v>20</v>
      </c>
      <c r="H90" s="65" t="s">
        <v>928</v>
      </c>
      <c r="I90" s="65">
        <v>201409</v>
      </c>
      <c r="J90" s="66">
        <v>-1152.29</v>
      </c>
      <c r="K90" s="72">
        <f t="shared" si="10"/>
        <v>42675</v>
      </c>
      <c r="L90" s="67">
        <f t="shared" si="5"/>
        <v>6</v>
      </c>
      <c r="M90" s="68">
        <v>1.4833299999999999E-3</v>
      </c>
      <c r="N90" s="69">
        <f t="shared" si="6"/>
        <v>-10.255357954199999</v>
      </c>
      <c r="O90" s="66"/>
      <c r="P90" s="71">
        <f t="shared" si="7"/>
        <v>0</v>
      </c>
      <c r="Q90" s="132"/>
      <c r="R90" s="71">
        <f t="shared" si="8"/>
        <v>-16.311385131249999</v>
      </c>
      <c r="S90" s="64"/>
    </row>
    <row r="91" spans="1:19">
      <c r="A91" s="64" t="s">
        <v>693</v>
      </c>
      <c r="B91" s="65" t="s">
        <v>842</v>
      </c>
      <c r="C91" s="65" t="s">
        <v>843</v>
      </c>
      <c r="D91" s="64" t="s">
        <v>844</v>
      </c>
      <c r="E91" s="65" t="s">
        <v>131</v>
      </c>
      <c r="F91" s="64" t="s">
        <v>132</v>
      </c>
      <c r="G91" s="65" t="s">
        <v>20</v>
      </c>
      <c r="H91" s="65" t="s">
        <v>935</v>
      </c>
      <c r="I91" s="65">
        <v>201409</v>
      </c>
      <c r="J91" s="66">
        <v>-787.04</v>
      </c>
      <c r="K91" s="72">
        <f t="shared" si="10"/>
        <v>42675</v>
      </c>
      <c r="L91" s="67">
        <f t="shared" si="5"/>
        <v>6</v>
      </c>
      <c r="M91" s="68">
        <v>2.1916700000000002E-3</v>
      </c>
      <c r="N91" s="69">
        <f t="shared" si="6"/>
        <v>-10.349591740800001</v>
      </c>
      <c r="O91" s="66"/>
      <c r="P91" s="71">
        <f t="shared" si="7"/>
        <v>0</v>
      </c>
      <c r="Q91" s="132"/>
      <c r="R91" s="71">
        <f t="shared" si="8"/>
        <v>-11.141043099999997</v>
      </c>
      <c r="S91" s="64"/>
    </row>
    <row r="92" spans="1:19">
      <c r="A92" s="64" t="s">
        <v>21</v>
      </c>
      <c r="B92" s="65" t="s">
        <v>174</v>
      </c>
      <c r="C92" s="65" t="s">
        <v>175</v>
      </c>
      <c r="D92" s="64" t="s">
        <v>176</v>
      </c>
      <c r="E92" s="65" t="s">
        <v>93</v>
      </c>
      <c r="F92" s="64" t="s">
        <v>88</v>
      </c>
      <c r="G92" s="65" t="s">
        <v>20</v>
      </c>
      <c r="H92" s="65" t="s">
        <v>929</v>
      </c>
      <c r="I92" s="65">
        <v>201409</v>
      </c>
      <c r="J92" s="66">
        <v>-1802.78</v>
      </c>
      <c r="K92" s="72">
        <f t="shared" si="10"/>
        <v>42675</v>
      </c>
      <c r="L92" s="67">
        <f t="shared" si="5"/>
        <v>6</v>
      </c>
      <c r="M92" s="68">
        <v>1.4833299999999999E-3</v>
      </c>
      <c r="N92" s="69">
        <f t="shared" si="6"/>
        <v>-16.0447059444</v>
      </c>
      <c r="O92" s="66"/>
      <c r="P92" s="71">
        <f t="shared" si="7"/>
        <v>0</v>
      </c>
      <c r="Q92" s="132"/>
      <c r="R92" s="71">
        <f t="shared" si="8"/>
        <v>-25.519477637499996</v>
      </c>
      <c r="S92" s="64"/>
    </row>
    <row r="93" spans="1:19">
      <c r="A93" s="64" t="s">
        <v>21</v>
      </c>
      <c r="B93" s="65" t="s">
        <v>177</v>
      </c>
      <c r="C93" s="65" t="s">
        <v>178</v>
      </c>
      <c r="D93" s="64" t="s">
        <v>179</v>
      </c>
      <c r="E93" s="65" t="s">
        <v>172</v>
      </c>
      <c r="F93" s="64" t="s">
        <v>173</v>
      </c>
      <c r="G93" s="65" t="s">
        <v>20</v>
      </c>
      <c r="H93" s="65" t="s">
        <v>928</v>
      </c>
      <c r="I93" s="65">
        <v>201409</v>
      </c>
      <c r="J93" s="66">
        <v>478.42</v>
      </c>
      <c r="K93" s="72">
        <f t="shared" si="10"/>
        <v>42675</v>
      </c>
      <c r="L93" s="67">
        <f t="shared" si="5"/>
        <v>6</v>
      </c>
      <c r="M93" s="68">
        <v>1.4833299999999999E-3</v>
      </c>
      <c r="N93" s="69">
        <f t="shared" si="6"/>
        <v>4.2579284315999999</v>
      </c>
      <c r="O93" s="66"/>
      <c r="P93" s="71">
        <f t="shared" si="7"/>
        <v>0</v>
      </c>
      <c r="Q93" s="132"/>
      <c r="R93" s="71">
        <f t="shared" si="8"/>
        <v>6.7723341124999994</v>
      </c>
      <c r="S93" s="64"/>
    </row>
    <row r="94" spans="1:19">
      <c r="A94" s="64" t="s">
        <v>21</v>
      </c>
      <c r="B94" s="65" t="s">
        <v>589</v>
      </c>
      <c r="C94" s="65" t="s">
        <v>590</v>
      </c>
      <c r="D94" s="64" t="s">
        <v>591</v>
      </c>
      <c r="E94" s="65" t="s">
        <v>63</v>
      </c>
      <c r="F94" s="64" t="s">
        <v>19</v>
      </c>
      <c r="G94" s="65" t="s">
        <v>20</v>
      </c>
      <c r="H94" s="65" t="s">
        <v>928</v>
      </c>
      <c r="I94" s="65">
        <v>201409</v>
      </c>
      <c r="J94" s="66">
        <v>8.58</v>
      </c>
      <c r="K94" s="72">
        <f t="shared" si="10"/>
        <v>42675</v>
      </c>
      <c r="L94" s="67">
        <f t="shared" si="5"/>
        <v>6</v>
      </c>
      <c r="M94" s="68">
        <v>1.4833299999999999E-3</v>
      </c>
      <c r="N94" s="69">
        <f t="shared" si="6"/>
        <v>7.6361828399999998E-2</v>
      </c>
      <c r="O94" s="86"/>
      <c r="P94" s="71">
        <f t="shared" si="7"/>
        <v>0</v>
      </c>
      <c r="Q94" s="132"/>
      <c r="R94" s="71">
        <f t="shared" si="8"/>
        <v>0.12145526249999999</v>
      </c>
      <c r="S94" s="64"/>
    </row>
    <row r="95" spans="1:19">
      <c r="A95" s="64" t="s">
        <v>21</v>
      </c>
      <c r="B95" s="65" t="s">
        <v>180</v>
      </c>
      <c r="C95" s="65" t="s">
        <v>181</v>
      </c>
      <c r="D95" s="64" t="s">
        <v>182</v>
      </c>
      <c r="E95" s="65" t="s">
        <v>75</v>
      </c>
      <c r="F95" s="64" t="s">
        <v>26</v>
      </c>
      <c r="G95" s="65" t="s">
        <v>20</v>
      </c>
      <c r="H95" s="65" t="s">
        <v>928</v>
      </c>
      <c r="I95" s="65">
        <v>201409</v>
      </c>
      <c r="J95" s="66">
        <v>-1349</v>
      </c>
      <c r="K95" s="72">
        <f t="shared" si="10"/>
        <v>42675</v>
      </c>
      <c r="L95" s="67">
        <f t="shared" si="5"/>
        <v>6</v>
      </c>
      <c r="M95" s="68">
        <v>1.4833299999999999E-3</v>
      </c>
      <c r="N95" s="69">
        <f t="shared" si="6"/>
        <v>-12.006073020000001</v>
      </c>
      <c r="O95" s="66"/>
      <c r="P95" s="71">
        <f t="shared" si="7"/>
        <v>0</v>
      </c>
      <c r="Q95" s="132"/>
      <c r="R95" s="71">
        <f t="shared" si="8"/>
        <v>-19.095938125</v>
      </c>
      <c r="S95" s="64"/>
    </row>
    <row r="96" spans="1:19">
      <c r="A96" s="64" t="s">
        <v>127</v>
      </c>
      <c r="B96" s="65" t="s">
        <v>388</v>
      </c>
      <c r="C96" s="65" t="s">
        <v>389</v>
      </c>
      <c r="D96" s="64" t="s">
        <v>390</v>
      </c>
      <c r="E96" s="65" t="s">
        <v>131</v>
      </c>
      <c r="F96" s="64" t="s">
        <v>132</v>
      </c>
      <c r="G96" s="65" t="s">
        <v>20</v>
      </c>
      <c r="H96" s="65" t="s">
        <v>935</v>
      </c>
      <c r="I96" s="65">
        <v>201409</v>
      </c>
      <c r="J96" s="66">
        <v>-2239.5500000000002</v>
      </c>
      <c r="K96" s="72">
        <f t="shared" si="10"/>
        <v>42675</v>
      </c>
      <c r="L96" s="67">
        <f t="shared" si="5"/>
        <v>6</v>
      </c>
      <c r="M96" s="68">
        <v>2.3833299999999999E-3</v>
      </c>
      <c r="N96" s="69">
        <f t="shared" si="6"/>
        <v>-32.025520209000007</v>
      </c>
      <c r="O96" s="66"/>
      <c r="P96" s="71">
        <f t="shared" si="7"/>
        <v>0</v>
      </c>
      <c r="Q96" s="132"/>
      <c r="R96" s="71">
        <f t="shared" si="8"/>
        <v>-31.70222996875</v>
      </c>
      <c r="S96" s="64"/>
    </row>
    <row r="97" spans="1:19">
      <c r="A97" s="64" t="s">
        <v>626</v>
      </c>
      <c r="B97" s="65" t="s">
        <v>741</v>
      </c>
      <c r="C97" s="65" t="s">
        <v>742</v>
      </c>
      <c r="D97" s="64" t="s">
        <v>743</v>
      </c>
      <c r="E97" s="65" t="s">
        <v>415</v>
      </c>
      <c r="F97" s="64" t="s">
        <v>88</v>
      </c>
      <c r="G97" s="65" t="s">
        <v>20</v>
      </c>
      <c r="H97" s="65" t="s">
        <v>929</v>
      </c>
      <c r="I97" s="65">
        <v>201409</v>
      </c>
      <c r="J97" s="66">
        <v>-2592.5700000000002</v>
      </c>
      <c r="K97" s="72">
        <f t="shared" si="10"/>
        <v>42675</v>
      </c>
      <c r="L97" s="67">
        <f t="shared" si="5"/>
        <v>6</v>
      </c>
      <c r="M97" s="68">
        <v>1.4833299999999999E-3</v>
      </c>
      <c r="N97" s="69">
        <f t="shared" si="6"/>
        <v>-23.0738211486</v>
      </c>
      <c r="O97" s="66"/>
      <c r="P97" s="71">
        <f t="shared" si="7"/>
        <v>0</v>
      </c>
      <c r="Q97" s="132"/>
      <c r="R97" s="71">
        <f t="shared" si="8"/>
        <v>-36.699448706249996</v>
      </c>
      <c r="S97" s="64"/>
    </row>
    <row r="98" spans="1:19">
      <c r="A98" s="64" t="s">
        <v>21</v>
      </c>
      <c r="B98" s="65" t="s">
        <v>592</v>
      </c>
      <c r="C98" s="65" t="s">
        <v>593</v>
      </c>
      <c r="D98" s="64" t="s">
        <v>594</v>
      </c>
      <c r="E98" s="65" t="s">
        <v>156</v>
      </c>
      <c r="F98" s="64" t="s">
        <v>26</v>
      </c>
      <c r="G98" s="65" t="s">
        <v>20</v>
      </c>
      <c r="H98" s="65" t="s">
        <v>928</v>
      </c>
      <c r="I98" s="65">
        <v>201409</v>
      </c>
      <c r="J98" s="66">
        <v>25.47</v>
      </c>
      <c r="K98" s="72">
        <f t="shared" si="10"/>
        <v>42675</v>
      </c>
      <c r="L98" s="67">
        <f t="shared" si="5"/>
        <v>6</v>
      </c>
      <c r="M98" s="68">
        <v>1.4833299999999999E-3</v>
      </c>
      <c r="N98" s="69">
        <f t="shared" si="6"/>
        <v>0.22668249059999998</v>
      </c>
      <c r="O98" s="66"/>
      <c r="P98" s="71">
        <f t="shared" si="7"/>
        <v>0</v>
      </c>
      <c r="Q98" s="132"/>
      <c r="R98" s="71">
        <f t="shared" si="8"/>
        <v>0.36054376874999994</v>
      </c>
      <c r="S98" s="64"/>
    </row>
    <row r="99" spans="1:19">
      <c r="A99" s="64" t="s">
        <v>29</v>
      </c>
      <c r="B99" s="65" t="s">
        <v>183</v>
      </c>
      <c r="C99" s="65" t="s">
        <v>184</v>
      </c>
      <c r="D99" s="64" t="s">
        <v>45</v>
      </c>
      <c r="E99" s="65" t="s">
        <v>185</v>
      </c>
      <c r="F99" s="64" t="s">
        <v>41</v>
      </c>
      <c r="G99" s="65" t="s">
        <v>20</v>
      </c>
      <c r="H99" s="65" t="s">
        <v>933</v>
      </c>
      <c r="I99" s="65">
        <v>201409</v>
      </c>
      <c r="J99" s="66">
        <v>47214.32</v>
      </c>
      <c r="K99" s="72">
        <f t="shared" si="10"/>
        <v>42675</v>
      </c>
      <c r="L99" s="67">
        <f t="shared" si="5"/>
        <v>6</v>
      </c>
      <c r="M99" s="68">
        <v>2.23333E-3</v>
      </c>
      <c r="N99" s="69">
        <f t="shared" si="6"/>
        <v>632.67094371359997</v>
      </c>
      <c r="O99" s="66"/>
      <c r="P99" s="71">
        <f t="shared" si="7"/>
        <v>0</v>
      </c>
      <c r="Q99" s="132"/>
      <c r="R99" s="71">
        <f t="shared" si="8"/>
        <v>668.34820854999998</v>
      </c>
      <c r="S99" s="64"/>
    </row>
    <row r="100" spans="1:19">
      <c r="A100" s="64" t="s">
        <v>29</v>
      </c>
      <c r="B100" s="65" t="s">
        <v>186</v>
      </c>
      <c r="C100" s="65" t="s">
        <v>187</v>
      </c>
      <c r="D100" s="64" t="s">
        <v>188</v>
      </c>
      <c r="E100" s="65" t="s">
        <v>189</v>
      </c>
      <c r="F100" s="64" t="s">
        <v>190</v>
      </c>
      <c r="G100" s="65" t="s">
        <v>20</v>
      </c>
      <c r="H100" s="65" t="s">
        <v>933</v>
      </c>
      <c r="I100" s="65">
        <v>201409</v>
      </c>
      <c r="J100" s="66">
        <v>23482.38</v>
      </c>
      <c r="K100" s="72">
        <f t="shared" si="10"/>
        <v>42675</v>
      </c>
      <c r="L100" s="67">
        <f t="shared" si="5"/>
        <v>6</v>
      </c>
      <c r="M100" s="68">
        <v>2.23333E-3</v>
      </c>
      <c r="N100" s="69">
        <f t="shared" si="6"/>
        <v>314.6634223524</v>
      </c>
      <c r="O100" s="66"/>
      <c r="P100" s="71">
        <f t="shared" si="7"/>
        <v>0</v>
      </c>
      <c r="Q100" s="132"/>
      <c r="R100" s="71">
        <f t="shared" si="8"/>
        <v>332.40776538749998</v>
      </c>
      <c r="S100" s="64"/>
    </row>
    <row r="101" spans="1:19">
      <c r="A101" s="64" t="s">
        <v>29</v>
      </c>
      <c r="B101" s="65" t="s">
        <v>191</v>
      </c>
      <c r="C101" s="65" t="s">
        <v>192</v>
      </c>
      <c r="D101" s="64" t="s">
        <v>193</v>
      </c>
      <c r="E101" s="65" t="s">
        <v>194</v>
      </c>
      <c r="F101" s="64" t="s">
        <v>115</v>
      </c>
      <c r="G101" s="65" t="s">
        <v>20</v>
      </c>
      <c r="H101" s="65" t="s">
        <v>933</v>
      </c>
      <c r="I101" s="65">
        <v>201409</v>
      </c>
      <c r="J101" s="66">
        <v>51541.52</v>
      </c>
      <c r="K101" s="72">
        <f t="shared" si="10"/>
        <v>42675</v>
      </c>
      <c r="L101" s="67">
        <f t="shared" si="5"/>
        <v>6</v>
      </c>
      <c r="M101" s="68">
        <v>2.23333E-3</v>
      </c>
      <c r="N101" s="69">
        <f t="shared" si="6"/>
        <v>690.65533716959987</v>
      </c>
      <c r="O101" s="66"/>
      <c r="P101" s="71">
        <f t="shared" si="7"/>
        <v>0</v>
      </c>
      <c r="Q101" s="132"/>
      <c r="R101" s="71">
        <f t="shared" si="8"/>
        <v>729.60242904999996</v>
      </c>
      <c r="S101" s="64"/>
    </row>
    <row r="102" spans="1:19">
      <c r="A102" s="64" t="s">
        <v>29</v>
      </c>
      <c r="B102" s="65" t="s">
        <v>195</v>
      </c>
      <c r="C102" s="65" t="s">
        <v>196</v>
      </c>
      <c r="D102" s="64" t="s">
        <v>197</v>
      </c>
      <c r="E102" s="65" t="s">
        <v>198</v>
      </c>
      <c r="F102" s="64" t="s">
        <v>199</v>
      </c>
      <c r="G102" s="65" t="s">
        <v>20</v>
      </c>
      <c r="H102" s="65" t="s">
        <v>933</v>
      </c>
      <c r="I102" s="65">
        <v>201409</v>
      </c>
      <c r="J102" s="66">
        <v>103600.86</v>
      </c>
      <c r="K102" s="72">
        <f t="shared" si="10"/>
        <v>42675</v>
      </c>
      <c r="L102" s="67">
        <f t="shared" si="5"/>
        <v>6</v>
      </c>
      <c r="M102" s="68">
        <v>2.23333E-3</v>
      </c>
      <c r="N102" s="69">
        <f t="shared" si="6"/>
        <v>1388.2494519827999</v>
      </c>
      <c r="O102" s="66"/>
      <c r="P102" s="71">
        <f t="shared" si="7"/>
        <v>0</v>
      </c>
      <c r="Q102" s="132"/>
      <c r="R102" s="71">
        <f t="shared" si="8"/>
        <v>1466.5349238374999</v>
      </c>
      <c r="S102" s="64"/>
    </row>
    <row r="103" spans="1:19">
      <c r="A103" s="64" t="s">
        <v>29</v>
      </c>
      <c r="B103" s="65" t="s">
        <v>200</v>
      </c>
      <c r="C103" s="65" t="s">
        <v>201</v>
      </c>
      <c r="D103" s="64" t="s">
        <v>197</v>
      </c>
      <c r="E103" s="65" t="s">
        <v>202</v>
      </c>
      <c r="F103" s="64" t="s">
        <v>199</v>
      </c>
      <c r="G103" s="65" t="s">
        <v>20</v>
      </c>
      <c r="H103" s="65" t="s">
        <v>933</v>
      </c>
      <c r="I103" s="65">
        <v>201409</v>
      </c>
      <c r="J103" s="66">
        <v>42682.33</v>
      </c>
      <c r="K103" s="72">
        <f t="shared" si="10"/>
        <v>42675</v>
      </c>
      <c r="L103" s="67">
        <f t="shared" si="5"/>
        <v>6</v>
      </c>
      <c r="M103" s="68">
        <v>2.23333E-3</v>
      </c>
      <c r="N103" s="69">
        <f t="shared" si="6"/>
        <v>571.94236835339996</v>
      </c>
      <c r="O103" s="66"/>
      <c r="P103" s="71">
        <f t="shared" si="7"/>
        <v>0</v>
      </c>
      <c r="Q103" s="132"/>
      <c r="R103" s="71">
        <f t="shared" si="8"/>
        <v>604.19505760624997</v>
      </c>
      <c r="S103" s="64"/>
    </row>
    <row r="104" spans="1:19">
      <c r="A104" s="64" t="s">
        <v>21</v>
      </c>
      <c r="B104" s="65" t="s">
        <v>449</v>
      </c>
      <c r="C104" s="65" t="s">
        <v>450</v>
      </c>
      <c r="D104" s="64" t="s">
        <v>451</v>
      </c>
      <c r="E104" s="65" t="s">
        <v>452</v>
      </c>
      <c r="F104" s="64" t="s">
        <v>398</v>
      </c>
      <c r="G104" s="65" t="s">
        <v>20</v>
      </c>
      <c r="H104" s="65" t="s">
        <v>929</v>
      </c>
      <c r="I104" s="65">
        <v>201409</v>
      </c>
      <c r="J104" s="66">
        <v>-762.66</v>
      </c>
      <c r="K104" s="72">
        <f t="shared" si="10"/>
        <v>42675</v>
      </c>
      <c r="L104" s="67">
        <f t="shared" si="5"/>
        <v>6</v>
      </c>
      <c r="M104" s="68">
        <v>1.4833299999999999E-3</v>
      </c>
      <c r="N104" s="69">
        <f t="shared" si="6"/>
        <v>-6.7876587468</v>
      </c>
      <c r="O104" s="66"/>
      <c r="P104" s="71">
        <f t="shared" si="7"/>
        <v>0</v>
      </c>
      <c r="Q104" s="132"/>
      <c r="R104" s="71">
        <f t="shared" si="8"/>
        <v>-10.795928962499998</v>
      </c>
      <c r="S104" s="64"/>
    </row>
    <row r="105" spans="1:19">
      <c r="A105" s="64" t="s">
        <v>21</v>
      </c>
      <c r="B105" s="65" t="s">
        <v>595</v>
      </c>
      <c r="C105" s="65" t="s">
        <v>596</v>
      </c>
      <c r="D105" s="64" t="s">
        <v>597</v>
      </c>
      <c r="E105" s="65" t="s">
        <v>531</v>
      </c>
      <c r="F105" s="64" t="s">
        <v>26</v>
      </c>
      <c r="G105" s="65" t="s">
        <v>20</v>
      </c>
      <c r="H105" s="65" t="s">
        <v>928</v>
      </c>
      <c r="I105" s="65">
        <v>201409</v>
      </c>
      <c r="J105" s="66">
        <v>-5.66</v>
      </c>
      <c r="K105" s="72">
        <f t="shared" si="10"/>
        <v>42675</v>
      </c>
      <c r="L105" s="67">
        <f t="shared" si="5"/>
        <v>6</v>
      </c>
      <c r="M105" s="68">
        <v>1.4833299999999999E-3</v>
      </c>
      <c r="N105" s="69">
        <f t="shared" si="6"/>
        <v>-5.0373886800000003E-2</v>
      </c>
      <c r="O105" s="66"/>
      <c r="P105" s="71">
        <f t="shared" si="7"/>
        <v>0</v>
      </c>
      <c r="Q105" s="132"/>
      <c r="R105" s="71">
        <f t="shared" si="8"/>
        <v>-8.01208375E-2</v>
      </c>
      <c r="S105" s="64"/>
    </row>
    <row r="106" spans="1:19">
      <c r="A106" s="64" t="s">
        <v>21</v>
      </c>
      <c r="B106" s="65" t="s">
        <v>744</v>
      </c>
      <c r="C106" s="65" t="s">
        <v>745</v>
      </c>
      <c r="D106" s="64" t="s">
        <v>746</v>
      </c>
      <c r="E106" s="65" t="s">
        <v>209</v>
      </c>
      <c r="F106" s="64" t="s">
        <v>88</v>
      </c>
      <c r="G106" s="65" t="s">
        <v>20</v>
      </c>
      <c r="H106" s="65" t="s">
        <v>929</v>
      </c>
      <c r="I106" s="65">
        <v>201409</v>
      </c>
      <c r="J106" s="66">
        <v>-13.72</v>
      </c>
      <c r="K106" s="72">
        <f t="shared" si="10"/>
        <v>42675</v>
      </c>
      <c r="L106" s="67">
        <f t="shared" si="5"/>
        <v>6</v>
      </c>
      <c r="M106" s="68">
        <v>1.4833299999999999E-3</v>
      </c>
      <c r="N106" s="69">
        <f t="shared" si="6"/>
        <v>-0.12210772560000001</v>
      </c>
      <c r="O106" s="66"/>
      <c r="P106" s="71">
        <f t="shared" si="7"/>
        <v>0</v>
      </c>
      <c r="Q106" s="132"/>
      <c r="R106" s="71">
        <f t="shared" si="8"/>
        <v>-0.19421517499999999</v>
      </c>
      <c r="S106" s="64"/>
    </row>
    <row r="107" spans="1:19">
      <c r="A107" s="64" t="s">
        <v>127</v>
      </c>
      <c r="B107" s="65" t="s">
        <v>598</v>
      </c>
      <c r="C107" s="65" t="s">
        <v>599</v>
      </c>
      <c r="D107" s="64" t="s">
        <v>600</v>
      </c>
      <c r="E107" s="65" t="s">
        <v>131</v>
      </c>
      <c r="F107" s="64" t="s">
        <v>132</v>
      </c>
      <c r="G107" s="65" t="s">
        <v>20</v>
      </c>
      <c r="H107" s="65" t="s">
        <v>935</v>
      </c>
      <c r="I107" s="65">
        <v>201409</v>
      </c>
      <c r="J107" s="66">
        <v>-304.64</v>
      </c>
      <c r="K107" s="72">
        <f t="shared" si="10"/>
        <v>42675</v>
      </c>
      <c r="L107" s="67">
        <f t="shared" si="5"/>
        <v>6</v>
      </c>
      <c r="M107" s="68">
        <v>2.3833299999999999E-3</v>
      </c>
      <c r="N107" s="69">
        <f t="shared" si="6"/>
        <v>-4.3563459071999997</v>
      </c>
      <c r="O107" s="66"/>
      <c r="P107" s="71">
        <f t="shared" si="7"/>
        <v>0</v>
      </c>
      <c r="Q107" s="132"/>
      <c r="R107" s="71">
        <f t="shared" si="8"/>
        <v>-4.3123695999999994</v>
      </c>
      <c r="S107" s="64"/>
    </row>
    <row r="108" spans="1:19">
      <c r="A108" s="64" t="s">
        <v>21</v>
      </c>
      <c r="B108" s="65" t="s">
        <v>601</v>
      </c>
      <c r="C108" s="65" t="s">
        <v>602</v>
      </c>
      <c r="D108" s="64" t="s">
        <v>603</v>
      </c>
      <c r="E108" s="65" t="s">
        <v>497</v>
      </c>
      <c r="F108" s="64" t="s">
        <v>26</v>
      </c>
      <c r="G108" s="65" t="s">
        <v>20</v>
      </c>
      <c r="H108" s="65" t="s">
        <v>928</v>
      </c>
      <c r="I108" s="65">
        <v>201409</v>
      </c>
      <c r="J108" s="66">
        <v>-346.31</v>
      </c>
      <c r="K108" s="72">
        <f t="shared" si="10"/>
        <v>42675</v>
      </c>
      <c r="L108" s="67">
        <f t="shared" si="5"/>
        <v>6</v>
      </c>
      <c r="M108" s="68">
        <v>1.4833299999999999E-3</v>
      </c>
      <c r="N108" s="69">
        <f t="shared" si="6"/>
        <v>-3.0821520738000001</v>
      </c>
      <c r="O108" s="66"/>
      <c r="P108" s="71">
        <f t="shared" si="7"/>
        <v>0</v>
      </c>
      <c r="Q108" s="132"/>
      <c r="R108" s="71">
        <f t="shared" si="8"/>
        <v>-4.90223449375</v>
      </c>
      <c r="S108" s="64"/>
    </row>
    <row r="109" spans="1:19">
      <c r="A109" s="64" t="s">
        <v>21</v>
      </c>
      <c r="B109" s="65" t="s">
        <v>203</v>
      </c>
      <c r="C109" s="65" t="s">
        <v>204</v>
      </c>
      <c r="D109" s="64" t="s">
        <v>205</v>
      </c>
      <c r="E109" s="65" t="s">
        <v>93</v>
      </c>
      <c r="F109" s="64" t="s">
        <v>88</v>
      </c>
      <c r="G109" s="65" t="s">
        <v>20</v>
      </c>
      <c r="H109" s="65" t="s">
        <v>929</v>
      </c>
      <c r="I109" s="65">
        <v>201409</v>
      </c>
      <c r="J109" s="66">
        <v>-191.38</v>
      </c>
      <c r="K109" s="72">
        <f t="shared" si="10"/>
        <v>42675</v>
      </c>
      <c r="L109" s="67">
        <f t="shared" si="5"/>
        <v>6</v>
      </c>
      <c r="M109" s="68">
        <v>1.4833299999999999E-3</v>
      </c>
      <c r="N109" s="69">
        <f t="shared" si="6"/>
        <v>-1.7032781723999999</v>
      </c>
      <c r="O109" s="66"/>
      <c r="P109" s="71">
        <f t="shared" si="7"/>
        <v>0</v>
      </c>
      <c r="Q109" s="132"/>
      <c r="R109" s="71">
        <f t="shared" si="8"/>
        <v>-2.7091035124999996</v>
      </c>
      <c r="S109" s="64"/>
    </row>
    <row r="110" spans="1:19">
      <c r="A110" s="64" t="s">
        <v>626</v>
      </c>
      <c r="B110" s="65" t="s">
        <v>453</v>
      </c>
      <c r="C110" s="65" t="s">
        <v>454</v>
      </c>
      <c r="D110" s="64" t="s">
        <v>455</v>
      </c>
      <c r="E110" s="65" t="s">
        <v>75</v>
      </c>
      <c r="F110" s="64" t="s">
        <v>26</v>
      </c>
      <c r="G110" s="65" t="s">
        <v>20</v>
      </c>
      <c r="H110" s="65" t="s">
        <v>928</v>
      </c>
      <c r="I110" s="65">
        <v>201409</v>
      </c>
      <c r="J110" s="66">
        <v>-363.84</v>
      </c>
      <c r="K110" s="72">
        <f t="shared" si="10"/>
        <v>42675</v>
      </c>
      <c r="L110" s="67">
        <f t="shared" si="5"/>
        <v>6</v>
      </c>
      <c r="M110" s="68">
        <v>1.4833299999999999E-3</v>
      </c>
      <c r="N110" s="69">
        <f t="shared" si="6"/>
        <v>-3.2381687231999998</v>
      </c>
      <c r="O110" s="66"/>
      <c r="P110" s="71">
        <f t="shared" si="7"/>
        <v>0</v>
      </c>
      <c r="Q110" s="132"/>
      <c r="R110" s="71">
        <f t="shared" si="8"/>
        <v>-5.1503825999999995</v>
      </c>
      <c r="S110" s="87"/>
    </row>
    <row r="111" spans="1:19">
      <c r="A111" s="64" t="s">
        <v>21</v>
      </c>
      <c r="B111" s="65" t="s">
        <v>206</v>
      </c>
      <c r="C111" s="65" t="s">
        <v>207</v>
      </c>
      <c r="D111" s="64" t="s">
        <v>208</v>
      </c>
      <c r="E111" s="65" t="s">
        <v>209</v>
      </c>
      <c r="F111" s="64" t="s">
        <v>88</v>
      </c>
      <c r="G111" s="65" t="s">
        <v>20</v>
      </c>
      <c r="H111" s="65" t="s">
        <v>929</v>
      </c>
      <c r="I111" s="65">
        <v>201409</v>
      </c>
      <c r="J111" s="66">
        <v>-174.39</v>
      </c>
      <c r="K111" s="72">
        <f t="shared" si="10"/>
        <v>42675</v>
      </c>
      <c r="L111" s="67">
        <f t="shared" si="5"/>
        <v>6</v>
      </c>
      <c r="M111" s="68">
        <v>1.4833299999999999E-3</v>
      </c>
      <c r="N111" s="69">
        <f t="shared" si="6"/>
        <v>-1.5520675121999998</v>
      </c>
      <c r="O111" s="66"/>
      <c r="P111" s="71">
        <f t="shared" si="7"/>
        <v>0</v>
      </c>
      <c r="Q111" s="132"/>
      <c r="R111" s="71">
        <f t="shared" si="8"/>
        <v>-2.4685994437499996</v>
      </c>
      <c r="S111" s="64"/>
    </row>
    <row r="112" spans="1:19">
      <c r="A112" s="64" t="s">
        <v>626</v>
      </c>
      <c r="B112" s="65" t="s">
        <v>456</v>
      </c>
      <c r="C112" s="65" t="s">
        <v>457</v>
      </c>
      <c r="D112" s="64" t="s">
        <v>458</v>
      </c>
      <c r="E112" s="65" t="s">
        <v>164</v>
      </c>
      <c r="F112" s="64" t="s">
        <v>165</v>
      </c>
      <c r="G112" s="65" t="s">
        <v>20</v>
      </c>
      <c r="H112" s="65" t="s">
        <v>928</v>
      </c>
      <c r="I112" s="65">
        <v>201409</v>
      </c>
      <c r="J112" s="66">
        <v>679.2</v>
      </c>
      <c r="K112" s="72">
        <f t="shared" si="10"/>
        <v>42675</v>
      </c>
      <c r="L112" s="67">
        <f t="shared" si="5"/>
        <v>6</v>
      </c>
      <c r="M112" s="68">
        <v>1.4833299999999999E-3</v>
      </c>
      <c r="N112" s="69">
        <f t="shared" si="6"/>
        <v>6.0448664160000005</v>
      </c>
      <c r="O112" s="66"/>
      <c r="P112" s="71">
        <f t="shared" si="7"/>
        <v>0</v>
      </c>
      <c r="Q112" s="132"/>
      <c r="R112" s="71">
        <f t="shared" si="8"/>
        <v>9.6145005000000001</v>
      </c>
      <c r="S112" s="64"/>
    </row>
    <row r="113" spans="1:19">
      <c r="A113" s="64" t="s">
        <v>626</v>
      </c>
      <c r="B113" s="65" t="s">
        <v>700</v>
      </c>
      <c r="C113" s="65" t="s">
        <v>701</v>
      </c>
      <c r="D113" s="64" t="s">
        <v>702</v>
      </c>
      <c r="E113" s="65" t="s">
        <v>25</v>
      </c>
      <c r="F113" s="64" t="s">
        <v>26</v>
      </c>
      <c r="G113" s="65" t="s">
        <v>20</v>
      </c>
      <c r="H113" s="65" t="s">
        <v>928</v>
      </c>
      <c r="I113" s="65">
        <v>201409</v>
      </c>
      <c r="J113" s="66">
        <v>-1167.31</v>
      </c>
      <c r="K113" s="72">
        <f t="shared" si="10"/>
        <v>42675</v>
      </c>
      <c r="L113" s="67">
        <f t="shared" si="5"/>
        <v>6</v>
      </c>
      <c r="M113" s="68">
        <v>1.4833299999999999E-3</v>
      </c>
      <c r="N113" s="69">
        <f t="shared" si="6"/>
        <v>-10.389035653799999</v>
      </c>
      <c r="O113" s="66"/>
      <c r="P113" s="71">
        <f t="shared" si="7"/>
        <v>0</v>
      </c>
      <c r="Q113" s="132"/>
      <c r="R113" s="71">
        <f t="shared" si="8"/>
        <v>-16.52400261875</v>
      </c>
      <c r="S113" s="64"/>
    </row>
    <row r="114" spans="1:19">
      <c r="A114" s="64" t="s">
        <v>21</v>
      </c>
      <c r="B114" s="65" t="s">
        <v>210</v>
      </c>
      <c r="C114" s="65" t="s">
        <v>211</v>
      </c>
      <c r="D114" s="64" t="s">
        <v>212</v>
      </c>
      <c r="E114" s="65" t="s">
        <v>137</v>
      </c>
      <c r="F114" s="64" t="s">
        <v>138</v>
      </c>
      <c r="G114" s="65" t="s">
        <v>20</v>
      </c>
      <c r="H114" s="65" t="s">
        <v>928</v>
      </c>
      <c r="I114" s="65">
        <v>201409</v>
      </c>
      <c r="J114" s="66">
        <v>-418.81</v>
      </c>
      <c r="K114" s="72">
        <f t="shared" si="10"/>
        <v>42675</v>
      </c>
      <c r="L114" s="67">
        <f t="shared" si="5"/>
        <v>6</v>
      </c>
      <c r="M114" s="68">
        <v>1.4833299999999999E-3</v>
      </c>
      <c r="N114" s="69">
        <f t="shared" si="6"/>
        <v>-3.7274006237999999</v>
      </c>
      <c r="O114" s="66"/>
      <c r="P114" s="71">
        <f t="shared" si="7"/>
        <v>0</v>
      </c>
      <c r="Q114" s="132"/>
      <c r="R114" s="71">
        <f t="shared" si="8"/>
        <v>-5.9285173062499998</v>
      </c>
      <c r="S114" s="64"/>
    </row>
    <row r="115" spans="1:19">
      <c r="A115" s="64" t="s">
        <v>21</v>
      </c>
      <c r="B115" s="65" t="s">
        <v>218</v>
      </c>
      <c r="C115" s="65" t="s">
        <v>219</v>
      </c>
      <c r="D115" s="64" t="s">
        <v>220</v>
      </c>
      <c r="E115" s="65" t="s">
        <v>209</v>
      </c>
      <c r="F115" s="64" t="s">
        <v>88</v>
      </c>
      <c r="G115" s="65" t="s">
        <v>20</v>
      </c>
      <c r="H115" s="65" t="s">
        <v>929</v>
      </c>
      <c r="I115" s="65">
        <v>201409</v>
      </c>
      <c r="J115" s="66">
        <v>1.99</v>
      </c>
      <c r="K115" s="72">
        <f t="shared" si="10"/>
        <v>42675</v>
      </c>
      <c r="L115" s="67">
        <f t="shared" si="5"/>
        <v>6</v>
      </c>
      <c r="M115" s="68">
        <v>1.4833299999999999E-3</v>
      </c>
      <c r="N115" s="69">
        <f t="shared" si="6"/>
        <v>1.77109602E-2</v>
      </c>
      <c r="O115" s="66"/>
      <c r="P115" s="71">
        <f t="shared" si="7"/>
        <v>0</v>
      </c>
      <c r="Q115" s="132"/>
      <c r="R115" s="71">
        <f t="shared" si="8"/>
        <v>2.8169693749999999E-2</v>
      </c>
      <c r="S115" s="64"/>
    </row>
    <row r="116" spans="1:19">
      <c r="A116" s="64" t="s">
        <v>21</v>
      </c>
      <c r="B116" s="65" t="s">
        <v>221</v>
      </c>
      <c r="C116" s="65" t="s">
        <v>222</v>
      </c>
      <c r="D116" s="64" t="s">
        <v>223</v>
      </c>
      <c r="E116" s="65" t="s">
        <v>25</v>
      </c>
      <c r="F116" s="64" t="s">
        <v>26</v>
      </c>
      <c r="G116" s="65" t="s">
        <v>20</v>
      </c>
      <c r="H116" s="65" t="s">
        <v>928</v>
      </c>
      <c r="I116" s="65">
        <v>201409</v>
      </c>
      <c r="J116" s="66">
        <v>-61.26</v>
      </c>
      <c r="K116" s="72">
        <f t="shared" si="10"/>
        <v>42675</v>
      </c>
      <c r="L116" s="67">
        <f t="shared" si="5"/>
        <v>6</v>
      </c>
      <c r="M116" s="68">
        <v>1.4833299999999999E-3</v>
      </c>
      <c r="N116" s="69">
        <f t="shared" si="6"/>
        <v>-0.54521277479999997</v>
      </c>
      <c r="O116" s="66"/>
      <c r="P116" s="71">
        <f t="shared" si="7"/>
        <v>0</v>
      </c>
      <c r="Q116" s="132"/>
      <c r="R116" s="71">
        <f t="shared" si="8"/>
        <v>-0.86717358749999984</v>
      </c>
      <c r="S116" s="64"/>
    </row>
    <row r="117" spans="1:19">
      <c r="A117" s="64" t="s">
        <v>21</v>
      </c>
      <c r="B117" s="65" t="s">
        <v>224</v>
      </c>
      <c r="C117" s="65" t="s">
        <v>225</v>
      </c>
      <c r="D117" s="64" t="s">
        <v>226</v>
      </c>
      <c r="E117" s="65" t="s">
        <v>142</v>
      </c>
      <c r="F117" s="64" t="s">
        <v>143</v>
      </c>
      <c r="G117" s="65" t="s">
        <v>20</v>
      </c>
      <c r="H117" s="65" t="s">
        <v>928</v>
      </c>
      <c r="I117" s="65">
        <v>201409</v>
      </c>
      <c r="J117" s="66">
        <v>-175.94</v>
      </c>
      <c r="K117" s="72">
        <f t="shared" si="10"/>
        <v>42675</v>
      </c>
      <c r="L117" s="67">
        <f t="shared" si="5"/>
        <v>6</v>
      </c>
      <c r="M117" s="68">
        <v>1.4833299999999999E-3</v>
      </c>
      <c r="N117" s="69">
        <f t="shared" si="6"/>
        <v>-1.5658624811999999</v>
      </c>
      <c r="O117" s="66"/>
      <c r="P117" s="71">
        <f t="shared" si="7"/>
        <v>0</v>
      </c>
      <c r="Q117" s="132"/>
      <c r="R117" s="71">
        <f t="shared" si="8"/>
        <v>-2.4905406624999999</v>
      </c>
      <c r="S117" s="64"/>
    </row>
    <row r="118" spans="1:19">
      <c r="A118" s="64" t="s">
        <v>626</v>
      </c>
      <c r="B118" s="65" t="s">
        <v>747</v>
      </c>
      <c r="C118" s="65" t="s">
        <v>748</v>
      </c>
      <c r="D118" s="64" t="s">
        <v>749</v>
      </c>
      <c r="E118" s="65" t="s">
        <v>497</v>
      </c>
      <c r="F118" s="64" t="s">
        <v>26</v>
      </c>
      <c r="G118" s="65" t="s">
        <v>20</v>
      </c>
      <c r="H118" s="65" t="s">
        <v>928</v>
      </c>
      <c r="I118" s="65">
        <v>201409</v>
      </c>
      <c r="J118" s="66">
        <v>-94.86</v>
      </c>
      <c r="K118" s="72">
        <f t="shared" si="10"/>
        <v>42675</v>
      </c>
      <c r="L118" s="67">
        <f t="shared" si="5"/>
        <v>6</v>
      </c>
      <c r="M118" s="68">
        <v>1.4833299999999999E-3</v>
      </c>
      <c r="N118" s="69">
        <f t="shared" si="6"/>
        <v>-0.84425210279999996</v>
      </c>
      <c r="O118" s="66"/>
      <c r="P118" s="71">
        <f t="shared" si="7"/>
        <v>0</v>
      </c>
      <c r="Q118" s="132"/>
      <c r="R118" s="71">
        <f t="shared" si="8"/>
        <v>-1.3428025874999998</v>
      </c>
      <c r="S118" s="64"/>
    </row>
    <row r="119" spans="1:19">
      <c r="A119" s="64" t="s">
        <v>21</v>
      </c>
      <c r="B119" s="65" t="s">
        <v>604</v>
      </c>
      <c r="C119" s="65" t="s">
        <v>605</v>
      </c>
      <c r="D119" s="64" t="s">
        <v>606</v>
      </c>
      <c r="E119" s="65" t="s">
        <v>360</v>
      </c>
      <c r="F119" s="64" t="s">
        <v>19</v>
      </c>
      <c r="G119" s="65" t="s">
        <v>20</v>
      </c>
      <c r="H119" s="65" t="s">
        <v>928</v>
      </c>
      <c r="I119" s="65">
        <v>201409</v>
      </c>
      <c r="J119" s="66">
        <v>8.2100000000000009</v>
      </c>
      <c r="K119" s="72">
        <f t="shared" si="10"/>
        <v>42675</v>
      </c>
      <c r="L119" s="67">
        <f t="shared" si="5"/>
        <v>6</v>
      </c>
      <c r="M119" s="68">
        <v>1.4833299999999999E-3</v>
      </c>
      <c r="N119" s="69">
        <f t="shared" si="6"/>
        <v>7.3068835800000009E-2</v>
      </c>
      <c r="O119" s="66"/>
      <c r="P119" s="71">
        <f t="shared" si="7"/>
        <v>0</v>
      </c>
      <c r="Q119" s="132"/>
      <c r="R119" s="71">
        <f t="shared" si="8"/>
        <v>0.11621768125000001</v>
      </c>
      <c r="S119" s="64"/>
    </row>
    <row r="120" spans="1:19">
      <c r="A120" s="64" t="s">
        <v>626</v>
      </c>
      <c r="B120" s="65" t="s">
        <v>750</v>
      </c>
      <c r="C120" s="65" t="s">
        <v>751</v>
      </c>
      <c r="D120" s="64" t="s">
        <v>752</v>
      </c>
      <c r="E120" s="65" t="s">
        <v>164</v>
      </c>
      <c r="F120" s="64" t="s">
        <v>165</v>
      </c>
      <c r="G120" s="65" t="s">
        <v>20</v>
      </c>
      <c r="H120" s="65" t="s">
        <v>928</v>
      </c>
      <c r="I120" s="65">
        <v>201409</v>
      </c>
      <c r="J120" s="66">
        <v>-15549.44</v>
      </c>
      <c r="K120" s="72">
        <f t="shared" si="10"/>
        <v>42675</v>
      </c>
      <c r="L120" s="67">
        <f t="shared" si="5"/>
        <v>6</v>
      </c>
      <c r="M120" s="68">
        <v>1.4833299999999999E-3</v>
      </c>
      <c r="N120" s="69">
        <f t="shared" si="6"/>
        <v>-138.38970501119999</v>
      </c>
      <c r="O120" s="66"/>
      <c r="P120" s="71">
        <f t="shared" si="7"/>
        <v>0</v>
      </c>
      <c r="Q120" s="132"/>
      <c r="R120" s="71">
        <f t="shared" si="8"/>
        <v>-220.1120416</v>
      </c>
      <c r="S120" s="64"/>
    </row>
    <row r="121" spans="1:19">
      <c r="A121" s="64" t="s">
        <v>626</v>
      </c>
      <c r="B121" s="65" t="s">
        <v>607</v>
      </c>
      <c r="C121" s="65" t="s">
        <v>608</v>
      </c>
      <c r="D121" s="64" t="s">
        <v>609</v>
      </c>
      <c r="E121" s="65" t="s">
        <v>75</v>
      </c>
      <c r="F121" s="64" t="s">
        <v>26</v>
      </c>
      <c r="G121" s="65" t="s">
        <v>20</v>
      </c>
      <c r="H121" s="65" t="s">
        <v>928</v>
      </c>
      <c r="I121" s="65">
        <v>201409</v>
      </c>
      <c r="J121" s="66">
        <v>-148.77000000000001</v>
      </c>
      <c r="K121" s="72">
        <f t="shared" si="10"/>
        <v>42675</v>
      </c>
      <c r="L121" s="67">
        <f t="shared" si="5"/>
        <v>6</v>
      </c>
      <c r="M121" s="68">
        <v>1.4833299999999999E-3</v>
      </c>
      <c r="N121" s="69">
        <f t="shared" si="6"/>
        <v>-1.3240500246000002</v>
      </c>
      <c r="O121" s="66"/>
      <c r="P121" s="71">
        <f t="shared" si="7"/>
        <v>0</v>
      </c>
      <c r="Q121" s="132"/>
      <c r="R121" s="71">
        <f t="shared" si="8"/>
        <v>-2.10593233125</v>
      </c>
      <c r="S121" s="64"/>
    </row>
    <row r="122" spans="1:19">
      <c r="A122" s="64" t="s">
        <v>21</v>
      </c>
      <c r="B122" s="65" t="s">
        <v>459</v>
      </c>
      <c r="C122" s="65" t="s">
        <v>460</v>
      </c>
      <c r="D122" s="64" t="s">
        <v>461</v>
      </c>
      <c r="E122" s="65" t="s">
        <v>160</v>
      </c>
      <c r="F122" s="64" t="s">
        <v>19</v>
      </c>
      <c r="G122" s="65" t="s">
        <v>20</v>
      </c>
      <c r="H122" s="65" t="s">
        <v>928</v>
      </c>
      <c r="I122" s="65">
        <v>201409</v>
      </c>
      <c r="J122" s="66">
        <v>-625.21</v>
      </c>
      <c r="K122" s="72">
        <f t="shared" si="10"/>
        <v>42675</v>
      </c>
      <c r="L122" s="67">
        <f t="shared" si="5"/>
        <v>6</v>
      </c>
      <c r="M122" s="68">
        <v>1.4833299999999999E-3</v>
      </c>
      <c r="N122" s="69">
        <f t="shared" si="6"/>
        <v>-5.5643564958000002</v>
      </c>
      <c r="O122" s="66"/>
      <c r="P122" s="71">
        <f t="shared" si="7"/>
        <v>0</v>
      </c>
      <c r="Q122" s="132"/>
      <c r="R122" s="71">
        <f t="shared" si="8"/>
        <v>-8.8502383062500005</v>
      </c>
      <c r="S122" s="64"/>
    </row>
    <row r="123" spans="1:19">
      <c r="A123" s="64" t="s">
        <v>21</v>
      </c>
      <c r="B123" s="65" t="s">
        <v>462</v>
      </c>
      <c r="C123" s="65" t="s">
        <v>463</v>
      </c>
      <c r="D123" s="64" t="s">
        <v>464</v>
      </c>
      <c r="E123" s="65" t="s">
        <v>280</v>
      </c>
      <c r="F123" s="64" t="s">
        <v>26</v>
      </c>
      <c r="G123" s="65" t="s">
        <v>20</v>
      </c>
      <c r="H123" s="65" t="s">
        <v>928</v>
      </c>
      <c r="I123" s="65">
        <v>201409</v>
      </c>
      <c r="J123" s="66">
        <v>-5.2</v>
      </c>
      <c r="K123" s="72">
        <f t="shared" si="10"/>
        <v>42675</v>
      </c>
      <c r="L123" s="67">
        <f t="shared" si="5"/>
        <v>6</v>
      </c>
      <c r="M123" s="68">
        <v>1.4833299999999999E-3</v>
      </c>
      <c r="N123" s="69">
        <f t="shared" si="6"/>
        <v>-4.6279896000000001E-2</v>
      </c>
      <c r="O123" s="66"/>
      <c r="P123" s="71">
        <f t="shared" si="7"/>
        <v>0</v>
      </c>
      <c r="Q123" s="132"/>
      <c r="R123" s="71">
        <f t="shared" si="8"/>
        <v>-7.3609250000000001E-2</v>
      </c>
      <c r="S123" s="64"/>
    </row>
    <row r="124" spans="1:19">
      <c r="A124" s="64" t="s">
        <v>626</v>
      </c>
      <c r="B124" s="65" t="s">
        <v>465</v>
      </c>
      <c r="C124" s="65" t="s">
        <v>466</v>
      </c>
      <c r="D124" s="64" t="s">
        <v>467</v>
      </c>
      <c r="E124" s="65" t="s">
        <v>75</v>
      </c>
      <c r="F124" s="64" t="s">
        <v>26</v>
      </c>
      <c r="G124" s="65" t="s">
        <v>20</v>
      </c>
      <c r="H124" s="65" t="s">
        <v>928</v>
      </c>
      <c r="I124" s="65">
        <v>201409</v>
      </c>
      <c r="J124" s="66">
        <v>-184.89</v>
      </c>
      <c r="K124" s="72">
        <f t="shared" si="10"/>
        <v>42675</v>
      </c>
      <c r="L124" s="67">
        <f t="shared" si="5"/>
        <v>6</v>
      </c>
      <c r="M124" s="68">
        <v>1.4833299999999999E-3</v>
      </c>
      <c r="N124" s="69">
        <f t="shared" si="6"/>
        <v>-1.6455173021999998</v>
      </c>
      <c r="O124" s="66"/>
      <c r="P124" s="71">
        <f t="shared" si="7"/>
        <v>0</v>
      </c>
      <c r="Q124" s="132"/>
      <c r="R124" s="71">
        <f t="shared" si="8"/>
        <v>-2.6172335062499994</v>
      </c>
      <c r="S124" s="64"/>
    </row>
    <row r="125" spans="1:19">
      <c r="A125" s="64" t="s">
        <v>21</v>
      </c>
      <c r="B125" s="65" t="s">
        <v>391</v>
      </c>
      <c r="C125" s="65" t="s">
        <v>392</v>
      </c>
      <c r="D125" s="64" t="s">
        <v>393</v>
      </c>
      <c r="E125" s="65" t="s">
        <v>156</v>
      </c>
      <c r="F125" s="64" t="s">
        <v>26</v>
      </c>
      <c r="G125" s="65" t="s">
        <v>20</v>
      </c>
      <c r="H125" s="65" t="s">
        <v>928</v>
      </c>
      <c r="I125" s="65">
        <v>201409</v>
      </c>
      <c r="J125" s="66">
        <v>-591.12</v>
      </c>
      <c r="K125" s="72">
        <f t="shared" si="10"/>
        <v>42675</v>
      </c>
      <c r="L125" s="67">
        <f t="shared" si="5"/>
        <v>6</v>
      </c>
      <c r="M125" s="68">
        <v>1.4833299999999999E-3</v>
      </c>
      <c r="N125" s="69">
        <f t="shared" si="6"/>
        <v>-5.2609561775999998</v>
      </c>
      <c r="O125" s="66"/>
      <c r="P125" s="71">
        <f t="shared" si="7"/>
        <v>0</v>
      </c>
      <c r="Q125" s="132"/>
      <c r="R125" s="71">
        <f t="shared" si="8"/>
        <v>-8.3676730500000005</v>
      </c>
      <c r="S125" s="64"/>
    </row>
    <row r="126" spans="1:19">
      <c r="A126" s="64" t="s">
        <v>626</v>
      </c>
      <c r="B126" s="65" t="s">
        <v>468</v>
      </c>
      <c r="C126" s="65" t="s">
        <v>469</v>
      </c>
      <c r="D126" s="64" t="s">
        <v>470</v>
      </c>
      <c r="E126" s="65" t="s">
        <v>471</v>
      </c>
      <c r="F126" s="64" t="s">
        <v>165</v>
      </c>
      <c r="G126" s="65" t="s">
        <v>20</v>
      </c>
      <c r="H126" s="65" t="s">
        <v>928</v>
      </c>
      <c r="I126" s="65">
        <v>201409</v>
      </c>
      <c r="J126" s="66">
        <v>-771.19</v>
      </c>
      <c r="K126" s="72">
        <f t="shared" si="10"/>
        <v>42675</v>
      </c>
      <c r="L126" s="67">
        <f t="shared" si="5"/>
        <v>6</v>
      </c>
      <c r="M126" s="68">
        <v>1.4833299999999999E-3</v>
      </c>
      <c r="N126" s="69">
        <f t="shared" si="6"/>
        <v>-6.8635755762000006</v>
      </c>
      <c r="O126" s="66"/>
      <c r="P126" s="71">
        <f t="shared" si="7"/>
        <v>0</v>
      </c>
      <c r="Q126" s="132"/>
      <c r="R126" s="71">
        <f t="shared" si="8"/>
        <v>-10.916676443750001</v>
      </c>
      <c r="S126" s="64"/>
    </row>
    <row r="127" spans="1:19">
      <c r="A127" s="64" t="s">
        <v>29</v>
      </c>
      <c r="B127" s="65" t="s">
        <v>831</v>
      </c>
      <c r="C127" s="65" t="s">
        <v>832</v>
      </c>
      <c r="D127" s="64" t="s">
        <v>833</v>
      </c>
      <c r="E127" s="65" t="s">
        <v>834</v>
      </c>
      <c r="F127" s="64" t="s">
        <v>835</v>
      </c>
      <c r="G127" s="65" t="s">
        <v>20</v>
      </c>
      <c r="H127" s="65" t="s">
        <v>937</v>
      </c>
      <c r="I127" s="65">
        <v>201409</v>
      </c>
      <c r="J127" s="66">
        <v>-442.33</v>
      </c>
      <c r="K127" s="72">
        <f t="shared" si="10"/>
        <v>42675</v>
      </c>
      <c r="L127" s="67">
        <f t="shared" si="5"/>
        <v>6</v>
      </c>
      <c r="M127" s="68">
        <v>2.23333E-3</v>
      </c>
      <c r="N127" s="69">
        <f t="shared" si="6"/>
        <v>-5.9272131533999994</v>
      </c>
      <c r="O127" s="66"/>
      <c r="P127" s="71">
        <f t="shared" si="7"/>
        <v>0</v>
      </c>
      <c r="Q127" s="132"/>
      <c r="R127" s="71">
        <f t="shared" si="8"/>
        <v>-6.2614576062499996</v>
      </c>
      <c r="S127" s="64"/>
    </row>
    <row r="128" spans="1:19">
      <c r="A128" s="64" t="s">
        <v>626</v>
      </c>
      <c r="B128" s="65" t="s">
        <v>610</v>
      </c>
      <c r="C128" s="65" t="s">
        <v>611</v>
      </c>
      <c r="D128" s="64" t="s">
        <v>612</v>
      </c>
      <c r="E128" s="65" t="s">
        <v>613</v>
      </c>
      <c r="F128" s="64" t="s">
        <v>398</v>
      </c>
      <c r="G128" s="65" t="s">
        <v>20</v>
      </c>
      <c r="H128" s="65" t="s">
        <v>929</v>
      </c>
      <c r="I128" s="65">
        <v>201409</v>
      </c>
      <c r="J128" s="66">
        <v>-992.83</v>
      </c>
      <c r="K128" s="72">
        <f t="shared" si="10"/>
        <v>42675</v>
      </c>
      <c r="L128" s="67">
        <f t="shared" si="5"/>
        <v>6</v>
      </c>
      <c r="M128" s="68">
        <v>1.4833299999999999E-3</v>
      </c>
      <c r="N128" s="69">
        <f t="shared" si="6"/>
        <v>-8.8361671434000009</v>
      </c>
      <c r="O128" s="66"/>
      <c r="P128" s="71">
        <f t="shared" si="7"/>
        <v>0</v>
      </c>
      <c r="Q128" s="132"/>
      <c r="R128" s="71">
        <f t="shared" si="8"/>
        <v>-14.05412916875</v>
      </c>
      <c r="S128" s="64"/>
    </row>
    <row r="129" spans="1:19">
      <c r="A129" s="64" t="s">
        <v>21</v>
      </c>
      <c r="B129" s="65" t="s">
        <v>614</v>
      </c>
      <c r="C129" s="65" t="s">
        <v>615</v>
      </c>
      <c r="D129" s="64" t="s">
        <v>616</v>
      </c>
      <c r="E129" s="65" t="s">
        <v>18</v>
      </c>
      <c r="F129" s="64" t="s">
        <v>19</v>
      </c>
      <c r="G129" s="65" t="s">
        <v>20</v>
      </c>
      <c r="H129" s="65" t="s">
        <v>928</v>
      </c>
      <c r="I129" s="65">
        <v>201409</v>
      </c>
      <c r="J129" s="66">
        <v>-48.87</v>
      </c>
      <c r="K129" s="72">
        <f t="shared" si="10"/>
        <v>42675</v>
      </c>
      <c r="L129" s="67">
        <f t="shared" si="5"/>
        <v>6</v>
      </c>
      <c r="M129" s="68">
        <v>1.4833299999999999E-3</v>
      </c>
      <c r="N129" s="69">
        <f t="shared" si="6"/>
        <v>-0.43494202259999998</v>
      </c>
      <c r="O129" s="66"/>
      <c r="P129" s="71">
        <f t="shared" si="7"/>
        <v>0</v>
      </c>
      <c r="Q129" s="132"/>
      <c r="R129" s="71">
        <f t="shared" si="8"/>
        <v>-0.69178539374999992</v>
      </c>
      <c r="S129" s="64"/>
    </row>
    <row r="130" spans="1:19">
      <c r="A130" s="64" t="s">
        <v>21</v>
      </c>
      <c r="B130" s="65" t="s">
        <v>472</v>
      </c>
      <c r="C130" s="65" t="s">
        <v>473</v>
      </c>
      <c r="D130" s="64" t="s">
        <v>474</v>
      </c>
      <c r="E130" s="65" t="s">
        <v>87</v>
      </c>
      <c r="F130" s="64" t="s">
        <v>88</v>
      </c>
      <c r="G130" s="65" t="s">
        <v>20</v>
      </c>
      <c r="H130" s="65" t="s">
        <v>929</v>
      </c>
      <c r="I130" s="65">
        <v>201409</v>
      </c>
      <c r="J130" s="66">
        <v>-659.04</v>
      </c>
      <c r="K130" s="72">
        <f t="shared" si="10"/>
        <v>42675</v>
      </c>
      <c r="L130" s="67">
        <f t="shared" si="5"/>
        <v>6</v>
      </c>
      <c r="M130" s="68">
        <v>1.4833299999999999E-3</v>
      </c>
      <c r="N130" s="69">
        <f t="shared" si="6"/>
        <v>-5.8654428192000001</v>
      </c>
      <c r="O130" s="66"/>
      <c r="P130" s="71">
        <f t="shared" si="7"/>
        <v>0</v>
      </c>
      <c r="Q130" s="132"/>
      <c r="R130" s="71">
        <f t="shared" si="8"/>
        <v>-9.3291230999999986</v>
      </c>
      <c r="S130" s="64"/>
    </row>
    <row r="131" spans="1:19">
      <c r="A131" s="64" t="s">
        <v>21</v>
      </c>
      <c r="B131" s="65" t="s">
        <v>475</v>
      </c>
      <c r="C131" s="65" t="s">
        <v>476</v>
      </c>
      <c r="D131" s="64" t="s">
        <v>477</v>
      </c>
      <c r="E131" s="65" t="s">
        <v>360</v>
      </c>
      <c r="F131" s="64" t="s">
        <v>19</v>
      </c>
      <c r="G131" s="65" t="s">
        <v>20</v>
      </c>
      <c r="H131" s="65" t="s">
        <v>928</v>
      </c>
      <c r="I131" s="65">
        <v>201409</v>
      </c>
      <c r="J131" s="66">
        <v>-15.86</v>
      </c>
      <c r="K131" s="72">
        <f t="shared" si="10"/>
        <v>42675</v>
      </c>
      <c r="L131" s="67">
        <f t="shared" si="5"/>
        <v>6</v>
      </c>
      <c r="M131" s="68">
        <v>1.4833299999999999E-3</v>
      </c>
      <c r="N131" s="69">
        <f t="shared" si="6"/>
        <v>-0.14115368279999999</v>
      </c>
      <c r="O131" s="66"/>
      <c r="P131" s="71">
        <f t="shared" si="7"/>
        <v>0</v>
      </c>
      <c r="Q131" s="132"/>
      <c r="R131" s="71">
        <f t="shared" si="8"/>
        <v>-0.2245082125</v>
      </c>
      <c r="S131" s="64"/>
    </row>
    <row r="132" spans="1:19">
      <c r="A132" s="64" t="s">
        <v>21</v>
      </c>
      <c r="B132" s="65" t="s">
        <v>230</v>
      </c>
      <c r="C132" s="65" t="s">
        <v>231</v>
      </c>
      <c r="D132" s="64" t="s">
        <v>232</v>
      </c>
      <c r="E132" s="65" t="s">
        <v>164</v>
      </c>
      <c r="F132" s="64" t="s">
        <v>165</v>
      </c>
      <c r="G132" s="65" t="s">
        <v>20</v>
      </c>
      <c r="H132" s="65" t="s">
        <v>928</v>
      </c>
      <c r="I132" s="65">
        <v>201409</v>
      </c>
      <c r="J132" s="66">
        <v>-482.88</v>
      </c>
      <c r="K132" s="72">
        <f t="shared" si="10"/>
        <v>42675</v>
      </c>
      <c r="L132" s="67">
        <f t="shared" si="5"/>
        <v>6</v>
      </c>
      <c r="M132" s="68">
        <v>1.4833299999999999E-3</v>
      </c>
      <c r="N132" s="69">
        <f t="shared" si="6"/>
        <v>-4.2976223424000004</v>
      </c>
      <c r="O132" s="66"/>
      <c r="P132" s="71">
        <f t="shared" si="7"/>
        <v>0</v>
      </c>
      <c r="Q132" s="132"/>
      <c r="R132" s="71">
        <f t="shared" si="8"/>
        <v>-6.8354681999999993</v>
      </c>
      <c r="S132" s="64"/>
    </row>
    <row r="133" spans="1:19">
      <c r="A133" s="64" t="s">
        <v>21</v>
      </c>
      <c r="B133" s="65" t="s">
        <v>233</v>
      </c>
      <c r="C133" s="65" t="s">
        <v>234</v>
      </c>
      <c r="D133" s="64" t="s">
        <v>235</v>
      </c>
      <c r="E133" s="65" t="s">
        <v>172</v>
      </c>
      <c r="F133" s="64" t="s">
        <v>173</v>
      </c>
      <c r="G133" s="65" t="s">
        <v>20</v>
      </c>
      <c r="H133" s="65" t="s">
        <v>928</v>
      </c>
      <c r="I133" s="65">
        <v>201409</v>
      </c>
      <c r="J133" s="66">
        <v>-297.13</v>
      </c>
      <c r="K133" s="72">
        <f t="shared" si="10"/>
        <v>42675</v>
      </c>
      <c r="L133" s="67">
        <f t="shared" si="5"/>
        <v>6</v>
      </c>
      <c r="M133" s="68">
        <v>1.4833299999999999E-3</v>
      </c>
      <c r="N133" s="69">
        <f t="shared" si="6"/>
        <v>-2.6444510574</v>
      </c>
      <c r="O133" s="66"/>
      <c r="P133" s="71">
        <f t="shared" si="7"/>
        <v>0</v>
      </c>
      <c r="Q133" s="132"/>
      <c r="R133" s="71">
        <f t="shared" si="8"/>
        <v>-4.2060608562499997</v>
      </c>
      <c r="S133" s="64"/>
    </row>
    <row r="134" spans="1:19">
      <c r="A134" s="64" t="s">
        <v>21</v>
      </c>
      <c r="B134" s="65" t="s">
        <v>478</v>
      </c>
      <c r="C134" s="65" t="s">
        <v>479</v>
      </c>
      <c r="D134" s="64" t="s">
        <v>480</v>
      </c>
      <c r="E134" s="65" t="s">
        <v>164</v>
      </c>
      <c r="F134" s="64" t="s">
        <v>165</v>
      </c>
      <c r="G134" s="65" t="s">
        <v>20</v>
      </c>
      <c r="H134" s="65" t="s">
        <v>928</v>
      </c>
      <c r="I134" s="65">
        <v>201409</v>
      </c>
      <c r="J134" s="66">
        <v>-374.06</v>
      </c>
      <c r="K134" s="72">
        <f t="shared" si="10"/>
        <v>42675</v>
      </c>
      <c r="L134" s="67">
        <f t="shared" ref="L134:L197" si="11">((YEAR($L$1)-YEAR(K134))*12+MONTH($L$1)-MONTH(K134))</f>
        <v>6</v>
      </c>
      <c r="M134" s="68">
        <v>1.4833299999999999E-3</v>
      </c>
      <c r="N134" s="69">
        <f t="shared" ref="N134:N197" si="12">M134*L134*J134</f>
        <v>-3.3291265187999999</v>
      </c>
      <c r="O134" s="66"/>
      <c r="P134" s="71">
        <f t="shared" ref="P134:P197" si="13">$P$4*J134*$U$11</f>
        <v>0</v>
      </c>
      <c r="Q134" s="132"/>
      <c r="R134" s="71">
        <f t="shared" ref="R134:R197" si="14">$R$4*J134*$U$12</f>
        <v>-5.2950530875000004</v>
      </c>
      <c r="S134" s="64"/>
    </row>
    <row r="135" spans="1:19">
      <c r="A135" s="64" t="s">
        <v>29</v>
      </c>
      <c r="B135" s="65" t="s">
        <v>481</v>
      </c>
      <c r="C135" s="65" t="s">
        <v>482</v>
      </c>
      <c r="D135" s="64" t="s">
        <v>483</v>
      </c>
      <c r="E135" s="65" t="s">
        <v>484</v>
      </c>
      <c r="F135" s="64" t="s">
        <v>190</v>
      </c>
      <c r="G135" s="65" t="s">
        <v>20</v>
      </c>
      <c r="H135" s="65" t="s">
        <v>933</v>
      </c>
      <c r="I135" s="65">
        <v>201409</v>
      </c>
      <c r="J135" s="66">
        <v>-2416.5500000000002</v>
      </c>
      <c r="K135" s="72">
        <f t="shared" si="10"/>
        <v>42675</v>
      </c>
      <c r="L135" s="67">
        <f t="shared" si="11"/>
        <v>6</v>
      </c>
      <c r="M135" s="68">
        <v>2.23333E-3</v>
      </c>
      <c r="N135" s="69">
        <f t="shared" si="12"/>
        <v>-32.381721669000001</v>
      </c>
      <c r="O135" s="66"/>
      <c r="P135" s="71">
        <f t="shared" si="13"/>
        <v>0</v>
      </c>
      <c r="Q135" s="132"/>
      <c r="R135" s="71">
        <f t="shared" si="14"/>
        <v>-34.20777559375</v>
      </c>
      <c r="S135" s="64"/>
    </row>
    <row r="136" spans="1:19">
      <c r="A136" s="64" t="s">
        <v>21</v>
      </c>
      <c r="B136" s="65" t="s">
        <v>485</v>
      </c>
      <c r="C136" s="65" t="s">
        <v>486</v>
      </c>
      <c r="D136" s="64" t="s">
        <v>487</v>
      </c>
      <c r="E136" s="65" t="s">
        <v>75</v>
      </c>
      <c r="F136" s="64" t="s">
        <v>26</v>
      </c>
      <c r="G136" s="65" t="s">
        <v>20</v>
      </c>
      <c r="H136" s="65" t="s">
        <v>928</v>
      </c>
      <c r="I136" s="65">
        <v>201409</v>
      </c>
      <c r="J136" s="66">
        <v>-24.13</v>
      </c>
      <c r="K136" s="72">
        <f t="shared" si="10"/>
        <v>42675</v>
      </c>
      <c r="L136" s="67">
        <f t="shared" si="11"/>
        <v>6</v>
      </c>
      <c r="M136" s="68">
        <v>1.4833299999999999E-3</v>
      </c>
      <c r="N136" s="69">
        <f t="shared" si="12"/>
        <v>-0.21475651739999999</v>
      </c>
      <c r="O136" s="66"/>
      <c r="P136" s="71">
        <f t="shared" si="13"/>
        <v>0</v>
      </c>
      <c r="Q136" s="132"/>
      <c r="R136" s="71">
        <f t="shared" si="14"/>
        <v>-0.34157523124999994</v>
      </c>
      <c r="S136" s="64"/>
    </row>
    <row r="137" spans="1:19">
      <c r="A137" s="64" t="s">
        <v>29</v>
      </c>
      <c r="B137" s="65" t="s">
        <v>236</v>
      </c>
      <c r="C137" s="65" t="s">
        <v>237</v>
      </c>
      <c r="D137" s="64" t="s">
        <v>188</v>
      </c>
      <c r="E137" s="65" t="s">
        <v>238</v>
      </c>
      <c r="F137" s="64" t="s">
        <v>190</v>
      </c>
      <c r="G137" s="65" t="s">
        <v>20</v>
      </c>
      <c r="H137" s="65" t="s">
        <v>933</v>
      </c>
      <c r="I137" s="65">
        <v>201409</v>
      </c>
      <c r="J137" s="66">
        <v>55968.13</v>
      </c>
      <c r="K137" s="72">
        <f t="shared" si="10"/>
        <v>42675</v>
      </c>
      <c r="L137" s="67">
        <f t="shared" si="11"/>
        <v>6</v>
      </c>
      <c r="M137" s="68">
        <v>2.23333E-3</v>
      </c>
      <c r="N137" s="69">
        <f t="shared" si="12"/>
        <v>749.9718226373999</v>
      </c>
      <c r="O137" s="66"/>
      <c r="P137" s="71">
        <f t="shared" si="13"/>
        <v>0</v>
      </c>
      <c r="Q137" s="132"/>
      <c r="R137" s="71">
        <f t="shared" si="14"/>
        <v>792.26386023124996</v>
      </c>
      <c r="S137" s="64"/>
    </row>
    <row r="138" spans="1:19">
      <c r="A138" s="64" t="s">
        <v>29</v>
      </c>
      <c r="B138" s="65" t="s">
        <v>239</v>
      </c>
      <c r="C138" s="65" t="s">
        <v>240</v>
      </c>
      <c r="D138" s="64" t="s">
        <v>197</v>
      </c>
      <c r="E138" s="65" t="s">
        <v>241</v>
      </c>
      <c r="F138" s="64" t="s">
        <v>199</v>
      </c>
      <c r="G138" s="65" t="s">
        <v>20</v>
      </c>
      <c r="H138" s="65" t="s">
        <v>933</v>
      </c>
      <c r="I138" s="65">
        <v>201409</v>
      </c>
      <c r="J138" s="66">
        <v>26046.38</v>
      </c>
      <c r="K138" s="72">
        <f t="shared" si="10"/>
        <v>42675</v>
      </c>
      <c r="L138" s="67">
        <f t="shared" si="11"/>
        <v>6</v>
      </c>
      <c r="M138" s="68">
        <v>2.23333E-3</v>
      </c>
      <c r="N138" s="69">
        <f t="shared" si="12"/>
        <v>349.02097107239996</v>
      </c>
      <c r="O138" s="66"/>
      <c r="P138" s="71">
        <f t="shared" si="13"/>
        <v>0</v>
      </c>
      <c r="Q138" s="132"/>
      <c r="R138" s="71">
        <f t="shared" si="14"/>
        <v>368.70278788749999</v>
      </c>
      <c r="S138" s="64"/>
    </row>
    <row r="139" spans="1:19">
      <c r="A139" s="64" t="s">
        <v>21</v>
      </c>
      <c r="B139" s="65" t="s">
        <v>617</v>
      </c>
      <c r="C139" s="65" t="s">
        <v>618</v>
      </c>
      <c r="D139" s="64" t="s">
        <v>619</v>
      </c>
      <c r="E139" s="65" t="s">
        <v>87</v>
      </c>
      <c r="F139" s="64" t="s">
        <v>88</v>
      </c>
      <c r="G139" s="65" t="s">
        <v>20</v>
      </c>
      <c r="H139" s="65" t="s">
        <v>929</v>
      </c>
      <c r="I139" s="65">
        <v>201409</v>
      </c>
      <c r="J139" s="66">
        <v>-28.62</v>
      </c>
      <c r="K139" s="72">
        <f t="shared" si="10"/>
        <v>42675</v>
      </c>
      <c r="L139" s="67">
        <f t="shared" si="11"/>
        <v>6</v>
      </c>
      <c r="M139" s="68">
        <v>1.4833299999999999E-3</v>
      </c>
      <c r="N139" s="69">
        <f t="shared" si="12"/>
        <v>-0.25471742759999999</v>
      </c>
      <c r="O139" s="66"/>
      <c r="P139" s="71">
        <f t="shared" si="13"/>
        <v>0</v>
      </c>
      <c r="Q139" s="132"/>
      <c r="R139" s="71">
        <f t="shared" si="14"/>
        <v>-0.40513398750000001</v>
      </c>
      <c r="S139" s="64"/>
    </row>
    <row r="140" spans="1:19">
      <c r="A140" s="64" t="s">
        <v>21</v>
      </c>
      <c r="B140" s="65" t="s">
        <v>620</v>
      </c>
      <c r="C140" s="65" t="s">
        <v>621</v>
      </c>
      <c r="D140" s="64" t="s">
        <v>622</v>
      </c>
      <c r="E140" s="65" t="s">
        <v>209</v>
      </c>
      <c r="F140" s="64" t="s">
        <v>88</v>
      </c>
      <c r="G140" s="65" t="s">
        <v>20</v>
      </c>
      <c r="H140" s="65" t="s">
        <v>929</v>
      </c>
      <c r="I140" s="65">
        <v>201409</v>
      </c>
      <c r="J140" s="66">
        <v>-27.17</v>
      </c>
      <c r="K140" s="72">
        <f t="shared" si="10"/>
        <v>42675</v>
      </c>
      <c r="L140" s="67">
        <f t="shared" si="11"/>
        <v>6</v>
      </c>
      <c r="M140" s="68">
        <v>1.4833299999999999E-3</v>
      </c>
      <c r="N140" s="69">
        <f t="shared" si="12"/>
        <v>-0.2418124566</v>
      </c>
      <c r="O140" s="66"/>
      <c r="P140" s="71">
        <f t="shared" si="13"/>
        <v>0</v>
      </c>
      <c r="Q140" s="132"/>
      <c r="R140" s="71">
        <f t="shared" si="14"/>
        <v>-0.38460833124999999</v>
      </c>
      <c r="S140" s="64"/>
    </row>
    <row r="141" spans="1:19">
      <c r="A141" s="64" t="s">
        <v>21</v>
      </c>
      <c r="B141" s="65" t="s">
        <v>242</v>
      </c>
      <c r="C141" s="65" t="s">
        <v>243</v>
      </c>
      <c r="D141" s="64" t="s">
        <v>244</v>
      </c>
      <c r="E141" s="65" t="s">
        <v>18</v>
      </c>
      <c r="F141" s="64" t="s">
        <v>19</v>
      </c>
      <c r="G141" s="65" t="s">
        <v>20</v>
      </c>
      <c r="H141" s="65" t="s">
        <v>928</v>
      </c>
      <c r="I141" s="65">
        <v>201409</v>
      </c>
      <c r="J141" s="66">
        <v>-147.01</v>
      </c>
      <c r="K141" s="72">
        <f t="shared" si="10"/>
        <v>42675</v>
      </c>
      <c r="L141" s="67">
        <f t="shared" si="11"/>
        <v>6</v>
      </c>
      <c r="M141" s="68">
        <v>1.4833299999999999E-3</v>
      </c>
      <c r="N141" s="69">
        <f t="shared" si="12"/>
        <v>-1.3083860597999999</v>
      </c>
      <c r="O141" s="66"/>
      <c r="P141" s="71">
        <f t="shared" si="13"/>
        <v>0</v>
      </c>
      <c r="Q141" s="132"/>
      <c r="R141" s="71">
        <f t="shared" si="14"/>
        <v>-2.08101843125</v>
      </c>
      <c r="S141" s="64"/>
    </row>
    <row r="142" spans="1:19">
      <c r="A142" s="64" t="s">
        <v>21</v>
      </c>
      <c r="B142" s="65" t="s">
        <v>797</v>
      </c>
      <c r="C142" s="65" t="s">
        <v>798</v>
      </c>
      <c r="D142" s="64" t="s">
        <v>799</v>
      </c>
      <c r="E142" s="65" t="s">
        <v>172</v>
      </c>
      <c r="F142" s="64" t="s">
        <v>173</v>
      </c>
      <c r="G142" s="65" t="s">
        <v>20</v>
      </c>
      <c r="H142" s="65" t="s">
        <v>928</v>
      </c>
      <c r="I142" s="65">
        <v>201409</v>
      </c>
      <c r="J142" s="66">
        <v>-818.02</v>
      </c>
      <c r="K142" s="72">
        <f t="shared" si="10"/>
        <v>42675</v>
      </c>
      <c r="L142" s="67">
        <f t="shared" si="11"/>
        <v>6</v>
      </c>
      <c r="M142" s="68">
        <v>1.4833299999999999E-3</v>
      </c>
      <c r="N142" s="69">
        <f t="shared" si="12"/>
        <v>-7.2803616395999997</v>
      </c>
      <c r="O142" s="66"/>
      <c r="P142" s="71">
        <f t="shared" si="13"/>
        <v>0</v>
      </c>
      <c r="Q142" s="132"/>
      <c r="R142" s="71">
        <f t="shared" si="14"/>
        <v>-11.579584362499999</v>
      </c>
      <c r="S142" s="64"/>
    </row>
    <row r="143" spans="1:19">
      <c r="A143" s="64" t="s">
        <v>21</v>
      </c>
      <c r="B143" s="65" t="s">
        <v>623</v>
      </c>
      <c r="C143" s="65" t="s">
        <v>624</v>
      </c>
      <c r="D143" s="64" t="s">
        <v>625</v>
      </c>
      <c r="E143" s="65" t="s">
        <v>531</v>
      </c>
      <c r="F143" s="64" t="s">
        <v>26</v>
      </c>
      <c r="G143" s="65" t="s">
        <v>20</v>
      </c>
      <c r="H143" s="65" t="s">
        <v>928</v>
      </c>
      <c r="I143" s="65">
        <v>201409</v>
      </c>
      <c r="J143" s="66">
        <v>-46.01</v>
      </c>
      <c r="K143" s="72">
        <f t="shared" si="10"/>
        <v>42675</v>
      </c>
      <c r="L143" s="67">
        <f t="shared" si="11"/>
        <v>6</v>
      </c>
      <c r="M143" s="68">
        <v>1.4833299999999999E-3</v>
      </c>
      <c r="N143" s="69">
        <f t="shared" si="12"/>
        <v>-0.40948807979999996</v>
      </c>
      <c r="O143" s="66"/>
      <c r="P143" s="71">
        <f t="shared" si="13"/>
        <v>0</v>
      </c>
      <c r="Q143" s="132"/>
      <c r="R143" s="71">
        <f t="shared" si="14"/>
        <v>-0.65130030624999991</v>
      </c>
      <c r="S143" s="64"/>
    </row>
    <row r="144" spans="1:19">
      <c r="A144" s="64" t="s">
        <v>21</v>
      </c>
      <c r="B144" s="65" t="s">
        <v>245</v>
      </c>
      <c r="C144" s="65" t="s">
        <v>246</v>
      </c>
      <c r="D144" s="64" t="s">
        <v>247</v>
      </c>
      <c r="E144" s="65" t="s">
        <v>70</v>
      </c>
      <c r="F144" s="64" t="s">
        <v>71</v>
      </c>
      <c r="G144" s="65" t="s">
        <v>20</v>
      </c>
      <c r="H144" s="65" t="s">
        <v>928</v>
      </c>
      <c r="I144" s="65">
        <v>201409</v>
      </c>
      <c r="J144" s="66">
        <v>-94.11</v>
      </c>
      <c r="K144" s="72">
        <f t="shared" si="10"/>
        <v>42675</v>
      </c>
      <c r="L144" s="67">
        <f t="shared" si="11"/>
        <v>6</v>
      </c>
      <c r="M144" s="68">
        <v>1.4833299999999999E-3</v>
      </c>
      <c r="N144" s="69">
        <f t="shared" si="12"/>
        <v>-0.83757711779999999</v>
      </c>
      <c r="O144" s="66"/>
      <c r="P144" s="71">
        <f t="shared" si="13"/>
        <v>0</v>
      </c>
      <c r="Q144" s="132"/>
      <c r="R144" s="71">
        <f t="shared" si="14"/>
        <v>-1.3321858687500001</v>
      </c>
      <c r="S144" s="64"/>
    </row>
    <row r="145" spans="1:19">
      <c r="A145" s="64" t="s">
        <v>21</v>
      </c>
      <c r="B145" s="65" t="s">
        <v>248</v>
      </c>
      <c r="C145" s="65" t="s">
        <v>249</v>
      </c>
      <c r="D145" s="64" t="s">
        <v>250</v>
      </c>
      <c r="E145" s="65" t="s">
        <v>70</v>
      </c>
      <c r="F145" s="64" t="s">
        <v>71</v>
      </c>
      <c r="G145" s="65" t="s">
        <v>20</v>
      </c>
      <c r="H145" s="65" t="s">
        <v>928</v>
      </c>
      <c r="I145" s="65">
        <v>201409</v>
      </c>
      <c r="J145" s="66">
        <v>-89.47</v>
      </c>
      <c r="K145" s="72">
        <f t="shared" si="10"/>
        <v>42675</v>
      </c>
      <c r="L145" s="67">
        <f t="shared" si="11"/>
        <v>6</v>
      </c>
      <c r="M145" s="68">
        <v>1.4833299999999999E-3</v>
      </c>
      <c r="N145" s="69">
        <f t="shared" si="12"/>
        <v>-0.79628121060000001</v>
      </c>
      <c r="O145" s="66"/>
      <c r="P145" s="71">
        <f t="shared" si="13"/>
        <v>0</v>
      </c>
      <c r="Q145" s="132"/>
      <c r="R145" s="71">
        <f t="shared" si="14"/>
        <v>-1.26650376875</v>
      </c>
      <c r="S145" s="64"/>
    </row>
    <row r="146" spans="1:19">
      <c r="A146" s="64" t="s">
        <v>21</v>
      </c>
      <c r="B146" s="65" t="s">
        <v>251</v>
      </c>
      <c r="C146" s="65" t="s">
        <v>252</v>
      </c>
      <c r="D146" s="64" t="s">
        <v>253</v>
      </c>
      <c r="E146" s="65" t="s">
        <v>164</v>
      </c>
      <c r="F146" s="64" t="s">
        <v>165</v>
      </c>
      <c r="G146" s="65" t="s">
        <v>20</v>
      </c>
      <c r="H146" s="65" t="s">
        <v>928</v>
      </c>
      <c r="I146" s="65">
        <v>201409</v>
      </c>
      <c r="J146" s="66">
        <v>-54.19</v>
      </c>
      <c r="K146" s="72">
        <f t="shared" si="10"/>
        <v>42675</v>
      </c>
      <c r="L146" s="67">
        <f t="shared" si="11"/>
        <v>6</v>
      </c>
      <c r="M146" s="68">
        <v>1.4833299999999999E-3</v>
      </c>
      <c r="N146" s="69">
        <f t="shared" si="12"/>
        <v>-0.4822899162</v>
      </c>
      <c r="O146" s="66"/>
      <c r="P146" s="71">
        <f t="shared" si="13"/>
        <v>0</v>
      </c>
      <c r="Q146" s="132"/>
      <c r="R146" s="71">
        <f t="shared" si="14"/>
        <v>-0.76709331874999986</v>
      </c>
      <c r="S146" s="64"/>
    </row>
    <row r="147" spans="1:19">
      <c r="A147" s="64" t="s">
        <v>21</v>
      </c>
      <c r="B147" s="65" t="s">
        <v>867</v>
      </c>
      <c r="C147" s="65" t="s">
        <v>868</v>
      </c>
      <c r="D147" s="64" t="s">
        <v>869</v>
      </c>
      <c r="E147" s="65" t="s">
        <v>93</v>
      </c>
      <c r="F147" s="64" t="s">
        <v>88</v>
      </c>
      <c r="G147" s="65" t="s">
        <v>20</v>
      </c>
      <c r="H147" s="65" t="s">
        <v>929</v>
      </c>
      <c r="I147" s="65">
        <v>201409</v>
      </c>
      <c r="J147" s="66">
        <v>-4837.0200000000004</v>
      </c>
      <c r="K147" s="72">
        <f t="shared" si="10"/>
        <v>42675</v>
      </c>
      <c r="L147" s="67">
        <f t="shared" si="11"/>
        <v>6</v>
      </c>
      <c r="M147" s="68">
        <v>1.4833299999999999E-3</v>
      </c>
      <c r="N147" s="69">
        <f t="shared" si="12"/>
        <v>-43.049381259600004</v>
      </c>
      <c r="O147" s="66"/>
      <c r="P147" s="71">
        <f t="shared" si="13"/>
        <v>0</v>
      </c>
      <c r="Q147" s="132"/>
      <c r="R147" s="71">
        <f t="shared" si="14"/>
        <v>-68.471041237500003</v>
      </c>
      <c r="S147" s="64"/>
    </row>
    <row r="148" spans="1:19">
      <c r="A148" s="64" t="s">
        <v>21</v>
      </c>
      <c r="B148" s="65" t="s">
        <v>254</v>
      </c>
      <c r="C148" s="65" t="s">
        <v>255</v>
      </c>
      <c r="D148" s="64" t="s">
        <v>256</v>
      </c>
      <c r="E148" s="65" t="s">
        <v>164</v>
      </c>
      <c r="F148" s="64" t="s">
        <v>165</v>
      </c>
      <c r="G148" s="65" t="s">
        <v>20</v>
      </c>
      <c r="H148" s="65" t="s">
        <v>928</v>
      </c>
      <c r="I148" s="65">
        <v>201409</v>
      </c>
      <c r="J148" s="66">
        <v>-450.77</v>
      </c>
      <c r="K148" s="72">
        <f t="shared" si="10"/>
        <v>42675</v>
      </c>
      <c r="L148" s="67">
        <f t="shared" si="11"/>
        <v>6</v>
      </c>
      <c r="M148" s="68">
        <v>1.4833299999999999E-3</v>
      </c>
      <c r="N148" s="69">
        <f t="shared" si="12"/>
        <v>-4.0118439845999996</v>
      </c>
      <c r="O148" s="66"/>
      <c r="P148" s="71">
        <f t="shared" si="13"/>
        <v>0</v>
      </c>
      <c r="Q148" s="132"/>
      <c r="R148" s="71">
        <f t="shared" si="14"/>
        <v>-6.3809310812499991</v>
      </c>
      <c r="S148" s="64"/>
    </row>
    <row r="149" spans="1:19">
      <c r="A149" s="64" t="s">
        <v>21</v>
      </c>
      <c r="B149" s="65" t="s">
        <v>753</v>
      </c>
      <c r="C149" s="65" t="s">
        <v>754</v>
      </c>
      <c r="D149" s="64" t="s">
        <v>755</v>
      </c>
      <c r="E149" s="65" t="s">
        <v>756</v>
      </c>
      <c r="F149" s="64" t="s">
        <v>757</v>
      </c>
      <c r="G149" s="65" t="s">
        <v>20</v>
      </c>
      <c r="H149" s="65" t="s">
        <v>928</v>
      </c>
      <c r="I149" s="65">
        <v>201409</v>
      </c>
      <c r="J149" s="66">
        <v>-650.67999999999995</v>
      </c>
      <c r="K149" s="72">
        <f t="shared" si="10"/>
        <v>42675</v>
      </c>
      <c r="L149" s="67">
        <f t="shared" si="11"/>
        <v>6</v>
      </c>
      <c r="M149" s="68">
        <v>1.4833299999999999E-3</v>
      </c>
      <c r="N149" s="69">
        <f t="shared" si="12"/>
        <v>-5.7910389863999994</v>
      </c>
      <c r="O149" s="66"/>
      <c r="P149" s="71">
        <f t="shared" si="13"/>
        <v>0</v>
      </c>
      <c r="Q149" s="132"/>
      <c r="R149" s="71">
        <f t="shared" si="14"/>
        <v>-9.2107820749999991</v>
      </c>
      <c r="S149" s="64"/>
    </row>
    <row r="150" spans="1:19">
      <c r="A150" s="64" t="s">
        <v>21</v>
      </c>
      <c r="B150" s="65" t="s">
        <v>488</v>
      </c>
      <c r="C150" s="65" t="s">
        <v>489</v>
      </c>
      <c r="D150" s="64" t="s">
        <v>490</v>
      </c>
      <c r="E150" s="65" t="s">
        <v>93</v>
      </c>
      <c r="F150" s="64" t="s">
        <v>88</v>
      </c>
      <c r="G150" s="65" t="s">
        <v>20</v>
      </c>
      <c r="H150" s="65" t="s">
        <v>929</v>
      </c>
      <c r="I150" s="65">
        <v>201409</v>
      </c>
      <c r="J150" s="66">
        <v>-295.94</v>
      </c>
      <c r="K150" s="72">
        <f t="shared" si="10"/>
        <v>42675</v>
      </c>
      <c r="L150" s="67">
        <f t="shared" si="11"/>
        <v>6</v>
      </c>
      <c r="M150" s="68">
        <v>1.4833299999999999E-3</v>
      </c>
      <c r="N150" s="69">
        <f t="shared" si="12"/>
        <v>-2.6338600811999999</v>
      </c>
      <c r="O150" s="66"/>
      <c r="P150" s="71">
        <f t="shared" si="13"/>
        <v>0</v>
      </c>
      <c r="Q150" s="132"/>
      <c r="R150" s="71">
        <f t="shared" si="14"/>
        <v>-4.1892156624999997</v>
      </c>
      <c r="S150" s="64"/>
    </row>
    <row r="151" spans="1:19">
      <c r="A151" s="64" t="s">
        <v>21</v>
      </c>
      <c r="B151" s="65" t="s">
        <v>257</v>
      </c>
      <c r="C151" s="65" t="s">
        <v>258</v>
      </c>
      <c r="D151" s="64" t="s">
        <v>259</v>
      </c>
      <c r="E151" s="65" t="s">
        <v>260</v>
      </c>
      <c r="F151" s="64" t="s">
        <v>26</v>
      </c>
      <c r="G151" s="65" t="s">
        <v>20</v>
      </c>
      <c r="H151" s="65" t="s">
        <v>928</v>
      </c>
      <c r="I151" s="65">
        <v>201409</v>
      </c>
      <c r="J151" s="66">
        <v>-127.22</v>
      </c>
      <c r="K151" s="72">
        <f t="shared" si="10"/>
        <v>42675</v>
      </c>
      <c r="L151" s="67">
        <f t="shared" si="11"/>
        <v>6</v>
      </c>
      <c r="M151" s="68">
        <v>1.4833299999999999E-3</v>
      </c>
      <c r="N151" s="69">
        <f t="shared" si="12"/>
        <v>-1.1322554556</v>
      </c>
      <c r="O151" s="66"/>
      <c r="P151" s="71">
        <f t="shared" si="13"/>
        <v>0</v>
      </c>
      <c r="Q151" s="132"/>
      <c r="R151" s="71">
        <f t="shared" si="14"/>
        <v>-1.8008786124999998</v>
      </c>
      <c r="S151" s="64"/>
    </row>
    <row r="152" spans="1:19">
      <c r="A152" s="64" t="s">
        <v>626</v>
      </c>
      <c r="B152" s="65" t="s">
        <v>813</v>
      </c>
      <c r="C152" s="65" t="s">
        <v>814</v>
      </c>
      <c r="D152" s="64" t="s">
        <v>815</v>
      </c>
      <c r="E152" s="65" t="s">
        <v>164</v>
      </c>
      <c r="F152" s="64" t="s">
        <v>165</v>
      </c>
      <c r="G152" s="65" t="s">
        <v>20</v>
      </c>
      <c r="H152" s="65" t="s">
        <v>928</v>
      </c>
      <c r="I152" s="65">
        <v>201409</v>
      </c>
      <c r="J152" s="66">
        <v>-1572.84</v>
      </c>
      <c r="K152" s="72">
        <f t="shared" si="10"/>
        <v>42675</v>
      </c>
      <c r="L152" s="67">
        <f t="shared" si="11"/>
        <v>6</v>
      </c>
      <c r="M152" s="68">
        <v>1.4833299999999999E-3</v>
      </c>
      <c r="N152" s="69">
        <f t="shared" si="12"/>
        <v>-13.9982445432</v>
      </c>
      <c r="O152" s="66"/>
      <c r="P152" s="71">
        <f t="shared" si="13"/>
        <v>0</v>
      </c>
      <c r="Q152" s="132"/>
      <c r="R152" s="71">
        <f t="shared" si="14"/>
        <v>-22.264533224999997</v>
      </c>
      <c r="S152" s="64"/>
    </row>
    <row r="153" spans="1:19">
      <c r="A153" s="64" t="s">
        <v>626</v>
      </c>
      <c r="B153" s="65" t="s">
        <v>758</v>
      </c>
      <c r="C153" s="65" t="s">
        <v>759</v>
      </c>
      <c r="D153" s="64" t="s">
        <v>760</v>
      </c>
      <c r="E153" s="65" t="s">
        <v>613</v>
      </c>
      <c r="F153" s="64" t="s">
        <v>398</v>
      </c>
      <c r="G153" s="65" t="s">
        <v>20</v>
      </c>
      <c r="H153" s="65" t="s">
        <v>929</v>
      </c>
      <c r="I153" s="65">
        <v>201409</v>
      </c>
      <c r="J153" s="66">
        <v>-3150.43</v>
      </c>
      <c r="K153" s="72">
        <f t="shared" ref="K153:K216" si="15">+K152</f>
        <v>42675</v>
      </c>
      <c r="L153" s="67">
        <f t="shared" si="11"/>
        <v>6</v>
      </c>
      <c r="M153" s="68">
        <v>1.4833299999999999E-3</v>
      </c>
      <c r="N153" s="69">
        <f t="shared" si="12"/>
        <v>-28.0387639914</v>
      </c>
      <c r="O153" s="66"/>
      <c r="P153" s="71">
        <f t="shared" si="13"/>
        <v>0</v>
      </c>
      <c r="Q153" s="132"/>
      <c r="R153" s="71">
        <f t="shared" si="14"/>
        <v>-44.596305668749991</v>
      </c>
      <c r="S153" s="64"/>
    </row>
    <row r="154" spans="1:19">
      <c r="A154" s="64" t="s">
        <v>21</v>
      </c>
      <c r="B154" s="65" t="s">
        <v>261</v>
      </c>
      <c r="C154" s="65" t="s">
        <v>262</v>
      </c>
      <c r="D154" s="64" t="s">
        <v>263</v>
      </c>
      <c r="E154" s="65" t="s">
        <v>75</v>
      </c>
      <c r="F154" s="64" t="s">
        <v>26</v>
      </c>
      <c r="G154" s="65" t="s">
        <v>20</v>
      </c>
      <c r="H154" s="65" t="s">
        <v>928</v>
      </c>
      <c r="I154" s="65">
        <v>201409</v>
      </c>
      <c r="J154" s="66">
        <v>-1309.6400000000001</v>
      </c>
      <c r="K154" s="72">
        <f t="shared" si="15"/>
        <v>42675</v>
      </c>
      <c r="L154" s="67">
        <f t="shared" si="11"/>
        <v>6</v>
      </c>
      <c r="M154" s="68">
        <v>1.4833299999999999E-3</v>
      </c>
      <c r="N154" s="69">
        <f t="shared" si="12"/>
        <v>-11.6557698072</v>
      </c>
      <c r="O154" s="66"/>
      <c r="P154" s="71">
        <f t="shared" si="13"/>
        <v>0</v>
      </c>
      <c r="Q154" s="132"/>
      <c r="R154" s="71">
        <f t="shared" si="14"/>
        <v>-18.538772725000001</v>
      </c>
      <c r="S154" s="64"/>
    </row>
    <row r="155" spans="1:19">
      <c r="A155" s="64" t="s">
        <v>21</v>
      </c>
      <c r="B155" s="65" t="s">
        <v>703</v>
      </c>
      <c r="C155" s="65" t="s">
        <v>704</v>
      </c>
      <c r="D155" s="64" t="s">
        <v>705</v>
      </c>
      <c r="E155" s="65" t="s">
        <v>164</v>
      </c>
      <c r="F155" s="64" t="s">
        <v>165</v>
      </c>
      <c r="G155" s="65" t="s">
        <v>20</v>
      </c>
      <c r="H155" s="65" t="s">
        <v>928</v>
      </c>
      <c r="I155" s="65">
        <v>201409</v>
      </c>
      <c r="J155" s="66">
        <v>-399.68</v>
      </c>
      <c r="K155" s="72">
        <f t="shared" si="15"/>
        <v>42675</v>
      </c>
      <c r="L155" s="67">
        <f t="shared" si="11"/>
        <v>6</v>
      </c>
      <c r="M155" s="68">
        <v>1.4833299999999999E-3</v>
      </c>
      <c r="N155" s="69">
        <f t="shared" si="12"/>
        <v>-3.5571440064000002</v>
      </c>
      <c r="O155" s="66"/>
      <c r="P155" s="71">
        <f t="shared" si="13"/>
        <v>0</v>
      </c>
      <c r="Q155" s="132"/>
      <c r="R155" s="71">
        <f t="shared" si="14"/>
        <v>-5.6577202</v>
      </c>
      <c r="S155" s="64"/>
    </row>
    <row r="156" spans="1:19">
      <c r="A156" s="64" t="s">
        <v>626</v>
      </c>
      <c r="B156" s="65" t="s">
        <v>627</v>
      </c>
      <c r="C156" s="65" t="s">
        <v>628</v>
      </c>
      <c r="D156" s="64" t="s">
        <v>629</v>
      </c>
      <c r="E156" s="65" t="s">
        <v>79</v>
      </c>
      <c r="F156" s="64" t="s">
        <v>26</v>
      </c>
      <c r="G156" s="65" t="s">
        <v>20</v>
      </c>
      <c r="H156" s="65" t="s">
        <v>928</v>
      </c>
      <c r="I156" s="65">
        <v>201409</v>
      </c>
      <c r="J156" s="66">
        <v>-480.27</v>
      </c>
      <c r="K156" s="72">
        <f t="shared" si="15"/>
        <v>42675</v>
      </c>
      <c r="L156" s="67">
        <f t="shared" si="11"/>
        <v>6</v>
      </c>
      <c r="M156" s="68">
        <v>1.4833299999999999E-3</v>
      </c>
      <c r="N156" s="69">
        <f t="shared" si="12"/>
        <v>-4.2743933945999997</v>
      </c>
      <c r="O156" s="66"/>
      <c r="P156" s="71">
        <f t="shared" si="13"/>
        <v>0</v>
      </c>
      <c r="Q156" s="132"/>
      <c r="R156" s="71">
        <f t="shared" si="14"/>
        <v>-6.7985220187499991</v>
      </c>
      <c r="S156" s="64"/>
    </row>
    <row r="157" spans="1:19">
      <c r="A157" s="64" t="s">
        <v>626</v>
      </c>
      <c r="B157" s="65" t="s">
        <v>761</v>
      </c>
      <c r="C157" s="65" t="s">
        <v>762</v>
      </c>
      <c r="D157" s="64" t="s">
        <v>763</v>
      </c>
      <c r="E157" s="65" t="s">
        <v>497</v>
      </c>
      <c r="F157" s="64" t="s">
        <v>26</v>
      </c>
      <c r="G157" s="65" t="s">
        <v>20</v>
      </c>
      <c r="H157" s="65" t="s">
        <v>928</v>
      </c>
      <c r="I157" s="65">
        <v>201409</v>
      </c>
      <c r="J157" s="66">
        <v>-363.06</v>
      </c>
      <c r="K157" s="72">
        <f t="shared" si="15"/>
        <v>42675</v>
      </c>
      <c r="L157" s="67">
        <f t="shared" si="11"/>
        <v>6</v>
      </c>
      <c r="M157" s="68">
        <v>1.4833299999999999E-3</v>
      </c>
      <c r="N157" s="69">
        <f t="shared" si="12"/>
        <v>-3.2312267388000002</v>
      </c>
      <c r="O157" s="66"/>
      <c r="P157" s="71">
        <f t="shared" si="13"/>
        <v>0</v>
      </c>
      <c r="Q157" s="132"/>
      <c r="R157" s="71">
        <f t="shared" si="14"/>
        <v>-5.1393412124999998</v>
      </c>
      <c r="S157" s="64"/>
    </row>
    <row r="158" spans="1:19">
      <c r="A158" s="64" t="s">
        <v>21</v>
      </c>
      <c r="B158" s="65" t="s">
        <v>394</v>
      </c>
      <c r="C158" s="65" t="s">
        <v>395</v>
      </c>
      <c r="D158" s="64" t="s">
        <v>396</v>
      </c>
      <c r="E158" s="65" t="s">
        <v>397</v>
      </c>
      <c r="F158" s="64" t="s">
        <v>398</v>
      </c>
      <c r="G158" s="65" t="s">
        <v>20</v>
      </c>
      <c r="H158" s="65" t="s">
        <v>929</v>
      </c>
      <c r="I158" s="65">
        <v>201409</v>
      </c>
      <c r="J158" s="66">
        <v>13.59</v>
      </c>
      <c r="K158" s="72">
        <f t="shared" si="15"/>
        <v>42675</v>
      </c>
      <c r="L158" s="67">
        <f t="shared" si="11"/>
        <v>6</v>
      </c>
      <c r="M158" s="68">
        <v>1.4833299999999999E-3</v>
      </c>
      <c r="N158" s="69">
        <f t="shared" si="12"/>
        <v>0.1209507282</v>
      </c>
      <c r="O158" s="66"/>
      <c r="P158" s="71">
        <f t="shared" si="13"/>
        <v>0</v>
      </c>
      <c r="Q158" s="132"/>
      <c r="R158" s="71">
        <f t="shared" si="14"/>
        <v>0.19237494375</v>
      </c>
      <c r="S158" s="64"/>
    </row>
    <row r="159" spans="1:19">
      <c r="A159" s="64" t="s">
        <v>21</v>
      </c>
      <c r="B159" s="65" t="s">
        <v>264</v>
      </c>
      <c r="C159" s="65" t="s">
        <v>265</v>
      </c>
      <c r="D159" s="64" t="s">
        <v>266</v>
      </c>
      <c r="E159" s="65" t="s">
        <v>172</v>
      </c>
      <c r="F159" s="64" t="s">
        <v>173</v>
      </c>
      <c r="G159" s="65" t="s">
        <v>20</v>
      </c>
      <c r="H159" s="65" t="s">
        <v>928</v>
      </c>
      <c r="I159" s="65">
        <v>201409</v>
      </c>
      <c r="J159" s="66">
        <v>-124.35</v>
      </c>
      <c r="K159" s="72">
        <f t="shared" si="15"/>
        <v>42675</v>
      </c>
      <c r="L159" s="67">
        <f t="shared" si="11"/>
        <v>6</v>
      </c>
      <c r="M159" s="68">
        <v>1.4833299999999999E-3</v>
      </c>
      <c r="N159" s="69">
        <f t="shared" si="12"/>
        <v>-1.106712513</v>
      </c>
      <c r="O159" s="66"/>
      <c r="P159" s="71">
        <f t="shared" si="13"/>
        <v>0</v>
      </c>
      <c r="Q159" s="132"/>
      <c r="R159" s="71">
        <f t="shared" si="14"/>
        <v>-1.7602519687499998</v>
      </c>
      <c r="S159" s="64"/>
    </row>
    <row r="160" spans="1:19">
      <c r="A160" s="64" t="s">
        <v>21</v>
      </c>
      <c r="B160" s="65" t="s">
        <v>399</v>
      </c>
      <c r="C160" s="65" t="s">
        <v>400</v>
      </c>
      <c r="D160" s="64" t="s">
        <v>401</v>
      </c>
      <c r="E160" s="65" t="s">
        <v>402</v>
      </c>
      <c r="F160" s="64" t="s">
        <v>19</v>
      </c>
      <c r="G160" s="65" t="s">
        <v>20</v>
      </c>
      <c r="H160" s="65" t="s">
        <v>928</v>
      </c>
      <c r="I160" s="65">
        <v>201409</v>
      </c>
      <c r="J160" s="66">
        <v>-89.13</v>
      </c>
      <c r="K160" s="72">
        <f t="shared" si="15"/>
        <v>42675</v>
      </c>
      <c r="L160" s="67">
        <f t="shared" si="11"/>
        <v>6</v>
      </c>
      <c r="M160" s="68">
        <v>1.4833299999999999E-3</v>
      </c>
      <c r="N160" s="69">
        <f t="shared" si="12"/>
        <v>-0.79325521739999993</v>
      </c>
      <c r="O160" s="66"/>
      <c r="P160" s="71">
        <f t="shared" si="13"/>
        <v>0</v>
      </c>
      <c r="Q160" s="132"/>
      <c r="R160" s="71">
        <f t="shared" si="14"/>
        <v>-1.2616908562499998</v>
      </c>
      <c r="S160" s="64"/>
    </row>
    <row r="161" spans="1:19">
      <c r="A161" s="64" t="s">
        <v>21</v>
      </c>
      <c r="B161" s="65" t="s">
        <v>810</v>
      </c>
      <c r="C161" s="65" t="s">
        <v>811</v>
      </c>
      <c r="D161" s="64" t="s">
        <v>812</v>
      </c>
      <c r="E161" s="65" t="s">
        <v>471</v>
      </c>
      <c r="F161" s="64" t="s">
        <v>165</v>
      </c>
      <c r="G161" s="65" t="s">
        <v>20</v>
      </c>
      <c r="H161" s="65" t="s">
        <v>928</v>
      </c>
      <c r="I161" s="65">
        <v>201409</v>
      </c>
      <c r="J161" s="66">
        <v>-34.44</v>
      </c>
      <c r="K161" s="72">
        <f t="shared" si="15"/>
        <v>42675</v>
      </c>
      <c r="L161" s="67">
        <f t="shared" si="11"/>
        <v>6</v>
      </c>
      <c r="M161" s="68">
        <v>1.4833299999999999E-3</v>
      </c>
      <c r="N161" s="69">
        <f t="shared" si="12"/>
        <v>-0.30651531119999997</v>
      </c>
      <c r="O161" s="66"/>
      <c r="P161" s="71">
        <f t="shared" si="13"/>
        <v>0</v>
      </c>
      <c r="Q161" s="132"/>
      <c r="R161" s="71">
        <f t="shared" si="14"/>
        <v>-0.4875197249999999</v>
      </c>
      <c r="S161" s="64"/>
    </row>
    <row r="162" spans="1:19">
      <c r="A162" s="64" t="s">
        <v>626</v>
      </c>
      <c r="B162" s="65" t="s">
        <v>810</v>
      </c>
      <c r="C162" s="65" t="s">
        <v>811</v>
      </c>
      <c r="D162" s="64" t="s">
        <v>812</v>
      </c>
      <c r="E162" s="65" t="s">
        <v>471</v>
      </c>
      <c r="F162" s="64" t="s">
        <v>165</v>
      </c>
      <c r="G162" s="65" t="s">
        <v>20</v>
      </c>
      <c r="H162" s="65" t="s">
        <v>928</v>
      </c>
      <c r="I162" s="65">
        <v>201409</v>
      </c>
      <c r="J162" s="66">
        <v>-1935.85</v>
      </c>
      <c r="K162" s="72">
        <f t="shared" si="15"/>
        <v>42675</v>
      </c>
      <c r="L162" s="67">
        <f t="shared" si="11"/>
        <v>6</v>
      </c>
      <c r="M162" s="68">
        <v>1.4833299999999999E-3</v>
      </c>
      <c r="N162" s="69">
        <f t="shared" si="12"/>
        <v>-17.229026283</v>
      </c>
      <c r="O162" s="66"/>
      <c r="P162" s="71">
        <f t="shared" si="13"/>
        <v>0</v>
      </c>
      <c r="Q162" s="132"/>
      <c r="R162" s="71">
        <f t="shared" si="14"/>
        <v>-27.403166656249997</v>
      </c>
      <c r="S162" s="64"/>
    </row>
    <row r="163" spans="1:19">
      <c r="A163" s="64" t="s">
        <v>626</v>
      </c>
      <c r="B163" s="65" t="s">
        <v>630</v>
      </c>
      <c r="C163" s="65" t="s">
        <v>631</v>
      </c>
      <c r="D163" s="64" t="s">
        <v>632</v>
      </c>
      <c r="E163" s="65" t="s">
        <v>613</v>
      </c>
      <c r="F163" s="64" t="s">
        <v>398</v>
      </c>
      <c r="G163" s="65" t="s">
        <v>20</v>
      </c>
      <c r="H163" s="65" t="s">
        <v>929</v>
      </c>
      <c r="I163" s="65">
        <v>201409</v>
      </c>
      <c r="J163" s="66">
        <v>-19.86</v>
      </c>
      <c r="K163" s="72">
        <f t="shared" si="15"/>
        <v>42675</v>
      </c>
      <c r="L163" s="67">
        <f t="shared" si="11"/>
        <v>6</v>
      </c>
      <c r="M163" s="68">
        <v>1.4833299999999999E-3</v>
      </c>
      <c r="N163" s="69">
        <f t="shared" si="12"/>
        <v>-0.17675360279999999</v>
      </c>
      <c r="O163" s="66"/>
      <c r="P163" s="71">
        <f t="shared" si="13"/>
        <v>0</v>
      </c>
      <c r="Q163" s="132"/>
      <c r="R163" s="71">
        <f t="shared" si="14"/>
        <v>-0.28113071249999999</v>
      </c>
      <c r="S163" s="64"/>
    </row>
    <row r="164" spans="1:19">
      <c r="A164" s="64" t="s">
        <v>626</v>
      </c>
      <c r="B164" s="65" t="s">
        <v>938</v>
      </c>
      <c r="C164" s="65" t="s">
        <v>939</v>
      </c>
      <c r="D164" s="64" t="s">
        <v>940</v>
      </c>
      <c r="E164" s="65" t="s">
        <v>209</v>
      </c>
      <c r="F164" s="64" t="s">
        <v>88</v>
      </c>
      <c r="G164" s="65" t="s">
        <v>20</v>
      </c>
      <c r="H164" s="65" t="s">
        <v>929</v>
      </c>
      <c r="I164" s="65">
        <v>201409</v>
      </c>
      <c r="J164" s="66">
        <v>97223.13</v>
      </c>
      <c r="K164" s="72">
        <f t="shared" si="15"/>
        <v>42675</v>
      </c>
      <c r="L164" s="67">
        <f t="shared" si="11"/>
        <v>6</v>
      </c>
      <c r="M164" s="68">
        <v>1.4833299999999999E-3</v>
      </c>
      <c r="N164" s="69">
        <f t="shared" si="12"/>
        <v>865.28391253740006</v>
      </c>
      <c r="O164" s="66"/>
      <c r="P164" s="71">
        <f t="shared" si="13"/>
        <v>0</v>
      </c>
      <c r="Q164" s="132"/>
      <c r="R164" s="71">
        <f t="shared" si="14"/>
        <v>1376.2541696062499</v>
      </c>
      <c r="S164" s="64"/>
    </row>
    <row r="165" spans="1:19">
      <c r="A165" s="64" t="s">
        <v>21</v>
      </c>
      <c r="B165" s="65" t="s">
        <v>403</v>
      </c>
      <c r="C165" s="65" t="s">
        <v>404</v>
      </c>
      <c r="D165" s="64" t="s">
        <v>405</v>
      </c>
      <c r="E165" s="65" t="s">
        <v>75</v>
      </c>
      <c r="F165" s="64" t="s">
        <v>26</v>
      </c>
      <c r="G165" s="65" t="s">
        <v>20</v>
      </c>
      <c r="H165" s="65" t="s">
        <v>928</v>
      </c>
      <c r="I165" s="65">
        <v>201409</v>
      </c>
      <c r="J165" s="66">
        <v>-7974.11</v>
      </c>
      <c r="K165" s="72">
        <f t="shared" si="15"/>
        <v>42675</v>
      </c>
      <c r="L165" s="67">
        <f t="shared" si="11"/>
        <v>6</v>
      </c>
      <c r="M165" s="68">
        <v>1.4833299999999999E-3</v>
      </c>
      <c r="N165" s="69">
        <f t="shared" si="12"/>
        <v>-70.969419517799992</v>
      </c>
      <c r="O165" s="66"/>
      <c r="P165" s="71">
        <f t="shared" si="13"/>
        <v>0</v>
      </c>
      <c r="Q165" s="132"/>
      <c r="R165" s="71">
        <f t="shared" si="14"/>
        <v>-112.87851086874998</v>
      </c>
      <c r="S165" s="64"/>
    </row>
    <row r="166" spans="1:19">
      <c r="A166" s="64" t="s">
        <v>29</v>
      </c>
      <c r="B166" s="65" t="s">
        <v>706</v>
      </c>
      <c r="C166" s="65" t="s">
        <v>707</v>
      </c>
      <c r="D166" s="64" t="s">
        <v>708</v>
      </c>
      <c r="E166" s="65" t="s">
        <v>709</v>
      </c>
      <c r="F166" s="64" t="s">
        <v>710</v>
      </c>
      <c r="G166" s="65" t="s">
        <v>20</v>
      </c>
      <c r="H166" s="65" t="s">
        <v>933</v>
      </c>
      <c r="I166" s="65">
        <v>201409</v>
      </c>
      <c r="J166" s="66">
        <v>-3.04</v>
      </c>
      <c r="K166" s="72">
        <f t="shared" si="15"/>
        <v>42675</v>
      </c>
      <c r="L166" s="67">
        <f t="shared" si="11"/>
        <v>6</v>
      </c>
      <c r="M166" s="68">
        <v>2.23333E-3</v>
      </c>
      <c r="N166" s="69">
        <f t="shared" si="12"/>
        <v>-4.0735939199999995E-2</v>
      </c>
      <c r="O166" s="66"/>
      <c r="P166" s="71">
        <f t="shared" si="13"/>
        <v>0</v>
      </c>
      <c r="Q166" s="132"/>
      <c r="R166" s="71">
        <f t="shared" si="14"/>
        <v>-4.3033099999999998E-2</v>
      </c>
      <c r="S166" s="64"/>
    </row>
    <row r="167" spans="1:19">
      <c r="A167" s="64" t="s">
        <v>29</v>
      </c>
      <c r="B167" s="65" t="s">
        <v>633</v>
      </c>
      <c r="C167" s="65" t="s">
        <v>634</v>
      </c>
      <c r="D167" s="64" t="s">
        <v>193</v>
      </c>
      <c r="E167" s="65" t="s">
        <v>635</v>
      </c>
      <c r="F167" s="64" t="s">
        <v>115</v>
      </c>
      <c r="G167" s="65" t="s">
        <v>20</v>
      </c>
      <c r="H167" s="65" t="s">
        <v>933</v>
      </c>
      <c r="I167" s="65">
        <v>201409</v>
      </c>
      <c r="J167" s="66">
        <v>-383.88</v>
      </c>
      <c r="K167" s="72">
        <f t="shared" si="15"/>
        <v>42675</v>
      </c>
      <c r="L167" s="67">
        <f t="shared" si="11"/>
        <v>6</v>
      </c>
      <c r="M167" s="68">
        <v>2.23333E-3</v>
      </c>
      <c r="N167" s="69">
        <f t="shared" si="12"/>
        <v>-5.1439843223999997</v>
      </c>
      <c r="O167" s="66"/>
      <c r="P167" s="71">
        <f t="shared" si="13"/>
        <v>0</v>
      </c>
      <c r="Q167" s="132"/>
      <c r="R167" s="71">
        <f t="shared" si="14"/>
        <v>-5.4340613250000001</v>
      </c>
      <c r="S167" s="64"/>
    </row>
    <row r="168" spans="1:19">
      <c r="A168" s="64" t="s">
        <v>29</v>
      </c>
      <c r="B168" s="65" t="s">
        <v>267</v>
      </c>
      <c r="C168" s="65" t="s">
        <v>268</v>
      </c>
      <c r="D168" s="64" t="s">
        <v>269</v>
      </c>
      <c r="E168" s="65" t="s">
        <v>270</v>
      </c>
      <c r="F168" s="64" t="s">
        <v>115</v>
      </c>
      <c r="G168" s="65" t="s">
        <v>20</v>
      </c>
      <c r="H168" s="65" t="s">
        <v>933</v>
      </c>
      <c r="I168" s="65">
        <v>201409</v>
      </c>
      <c r="J168" s="66">
        <v>260099.33</v>
      </c>
      <c r="K168" s="72">
        <f t="shared" si="15"/>
        <v>42675</v>
      </c>
      <c r="L168" s="67">
        <f t="shared" si="11"/>
        <v>6</v>
      </c>
      <c r="M168" s="68">
        <v>2.23333E-3</v>
      </c>
      <c r="N168" s="69">
        <f t="shared" si="12"/>
        <v>3485.3258200133996</v>
      </c>
      <c r="O168" s="66"/>
      <c r="P168" s="71">
        <f t="shared" si="13"/>
        <v>0</v>
      </c>
      <c r="Q168" s="132"/>
      <c r="R168" s="71">
        <f t="shared" si="14"/>
        <v>3681.8685782312496</v>
      </c>
      <c r="S168" s="64"/>
    </row>
    <row r="169" spans="1:19">
      <c r="A169" s="64" t="s">
        <v>29</v>
      </c>
      <c r="B169" s="65" t="s">
        <v>271</v>
      </c>
      <c r="C169" s="65" t="s">
        <v>272</v>
      </c>
      <c r="D169" s="64" t="s">
        <v>197</v>
      </c>
      <c r="E169" s="65" t="s">
        <v>273</v>
      </c>
      <c r="F169" s="64" t="s">
        <v>199</v>
      </c>
      <c r="G169" s="65" t="s">
        <v>20</v>
      </c>
      <c r="H169" s="65" t="s">
        <v>933</v>
      </c>
      <c r="I169" s="65">
        <v>201409</v>
      </c>
      <c r="J169" s="66">
        <v>3438.85</v>
      </c>
      <c r="K169" s="72">
        <f t="shared" si="15"/>
        <v>42675</v>
      </c>
      <c r="L169" s="67">
        <f t="shared" si="11"/>
        <v>6</v>
      </c>
      <c r="M169" s="68">
        <v>2.23333E-3</v>
      </c>
      <c r="N169" s="69">
        <f t="shared" si="12"/>
        <v>46.080521222999998</v>
      </c>
      <c r="O169" s="66"/>
      <c r="P169" s="71">
        <f t="shared" si="13"/>
        <v>0</v>
      </c>
      <c r="Q169" s="132"/>
      <c r="R169" s="71">
        <f t="shared" si="14"/>
        <v>48.67907103124999</v>
      </c>
      <c r="S169" s="64"/>
    </row>
    <row r="170" spans="1:19">
      <c r="A170" s="64" t="s">
        <v>21</v>
      </c>
      <c r="B170" s="65" t="s">
        <v>636</v>
      </c>
      <c r="C170" s="65" t="s">
        <v>637</v>
      </c>
      <c r="D170" s="64" t="s">
        <v>638</v>
      </c>
      <c r="E170" s="65" t="s">
        <v>497</v>
      </c>
      <c r="F170" s="64" t="s">
        <v>26</v>
      </c>
      <c r="G170" s="65" t="s">
        <v>20</v>
      </c>
      <c r="H170" s="65" t="s">
        <v>928</v>
      </c>
      <c r="I170" s="65">
        <v>201409</v>
      </c>
      <c r="J170" s="66">
        <v>50.89</v>
      </c>
      <c r="K170" s="72">
        <f t="shared" si="15"/>
        <v>42675</v>
      </c>
      <c r="L170" s="67">
        <f t="shared" si="11"/>
        <v>6</v>
      </c>
      <c r="M170" s="68">
        <v>1.4833299999999999E-3</v>
      </c>
      <c r="N170" s="69">
        <f t="shared" si="12"/>
        <v>0.45291998220000002</v>
      </c>
      <c r="O170" s="66"/>
      <c r="P170" s="71">
        <f t="shared" si="13"/>
        <v>0</v>
      </c>
      <c r="Q170" s="132"/>
      <c r="R170" s="71">
        <f t="shared" si="14"/>
        <v>0.72037975624999995</v>
      </c>
      <c r="S170" s="64"/>
    </row>
    <row r="171" spans="1:19">
      <c r="A171" s="85" t="s">
        <v>21</v>
      </c>
      <c r="B171" s="65" t="s">
        <v>274</v>
      </c>
      <c r="C171" s="65" t="s">
        <v>275</v>
      </c>
      <c r="D171" s="64" t="s">
        <v>276</v>
      </c>
      <c r="E171" s="65" t="s">
        <v>75</v>
      </c>
      <c r="F171" s="64" t="s">
        <v>26</v>
      </c>
      <c r="G171" s="65" t="s">
        <v>20</v>
      </c>
      <c r="H171" s="65" t="s">
        <v>928</v>
      </c>
      <c r="I171" s="65">
        <v>201409</v>
      </c>
      <c r="J171" s="66">
        <v>-1362.37</v>
      </c>
      <c r="K171" s="72">
        <f t="shared" si="15"/>
        <v>42675</v>
      </c>
      <c r="L171" s="67">
        <f t="shared" si="11"/>
        <v>6</v>
      </c>
      <c r="M171" s="68">
        <v>1.4833299999999999E-3</v>
      </c>
      <c r="N171" s="69">
        <f t="shared" si="12"/>
        <v>-12.125065752599999</v>
      </c>
      <c r="O171" s="66"/>
      <c r="P171" s="71">
        <f t="shared" si="13"/>
        <v>0</v>
      </c>
      <c r="Q171" s="132"/>
      <c r="R171" s="71">
        <f t="shared" si="14"/>
        <v>-19.285198831249996</v>
      </c>
      <c r="S171" s="64"/>
    </row>
    <row r="172" spans="1:19">
      <c r="A172" s="85" t="s">
        <v>21</v>
      </c>
      <c r="B172" s="65" t="s">
        <v>277</v>
      </c>
      <c r="C172" s="65" t="s">
        <v>278</v>
      </c>
      <c r="D172" s="64" t="s">
        <v>279</v>
      </c>
      <c r="E172" s="65" t="s">
        <v>280</v>
      </c>
      <c r="F172" s="64" t="s">
        <v>26</v>
      </c>
      <c r="G172" s="65" t="s">
        <v>20</v>
      </c>
      <c r="H172" s="65" t="s">
        <v>928</v>
      </c>
      <c r="I172" s="65">
        <v>201409</v>
      </c>
      <c r="J172" s="66">
        <v>-283.43</v>
      </c>
      <c r="K172" s="72">
        <f t="shared" si="15"/>
        <v>42675</v>
      </c>
      <c r="L172" s="67">
        <f t="shared" si="11"/>
        <v>6</v>
      </c>
      <c r="M172" s="68">
        <v>1.4833299999999999E-3</v>
      </c>
      <c r="N172" s="69">
        <f t="shared" si="12"/>
        <v>-2.5225213314000001</v>
      </c>
      <c r="O172" s="66"/>
      <c r="P172" s="71">
        <f t="shared" si="13"/>
        <v>0</v>
      </c>
      <c r="Q172" s="132"/>
      <c r="R172" s="71">
        <f t="shared" si="14"/>
        <v>-4.0121287937499996</v>
      </c>
      <c r="S172" s="64"/>
    </row>
    <row r="173" spans="1:19">
      <c r="A173" s="85" t="s">
        <v>21</v>
      </c>
      <c r="B173" s="65" t="s">
        <v>794</v>
      </c>
      <c r="C173" s="65" t="s">
        <v>795</v>
      </c>
      <c r="D173" s="64" t="s">
        <v>796</v>
      </c>
      <c r="E173" s="65" t="s">
        <v>172</v>
      </c>
      <c r="F173" s="64" t="s">
        <v>173</v>
      </c>
      <c r="G173" s="65" t="s">
        <v>20</v>
      </c>
      <c r="H173" s="65" t="s">
        <v>928</v>
      </c>
      <c r="I173" s="65">
        <v>201409</v>
      </c>
      <c r="J173" s="66">
        <v>-386.84</v>
      </c>
      <c r="K173" s="72">
        <f t="shared" si="15"/>
        <v>42675</v>
      </c>
      <c r="L173" s="67">
        <f t="shared" si="11"/>
        <v>6</v>
      </c>
      <c r="M173" s="68">
        <v>1.4833299999999999E-3</v>
      </c>
      <c r="N173" s="69">
        <f t="shared" si="12"/>
        <v>-3.4428682631999998</v>
      </c>
      <c r="O173" s="66"/>
      <c r="P173" s="71">
        <f t="shared" si="13"/>
        <v>0</v>
      </c>
      <c r="Q173" s="132"/>
      <c r="R173" s="71">
        <f t="shared" si="14"/>
        <v>-5.4759619749999988</v>
      </c>
      <c r="S173" s="64"/>
    </row>
    <row r="174" spans="1:19">
      <c r="A174" s="85" t="s">
        <v>21</v>
      </c>
      <c r="B174" s="65" t="s">
        <v>406</v>
      </c>
      <c r="C174" s="65" t="s">
        <v>407</v>
      </c>
      <c r="D174" s="64" t="s">
        <v>408</v>
      </c>
      <c r="E174" s="65" t="s">
        <v>87</v>
      </c>
      <c r="F174" s="64" t="s">
        <v>88</v>
      </c>
      <c r="G174" s="65" t="s">
        <v>20</v>
      </c>
      <c r="H174" s="65" t="s">
        <v>929</v>
      </c>
      <c r="I174" s="65">
        <v>201409</v>
      </c>
      <c r="J174" s="66">
        <v>-6.15</v>
      </c>
      <c r="K174" s="72">
        <f t="shared" si="15"/>
        <v>42675</v>
      </c>
      <c r="L174" s="67">
        <f t="shared" si="11"/>
        <v>6</v>
      </c>
      <c r="M174" s="68">
        <v>1.4833299999999999E-3</v>
      </c>
      <c r="N174" s="69">
        <f t="shared" si="12"/>
        <v>-5.4734877000000001E-2</v>
      </c>
      <c r="O174" s="66"/>
      <c r="P174" s="71">
        <f t="shared" si="13"/>
        <v>0</v>
      </c>
      <c r="Q174" s="132"/>
      <c r="R174" s="71">
        <f t="shared" si="14"/>
        <v>-8.7057093749999995E-2</v>
      </c>
      <c r="S174" s="64"/>
    </row>
    <row r="175" spans="1:19">
      <c r="A175" s="85" t="s">
        <v>21</v>
      </c>
      <c r="B175" s="65" t="s">
        <v>639</v>
      </c>
      <c r="C175" s="65" t="s">
        <v>640</v>
      </c>
      <c r="D175" s="64" t="s">
        <v>641</v>
      </c>
      <c r="E175" s="65" t="s">
        <v>164</v>
      </c>
      <c r="F175" s="64" t="s">
        <v>165</v>
      </c>
      <c r="G175" s="65" t="s">
        <v>20</v>
      </c>
      <c r="H175" s="65" t="s">
        <v>928</v>
      </c>
      <c r="I175" s="65">
        <v>201409</v>
      </c>
      <c r="J175" s="66">
        <v>-725.84</v>
      </c>
      <c r="K175" s="72">
        <f t="shared" si="15"/>
        <v>42675</v>
      </c>
      <c r="L175" s="67">
        <f t="shared" si="11"/>
        <v>6</v>
      </c>
      <c r="M175" s="68">
        <v>1.4833299999999999E-3</v>
      </c>
      <c r="N175" s="69">
        <f t="shared" si="12"/>
        <v>-6.4599614832000007</v>
      </c>
      <c r="O175" s="66"/>
      <c r="P175" s="71">
        <f t="shared" si="13"/>
        <v>0</v>
      </c>
      <c r="Q175" s="132"/>
      <c r="R175" s="71">
        <f t="shared" si="14"/>
        <v>-10.274718849999999</v>
      </c>
      <c r="S175" s="64"/>
    </row>
    <row r="176" spans="1:19">
      <c r="A176" s="64" t="s">
        <v>29</v>
      </c>
      <c r="B176" s="65" t="s">
        <v>281</v>
      </c>
      <c r="C176" s="65" t="s">
        <v>282</v>
      </c>
      <c r="D176" s="64" t="s">
        <v>283</v>
      </c>
      <c r="E176" s="65" t="s">
        <v>284</v>
      </c>
      <c r="F176" s="64" t="s">
        <v>285</v>
      </c>
      <c r="G176" s="65" t="s">
        <v>20</v>
      </c>
      <c r="H176" s="65" t="s">
        <v>937</v>
      </c>
      <c r="I176" s="65">
        <v>201409</v>
      </c>
      <c r="J176" s="66">
        <v>-176.28</v>
      </c>
      <c r="K176" s="72">
        <f t="shared" si="15"/>
        <v>42675</v>
      </c>
      <c r="L176" s="67">
        <f t="shared" si="11"/>
        <v>6</v>
      </c>
      <c r="M176" s="68">
        <v>2.23333E-3</v>
      </c>
      <c r="N176" s="69">
        <f t="shared" si="12"/>
        <v>-2.3621484743999996</v>
      </c>
      <c r="O176" s="66"/>
      <c r="P176" s="71">
        <f t="shared" si="13"/>
        <v>0</v>
      </c>
      <c r="Q176" s="132"/>
      <c r="R176" s="71">
        <f t="shared" si="14"/>
        <v>-2.4953535749999998</v>
      </c>
      <c r="S176" s="64"/>
    </row>
    <row r="177" spans="1:19">
      <c r="A177" s="64" t="s">
        <v>21</v>
      </c>
      <c r="B177" s="65" t="s">
        <v>409</v>
      </c>
      <c r="C177" s="65" t="s">
        <v>410</v>
      </c>
      <c r="D177" s="64" t="s">
        <v>411</v>
      </c>
      <c r="E177" s="65" t="s">
        <v>75</v>
      </c>
      <c r="F177" s="64" t="s">
        <v>26</v>
      </c>
      <c r="G177" s="65" t="s">
        <v>20</v>
      </c>
      <c r="H177" s="65" t="s">
        <v>928</v>
      </c>
      <c r="I177" s="65">
        <v>201409</v>
      </c>
      <c r="J177" s="66">
        <v>-536.53</v>
      </c>
      <c r="K177" s="72">
        <f t="shared" si="15"/>
        <v>42675</v>
      </c>
      <c r="L177" s="67">
        <f t="shared" si="11"/>
        <v>6</v>
      </c>
      <c r="M177" s="68">
        <v>1.4833299999999999E-3</v>
      </c>
      <c r="N177" s="69">
        <f t="shared" si="12"/>
        <v>-4.7751062694000002</v>
      </c>
      <c r="O177" s="66"/>
      <c r="P177" s="71">
        <f t="shared" si="13"/>
        <v>0</v>
      </c>
      <c r="Q177" s="132"/>
      <c r="R177" s="71">
        <f t="shared" si="14"/>
        <v>-7.5949174812499987</v>
      </c>
      <c r="S177" s="64"/>
    </row>
    <row r="178" spans="1:19">
      <c r="A178" s="85" t="s">
        <v>21</v>
      </c>
      <c r="B178" s="65" t="s">
        <v>642</v>
      </c>
      <c r="C178" s="65" t="s">
        <v>643</v>
      </c>
      <c r="D178" s="64" t="s">
        <v>644</v>
      </c>
      <c r="E178" s="65" t="s">
        <v>360</v>
      </c>
      <c r="F178" s="64" t="s">
        <v>19</v>
      </c>
      <c r="G178" s="65" t="s">
        <v>20</v>
      </c>
      <c r="H178" s="65" t="s">
        <v>928</v>
      </c>
      <c r="I178" s="65">
        <v>201409</v>
      </c>
      <c r="J178" s="66">
        <v>24.81</v>
      </c>
      <c r="K178" s="72">
        <f t="shared" si="15"/>
        <v>42675</v>
      </c>
      <c r="L178" s="67">
        <f t="shared" si="11"/>
        <v>6</v>
      </c>
      <c r="M178" s="68">
        <v>1.4833299999999999E-3</v>
      </c>
      <c r="N178" s="69">
        <f t="shared" si="12"/>
        <v>0.2208085038</v>
      </c>
      <c r="O178" s="66"/>
      <c r="P178" s="71">
        <f t="shared" si="13"/>
        <v>0</v>
      </c>
      <c r="Q178" s="132"/>
      <c r="R178" s="71">
        <f t="shared" si="14"/>
        <v>0.35120105624999998</v>
      </c>
      <c r="S178" s="64"/>
    </row>
    <row r="179" spans="1:19">
      <c r="A179" s="85" t="s">
        <v>21</v>
      </c>
      <c r="B179" s="65" t="s">
        <v>286</v>
      </c>
      <c r="C179" s="65" t="s">
        <v>287</v>
      </c>
      <c r="D179" s="64" t="s">
        <v>288</v>
      </c>
      <c r="E179" s="65" t="s">
        <v>25</v>
      </c>
      <c r="F179" s="64" t="s">
        <v>26</v>
      </c>
      <c r="G179" s="65" t="s">
        <v>20</v>
      </c>
      <c r="H179" s="65" t="s">
        <v>928</v>
      </c>
      <c r="I179" s="65">
        <v>201409</v>
      </c>
      <c r="J179" s="66">
        <v>-175.31</v>
      </c>
      <c r="K179" s="72">
        <f t="shared" si="15"/>
        <v>42675</v>
      </c>
      <c r="L179" s="67">
        <f t="shared" si="11"/>
        <v>6</v>
      </c>
      <c r="M179" s="68">
        <v>1.4833299999999999E-3</v>
      </c>
      <c r="N179" s="69">
        <f t="shared" si="12"/>
        <v>-1.5602554937999999</v>
      </c>
      <c r="O179" s="66"/>
      <c r="P179" s="71">
        <f t="shared" si="13"/>
        <v>0</v>
      </c>
      <c r="Q179" s="132"/>
      <c r="R179" s="71">
        <f t="shared" si="14"/>
        <v>-2.4816226187499999</v>
      </c>
      <c r="S179" s="64"/>
    </row>
    <row r="180" spans="1:19">
      <c r="A180" s="85" t="s">
        <v>21</v>
      </c>
      <c r="B180" s="65" t="s">
        <v>645</v>
      </c>
      <c r="C180" s="65" t="s">
        <v>646</v>
      </c>
      <c r="D180" s="64" t="s">
        <v>647</v>
      </c>
      <c r="E180" s="65" t="s">
        <v>397</v>
      </c>
      <c r="F180" s="64" t="s">
        <v>398</v>
      </c>
      <c r="G180" s="65" t="s">
        <v>20</v>
      </c>
      <c r="H180" s="65" t="s">
        <v>929</v>
      </c>
      <c r="I180" s="65">
        <v>201409</v>
      </c>
      <c r="J180" s="66">
        <v>-674262.3</v>
      </c>
      <c r="K180" s="72">
        <f t="shared" si="15"/>
        <v>42675</v>
      </c>
      <c r="L180" s="67">
        <f t="shared" si="11"/>
        <v>6</v>
      </c>
      <c r="M180" s="68">
        <v>1.4833299999999999E-3</v>
      </c>
      <c r="N180" s="69">
        <f t="shared" si="12"/>
        <v>-6000.9209847540005</v>
      </c>
      <c r="O180" s="66"/>
      <c r="P180" s="71">
        <f t="shared" si="13"/>
        <v>0</v>
      </c>
      <c r="Q180" s="132"/>
      <c r="R180" s="71">
        <f t="shared" si="14"/>
        <v>-9544.6042704375013</v>
      </c>
      <c r="S180" s="64"/>
    </row>
    <row r="181" spans="1:19">
      <c r="A181" s="85" t="s">
        <v>626</v>
      </c>
      <c r="B181" s="65" t="s">
        <v>645</v>
      </c>
      <c r="C181" s="65" t="s">
        <v>646</v>
      </c>
      <c r="D181" s="64" t="s">
        <v>647</v>
      </c>
      <c r="E181" s="65" t="s">
        <v>397</v>
      </c>
      <c r="F181" s="64" t="s">
        <v>398</v>
      </c>
      <c r="G181" s="65" t="s">
        <v>20</v>
      </c>
      <c r="H181" s="65" t="s">
        <v>929</v>
      </c>
      <c r="I181" s="65">
        <v>201409</v>
      </c>
      <c r="J181" s="66">
        <v>660836.46</v>
      </c>
      <c r="K181" s="72">
        <f t="shared" si="15"/>
        <v>42675</v>
      </c>
      <c r="L181" s="67">
        <f t="shared" si="11"/>
        <v>6</v>
      </c>
      <c r="M181" s="68">
        <v>1.4833299999999999E-3</v>
      </c>
      <c r="N181" s="69">
        <f t="shared" si="12"/>
        <v>5881.4312772707999</v>
      </c>
      <c r="O181" s="66"/>
      <c r="P181" s="71">
        <f t="shared" si="13"/>
        <v>0</v>
      </c>
      <c r="Q181" s="132"/>
      <c r="R181" s="71">
        <f t="shared" si="14"/>
        <v>9354.5531140874991</v>
      </c>
      <c r="S181" s="64"/>
    </row>
    <row r="182" spans="1:19">
      <c r="A182" s="64" t="s">
        <v>21</v>
      </c>
      <c r="B182" s="65" t="s">
        <v>711</v>
      </c>
      <c r="C182" s="65" t="s">
        <v>712</v>
      </c>
      <c r="D182" s="64" t="s">
        <v>713</v>
      </c>
      <c r="E182" s="65" t="s">
        <v>613</v>
      </c>
      <c r="F182" s="64" t="s">
        <v>398</v>
      </c>
      <c r="G182" s="65" t="s">
        <v>20</v>
      </c>
      <c r="H182" s="65" t="s">
        <v>929</v>
      </c>
      <c r="I182" s="65">
        <v>201409</v>
      </c>
      <c r="J182" s="66">
        <v>4065.05</v>
      </c>
      <c r="K182" s="72">
        <f t="shared" si="15"/>
        <v>42675</v>
      </c>
      <c r="L182" s="67">
        <f t="shared" si="11"/>
        <v>6</v>
      </c>
      <c r="M182" s="68">
        <v>1.4833299999999999E-3</v>
      </c>
      <c r="N182" s="69">
        <f t="shared" si="12"/>
        <v>36.178863699000004</v>
      </c>
      <c r="O182" s="66"/>
      <c r="P182" s="71">
        <f t="shared" si="13"/>
        <v>0</v>
      </c>
      <c r="Q182" s="132"/>
      <c r="R182" s="71">
        <f t="shared" si="14"/>
        <v>57.543323406249996</v>
      </c>
      <c r="S182" s="64"/>
    </row>
    <row r="183" spans="1:19">
      <c r="A183" s="85" t="s">
        <v>21</v>
      </c>
      <c r="B183" s="65" t="s">
        <v>412</v>
      </c>
      <c r="C183" s="65" t="s">
        <v>413</v>
      </c>
      <c r="D183" s="64" t="s">
        <v>414</v>
      </c>
      <c r="E183" s="65" t="s">
        <v>415</v>
      </c>
      <c r="F183" s="64" t="s">
        <v>88</v>
      </c>
      <c r="G183" s="65" t="s">
        <v>20</v>
      </c>
      <c r="H183" s="65" t="s">
        <v>929</v>
      </c>
      <c r="I183" s="65">
        <v>201409</v>
      </c>
      <c r="J183" s="66">
        <v>-115.28</v>
      </c>
      <c r="K183" s="72">
        <f t="shared" si="15"/>
        <v>42675</v>
      </c>
      <c r="L183" s="67">
        <f t="shared" si="11"/>
        <v>6</v>
      </c>
      <c r="M183" s="68">
        <v>1.4833299999999999E-3</v>
      </c>
      <c r="N183" s="69">
        <f t="shared" si="12"/>
        <v>-1.0259896944</v>
      </c>
      <c r="O183" s="66"/>
      <c r="P183" s="71">
        <f t="shared" si="13"/>
        <v>0</v>
      </c>
      <c r="Q183" s="132"/>
      <c r="R183" s="71">
        <f t="shared" si="14"/>
        <v>-1.63186045</v>
      </c>
      <c r="S183" s="64"/>
    </row>
    <row r="184" spans="1:19">
      <c r="A184" s="85" t="s">
        <v>21</v>
      </c>
      <c r="B184" s="65" t="s">
        <v>289</v>
      </c>
      <c r="C184" s="65" t="s">
        <v>290</v>
      </c>
      <c r="D184" s="64" t="s">
        <v>291</v>
      </c>
      <c r="E184" s="65" t="s">
        <v>164</v>
      </c>
      <c r="F184" s="64" t="s">
        <v>165</v>
      </c>
      <c r="G184" s="65" t="s">
        <v>20</v>
      </c>
      <c r="H184" s="65" t="s">
        <v>928</v>
      </c>
      <c r="I184" s="65">
        <v>201409</v>
      </c>
      <c r="J184" s="66">
        <v>-912.44</v>
      </c>
      <c r="K184" s="72">
        <f t="shared" si="15"/>
        <v>42675</v>
      </c>
      <c r="L184" s="67">
        <f t="shared" si="11"/>
        <v>6</v>
      </c>
      <c r="M184" s="68">
        <v>1.4833299999999999E-3</v>
      </c>
      <c r="N184" s="69">
        <f t="shared" si="12"/>
        <v>-8.1206977511999998</v>
      </c>
      <c r="O184" s="66"/>
      <c r="P184" s="71">
        <f t="shared" si="13"/>
        <v>0</v>
      </c>
      <c r="Q184" s="132"/>
      <c r="R184" s="71">
        <f t="shared" si="14"/>
        <v>-12.916158475</v>
      </c>
      <c r="S184" s="64"/>
    </row>
    <row r="185" spans="1:19">
      <c r="A185" s="85" t="s">
        <v>626</v>
      </c>
      <c r="B185" s="65" t="s">
        <v>764</v>
      </c>
      <c r="C185" s="65" t="s">
        <v>765</v>
      </c>
      <c r="D185" s="64" t="s">
        <v>766</v>
      </c>
      <c r="E185" s="65" t="s">
        <v>209</v>
      </c>
      <c r="F185" s="64" t="s">
        <v>88</v>
      </c>
      <c r="G185" s="65" t="s">
        <v>20</v>
      </c>
      <c r="H185" s="65" t="s">
        <v>929</v>
      </c>
      <c r="I185" s="65">
        <v>201409</v>
      </c>
      <c r="J185" s="66">
        <v>-33.92</v>
      </c>
      <c r="K185" s="72">
        <f t="shared" si="15"/>
        <v>42675</v>
      </c>
      <c r="L185" s="67">
        <f t="shared" si="11"/>
        <v>6</v>
      </c>
      <c r="M185" s="68">
        <v>1.4833299999999999E-3</v>
      </c>
      <c r="N185" s="69">
        <f t="shared" si="12"/>
        <v>-0.30188732160000004</v>
      </c>
      <c r="O185" s="66"/>
      <c r="P185" s="71">
        <f t="shared" si="13"/>
        <v>0</v>
      </c>
      <c r="Q185" s="132"/>
      <c r="R185" s="71">
        <f t="shared" si="14"/>
        <v>-0.48015879999999994</v>
      </c>
      <c r="S185" s="64"/>
    </row>
    <row r="186" spans="1:19">
      <c r="A186" s="64" t="s">
        <v>21</v>
      </c>
      <c r="B186" s="65" t="s">
        <v>491</v>
      </c>
      <c r="C186" s="65" t="s">
        <v>492</v>
      </c>
      <c r="D186" s="64" t="s">
        <v>493</v>
      </c>
      <c r="E186" s="65" t="s">
        <v>87</v>
      </c>
      <c r="F186" s="64" t="s">
        <v>88</v>
      </c>
      <c r="G186" s="65" t="s">
        <v>20</v>
      </c>
      <c r="H186" s="65" t="s">
        <v>929</v>
      </c>
      <c r="I186" s="65">
        <v>201409</v>
      </c>
      <c r="J186" s="66">
        <v>-1136.6400000000001</v>
      </c>
      <c r="K186" s="72">
        <f t="shared" si="15"/>
        <v>42675</v>
      </c>
      <c r="L186" s="67">
        <f t="shared" si="11"/>
        <v>6</v>
      </c>
      <c r="M186" s="68">
        <v>1.4833299999999999E-3</v>
      </c>
      <c r="N186" s="69">
        <f t="shared" si="12"/>
        <v>-10.116073267200001</v>
      </c>
      <c r="O186" s="66"/>
      <c r="P186" s="71">
        <f t="shared" si="13"/>
        <v>0</v>
      </c>
      <c r="Q186" s="132"/>
      <c r="R186" s="71">
        <f t="shared" si="14"/>
        <v>-16.089849600000001</v>
      </c>
      <c r="S186" s="64"/>
    </row>
    <row r="187" spans="1:19">
      <c r="A187" s="64" t="s">
        <v>21</v>
      </c>
      <c r="B187" s="65" t="s">
        <v>648</v>
      </c>
      <c r="C187" s="65" t="s">
        <v>649</v>
      </c>
      <c r="D187" s="64" t="s">
        <v>650</v>
      </c>
      <c r="E187" s="65" t="s">
        <v>79</v>
      </c>
      <c r="F187" s="64" t="s">
        <v>26</v>
      </c>
      <c r="G187" s="65" t="s">
        <v>20</v>
      </c>
      <c r="H187" s="65" t="s">
        <v>928</v>
      </c>
      <c r="I187" s="65">
        <v>201409</v>
      </c>
      <c r="J187" s="66">
        <v>-42.2</v>
      </c>
      <c r="K187" s="72">
        <f t="shared" si="15"/>
        <v>42675</v>
      </c>
      <c r="L187" s="67">
        <f t="shared" si="11"/>
        <v>6</v>
      </c>
      <c r="M187" s="68">
        <v>1.4833299999999999E-3</v>
      </c>
      <c r="N187" s="69">
        <f t="shared" si="12"/>
        <v>-0.37557915600000003</v>
      </c>
      <c r="O187" s="66"/>
      <c r="P187" s="71">
        <f t="shared" si="13"/>
        <v>0</v>
      </c>
      <c r="Q187" s="132"/>
      <c r="R187" s="71">
        <f t="shared" si="14"/>
        <v>-0.59736737500000003</v>
      </c>
      <c r="S187" s="64"/>
    </row>
    <row r="188" spans="1:19">
      <c r="A188" s="64" t="s">
        <v>21</v>
      </c>
      <c r="B188" s="65" t="s">
        <v>651</v>
      </c>
      <c r="C188" s="65" t="s">
        <v>652</v>
      </c>
      <c r="D188" s="64" t="s">
        <v>653</v>
      </c>
      <c r="E188" s="65" t="s">
        <v>360</v>
      </c>
      <c r="F188" s="64" t="s">
        <v>19</v>
      </c>
      <c r="G188" s="65" t="s">
        <v>20</v>
      </c>
      <c r="H188" s="65" t="s">
        <v>928</v>
      </c>
      <c r="I188" s="65">
        <v>201409</v>
      </c>
      <c r="J188" s="66">
        <v>10.48</v>
      </c>
      <c r="K188" s="72">
        <f t="shared" si="15"/>
        <v>42675</v>
      </c>
      <c r="L188" s="67">
        <f t="shared" si="11"/>
        <v>6</v>
      </c>
      <c r="M188" s="68">
        <v>1.4833299999999999E-3</v>
      </c>
      <c r="N188" s="69">
        <f t="shared" si="12"/>
        <v>9.3271790399999999E-2</v>
      </c>
      <c r="O188" s="66"/>
      <c r="P188" s="71">
        <f t="shared" si="13"/>
        <v>0</v>
      </c>
      <c r="Q188" s="132"/>
      <c r="R188" s="71">
        <f t="shared" si="14"/>
        <v>0.14835094999999998</v>
      </c>
      <c r="S188" s="64"/>
    </row>
    <row r="189" spans="1:19">
      <c r="A189" s="64" t="s">
        <v>21</v>
      </c>
      <c r="B189" s="65" t="s">
        <v>654</v>
      </c>
      <c r="C189" s="65" t="s">
        <v>655</v>
      </c>
      <c r="D189" s="64" t="s">
        <v>656</v>
      </c>
      <c r="E189" s="65" t="s">
        <v>87</v>
      </c>
      <c r="F189" s="64" t="s">
        <v>88</v>
      </c>
      <c r="G189" s="65" t="s">
        <v>20</v>
      </c>
      <c r="H189" s="65" t="s">
        <v>929</v>
      </c>
      <c r="I189" s="65">
        <v>201409</v>
      </c>
      <c r="J189" s="66">
        <v>-187.92</v>
      </c>
      <c r="K189" s="72">
        <f t="shared" si="15"/>
        <v>42675</v>
      </c>
      <c r="L189" s="67">
        <f t="shared" si="11"/>
        <v>6</v>
      </c>
      <c r="M189" s="68">
        <v>1.4833299999999999E-3</v>
      </c>
      <c r="N189" s="69">
        <f t="shared" si="12"/>
        <v>-1.6724842415999999</v>
      </c>
      <c r="O189" s="66"/>
      <c r="P189" s="71">
        <f t="shared" si="13"/>
        <v>0</v>
      </c>
      <c r="Q189" s="132"/>
      <c r="R189" s="71">
        <f t="shared" si="14"/>
        <v>-2.6601250499999995</v>
      </c>
      <c r="S189" s="64"/>
    </row>
    <row r="190" spans="1:19">
      <c r="A190" s="64" t="s">
        <v>21</v>
      </c>
      <c r="B190" s="65" t="s">
        <v>657</v>
      </c>
      <c r="C190" s="65" t="s">
        <v>658</v>
      </c>
      <c r="D190" s="64" t="s">
        <v>659</v>
      </c>
      <c r="E190" s="65" t="s">
        <v>356</v>
      </c>
      <c r="F190" s="64" t="s">
        <v>19</v>
      </c>
      <c r="G190" s="65" t="s">
        <v>20</v>
      </c>
      <c r="H190" s="65" t="s">
        <v>928</v>
      </c>
      <c r="I190" s="65">
        <v>201409</v>
      </c>
      <c r="J190" s="66">
        <v>5.21</v>
      </c>
      <c r="K190" s="72">
        <f t="shared" si="15"/>
        <v>42675</v>
      </c>
      <c r="L190" s="67">
        <f t="shared" si="11"/>
        <v>6</v>
      </c>
      <c r="M190" s="68">
        <v>1.4833299999999999E-3</v>
      </c>
      <c r="N190" s="69">
        <f t="shared" si="12"/>
        <v>4.6368895799999997E-2</v>
      </c>
      <c r="O190" s="66"/>
      <c r="P190" s="71">
        <f t="shared" si="13"/>
        <v>0</v>
      </c>
      <c r="Q190" s="132"/>
      <c r="R190" s="71">
        <f t="shared" si="14"/>
        <v>7.3750806249999995E-2</v>
      </c>
      <c r="S190" s="64"/>
    </row>
    <row r="191" spans="1:19">
      <c r="A191" s="64" t="s">
        <v>21</v>
      </c>
      <c r="B191" s="65" t="s">
        <v>660</v>
      </c>
      <c r="C191" s="65" t="s">
        <v>661</v>
      </c>
      <c r="D191" s="64" t="s">
        <v>662</v>
      </c>
      <c r="E191" s="65" t="s">
        <v>280</v>
      </c>
      <c r="F191" s="64" t="s">
        <v>26</v>
      </c>
      <c r="G191" s="65" t="s">
        <v>20</v>
      </c>
      <c r="H191" s="65" t="s">
        <v>928</v>
      </c>
      <c r="I191" s="65">
        <v>201409</v>
      </c>
      <c r="J191" s="66">
        <v>-193.2</v>
      </c>
      <c r="K191" s="72">
        <f t="shared" si="15"/>
        <v>42675</v>
      </c>
      <c r="L191" s="67">
        <f t="shared" si="11"/>
        <v>6</v>
      </c>
      <c r="M191" s="68">
        <v>1.4833299999999999E-3</v>
      </c>
      <c r="N191" s="69">
        <f t="shared" si="12"/>
        <v>-1.7194761359999999</v>
      </c>
      <c r="O191" s="66"/>
      <c r="P191" s="71">
        <f t="shared" si="13"/>
        <v>0</v>
      </c>
      <c r="Q191" s="132"/>
      <c r="R191" s="71">
        <f t="shared" si="14"/>
        <v>-2.7348667499999997</v>
      </c>
      <c r="S191" s="64"/>
    </row>
    <row r="192" spans="1:19">
      <c r="A192" s="64" t="s">
        <v>29</v>
      </c>
      <c r="B192" s="65" t="s">
        <v>836</v>
      </c>
      <c r="C192" s="65" t="s">
        <v>837</v>
      </c>
      <c r="D192" s="64" t="s">
        <v>327</v>
      </c>
      <c r="E192" s="65" t="s">
        <v>838</v>
      </c>
      <c r="F192" s="64" t="s">
        <v>58</v>
      </c>
      <c r="G192" s="65" t="s">
        <v>20</v>
      </c>
      <c r="H192" s="65" t="s">
        <v>933</v>
      </c>
      <c r="I192" s="65">
        <v>201409</v>
      </c>
      <c r="J192" s="66">
        <v>642.49</v>
      </c>
      <c r="K192" s="72">
        <f t="shared" si="15"/>
        <v>42675</v>
      </c>
      <c r="L192" s="67">
        <f t="shared" si="11"/>
        <v>6</v>
      </c>
      <c r="M192" s="68">
        <v>2.23333E-3</v>
      </c>
      <c r="N192" s="69">
        <f t="shared" si="12"/>
        <v>8.6093531501999987</v>
      </c>
      <c r="O192" s="66"/>
      <c r="P192" s="71">
        <f t="shared" si="13"/>
        <v>0</v>
      </c>
      <c r="Q192" s="132"/>
      <c r="R192" s="71">
        <f t="shared" si="14"/>
        <v>9.0948475062499998</v>
      </c>
      <c r="S192" s="64"/>
    </row>
    <row r="193" spans="1:19">
      <c r="A193" s="64" t="s">
        <v>29</v>
      </c>
      <c r="B193" s="65" t="s">
        <v>292</v>
      </c>
      <c r="C193" s="65" t="s">
        <v>293</v>
      </c>
      <c r="D193" s="64" t="s">
        <v>197</v>
      </c>
      <c r="E193" s="65" t="s">
        <v>294</v>
      </c>
      <c r="F193" s="64" t="s">
        <v>199</v>
      </c>
      <c r="G193" s="65" t="s">
        <v>20</v>
      </c>
      <c r="H193" s="65" t="s">
        <v>933</v>
      </c>
      <c r="I193" s="65">
        <v>201409</v>
      </c>
      <c r="J193" s="66">
        <v>16917.41</v>
      </c>
      <c r="K193" s="72">
        <f t="shared" si="15"/>
        <v>42675</v>
      </c>
      <c r="L193" s="67">
        <f t="shared" si="11"/>
        <v>6</v>
      </c>
      <c r="M193" s="68">
        <v>2.23333E-3</v>
      </c>
      <c r="N193" s="69">
        <f t="shared" si="12"/>
        <v>226.69295565179999</v>
      </c>
      <c r="O193" s="66"/>
      <c r="P193" s="71">
        <f t="shared" si="13"/>
        <v>0</v>
      </c>
      <c r="Q193" s="132"/>
      <c r="R193" s="71">
        <f t="shared" si="14"/>
        <v>239.47651193124997</v>
      </c>
      <c r="S193" s="64"/>
    </row>
    <row r="194" spans="1:19">
      <c r="A194" s="64" t="s">
        <v>21</v>
      </c>
      <c r="B194" s="65" t="s">
        <v>663</v>
      </c>
      <c r="C194" s="65" t="s">
        <v>664</v>
      </c>
      <c r="D194" s="64" t="s">
        <v>665</v>
      </c>
      <c r="E194" s="65" t="s">
        <v>260</v>
      </c>
      <c r="F194" s="64" t="s">
        <v>26</v>
      </c>
      <c r="G194" s="65" t="s">
        <v>20</v>
      </c>
      <c r="H194" s="65" t="s">
        <v>928</v>
      </c>
      <c r="I194" s="65">
        <v>201409</v>
      </c>
      <c r="J194" s="66">
        <v>6.37</v>
      </c>
      <c r="K194" s="72">
        <f t="shared" si="15"/>
        <v>42675</v>
      </c>
      <c r="L194" s="67">
        <f t="shared" si="11"/>
        <v>6</v>
      </c>
      <c r="M194" s="68">
        <v>1.4833299999999999E-3</v>
      </c>
      <c r="N194" s="69">
        <f t="shared" si="12"/>
        <v>5.6692872599999999E-2</v>
      </c>
      <c r="O194" s="66"/>
      <c r="P194" s="71">
        <f t="shared" si="13"/>
        <v>0</v>
      </c>
      <c r="Q194" s="132"/>
      <c r="R194" s="71">
        <f t="shared" si="14"/>
        <v>9.017133125E-2</v>
      </c>
      <c r="S194" s="64"/>
    </row>
    <row r="195" spans="1:19">
      <c r="A195" s="64" t="s">
        <v>127</v>
      </c>
      <c r="B195" s="65" t="s">
        <v>295</v>
      </c>
      <c r="C195" s="65" t="s">
        <v>296</v>
      </c>
      <c r="D195" s="64" t="s">
        <v>297</v>
      </c>
      <c r="E195" s="65" t="s">
        <v>216</v>
      </c>
      <c r="F195" s="64" t="s">
        <v>217</v>
      </c>
      <c r="G195" s="65" t="s">
        <v>20</v>
      </c>
      <c r="H195" s="65" t="s">
        <v>935</v>
      </c>
      <c r="I195" s="65">
        <v>201409</v>
      </c>
      <c r="J195" s="66">
        <v>-215.87</v>
      </c>
      <c r="K195" s="72">
        <f t="shared" si="15"/>
        <v>42675</v>
      </c>
      <c r="L195" s="67">
        <f t="shared" si="11"/>
        <v>6</v>
      </c>
      <c r="M195" s="68">
        <v>2.3833299999999999E-3</v>
      </c>
      <c r="N195" s="69">
        <f t="shared" si="12"/>
        <v>-3.0869366826000002</v>
      </c>
      <c r="O195" s="66"/>
      <c r="P195" s="71">
        <f t="shared" si="13"/>
        <v>0</v>
      </c>
      <c r="Q195" s="132"/>
      <c r="R195" s="71">
        <f t="shared" si="14"/>
        <v>-3.0557747687499996</v>
      </c>
      <c r="S195" s="64"/>
    </row>
    <row r="196" spans="1:19">
      <c r="A196" s="64" t="s">
        <v>21</v>
      </c>
      <c r="B196" s="65" t="s">
        <v>666</v>
      </c>
      <c r="C196" s="65" t="s">
        <v>667</v>
      </c>
      <c r="D196" s="64" t="s">
        <v>668</v>
      </c>
      <c r="E196" s="65" t="s">
        <v>87</v>
      </c>
      <c r="F196" s="64" t="s">
        <v>88</v>
      </c>
      <c r="G196" s="65" t="s">
        <v>20</v>
      </c>
      <c r="H196" s="65" t="s">
        <v>929</v>
      </c>
      <c r="I196" s="65">
        <v>201409</v>
      </c>
      <c r="J196" s="66">
        <v>-5404.17</v>
      </c>
      <c r="K196" s="72">
        <f t="shared" si="15"/>
        <v>42675</v>
      </c>
      <c r="L196" s="67">
        <f t="shared" si="11"/>
        <v>6</v>
      </c>
      <c r="M196" s="68">
        <v>1.4833299999999999E-3</v>
      </c>
      <c r="N196" s="69">
        <f t="shared" si="12"/>
        <v>-48.0970049166</v>
      </c>
      <c r="O196" s="66"/>
      <c r="P196" s="71">
        <f t="shared" si="13"/>
        <v>0</v>
      </c>
      <c r="Q196" s="132"/>
      <c r="R196" s="71">
        <f t="shared" si="14"/>
        <v>-76.499403956249992</v>
      </c>
      <c r="S196" s="64"/>
    </row>
    <row r="197" spans="1:19">
      <c r="A197" s="64" t="s">
        <v>21</v>
      </c>
      <c r="B197" s="65" t="s">
        <v>298</v>
      </c>
      <c r="C197" s="65" t="s">
        <v>299</v>
      </c>
      <c r="D197" s="64" t="s">
        <v>300</v>
      </c>
      <c r="E197" s="65" t="s">
        <v>164</v>
      </c>
      <c r="F197" s="64" t="s">
        <v>165</v>
      </c>
      <c r="G197" s="65" t="s">
        <v>20</v>
      </c>
      <c r="H197" s="65" t="s">
        <v>928</v>
      </c>
      <c r="I197" s="65">
        <v>201409</v>
      </c>
      <c r="J197" s="66">
        <v>-919.54</v>
      </c>
      <c r="K197" s="72">
        <f t="shared" si="15"/>
        <v>42675</v>
      </c>
      <c r="L197" s="67">
        <f t="shared" si="11"/>
        <v>6</v>
      </c>
      <c r="M197" s="68">
        <v>1.4833299999999999E-3</v>
      </c>
      <c r="N197" s="69">
        <f t="shared" si="12"/>
        <v>-8.1838876091999992</v>
      </c>
      <c r="O197" s="66"/>
      <c r="P197" s="71">
        <f t="shared" si="13"/>
        <v>0</v>
      </c>
      <c r="Q197" s="132"/>
      <c r="R197" s="71">
        <f t="shared" si="14"/>
        <v>-13.016663412499998</v>
      </c>
      <c r="S197" s="64"/>
    </row>
    <row r="198" spans="1:19">
      <c r="A198" s="85" t="s">
        <v>21</v>
      </c>
      <c r="B198" s="65" t="s">
        <v>669</v>
      </c>
      <c r="C198" s="65" t="s">
        <v>670</v>
      </c>
      <c r="D198" s="64" t="s">
        <v>671</v>
      </c>
      <c r="E198" s="65" t="s">
        <v>497</v>
      </c>
      <c r="F198" s="64" t="s">
        <v>26</v>
      </c>
      <c r="G198" s="65" t="s">
        <v>20</v>
      </c>
      <c r="H198" s="65" t="s">
        <v>928</v>
      </c>
      <c r="I198" s="65">
        <v>201409</v>
      </c>
      <c r="J198" s="66">
        <v>-115.71</v>
      </c>
      <c r="K198" s="72">
        <f t="shared" si="15"/>
        <v>42675</v>
      </c>
      <c r="L198" s="67">
        <f t="shared" ref="L198:L261" si="16">((YEAR($L$1)-YEAR(K198))*12+MONTH($L$1)-MONTH(K198))</f>
        <v>6</v>
      </c>
      <c r="M198" s="68">
        <v>1.4833299999999999E-3</v>
      </c>
      <c r="N198" s="69">
        <f t="shared" ref="N198:N261" si="17">M198*L198*J198</f>
        <v>-1.0298166858</v>
      </c>
      <c r="O198" s="66"/>
      <c r="P198" s="71">
        <f t="shared" ref="P198:P261" si="18">$P$4*J198*$U$11</f>
        <v>0</v>
      </c>
      <c r="Q198" s="132"/>
      <c r="R198" s="71">
        <f t="shared" ref="R198:R261" si="19">$R$4*J198*$U$12</f>
        <v>-1.6379473687499999</v>
      </c>
      <c r="S198" s="64"/>
    </row>
    <row r="199" spans="1:19">
      <c r="A199" s="85" t="s">
        <v>21</v>
      </c>
      <c r="B199" s="65" t="s">
        <v>672</v>
      </c>
      <c r="C199" s="65" t="s">
        <v>673</v>
      </c>
      <c r="D199" s="64" t="s">
        <v>674</v>
      </c>
      <c r="E199" s="65" t="s">
        <v>164</v>
      </c>
      <c r="F199" s="64" t="s">
        <v>165</v>
      </c>
      <c r="G199" s="65" t="s">
        <v>20</v>
      </c>
      <c r="H199" s="65" t="s">
        <v>928</v>
      </c>
      <c r="I199" s="65">
        <v>201409</v>
      </c>
      <c r="J199" s="66">
        <v>-90.01</v>
      </c>
      <c r="K199" s="72">
        <f t="shared" si="15"/>
        <v>42675</v>
      </c>
      <c r="L199" s="67">
        <f t="shared" si="16"/>
        <v>6</v>
      </c>
      <c r="M199" s="68">
        <v>1.4833299999999999E-3</v>
      </c>
      <c r="N199" s="69">
        <f t="shared" si="17"/>
        <v>-0.80108719980000009</v>
      </c>
      <c r="O199" s="66"/>
      <c r="P199" s="71">
        <f t="shared" si="18"/>
        <v>0</v>
      </c>
      <c r="Q199" s="132"/>
      <c r="R199" s="71">
        <f t="shared" si="19"/>
        <v>-1.2741478062499998</v>
      </c>
      <c r="S199" s="64"/>
    </row>
    <row r="200" spans="1:19">
      <c r="A200" s="85" t="s">
        <v>21</v>
      </c>
      <c r="B200" s="65" t="s">
        <v>301</v>
      </c>
      <c r="C200" s="65" t="s">
        <v>302</v>
      </c>
      <c r="D200" s="64" t="s">
        <v>303</v>
      </c>
      <c r="E200" s="65" t="s">
        <v>63</v>
      </c>
      <c r="F200" s="64" t="s">
        <v>19</v>
      </c>
      <c r="G200" s="65" t="s">
        <v>20</v>
      </c>
      <c r="H200" s="65" t="s">
        <v>928</v>
      </c>
      <c r="I200" s="65">
        <v>201409</v>
      </c>
      <c r="J200" s="66">
        <v>-61.29</v>
      </c>
      <c r="K200" s="72">
        <f t="shared" si="15"/>
        <v>42675</v>
      </c>
      <c r="L200" s="67">
        <f t="shared" si="16"/>
        <v>6</v>
      </c>
      <c r="M200" s="68">
        <v>1.4833299999999999E-3</v>
      </c>
      <c r="N200" s="69">
        <f t="shared" si="17"/>
        <v>-0.54547977420000004</v>
      </c>
      <c r="O200" s="66"/>
      <c r="P200" s="71">
        <f t="shared" si="18"/>
        <v>0</v>
      </c>
      <c r="Q200" s="132"/>
      <c r="R200" s="71">
        <f t="shared" si="19"/>
        <v>-0.86759825624999998</v>
      </c>
      <c r="S200" s="64"/>
    </row>
    <row r="201" spans="1:19">
      <c r="A201" s="85" t="s">
        <v>21</v>
      </c>
      <c r="B201" s="65" t="s">
        <v>304</v>
      </c>
      <c r="C201" s="65" t="s">
        <v>305</v>
      </c>
      <c r="D201" s="64" t="s">
        <v>306</v>
      </c>
      <c r="E201" s="65" t="s">
        <v>307</v>
      </c>
      <c r="F201" s="64" t="s">
        <v>165</v>
      </c>
      <c r="G201" s="65" t="s">
        <v>20</v>
      </c>
      <c r="H201" s="65" t="s">
        <v>928</v>
      </c>
      <c r="I201" s="65">
        <v>201409</v>
      </c>
      <c r="J201" s="66">
        <v>-1328.44</v>
      </c>
      <c r="K201" s="72">
        <f t="shared" si="15"/>
        <v>42675</v>
      </c>
      <c r="L201" s="67">
        <f t="shared" si="16"/>
        <v>6</v>
      </c>
      <c r="M201" s="68">
        <v>1.4833299999999999E-3</v>
      </c>
      <c r="N201" s="69">
        <f t="shared" si="17"/>
        <v>-11.8230894312</v>
      </c>
      <c r="O201" s="66"/>
      <c r="P201" s="71">
        <f t="shared" si="18"/>
        <v>0</v>
      </c>
      <c r="Q201" s="132"/>
      <c r="R201" s="71">
        <f t="shared" si="19"/>
        <v>-18.804898474999998</v>
      </c>
      <c r="S201" s="64"/>
    </row>
    <row r="202" spans="1:19">
      <c r="A202" s="64" t="s">
        <v>21</v>
      </c>
      <c r="B202" s="65" t="s">
        <v>494</v>
      </c>
      <c r="C202" s="65" t="s">
        <v>495</v>
      </c>
      <c r="D202" s="64" t="s">
        <v>496</v>
      </c>
      <c r="E202" s="65" t="s">
        <v>497</v>
      </c>
      <c r="F202" s="64" t="s">
        <v>26</v>
      </c>
      <c r="G202" s="65" t="s">
        <v>20</v>
      </c>
      <c r="H202" s="65" t="s">
        <v>928</v>
      </c>
      <c r="I202" s="65">
        <v>201409</v>
      </c>
      <c r="J202" s="66">
        <v>-1908.15</v>
      </c>
      <c r="K202" s="72">
        <f t="shared" si="15"/>
        <v>42675</v>
      </c>
      <c r="L202" s="67">
        <f t="shared" si="16"/>
        <v>6</v>
      </c>
      <c r="M202" s="68">
        <v>1.4833299999999999E-3</v>
      </c>
      <c r="N202" s="69">
        <f t="shared" si="17"/>
        <v>-16.982496836999999</v>
      </c>
      <c r="O202" s="66"/>
      <c r="P202" s="71">
        <f t="shared" si="18"/>
        <v>0</v>
      </c>
      <c r="Q202" s="132"/>
      <c r="R202" s="71">
        <f t="shared" si="19"/>
        <v>-27.01105584375</v>
      </c>
      <c r="S202" s="64"/>
    </row>
    <row r="203" spans="1:19">
      <c r="A203" s="85" t="s">
        <v>626</v>
      </c>
      <c r="B203" s="65" t="s">
        <v>498</v>
      </c>
      <c r="C203" s="65" t="s">
        <v>499</v>
      </c>
      <c r="D203" s="64" t="s">
        <v>500</v>
      </c>
      <c r="E203" s="65" t="s">
        <v>75</v>
      </c>
      <c r="F203" s="64" t="s">
        <v>26</v>
      </c>
      <c r="G203" s="65" t="s">
        <v>20</v>
      </c>
      <c r="H203" s="65" t="s">
        <v>928</v>
      </c>
      <c r="I203" s="65">
        <v>201409</v>
      </c>
      <c r="J203" s="66">
        <v>-1477.33</v>
      </c>
      <c r="K203" s="72">
        <f t="shared" si="15"/>
        <v>42675</v>
      </c>
      <c r="L203" s="67">
        <f t="shared" si="16"/>
        <v>6</v>
      </c>
      <c r="M203" s="68">
        <v>1.4833299999999999E-3</v>
      </c>
      <c r="N203" s="69">
        <f t="shared" si="17"/>
        <v>-13.1482074534</v>
      </c>
      <c r="O203" s="66"/>
      <c r="P203" s="71">
        <f t="shared" si="18"/>
        <v>0</v>
      </c>
      <c r="Q203" s="132"/>
      <c r="R203" s="71">
        <f t="shared" si="19"/>
        <v>-20.912529481249997</v>
      </c>
      <c r="S203" s="64"/>
    </row>
    <row r="204" spans="1:19">
      <c r="A204" s="85" t="s">
        <v>21</v>
      </c>
      <c r="B204" s="65" t="s">
        <v>501</v>
      </c>
      <c r="C204" s="65" t="s">
        <v>502</v>
      </c>
      <c r="D204" s="64" t="s">
        <v>503</v>
      </c>
      <c r="E204" s="65" t="s">
        <v>280</v>
      </c>
      <c r="F204" s="64" t="s">
        <v>26</v>
      </c>
      <c r="G204" s="65" t="s">
        <v>20</v>
      </c>
      <c r="H204" s="65" t="s">
        <v>928</v>
      </c>
      <c r="I204" s="65">
        <v>201409</v>
      </c>
      <c r="J204" s="66">
        <v>-5845.57</v>
      </c>
      <c r="K204" s="72">
        <f t="shared" si="15"/>
        <v>42675</v>
      </c>
      <c r="L204" s="67">
        <f t="shared" si="16"/>
        <v>6</v>
      </c>
      <c r="M204" s="68">
        <v>1.4833299999999999E-3</v>
      </c>
      <c r="N204" s="69">
        <f t="shared" si="17"/>
        <v>-52.025456088599995</v>
      </c>
      <c r="O204" s="66"/>
      <c r="P204" s="71">
        <f t="shared" si="18"/>
        <v>0</v>
      </c>
      <c r="Q204" s="132"/>
      <c r="R204" s="71">
        <f t="shared" si="19"/>
        <v>-82.747696831249982</v>
      </c>
      <c r="S204" s="64"/>
    </row>
    <row r="205" spans="1:19">
      <c r="A205" s="85" t="s">
        <v>21</v>
      </c>
      <c r="B205" s="65" t="s">
        <v>308</v>
      </c>
      <c r="C205" s="65" t="s">
        <v>309</v>
      </c>
      <c r="D205" s="64" t="s">
        <v>310</v>
      </c>
      <c r="E205" s="65" t="s">
        <v>142</v>
      </c>
      <c r="F205" s="64" t="s">
        <v>143</v>
      </c>
      <c r="G205" s="65" t="s">
        <v>20</v>
      </c>
      <c r="H205" s="65" t="s">
        <v>928</v>
      </c>
      <c r="I205" s="65">
        <v>201409</v>
      </c>
      <c r="J205" s="66">
        <v>-332.16</v>
      </c>
      <c r="K205" s="72">
        <f t="shared" si="15"/>
        <v>42675</v>
      </c>
      <c r="L205" s="67">
        <f t="shared" si="16"/>
        <v>6</v>
      </c>
      <c r="M205" s="68">
        <v>1.4833299999999999E-3</v>
      </c>
      <c r="N205" s="69">
        <f t="shared" si="17"/>
        <v>-2.9562173568000003</v>
      </c>
      <c r="O205" s="66"/>
      <c r="P205" s="71">
        <f t="shared" si="18"/>
        <v>0</v>
      </c>
      <c r="Q205" s="132"/>
      <c r="R205" s="71">
        <f t="shared" si="19"/>
        <v>-4.7019323999999996</v>
      </c>
      <c r="S205" s="64"/>
    </row>
    <row r="206" spans="1:19">
      <c r="A206" s="85" t="s">
        <v>21</v>
      </c>
      <c r="B206" s="65" t="s">
        <v>416</v>
      </c>
      <c r="C206" s="65" t="s">
        <v>417</v>
      </c>
      <c r="D206" s="64" t="s">
        <v>418</v>
      </c>
      <c r="E206" s="65" t="s">
        <v>209</v>
      </c>
      <c r="F206" s="64" t="s">
        <v>88</v>
      </c>
      <c r="G206" s="65" t="s">
        <v>20</v>
      </c>
      <c r="H206" s="65" t="s">
        <v>929</v>
      </c>
      <c r="I206" s="65">
        <v>201409</v>
      </c>
      <c r="J206" s="66">
        <v>-46.05</v>
      </c>
      <c r="K206" s="72">
        <f t="shared" si="15"/>
        <v>42675</v>
      </c>
      <c r="L206" s="67">
        <f t="shared" si="16"/>
        <v>6</v>
      </c>
      <c r="M206" s="68">
        <v>1.4833299999999999E-3</v>
      </c>
      <c r="N206" s="69">
        <f t="shared" si="17"/>
        <v>-0.40984407899999997</v>
      </c>
      <c r="O206" s="66"/>
      <c r="P206" s="71">
        <f t="shared" si="18"/>
        <v>0</v>
      </c>
      <c r="Q206" s="132"/>
      <c r="R206" s="71">
        <f t="shared" si="19"/>
        <v>-0.65186653124999994</v>
      </c>
      <c r="S206" s="64"/>
    </row>
    <row r="207" spans="1:19">
      <c r="A207" s="85" t="s">
        <v>626</v>
      </c>
      <c r="B207" s="65" t="s">
        <v>767</v>
      </c>
      <c r="C207" s="65" t="s">
        <v>768</v>
      </c>
      <c r="D207" s="64" t="s">
        <v>769</v>
      </c>
      <c r="E207" s="65" t="s">
        <v>18</v>
      </c>
      <c r="F207" s="64" t="s">
        <v>19</v>
      </c>
      <c r="G207" s="65" t="s">
        <v>20</v>
      </c>
      <c r="H207" s="65" t="s">
        <v>928</v>
      </c>
      <c r="I207" s="65">
        <v>201409</v>
      </c>
      <c r="J207" s="66">
        <v>-622.91</v>
      </c>
      <c r="K207" s="72">
        <f t="shared" si="15"/>
        <v>42675</v>
      </c>
      <c r="L207" s="67">
        <f t="shared" si="16"/>
        <v>6</v>
      </c>
      <c r="M207" s="68">
        <v>1.4833299999999999E-3</v>
      </c>
      <c r="N207" s="69">
        <f t="shared" si="17"/>
        <v>-5.5438865418000001</v>
      </c>
      <c r="O207" s="66"/>
      <c r="P207" s="71">
        <f t="shared" si="18"/>
        <v>0</v>
      </c>
      <c r="Q207" s="132"/>
      <c r="R207" s="71">
        <f t="shared" si="19"/>
        <v>-8.8176803687499987</v>
      </c>
      <c r="S207" s="64"/>
    </row>
    <row r="208" spans="1:19">
      <c r="A208" s="85" t="s">
        <v>626</v>
      </c>
      <c r="B208" s="65" t="s">
        <v>770</v>
      </c>
      <c r="C208" s="65" t="s">
        <v>771</v>
      </c>
      <c r="D208" s="64" t="s">
        <v>772</v>
      </c>
      <c r="E208" s="65" t="s">
        <v>87</v>
      </c>
      <c r="F208" s="64" t="s">
        <v>88</v>
      </c>
      <c r="G208" s="65" t="s">
        <v>20</v>
      </c>
      <c r="H208" s="65" t="s">
        <v>929</v>
      </c>
      <c r="I208" s="65">
        <v>201409</v>
      </c>
      <c r="J208" s="66">
        <v>-3374.08</v>
      </c>
      <c r="K208" s="72">
        <f t="shared" si="15"/>
        <v>42675</v>
      </c>
      <c r="L208" s="67">
        <f t="shared" si="16"/>
        <v>6</v>
      </c>
      <c r="M208" s="68">
        <v>1.4833299999999999E-3</v>
      </c>
      <c r="N208" s="69">
        <f t="shared" si="17"/>
        <v>-30.029244518399999</v>
      </c>
      <c r="O208" s="66"/>
      <c r="P208" s="71">
        <f t="shared" si="18"/>
        <v>0</v>
      </c>
      <c r="Q208" s="132"/>
      <c r="R208" s="71">
        <f t="shared" si="19"/>
        <v>-47.762211199999996</v>
      </c>
      <c r="S208" s="64"/>
    </row>
    <row r="209" spans="1:19">
      <c r="A209" s="85" t="s">
        <v>21</v>
      </c>
      <c r="B209" s="65" t="s">
        <v>311</v>
      </c>
      <c r="C209" s="65" t="s">
        <v>312</v>
      </c>
      <c r="D209" s="64" t="s">
        <v>313</v>
      </c>
      <c r="E209" s="65" t="s">
        <v>164</v>
      </c>
      <c r="F209" s="64" t="s">
        <v>165</v>
      </c>
      <c r="G209" s="65" t="s">
        <v>20</v>
      </c>
      <c r="H209" s="65" t="s">
        <v>928</v>
      </c>
      <c r="I209" s="65">
        <v>201409</v>
      </c>
      <c r="J209" s="66">
        <v>-1433.54</v>
      </c>
      <c r="K209" s="72">
        <f t="shared" si="15"/>
        <v>42675</v>
      </c>
      <c r="L209" s="67">
        <f t="shared" si="16"/>
        <v>6</v>
      </c>
      <c r="M209" s="68">
        <v>1.4833299999999999E-3</v>
      </c>
      <c r="N209" s="69">
        <f t="shared" si="17"/>
        <v>-12.7584773292</v>
      </c>
      <c r="O209" s="66"/>
      <c r="P209" s="71">
        <f t="shared" si="18"/>
        <v>0</v>
      </c>
      <c r="Q209" s="132"/>
      <c r="R209" s="71">
        <f t="shared" si="19"/>
        <v>-20.292654662499995</v>
      </c>
      <c r="S209" s="64"/>
    </row>
    <row r="210" spans="1:19">
      <c r="A210" s="85" t="s">
        <v>21</v>
      </c>
      <c r="B210" s="65" t="s">
        <v>504</v>
      </c>
      <c r="C210" s="65" t="s">
        <v>505</v>
      </c>
      <c r="D210" s="64" t="s">
        <v>506</v>
      </c>
      <c r="E210" s="65" t="s">
        <v>164</v>
      </c>
      <c r="F210" s="64" t="s">
        <v>165</v>
      </c>
      <c r="G210" s="65" t="s">
        <v>20</v>
      </c>
      <c r="H210" s="65" t="s">
        <v>928</v>
      </c>
      <c r="I210" s="65">
        <v>201409</v>
      </c>
      <c r="J210" s="66">
        <v>-505.02</v>
      </c>
      <c r="K210" s="72">
        <f t="shared" si="15"/>
        <v>42675</v>
      </c>
      <c r="L210" s="67">
        <f t="shared" si="16"/>
        <v>6</v>
      </c>
      <c r="M210" s="68">
        <v>1.4833299999999999E-3</v>
      </c>
      <c r="N210" s="69">
        <f t="shared" si="17"/>
        <v>-4.4946678995999996</v>
      </c>
      <c r="O210" s="66"/>
      <c r="P210" s="71">
        <f t="shared" si="18"/>
        <v>0</v>
      </c>
      <c r="Q210" s="132"/>
      <c r="R210" s="71">
        <f t="shared" si="19"/>
        <v>-7.1488737374999989</v>
      </c>
      <c r="S210" s="64"/>
    </row>
    <row r="211" spans="1:19">
      <c r="A211" s="85" t="s">
        <v>626</v>
      </c>
      <c r="B211" s="65" t="s">
        <v>773</v>
      </c>
      <c r="C211" s="65" t="s">
        <v>774</v>
      </c>
      <c r="D211" s="64" t="s">
        <v>775</v>
      </c>
      <c r="E211" s="65" t="s">
        <v>209</v>
      </c>
      <c r="F211" s="64" t="s">
        <v>88</v>
      </c>
      <c r="G211" s="65" t="s">
        <v>20</v>
      </c>
      <c r="H211" s="65" t="s">
        <v>929</v>
      </c>
      <c r="I211" s="65">
        <v>201409</v>
      </c>
      <c r="J211" s="66">
        <v>-1019.7</v>
      </c>
      <c r="K211" s="72">
        <f t="shared" si="15"/>
        <v>42675</v>
      </c>
      <c r="L211" s="67">
        <f t="shared" si="16"/>
        <v>6</v>
      </c>
      <c r="M211" s="68">
        <v>1.4833299999999999E-3</v>
      </c>
      <c r="N211" s="69">
        <f t="shared" si="17"/>
        <v>-9.0753096060000011</v>
      </c>
      <c r="O211" s="66"/>
      <c r="P211" s="71">
        <f t="shared" si="18"/>
        <v>0</v>
      </c>
      <c r="Q211" s="132"/>
      <c r="R211" s="71">
        <f t="shared" si="19"/>
        <v>-14.4344908125</v>
      </c>
      <c r="S211" s="64"/>
    </row>
    <row r="212" spans="1:19">
      <c r="A212" s="64" t="s">
        <v>29</v>
      </c>
      <c r="B212" s="65" t="s">
        <v>314</v>
      </c>
      <c r="C212" s="65" t="s">
        <v>315</v>
      </c>
      <c r="D212" s="64" t="s">
        <v>316</v>
      </c>
      <c r="E212" s="65" t="s">
        <v>317</v>
      </c>
      <c r="F212" s="64" t="s">
        <v>285</v>
      </c>
      <c r="G212" s="65" t="s">
        <v>20</v>
      </c>
      <c r="H212" s="65" t="s">
        <v>937</v>
      </c>
      <c r="I212" s="65">
        <v>201409</v>
      </c>
      <c r="J212" s="66">
        <v>-44.18</v>
      </c>
      <c r="K212" s="72">
        <f t="shared" si="15"/>
        <v>42675</v>
      </c>
      <c r="L212" s="67">
        <f t="shared" si="16"/>
        <v>6</v>
      </c>
      <c r="M212" s="68">
        <v>2.23333E-3</v>
      </c>
      <c r="N212" s="69">
        <f t="shared" si="17"/>
        <v>-0.59201111639999993</v>
      </c>
      <c r="O212" s="66"/>
      <c r="P212" s="71">
        <f t="shared" si="18"/>
        <v>0</v>
      </c>
      <c r="Q212" s="132"/>
      <c r="R212" s="71">
        <f t="shared" si="19"/>
        <v>-0.62539551249999992</v>
      </c>
      <c r="S212" s="64"/>
    </row>
    <row r="213" spans="1:19">
      <c r="A213" s="64" t="s">
        <v>29</v>
      </c>
      <c r="B213" s="65" t="s">
        <v>941</v>
      </c>
      <c r="C213" s="65" t="s">
        <v>942</v>
      </c>
      <c r="D213" s="64" t="s">
        <v>105</v>
      </c>
      <c r="E213" s="65" t="s">
        <v>943</v>
      </c>
      <c r="F213" s="64" t="s">
        <v>34</v>
      </c>
      <c r="G213" s="65" t="s">
        <v>20</v>
      </c>
      <c r="H213" s="65" t="s">
        <v>933</v>
      </c>
      <c r="I213" s="65">
        <v>201409</v>
      </c>
      <c r="J213" s="66">
        <v>29.7</v>
      </c>
      <c r="K213" s="72">
        <f t="shared" si="15"/>
        <v>42675</v>
      </c>
      <c r="L213" s="67">
        <f t="shared" si="16"/>
        <v>6</v>
      </c>
      <c r="M213" s="68">
        <v>2.23333E-3</v>
      </c>
      <c r="N213" s="69">
        <f t="shared" si="17"/>
        <v>0.39797940599999998</v>
      </c>
      <c r="O213" s="66"/>
      <c r="P213" s="71">
        <f t="shared" si="18"/>
        <v>0</v>
      </c>
      <c r="Q213" s="132"/>
      <c r="R213" s="71">
        <f t="shared" si="19"/>
        <v>0.42042206249999997</v>
      </c>
      <c r="S213" s="64"/>
    </row>
    <row r="214" spans="1:19">
      <c r="A214" s="64" t="s">
        <v>29</v>
      </c>
      <c r="B214" s="65" t="s">
        <v>318</v>
      </c>
      <c r="C214" s="65" t="s">
        <v>319</v>
      </c>
      <c r="D214" s="64" t="s">
        <v>105</v>
      </c>
      <c r="E214" s="65" t="s">
        <v>320</v>
      </c>
      <c r="F214" s="64" t="s">
        <v>34</v>
      </c>
      <c r="G214" s="65" t="s">
        <v>20</v>
      </c>
      <c r="H214" s="65" t="s">
        <v>933</v>
      </c>
      <c r="I214" s="65">
        <v>201409</v>
      </c>
      <c r="J214" s="66">
        <v>1203.8</v>
      </c>
      <c r="K214" s="72">
        <f t="shared" si="15"/>
        <v>42675</v>
      </c>
      <c r="L214" s="67">
        <f t="shared" si="16"/>
        <v>6</v>
      </c>
      <c r="M214" s="68">
        <v>2.23333E-3</v>
      </c>
      <c r="N214" s="69">
        <f t="shared" si="17"/>
        <v>16.130895923999997</v>
      </c>
      <c r="O214" s="66"/>
      <c r="P214" s="71">
        <f t="shared" si="18"/>
        <v>0</v>
      </c>
      <c r="Q214" s="132"/>
      <c r="R214" s="71">
        <f t="shared" si="19"/>
        <v>17.040541374999997</v>
      </c>
      <c r="S214" s="64"/>
    </row>
    <row r="215" spans="1:19">
      <c r="A215" s="64" t="s">
        <v>29</v>
      </c>
      <c r="B215" s="65" t="s">
        <v>321</v>
      </c>
      <c r="C215" s="65" t="s">
        <v>322</v>
      </c>
      <c r="D215" s="64" t="s">
        <v>323</v>
      </c>
      <c r="E215" s="65" t="s">
        <v>324</v>
      </c>
      <c r="F215" s="64" t="s">
        <v>52</v>
      </c>
      <c r="G215" s="65" t="s">
        <v>20</v>
      </c>
      <c r="H215" s="65" t="s">
        <v>933</v>
      </c>
      <c r="I215" s="65">
        <v>201409</v>
      </c>
      <c r="J215" s="66">
        <v>47053.64</v>
      </c>
      <c r="K215" s="72">
        <f t="shared" si="15"/>
        <v>42675</v>
      </c>
      <c r="L215" s="67">
        <f t="shared" si="16"/>
        <v>6</v>
      </c>
      <c r="M215" s="68">
        <v>2.23333E-3</v>
      </c>
      <c r="N215" s="69">
        <f t="shared" si="17"/>
        <v>630.51783492719994</v>
      </c>
      <c r="O215" s="66"/>
      <c r="P215" s="71">
        <f t="shared" si="18"/>
        <v>0</v>
      </c>
      <c r="Q215" s="132"/>
      <c r="R215" s="71">
        <f t="shared" si="19"/>
        <v>666.07368272499991</v>
      </c>
      <c r="S215" s="64"/>
    </row>
    <row r="216" spans="1:19">
      <c r="A216" s="64" t="s">
        <v>29</v>
      </c>
      <c r="B216" s="65" t="s">
        <v>419</v>
      </c>
      <c r="C216" s="65" t="s">
        <v>420</v>
      </c>
      <c r="D216" s="64" t="s">
        <v>50</v>
      </c>
      <c r="E216" s="65" t="s">
        <v>421</v>
      </c>
      <c r="F216" s="64" t="s">
        <v>52</v>
      </c>
      <c r="G216" s="65" t="s">
        <v>20</v>
      </c>
      <c r="H216" s="65" t="s">
        <v>933</v>
      </c>
      <c r="I216" s="65">
        <v>201409</v>
      </c>
      <c r="J216" s="66">
        <v>103995.5</v>
      </c>
      <c r="K216" s="72">
        <f t="shared" si="15"/>
        <v>42675</v>
      </c>
      <c r="L216" s="67">
        <f t="shared" si="16"/>
        <v>6</v>
      </c>
      <c r="M216" s="68">
        <v>2.23333E-3</v>
      </c>
      <c r="N216" s="69">
        <f t="shared" si="17"/>
        <v>1393.5376200899998</v>
      </c>
      <c r="O216" s="66"/>
      <c r="P216" s="71">
        <f t="shared" si="18"/>
        <v>0</v>
      </c>
      <c r="Q216" s="132"/>
      <c r="R216" s="71">
        <f t="shared" si="19"/>
        <v>1472.1212996874999</v>
      </c>
      <c r="S216" s="64"/>
    </row>
    <row r="217" spans="1:19">
      <c r="A217" s="64" t="s">
        <v>29</v>
      </c>
      <c r="B217" s="65" t="s">
        <v>839</v>
      </c>
      <c r="C217" s="65" t="s">
        <v>840</v>
      </c>
      <c r="D217" s="64" t="s">
        <v>50</v>
      </c>
      <c r="E217" s="65" t="s">
        <v>841</v>
      </c>
      <c r="F217" s="64" t="s">
        <v>52</v>
      </c>
      <c r="G217" s="65" t="s">
        <v>20</v>
      </c>
      <c r="H217" s="65" t="s">
        <v>933</v>
      </c>
      <c r="I217" s="65">
        <v>201409</v>
      </c>
      <c r="J217" s="66">
        <v>-0.62</v>
      </c>
      <c r="K217" s="72">
        <f t="shared" ref="K217:K280" si="20">+K216</f>
        <v>42675</v>
      </c>
      <c r="L217" s="67">
        <f t="shared" si="16"/>
        <v>6</v>
      </c>
      <c r="M217" s="68">
        <v>2.23333E-3</v>
      </c>
      <c r="N217" s="69">
        <f t="shared" si="17"/>
        <v>-8.3079875999999987E-3</v>
      </c>
      <c r="O217" s="66"/>
      <c r="P217" s="71">
        <f t="shared" si="18"/>
        <v>0</v>
      </c>
      <c r="Q217" s="132"/>
      <c r="R217" s="71">
        <f t="shared" si="19"/>
        <v>-8.776487500000001E-3</v>
      </c>
      <c r="S217" s="64"/>
    </row>
    <row r="218" spans="1:19">
      <c r="A218" s="64" t="s">
        <v>29</v>
      </c>
      <c r="B218" s="65" t="s">
        <v>325</v>
      </c>
      <c r="C218" s="65" t="s">
        <v>326</v>
      </c>
      <c r="D218" s="64" t="s">
        <v>327</v>
      </c>
      <c r="E218" s="65" t="s">
        <v>328</v>
      </c>
      <c r="F218" s="64" t="s">
        <v>58</v>
      </c>
      <c r="G218" s="65" t="s">
        <v>20</v>
      </c>
      <c r="H218" s="65" t="s">
        <v>933</v>
      </c>
      <c r="I218" s="65">
        <v>201409</v>
      </c>
      <c r="J218" s="66">
        <v>7053.44</v>
      </c>
      <c r="K218" s="72">
        <f t="shared" si="20"/>
        <v>42675</v>
      </c>
      <c r="L218" s="67">
        <f t="shared" si="16"/>
        <v>6</v>
      </c>
      <c r="M218" s="68">
        <v>2.23333E-3</v>
      </c>
      <c r="N218" s="69">
        <f t="shared" si="17"/>
        <v>94.515954931199985</v>
      </c>
      <c r="O218" s="66"/>
      <c r="P218" s="71">
        <f t="shared" si="18"/>
        <v>0</v>
      </c>
      <c r="Q218" s="132"/>
      <c r="R218" s="71">
        <f t="shared" si="19"/>
        <v>99.845851599999989</v>
      </c>
      <c r="S218" s="64"/>
    </row>
    <row r="219" spans="1:19">
      <c r="A219" s="64" t="s">
        <v>21</v>
      </c>
      <c r="B219" s="65" t="s">
        <v>329</v>
      </c>
      <c r="C219" s="65" t="s">
        <v>330</v>
      </c>
      <c r="D219" s="64" t="s">
        <v>331</v>
      </c>
      <c r="E219" s="65" t="s">
        <v>164</v>
      </c>
      <c r="F219" s="64" t="s">
        <v>165</v>
      </c>
      <c r="G219" s="65" t="s">
        <v>20</v>
      </c>
      <c r="H219" s="65" t="s">
        <v>928</v>
      </c>
      <c r="I219" s="65">
        <v>201409</v>
      </c>
      <c r="J219" s="66">
        <v>-4641.3900000000003</v>
      </c>
      <c r="K219" s="72">
        <f t="shared" si="20"/>
        <v>42675</v>
      </c>
      <c r="L219" s="67">
        <f t="shared" si="16"/>
        <v>6</v>
      </c>
      <c r="M219" s="68">
        <v>1.4833299999999999E-3</v>
      </c>
      <c r="N219" s="69">
        <f t="shared" si="17"/>
        <v>-41.308278172200005</v>
      </c>
      <c r="O219" s="66"/>
      <c r="P219" s="71">
        <f t="shared" si="18"/>
        <v>0</v>
      </c>
      <c r="Q219" s="132"/>
      <c r="R219" s="71">
        <f t="shared" si="19"/>
        <v>-65.701776318750007</v>
      </c>
      <c r="S219" s="64"/>
    </row>
    <row r="220" spans="1:19">
      <c r="A220" s="64" t="s">
        <v>21</v>
      </c>
      <c r="B220" s="65" t="s">
        <v>678</v>
      </c>
      <c r="C220" s="65" t="s">
        <v>679</v>
      </c>
      <c r="D220" s="64" t="s">
        <v>680</v>
      </c>
      <c r="E220" s="65" t="s">
        <v>75</v>
      </c>
      <c r="F220" s="64" t="s">
        <v>26</v>
      </c>
      <c r="G220" s="65" t="s">
        <v>20</v>
      </c>
      <c r="H220" s="65" t="s">
        <v>928</v>
      </c>
      <c r="I220" s="65">
        <v>201409</v>
      </c>
      <c r="J220" s="66">
        <v>-84.14</v>
      </c>
      <c r="K220" s="72">
        <f t="shared" si="20"/>
        <v>42675</v>
      </c>
      <c r="L220" s="67">
        <f t="shared" si="16"/>
        <v>6</v>
      </c>
      <c r="M220" s="68">
        <v>1.4833299999999999E-3</v>
      </c>
      <c r="N220" s="69">
        <f t="shared" si="17"/>
        <v>-0.7488443172</v>
      </c>
      <c r="O220" s="66"/>
      <c r="P220" s="71">
        <f t="shared" si="18"/>
        <v>0</v>
      </c>
      <c r="Q220" s="132"/>
      <c r="R220" s="71">
        <f t="shared" si="19"/>
        <v>-1.1910542874999999</v>
      </c>
      <c r="S220" s="64"/>
    </row>
    <row r="221" spans="1:19">
      <c r="A221" s="64" t="s">
        <v>127</v>
      </c>
      <c r="B221" s="65" t="s">
        <v>681</v>
      </c>
      <c r="C221" s="65" t="s">
        <v>682</v>
      </c>
      <c r="D221" s="64" t="s">
        <v>683</v>
      </c>
      <c r="E221" s="65" t="s">
        <v>131</v>
      </c>
      <c r="F221" s="64" t="s">
        <v>132</v>
      </c>
      <c r="G221" s="65" t="s">
        <v>20</v>
      </c>
      <c r="H221" s="65" t="s">
        <v>935</v>
      </c>
      <c r="I221" s="65">
        <v>201409</v>
      </c>
      <c r="J221" s="66">
        <v>-567.96</v>
      </c>
      <c r="K221" s="72">
        <f t="shared" si="20"/>
        <v>42675</v>
      </c>
      <c r="L221" s="67">
        <f t="shared" si="16"/>
        <v>6</v>
      </c>
      <c r="M221" s="68">
        <v>2.3833299999999999E-3</v>
      </c>
      <c r="N221" s="69">
        <f t="shared" si="17"/>
        <v>-8.1218166408000005</v>
      </c>
      <c r="O221" s="66"/>
      <c r="P221" s="71">
        <f t="shared" si="18"/>
        <v>0</v>
      </c>
      <c r="Q221" s="132"/>
      <c r="R221" s="71">
        <f t="shared" si="19"/>
        <v>-8.0398287750000001</v>
      </c>
      <c r="S221" s="64"/>
    </row>
    <row r="222" spans="1:19">
      <c r="A222" s="64" t="s">
        <v>21</v>
      </c>
      <c r="B222" s="65" t="s">
        <v>507</v>
      </c>
      <c r="C222" s="65" t="s">
        <v>508</v>
      </c>
      <c r="D222" s="64" t="s">
        <v>509</v>
      </c>
      <c r="E222" s="65" t="s">
        <v>260</v>
      </c>
      <c r="F222" s="64" t="s">
        <v>26</v>
      </c>
      <c r="G222" s="65" t="s">
        <v>20</v>
      </c>
      <c r="H222" s="65" t="s">
        <v>928</v>
      </c>
      <c r="I222" s="65">
        <v>201409</v>
      </c>
      <c r="J222" s="66">
        <v>-1384.18</v>
      </c>
      <c r="K222" s="72">
        <f t="shared" si="20"/>
        <v>42675</v>
      </c>
      <c r="L222" s="67">
        <f t="shared" si="16"/>
        <v>6</v>
      </c>
      <c r="M222" s="68">
        <v>1.4833299999999999E-3</v>
      </c>
      <c r="N222" s="69">
        <f t="shared" si="17"/>
        <v>-12.3191743164</v>
      </c>
      <c r="O222" s="66"/>
      <c r="P222" s="71">
        <f t="shared" si="18"/>
        <v>0</v>
      </c>
      <c r="Q222" s="132"/>
      <c r="R222" s="71">
        <f t="shared" si="19"/>
        <v>-19.593933012499999</v>
      </c>
      <c r="S222" s="64"/>
    </row>
    <row r="223" spans="1:19">
      <c r="A223" s="64" t="s">
        <v>21</v>
      </c>
      <c r="B223" s="65" t="s">
        <v>332</v>
      </c>
      <c r="C223" s="65" t="s">
        <v>333</v>
      </c>
      <c r="D223" s="64" t="s">
        <v>334</v>
      </c>
      <c r="E223" s="65" t="s">
        <v>209</v>
      </c>
      <c r="F223" s="64" t="s">
        <v>88</v>
      </c>
      <c r="G223" s="65" t="s">
        <v>20</v>
      </c>
      <c r="H223" s="65" t="s">
        <v>929</v>
      </c>
      <c r="I223" s="65">
        <v>201409</v>
      </c>
      <c r="J223" s="66">
        <v>-630.88</v>
      </c>
      <c r="K223" s="72">
        <f t="shared" si="20"/>
        <v>42675</v>
      </c>
      <c r="L223" s="67">
        <f t="shared" si="16"/>
        <v>6</v>
      </c>
      <c r="M223" s="68">
        <v>1.4833299999999999E-3</v>
      </c>
      <c r="N223" s="69">
        <f t="shared" si="17"/>
        <v>-5.6148193824000003</v>
      </c>
      <c r="O223" s="66"/>
      <c r="P223" s="71">
        <f t="shared" si="18"/>
        <v>0</v>
      </c>
      <c r="Q223" s="132"/>
      <c r="R223" s="71">
        <f t="shared" si="19"/>
        <v>-8.9305006999999996</v>
      </c>
      <c r="S223" s="64"/>
    </row>
    <row r="224" spans="1:19">
      <c r="A224" s="64" t="s">
        <v>127</v>
      </c>
      <c r="B224" s="65" t="s">
        <v>684</v>
      </c>
      <c r="C224" s="65" t="s">
        <v>685</v>
      </c>
      <c r="D224" s="64" t="s">
        <v>686</v>
      </c>
      <c r="E224" s="65" t="s">
        <v>131</v>
      </c>
      <c r="F224" s="64" t="s">
        <v>132</v>
      </c>
      <c r="G224" s="65" t="s">
        <v>20</v>
      </c>
      <c r="H224" s="65" t="s">
        <v>935</v>
      </c>
      <c r="I224" s="65">
        <v>201409</v>
      </c>
      <c r="J224" s="66">
        <v>-212.27</v>
      </c>
      <c r="K224" s="72">
        <f t="shared" si="20"/>
        <v>42675</v>
      </c>
      <c r="L224" s="67">
        <f t="shared" si="16"/>
        <v>6</v>
      </c>
      <c r="M224" s="68">
        <v>2.3833299999999999E-3</v>
      </c>
      <c r="N224" s="69">
        <f t="shared" si="17"/>
        <v>-3.0354567546000002</v>
      </c>
      <c r="O224" s="66"/>
      <c r="P224" s="71">
        <f t="shared" si="18"/>
        <v>0</v>
      </c>
      <c r="Q224" s="132"/>
      <c r="R224" s="71">
        <f t="shared" si="19"/>
        <v>-3.0048145187499999</v>
      </c>
      <c r="S224" s="64"/>
    </row>
    <row r="225" spans="1:19">
      <c r="A225" s="64" t="s">
        <v>127</v>
      </c>
      <c r="B225" s="65" t="s">
        <v>422</v>
      </c>
      <c r="C225" s="65" t="s">
        <v>423</v>
      </c>
      <c r="D225" s="64" t="s">
        <v>424</v>
      </c>
      <c r="E225" s="65" t="s">
        <v>131</v>
      </c>
      <c r="F225" s="64" t="s">
        <v>132</v>
      </c>
      <c r="G225" s="65" t="s">
        <v>20</v>
      </c>
      <c r="H225" s="65" t="s">
        <v>935</v>
      </c>
      <c r="I225" s="65">
        <v>201409</v>
      </c>
      <c r="J225" s="66">
        <v>12.14</v>
      </c>
      <c r="K225" s="72">
        <f t="shared" si="20"/>
        <v>42675</v>
      </c>
      <c r="L225" s="67">
        <f t="shared" si="16"/>
        <v>6</v>
      </c>
      <c r="M225" s="68">
        <v>2.3833299999999999E-3</v>
      </c>
      <c r="N225" s="69">
        <f t="shared" si="17"/>
        <v>0.17360175720000001</v>
      </c>
      <c r="O225" s="66"/>
      <c r="P225" s="71">
        <f t="shared" si="18"/>
        <v>0</v>
      </c>
      <c r="Q225" s="132"/>
      <c r="R225" s="71">
        <f t="shared" si="19"/>
        <v>0.1718492875</v>
      </c>
      <c r="S225" s="64"/>
    </row>
    <row r="226" spans="1:19">
      <c r="A226" s="64" t="s">
        <v>21</v>
      </c>
      <c r="B226" s="65" t="s">
        <v>335</v>
      </c>
      <c r="C226" s="65" t="s">
        <v>336</v>
      </c>
      <c r="D226" s="64" t="s">
        <v>337</v>
      </c>
      <c r="E226" s="65" t="s">
        <v>75</v>
      </c>
      <c r="F226" s="64" t="s">
        <v>26</v>
      </c>
      <c r="G226" s="65" t="s">
        <v>20</v>
      </c>
      <c r="H226" s="65" t="s">
        <v>928</v>
      </c>
      <c r="I226" s="65">
        <v>201409</v>
      </c>
      <c r="J226" s="66">
        <v>-66.150000000000006</v>
      </c>
      <c r="K226" s="72">
        <f t="shared" si="20"/>
        <v>42675</v>
      </c>
      <c r="L226" s="67">
        <f t="shared" si="16"/>
        <v>6</v>
      </c>
      <c r="M226" s="68">
        <v>1.4833299999999999E-3</v>
      </c>
      <c r="N226" s="69">
        <f t="shared" si="17"/>
        <v>-0.58873367700000001</v>
      </c>
      <c r="O226" s="66"/>
      <c r="P226" s="71">
        <f t="shared" si="18"/>
        <v>0</v>
      </c>
      <c r="Q226" s="132"/>
      <c r="R226" s="71">
        <f t="shared" si="19"/>
        <v>-0.93639459375</v>
      </c>
      <c r="S226" s="64"/>
    </row>
    <row r="227" spans="1:19">
      <c r="A227" s="64" t="s">
        <v>21</v>
      </c>
      <c r="B227" s="65" t="s">
        <v>338</v>
      </c>
      <c r="C227" s="65" t="s">
        <v>339</v>
      </c>
      <c r="D227" s="64" t="s">
        <v>340</v>
      </c>
      <c r="E227" s="65" t="s">
        <v>164</v>
      </c>
      <c r="F227" s="64" t="s">
        <v>165</v>
      </c>
      <c r="G227" s="65" t="s">
        <v>20</v>
      </c>
      <c r="H227" s="65" t="s">
        <v>928</v>
      </c>
      <c r="I227" s="65">
        <v>201409</v>
      </c>
      <c r="J227" s="66">
        <v>-1734.87</v>
      </c>
      <c r="K227" s="72">
        <f t="shared" si="20"/>
        <v>42675</v>
      </c>
      <c r="L227" s="67">
        <f t="shared" si="16"/>
        <v>6</v>
      </c>
      <c r="M227" s="68">
        <v>1.4833299999999999E-3</v>
      </c>
      <c r="N227" s="69">
        <f t="shared" si="17"/>
        <v>-15.440308302599998</v>
      </c>
      <c r="O227" s="66"/>
      <c r="P227" s="71">
        <f t="shared" si="18"/>
        <v>0</v>
      </c>
      <c r="Q227" s="132"/>
      <c r="R227" s="71">
        <f t="shared" si="19"/>
        <v>-24.558169143749996</v>
      </c>
      <c r="S227" s="64"/>
    </row>
    <row r="228" spans="1:19">
      <c r="A228" s="64" t="s">
        <v>21</v>
      </c>
      <c r="B228" s="65" t="s">
        <v>687</v>
      </c>
      <c r="C228" s="65" t="s">
        <v>688</v>
      </c>
      <c r="D228" s="64" t="s">
        <v>689</v>
      </c>
      <c r="E228" s="65" t="s">
        <v>164</v>
      </c>
      <c r="F228" s="64" t="s">
        <v>165</v>
      </c>
      <c r="G228" s="65" t="s">
        <v>20</v>
      </c>
      <c r="H228" s="65" t="s">
        <v>928</v>
      </c>
      <c r="I228" s="65">
        <v>201409</v>
      </c>
      <c r="J228" s="66">
        <v>-2330.69</v>
      </c>
      <c r="K228" s="72">
        <f t="shared" si="20"/>
        <v>42675</v>
      </c>
      <c r="L228" s="67">
        <f t="shared" si="16"/>
        <v>6</v>
      </c>
      <c r="M228" s="68">
        <v>1.4833299999999999E-3</v>
      </c>
      <c r="N228" s="69">
        <f t="shared" si="17"/>
        <v>-20.743094386199999</v>
      </c>
      <c r="O228" s="66"/>
      <c r="P228" s="71">
        <f t="shared" si="18"/>
        <v>0</v>
      </c>
      <c r="Q228" s="132"/>
      <c r="R228" s="71">
        <f t="shared" si="19"/>
        <v>-32.992373631249997</v>
      </c>
      <c r="S228" s="64"/>
    </row>
    <row r="229" spans="1:19">
      <c r="A229" s="64" t="s">
        <v>21</v>
      </c>
      <c r="B229" s="65" t="s">
        <v>341</v>
      </c>
      <c r="C229" s="65" t="s">
        <v>342</v>
      </c>
      <c r="D229" s="64" t="s">
        <v>343</v>
      </c>
      <c r="E229" s="65" t="s">
        <v>137</v>
      </c>
      <c r="F229" s="64" t="s">
        <v>138</v>
      </c>
      <c r="G229" s="65" t="s">
        <v>20</v>
      </c>
      <c r="H229" s="65" t="s">
        <v>928</v>
      </c>
      <c r="I229" s="65">
        <v>201409</v>
      </c>
      <c r="J229" s="66">
        <v>-15326.11</v>
      </c>
      <c r="K229" s="72">
        <f t="shared" si="20"/>
        <v>42675</v>
      </c>
      <c r="L229" s="67">
        <f t="shared" si="16"/>
        <v>6</v>
      </c>
      <c r="M229" s="68">
        <v>1.4833299999999999E-3</v>
      </c>
      <c r="N229" s="69">
        <f t="shared" si="17"/>
        <v>-136.4020724778</v>
      </c>
      <c r="O229" s="66"/>
      <c r="P229" s="71">
        <f t="shared" si="18"/>
        <v>0</v>
      </c>
      <c r="Q229" s="132"/>
      <c r="R229" s="71">
        <f t="shared" si="19"/>
        <v>-216.95066586874998</v>
      </c>
      <c r="S229" s="64"/>
    </row>
    <row r="230" spans="1:19">
      <c r="A230" s="64" t="s">
        <v>21</v>
      </c>
      <c r="B230" s="65" t="s">
        <v>344</v>
      </c>
      <c r="C230" s="65" t="s">
        <v>345</v>
      </c>
      <c r="D230" s="64" t="s">
        <v>346</v>
      </c>
      <c r="E230" s="65" t="s">
        <v>137</v>
      </c>
      <c r="F230" s="64" t="s">
        <v>138</v>
      </c>
      <c r="G230" s="65" t="s">
        <v>20</v>
      </c>
      <c r="H230" s="65" t="s">
        <v>928</v>
      </c>
      <c r="I230" s="65">
        <v>201409</v>
      </c>
      <c r="J230" s="66">
        <v>-1896.12</v>
      </c>
      <c r="K230" s="72">
        <f t="shared" si="20"/>
        <v>42675</v>
      </c>
      <c r="L230" s="67">
        <f t="shared" si="16"/>
        <v>6</v>
      </c>
      <c r="M230" s="68">
        <v>1.4833299999999999E-3</v>
      </c>
      <c r="N230" s="69">
        <f t="shared" si="17"/>
        <v>-16.875430077600001</v>
      </c>
      <c r="O230" s="66"/>
      <c r="P230" s="71">
        <f t="shared" si="18"/>
        <v>0</v>
      </c>
      <c r="Q230" s="132"/>
      <c r="R230" s="71">
        <f t="shared" si="19"/>
        <v>-26.840763674999998</v>
      </c>
      <c r="S230" s="64"/>
    </row>
    <row r="231" spans="1:19">
      <c r="A231" s="64" t="s">
        <v>626</v>
      </c>
      <c r="B231" s="65" t="s">
        <v>510</v>
      </c>
      <c r="C231" s="65" t="s">
        <v>511</v>
      </c>
      <c r="D231" s="64" t="s">
        <v>512</v>
      </c>
      <c r="E231" s="65" t="s">
        <v>497</v>
      </c>
      <c r="F231" s="64" t="s">
        <v>26</v>
      </c>
      <c r="G231" s="65" t="s">
        <v>20</v>
      </c>
      <c r="H231" s="65" t="s">
        <v>928</v>
      </c>
      <c r="I231" s="65">
        <v>201409</v>
      </c>
      <c r="J231" s="66">
        <v>-672.99</v>
      </c>
      <c r="K231" s="72">
        <f t="shared" si="20"/>
        <v>42675</v>
      </c>
      <c r="L231" s="67">
        <f t="shared" si="16"/>
        <v>6</v>
      </c>
      <c r="M231" s="68">
        <v>1.4833299999999999E-3</v>
      </c>
      <c r="N231" s="69">
        <f t="shared" si="17"/>
        <v>-5.9895975402000001</v>
      </c>
      <c r="O231" s="66"/>
      <c r="P231" s="71">
        <f t="shared" si="18"/>
        <v>0</v>
      </c>
      <c r="Q231" s="132"/>
      <c r="R231" s="71">
        <f t="shared" si="19"/>
        <v>-9.5265940687500006</v>
      </c>
      <c r="S231" s="64"/>
    </row>
    <row r="232" spans="1:19">
      <c r="A232" s="64" t="s">
        <v>21</v>
      </c>
      <c r="B232" s="65" t="s">
        <v>347</v>
      </c>
      <c r="C232" s="65" t="s">
        <v>348</v>
      </c>
      <c r="D232" s="64" t="s">
        <v>349</v>
      </c>
      <c r="E232" s="65" t="s">
        <v>102</v>
      </c>
      <c r="F232" s="64" t="s">
        <v>19</v>
      </c>
      <c r="G232" s="65" t="s">
        <v>20</v>
      </c>
      <c r="H232" s="65" t="s">
        <v>928</v>
      </c>
      <c r="I232" s="65">
        <v>201409</v>
      </c>
      <c r="J232" s="66">
        <v>-155.05000000000001</v>
      </c>
      <c r="K232" s="72">
        <f t="shared" si="20"/>
        <v>42675</v>
      </c>
      <c r="L232" s="67">
        <f t="shared" si="16"/>
        <v>6</v>
      </c>
      <c r="M232" s="68">
        <v>1.4833299999999999E-3</v>
      </c>
      <c r="N232" s="69">
        <f t="shared" si="17"/>
        <v>-1.3799418990000001</v>
      </c>
      <c r="O232" s="66"/>
      <c r="P232" s="71">
        <f t="shared" si="18"/>
        <v>0</v>
      </c>
      <c r="Q232" s="132"/>
      <c r="R232" s="71">
        <f t="shared" si="19"/>
        <v>-2.19482965625</v>
      </c>
      <c r="S232" s="64"/>
    </row>
    <row r="233" spans="1:19">
      <c r="A233" s="64" t="s">
        <v>21</v>
      </c>
      <c r="B233" s="65" t="s">
        <v>350</v>
      </c>
      <c r="C233" s="65" t="s">
        <v>351</v>
      </c>
      <c r="D233" s="64" t="s">
        <v>352</v>
      </c>
      <c r="E233" s="65" t="s">
        <v>75</v>
      </c>
      <c r="F233" s="64" t="s">
        <v>26</v>
      </c>
      <c r="G233" s="65" t="s">
        <v>20</v>
      </c>
      <c r="H233" s="65" t="s">
        <v>928</v>
      </c>
      <c r="I233" s="65">
        <v>201409</v>
      </c>
      <c r="J233" s="66">
        <v>-228.89</v>
      </c>
      <c r="K233" s="72">
        <f t="shared" si="20"/>
        <v>42675</v>
      </c>
      <c r="L233" s="67">
        <f t="shared" si="16"/>
        <v>6</v>
      </c>
      <c r="M233" s="68">
        <v>1.4833299999999999E-3</v>
      </c>
      <c r="N233" s="69">
        <f t="shared" si="17"/>
        <v>-2.0371164222</v>
      </c>
      <c r="O233" s="66"/>
      <c r="P233" s="71">
        <f t="shared" si="18"/>
        <v>0</v>
      </c>
      <c r="Q233" s="132"/>
      <c r="R233" s="71">
        <f t="shared" si="19"/>
        <v>-3.2400810062499996</v>
      </c>
      <c r="S233" s="64"/>
    </row>
    <row r="234" spans="1:19">
      <c r="A234" s="64" t="s">
        <v>21</v>
      </c>
      <c r="B234" s="65" t="s">
        <v>357</v>
      </c>
      <c r="C234" s="65" t="s">
        <v>358</v>
      </c>
      <c r="D234" s="64" t="s">
        <v>359</v>
      </c>
      <c r="E234" s="65" t="s">
        <v>360</v>
      </c>
      <c r="F234" s="64" t="s">
        <v>19</v>
      </c>
      <c r="G234" s="65" t="s">
        <v>20</v>
      </c>
      <c r="H234" s="65" t="s">
        <v>928</v>
      </c>
      <c r="I234" s="65">
        <v>201409</v>
      </c>
      <c r="J234" s="66">
        <v>-553.08000000000004</v>
      </c>
      <c r="K234" s="72">
        <f t="shared" si="20"/>
        <v>42675</v>
      </c>
      <c r="L234" s="67">
        <f t="shared" si="16"/>
        <v>6</v>
      </c>
      <c r="M234" s="68">
        <v>1.4833299999999999E-3</v>
      </c>
      <c r="N234" s="69">
        <f t="shared" si="17"/>
        <v>-4.9224009384</v>
      </c>
      <c r="O234" s="66"/>
      <c r="P234" s="71">
        <f t="shared" si="18"/>
        <v>0</v>
      </c>
      <c r="Q234" s="132"/>
      <c r="R234" s="71">
        <f t="shared" si="19"/>
        <v>-7.8291930750000009</v>
      </c>
      <c r="S234" s="64"/>
    </row>
    <row r="235" spans="1:19">
      <c r="A235" s="64" t="s">
        <v>21</v>
      </c>
      <c r="B235" s="65" t="s">
        <v>361</v>
      </c>
      <c r="C235" s="65" t="s">
        <v>362</v>
      </c>
      <c r="D235" s="64" t="s">
        <v>363</v>
      </c>
      <c r="E235" s="65" t="s">
        <v>164</v>
      </c>
      <c r="F235" s="64" t="s">
        <v>165</v>
      </c>
      <c r="G235" s="65" t="s">
        <v>20</v>
      </c>
      <c r="H235" s="65" t="s">
        <v>928</v>
      </c>
      <c r="I235" s="65">
        <v>201409</v>
      </c>
      <c r="J235" s="66">
        <v>-540.4</v>
      </c>
      <c r="K235" s="72">
        <f t="shared" si="20"/>
        <v>42675</v>
      </c>
      <c r="L235" s="67">
        <f t="shared" si="16"/>
        <v>6</v>
      </c>
      <c r="M235" s="68">
        <v>1.4833299999999999E-3</v>
      </c>
      <c r="N235" s="69">
        <f t="shared" si="17"/>
        <v>-4.8095491919999995</v>
      </c>
      <c r="O235" s="66"/>
      <c r="P235" s="71">
        <f t="shared" si="18"/>
        <v>0</v>
      </c>
      <c r="Q235" s="132"/>
      <c r="R235" s="71">
        <f t="shared" si="19"/>
        <v>-7.649699749999999</v>
      </c>
      <c r="S235" s="64"/>
    </row>
    <row r="236" spans="1:19">
      <c r="A236" s="64" t="s">
        <v>21</v>
      </c>
      <c r="B236" s="65" t="s">
        <v>690</v>
      </c>
      <c r="C236" s="65" t="s">
        <v>691</v>
      </c>
      <c r="D236" s="64" t="s">
        <v>692</v>
      </c>
      <c r="E236" s="65" t="s">
        <v>63</v>
      </c>
      <c r="F236" s="64" t="s">
        <v>19</v>
      </c>
      <c r="G236" s="65" t="s">
        <v>20</v>
      </c>
      <c r="H236" s="65" t="s">
        <v>928</v>
      </c>
      <c r="I236" s="65">
        <v>201409</v>
      </c>
      <c r="J236" s="66">
        <v>27.48</v>
      </c>
      <c r="K236" s="72">
        <f t="shared" si="20"/>
        <v>42675</v>
      </c>
      <c r="L236" s="67">
        <f t="shared" si="16"/>
        <v>6</v>
      </c>
      <c r="M236" s="68">
        <v>1.4833299999999999E-3</v>
      </c>
      <c r="N236" s="69">
        <f t="shared" si="17"/>
        <v>0.2445714504</v>
      </c>
      <c r="O236" s="66"/>
      <c r="P236" s="71">
        <f t="shared" si="18"/>
        <v>0</v>
      </c>
      <c r="Q236" s="132"/>
      <c r="R236" s="71">
        <f t="shared" si="19"/>
        <v>0.38899657500000001</v>
      </c>
      <c r="S236" s="64"/>
    </row>
    <row r="237" spans="1:19">
      <c r="A237" s="64" t="s">
        <v>21</v>
      </c>
      <c r="B237" s="65" t="s">
        <v>513</v>
      </c>
      <c r="C237" s="65" t="s">
        <v>514</v>
      </c>
      <c r="D237" s="64" t="s">
        <v>515</v>
      </c>
      <c r="E237" s="65" t="s">
        <v>209</v>
      </c>
      <c r="F237" s="64" t="s">
        <v>88</v>
      </c>
      <c r="G237" s="65" t="s">
        <v>20</v>
      </c>
      <c r="H237" s="65" t="s">
        <v>929</v>
      </c>
      <c r="I237" s="65">
        <v>201409</v>
      </c>
      <c r="J237" s="66">
        <v>-22637.86</v>
      </c>
      <c r="K237" s="72">
        <f t="shared" si="20"/>
        <v>42675</v>
      </c>
      <c r="L237" s="67">
        <f t="shared" si="16"/>
        <v>6</v>
      </c>
      <c r="M237" s="68">
        <v>1.4833299999999999E-3</v>
      </c>
      <c r="N237" s="69">
        <f t="shared" si="17"/>
        <v>-201.4765012428</v>
      </c>
      <c r="O237" s="66"/>
      <c r="P237" s="71">
        <f t="shared" si="18"/>
        <v>0</v>
      </c>
      <c r="Q237" s="132"/>
      <c r="R237" s="71">
        <f t="shared" si="19"/>
        <v>-320.45305696249994</v>
      </c>
      <c r="S237" s="64"/>
    </row>
    <row r="238" spans="1:19">
      <c r="A238" s="64" t="s">
        <v>626</v>
      </c>
      <c r="B238" s="65" t="s">
        <v>513</v>
      </c>
      <c r="C238" s="65" t="s">
        <v>514</v>
      </c>
      <c r="D238" s="64" t="s">
        <v>515</v>
      </c>
      <c r="E238" s="65" t="s">
        <v>209</v>
      </c>
      <c r="F238" s="64" t="s">
        <v>88</v>
      </c>
      <c r="G238" s="65" t="s">
        <v>20</v>
      </c>
      <c r="H238" s="65" t="s">
        <v>929</v>
      </c>
      <c r="I238" s="65">
        <v>201409</v>
      </c>
      <c r="J238" s="66">
        <v>22317.37</v>
      </c>
      <c r="K238" s="72">
        <f t="shared" si="20"/>
        <v>42675</v>
      </c>
      <c r="L238" s="67">
        <f t="shared" si="16"/>
        <v>6</v>
      </c>
      <c r="M238" s="68">
        <v>1.4833299999999999E-3</v>
      </c>
      <c r="N238" s="69">
        <f t="shared" si="17"/>
        <v>198.62414665259999</v>
      </c>
      <c r="O238" s="66"/>
      <c r="P238" s="71">
        <f t="shared" si="18"/>
        <v>0</v>
      </c>
      <c r="Q238" s="132"/>
      <c r="R238" s="71">
        <f t="shared" si="19"/>
        <v>315.91632070624996</v>
      </c>
      <c r="S238" s="64"/>
    </row>
    <row r="239" spans="1:19">
      <c r="A239" s="64" t="s">
        <v>626</v>
      </c>
      <c r="B239" s="65" t="s">
        <v>714</v>
      </c>
      <c r="C239" s="65" t="s">
        <v>715</v>
      </c>
      <c r="D239" s="64" t="s">
        <v>716</v>
      </c>
      <c r="E239" s="65" t="s">
        <v>75</v>
      </c>
      <c r="F239" s="64" t="s">
        <v>26</v>
      </c>
      <c r="G239" s="65" t="s">
        <v>20</v>
      </c>
      <c r="H239" s="65" t="s">
        <v>928</v>
      </c>
      <c r="I239" s="65">
        <v>201409</v>
      </c>
      <c r="J239" s="66">
        <v>-900.72</v>
      </c>
      <c r="K239" s="72">
        <f t="shared" si="20"/>
        <v>42675</v>
      </c>
      <c r="L239" s="67">
        <f t="shared" si="16"/>
        <v>6</v>
      </c>
      <c r="M239" s="68">
        <v>1.4833299999999999E-3</v>
      </c>
      <c r="N239" s="69">
        <f t="shared" si="17"/>
        <v>-8.0163899856</v>
      </c>
      <c r="O239" s="66"/>
      <c r="P239" s="71">
        <f t="shared" si="18"/>
        <v>0</v>
      </c>
      <c r="Q239" s="132"/>
      <c r="R239" s="71">
        <f t="shared" si="19"/>
        <v>-12.750254549999999</v>
      </c>
      <c r="S239" s="64"/>
    </row>
    <row r="240" spans="1:19">
      <c r="A240" s="64" t="s">
        <v>21</v>
      </c>
      <c r="B240" s="65" t="s">
        <v>870</v>
      </c>
      <c r="C240" s="65" t="s">
        <v>871</v>
      </c>
      <c r="D240" s="64" t="s">
        <v>872</v>
      </c>
      <c r="E240" s="65" t="s">
        <v>873</v>
      </c>
      <c r="F240" s="64" t="s">
        <v>874</v>
      </c>
      <c r="G240" s="65" t="s">
        <v>20</v>
      </c>
      <c r="H240" s="65" t="s">
        <v>929</v>
      </c>
      <c r="I240" s="65">
        <v>201409</v>
      </c>
      <c r="J240" s="66">
        <v>-1563.62</v>
      </c>
      <c r="K240" s="72">
        <f t="shared" si="20"/>
        <v>42675</v>
      </c>
      <c r="L240" s="67">
        <f t="shared" si="16"/>
        <v>6</v>
      </c>
      <c r="M240" s="68">
        <v>1.4833299999999999E-3</v>
      </c>
      <c r="N240" s="69">
        <f t="shared" si="17"/>
        <v>-13.9161867276</v>
      </c>
      <c r="O240" s="66"/>
      <c r="P240" s="71">
        <f t="shared" si="18"/>
        <v>0</v>
      </c>
      <c r="Q240" s="132"/>
      <c r="R240" s="71">
        <f t="shared" si="19"/>
        <v>-22.134018362499997</v>
      </c>
      <c r="S240" s="64"/>
    </row>
    <row r="241" spans="1:19">
      <c r="A241" s="64" t="s">
        <v>626</v>
      </c>
      <c r="B241" s="65" t="s">
        <v>776</v>
      </c>
      <c r="C241" s="65" t="s">
        <v>777</v>
      </c>
      <c r="D241" s="64" t="s">
        <v>778</v>
      </c>
      <c r="E241" s="65" t="s">
        <v>75</v>
      </c>
      <c r="F241" s="64" t="s">
        <v>26</v>
      </c>
      <c r="G241" s="65" t="s">
        <v>20</v>
      </c>
      <c r="H241" s="65" t="s">
        <v>928</v>
      </c>
      <c r="I241" s="65">
        <v>201409</v>
      </c>
      <c r="J241" s="66">
        <v>-72.66</v>
      </c>
      <c r="K241" s="72">
        <f t="shared" si="20"/>
        <v>42675</v>
      </c>
      <c r="L241" s="67">
        <f t="shared" si="16"/>
        <v>6</v>
      </c>
      <c r="M241" s="68">
        <v>1.4833299999999999E-3</v>
      </c>
      <c r="N241" s="69">
        <f t="shared" si="17"/>
        <v>-0.64667254679999997</v>
      </c>
      <c r="O241" s="66"/>
      <c r="P241" s="71">
        <f t="shared" si="18"/>
        <v>0</v>
      </c>
      <c r="Q241" s="132"/>
      <c r="R241" s="71">
        <f t="shared" si="19"/>
        <v>-1.0285477125</v>
      </c>
      <c r="S241" s="64"/>
    </row>
    <row r="242" spans="1:19">
      <c r="A242" s="64" t="s">
        <v>29</v>
      </c>
      <c r="B242" s="65" t="s">
        <v>717</v>
      </c>
      <c r="C242" s="65" t="s">
        <v>718</v>
      </c>
      <c r="D242" s="64" t="s">
        <v>719</v>
      </c>
      <c r="E242" s="65" t="s">
        <v>87</v>
      </c>
      <c r="F242" s="64" t="s">
        <v>88</v>
      </c>
      <c r="G242" s="65" t="s">
        <v>20</v>
      </c>
      <c r="H242" s="65" t="s">
        <v>929</v>
      </c>
      <c r="I242" s="65">
        <v>201409</v>
      </c>
      <c r="J242" s="66">
        <v>-307.58</v>
      </c>
      <c r="K242" s="72">
        <f t="shared" si="20"/>
        <v>42675</v>
      </c>
      <c r="L242" s="67">
        <f t="shared" si="16"/>
        <v>6</v>
      </c>
      <c r="M242" s="68">
        <v>2.23333E-3</v>
      </c>
      <c r="N242" s="69">
        <f t="shared" si="17"/>
        <v>-4.1215658483999995</v>
      </c>
      <c r="O242" s="66"/>
      <c r="P242" s="71">
        <f t="shared" si="18"/>
        <v>0</v>
      </c>
      <c r="Q242" s="132"/>
      <c r="R242" s="71">
        <f t="shared" si="19"/>
        <v>-4.353987137499999</v>
      </c>
      <c r="S242" s="64"/>
    </row>
    <row r="243" spans="1:19">
      <c r="A243" s="64" t="s">
        <v>626</v>
      </c>
      <c r="B243" s="65" t="s">
        <v>779</v>
      </c>
      <c r="C243" s="65" t="s">
        <v>780</v>
      </c>
      <c r="D243" s="64" t="s">
        <v>781</v>
      </c>
      <c r="E243" s="65" t="s">
        <v>156</v>
      </c>
      <c r="F243" s="64" t="s">
        <v>26</v>
      </c>
      <c r="G243" s="65" t="s">
        <v>20</v>
      </c>
      <c r="H243" s="65" t="s">
        <v>928</v>
      </c>
      <c r="I243" s="65">
        <v>201409</v>
      </c>
      <c r="J243" s="66">
        <v>-828.96</v>
      </c>
      <c r="K243" s="72">
        <f t="shared" si="20"/>
        <v>42675</v>
      </c>
      <c r="L243" s="67">
        <f t="shared" si="16"/>
        <v>6</v>
      </c>
      <c r="M243" s="68">
        <v>1.4833299999999999E-3</v>
      </c>
      <c r="N243" s="69">
        <f t="shared" si="17"/>
        <v>-7.3777274208000003</v>
      </c>
      <c r="O243" s="66"/>
      <c r="P243" s="71">
        <f t="shared" si="18"/>
        <v>0</v>
      </c>
      <c r="Q243" s="132"/>
      <c r="R243" s="71">
        <f t="shared" si="19"/>
        <v>-11.7344469</v>
      </c>
      <c r="S243" s="64"/>
    </row>
    <row r="244" spans="1:19">
      <c r="A244" s="64" t="s">
        <v>29</v>
      </c>
      <c r="B244" s="65" t="s">
        <v>720</v>
      </c>
      <c r="C244" s="65" t="s">
        <v>721</v>
      </c>
      <c r="D244" s="64" t="s">
        <v>722</v>
      </c>
      <c r="E244" s="65" t="s">
        <v>723</v>
      </c>
      <c r="F244" s="64" t="s">
        <v>285</v>
      </c>
      <c r="G244" s="65" t="s">
        <v>20</v>
      </c>
      <c r="H244" s="65" t="s">
        <v>937</v>
      </c>
      <c r="I244" s="65">
        <v>201409</v>
      </c>
      <c r="J244" s="66">
        <v>-113.44</v>
      </c>
      <c r="K244" s="72">
        <f t="shared" si="20"/>
        <v>42675</v>
      </c>
      <c r="L244" s="67">
        <f t="shared" si="16"/>
        <v>6</v>
      </c>
      <c r="M244" s="68">
        <v>2.23333E-3</v>
      </c>
      <c r="N244" s="69">
        <f t="shared" si="17"/>
        <v>-1.5200937311999998</v>
      </c>
      <c r="O244" s="66"/>
      <c r="P244" s="71">
        <f t="shared" si="18"/>
        <v>0</v>
      </c>
      <c r="Q244" s="132"/>
      <c r="R244" s="71">
        <f t="shared" si="19"/>
        <v>-1.6058140999999999</v>
      </c>
      <c r="S244" s="64"/>
    </row>
    <row r="245" spans="1:19">
      <c r="A245" s="64" t="s">
        <v>21</v>
      </c>
      <c r="B245" s="65" t="s">
        <v>888</v>
      </c>
      <c r="C245" s="65" t="s">
        <v>889</v>
      </c>
      <c r="D245" s="64" t="s">
        <v>890</v>
      </c>
      <c r="E245" s="65" t="s">
        <v>280</v>
      </c>
      <c r="F245" s="64" t="s">
        <v>26</v>
      </c>
      <c r="G245" s="65" t="s">
        <v>20</v>
      </c>
      <c r="H245" s="65" t="s">
        <v>928</v>
      </c>
      <c r="I245" s="65">
        <v>201409</v>
      </c>
      <c r="J245" s="66">
        <v>149.26</v>
      </c>
      <c r="K245" s="72">
        <f t="shared" si="20"/>
        <v>42675</v>
      </c>
      <c r="L245" s="67">
        <f t="shared" si="16"/>
        <v>6</v>
      </c>
      <c r="M245" s="68">
        <v>1.4833299999999999E-3</v>
      </c>
      <c r="N245" s="69">
        <f t="shared" si="17"/>
        <v>1.3284110147999999</v>
      </c>
      <c r="O245" s="66"/>
      <c r="P245" s="71">
        <f t="shared" si="18"/>
        <v>0</v>
      </c>
      <c r="Q245" s="132"/>
      <c r="R245" s="71">
        <f t="shared" si="19"/>
        <v>2.1128685874999995</v>
      </c>
      <c r="S245" s="64"/>
    </row>
    <row r="246" spans="1:19">
      <c r="A246" s="64" t="s">
        <v>626</v>
      </c>
      <c r="B246" s="65" t="s">
        <v>944</v>
      </c>
      <c r="C246" s="65" t="s">
        <v>945</v>
      </c>
      <c r="D246" s="64" t="s">
        <v>946</v>
      </c>
      <c r="E246" s="65" t="s">
        <v>164</v>
      </c>
      <c r="F246" s="64" t="s">
        <v>165</v>
      </c>
      <c r="G246" s="65" t="s">
        <v>20</v>
      </c>
      <c r="H246" s="65" t="s">
        <v>928</v>
      </c>
      <c r="I246" s="65">
        <v>201409</v>
      </c>
      <c r="J246" s="66">
        <v>1253310.78</v>
      </c>
      <c r="K246" s="72">
        <f t="shared" si="20"/>
        <v>42675</v>
      </c>
      <c r="L246" s="67">
        <f t="shared" si="16"/>
        <v>6</v>
      </c>
      <c r="M246" s="68">
        <v>1.4833299999999999E-3</v>
      </c>
      <c r="N246" s="69">
        <f t="shared" si="17"/>
        <v>11154.440875784399</v>
      </c>
      <c r="O246" s="66"/>
      <c r="P246" s="71">
        <f t="shared" si="18"/>
        <v>0</v>
      </c>
      <c r="Q246" s="132"/>
      <c r="R246" s="71">
        <f t="shared" si="19"/>
        <v>17741.397410137499</v>
      </c>
      <c r="S246" s="64"/>
    </row>
    <row r="247" spans="1:19">
      <c r="A247" s="64" t="s">
        <v>21</v>
      </c>
      <c r="B247" s="65" t="s">
        <v>782</v>
      </c>
      <c r="C247" s="65" t="s">
        <v>783</v>
      </c>
      <c r="D247" s="64" t="s">
        <v>784</v>
      </c>
      <c r="E247" s="65" t="s">
        <v>18</v>
      </c>
      <c r="F247" s="64" t="s">
        <v>19</v>
      </c>
      <c r="G247" s="65" t="s">
        <v>20</v>
      </c>
      <c r="H247" s="65" t="s">
        <v>928</v>
      </c>
      <c r="I247" s="65">
        <v>201409</v>
      </c>
      <c r="J247" s="66">
        <v>-269.87</v>
      </c>
      <c r="K247" s="72">
        <f t="shared" si="20"/>
        <v>42675</v>
      </c>
      <c r="L247" s="67">
        <f t="shared" si="16"/>
        <v>6</v>
      </c>
      <c r="M247" s="68">
        <v>1.4833299999999999E-3</v>
      </c>
      <c r="N247" s="69">
        <f t="shared" si="17"/>
        <v>-2.4018376026000001</v>
      </c>
      <c r="O247" s="66"/>
      <c r="P247" s="71">
        <f t="shared" si="18"/>
        <v>0</v>
      </c>
      <c r="Q247" s="132"/>
      <c r="R247" s="71">
        <f t="shared" si="19"/>
        <v>-3.8201785187499993</v>
      </c>
      <c r="S247" s="64"/>
    </row>
    <row r="248" spans="1:19">
      <c r="A248" s="64" t="s">
        <v>626</v>
      </c>
      <c r="B248" s="65" t="s">
        <v>785</v>
      </c>
      <c r="C248" s="65" t="s">
        <v>786</v>
      </c>
      <c r="D248" s="64" t="s">
        <v>787</v>
      </c>
      <c r="E248" s="65" t="s">
        <v>75</v>
      </c>
      <c r="F248" s="64" t="s">
        <v>26</v>
      </c>
      <c r="G248" s="65" t="s">
        <v>20</v>
      </c>
      <c r="H248" s="65" t="s">
        <v>928</v>
      </c>
      <c r="I248" s="65">
        <v>201409</v>
      </c>
      <c r="J248" s="66">
        <v>1326.56</v>
      </c>
      <c r="K248" s="72">
        <f t="shared" si="20"/>
        <v>42675</v>
      </c>
      <c r="L248" s="67">
        <f t="shared" si="16"/>
        <v>6</v>
      </c>
      <c r="M248" s="68">
        <v>1.4833299999999999E-3</v>
      </c>
      <c r="N248" s="69">
        <f t="shared" si="17"/>
        <v>11.8063574688</v>
      </c>
      <c r="O248" s="66"/>
      <c r="P248" s="71">
        <f t="shared" si="18"/>
        <v>0</v>
      </c>
      <c r="Q248" s="132"/>
      <c r="R248" s="71">
        <f t="shared" si="19"/>
        <v>18.7782859</v>
      </c>
      <c r="S248" s="64"/>
    </row>
    <row r="249" spans="1:19">
      <c r="A249" s="64" t="s">
        <v>626</v>
      </c>
      <c r="B249" s="65" t="s">
        <v>947</v>
      </c>
      <c r="C249" s="65" t="s">
        <v>948</v>
      </c>
      <c r="D249" s="64" t="s">
        <v>949</v>
      </c>
      <c r="E249" s="65" t="s">
        <v>75</v>
      </c>
      <c r="F249" s="64" t="s">
        <v>26</v>
      </c>
      <c r="G249" s="65" t="s">
        <v>20</v>
      </c>
      <c r="H249" s="65" t="s">
        <v>928</v>
      </c>
      <c r="I249" s="65">
        <v>201409</v>
      </c>
      <c r="J249" s="66">
        <v>89949.2</v>
      </c>
      <c r="K249" s="72">
        <f t="shared" si="20"/>
        <v>42675</v>
      </c>
      <c r="L249" s="67">
        <f t="shared" si="16"/>
        <v>6</v>
      </c>
      <c r="M249" s="68">
        <v>1.4833299999999999E-3</v>
      </c>
      <c r="N249" s="69">
        <f t="shared" si="17"/>
        <v>800.54608101600002</v>
      </c>
      <c r="O249" s="66"/>
      <c r="P249" s="71">
        <f t="shared" si="18"/>
        <v>0</v>
      </c>
      <c r="Q249" s="132"/>
      <c r="R249" s="71">
        <f t="shared" si="19"/>
        <v>1273.2871442499998</v>
      </c>
      <c r="S249" s="64"/>
    </row>
    <row r="250" spans="1:19">
      <c r="A250" s="64" t="s">
        <v>626</v>
      </c>
      <c r="B250" s="65" t="s">
        <v>724</v>
      </c>
      <c r="C250" s="65" t="s">
        <v>725</v>
      </c>
      <c r="D250" s="64" t="s">
        <v>726</v>
      </c>
      <c r="E250" s="65" t="s">
        <v>280</v>
      </c>
      <c r="F250" s="64" t="s">
        <v>26</v>
      </c>
      <c r="G250" s="65" t="s">
        <v>20</v>
      </c>
      <c r="H250" s="65" t="s">
        <v>928</v>
      </c>
      <c r="I250" s="65">
        <v>201409</v>
      </c>
      <c r="J250" s="66">
        <v>-304.48</v>
      </c>
      <c r="K250" s="72">
        <f t="shared" si="20"/>
        <v>42675</v>
      </c>
      <c r="L250" s="67">
        <f t="shared" si="16"/>
        <v>6</v>
      </c>
      <c r="M250" s="68">
        <v>1.4833299999999999E-3</v>
      </c>
      <c r="N250" s="69">
        <f t="shared" si="17"/>
        <v>-2.7098659104</v>
      </c>
      <c r="O250" s="66"/>
      <c r="P250" s="71">
        <f t="shared" si="18"/>
        <v>0</v>
      </c>
      <c r="Q250" s="132"/>
      <c r="R250" s="71">
        <f t="shared" si="19"/>
        <v>-4.3101047000000001</v>
      </c>
      <c r="S250" s="64"/>
    </row>
    <row r="251" spans="1:19">
      <c r="A251" s="64" t="s">
        <v>626</v>
      </c>
      <c r="B251" s="65" t="s">
        <v>788</v>
      </c>
      <c r="C251" s="65" t="s">
        <v>789</v>
      </c>
      <c r="D251" s="64" t="s">
        <v>790</v>
      </c>
      <c r="E251" s="65" t="s">
        <v>164</v>
      </c>
      <c r="F251" s="64" t="s">
        <v>165</v>
      </c>
      <c r="G251" s="65" t="s">
        <v>20</v>
      </c>
      <c r="H251" s="65" t="s">
        <v>928</v>
      </c>
      <c r="I251" s="65">
        <v>201409</v>
      </c>
      <c r="J251" s="66">
        <v>-738.77</v>
      </c>
      <c r="K251" s="72">
        <f t="shared" si="20"/>
        <v>42675</v>
      </c>
      <c r="L251" s="67">
        <f t="shared" si="16"/>
        <v>6</v>
      </c>
      <c r="M251" s="68">
        <v>1.4833299999999999E-3</v>
      </c>
      <c r="N251" s="69">
        <f t="shared" si="17"/>
        <v>-6.5750382246000001</v>
      </c>
      <c r="O251" s="66"/>
      <c r="P251" s="71">
        <f t="shared" si="18"/>
        <v>0</v>
      </c>
      <c r="Q251" s="132"/>
      <c r="R251" s="71">
        <f t="shared" si="19"/>
        <v>-10.457751081249999</v>
      </c>
      <c r="S251" s="64"/>
    </row>
    <row r="252" spans="1:19">
      <c r="A252" s="64" t="s">
        <v>626</v>
      </c>
      <c r="B252" s="65" t="s">
        <v>727</v>
      </c>
      <c r="C252" s="65" t="s">
        <v>728</v>
      </c>
      <c r="D252" s="64" t="s">
        <v>729</v>
      </c>
      <c r="E252" s="65" t="s">
        <v>79</v>
      </c>
      <c r="F252" s="64" t="s">
        <v>26</v>
      </c>
      <c r="G252" s="65" t="s">
        <v>20</v>
      </c>
      <c r="H252" s="65" t="s">
        <v>928</v>
      </c>
      <c r="I252" s="65">
        <v>201409</v>
      </c>
      <c r="J252" s="66">
        <v>-73.569999999999993</v>
      </c>
      <c r="K252" s="72">
        <f t="shared" si="20"/>
        <v>42675</v>
      </c>
      <c r="L252" s="67">
        <f t="shared" si="16"/>
        <v>6</v>
      </c>
      <c r="M252" s="68">
        <v>1.4833299999999999E-3</v>
      </c>
      <c r="N252" s="69">
        <f t="shared" si="17"/>
        <v>-0.65477152859999999</v>
      </c>
      <c r="O252" s="66"/>
      <c r="P252" s="71">
        <f t="shared" si="18"/>
        <v>0</v>
      </c>
      <c r="Q252" s="132"/>
      <c r="R252" s="71">
        <f t="shared" si="19"/>
        <v>-1.0414293312499998</v>
      </c>
      <c r="S252" s="64"/>
    </row>
    <row r="253" spans="1:19">
      <c r="A253" s="64" t="s">
        <v>626</v>
      </c>
      <c r="B253" s="65" t="s">
        <v>825</v>
      </c>
      <c r="C253" s="65" t="s">
        <v>826</v>
      </c>
      <c r="D253" s="64" t="s">
        <v>827</v>
      </c>
      <c r="E253" s="65" t="s">
        <v>63</v>
      </c>
      <c r="F253" s="64" t="s">
        <v>19</v>
      </c>
      <c r="G253" s="65" t="s">
        <v>20</v>
      </c>
      <c r="H253" s="65" t="s">
        <v>928</v>
      </c>
      <c r="I253" s="65">
        <v>201409</v>
      </c>
      <c r="J253" s="66">
        <v>-159.66</v>
      </c>
      <c r="K253" s="72">
        <f t="shared" si="20"/>
        <v>42675</v>
      </c>
      <c r="L253" s="67">
        <f t="shared" si="16"/>
        <v>6</v>
      </c>
      <c r="M253" s="68">
        <v>1.4833299999999999E-3</v>
      </c>
      <c r="N253" s="69">
        <f t="shared" si="17"/>
        <v>-1.4209708068</v>
      </c>
      <c r="O253" s="66"/>
      <c r="P253" s="71">
        <f t="shared" si="18"/>
        <v>0</v>
      </c>
      <c r="Q253" s="132"/>
      <c r="R253" s="71">
        <f t="shared" si="19"/>
        <v>-2.2600870875000001</v>
      </c>
      <c r="S253" s="64"/>
    </row>
    <row r="254" spans="1:19">
      <c r="A254" s="64" t="s">
        <v>626</v>
      </c>
      <c r="B254" s="65" t="s">
        <v>791</v>
      </c>
      <c r="C254" s="65" t="s">
        <v>792</v>
      </c>
      <c r="D254" s="64" t="s">
        <v>793</v>
      </c>
      <c r="E254" s="65" t="s">
        <v>79</v>
      </c>
      <c r="F254" s="64" t="s">
        <v>26</v>
      </c>
      <c r="G254" s="65" t="s">
        <v>20</v>
      </c>
      <c r="H254" s="65" t="s">
        <v>928</v>
      </c>
      <c r="I254" s="65">
        <v>201409</v>
      </c>
      <c r="J254" s="66">
        <v>-132.54</v>
      </c>
      <c r="K254" s="72">
        <f t="shared" si="20"/>
        <v>42675</v>
      </c>
      <c r="L254" s="67">
        <f t="shared" si="16"/>
        <v>6</v>
      </c>
      <c r="M254" s="68">
        <v>1.4833299999999999E-3</v>
      </c>
      <c r="N254" s="69">
        <f t="shared" si="17"/>
        <v>-1.1796033492</v>
      </c>
      <c r="O254" s="66"/>
      <c r="P254" s="71">
        <f t="shared" si="18"/>
        <v>0</v>
      </c>
      <c r="Q254" s="132"/>
      <c r="R254" s="71">
        <f t="shared" si="19"/>
        <v>-1.8761865375</v>
      </c>
      <c r="S254" s="64"/>
    </row>
    <row r="255" spans="1:19">
      <c r="A255" s="64" t="s">
        <v>626</v>
      </c>
      <c r="B255" s="65" t="s">
        <v>848</v>
      </c>
      <c r="C255" s="65" t="s">
        <v>849</v>
      </c>
      <c r="D255" s="64" t="s">
        <v>850</v>
      </c>
      <c r="E255" s="65" t="s">
        <v>93</v>
      </c>
      <c r="F255" s="64" t="s">
        <v>88</v>
      </c>
      <c r="G255" s="65" t="s">
        <v>20</v>
      </c>
      <c r="H255" s="65" t="s">
        <v>929</v>
      </c>
      <c r="I255" s="65">
        <v>201409</v>
      </c>
      <c r="J255" s="66">
        <v>-421.12</v>
      </c>
      <c r="K255" s="72">
        <f t="shared" si="20"/>
        <v>42675</v>
      </c>
      <c r="L255" s="67">
        <f t="shared" si="16"/>
        <v>6</v>
      </c>
      <c r="M255" s="68">
        <v>1.4833299999999999E-3</v>
      </c>
      <c r="N255" s="69">
        <f t="shared" si="17"/>
        <v>-3.7479595776000001</v>
      </c>
      <c r="O255" s="66"/>
      <c r="P255" s="71">
        <f t="shared" si="18"/>
        <v>0</v>
      </c>
      <c r="Q255" s="132"/>
      <c r="R255" s="71">
        <f t="shared" si="19"/>
        <v>-5.9612167999999999</v>
      </c>
      <c r="S255" s="64"/>
    </row>
    <row r="256" spans="1:19">
      <c r="A256" s="64" t="s">
        <v>21</v>
      </c>
      <c r="B256" s="65" t="s">
        <v>800</v>
      </c>
      <c r="C256" s="65" t="s">
        <v>801</v>
      </c>
      <c r="D256" s="64" t="s">
        <v>802</v>
      </c>
      <c r="E256" s="65" t="s">
        <v>260</v>
      </c>
      <c r="F256" s="64" t="s">
        <v>26</v>
      </c>
      <c r="G256" s="65" t="s">
        <v>20</v>
      </c>
      <c r="H256" s="65" t="s">
        <v>928</v>
      </c>
      <c r="I256" s="65">
        <v>201409</v>
      </c>
      <c r="J256" s="66">
        <v>-0.43</v>
      </c>
      <c r="K256" s="72">
        <f t="shared" si="20"/>
        <v>42675</v>
      </c>
      <c r="L256" s="67">
        <f t="shared" si="16"/>
        <v>6</v>
      </c>
      <c r="M256" s="68">
        <v>1.4833299999999999E-3</v>
      </c>
      <c r="N256" s="69">
        <f t="shared" si="17"/>
        <v>-3.8269913999999998E-3</v>
      </c>
      <c r="O256" s="66"/>
      <c r="P256" s="71">
        <f t="shared" si="18"/>
        <v>0</v>
      </c>
      <c r="Q256" s="132"/>
      <c r="R256" s="71">
        <f t="shared" si="19"/>
        <v>-6.0869187499999998E-3</v>
      </c>
      <c r="S256" s="64"/>
    </row>
    <row r="257" spans="1:19">
      <c r="A257" s="64" t="s">
        <v>626</v>
      </c>
      <c r="B257" s="65" t="s">
        <v>800</v>
      </c>
      <c r="C257" s="65" t="s">
        <v>801</v>
      </c>
      <c r="D257" s="64" t="s">
        <v>802</v>
      </c>
      <c r="E257" s="65" t="s">
        <v>260</v>
      </c>
      <c r="F257" s="64" t="s">
        <v>26</v>
      </c>
      <c r="G257" s="65" t="s">
        <v>20</v>
      </c>
      <c r="H257" s="65" t="s">
        <v>928</v>
      </c>
      <c r="I257" s="65">
        <v>201409</v>
      </c>
      <c r="J257" s="66">
        <v>-114.88</v>
      </c>
      <c r="K257" s="72">
        <f t="shared" si="20"/>
        <v>42675</v>
      </c>
      <c r="L257" s="67">
        <f t="shared" si="16"/>
        <v>6</v>
      </c>
      <c r="M257" s="68">
        <v>1.4833299999999999E-3</v>
      </c>
      <c r="N257" s="69">
        <f t="shared" si="17"/>
        <v>-1.0224297024</v>
      </c>
      <c r="O257" s="66"/>
      <c r="P257" s="71">
        <f t="shared" si="18"/>
        <v>0</v>
      </c>
      <c r="Q257" s="132"/>
      <c r="R257" s="71">
        <f t="shared" si="19"/>
        <v>-1.6261981999999999</v>
      </c>
      <c r="S257" s="64"/>
    </row>
    <row r="258" spans="1:19">
      <c r="A258" s="64" t="s">
        <v>626</v>
      </c>
      <c r="B258" s="65" t="s">
        <v>897</v>
      </c>
      <c r="C258" s="65" t="s">
        <v>898</v>
      </c>
      <c r="D258" s="64" t="s">
        <v>899</v>
      </c>
      <c r="E258" s="65" t="s">
        <v>164</v>
      </c>
      <c r="F258" s="64" t="s">
        <v>165</v>
      </c>
      <c r="G258" s="65" t="s">
        <v>20</v>
      </c>
      <c r="H258" s="65" t="s">
        <v>928</v>
      </c>
      <c r="I258" s="65">
        <v>201409</v>
      </c>
      <c r="J258" s="66">
        <v>45.46</v>
      </c>
      <c r="K258" s="72">
        <f t="shared" si="20"/>
        <v>42675</v>
      </c>
      <c r="L258" s="67">
        <f t="shared" si="16"/>
        <v>6</v>
      </c>
      <c r="M258" s="68">
        <v>1.4833299999999999E-3</v>
      </c>
      <c r="N258" s="69">
        <f t="shared" si="17"/>
        <v>0.4045930908</v>
      </c>
      <c r="O258" s="66"/>
      <c r="P258" s="71">
        <f t="shared" si="18"/>
        <v>0</v>
      </c>
      <c r="Q258" s="132"/>
      <c r="R258" s="71">
        <f t="shared" si="19"/>
        <v>0.64351471250000003</v>
      </c>
      <c r="S258" s="64"/>
    </row>
    <row r="259" spans="1:19">
      <c r="A259" s="64" t="s">
        <v>626</v>
      </c>
      <c r="B259" s="65" t="s">
        <v>900</v>
      </c>
      <c r="C259" s="65" t="s">
        <v>901</v>
      </c>
      <c r="D259" s="64" t="s">
        <v>902</v>
      </c>
      <c r="E259" s="65" t="s">
        <v>25</v>
      </c>
      <c r="F259" s="64" t="s">
        <v>26</v>
      </c>
      <c r="G259" s="65" t="s">
        <v>20</v>
      </c>
      <c r="H259" s="65" t="s">
        <v>928</v>
      </c>
      <c r="I259" s="65">
        <v>201409</v>
      </c>
      <c r="J259" s="66">
        <v>-1910.67</v>
      </c>
      <c r="K259" s="72">
        <f t="shared" si="20"/>
        <v>42675</v>
      </c>
      <c r="L259" s="67">
        <f t="shared" si="16"/>
        <v>6</v>
      </c>
      <c r="M259" s="68">
        <v>1.4833299999999999E-3</v>
      </c>
      <c r="N259" s="69">
        <f t="shared" si="17"/>
        <v>-17.0049247866</v>
      </c>
      <c r="O259" s="66"/>
      <c r="P259" s="71">
        <f t="shared" si="18"/>
        <v>0</v>
      </c>
      <c r="Q259" s="132"/>
      <c r="R259" s="71">
        <f t="shared" si="19"/>
        <v>-27.046728018750002</v>
      </c>
      <c r="S259" s="64"/>
    </row>
    <row r="260" spans="1:19">
      <c r="A260" s="64" t="s">
        <v>29</v>
      </c>
      <c r="B260" s="65" t="s">
        <v>950</v>
      </c>
      <c r="C260" s="65" t="s">
        <v>951</v>
      </c>
      <c r="D260" s="64" t="s">
        <v>952</v>
      </c>
      <c r="E260" s="65" t="s">
        <v>834</v>
      </c>
      <c r="F260" s="64" t="s">
        <v>835</v>
      </c>
      <c r="G260" s="65" t="s">
        <v>20</v>
      </c>
      <c r="H260" s="65" t="s">
        <v>937</v>
      </c>
      <c r="I260" s="65">
        <v>201409</v>
      </c>
      <c r="J260" s="66">
        <v>4582.03</v>
      </c>
      <c r="K260" s="72">
        <f t="shared" si="20"/>
        <v>42675</v>
      </c>
      <c r="L260" s="67">
        <f t="shared" si="16"/>
        <v>6</v>
      </c>
      <c r="M260" s="68">
        <v>2.23333E-3</v>
      </c>
      <c r="N260" s="69">
        <f t="shared" si="17"/>
        <v>61.399110359399991</v>
      </c>
      <c r="O260" s="66"/>
      <c r="P260" s="71">
        <f t="shared" si="18"/>
        <v>0</v>
      </c>
      <c r="Q260" s="132"/>
      <c r="R260" s="71">
        <f t="shared" si="19"/>
        <v>64.861498418749989</v>
      </c>
      <c r="S260" s="64"/>
    </row>
    <row r="261" spans="1:19">
      <c r="A261" s="64" t="s">
        <v>21</v>
      </c>
      <c r="B261" s="65" t="s">
        <v>803</v>
      </c>
      <c r="C261" s="65" t="s">
        <v>804</v>
      </c>
      <c r="D261" s="64" t="s">
        <v>805</v>
      </c>
      <c r="E261" s="65" t="s">
        <v>25</v>
      </c>
      <c r="F261" s="64" t="s">
        <v>26</v>
      </c>
      <c r="G261" s="65" t="s">
        <v>20</v>
      </c>
      <c r="H261" s="65" t="s">
        <v>928</v>
      </c>
      <c r="I261" s="65">
        <v>201409</v>
      </c>
      <c r="J261" s="66">
        <v>946.06</v>
      </c>
      <c r="K261" s="72">
        <f t="shared" si="20"/>
        <v>42675</v>
      </c>
      <c r="L261" s="67">
        <f t="shared" si="16"/>
        <v>6</v>
      </c>
      <c r="M261" s="68">
        <v>1.4833299999999999E-3</v>
      </c>
      <c r="N261" s="69">
        <f t="shared" si="17"/>
        <v>8.419915078799999</v>
      </c>
      <c r="O261" s="66"/>
      <c r="P261" s="71">
        <f t="shared" si="18"/>
        <v>0</v>
      </c>
      <c r="Q261" s="132"/>
      <c r="R261" s="71">
        <f t="shared" si="19"/>
        <v>13.392070587499997</v>
      </c>
      <c r="S261" s="64"/>
    </row>
    <row r="262" spans="1:19">
      <c r="A262" s="64" t="s">
        <v>21</v>
      </c>
      <c r="B262" s="65" t="s">
        <v>828</v>
      </c>
      <c r="C262" s="65" t="s">
        <v>829</v>
      </c>
      <c r="D262" s="64" t="s">
        <v>830</v>
      </c>
      <c r="E262" s="65" t="s">
        <v>360</v>
      </c>
      <c r="F262" s="64" t="s">
        <v>19</v>
      </c>
      <c r="G262" s="65" t="s">
        <v>20</v>
      </c>
      <c r="H262" s="65" t="s">
        <v>928</v>
      </c>
      <c r="I262" s="65">
        <v>201409</v>
      </c>
      <c r="J262" s="66">
        <v>0</v>
      </c>
      <c r="K262" s="72">
        <f t="shared" si="20"/>
        <v>42675</v>
      </c>
      <c r="L262" s="67">
        <f t="shared" ref="L262:L335" si="21">((YEAR($L$1)-YEAR(K262))*12+MONTH($L$1)-MONTH(K262))</f>
        <v>6</v>
      </c>
      <c r="M262" s="68">
        <v>1.4833299999999999E-3</v>
      </c>
      <c r="N262" s="69">
        <f t="shared" ref="N262:N335" si="22">M262*L262*J262</f>
        <v>0</v>
      </c>
      <c r="O262" s="66"/>
      <c r="P262" s="71">
        <f t="shared" ref="P262:P299" si="23">$P$4*J262*$U$11</f>
        <v>0</v>
      </c>
      <c r="Q262" s="132"/>
      <c r="R262" s="71">
        <f t="shared" ref="R262:R299" si="24">$R$4*J262*$U$12</f>
        <v>0</v>
      </c>
      <c r="S262" s="64"/>
    </row>
    <row r="263" spans="1:19">
      <c r="A263" s="64" t="s">
        <v>626</v>
      </c>
      <c r="B263" s="65" t="s">
        <v>903</v>
      </c>
      <c r="C263" s="65" t="s">
        <v>904</v>
      </c>
      <c r="D263" s="64" t="s">
        <v>905</v>
      </c>
      <c r="E263" s="65" t="s">
        <v>280</v>
      </c>
      <c r="F263" s="64" t="s">
        <v>26</v>
      </c>
      <c r="G263" s="65" t="s">
        <v>20</v>
      </c>
      <c r="H263" s="65" t="s">
        <v>928</v>
      </c>
      <c r="I263" s="65">
        <v>201409</v>
      </c>
      <c r="J263" s="66">
        <v>-4885.22</v>
      </c>
      <c r="K263" s="72">
        <f t="shared" si="20"/>
        <v>42675</v>
      </c>
      <c r="L263" s="67">
        <f t="shared" si="21"/>
        <v>6</v>
      </c>
      <c r="M263" s="68">
        <v>1.4833299999999999E-3</v>
      </c>
      <c r="N263" s="69">
        <f t="shared" si="22"/>
        <v>-43.478360295600005</v>
      </c>
      <c r="O263" s="66"/>
      <c r="P263" s="71">
        <f t="shared" si="23"/>
        <v>0</v>
      </c>
      <c r="Q263" s="132"/>
      <c r="R263" s="71">
        <f t="shared" si="24"/>
        <v>-69.153342362499998</v>
      </c>
      <c r="S263" s="64"/>
    </row>
    <row r="264" spans="1:19">
      <c r="A264" s="64" t="s">
        <v>626</v>
      </c>
      <c r="B264" s="65" t="s">
        <v>906</v>
      </c>
      <c r="C264" s="65" t="s">
        <v>907</v>
      </c>
      <c r="D264" s="64" t="s">
        <v>908</v>
      </c>
      <c r="E264" s="65" t="s">
        <v>471</v>
      </c>
      <c r="F264" s="64" t="s">
        <v>165</v>
      </c>
      <c r="G264" s="65" t="s">
        <v>20</v>
      </c>
      <c r="H264" s="65" t="s">
        <v>928</v>
      </c>
      <c r="I264" s="65">
        <v>201409</v>
      </c>
      <c r="J264" s="66">
        <v>1294.2</v>
      </c>
      <c r="K264" s="72">
        <f t="shared" si="20"/>
        <v>42675</v>
      </c>
      <c r="L264" s="67">
        <f t="shared" si="21"/>
        <v>6</v>
      </c>
      <c r="M264" s="68">
        <v>1.4833299999999999E-3</v>
      </c>
      <c r="N264" s="69">
        <f t="shared" si="22"/>
        <v>11.518354116000001</v>
      </c>
      <c r="O264" s="66"/>
      <c r="P264" s="71">
        <f t="shared" si="23"/>
        <v>0</v>
      </c>
      <c r="Q264" s="132"/>
      <c r="R264" s="71">
        <f t="shared" si="24"/>
        <v>18.320209875</v>
      </c>
      <c r="S264" s="64"/>
    </row>
    <row r="265" spans="1:19">
      <c r="A265" s="64" t="s">
        <v>21</v>
      </c>
      <c r="B265" s="65" t="s">
        <v>953</v>
      </c>
      <c r="C265" s="65" t="s">
        <v>954</v>
      </c>
      <c r="D265" s="64" t="s">
        <v>955</v>
      </c>
      <c r="E265" s="65" t="s">
        <v>531</v>
      </c>
      <c r="F265" s="64" t="s">
        <v>26</v>
      </c>
      <c r="G265" s="65" t="s">
        <v>20</v>
      </c>
      <c r="H265" s="65" t="s">
        <v>928</v>
      </c>
      <c r="I265" s="65">
        <v>201409</v>
      </c>
      <c r="J265" s="66">
        <v>2797.11</v>
      </c>
      <c r="K265" s="72">
        <f t="shared" si="20"/>
        <v>42675</v>
      </c>
      <c r="L265" s="67">
        <f t="shared" si="21"/>
        <v>6</v>
      </c>
      <c r="M265" s="68">
        <v>1.4833299999999999E-3</v>
      </c>
      <c r="N265" s="69">
        <f t="shared" si="22"/>
        <v>24.894223057800001</v>
      </c>
      <c r="O265" s="66"/>
      <c r="P265" s="71">
        <f t="shared" si="23"/>
        <v>0</v>
      </c>
      <c r="Q265" s="132"/>
      <c r="R265" s="71">
        <f t="shared" si="24"/>
        <v>39.594840243749999</v>
      </c>
      <c r="S265" s="64"/>
    </row>
    <row r="266" spans="1:19">
      <c r="A266" s="64" t="s">
        <v>626</v>
      </c>
      <c r="B266" s="65" t="s">
        <v>806</v>
      </c>
      <c r="C266" s="65" t="s">
        <v>807</v>
      </c>
      <c r="D266" s="64" t="s">
        <v>808</v>
      </c>
      <c r="E266" s="65" t="s">
        <v>809</v>
      </c>
      <c r="F266" s="64" t="s">
        <v>26</v>
      </c>
      <c r="G266" s="65" t="s">
        <v>20</v>
      </c>
      <c r="H266" s="65" t="s">
        <v>928</v>
      </c>
      <c r="I266" s="65">
        <v>201409</v>
      </c>
      <c r="J266" s="66">
        <v>-193.96</v>
      </c>
      <c r="K266" s="72">
        <f t="shared" si="20"/>
        <v>42675</v>
      </c>
      <c r="L266" s="67">
        <f t="shared" si="21"/>
        <v>6</v>
      </c>
      <c r="M266" s="68">
        <v>1.4833299999999999E-3</v>
      </c>
      <c r="N266" s="69">
        <f t="shared" si="22"/>
        <v>-1.7262401208</v>
      </c>
      <c r="O266" s="66"/>
      <c r="P266" s="71">
        <f t="shared" si="23"/>
        <v>0</v>
      </c>
      <c r="Q266" s="132"/>
      <c r="R266" s="71">
        <f t="shared" si="24"/>
        <v>-2.7456250250000003</v>
      </c>
      <c r="S266" s="64"/>
    </row>
    <row r="267" spans="1:19">
      <c r="A267" s="64" t="s">
        <v>21</v>
      </c>
      <c r="B267" s="65" t="s">
        <v>851</v>
      </c>
      <c r="C267" s="65" t="s">
        <v>852</v>
      </c>
      <c r="D267" s="64" t="s">
        <v>853</v>
      </c>
      <c r="E267" s="65" t="s">
        <v>415</v>
      </c>
      <c r="F267" s="64" t="s">
        <v>88</v>
      </c>
      <c r="G267" s="65" t="s">
        <v>20</v>
      </c>
      <c r="H267" s="65" t="s">
        <v>929</v>
      </c>
      <c r="I267" s="65">
        <v>201409</v>
      </c>
      <c r="J267" s="66">
        <v>-58.71</v>
      </c>
      <c r="K267" s="72">
        <f t="shared" si="20"/>
        <v>42675</v>
      </c>
      <c r="L267" s="67">
        <f t="shared" si="21"/>
        <v>6</v>
      </c>
      <c r="M267" s="68">
        <v>1.4833299999999999E-3</v>
      </c>
      <c r="N267" s="69">
        <f t="shared" si="22"/>
        <v>-0.52251782580000006</v>
      </c>
      <c r="O267" s="66"/>
      <c r="P267" s="71">
        <f t="shared" si="23"/>
        <v>0</v>
      </c>
      <c r="Q267" s="132"/>
      <c r="R267" s="71">
        <f t="shared" si="24"/>
        <v>-0.83107674374999996</v>
      </c>
      <c r="S267" s="64"/>
    </row>
    <row r="268" spans="1:19">
      <c r="A268" s="64" t="s">
        <v>626</v>
      </c>
      <c r="B268" s="65" t="s">
        <v>909</v>
      </c>
      <c r="C268" s="65" t="s">
        <v>910</v>
      </c>
      <c r="D268" s="64" t="s">
        <v>911</v>
      </c>
      <c r="E268" s="65" t="s">
        <v>79</v>
      </c>
      <c r="F268" s="64" t="s">
        <v>26</v>
      </c>
      <c r="G268" s="65" t="s">
        <v>20</v>
      </c>
      <c r="H268" s="65" t="s">
        <v>928</v>
      </c>
      <c r="I268" s="65">
        <v>201409</v>
      </c>
      <c r="J268" s="66">
        <v>10702.77</v>
      </c>
      <c r="K268" s="72">
        <f t="shared" si="20"/>
        <v>42675</v>
      </c>
      <c r="L268" s="67">
        <f t="shared" si="21"/>
        <v>6</v>
      </c>
      <c r="M268" s="68">
        <v>1.4833299999999999E-3</v>
      </c>
      <c r="N268" s="69">
        <f t="shared" si="22"/>
        <v>95.254438944600011</v>
      </c>
      <c r="O268" s="66"/>
      <c r="P268" s="71">
        <f t="shared" si="23"/>
        <v>0</v>
      </c>
      <c r="Q268" s="132"/>
      <c r="R268" s="71">
        <f t="shared" si="24"/>
        <v>151.50439858125</v>
      </c>
      <c r="S268" s="64"/>
    </row>
    <row r="269" spans="1:19">
      <c r="A269" s="64" t="s">
        <v>626</v>
      </c>
      <c r="B269" s="65" t="s">
        <v>956</v>
      </c>
      <c r="C269" s="65" t="s">
        <v>957</v>
      </c>
      <c r="D269" s="64" t="s">
        <v>958</v>
      </c>
      <c r="E269" s="65" t="s">
        <v>809</v>
      </c>
      <c r="F269" s="64" t="s">
        <v>26</v>
      </c>
      <c r="G269" s="65" t="s">
        <v>20</v>
      </c>
      <c r="H269" s="65" t="s">
        <v>928</v>
      </c>
      <c r="I269" s="65">
        <v>201409</v>
      </c>
      <c r="J269" s="66">
        <v>6119.67</v>
      </c>
      <c r="K269" s="72">
        <f t="shared" si="20"/>
        <v>42675</v>
      </c>
      <c r="L269" s="67">
        <f t="shared" si="21"/>
        <v>6</v>
      </c>
      <c r="M269" s="68">
        <v>1.4833299999999999E-3</v>
      </c>
      <c r="N269" s="69">
        <f t="shared" si="22"/>
        <v>54.464940606600003</v>
      </c>
      <c r="O269" s="66"/>
      <c r="P269" s="71">
        <f t="shared" si="23"/>
        <v>0</v>
      </c>
      <c r="Q269" s="132"/>
      <c r="R269" s="71">
        <f t="shared" si="24"/>
        <v>86.627753643749998</v>
      </c>
      <c r="S269" s="64"/>
    </row>
    <row r="270" spans="1:19">
      <c r="A270" s="64" t="s">
        <v>626</v>
      </c>
      <c r="B270" s="65" t="s">
        <v>816</v>
      </c>
      <c r="C270" s="65" t="s">
        <v>817</v>
      </c>
      <c r="D270" s="64" t="s">
        <v>818</v>
      </c>
      <c r="E270" s="65" t="s">
        <v>164</v>
      </c>
      <c r="F270" s="64" t="s">
        <v>165</v>
      </c>
      <c r="G270" s="65" t="s">
        <v>20</v>
      </c>
      <c r="H270" s="65" t="s">
        <v>928</v>
      </c>
      <c r="I270" s="65">
        <v>201409</v>
      </c>
      <c r="J270" s="66">
        <v>10991.12</v>
      </c>
      <c r="K270" s="72">
        <f t="shared" si="20"/>
        <v>42675</v>
      </c>
      <c r="L270" s="67">
        <f t="shared" si="21"/>
        <v>6</v>
      </c>
      <c r="M270" s="68">
        <v>1.4833299999999999E-3</v>
      </c>
      <c r="N270" s="69">
        <f t="shared" si="22"/>
        <v>97.820748177600009</v>
      </c>
      <c r="O270" s="66"/>
      <c r="P270" s="71">
        <f t="shared" si="23"/>
        <v>0</v>
      </c>
      <c r="Q270" s="132"/>
      <c r="R270" s="71">
        <f t="shared" si="24"/>
        <v>155.58617305000001</v>
      </c>
      <c r="S270" s="64"/>
    </row>
    <row r="271" spans="1:19">
      <c r="A271" s="64" t="s">
        <v>21</v>
      </c>
      <c r="B271" s="65" t="s">
        <v>959</v>
      </c>
      <c r="C271" s="65" t="s">
        <v>960</v>
      </c>
      <c r="D271" s="64" t="s">
        <v>961</v>
      </c>
      <c r="E271" s="65" t="s">
        <v>962</v>
      </c>
      <c r="F271" s="64" t="s">
        <v>88</v>
      </c>
      <c r="G271" s="65" t="s">
        <v>20</v>
      </c>
      <c r="H271" s="65" t="s">
        <v>929</v>
      </c>
      <c r="I271" s="65">
        <v>201409</v>
      </c>
      <c r="J271" s="66">
        <v>72544.160000000003</v>
      </c>
      <c r="K271" s="72">
        <f t="shared" si="20"/>
        <v>42675</v>
      </c>
      <c r="L271" s="67">
        <f t="shared" si="21"/>
        <v>6</v>
      </c>
      <c r="M271" s="68">
        <v>1.4833299999999999E-3</v>
      </c>
      <c r="N271" s="69">
        <f t="shared" si="22"/>
        <v>645.64157311680003</v>
      </c>
      <c r="O271" s="66"/>
      <c r="P271" s="71">
        <f t="shared" si="23"/>
        <v>0</v>
      </c>
      <c r="Q271" s="132"/>
      <c r="R271" s="71">
        <f t="shared" si="24"/>
        <v>1026.9079249000001</v>
      </c>
      <c r="S271" s="64"/>
    </row>
    <row r="272" spans="1:19">
      <c r="A272" s="64" t="s">
        <v>21</v>
      </c>
      <c r="B272" s="65" t="s">
        <v>876</v>
      </c>
      <c r="C272" s="65" t="s">
        <v>877</v>
      </c>
      <c r="D272" s="64" t="s">
        <v>878</v>
      </c>
      <c r="E272" s="65" t="s">
        <v>93</v>
      </c>
      <c r="F272" s="64" t="s">
        <v>88</v>
      </c>
      <c r="G272" s="65" t="s">
        <v>20</v>
      </c>
      <c r="H272" s="65" t="s">
        <v>929</v>
      </c>
      <c r="I272" s="65">
        <v>201409</v>
      </c>
      <c r="J272" s="66">
        <v>319.49</v>
      </c>
      <c r="K272" s="72">
        <f t="shared" si="20"/>
        <v>42675</v>
      </c>
      <c r="L272" s="67">
        <f t="shared" si="21"/>
        <v>6</v>
      </c>
      <c r="M272" s="68">
        <v>1.4833299999999999E-3</v>
      </c>
      <c r="N272" s="69">
        <f t="shared" si="22"/>
        <v>2.8434546102000002</v>
      </c>
      <c r="O272" s="66"/>
      <c r="P272" s="71">
        <f t="shared" si="23"/>
        <v>0</v>
      </c>
      <c r="Q272" s="132"/>
      <c r="R272" s="71">
        <f t="shared" si="24"/>
        <v>4.5225806312499994</v>
      </c>
      <c r="S272" s="64"/>
    </row>
    <row r="273" spans="1:19">
      <c r="A273" s="64" t="s">
        <v>626</v>
      </c>
      <c r="B273" s="65" t="s">
        <v>963</v>
      </c>
      <c r="C273" s="65" t="s">
        <v>964</v>
      </c>
      <c r="D273" s="64" t="s">
        <v>965</v>
      </c>
      <c r="E273" s="65" t="s">
        <v>164</v>
      </c>
      <c r="F273" s="64" t="s">
        <v>165</v>
      </c>
      <c r="G273" s="65" t="s">
        <v>20</v>
      </c>
      <c r="H273" s="65" t="s">
        <v>928</v>
      </c>
      <c r="I273" s="65">
        <v>201409</v>
      </c>
      <c r="J273" s="66">
        <v>32210.09</v>
      </c>
      <c r="K273" s="72">
        <f t="shared" si="20"/>
        <v>42675</v>
      </c>
      <c r="L273" s="67">
        <f t="shared" si="21"/>
        <v>6</v>
      </c>
      <c r="M273" s="68">
        <v>1.4833299999999999E-3</v>
      </c>
      <c r="N273" s="69">
        <f t="shared" si="22"/>
        <v>286.66915679819999</v>
      </c>
      <c r="O273" s="66"/>
      <c r="P273" s="71">
        <f t="shared" si="23"/>
        <v>0</v>
      </c>
      <c r="Q273" s="132"/>
      <c r="R273" s="71">
        <f t="shared" si="24"/>
        <v>455.95395525624997</v>
      </c>
      <c r="S273" s="64"/>
    </row>
    <row r="274" spans="1:19">
      <c r="A274" s="64" t="s">
        <v>29</v>
      </c>
      <c r="B274" s="65" t="s">
        <v>854</v>
      </c>
      <c r="C274" s="65" t="s">
        <v>855</v>
      </c>
      <c r="D274" s="64" t="s">
        <v>856</v>
      </c>
      <c r="E274" s="65" t="s">
        <v>857</v>
      </c>
      <c r="F274" s="64" t="s">
        <v>88</v>
      </c>
      <c r="G274" s="65" t="s">
        <v>20</v>
      </c>
      <c r="H274" s="65" t="s">
        <v>929</v>
      </c>
      <c r="I274" s="65">
        <v>201409</v>
      </c>
      <c r="J274" s="66">
        <v>-49.67</v>
      </c>
      <c r="K274" s="72">
        <f t="shared" si="20"/>
        <v>42675</v>
      </c>
      <c r="L274" s="67">
        <f t="shared" si="21"/>
        <v>6</v>
      </c>
      <c r="M274" s="68">
        <v>2.23333E-3</v>
      </c>
      <c r="N274" s="69">
        <f t="shared" si="22"/>
        <v>-0.66557700659999997</v>
      </c>
      <c r="O274" s="66"/>
      <c r="P274" s="71">
        <f t="shared" si="23"/>
        <v>0</v>
      </c>
      <c r="Q274" s="132"/>
      <c r="R274" s="71">
        <f t="shared" si="24"/>
        <v>-0.70310989374999999</v>
      </c>
      <c r="S274" s="64"/>
    </row>
    <row r="275" spans="1:19">
      <c r="A275" s="64" t="s">
        <v>21</v>
      </c>
      <c r="B275" s="65" t="s">
        <v>966</v>
      </c>
      <c r="C275" s="65" t="s">
        <v>967</v>
      </c>
      <c r="D275" s="64" t="s">
        <v>968</v>
      </c>
      <c r="E275" s="65" t="s">
        <v>209</v>
      </c>
      <c r="F275" s="64" t="s">
        <v>88</v>
      </c>
      <c r="G275" s="65" t="s">
        <v>20</v>
      </c>
      <c r="H275" s="65" t="s">
        <v>929</v>
      </c>
      <c r="I275" s="65">
        <v>201409</v>
      </c>
      <c r="J275" s="66">
        <v>3364.94</v>
      </c>
      <c r="K275" s="72">
        <f t="shared" si="20"/>
        <v>42675</v>
      </c>
      <c r="L275" s="67">
        <f t="shared" si="21"/>
        <v>6</v>
      </c>
      <c r="M275" s="68">
        <v>1.4833299999999999E-3</v>
      </c>
      <c r="N275" s="69">
        <f t="shared" si="22"/>
        <v>29.9478987012</v>
      </c>
      <c r="O275" s="66"/>
      <c r="P275" s="71">
        <f t="shared" si="23"/>
        <v>0</v>
      </c>
      <c r="Q275" s="132"/>
      <c r="R275" s="71">
        <f t="shared" si="24"/>
        <v>47.632828787499996</v>
      </c>
      <c r="S275" s="64"/>
    </row>
    <row r="276" spans="1:19">
      <c r="A276" s="64" t="s">
        <v>626</v>
      </c>
      <c r="B276" s="65" t="s">
        <v>969</v>
      </c>
      <c r="C276" s="65" t="s">
        <v>970</v>
      </c>
      <c r="D276" s="64" t="s">
        <v>971</v>
      </c>
      <c r="E276" s="65" t="s">
        <v>164</v>
      </c>
      <c r="F276" s="64" t="s">
        <v>165</v>
      </c>
      <c r="G276" s="65" t="s">
        <v>20</v>
      </c>
      <c r="H276" s="65" t="s">
        <v>928</v>
      </c>
      <c r="I276" s="65">
        <v>201409</v>
      </c>
      <c r="J276" s="66">
        <v>84619.839999999997</v>
      </c>
      <c r="K276" s="72">
        <f t="shared" si="20"/>
        <v>42675</v>
      </c>
      <c r="L276" s="67">
        <f t="shared" si="21"/>
        <v>6</v>
      </c>
      <c r="M276" s="68">
        <v>1.4833299999999999E-3</v>
      </c>
      <c r="N276" s="69">
        <f t="shared" si="22"/>
        <v>753.11488360319993</v>
      </c>
      <c r="O276" s="66"/>
      <c r="P276" s="71">
        <f t="shared" si="23"/>
        <v>0</v>
      </c>
      <c r="Q276" s="132"/>
      <c r="R276" s="71">
        <f t="shared" si="24"/>
        <v>1197.8467225999998</v>
      </c>
      <c r="S276" s="64"/>
    </row>
    <row r="277" spans="1:19">
      <c r="A277" s="64" t="s">
        <v>21</v>
      </c>
      <c r="B277" s="65" t="s">
        <v>879</v>
      </c>
      <c r="C277" s="65" t="s">
        <v>880</v>
      </c>
      <c r="D277" s="64" t="s">
        <v>881</v>
      </c>
      <c r="E277" s="65" t="s">
        <v>87</v>
      </c>
      <c r="F277" s="64" t="s">
        <v>88</v>
      </c>
      <c r="G277" s="65" t="s">
        <v>20</v>
      </c>
      <c r="H277" s="65" t="s">
        <v>929</v>
      </c>
      <c r="I277" s="65">
        <v>201409</v>
      </c>
      <c r="J277" s="66">
        <v>-925.65</v>
      </c>
      <c r="K277" s="72">
        <f t="shared" si="20"/>
        <v>42675</v>
      </c>
      <c r="L277" s="67">
        <f t="shared" si="21"/>
        <v>6</v>
      </c>
      <c r="M277" s="68">
        <v>1.4833299999999999E-3</v>
      </c>
      <c r="N277" s="69">
        <f t="shared" si="22"/>
        <v>-8.2382664870000006</v>
      </c>
      <c r="O277" s="66"/>
      <c r="P277" s="71">
        <f t="shared" si="23"/>
        <v>0</v>
      </c>
      <c r="Q277" s="132"/>
      <c r="R277" s="71">
        <f t="shared" si="24"/>
        <v>-13.103154281249999</v>
      </c>
      <c r="S277" s="64"/>
    </row>
    <row r="278" spans="1:19">
      <c r="A278" s="64" t="s">
        <v>21</v>
      </c>
      <c r="B278" s="65" t="s">
        <v>882</v>
      </c>
      <c r="C278" s="65" t="s">
        <v>883</v>
      </c>
      <c r="D278" s="64" t="s">
        <v>884</v>
      </c>
      <c r="E278" s="65" t="s">
        <v>87</v>
      </c>
      <c r="F278" s="64" t="s">
        <v>88</v>
      </c>
      <c r="G278" s="65" t="s">
        <v>20</v>
      </c>
      <c r="H278" s="65" t="s">
        <v>929</v>
      </c>
      <c r="I278" s="65">
        <v>201409</v>
      </c>
      <c r="J278" s="66">
        <v>2817.01</v>
      </c>
      <c r="K278" s="72">
        <f t="shared" si="20"/>
        <v>42675</v>
      </c>
      <c r="L278" s="67">
        <f t="shared" si="21"/>
        <v>6</v>
      </c>
      <c r="M278" s="68">
        <v>1.4833299999999999E-3</v>
      </c>
      <c r="N278" s="69">
        <f t="shared" si="22"/>
        <v>25.071332659800003</v>
      </c>
      <c r="O278" s="66"/>
      <c r="P278" s="71">
        <f t="shared" si="23"/>
        <v>0</v>
      </c>
      <c r="Q278" s="132"/>
      <c r="R278" s="71">
        <f t="shared" si="24"/>
        <v>39.876537181250001</v>
      </c>
      <c r="S278" s="64"/>
    </row>
    <row r="279" spans="1:19">
      <c r="A279" s="64" t="s">
        <v>21</v>
      </c>
      <c r="B279" s="65" t="s">
        <v>972</v>
      </c>
      <c r="C279" s="65" t="s">
        <v>973</v>
      </c>
      <c r="D279" s="64" t="s">
        <v>974</v>
      </c>
      <c r="E279" s="65" t="s">
        <v>87</v>
      </c>
      <c r="F279" s="64" t="s">
        <v>88</v>
      </c>
      <c r="G279" s="65" t="s">
        <v>20</v>
      </c>
      <c r="H279" s="65" t="s">
        <v>929</v>
      </c>
      <c r="I279" s="65">
        <v>201409</v>
      </c>
      <c r="J279" s="66">
        <v>94.14</v>
      </c>
      <c r="K279" s="72">
        <f t="shared" si="20"/>
        <v>42675</v>
      </c>
      <c r="L279" s="67">
        <f t="shared" si="21"/>
        <v>6</v>
      </c>
      <c r="M279" s="68">
        <v>1.4833299999999999E-3</v>
      </c>
      <c r="N279" s="69">
        <f t="shared" si="22"/>
        <v>0.83784411719999996</v>
      </c>
      <c r="O279" s="66"/>
      <c r="P279" s="71">
        <f t="shared" si="23"/>
        <v>0</v>
      </c>
      <c r="Q279" s="132"/>
      <c r="R279" s="71">
        <f t="shared" si="24"/>
        <v>1.3326105374999999</v>
      </c>
      <c r="S279" s="64"/>
    </row>
    <row r="280" spans="1:19">
      <c r="A280" s="64" t="s">
        <v>626</v>
      </c>
      <c r="B280" s="65" t="s">
        <v>975</v>
      </c>
      <c r="C280" s="65" t="s">
        <v>976</v>
      </c>
      <c r="D280" s="64" t="s">
        <v>977</v>
      </c>
      <c r="E280" s="65" t="s">
        <v>87</v>
      </c>
      <c r="F280" s="64" t="s">
        <v>88</v>
      </c>
      <c r="G280" s="65" t="s">
        <v>20</v>
      </c>
      <c r="H280" s="65" t="s">
        <v>929</v>
      </c>
      <c r="I280" s="65">
        <v>201409</v>
      </c>
      <c r="J280" s="66">
        <v>77244.5</v>
      </c>
      <c r="K280" s="72">
        <f t="shared" si="20"/>
        <v>42675</v>
      </c>
      <c r="L280" s="67">
        <f t="shared" si="21"/>
        <v>6</v>
      </c>
      <c r="M280" s="68">
        <v>1.4833299999999999E-3</v>
      </c>
      <c r="N280" s="69">
        <f t="shared" si="22"/>
        <v>687.47450511</v>
      </c>
      <c r="O280" s="66"/>
      <c r="P280" s="71">
        <f t="shared" si="23"/>
        <v>0</v>
      </c>
      <c r="Q280" s="132"/>
      <c r="R280" s="71">
        <f t="shared" si="24"/>
        <v>1093.4441753125</v>
      </c>
      <c r="S280" s="64"/>
    </row>
    <row r="281" spans="1:19">
      <c r="A281" s="64" t="s">
        <v>626</v>
      </c>
      <c r="B281" s="65" t="s">
        <v>885</v>
      </c>
      <c r="C281" s="65" t="s">
        <v>886</v>
      </c>
      <c r="D281" s="64" t="s">
        <v>887</v>
      </c>
      <c r="E281" s="65" t="s">
        <v>93</v>
      </c>
      <c r="F281" s="64" t="s">
        <v>88</v>
      </c>
      <c r="G281" s="65" t="s">
        <v>20</v>
      </c>
      <c r="H281" s="65" t="s">
        <v>929</v>
      </c>
      <c r="I281" s="65">
        <v>201409</v>
      </c>
      <c r="J281" s="66">
        <v>8672.4699999999993</v>
      </c>
      <c r="K281" s="72">
        <f t="shared" ref="K281:K299" si="25">+K280</f>
        <v>42675</v>
      </c>
      <c r="L281" s="67">
        <f t="shared" si="21"/>
        <v>6</v>
      </c>
      <c r="M281" s="68">
        <v>1.4833299999999999E-3</v>
      </c>
      <c r="N281" s="69">
        <f t="shared" si="22"/>
        <v>77.184809550599994</v>
      </c>
      <c r="O281" s="66"/>
      <c r="P281" s="71">
        <f t="shared" si="23"/>
        <v>0</v>
      </c>
      <c r="Q281" s="132"/>
      <c r="R281" s="71">
        <f t="shared" si="24"/>
        <v>122.76423314374999</v>
      </c>
      <c r="S281" s="64"/>
    </row>
    <row r="282" spans="1:19">
      <c r="A282" s="64" t="s">
        <v>626</v>
      </c>
      <c r="B282" s="65" t="s">
        <v>912</v>
      </c>
      <c r="C282" s="65" t="s">
        <v>913</v>
      </c>
      <c r="D282" s="64" t="s">
        <v>914</v>
      </c>
      <c r="E282" s="65" t="s">
        <v>164</v>
      </c>
      <c r="F282" s="64" t="s">
        <v>165</v>
      </c>
      <c r="G282" s="65" t="s">
        <v>20</v>
      </c>
      <c r="H282" s="65" t="s">
        <v>928</v>
      </c>
      <c r="I282" s="65">
        <v>201409</v>
      </c>
      <c r="J282" s="66">
        <v>1598.77</v>
      </c>
      <c r="K282" s="72">
        <f t="shared" si="25"/>
        <v>42675</v>
      </c>
      <c r="L282" s="67">
        <f t="shared" si="21"/>
        <v>6</v>
      </c>
      <c r="M282" s="68">
        <v>1.4833299999999999E-3</v>
      </c>
      <c r="N282" s="69">
        <f t="shared" si="22"/>
        <v>14.2290210246</v>
      </c>
      <c r="O282" s="66"/>
      <c r="P282" s="71">
        <f t="shared" si="23"/>
        <v>0</v>
      </c>
      <c r="Q282" s="132"/>
      <c r="R282" s="71">
        <f t="shared" si="24"/>
        <v>22.631588581249996</v>
      </c>
      <c r="S282" s="64"/>
    </row>
    <row r="283" spans="1:19">
      <c r="A283" s="64" t="s">
        <v>626</v>
      </c>
      <c r="B283" s="65" t="s">
        <v>915</v>
      </c>
      <c r="C283" s="65" t="s">
        <v>916</v>
      </c>
      <c r="D283" s="64" t="s">
        <v>917</v>
      </c>
      <c r="E283" s="65" t="s">
        <v>918</v>
      </c>
      <c r="F283" s="64" t="s">
        <v>143</v>
      </c>
      <c r="G283" s="65" t="s">
        <v>20</v>
      </c>
      <c r="H283" s="65" t="s">
        <v>928</v>
      </c>
      <c r="I283" s="65">
        <v>201409</v>
      </c>
      <c r="J283" s="66">
        <v>0</v>
      </c>
      <c r="K283" s="72">
        <f t="shared" si="25"/>
        <v>42675</v>
      </c>
      <c r="L283" s="67">
        <f t="shared" si="21"/>
        <v>6</v>
      </c>
      <c r="M283" s="68">
        <v>1.4833299999999999E-3</v>
      </c>
      <c r="N283" s="69">
        <f t="shared" si="22"/>
        <v>0</v>
      </c>
      <c r="O283" s="66"/>
      <c r="P283" s="71">
        <f t="shared" si="23"/>
        <v>0</v>
      </c>
      <c r="Q283" s="132"/>
      <c r="R283" s="71">
        <f t="shared" si="24"/>
        <v>0</v>
      </c>
      <c r="S283" s="64"/>
    </row>
    <row r="284" spans="1:19">
      <c r="A284" s="64" t="s">
        <v>21</v>
      </c>
      <c r="B284" s="65" t="s">
        <v>891</v>
      </c>
      <c r="C284" s="65" t="s">
        <v>892</v>
      </c>
      <c r="D284" s="64" t="s">
        <v>893</v>
      </c>
      <c r="E284" s="65" t="s">
        <v>360</v>
      </c>
      <c r="F284" s="64" t="s">
        <v>19</v>
      </c>
      <c r="G284" s="65" t="s">
        <v>20</v>
      </c>
      <c r="H284" s="65" t="s">
        <v>928</v>
      </c>
      <c r="I284" s="65">
        <v>201409</v>
      </c>
      <c r="J284" s="66">
        <v>0</v>
      </c>
      <c r="K284" s="72">
        <f t="shared" si="25"/>
        <v>42675</v>
      </c>
      <c r="L284" s="67">
        <f t="shared" si="21"/>
        <v>6</v>
      </c>
      <c r="M284" s="68">
        <v>1.4833299999999999E-3</v>
      </c>
      <c r="N284" s="69">
        <f t="shared" si="22"/>
        <v>0</v>
      </c>
      <c r="O284" s="66"/>
      <c r="P284" s="71">
        <f t="shared" si="23"/>
        <v>0</v>
      </c>
      <c r="Q284" s="132"/>
      <c r="R284" s="71">
        <f t="shared" si="24"/>
        <v>0</v>
      </c>
      <c r="S284" s="64"/>
    </row>
    <row r="285" spans="1:19">
      <c r="A285" s="64" t="s">
        <v>626</v>
      </c>
      <c r="B285" s="65" t="s">
        <v>919</v>
      </c>
      <c r="C285" s="65" t="s">
        <v>920</v>
      </c>
      <c r="D285" s="64" t="s">
        <v>921</v>
      </c>
      <c r="E285" s="65" t="s">
        <v>164</v>
      </c>
      <c r="F285" s="64" t="s">
        <v>165</v>
      </c>
      <c r="G285" s="65" t="s">
        <v>20</v>
      </c>
      <c r="H285" s="65" t="s">
        <v>928</v>
      </c>
      <c r="I285" s="65">
        <v>201409</v>
      </c>
      <c r="J285" s="66">
        <v>76.45</v>
      </c>
      <c r="K285" s="72">
        <f t="shared" si="25"/>
        <v>42675</v>
      </c>
      <c r="L285" s="67">
        <f t="shared" si="21"/>
        <v>6</v>
      </c>
      <c r="M285" s="68">
        <v>1.4833299999999999E-3</v>
      </c>
      <c r="N285" s="69">
        <f t="shared" si="22"/>
        <v>0.68040347099999998</v>
      </c>
      <c r="O285" s="66"/>
      <c r="P285" s="71">
        <f t="shared" si="23"/>
        <v>0</v>
      </c>
      <c r="Q285" s="132"/>
      <c r="R285" s="71">
        <f t="shared" si="24"/>
        <v>1.0821975312499998</v>
      </c>
      <c r="S285" s="64"/>
    </row>
    <row r="286" spans="1:19">
      <c r="A286" s="64" t="s">
        <v>21</v>
      </c>
      <c r="B286" s="65" t="s">
        <v>894</v>
      </c>
      <c r="C286" s="65" t="s">
        <v>895</v>
      </c>
      <c r="D286" s="64" t="s">
        <v>896</v>
      </c>
      <c r="E286" s="65" t="s">
        <v>280</v>
      </c>
      <c r="F286" s="64" t="s">
        <v>26</v>
      </c>
      <c r="G286" s="65" t="s">
        <v>20</v>
      </c>
      <c r="H286" s="65" t="s">
        <v>928</v>
      </c>
      <c r="I286" s="65">
        <v>201409</v>
      </c>
      <c r="J286" s="66">
        <v>92.14</v>
      </c>
      <c r="K286" s="72">
        <f t="shared" si="25"/>
        <v>42675</v>
      </c>
      <c r="L286" s="67">
        <f t="shared" si="21"/>
        <v>6</v>
      </c>
      <c r="M286" s="68">
        <v>1.4833299999999999E-3</v>
      </c>
      <c r="N286" s="69">
        <f t="shared" si="22"/>
        <v>0.82004415720000001</v>
      </c>
      <c r="O286" s="66"/>
      <c r="P286" s="71">
        <f t="shared" si="23"/>
        <v>0</v>
      </c>
      <c r="Q286" s="132"/>
      <c r="R286" s="71">
        <f t="shared" si="24"/>
        <v>1.3042992874999999</v>
      </c>
      <c r="S286" s="64"/>
    </row>
    <row r="287" spans="1:19">
      <c r="A287" s="64" t="s">
        <v>21</v>
      </c>
      <c r="B287" s="65" t="s">
        <v>978</v>
      </c>
      <c r="C287" s="65" t="s">
        <v>979</v>
      </c>
      <c r="D287" s="64" t="s">
        <v>980</v>
      </c>
      <c r="E287" s="65" t="s">
        <v>102</v>
      </c>
      <c r="F287" s="64" t="s">
        <v>19</v>
      </c>
      <c r="G287" s="65" t="s">
        <v>20</v>
      </c>
      <c r="H287" s="65" t="s">
        <v>928</v>
      </c>
      <c r="I287" s="65">
        <v>201409</v>
      </c>
      <c r="J287" s="66">
        <v>0</v>
      </c>
      <c r="K287" s="72">
        <f t="shared" si="25"/>
        <v>42675</v>
      </c>
      <c r="L287" s="67">
        <f t="shared" si="21"/>
        <v>6</v>
      </c>
      <c r="M287" s="68">
        <v>1.4833299999999999E-3</v>
      </c>
      <c r="N287" s="69">
        <f t="shared" si="22"/>
        <v>0</v>
      </c>
      <c r="O287" s="66"/>
      <c r="P287" s="71">
        <f t="shared" si="23"/>
        <v>0</v>
      </c>
      <c r="Q287" s="132"/>
      <c r="R287" s="71">
        <f t="shared" si="24"/>
        <v>0</v>
      </c>
      <c r="S287" s="64"/>
    </row>
    <row r="288" spans="1:19">
      <c r="A288" s="64" t="s">
        <v>626</v>
      </c>
      <c r="B288" s="65" t="s">
        <v>981</v>
      </c>
      <c r="C288" s="65" t="s">
        <v>982</v>
      </c>
      <c r="D288" s="64" t="s">
        <v>983</v>
      </c>
      <c r="E288" s="65" t="s">
        <v>531</v>
      </c>
      <c r="F288" s="64" t="s">
        <v>26</v>
      </c>
      <c r="G288" s="65" t="s">
        <v>20</v>
      </c>
      <c r="H288" s="65" t="s">
        <v>928</v>
      </c>
      <c r="I288" s="65">
        <v>201409</v>
      </c>
      <c r="J288" s="66">
        <v>428.36</v>
      </c>
      <c r="K288" s="72">
        <f t="shared" si="25"/>
        <v>42675</v>
      </c>
      <c r="L288" s="67">
        <f t="shared" si="21"/>
        <v>6</v>
      </c>
      <c r="M288" s="68">
        <v>1.4833299999999999E-3</v>
      </c>
      <c r="N288" s="69">
        <f t="shared" si="22"/>
        <v>3.8123954328000003</v>
      </c>
      <c r="O288" s="66"/>
      <c r="P288" s="71">
        <f t="shared" si="23"/>
        <v>0</v>
      </c>
      <c r="Q288" s="132"/>
      <c r="R288" s="71">
        <f t="shared" si="24"/>
        <v>6.0637035250000002</v>
      </c>
      <c r="S288" s="64"/>
    </row>
    <row r="289" spans="1:19">
      <c r="A289" s="64" t="s">
        <v>626</v>
      </c>
      <c r="B289" s="65" t="s">
        <v>984</v>
      </c>
      <c r="C289" s="65" t="s">
        <v>985</v>
      </c>
      <c r="D289" s="64" t="s">
        <v>986</v>
      </c>
      <c r="E289" s="65" t="s">
        <v>156</v>
      </c>
      <c r="F289" s="64" t="s">
        <v>26</v>
      </c>
      <c r="G289" s="65" t="s">
        <v>20</v>
      </c>
      <c r="H289" s="65" t="s">
        <v>928</v>
      </c>
      <c r="I289" s="65">
        <v>201409</v>
      </c>
      <c r="J289" s="66">
        <v>0</v>
      </c>
      <c r="K289" s="72">
        <f t="shared" si="25"/>
        <v>42675</v>
      </c>
      <c r="L289" s="67">
        <f t="shared" si="21"/>
        <v>6</v>
      </c>
      <c r="M289" s="68">
        <v>1.4833299999999999E-3</v>
      </c>
      <c r="N289" s="69">
        <f t="shared" si="22"/>
        <v>0</v>
      </c>
      <c r="O289" s="66"/>
      <c r="P289" s="71">
        <f t="shared" si="23"/>
        <v>0</v>
      </c>
      <c r="Q289" s="132"/>
      <c r="R289" s="71">
        <f t="shared" si="24"/>
        <v>0</v>
      </c>
      <c r="S289" s="64"/>
    </row>
    <row r="290" spans="1:19">
      <c r="A290" s="64" t="s">
        <v>626</v>
      </c>
      <c r="B290" s="65" t="s">
        <v>987</v>
      </c>
      <c r="C290" s="65" t="s">
        <v>988</v>
      </c>
      <c r="D290" s="64" t="s">
        <v>989</v>
      </c>
      <c r="E290" s="65" t="s">
        <v>63</v>
      </c>
      <c r="F290" s="64" t="s">
        <v>19</v>
      </c>
      <c r="G290" s="65" t="s">
        <v>20</v>
      </c>
      <c r="H290" s="65" t="s">
        <v>928</v>
      </c>
      <c r="I290" s="65">
        <v>201409</v>
      </c>
      <c r="J290" s="66">
        <v>0</v>
      </c>
      <c r="K290" s="72">
        <f t="shared" si="25"/>
        <v>42675</v>
      </c>
      <c r="L290" s="67">
        <f t="shared" si="21"/>
        <v>6</v>
      </c>
      <c r="M290" s="68">
        <v>1.4833299999999999E-3</v>
      </c>
      <c r="N290" s="69">
        <f t="shared" si="22"/>
        <v>0</v>
      </c>
      <c r="O290" s="66"/>
      <c r="P290" s="71">
        <f t="shared" si="23"/>
        <v>0</v>
      </c>
      <c r="Q290" s="132"/>
      <c r="R290" s="71">
        <f t="shared" si="24"/>
        <v>0</v>
      </c>
      <c r="S290" s="64"/>
    </row>
    <row r="291" spans="1:19">
      <c r="A291" s="88" t="s">
        <v>990</v>
      </c>
      <c r="B291" s="89" t="s">
        <v>991</v>
      </c>
      <c r="C291" s="89" t="s">
        <v>992</v>
      </c>
      <c r="D291" s="88" t="s">
        <v>993</v>
      </c>
      <c r="E291" s="89" t="s">
        <v>994</v>
      </c>
      <c r="F291" s="88" t="s">
        <v>995</v>
      </c>
      <c r="G291" s="89" t="s">
        <v>20</v>
      </c>
      <c r="H291" s="65" t="s">
        <v>933</v>
      </c>
      <c r="I291" s="89">
        <v>201409</v>
      </c>
      <c r="J291" s="90">
        <v>3649.84</v>
      </c>
      <c r="K291" s="72">
        <f t="shared" si="25"/>
        <v>42675</v>
      </c>
      <c r="L291" s="67">
        <f t="shared" si="21"/>
        <v>6</v>
      </c>
      <c r="M291" s="91">
        <v>2.0333333000000001E-3</v>
      </c>
      <c r="N291" s="69">
        <f t="shared" si="22"/>
        <v>44.528047270032005</v>
      </c>
      <c r="O291" s="66"/>
      <c r="P291" s="71">
        <f t="shared" si="23"/>
        <v>0</v>
      </c>
      <c r="Q291" s="132"/>
      <c r="R291" s="71">
        <f t="shared" si="24"/>
        <v>51.665766349999998</v>
      </c>
      <c r="S291" s="64"/>
    </row>
    <row r="292" spans="1:19">
      <c r="A292" s="88" t="s">
        <v>990</v>
      </c>
      <c r="B292" s="89" t="s">
        <v>996</v>
      </c>
      <c r="C292" s="89" t="s">
        <v>997</v>
      </c>
      <c r="D292" s="88" t="s">
        <v>998</v>
      </c>
      <c r="E292" s="89" t="s">
        <v>999</v>
      </c>
      <c r="F292" s="88" t="s">
        <v>995</v>
      </c>
      <c r="G292" s="89" t="s">
        <v>20</v>
      </c>
      <c r="H292" s="65" t="s">
        <v>933</v>
      </c>
      <c r="I292" s="89">
        <v>201409</v>
      </c>
      <c r="J292" s="90">
        <v>1343.76</v>
      </c>
      <c r="K292" s="72">
        <f t="shared" si="25"/>
        <v>42675</v>
      </c>
      <c r="L292" s="67">
        <f t="shared" si="21"/>
        <v>6</v>
      </c>
      <c r="M292" s="91">
        <v>2.0333333000000001E-3</v>
      </c>
      <c r="N292" s="69">
        <f t="shared" si="22"/>
        <v>16.393871731247998</v>
      </c>
      <c r="O292" s="66"/>
      <c r="P292" s="71">
        <f t="shared" si="23"/>
        <v>0</v>
      </c>
      <c r="Q292" s="132"/>
      <c r="R292" s="71">
        <f t="shared" si="24"/>
        <v>19.021762649999999</v>
      </c>
      <c r="S292" s="64"/>
    </row>
    <row r="293" spans="1:19">
      <c r="A293" s="88" t="s">
        <v>990</v>
      </c>
      <c r="B293" s="89" t="s">
        <v>1000</v>
      </c>
      <c r="C293" s="89" t="s">
        <v>1001</v>
      </c>
      <c r="D293" s="88" t="s">
        <v>998</v>
      </c>
      <c r="E293" s="89" t="s">
        <v>1002</v>
      </c>
      <c r="F293" s="88" t="s">
        <v>995</v>
      </c>
      <c r="G293" s="89" t="s">
        <v>20</v>
      </c>
      <c r="H293" s="65" t="s">
        <v>933</v>
      </c>
      <c r="I293" s="89">
        <v>201409</v>
      </c>
      <c r="J293" s="90">
        <v>34137.56</v>
      </c>
      <c r="K293" s="72">
        <f t="shared" si="25"/>
        <v>42675</v>
      </c>
      <c r="L293" s="67">
        <f t="shared" si="21"/>
        <v>6</v>
      </c>
      <c r="M293" s="91">
        <v>2.0333333000000001E-3</v>
      </c>
      <c r="N293" s="69">
        <f t="shared" si="22"/>
        <v>416.47822517248795</v>
      </c>
      <c r="O293" s="66"/>
      <c r="P293" s="71">
        <f t="shared" si="23"/>
        <v>0</v>
      </c>
      <c r="Q293" s="132"/>
      <c r="R293" s="71">
        <f t="shared" si="24"/>
        <v>483.23849777499998</v>
      </c>
      <c r="S293" s="64"/>
    </row>
    <row r="294" spans="1:19">
      <c r="A294" s="88" t="s">
        <v>990</v>
      </c>
      <c r="B294" s="89" t="s">
        <v>1003</v>
      </c>
      <c r="C294" s="89" t="s">
        <v>1004</v>
      </c>
      <c r="D294" s="88" t="s">
        <v>1005</v>
      </c>
      <c r="E294" s="89" t="s">
        <v>1006</v>
      </c>
      <c r="F294" s="88" t="s">
        <v>995</v>
      </c>
      <c r="G294" s="89" t="s">
        <v>20</v>
      </c>
      <c r="H294" s="65" t="s">
        <v>933</v>
      </c>
      <c r="I294" s="89">
        <v>201409</v>
      </c>
      <c r="J294" s="90">
        <v>34733.839999999997</v>
      </c>
      <c r="K294" s="72">
        <f t="shared" si="25"/>
        <v>42675</v>
      </c>
      <c r="L294" s="67">
        <f t="shared" si="21"/>
        <v>6</v>
      </c>
      <c r="M294" s="91">
        <v>2.0333333000000001E-3</v>
      </c>
      <c r="N294" s="69">
        <f t="shared" si="22"/>
        <v>423.75284105323198</v>
      </c>
      <c r="O294" s="66"/>
      <c r="P294" s="71">
        <f t="shared" si="23"/>
        <v>0</v>
      </c>
      <c r="Q294" s="132"/>
      <c r="R294" s="71">
        <f t="shared" si="24"/>
        <v>491.67921384999994</v>
      </c>
      <c r="S294" s="64"/>
    </row>
    <row r="295" spans="1:19">
      <c r="A295" s="88" t="s">
        <v>990</v>
      </c>
      <c r="B295" s="89" t="s">
        <v>1007</v>
      </c>
      <c r="C295" s="89" t="s">
        <v>1008</v>
      </c>
      <c r="D295" s="88" t="s">
        <v>993</v>
      </c>
      <c r="E295" s="89" t="s">
        <v>1009</v>
      </c>
      <c r="F295" s="88" t="s">
        <v>995</v>
      </c>
      <c r="G295" s="89" t="s">
        <v>20</v>
      </c>
      <c r="H295" s="65" t="s">
        <v>933</v>
      </c>
      <c r="I295" s="89">
        <v>201409</v>
      </c>
      <c r="J295" s="90">
        <v>-4.0199999999999996</v>
      </c>
      <c r="K295" s="72">
        <f t="shared" si="25"/>
        <v>42675</v>
      </c>
      <c r="L295" s="67">
        <f t="shared" si="21"/>
        <v>6</v>
      </c>
      <c r="M295" s="91">
        <v>2.0333333000000001E-3</v>
      </c>
      <c r="N295" s="69">
        <f t="shared" si="22"/>
        <v>-4.9043999195999992E-2</v>
      </c>
      <c r="O295" s="66"/>
      <c r="P295" s="71">
        <f t="shared" si="23"/>
        <v>0</v>
      </c>
      <c r="Q295" s="132"/>
      <c r="R295" s="71">
        <f t="shared" si="24"/>
        <v>-5.6905612499999987E-2</v>
      </c>
      <c r="S295" s="64"/>
    </row>
    <row r="296" spans="1:19">
      <c r="A296" s="88" t="s">
        <v>990</v>
      </c>
      <c r="B296" s="89" t="s">
        <v>1010</v>
      </c>
      <c r="C296" s="89" t="s">
        <v>1011</v>
      </c>
      <c r="D296" s="88" t="s">
        <v>1012</v>
      </c>
      <c r="E296" s="89" t="s">
        <v>1013</v>
      </c>
      <c r="F296" s="88" t="s">
        <v>995</v>
      </c>
      <c r="G296" s="89" t="s">
        <v>20</v>
      </c>
      <c r="H296" s="65" t="s">
        <v>933</v>
      </c>
      <c r="I296" s="89">
        <v>201409</v>
      </c>
      <c r="J296" s="90">
        <v>14022.68</v>
      </c>
      <c r="K296" s="72">
        <f t="shared" si="25"/>
        <v>42675</v>
      </c>
      <c r="L296" s="67">
        <f t="shared" si="21"/>
        <v>6</v>
      </c>
      <c r="M296" s="91">
        <v>2.0333333000000001E-3</v>
      </c>
      <c r="N296" s="69">
        <f t="shared" si="22"/>
        <v>171.076693195464</v>
      </c>
      <c r="O296" s="66"/>
      <c r="P296" s="71">
        <f t="shared" si="23"/>
        <v>0</v>
      </c>
      <c r="Q296" s="132"/>
      <c r="R296" s="71">
        <f t="shared" si="24"/>
        <v>198.499799575</v>
      </c>
      <c r="S296" s="64"/>
    </row>
    <row r="297" spans="1:19">
      <c r="A297" s="88" t="s">
        <v>990</v>
      </c>
      <c r="B297" s="89" t="s">
        <v>1014</v>
      </c>
      <c r="C297" s="89" t="s">
        <v>1015</v>
      </c>
      <c r="D297" s="88" t="s">
        <v>993</v>
      </c>
      <c r="E297" s="89" t="s">
        <v>1016</v>
      </c>
      <c r="F297" s="88" t="s">
        <v>995</v>
      </c>
      <c r="G297" s="89" t="s">
        <v>20</v>
      </c>
      <c r="H297" s="65" t="s">
        <v>933</v>
      </c>
      <c r="I297" s="89">
        <v>201409</v>
      </c>
      <c r="J297" s="90">
        <v>-5.08</v>
      </c>
      <c r="K297" s="72">
        <f t="shared" si="25"/>
        <v>42675</v>
      </c>
      <c r="L297" s="67">
        <f t="shared" si="21"/>
        <v>6</v>
      </c>
      <c r="M297" s="91">
        <v>2.0333333000000001E-3</v>
      </c>
      <c r="N297" s="69">
        <f t="shared" si="22"/>
        <v>-6.1975998983999997E-2</v>
      </c>
      <c r="O297" s="66"/>
      <c r="P297" s="71">
        <f t="shared" si="23"/>
        <v>0</v>
      </c>
      <c r="Q297" s="132"/>
      <c r="R297" s="71">
        <f t="shared" si="24"/>
        <v>-7.1910575000000004E-2</v>
      </c>
      <c r="S297" s="64"/>
    </row>
    <row r="298" spans="1:19">
      <c r="A298" s="88" t="s">
        <v>990</v>
      </c>
      <c r="B298" s="89" t="s">
        <v>1017</v>
      </c>
      <c r="C298" s="89" t="s">
        <v>1018</v>
      </c>
      <c r="D298" s="88" t="s">
        <v>993</v>
      </c>
      <c r="E298" s="89" t="s">
        <v>1019</v>
      </c>
      <c r="F298" s="88" t="s">
        <v>995</v>
      </c>
      <c r="G298" s="89" t="s">
        <v>20</v>
      </c>
      <c r="H298" s="65" t="s">
        <v>933</v>
      </c>
      <c r="I298" s="89">
        <v>201409</v>
      </c>
      <c r="J298" s="90">
        <v>453.16</v>
      </c>
      <c r="K298" s="72">
        <f t="shared" si="25"/>
        <v>42675</v>
      </c>
      <c r="L298" s="67">
        <f t="shared" si="21"/>
        <v>6</v>
      </c>
      <c r="M298" s="91">
        <v>2.0333333000000001E-3</v>
      </c>
      <c r="N298" s="69">
        <f t="shared" si="22"/>
        <v>5.5285519093680007</v>
      </c>
      <c r="O298" s="66"/>
      <c r="P298" s="71">
        <f t="shared" si="23"/>
        <v>0</v>
      </c>
      <c r="Q298" s="132"/>
      <c r="R298" s="71">
        <f t="shared" si="24"/>
        <v>6.4147630250000001</v>
      </c>
      <c r="S298" s="64"/>
    </row>
    <row r="299" spans="1:19" ht="15.75" thickBot="1">
      <c r="A299" s="88" t="s">
        <v>990</v>
      </c>
      <c r="B299" s="89" t="s">
        <v>1020</v>
      </c>
      <c r="C299" s="89" t="s">
        <v>1021</v>
      </c>
      <c r="D299" s="88" t="s">
        <v>998</v>
      </c>
      <c r="E299" s="89" t="s">
        <v>1022</v>
      </c>
      <c r="F299" s="88" t="s">
        <v>995</v>
      </c>
      <c r="G299" s="89" t="s">
        <v>20</v>
      </c>
      <c r="H299" s="65" t="s">
        <v>933</v>
      </c>
      <c r="I299" s="89">
        <v>201409</v>
      </c>
      <c r="J299" s="90">
        <v>13225.13</v>
      </c>
      <c r="K299" s="72">
        <f t="shared" si="25"/>
        <v>42675</v>
      </c>
      <c r="L299" s="67">
        <f t="shared" si="21"/>
        <v>6</v>
      </c>
      <c r="M299" s="91">
        <v>2.0333333000000001E-3</v>
      </c>
      <c r="N299" s="69">
        <f t="shared" si="22"/>
        <v>161.346583354974</v>
      </c>
      <c r="O299" s="66"/>
      <c r="P299" s="71">
        <f t="shared" si="23"/>
        <v>0</v>
      </c>
      <c r="Q299" s="132"/>
      <c r="R299" s="71">
        <f t="shared" si="24"/>
        <v>187.20998085624996</v>
      </c>
      <c r="S299" s="64"/>
    </row>
    <row r="300" spans="1:19" ht="28.5" customHeight="1">
      <c r="A300" s="64"/>
      <c r="B300" s="65"/>
      <c r="C300" s="65"/>
      <c r="D300" s="64"/>
      <c r="E300" s="65"/>
      <c r="F300" s="64"/>
      <c r="G300" s="65"/>
      <c r="H300" s="65"/>
      <c r="I300" s="92"/>
      <c r="J300" s="93"/>
      <c r="K300" s="94" t="s">
        <v>1023</v>
      </c>
      <c r="L300" s="95"/>
      <c r="M300" s="96"/>
      <c r="N300" s="69"/>
      <c r="O300" s="66"/>
      <c r="P300" s="61">
        <v>0</v>
      </c>
      <c r="Q300" s="128"/>
      <c r="R300" s="61">
        <f>+X10*0.5</f>
        <v>3.3384999999999998E-2</v>
      </c>
      <c r="S300" s="64"/>
    </row>
    <row r="301" spans="1:19">
      <c r="A301" s="64" t="s">
        <v>21</v>
      </c>
      <c r="B301" s="65" t="s">
        <v>930</v>
      </c>
      <c r="C301" s="65" t="s">
        <v>931</v>
      </c>
      <c r="D301" s="64" t="s">
        <v>932</v>
      </c>
      <c r="E301" s="65" t="s">
        <v>93</v>
      </c>
      <c r="F301" s="64" t="s">
        <v>88</v>
      </c>
      <c r="G301" s="65" t="s">
        <v>20</v>
      </c>
      <c r="H301" s="65" t="s">
        <v>929</v>
      </c>
      <c r="I301" s="65">
        <v>201410</v>
      </c>
      <c r="J301" s="66">
        <v>-17.78</v>
      </c>
      <c r="K301" s="72">
        <v>42675</v>
      </c>
      <c r="L301" s="67">
        <f t="shared" si="21"/>
        <v>6</v>
      </c>
      <c r="M301" s="68">
        <v>1.4833299999999999E-3</v>
      </c>
      <c r="N301" s="69">
        <f t="shared" si="22"/>
        <v>-0.15824164440000002</v>
      </c>
      <c r="O301" s="66"/>
      <c r="P301" s="71">
        <f>$P$300*J301*$U$11</f>
        <v>0</v>
      </c>
      <c r="Q301" s="132"/>
      <c r="R301" s="71">
        <f>$R$300*J301*$U$12</f>
        <v>-0.27205992916666666</v>
      </c>
      <c r="S301" s="64"/>
    </row>
    <row r="302" spans="1:19">
      <c r="A302" s="64" t="s">
        <v>626</v>
      </c>
      <c r="B302" s="65" t="s">
        <v>730</v>
      </c>
      <c r="C302" s="65" t="s">
        <v>731</v>
      </c>
      <c r="D302" s="64" t="s">
        <v>732</v>
      </c>
      <c r="E302" s="65" t="s">
        <v>75</v>
      </c>
      <c r="F302" s="64" t="s">
        <v>26</v>
      </c>
      <c r="G302" s="65" t="s">
        <v>20</v>
      </c>
      <c r="H302" s="65" t="s">
        <v>928</v>
      </c>
      <c r="I302" s="65">
        <v>201410</v>
      </c>
      <c r="J302" s="66">
        <v>0</v>
      </c>
      <c r="K302" s="72">
        <f t="shared" ref="K302:K365" si="26">+K301</f>
        <v>42675</v>
      </c>
      <c r="L302" s="67">
        <f t="shared" si="21"/>
        <v>6</v>
      </c>
      <c r="M302" s="68">
        <v>1.4833299999999999E-3</v>
      </c>
      <c r="N302" s="69">
        <f t="shared" si="22"/>
        <v>0</v>
      </c>
      <c r="O302" s="66"/>
      <c r="P302" s="71">
        <f t="shared" ref="P302:P365" si="27">$P$300*J302*$U$11</f>
        <v>0</v>
      </c>
      <c r="Q302" s="132"/>
      <c r="R302" s="71">
        <f t="shared" ref="R302:R365" si="28">$R$300*J302*$U$12</f>
        <v>0</v>
      </c>
      <c r="S302" s="64"/>
    </row>
    <row r="303" spans="1:19">
      <c r="A303" s="64" t="s">
        <v>29</v>
      </c>
      <c r="B303" s="65" t="s">
        <v>733</v>
      </c>
      <c r="C303" s="65" t="s">
        <v>734</v>
      </c>
      <c r="D303" s="64" t="s">
        <v>105</v>
      </c>
      <c r="E303" s="65" t="s">
        <v>320</v>
      </c>
      <c r="F303" s="64" t="s">
        <v>34</v>
      </c>
      <c r="G303" s="65" t="s">
        <v>20</v>
      </c>
      <c r="H303" s="65" t="s">
        <v>933</v>
      </c>
      <c r="I303" s="65">
        <v>201410</v>
      </c>
      <c r="J303" s="66">
        <v>0</v>
      </c>
      <c r="K303" s="72">
        <f t="shared" si="26"/>
        <v>42675</v>
      </c>
      <c r="L303" s="67">
        <f t="shared" si="21"/>
        <v>6</v>
      </c>
      <c r="M303" s="68">
        <v>2.23333E-3</v>
      </c>
      <c r="N303" s="69">
        <f t="shared" si="22"/>
        <v>0</v>
      </c>
      <c r="O303" s="66"/>
      <c r="P303" s="71">
        <f t="shared" si="27"/>
        <v>0</v>
      </c>
      <c r="Q303" s="132"/>
      <c r="R303" s="71">
        <f t="shared" si="28"/>
        <v>0</v>
      </c>
      <c r="S303" s="64"/>
    </row>
    <row r="304" spans="1:19">
      <c r="A304" s="64" t="s">
        <v>29</v>
      </c>
      <c r="B304" s="65" t="s">
        <v>30</v>
      </c>
      <c r="C304" s="65" t="s">
        <v>31</v>
      </c>
      <c r="D304" s="64" t="s">
        <v>32</v>
      </c>
      <c r="E304" s="65" t="s">
        <v>33</v>
      </c>
      <c r="F304" s="64" t="s">
        <v>34</v>
      </c>
      <c r="G304" s="65" t="s">
        <v>20</v>
      </c>
      <c r="H304" s="65" t="s">
        <v>933</v>
      </c>
      <c r="I304" s="65">
        <v>201410</v>
      </c>
      <c r="J304" s="66">
        <v>170646.25</v>
      </c>
      <c r="K304" s="72">
        <f t="shared" si="26"/>
        <v>42675</v>
      </c>
      <c r="L304" s="67">
        <f t="shared" si="21"/>
        <v>6</v>
      </c>
      <c r="M304" s="68">
        <v>2.23333E-3</v>
      </c>
      <c r="N304" s="69">
        <f t="shared" si="22"/>
        <v>2286.656337075</v>
      </c>
      <c r="O304" s="66"/>
      <c r="P304" s="71">
        <f t="shared" si="27"/>
        <v>0</v>
      </c>
      <c r="Q304" s="132"/>
      <c r="R304" s="71">
        <f t="shared" si="28"/>
        <v>2611.1364841145833</v>
      </c>
      <c r="S304" s="64"/>
    </row>
    <row r="305" spans="1:19">
      <c r="A305" s="64" t="s">
        <v>29</v>
      </c>
      <c r="B305" s="65" t="s">
        <v>37</v>
      </c>
      <c r="C305" s="65" t="s">
        <v>38</v>
      </c>
      <c r="D305" s="64" t="s">
        <v>39</v>
      </c>
      <c r="E305" s="65" t="s">
        <v>40</v>
      </c>
      <c r="F305" s="64" t="s">
        <v>41</v>
      </c>
      <c r="G305" s="65" t="s">
        <v>20</v>
      </c>
      <c r="H305" s="65" t="s">
        <v>933</v>
      </c>
      <c r="I305" s="65">
        <v>201410</v>
      </c>
      <c r="J305" s="66">
        <v>28628.69</v>
      </c>
      <c r="K305" s="72">
        <f t="shared" si="26"/>
        <v>42675</v>
      </c>
      <c r="L305" s="67">
        <f t="shared" si="21"/>
        <v>6</v>
      </c>
      <c r="M305" s="68">
        <v>2.23333E-3</v>
      </c>
      <c r="N305" s="69">
        <f t="shared" si="22"/>
        <v>383.62387342619996</v>
      </c>
      <c r="O305" s="66"/>
      <c r="P305" s="71">
        <f t="shared" si="27"/>
        <v>0</v>
      </c>
      <c r="Q305" s="132"/>
      <c r="R305" s="71">
        <f t="shared" si="28"/>
        <v>438.06070717291658</v>
      </c>
      <c r="S305" s="64"/>
    </row>
    <row r="306" spans="1:19">
      <c r="A306" s="64" t="s">
        <v>29</v>
      </c>
      <c r="B306" s="65" t="s">
        <v>48</v>
      </c>
      <c r="C306" s="65" t="s">
        <v>49</v>
      </c>
      <c r="D306" s="64" t="s">
        <v>50</v>
      </c>
      <c r="E306" s="65" t="s">
        <v>51</v>
      </c>
      <c r="F306" s="64" t="s">
        <v>52</v>
      </c>
      <c r="G306" s="65" t="s">
        <v>20</v>
      </c>
      <c r="H306" s="65" t="s">
        <v>933</v>
      </c>
      <c r="I306" s="65">
        <v>201410</v>
      </c>
      <c r="J306" s="66">
        <v>7587.08</v>
      </c>
      <c r="K306" s="72">
        <f t="shared" si="26"/>
        <v>42675</v>
      </c>
      <c r="L306" s="67">
        <f t="shared" si="21"/>
        <v>6</v>
      </c>
      <c r="M306" s="68">
        <v>2.23333E-3</v>
      </c>
      <c r="N306" s="69">
        <f t="shared" si="22"/>
        <v>101.66672025839999</v>
      </c>
      <c r="O306" s="66"/>
      <c r="P306" s="71">
        <f t="shared" si="27"/>
        <v>0</v>
      </c>
      <c r="Q306" s="132"/>
      <c r="R306" s="71">
        <f t="shared" si="28"/>
        <v>116.09338849166666</v>
      </c>
      <c r="S306" s="64"/>
    </row>
    <row r="307" spans="1:19">
      <c r="A307" s="64" t="s">
        <v>21</v>
      </c>
      <c r="B307" s="65" t="s">
        <v>60</v>
      </c>
      <c r="C307" s="65" t="s">
        <v>61</v>
      </c>
      <c r="D307" s="64" t="s">
        <v>62</v>
      </c>
      <c r="E307" s="65" t="s">
        <v>63</v>
      </c>
      <c r="F307" s="64" t="s">
        <v>19</v>
      </c>
      <c r="G307" s="65" t="s">
        <v>20</v>
      </c>
      <c r="H307" s="65" t="s">
        <v>928</v>
      </c>
      <c r="I307" s="65">
        <v>201410</v>
      </c>
      <c r="J307" s="66">
        <v>-961.99</v>
      </c>
      <c r="K307" s="72">
        <f t="shared" si="26"/>
        <v>42675</v>
      </c>
      <c r="L307" s="67">
        <f t="shared" si="21"/>
        <v>6</v>
      </c>
      <c r="M307" s="68">
        <v>1.4833299999999999E-3</v>
      </c>
      <c r="N307" s="69">
        <f t="shared" si="22"/>
        <v>-8.5616917602000004</v>
      </c>
      <c r="O307" s="66"/>
      <c r="P307" s="71">
        <f t="shared" si="27"/>
        <v>0</v>
      </c>
      <c r="Q307" s="132"/>
      <c r="R307" s="71">
        <f t="shared" si="28"/>
        <v>-14.719849902083332</v>
      </c>
      <c r="S307" s="64"/>
    </row>
    <row r="308" spans="1:19">
      <c r="A308" s="64" t="s">
        <v>29</v>
      </c>
      <c r="B308" s="65" t="s">
        <v>1024</v>
      </c>
      <c r="C308" s="65" t="s">
        <v>1025</v>
      </c>
      <c r="D308" s="64" t="s">
        <v>1026</v>
      </c>
      <c r="E308" s="65" t="s">
        <v>1027</v>
      </c>
      <c r="F308" s="64" t="s">
        <v>1028</v>
      </c>
      <c r="G308" s="65" t="s">
        <v>20</v>
      </c>
      <c r="H308" s="65" t="s">
        <v>933</v>
      </c>
      <c r="I308" s="65">
        <v>201410</v>
      </c>
      <c r="J308" s="66">
        <v>100.15</v>
      </c>
      <c r="K308" s="72">
        <f t="shared" si="26"/>
        <v>42675</v>
      </c>
      <c r="L308" s="67">
        <f t="shared" si="21"/>
        <v>6</v>
      </c>
      <c r="M308" s="68">
        <v>2.23333E-3</v>
      </c>
      <c r="N308" s="69">
        <f t="shared" si="22"/>
        <v>1.3420079970000001</v>
      </c>
      <c r="O308" s="66"/>
      <c r="P308" s="71">
        <f t="shared" si="27"/>
        <v>0</v>
      </c>
      <c r="Q308" s="132"/>
      <c r="R308" s="71">
        <f t="shared" si="28"/>
        <v>1.5324410520833334</v>
      </c>
      <c r="S308" s="64"/>
    </row>
    <row r="309" spans="1:19">
      <c r="A309" s="64" t="s">
        <v>29</v>
      </c>
      <c r="B309" s="65" t="s">
        <v>107</v>
      </c>
      <c r="C309" s="65" t="s">
        <v>108</v>
      </c>
      <c r="D309" s="64" t="s">
        <v>109</v>
      </c>
      <c r="E309" s="65" t="s">
        <v>110</v>
      </c>
      <c r="F309" s="64" t="s">
        <v>52</v>
      </c>
      <c r="G309" s="65" t="s">
        <v>20</v>
      </c>
      <c r="H309" s="65" t="s">
        <v>933</v>
      </c>
      <c r="I309" s="65">
        <v>201410</v>
      </c>
      <c r="J309" s="66">
        <v>64057.599999999999</v>
      </c>
      <c r="K309" s="72">
        <f t="shared" si="26"/>
        <v>42675</v>
      </c>
      <c r="L309" s="67">
        <f t="shared" si="21"/>
        <v>6</v>
      </c>
      <c r="M309" s="68">
        <v>2.23333E-3</v>
      </c>
      <c r="N309" s="69">
        <f t="shared" si="22"/>
        <v>858.37055884799986</v>
      </c>
      <c r="O309" s="66"/>
      <c r="P309" s="71">
        <f t="shared" si="27"/>
        <v>0</v>
      </c>
      <c r="Q309" s="132"/>
      <c r="R309" s="71">
        <f t="shared" si="28"/>
        <v>980.17469733333314</v>
      </c>
      <c r="S309" s="64"/>
    </row>
    <row r="310" spans="1:19">
      <c r="A310" s="85" t="s">
        <v>554</v>
      </c>
      <c r="B310" s="65" t="s">
        <v>116</v>
      </c>
      <c r="C310" s="65" t="s">
        <v>117</v>
      </c>
      <c r="D310" s="64" t="s">
        <v>118</v>
      </c>
      <c r="E310" s="65" t="s">
        <v>119</v>
      </c>
      <c r="F310" s="64" t="s">
        <v>120</v>
      </c>
      <c r="G310" s="65" t="s">
        <v>20</v>
      </c>
      <c r="H310" s="65" t="s">
        <v>936</v>
      </c>
      <c r="I310" s="65">
        <v>201410</v>
      </c>
      <c r="J310" s="66">
        <v>70665.899999999994</v>
      </c>
      <c r="K310" s="72">
        <f t="shared" si="26"/>
        <v>42675</v>
      </c>
      <c r="L310" s="67">
        <f t="shared" si="21"/>
        <v>6</v>
      </c>
      <c r="M310" s="68">
        <v>1.4833299999999999E-3</v>
      </c>
      <c r="N310" s="69">
        <f t="shared" si="22"/>
        <v>628.925096682</v>
      </c>
      <c r="O310" s="66"/>
      <c r="P310" s="71">
        <f t="shared" si="27"/>
        <v>0</v>
      </c>
      <c r="Q310" s="132"/>
      <c r="R310" s="71">
        <f t="shared" si="28"/>
        <v>1081.2913244374997</v>
      </c>
      <c r="S310" s="64"/>
    </row>
    <row r="311" spans="1:19">
      <c r="A311" s="64" t="s">
        <v>29</v>
      </c>
      <c r="B311" s="65" t="s">
        <v>121</v>
      </c>
      <c r="C311" s="65" t="s">
        <v>122</v>
      </c>
      <c r="D311" s="64" t="s">
        <v>50</v>
      </c>
      <c r="E311" s="65" t="s">
        <v>123</v>
      </c>
      <c r="F311" s="64" t="s">
        <v>52</v>
      </c>
      <c r="G311" s="65" t="s">
        <v>20</v>
      </c>
      <c r="H311" s="65" t="s">
        <v>933</v>
      </c>
      <c r="I311" s="65">
        <v>201410</v>
      </c>
      <c r="J311" s="66">
        <v>955.76</v>
      </c>
      <c r="K311" s="72">
        <f t="shared" si="26"/>
        <v>42675</v>
      </c>
      <c r="L311" s="67">
        <f t="shared" si="21"/>
        <v>6</v>
      </c>
      <c r="M311" s="68">
        <v>2.23333E-3</v>
      </c>
      <c r="N311" s="69">
        <f t="shared" si="22"/>
        <v>12.807164884799999</v>
      </c>
      <c r="O311" s="66"/>
      <c r="P311" s="71">
        <f t="shared" si="27"/>
        <v>0</v>
      </c>
      <c r="Q311" s="132"/>
      <c r="R311" s="71">
        <f t="shared" si="28"/>
        <v>14.624521816666665</v>
      </c>
      <c r="S311" s="64"/>
    </row>
    <row r="312" spans="1:19">
      <c r="A312" s="64" t="s">
        <v>29</v>
      </c>
      <c r="B312" s="65" t="s">
        <v>124</v>
      </c>
      <c r="C312" s="65" t="s">
        <v>125</v>
      </c>
      <c r="D312" s="64" t="s">
        <v>50</v>
      </c>
      <c r="E312" s="65" t="s">
        <v>126</v>
      </c>
      <c r="F312" s="64" t="s">
        <v>52</v>
      </c>
      <c r="G312" s="65" t="s">
        <v>20</v>
      </c>
      <c r="H312" s="65" t="s">
        <v>933</v>
      </c>
      <c r="I312" s="65">
        <v>201410</v>
      </c>
      <c r="J312" s="66">
        <v>7523.71</v>
      </c>
      <c r="K312" s="72">
        <f t="shared" si="26"/>
        <v>42675</v>
      </c>
      <c r="L312" s="67">
        <f t="shared" si="21"/>
        <v>6</v>
      </c>
      <c r="M312" s="68">
        <v>2.23333E-3</v>
      </c>
      <c r="N312" s="69">
        <f t="shared" si="22"/>
        <v>100.8175635258</v>
      </c>
      <c r="O312" s="66"/>
      <c r="P312" s="71">
        <f t="shared" si="27"/>
        <v>0</v>
      </c>
      <c r="Q312" s="132"/>
      <c r="R312" s="71">
        <f t="shared" si="28"/>
        <v>115.12373507708332</v>
      </c>
      <c r="S312" s="64"/>
    </row>
    <row r="313" spans="1:19">
      <c r="A313" s="64" t="s">
        <v>21</v>
      </c>
      <c r="B313" s="65" t="s">
        <v>571</v>
      </c>
      <c r="C313" s="65" t="s">
        <v>572</v>
      </c>
      <c r="D313" s="64" t="s">
        <v>573</v>
      </c>
      <c r="E313" s="65" t="s">
        <v>79</v>
      </c>
      <c r="F313" s="64" t="s">
        <v>26</v>
      </c>
      <c r="G313" s="65" t="s">
        <v>20</v>
      </c>
      <c r="H313" s="65" t="s">
        <v>928</v>
      </c>
      <c r="I313" s="65">
        <v>201410</v>
      </c>
      <c r="J313" s="66">
        <v>-30089.42</v>
      </c>
      <c r="K313" s="72">
        <f t="shared" si="26"/>
        <v>42675</v>
      </c>
      <c r="L313" s="67">
        <f t="shared" si="21"/>
        <v>6</v>
      </c>
      <c r="M313" s="68">
        <v>1.4833299999999999E-3</v>
      </c>
      <c r="N313" s="69">
        <f t="shared" si="22"/>
        <v>-267.79523621160001</v>
      </c>
      <c r="O313" s="66"/>
      <c r="P313" s="71">
        <f t="shared" si="27"/>
        <v>0</v>
      </c>
      <c r="Q313" s="132"/>
      <c r="R313" s="71">
        <f t="shared" si="28"/>
        <v>-460.41200640416662</v>
      </c>
      <c r="S313" s="64"/>
    </row>
    <row r="314" spans="1:19">
      <c r="A314" s="64" t="s">
        <v>626</v>
      </c>
      <c r="B314" s="65" t="s">
        <v>571</v>
      </c>
      <c r="C314" s="65" t="s">
        <v>572</v>
      </c>
      <c r="D314" s="64" t="s">
        <v>573</v>
      </c>
      <c r="E314" s="65" t="s">
        <v>79</v>
      </c>
      <c r="F314" s="64" t="s">
        <v>26</v>
      </c>
      <c r="G314" s="65" t="s">
        <v>20</v>
      </c>
      <c r="H314" s="65" t="s">
        <v>928</v>
      </c>
      <c r="I314" s="65">
        <v>201410</v>
      </c>
      <c r="J314" s="66">
        <v>30089.42</v>
      </c>
      <c r="K314" s="72">
        <f t="shared" si="26"/>
        <v>42675</v>
      </c>
      <c r="L314" s="67">
        <f t="shared" si="21"/>
        <v>6</v>
      </c>
      <c r="M314" s="68">
        <v>1.4833299999999999E-3</v>
      </c>
      <c r="N314" s="69">
        <f t="shared" si="22"/>
        <v>267.79523621160001</v>
      </c>
      <c r="O314" s="66"/>
      <c r="P314" s="71">
        <f t="shared" si="27"/>
        <v>0</v>
      </c>
      <c r="Q314" s="132"/>
      <c r="R314" s="71">
        <f t="shared" si="28"/>
        <v>460.41200640416662</v>
      </c>
      <c r="S314" s="64"/>
    </row>
    <row r="315" spans="1:19">
      <c r="A315" s="64" t="s">
        <v>626</v>
      </c>
      <c r="B315" s="65" t="s">
        <v>1029</v>
      </c>
      <c r="C315" s="65" t="s">
        <v>1030</v>
      </c>
      <c r="D315" s="64" t="s">
        <v>1031</v>
      </c>
      <c r="E315" s="65" t="s">
        <v>497</v>
      </c>
      <c r="F315" s="64" t="s">
        <v>26</v>
      </c>
      <c r="G315" s="65" t="s">
        <v>20</v>
      </c>
      <c r="H315" s="65" t="s">
        <v>928</v>
      </c>
      <c r="I315" s="65">
        <v>201410</v>
      </c>
      <c r="J315" s="66">
        <v>258234.64</v>
      </c>
      <c r="K315" s="72">
        <f t="shared" si="26"/>
        <v>42675</v>
      </c>
      <c r="L315" s="67">
        <f t="shared" si="21"/>
        <v>6</v>
      </c>
      <c r="M315" s="68">
        <v>1.4833299999999999E-3</v>
      </c>
      <c r="N315" s="69">
        <f t="shared" si="22"/>
        <v>2298.2831313072002</v>
      </c>
      <c r="O315" s="66"/>
      <c r="P315" s="71">
        <f t="shared" si="27"/>
        <v>0</v>
      </c>
      <c r="Q315" s="132"/>
      <c r="R315" s="71">
        <f t="shared" si="28"/>
        <v>3951.3665841833331</v>
      </c>
      <c r="S315" s="64"/>
    </row>
    <row r="316" spans="1:19">
      <c r="A316" s="64" t="s">
        <v>626</v>
      </c>
      <c r="B316" s="65" t="s">
        <v>697</v>
      </c>
      <c r="C316" s="65" t="s">
        <v>698</v>
      </c>
      <c r="D316" s="64" t="s">
        <v>699</v>
      </c>
      <c r="E316" s="65" t="s">
        <v>79</v>
      </c>
      <c r="F316" s="64" t="s">
        <v>26</v>
      </c>
      <c r="G316" s="65" t="s">
        <v>20</v>
      </c>
      <c r="H316" s="65" t="s">
        <v>928</v>
      </c>
      <c r="I316" s="65">
        <v>201410</v>
      </c>
      <c r="J316" s="66">
        <v>0</v>
      </c>
      <c r="K316" s="72">
        <f t="shared" si="26"/>
        <v>42675</v>
      </c>
      <c r="L316" s="67">
        <f t="shared" si="21"/>
        <v>6</v>
      </c>
      <c r="M316" s="68">
        <v>1.4833299999999999E-3</v>
      </c>
      <c r="N316" s="69">
        <f t="shared" si="22"/>
        <v>0</v>
      </c>
      <c r="O316" s="66"/>
      <c r="P316" s="71">
        <f t="shared" si="27"/>
        <v>0</v>
      </c>
      <c r="Q316" s="132"/>
      <c r="R316" s="71">
        <f t="shared" si="28"/>
        <v>0</v>
      </c>
      <c r="S316" s="64"/>
    </row>
    <row r="317" spans="1:19">
      <c r="A317" s="64" t="s">
        <v>21</v>
      </c>
      <c r="B317" s="65" t="s">
        <v>177</v>
      </c>
      <c r="C317" s="65" t="s">
        <v>178</v>
      </c>
      <c r="D317" s="64" t="s">
        <v>179</v>
      </c>
      <c r="E317" s="65" t="s">
        <v>172</v>
      </c>
      <c r="F317" s="64" t="s">
        <v>173</v>
      </c>
      <c r="G317" s="65" t="s">
        <v>20</v>
      </c>
      <c r="H317" s="65" t="s">
        <v>928</v>
      </c>
      <c r="I317" s="65">
        <v>201410</v>
      </c>
      <c r="J317" s="66">
        <v>940.85</v>
      </c>
      <c r="K317" s="72">
        <f t="shared" si="26"/>
        <v>42675</v>
      </c>
      <c r="L317" s="67">
        <f t="shared" si="21"/>
        <v>6</v>
      </c>
      <c r="M317" s="68">
        <v>1.4833299999999999E-3</v>
      </c>
      <c r="N317" s="69">
        <f t="shared" si="22"/>
        <v>8.3735461830000002</v>
      </c>
      <c r="O317" s="66"/>
      <c r="P317" s="71">
        <f t="shared" si="27"/>
        <v>0</v>
      </c>
      <c r="Q317" s="132"/>
      <c r="R317" s="71">
        <f t="shared" si="28"/>
        <v>14.396377072916666</v>
      </c>
      <c r="S317" s="64"/>
    </row>
    <row r="318" spans="1:19">
      <c r="A318" s="64" t="s">
        <v>626</v>
      </c>
      <c r="B318" s="65" t="s">
        <v>741</v>
      </c>
      <c r="C318" s="65" t="s">
        <v>742</v>
      </c>
      <c r="D318" s="64" t="s">
        <v>743</v>
      </c>
      <c r="E318" s="65" t="s">
        <v>415</v>
      </c>
      <c r="F318" s="64" t="s">
        <v>88</v>
      </c>
      <c r="G318" s="65" t="s">
        <v>20</v>
      </c>
      <c r="H318" s="65" t="s">
        <v>929</v>
      </c>
      <c r="I318" s="65">
        <v>201410</v>
      </c>
      <c r="J318" s="66">
        <v>2800.39</v>
      </c>
      <c r="K318" s="72">
        <f t="shared" si="26"/>
        <v>42675</v>
      </c>
      <c r="L318" s="67">
        <f t="shared" si="21"/>
        <v>6</v>
      </c>
      <c r="M318" s="68">
        <v>1.4833299999999999E-3</v>
      </c>
      <c r="N318" s="69">
        <f t="shared" si="22"/>
        <v>24.923414992199998</v>
      </c>
      <c r="O318" s="66"/>
      <c r="P318" s="71">
        <f t="shared" si="27"/>
        <v>0</v>
      </c>
      <c r="Q318" s="132"/>
      <c r="R318" s="71">
        <f t="shared" si="28"/>
        <v>42.850050902083332</v>
      </c>
      <c r="S318" s="64"/>
    </row>
    <row r="319" spans="1:19">
      <c r="A319" s="64" t="s">
        <v>29</v>
      </c>
      <c r="B319" s="65" t="s">
        <v>183</v>
      </c>
      <c r="C319" s="65" t="s">
        <v>184</v>
      </c>
      <c r="D319" s="64" t="s">
        <v>45</v>
      </c>
      <c r="E319" s="65" t="s">
        <v>185</v>
      </c>
      <c r="F319" s="64" t="s">
        <v>41</v>
      </c>
      <c r="G319" s="65" t="s">
        <v>20</v>
      </c>
      <c r="H319" s="65" t="s">
        <v>933</v>
      </c>
      <c r="I319" s="65">
        <v>201410</v>
      </c>
      <c r="J319" s="66">
        <v>13638.55</v>
      </c>
      <c r="K319" s="72">
        <f t="shared" si="26"/>
        <v>42675</v>
      </c>
      <c r="L319" s="67">
        <f t="shared" si="21"/>
        <v>6</v>
      </c>
      <c r="M319" s="68">
        <v>2.23333E-3</v>
      </c>
      <c r="N319" s="69">
        <f t="shared" si="22"/>
        <v>182.75629722899998</v>
      </c>
      <c r="O319" s="66"/>
      <c r="P319" s="71">
        <f t="shared" si="27"/>
        <v>0</v>
      </c>
      <c r="Q319" s="132"/>
      <c r="R319" s="71">
        <f t="shared" si="28"/>
        <v>208.6897045520833</v>
      </c>
      <c r="S319" s="64"/>
    </row>
    <row r="320" spans="1:19">
      <c r="A320" s="64" t="s">
        <v>29</v>
      </c>
      <c r="B320" s="65" t="s">
        <v>186</v>
      </c>
      <c r="C320" s="65" t="s">
        <v>187</v>
      </c>
      <c r="D320" s="64" t="s">
        <v>188</v>
      </c>
      <c r="E320" s="65" t="s">
        <v>189</v>
      </c>
      <c r="F320" s="64" t="s">
        <v>190</v>
      </c>
      <c r="G320" s="65" t="s">
        <v>20</v>
      </c>
      <c r="H320" s="65" t="s">
        <v>933</v>
      </c>
      <c r="I320" s="65">
        <v>201410</v>
      </c>
      <c r="J320" s="66">
        <v>18639.88</v>
      </c>
      <c r="K320" s="72">
        <f t="shared" si="26"/>
        <v>42675</v>
      </c>
      <c r="L320" s="67">
        <f t="shared" si="21"/>
        <v>6</v>
      </c>
      <c r="M320" s="68">
        <v>2.23333E-3</v>
      </c>
      <c r="N320" s="69">
        <f t="shared" si="22"/>
        <v>249.77401920239998</v>
      </c>
      <c r="O320" s="66"/>
      <c r="P320" s="71">
        <f t="shared" si="27"/>
        <v>0</v>
      </c>
      <c r="Q320" s="132"/>
      <c r="R320" s="71">
        <f t="shared" si="28"/>
        <v>285.21734715833333</v>
      </c>
      <c r="S320" s="64"/>
    </row>
    <row r="321" spans="1:19">
      <c r="A321" s="64" t="s">
        <v>29</v>
      </c>
      <c r="B321" s="65" t="s">
        <v>191</v>
      </c>
      <c r="C321" s="65" t="s">
        <v>192</v>
      </c>
      <c r="D321" s="64" t="s">
        <v>193</v>
      </c>
      <c r="E321" s="65" t="s">
        <v>194</v>
      </c>
      <c r="F321" s="64" t="s">
        <v>115</v>
      </c>
      <c r="G321" s="65" t="s">
        <v>20</v>
      </c>
      <c r="H321" s="65" t="s">
        <v>933</v>
      </c>
      <c r="I321" s="65">
        <v>201410</v>
      </c>
      <c r="J321" s="66">
        <v>44071.92</v>
      </c>
      <c r="K321" s="72">
        <f t="shared" si="26"/>
        <v>42675</v>
      </c>
      <c r="L321" s="67">
        <f t="shared" si="21"/>
        <v>6</v>
      </c>
      <c r="M321" s="68">
        <v>2.23333E-3</v>
      </c>
      <c r="N321" s="69">
        <f t="shared" si="22"/>
        <v>590.56284656159994</v>
      </c>
      <c r="O321" s="66"/>
      <c r="P321" s="71">
        <f t="shared" si="27"/>
        <v>0</v>
      </c>
      <c r="Q321" s="132"/>
      <c r="R321" s="71">
        <f t="shared" si="28"/>
        <v>674.36464754999986</v>
      </c>
      <c r="S321" s="64"/>
    </row>
    <row r="322" spans="1:19">
      <c r="A322" s="64" t="s">
        <v>29</v>
      </c>
      <c r="B322" s="65" t="s">
        <v>195</v>
      </c>
      <c r="C322" s="65" t="s">
        <v>196</v>
      </c>
      <c r="D322" s="64" t="s">
        <v>197</v>
      </c>
      <c r="E322" s="65" t="s">
        <v>198</v>
      </c>
      <c r="F322" s="64" t="s">
        <v>199</v>
      </c>
      <c r="G322" s="65" t="s">
        <v>20</v>
      </c>
      <c r="H322" s="65" t="s">
        <v>933</v>
      </c>
      <c r="I322" s="65">
        <v>201410</v>
      </c>
      <c r="J322" s="66">
        <v>183813.51</v>
      </c>
      <c r="K322" s="72">
        <f t="shared" si="26"/>
        <v>42675</v>
      </c>
      <c r="L322" s="67">
        <f t="shared" si="21"/>
        <v>6</v>
      </c>
      <c r="M322" s="68">
        <v>2.23333E-3</v>
      </c>
      <c r="N322" s="69">
        <f t="shared" si="22"/>
        <v>2463.0973577298</v>
      </c>
      <c r="O322" s="66"/>
      <c r="P322" s="71">
        <f t="shared" si="27"/>
        <v>0</v>
      </c>
      <c r="Q322" s="132"/>
      <c r="R322" s="71">
        <f t="shared" si="28"/>
        <v>2812.61476436875</v>
      </c>
      <c r="S322" s="64"/>
    </row>
    <row r="323" spans="1:19">
      <c r="A323" s="64" t="s">
        <v>29</v>
      </c>
      <c r="B323" s="65" t="s">
        <v>200</v>
      </c>
      <c r="C323" s="65" t="s">
        <v>201</v>
      </c>
      <c r="D323" s="64" t="s">
        <v>197</v>
      </c>
      <c r="E323" s="65" t="s">
        <v>202</v>
      </c>
      <c r="F323" s="64" t="s">
        <v>199</v>
      </c>
      <c r="G323" s="65" t="s">
        <v>20</v>
      </c>
      <c r="H323" s="65" t="s">
        <v>933</v>
      </c>
      <c r="I323" s="65">
        <v>201410</v>
      </c>
      <c r="J323" s="66">
        <v>30625.17</v>
      </c>
      <c r="K323" s="72">
        <f t="shared" si="26"/>
        <v>42675</v>
      </c>
      <c r="L323" s="67">
        <f t="shared" si="21"/>
        <v>6</v>
      </c>
      <c r="M323" s="68">
        <v>2.23333E-3</v>
      </c>
      <c r="N323" s="69">
        <f t="shared" si="22"/>
        <v>410.37666549659997</v>
      </c>
      <c r="O323" s="66"/>
      <c r="P323" s="71">
        <f t="shared" si="27"/>
        <v>0</v>
      </c>
      <c r="Q323" s="132"/>
      <c r="R323" s="71">
        <f t="shared" si="28"/>
        <v>468.60976270624991</v>
      </c>
      <c r="S323" s="64"/>
    </row>
    <row r="324" spans="1:19">
      <c r="A324" s="64" t="s">
        <v>21</v>
      </c>
      <c r="B324" s="65" t="s">
        <v>449</v>
      </c>
      <c r="C324" s="65" t="s">
        <v>450</v>
      </c>
      <c r="D324" s="64" t="s">
        <v>451</v>
      </c>
      <c r="E324" s="65" t="s">
        <v>452</v>
      </c>
      <c r="F324" s="64" t="s">
        <v>398</v>
      </c>
      <c r="G324" s="65" t="s">
        <v>20</v>
      </c>
      <c r="H324" s="65" t="s">
        <v>929</v>
      </c>
      <c r="I324" s="65">
        <v>201410</v>
      </c>
      <c r="J324" s="66">
        <v>3963.65</v>
      </c>
      <c r="K324" s="72">
        <f t="shared" si="26"/>
        <v>42675</v>
      </c>
      <c r="L324" s="67">
        <f t="shared" si="21"/>
        <v>6</v>
      </c>
      <c r="M324" s="68">
        <v>1.4833299999999999E-3</v>
      </c>
      <c r="N324" s="69">
        <f t="shared" si="22"/>
        <v>35.276405727000004</v>
      </c>
      <c r="O324" s="66"/>
      <c r="P324" s="71">
        <f t="shared" si="27"/>
        <v>0</v>
      </c>
      <c r="Q324" s="132"/>
      <c r="R324" s="71">
        <f t="shared" si="28"/>
        <v>60.64962532291667</v>
      </c>
      <c r="S324" s="64"/>
    </row>
    <row r="325" spans="1:19">
      <c r="A325" s="64" t="s">
        <v>626</v>
      </c>
      <c r="B325" s="65" t="s">
        <v>700</v>
      </c>
      <c r="C325" s="65" t="s">
        <v>701</v>
      </c>
      <c r="D325" s="64" t="s">
        <v>702</v>
      </c>
      <c r="E325" s="65" t="s">
        <v>25</v>
      </c>
      <c r="F325" s="64" t="s">
        <v>26</v>
      </c>
      <c r="G325" s="65" t="s">
        <v>20</v>
      </c>
      <c r="H325" s="65" t="s">
        <v>928</v>
      </c>
      <c r="I325" s="65">
        <v>201410</v>
      </c>
      <c r="J325" s="66">
        <v>129.69</v>
      </c>
      <c r="K325" s="72">
        <f t="shared" si="26"/>
        <v>42675</v>
      </c>
      <c r="L325" s="67">
        <f t="shared" si="21"/>
        <v>6</v>
      </c>
      <c r="M325" s="68">
        <v>1.4833299999999999E-3</v>
      </c>
      <c r="N325" s="69">
        <f t="shared" si="22"/>
        <v>1.1542384062</v>
      </c>
      <c r="O325" s="66"/>
      <c r="P325" s="71">
        <f t="shared" si="27"/>
        <v>0</v>
      </c>
      <c r="Q325" s="132"/>
      <c r="R325" s="71">
        <f t="shared" si="28"/>
        <v>1.9844461312499997</v>
      </c>
      <c r="S325" s="64"/>
    </row>
    <row r="326" spans="1:19">
      <c r="A326" s="64" t="s">
        <v>626</v>
      </c>
      <c r="B326" s="65" t="s">
        <v>750</v>
      </c>
      <c r="C326" s="65" t="s">
        <v>751</v>
      </c>
      <c r="D326" s="64" t="s">
        <v>752</v>
      </c>
      <c r="E326" s="65" t="s">
        <v>164</v>
      </c>
      <c r="F326" s="64" t="s">
        <v>165</v>
      </c>
      <c r="G326" s="65" t="s">
        <v>20</v>
      </c>
      <c r="H326" s="65" t="s">
        <v>928</v>
      </c>
      <c r="I326" s="65">
        <v>201410</v>
      </c>
      <c r="J326" s="66">
        <v>0</v>
      </c>
      <c r="K326" s="72">
        <f t="shared" si="26"/>
        <v>42675</v>
      </c>
      <c r="L326" s="67">
        <f t="shared" si="21"/>
        <v>6</v>
      </c>
      <c r="M326" s="68">
        <v>1.4833299999999999E-3</v>
      </c>
      <c r="N326" s="69">
        <f t="shared" si="22"/>
        <v>0</v>
      </c>
      <c r="O326" s="66"/>
      <c r="P326" s="71">
        <f t="shared" si="27"/>
        <v>0</v>
      </c>
      <c r="Q326" s="132"/>
      <c r="R326" s="71">
        <f t="shared" si="28"/>
        <v>0</v>
      </c>
      <c r="S326" s="64"/>
    </row>
    <row r="327" spans="1:19">
      <c r="A327" s="64" t="s">
        <v>626</v>
      </c>
      <c r="B327" s="65" t="s">
        <v>465</v>
      </c>
      <c r="C327" s="65" t="s">
        <v>466</v>
      </c>
      <c r="D327" s="64" t="s">
        <v>467</v>
      </c>
      <c r="E327" s="65" t="s">
        <v>75</v>
      </c>
      <c r="F327" s="64" t="s">
        <v>26</v>
      </c>
      <c r="G327" s="65" t="s">
        <v>20</v>
      </c>
      <c r="H327" s="65" t="s">
        <v>928</v>
      </c>
      <c r="I327" s="65">
        <v>201410</v>
      </c>
      <c r="J327" s="66">
        <v>1085.5999999999999</v>
      </c>
      <c r="K327" s="72">
        <f t="shared" si="26"/>
        <v>42675</v>
      </c>
      <c r="L327" s="67">
        <f t="shared" si="21"/>
        <v>6</v>
      </c>
      <c r="M327" s="68">
        <v>1.4833299999999999E-3</v>
      </c>
      <c r="N327" s="69">
        <f t="shared" si="22"/>
        <v>9.6618182879999992</v>
      </c>
      <c r="O327" s="66"/>
      <c r="P327" s="71">
        <f t="shared" si="27"/>
        <v>0</v>
      </c>
      <c r="Q327" s="132"/>
      <c r="R327" s="71">
        <f t="shared" si="28"/>
        <v>16.611263166666664</v>
      </c>
      <c r="S327" s="64"/>
    </row>
    <row r="328" spans="1:19">
      <c r="A328" s="64" t="s">
        <v>21</v>
      </c>
      <c r="B328" s="65" t="s">
        <v>472</v>
      </c>
      <c r="C328" s="65" t="s">
        <v>473</v>
      </c>
      <c r="D328" s="64" t="s">
        <v>474</v>
      </c>
      <c r="E328" s="65" t="s">
        <v>87</v>
      </c>
      <c r="F328" s="64" t="s">
        <v>88</v>
      </c>
      <c r="G328" s="65" t="s">
        <v>20</v>
      </c>
      <c r="H328" s="65" t="s">
        <v>929</v>
      </c>
      <c r="I328" s="65">
        <v>201410</v>
      </c>
      <c r="J328" s="66">
        <v>0</v>
      </c>
      <c r="K328" s="72">
        <f t="shared" si="26"/>
        <v>42675</v>
      </c>
      <c r="L328" s="67">
        <f t="shared" si="21"/>
        <v>6</v>
      </c>
      <c r="M328" s="68">
        <v>1.4833299999999999E-3</v>
      </c>
      <c r="N328" s="69">
        <f t="shared" si="22"/>
        <v>0</v>
      </c>
      <c r="O328" s="66"/>
      <c r="P328" s="71">
        <f t="shared" si="27"/>
        <v>0</v>
      </c>
      <c r="Q328" s="132"/>
      <c r="R328" s="71">
        <f t="shared" si="28"/>
        <v>0</v>
      </c>
      <c r="S328" s="64"/>
    </row>
    <row r="329" spans="1:19">
      <c r="A329" s="64" t="s">
        <v>21</v>
      </c>
      <c r="B329" s="65" t="s">
        <v>230</v>
      </c>
      <c r="C329" s="65" t="s">
        <v>231</v>
      </c>
      <c r="D329" s="64" t="s">
        <v>232</v>
      </c>
      <c r="E329" s="65" t="s">
        <v>164</v>
      </c>
      <c r="F329" s="64" t="s">
        <v>165</v>
      </c>
      <c r="G329" s="65" t="s">
        <v>20</v>
      </c>
      <c r="H329" s="65" t="s">
        <v>928</v>
      </c>
      <c r="I329" s="65">
        <v>201410</v>
      </c>
      <c r="J329" s="66">
        <v>307.39</v>
      </c>
      <c r="K329" s="72">
        <f t="shared" si="26"/>
        <v>42675</v>
      </c>
      <c r="L329" s="67">
        <f t="shared" si="21"/>
        <v>6</v>
      </c>
      <c r="M329" s="68">
        <v>1.4833299999999999E-3</v>
      </c>
      <c r="N329" s="69">
        <f t="shared" si="22"/>
        <v>2.7357648522</v>
      </c>
      <c r="O329" s="66"/>
      <c r="P329" s="71">
        <f t="shared" si="27"/>
        <v>0</v>
      </c>
      <c r="Q329" s="132"/>
      <c r="R329" s="71">
        <f t="shared" si="28"/>
        <v>4.7035152770833326</v>
      </c>
      <c r="S329" s="64"/>
    </row>
    <row r="330" spans="1:19">
      <c r="A330" s="64" t="s">
        <v>29</v>
      </c>
      <c r="B330" s="65" t="s">
        <v>236</v>
      </c>
      <c r="C330" s="65" t="s">
        <v>237</v>
      </c>
      <c r="D330" s="64" t="s">
        <v>188</v>
      </c>
      <c r="E330" s="65" t="s">
        <v>238</v>
      </c>
      <c r="F330" s="64" t="s">
        <v>190</v>
      </c>
      <c r="G330" s="65" t="s">
        <v>20</v>
      </c>
      <c r="H330" s="65" t="s">
        <v>933</v>
      </c>
      <c r="I330" s="65">
        <v>201410</v>
      </c>
      <c r="J330" s="66">
        <v>86678.53</v>
      </c>
      <c r="K330" s="72">
        <f t="shared" si="26"/>
        <v>42675</v>
      </c>
      <c r="L330" s="67">
        <f t="shared" si="21"/>
        <v>6</v>
      </c>
      <c r="M330" s="68">
        <v>2.23333E-3</v>
      </c>
      <c r="N330" s="69">
        <f t="shared" si="22"/>
        <v>1161.4905684293999</v>
      </c>
      <c r="O330" s="66"/>
      <c r="P330" s="71">
        <f t="shared" si="27"/>
        <v>0</v>
      </c>
      <c r="Q330" s="132"/>
      <c r="R330" s="71">
        <f t="shared" si="28"/>
        <v>1326.3079151895831</v>
      </c>
      <c r="S330" s="64"/>
    </row>
    <row r="331" spans="1:19">
      <c r="A331" s="64" t="s">
        <v>29</v>
      </c>
      <c r="B331" s="65" t="s">
        <v>239</v>
      </c>
      <c r="C331" s="65" t="s">
        <v>240</v>
      </c>
      <c r="D331" s="64" t="s">
        <v>197</v>
      </c>
      <c r="E331" s="65" t="s">
        <v>241</v>
      </c>
      <c r="F331" s="64" t="s">
        <v>199</v>
      </c>
      <c r="G331" s="65" t="s">
        <v>20</v>
      </c>
      <c r="H331" s="65" t="s">
        <v>933</v>
      </c>
      <c r="I331" s="65">
        <v>201410</v>
      </c>
      <c r="J331" s="66">
        <v>41073.32</v>
      </c>
      <c r="K331" s="72">
        <f t="shared" si="26"/>
        <v>42675</v>
      </c>
      <c r="L331" s="67">
        <f t="shared" si="21"/>
        <v>6</v>
      </c>
      <c r="M331" s="68">
        <v>2.23333E-3</v>
      </c>
      <c r="N331" s="69">
        <f t="shared" si="22"/>
        <v>550.38166653359997</v>
      </c>
      <c r="O331" s="66"/>
      <c r="P331" s="71">
        <f t="shared" si="27"/>
        <v>0</v>
      </c>
      <c r="Q331" s="132"/>
      <c r="R331" s="71">
        <f t="shared" si="28"/>
        <v>628.48169459166661</v>
      </c>
      <c r="S331" s="64"/>
    </row>
    <row r="332" spans="1:19">
      <c r="A332" s="64" t="s">
        <v>21</v>
      </c>
      <c r="B332" s="65" t="s">
        <v>797</v>
      </c>
      <c r="C332" s="65" t="s">
        <v>798</v>
      </c>
      <c r="D332" s="64" t="s">
        <v>799</v>
      </c>
      <c r="E332" s="65" t="s">
        <v>172</v>
      </c>
      <c r="F332" s="64" t="s">
        <v>173</v>
      </c>
      <c r="G332" s="65" t="s">
        <v>20</v>
      </c>
      <c r="H332" s="65" t="s">
        <v>928</v>
      </c>
      <c r="I332" s="65">
        <v>201410</v>
      </c>
      <c r="J332" s="66">
        <v>-2800</v>
      </c>
      <c r="K332" s="72">
        <f t="shared" si="26"/>
        <v>42675</v>
      </c>
      <c r="L332" s="67">
        <f t="shared" si="21"/>
        <v>6</v>
      </c>
      <c r="M332" s="68">
        <v>1.4833299999999999E-3</v>
      </c>
      <c r="N332" s="69">
        <f t="shared" si="22"/>
        <v>-24.919944000000001</v>
      </c>
      <c r="O332" s="66"/>
      <c r="P332" s="71">
        <f t="shared" si="27"/>
        <v>0</v>
      </c>
      <c r="Q332" s="132"/>
      <c r="R332" s="71">
        <f t="shared" si="28"/>
        <v>-42.84408333333333</v>
      </c>
      <c r="S332" s="64"/>
    </row>
    <row r="333" spans="1:19">
      <c r="A333" s="64" t="s">
        <v>626</v>
      </c>
      <c r="B333" s="65" t="s">
        <v>758</v>
      </c>
      <c r="C333" s="65" t="s">
        <v>759</v>
      </c>
      <c r="D333" s="64" t="s">
        <v>760</v>
      </c>
      <c r="E333" s="65" t="s">
        <v>613</v>
      </c>
      <c r="F333" s="64" t="s">
        <v>398</v>
      </c>
      <c r="G333" s="65" t="s">
        <v>20</v>
      </c>
      <c r="H333" s="65" t="s">
        <v>929</v>
      </c>
      <c r="I333" s="65">
        <v>201410</v>
      </c>
      <c r="J333" s="66">
        <v>0</v>
      </c>
      <c r="K333" s="72">
        <f t="shared" si="26"/>
        <v>42675</v>
      </c>
      <c r="L333" s="67">
        <f t="shared" si="21"/>
        <v>6</v>
      </c>
      <c r="M333" s="68">
        <v>1.4833299999999999E-3</v>
      </c>
      <c r="N333" s="69">
        <f t="shared" si="22"/>
        <v>0</v>
      </c>
      <c r="O333" s="66"/>
      <c r="P333" s="71">
        <f t="shared" si="27"/>
        <v>0</v>
      </c>
      <c r="Q333" s="132"/>
      <c r="R333" s="71">
        <f t="shared" si="28"/>
        <v>0</v>
      </c>
      <c r="S333" s="64"/>
    </row>
    <row r="334" spans="1:19">
      <c r="A334" s="64" t="s">
        <v>21</v>
      </c>
      <c r="B334" s="65" t="s">
        <v>261</v>
      </c>
      <c r="C334" s="65" t="s">
        <v>262</v>
      </c>
      <c r="D334" s="64" t="s">
        <v>263</v>
      </c>
      <c r="E334" s="65" t="s">
        <v>75</v>
      </c>
      <c r="F334" s="64" t="s">
        <v>26</v>
      </c>
      <c r="G334" s="65" t="s">
        <v>20</v>
      </c>
      <c r="H334" s="65" t="s">
        <v>928</v>
      </c>
      <c r="I334" s="65">
        <v>201410</v>
      </c>
      <c r="J334" s="66">
        <v>48053.65</v>
      </c>
      <c r="K334" s="72">
        <f t="shared" si="26"/>
        <v>42675</v>
      </c>
      <c r="L334" s="67">
        <f t="shared" si="21"/>
        <v>6</v>
      </c>
      <c r="M334" s="68">
        <v>1.4833299999999999E-3</v>
      </c>
      <c r="N334" s="69">
        <f t="shared" si="22"/>
        <v>427.67652392700001</v>
      </c>
      <c r="O334" s="66"/>
      <c r="P334" s="71">
        <f t="shared" si="27"/>
        <v>0</v>
      </c>
      <c r="Q334" s="132"/>
      <c r="R334" s="71">
        <f t="shared" si="28"/>
        <v>735.29092323958321</v>
      </c>
      <c r="S334" s="64"/>
    </row>
    <row r="335" spans="1:19">
      <c r="A335" s="64" t="s">
        <v>626</v>
      </c>
      <c r="B335" s="65" t="s">
        <v>761</v>
      </c>
      <c r="C335" s="65" t="s">
        <v>762</v>
      </c>
      <c r="D335" s="64" t="s">
        <v>763</v>
      </c>
      <c r="E335" s="65" t="s">
        <v>497</v>
      </c>
      <c r="F335" s="64" t="s">
        <v>26</v>
      </c>
      <c r="G335" s="65" t="s">
        <v>20</v>
      </c>
      <c r="H335" s="65" t="s">
        <v>928</v>
      </c>
      <c r="I335" s="65">
        <v>201410</v>
      </c>
      <c r="J335" s="66">
        <v>0</v>
      </c>
      <c r="K335" s="72">
        <f t="shared" si="26"/>
        <v>42675</v>
      </c>
      <c r="L335" s="67">
        <f t="shared" si="21"/>
        <v>6</v>
      </c>
      <c r="M335" s="68">
        <v>1.4833299999999999E-3</v>
      </c>
      <c r="N335" s="69">
        <f t="shared" si="22"/>
        <v>0</v>
      </c>
      <c r="O335" s="66"/>
      <c r="P335" s="71">
        <f t="shared" si="27"/>
        <v>0</v>
      </c>
      <c r="Q335" s="132"/>
      <c r="R335" s="71">
        <f t="shared" si="28"/>
        <v>0</v>
      </c>
      <c r="S335" s="64"/>
    </row>
    <row r="336" spans="1:19">
      <c r="A336" s="97" t="s">
        <v>127</v>
      </c>
      <c r="B336" s="98" t="s">
        <v>1032</v>
      </c>
      <c r="C336" s="98" t="s">
        <v>1033</v>
      </c>
      <c r="D336" s="97" t="s">
        <v>1034</v>
      </c>
      <c r="E336" s="98" t="s">
        <v>209</v>
      </c>
      <c r="F336" s="97" t="s">
        <v>88</v>
      </c>
      <c r="G336" s="98" t="s">
        <v>20</v>
      </c>
      <c r="H336" s="65" t="s">
        <v>929</v>
      </c>
      <c r="I336" s="98">
        <v>201410</v>
      </c>
      <c r="J336" s="99">
        <v>162833.78</v>
      </c>
      <c r="K336" s="72">
        <f t="shared" si="26"/>
        <v>42675</v>
      </c>
      <c r="L336" s="67">
        <f t="shared" ref="L336:L399" si="29">((YEAR($L$1)-YEAR(K336))*12+MONTH($L$1)-MONTH(K336))</f>
        <v>6</v>
      </c>
      <c r="M336" s="100">
        <v>2.3833299999999999E-3</v>
      </c>
      <c r="N336" s="69">
        <f t="shared" ref="N336:N399" si="30">M336*L336*J336</f>
        <v>2328.5197973243999</v>
      </c>
      <c r="O336" s="66"/>
      <c r="P336" s="71">
        <f t="shared" si="27"/>
        <v>0</v>
      </c>
      <c r="Q336" s="132"/>
      <c r="R336" s="71">
        <f t="shared" si="28"/>
        <v>2491.5942999291665</v>
      </c>
      <c r="S336" s="64"/>
    </row>
    <row r="337" spans="1:19">
      <c r="A337" s="64" t="s">
        <v>21</v>
      </c>
      <c r="B337" s="65" t="s">
        <v>810</v>
      </c>
      <c r="C337" s="65" t="s">
        <v>811</v>
      </c>
      <c r="D337" s="64" t="s">
        <v>812</v>
      </c>
      <c r="E337" s="65" t="s">
        <v>471</v>
      </c>
      <c r="F337" s="64" t="s">
        <v>165</v>
      </c>
      <c r="G337" s="65" t="s">
        <v>20</v>
      </c>
      <c r="H337" s="65" t="s">
        <v>928</v>
      </c>
      <c r="I337" s="65">
        <v>201410</v>
      </c>
      <c r="J337" s="66">
        <v>-0.05</v>
      </c>
      <c r="K337" s="72">
        <f t="shared" si="26"/>
        <v>42675</v>
      </c>
      <c r="L337" s="67">
        <f t="shared" si="29"/>
        <v>6</v>
      </c>
      <c r="M337" s="68">
        <v>1.4833299999999999E-3</v>
      </c>
      <c r="N337" s="69">
        <f t="shared" si="30"/>
        <v>-4.4499900000000001E-4</v>
      </c>
      <c r="O337" s="66"/>
      <c r="P337" s="71">
        <f t="shared" si="27"/>
        <v>0</v>
      </c>
      <c r="Q337" s="132"/>
      <c r="R337" s="71">
        <f t="shared" si="28"/>
        <v>-7.6507291666666661E-4</v>
      </c>
      <c r="S337" s="64"/>
    </row>
    <row r="338" spans="1:19">
      <c r="A338" s="64" t="s">
        <v>626</v>
      </c>
      <c r="B338" s="65" t="s">
        <v>810</v>
      </c>
      <c r="C338" s="65" t="s">
        <v>811</v>
      </c>
      <c r="D338" s="64" t="s">
        <v>812</v>
      </c>
      <c r="E338" s="65" t="s">
        <v>471</v>
      </c>
      <c r="F338" s="64" t="s">
        <v>165</v>
      </c>
      <c r="G338" s="65" t="s">
        <v>20</v>
      </c>
      <c r="H338" s="65" t="s">
        <v>928</v>
      </c>
      <c r="I338" s="65">
        <v>201410</v>
      </c>
      <c r="J338" s="66">
        <v>0.05</v>
      </c>
      <c r="K338" s="72">
        <f t="shared" si="26"/>
        <v>42675</v>
      </c>
      <c r="L338" s="67">
        <f t="shared" si="29"/>
        <v>6</v>
      </c>
      <c r="M338" s="68">
        <v>1.4833299999999999E-3</v>
      </c>
      <c r="N338" s="69">
        <f t="shared" si="30"/>
        <v>4.4499900000000001E-4</v>
      </c>
      <c r="O338" s="66"/>
      <c r="P338" s="71">
        <f t="shared" si="27"/>
        <v>0</v>
      </c>
      <c r="Q338" s="132"/>
      <c r="R338" s="71">
        <f t="shared" si="28"/>
        <v>7.6507291666666661E-4</v>
      </c>
      <c r="S338" s="64"/>
    </row>
    <row r="339" spans="1:19">
      <c r="A339" s="64" t="s">
        <v>626</v>
      </c>
      <c r="B339" s="65" t="s">
        <v>938</v>
      </c>
      <c r="C339" s="65" t="s">
        <v>939</v>
      </c>
      <c r="D339" s="64" t="s">
        <v>940</v>
      </c>
      <c r="E339" s="65" t="s">
        <v>209</v>
      </c>
      <c r="F339" s="64" t="s">
        <v>88</v>
      </c>
      <c r="G339" s="65" t="s">
        <v>20</v>
      </c>
      <c r="H339" s="65" t="s">
        <v>929</v>
      </c>
      <c r="I339" s="65">
        <v>201410</v>
      </c>
      <c r="J339" s="66">
        <v>5658.63</v>
      </c>
      <c r="K339" s="72">
        <f t="shared" si="26"/>
        <v>42675</v>
      </c>
      <c r="L339" s="67">
        <f t="shared" si="29"/>
        <v>6</v>
      </c>
      <c r="M339" s="68">
        <v>1.4833299999999999E-3</v>
      </c>
      <c r="N339" s="69">
        <f t="shared" si="30"/>
        <v>50.361693827400003</v>
      </c>
      <c r="O339" s="66"/>
      <c r="P339" s="71">
        <f t="shared" si="27"/>
        <v>0</v>
      </c>
      <c r="Q339" s="132"/>
      <c r="R339" s="71">
        <f t="shared" si="28"/>
        <v>86.58529116874999</v>
      </c>
      <c r="S339" s="64"/>
    </row>
    <row r="340" spans="1:19">
      <c r="A340" s="64" t="s">
        <v>29</v>
      </c>
      <c r="B340" s="65" t="s">
        <v>267</v>
      </c>
      <c r="C340" s="65" t="s">
        <v>268</v>
      </c>
      <c r="D340" s="64" t="s">
        <v>269</v>
      </c>
      <c r="E340" s="65" t="s">
        <v>270</v>
      </c>
      <c r="F340" s="64" t="s">
        <v>115</v>
      </c>
      <c r="G340" s="65" t="s">
        <v>20</v>
      </c>
      <c r="H340" s="65" t="s">
        <v>933</v>
      </c>
      <c r="I340" s="65">
        <v>201410</v>
      </c>
      <c r="J340" s="66">
        <v>100421.51</v>
      </c>
      <c r="K340" s="72">
        <f t="shared" si="26"/>
        <v>42675</v>
      </c>
      <c r="L340" s="67">
        <f t="shared" si="29"/>
        <v>6</v>
      </c>
      <c r="M340" s="68">
        <v>2.23333E-3</v>
      </c>
      <c r="N340" s="69">
        <f t="shared" si="30"/>
        <v>1345.6462255697998</v>
      </c>
      <c r="O340" s="66"/>
      <c r="P340" s="71">
        <f t="shared" si="27"/>
        <v>0</v>
      </c>
      <c r="Q340" s="132"/>
      <c r="R340" s="71">
        <f t="shared" si="28"/>
        <v>1536.5955510354163</v>
      </c>
      <c r="S340" s="64"/>
    </row>
    <row r="341" spans="1:19">
      <c r="A341" s="64" t="s">
        <v>29</v>
      </c>
      <c r="B341" s="65" t="s">
        <v>271</v>
      </c>
      <c r="C341" s="65" t="s">
        <v>272</v>
      </c>
      <c r="D341" s="64" t="s">
        <v>197</v>
      </c>
      <c r="E341" s="65" t="s">
        <v>273</v>
      </c>
      <c r="F341" s="64" t="s">
        <v>199</v>
      </c>
      <c r="G341" s="65" t="s">
        <v>20</v>
      </c>
      <c r="H341" s="65" t="s">
        <v>933</v>
      </c>
      <c r="I341" s="65">
        <v>201410</v>
      </c>
      <c r="J341" s="66">
        <v>5829.85</v>
      </c>
      <c r="K341" s="72">
        <f t="shared" si="26"/>
        <v>42675</v>
      </c>
      <c r="L341" s="67">
        <f t="shared" si="29"/>
        <v>6</v>
      </c>
      <c r="M341" s="68">
        <v>2.23333E-3</v>
      </c>
      <c r="N341" s="69">
        <f t="shared" si="30"/>
        <v>78.119873403</v>
      </c>
      <c r="O341" s="66"/>
      <c r="P341" s="71">
        <f t="shared" si="27"/>
        <v>0</v>
      </c>
      <c r="Q341" s="132"/>
      <c r="R341" s="71">
        <f t="shared" si="28"/>
        <v>89.205206864583332</v>
      </c>
      <c r="S341" s="64"/>
    </row>
    <row r="342" spans="1:19">
      <c r="A342" s="85" t="s">
        <v>21</v>
      </c>
      <c r="B342" s="65" t="s">
        <v>794</v>
      </c>
      <c r="C342" s="65" t="s">
        <v>795</v>
      </c>
      <c r="D342" s="64" t="s">
        <v>796</v>
      </c>
      <c r="E342" s="65" t="s">
        <v>172</v>
      </c>
      <c r="F342" s="64" t="s">
        <v>173</v>
      </c>
      <c r="G342" s="65" t="s">
        <v>20</v>
      </c>
      <c r="H342" s="65" t="s">
        <v>928</v>
      </c>
      <c r="I342" s="65">
        <v>201410</v>
      </c>
      <c r="J342" s="66">
        <v>0</v>
      </c>
      <c r="K342" s="72">
        <f t="shared" si="26"/>
        <v>42675</v>
      </c>
      <c r="L342" s="67">
        <f t="shared" si="29"/>
        <v>6</v>
      </c>
      <c r="M342" s="68">
        <v>1.4833299999999999E-3</v>
      </c>
      <c r="N342" s="69">
        <f t="shared" si="30"/>
        <v>0</v>
      </c>
      <c r="O342" s="66"/>
      <c r="P342" s="71">
        <f t="shared" si="27"/>
        <v>0</v>
      </c>
      <c r="Q342" s="132"/>
      <c r="R342" s="71">
        <f t="shared" si="28"/>
        <v>0</v>
      </c>
      <c r="S342" s="64"/>
    </row>
    <row r="343" spans="1:19">
      <c r="A343" s="85" t="s">
        <v>21</v>
      </c>
      <c r="B343" s="65" t="s">
        <v>711</v>
      </c>
      <c r="C343" s="65" t="s">
        <v>712</v>
      </c>
      <c r="D343" s="64" t="s">
        <v>713</v>
      </c>
      <c r="E343" s="65" t="s">
        <v>613</v>
      </c>
      <c r="F343" s="64" t="s">
        <v>398</v>
      </c>
      <c r="G343" s="65" t="s">
        <v>20</v>
      </c>
      <c r="H343" s="65" t="s">
        <v>929</v>
      </c>
      <c r="I343" s="65">
        <v>201410</v>
      </c>
      <c r="J343" s="66">
        <v>-14831.49</v>
      </c>
      <c r="K343" s="72">
        <f t="shared" si="26"/>
        <v>42675</v>
      </c>
      <c r="L343" s="67">
        <f t="shared" si="29"/>
        <v>6</v>
      </c>
      <c r="M343" s="68">
        <v>1.4833299999999999E-3</v>
      </c>
      <c r="N343" s="69">
        <f t="shared" si="30"/>
        <v>-131.99996437019999</v>
      </c>
      <c r="O343" s="66"/>
      <c r="P343" s="71">
        <f t="shared" si="27"/>
        <v>0</v>
      </c>
      <c r="Q343" s="132"/>
      <c r="R343" s="71">
        <f t="shared" si="28"/>
        <v>-226.94342625624998</v>
      </c>
      <c r="S343" s="64"/>
    </row>
    <row r="344" spans="1:19">
      <c r="A344" s="85" t="s">
        <v>626</v>
      </c>
      <c r="B344" s="65" t="s">
        <v>711</v>
      </c>
      <c r="C344" s="65" t="s">
        <v>712</v>
      </c>
      <c r="D344" s="64" t="s">
        <v>713</v>
      </c>
      <c r="E344" s="65" t="s">
        <v>613</v>
      </c>
      <c r="F344" s="64" t="s">
        <v>398</v>
      </c>
      <c r="G344" s="65" t="s">
        <v>20</v>
      </c>
      <c r="H344" s="65" t="s">
        <v>929</v>
      </c>
      <c r="I344" s="65">
        <v>201410</v>
      </c>
      <c r="J344" s="66">
        <v>14831.49</v>
      </c>
      <c r="K344" s="72">
        <f t="shared" si="26"/>
        <v>42675</v>
      </c>
      <c r="L344" s="67">
        <f t="shared" si="29"/>
        <v>6</v>
      </c>
      <c r="M344" s="68">
        <v>1.4833299999999999E-3</v>
      </c>
      <c r="N344" s="69">
        <f t="shared" si="30"/>
        <v>131.99996437019999</v>
      </c>
      <c r="O344" s="66"/>
      <c r="P344" s="71">
        <f t="shared" si="27"/>
        <v>0</v>
      </c>
      <c r="Q344" s="132"/>
      <c r="R344" s="71">
        <f t="shared" si="28"/>
        <v>226.94342625624998</v>
      </c>
      <c r="S344" s="64"/>
    </row>
    <row r="345" spans="1:19">
      <c r="A345" s="64" t="s">
        <v>29</v>
      </c>
      <c r="B345" s="65" t="s">
        <v>836</v>
      </c>
      <c r="C345" s="65" t="s">
        <v>837</v>
      </c>
      <c r="D345" s="64" t="s">
        <v>327</v>
      </c>
      <c r="E345" s="65" t="s">
        <v>838</v>
      </c>
      <c r="F345" s="64" t="s">
        <v>58</v>
      </c>
      <c r="G345" s="65" t="s">
        <v>20</v>
      </c>
      <c r="H345" s="65" t="s">
        <v>933</v>
      </c>
      <c r="I345" s="65">
        <v>201410</v>
      </c>
      <c r="J345" s="66">
        <v>-743.2</v>
      </c>
      <c r="K345" s="72">
        <f t="shared" si="26"/>
        <v>42675</v>
      </c>
      <c r="L345" s="67">
        <f t="shared" si="29"/>
        <v>6</v>
      </c>
      <c r="M345" s="68">
        <v>2.23333E-3</v>
      </c>
      <c r="N345" s="69">
        <f t="shared" si="30"/>
        <v>-9.958865136</v>
      </c>
      <c r="O345" s="66"/>
      <c r="P345" s="71">
        <f t="shared" si="27"/>
        <v>0</v>
      </c>
      <c r="Q345" s="132"/>
      <c r="R345" s="71">
        <f t="shared" si="28"/>
        <v>-11.372043833333333</v>
      </c>
      <c r="S345" s="64"/>
    </row>
    <row r="346" spans="1:19">
      <c r="A346" s="64" t="s">
        <v>29</v>
      </c>
      <c r="B346" s="65" t="s">
        <v>292</v>
      </c>
      <c r="C346" s="65" t="s">
        <v>293</v>
      </c>
      <c r="D346" s="64" t="s">
        <v>197</v>
      </c>
      <c r="E346" s="65" t="s">
        <v>294</v>
      </c>
      <c r="F346" s="64" t="s">
        <v>199</v>
      </c>
      <c r="G346" s="65" t="s">
        <v>20</v>
      </c>
      <c r="H346" s="65" t="s">
        <v>933</v>
      </c>
      <c r="I346" s="65">
        <v>201410</v>
      </c>
      <c r="J346" s="66">
        <v>14213.17</v>
      </c>
      <c r="K346" s="72">
        <f t="shared" si="26"/>
        <v>42675</v>
      </c>
      <c r="L346" s="67">
        <f t="shared" si="29"/>
        <v>6</v>
      </c>
      <c r="M346" s="68">
        <v>2.23333E-3</v>
      </c>
      <c r="N346" s="69">
        <f t="shared" si="30"/>
        <v>190.45619373659997</v>
      </c>
      <c r="O346" s="66"/>
      <c r="P346" s="71">
        <f t="shared" si="27"/>
        <v>0</v>
      </c>
      <c r="Q346" s="132"/>
      <c r="R346" s="71">
        <f t="shared" si="28"/>
        <v>217.4822285395833</v>
      </c>
      <c r="S346" s="64"/>
    </row>
    <row r="347" spans="1:19">
      <c r="A347" s="85" t="s">
        <v>626</v>
      </c>
      <c r="B347" s="65" t="s">
        <v>770</v>
      </c>
      <c r="C347" s="65" t="s">
        <v>771</v>
      </c>
      <c r="D347" s="64" t="s">
        <v>772</v>
      </c>
      <c r="E347" s="65" t="s">
        <v>87</v>
      </c>
      <c r="F347" s="64" t="s">
        <v>88</v>
      </c>
      <c r="G347" s="65" t="s">
        <v>20</v>
      </c>
      <c r="H347" s="65" t="s">
        <v>929</v>
      </c>
      <c r="I347" s="65">
        <v>201410</v>
      </c>
      <c r="J347" s="66">
        <v>0</v>
      </c>
      <c r="K347" s="72">
        <f t="shared" si="26"/>
        <v>42675</v>
      </c>
      <c r="L347" s="67">
        <f t="shared" si="29"/>
        <v>6</v>
      </c>
      <c r="M347" s="68">
        <v>1.4833299999999999E-3</v>
      </c>
      <c r="N347" s="69">
        <f t="shared" si="30"/>
        <v>0</v>
      </c>
      <c r="O347" s="66"/>
      <c r="P347" s="71">
        <f t="shared" si="27"/>
        <v>0</v>
      </c>
      <c r="Q347" s="132"/>
      <c r="R347" s="71">
        <f t="shared" si="28"/>
        <v>0</v>
      </c>
      <c r="S347" s="64"/>
    </row>
    <row r="348" spans="1:19">
      <c r="A348" s="85" t="s">
        <v>626</v>
      </c>
      <c r="B348" s="65" t="s">
        <v>773</v>
      </c>
      <c r="C348" s="65" t="s">
        <v>774</v>
      </c>
      <c r="D348" s="64" t="s">
        <v>775</v>
      </c>
      <c r="E348" s="65" t="s">
        <v>209</v>
      </c>
      <c r="F348" s="64" t="s">
        <v>88</v>
      </c>
      <c r="G348" s="65" t="s">
        <v>20</v>
      </c>
      <c r="H348" s="65" t="s">
        <v>929</v>
      </c>
      <c r="I348" s="65">
        <v>201410</v>
      </c>
      <c r="J348" s="66">
        <v>0</v>
      </c>
      <c r="K348" s="72">
        <f t="shared" si="26"/>
        <v>42675</v>
      </c>
      <c r="L348" s="67">
        <f t="shared" si="29"/>
        <v>6</v>
      </c>
      <c r="M348" s="68">
        <v>1.4833299999999999E-3</v>
      </c>
      <c r="N348" s="69">
        <f t="shared" si="30"/>
        <v>0</v>
      </c>
      <c r="O348" s="66"/>
      <c r="P348" s="71">
        <f t="shared" si="27"/>
        <v>0</v>
      </c>
      <c r="Q348" s="132"/>
      <c r="R348" s="71">
        <f t="shared" si="28"/>
        <v>0</v>
      </c>
      <c r="S348" s="64"/>
    </row>
    <row r="349" spans="1:19">
      <c r="A349" s="64" t="s">
        <v>29</v>
      </c>
      <c r="B349" s="65" t="s">
        <v>321</v>
      </c>
      <c r="C349" s="65" t="s">
        <v>322</v>
      </c>
      <c r="D349" s="64" t="s">
        <v>323</v>
      </c>
      <c r="E349" s="65" t="s">
        <v>324</v>
      </c>
      <c r="F349" s="64" t="s">
        <v>52</v>
      </c>
      <c r="G349" s="65" t="s">
        <v>20</v>
      </c>
      <c r="H349" s="65" t="s">
        <v>933</v>
      </c>
      <c r="I349" s="65">
        <v>201410</v>
      </c>
      <c r="J349" s="66">
        <v>49038.54</v>
      </c>
      <c r="K349" s="72">
        <f t="shared" si="26"/>
        <v>42675</v>
      </c>
      <c r="L349" s="67">
        <f t="shared" si="29"/>
        <v>6</v>
      </c>
      <c r="M349" s="68">
        <v>2.23333E-3</v>
      </c>
      <c r="N349" s="69">
        <f t="shared" si="30"/>
        <v>657.11545522919994</v>
      </c>
      <c r="O349" s="66"/>
      <c r="P349" s="71">
        <f t="shared" si="27"/>
        <v>0</v>
      </c>
      <c r="Q349" s="132"/>
      <c r="R349" s="71">
        <f t="shared" si="28"/>
        <v>750.36117653749989</v>
      </c>
      <c r="S349" s="64"/>
    </row>
    <row r="350" spans="1:19">
      <c r="A350" s="64" t="s">
        <v>29</v>
      </c>
      <c r="B350" s="65" t="s">
        <v>419</v>
      </c>
      <c r="C350" s="65" t="s">
        <v>420</v>
      </c>
      <c r="D350" s="64" t="s">
        <v>50</v>
      </c>
      <c r="E350" s="65" t="s">
        <v>421</v>
      </c>
      <c r="F350" s="64" t="s">
        <v>52</v>
      </c>
      <c r="G350" s="65" t="s">
        <v>20</v>
      </c>
      <c r="H350" s="65" t="s">
        <v>933</v>
      </c>
      <c r="I350" s="65">
        <v>201410</v>
      </c>
      <c r="J350" s="66">
        <v>26052.94</v>
      </c>
      <c r="K350" s="72">
        <f t="shared" si="26"/>
        <v>42675</v>
      </c>
      <c r="L350" s="67">
        <f t="shared" si="29"/>
        <v>6</v>
      </c>
      <c r="M350" s="68">
        <v>2.23333E-3</v>
      </c>
      <c r="N350" s="69">
        <f t="shared" si="30"/>
        <v>349.10887494119993</v>
      </c>
      <c r="O350" s="66"/>
      <c r="P350" s="71">
        <f t="shared" si="27"/>
        <v>0</v>
      </c>
      <c r="Q350" s="132"/>
      <c r="R350" s="71">
        <f t="shared" si="28"/>
        <v>398.64797587083325</v>
      </c>
      <c r="S350" s="64"/>
    </row>
    <row r="351" spans="1:19">
      <c r="A351" s="64" t="s">
        <v>29</v>
      </c>
      <c r="B351" s="65" t="s">
        <v>325</v>
      </c>
      <c r="C351" s="65" t="s">
        <v>326</v>
      </c>
      <c r="D351" s="64" t="s">
        <v>327</v>
      </c>
      <c r="E351" s="65" t="s">
        <v>328</v>
      </c>
      <c r="F351" s="64" t="s">
        <v>58</v>
      </c>
      <c r="G351" s="65" t="s">
        <v>20</v>
      </c>
      <c r="H351" s="65" t="s">
        <v>933</v>
      </c>
      <c r="I351" s="65">
        <v>201410</v>
      </c>
      <c r="J351" s="66">
        <v>6651.75</v>
      </c>
      <c r="K351" s="72">
        <f t="shared" si="26"/>
        <v>42675</v>
      </c>
      <c r="L351" s="67">
        <f t="shared" si="29"/>
        <v>6</v>
      </c>
      <c r="M351" s="68">
        <v>2.23333E-3</v>
      </c>
      <c r="N351" s="69">
        <f t="shared" si="30"/>
        <v>89.133316964999992</v>
      </c>
      <c r="O351" s="66"/>
      <c r="P351" s="71">
        <f t="shared" si="27"/>
        <v>0</v>
      </c>
      <c r="Q351" s="132"/>
      <c r="R351" s="71">
        <f t="shared" si="28"/>
        <v>101.78147546874999</v>
      </c>
      <c r="S351" s="64"/>
    </row>
    <row r="352" spans="1:19">
      <c r="A352" s="64" t="s">
        <v>21</v>
      </c>
      <c r="B352" s="65" t="s">
        <v>678</v>
      </c>
      <c r="C352" s="65" t="s">
        <v>679</v>
      </c>
      <c r="D352" s="64" t="s">
        <v>680</v>
      </c>
      <c r="E352" s="65" t="s">
        <v>75</v>
      </c>
      <c r="F352" s="64" t="s">
        <v>26</v>
      </c>
      <c r="G352" s="65" t="s">
        <v>20</v>
      </c>
      <c r="H352" s="65" t="s">
        <v>928</v>
      </c>
      <c r="I352" s="65">
        <v>201410</v>
      </c>
      <c r="J352" s="66">
        <v>325.61</v>
      </c>
      <c r="K352" s="72">
        <f t="shared" si="26"/>
        <v>42675</v>
      </c>
      <c r="L352" s="67">
        <f t="shared" si="29"/>
        <v>6</v>
      </c>
      <c r="M352" s="68">
        <v>1.4833299999999999E-3</v>
      </c>
      <c r="N352" s="69">
        <f t="shared" si="30"/>
        <v>2.8979224878000003</v>
      </c>
      <c r="O352" s="66"/>
      <c r="P352" s="71">
        <f t="shared" si="27"/>
        <v>0</v>
      </c>
      <c r="Q352" s="132"/>
      <c r="R352" s="71">
        <f t="shared" si="28"/>
        <v>4.9823078479166663</v>
      </c>
      <c r="S352" s="64"/>
    </row>
    <row r="353" spans="1:19">
      <c r="A353" s="64" t="s">
        <v>626</v>
      </c>
      <c r="B353" s="65" t="s">
        <v>714</v>
      </c>
      <c r="C353" s="65" t="s">
        <v>715</v>
      </c>
      <c r="D353" s="64" t="s">
        <v>716</v>
      </c>
      <c r="E353" s="65" t="s">
        <v>75</v>
      </c>
      <c r="F353" s="64" t="s">
        <v>26</v>
      </c>
      <c r="G353" s="65" t="s">
        <v>20</v>
      </c>
      <c r="H353" s="65" t="s">
        <v>928</v>
      </c>
      <c r="I353" s="65">
        <v>201410</v>
      </c>
      <c r="J353" s="66">
        <v>-119.09</v>
      </c>
      <c r="K353" s="72">
        <f t="shared" si="26"/>
        <v>42675</v>
      </c>
      <c r="L353" s="67">
        <f t="shared" si="29"/>
        <v>6</v>
      </c>
      <c r="M353" s="68">
        <v>1.4833299999999999E-3</v>
      </c>
      <c r="N353" s="69">
        <f t="shared" si="30"/>
        <v>-1.0598986182000001</v>
      </c>
      <c r="O353" s="66"/>
      <c r="P353" s="71">
        <f t="shared" si="27"/>
        <v>0</v>
      </c>
      <c r="Q353" s="132"/>
      <c r="R353" s="71">
        <f t="shared" si="28"/>
        <v>-1.8222506729166665</v>
      </c>
      <c r="S353" s="64"/>
    </row>
    <row r="354" spans="1:19">
      <c r="A354" s="64" t="s">
        <v>21</v>
      </c>
      <c r="B354" s="65" t="s">
        <v>870</v>
      </c>
      <c r="C354" s="65" t="s">
        <v>871</v>
      </c>
      <c r="D354" s="64" t="s">
        <v>872</v>
      </c>
      <c r="E354" s="65" t="s">
        <v>873</v>
      </c>
      <c r="F354" s="64" t="s">
        <v>874</v>
      </c>
      <c r="G354" s="65" t="s">
        <v>20</v>
      </c>
      <c r="H354" s="65" t="s">
        <v>929</v>
      </c>
      <c r="I354" s="65">
        <v>201410</v>
      </c>
      <c r="J354" s="66">
        <v>-165.61</v>
      </c>
      <c r="K354" s="72">
        <f t="shared" si="26"/>
        <v>42675</v>
      </c>
      <c r="L354" s="67">
        <f t="shared" si="29"/>
        <v>6</v>
      </c>
      <c r="M354" s="68">
        <v>1.4833299999999999E-3</v>
      </c>
      <c r="N354" s="69">
        <f t="shared" si="30"/>
        <v>-1.4739256878000002</v>
      </c>
      <c r="O354" s="66"/>
      <c r="P354" s="71">
        <f t="shared" si="27"/>
        <v>0</v>
      </c>
      <c r="Q354" s="132"/>
      <c r="R354" s="71">
        <f t="shared" si="28"/>
        <v>-2.5340745145833337</v>
      </c>
      <c r="S354" s="64"/>
    </row>
    <row r="355" spans="1:19">
      <c r="A355" s="64" t="s">
        <v>626</v>
      </c>
      <c r="B355" s="65" t="s">
        <v>1035</v>
      </c>
      <c r="C355" s="65" t="s">
        <v>1036</v>
      </c>
      <c r="D355" s="64" t="s">
        <v>1037</v>
      </c>
      <c r="E355" s="65" t="s">
        <v>613</v>
      </c>
      <c r="F355" s="64" t="s">
        <v>398</v>
      </c>
      <c r="G355" s="65" t="s">
        <v>20</v>
      </c>
      <c r="H355" s="65" t="s">
        <v>929</v>
      </c>
      <c r="I355" s="65">
        <v>201410</v>
      </c>
      <c r="J355" s="66">
        <v>6203.97</v>
      </c>
      <c r="K355" s="72">
        <f t="shared" si="26"/>
        <v>42675</v>
      </c>
      <c r="L355" s="67">
        <f t="shared" si="29"/>
        <v>6</v>
      </c>
      <c r="M355" s="68">
        <v>1.4833299999999999E-3</v>
      </c>
      <c r="N355" s="69">
        <f t="shared" si="30"/>
        <v>55.215208920600006</v>
      </c>
      <c r="O355" s="66"/>
      <c r="P355" s="71">
        <f t="shared" si="27"/>
        <v>0</v>
      </c>
      <c r="Q355" s="132"/>
      <c r="R355" s="71">
        <f t="shared" si="28"/>
        <v>94.929788456249995</v>
      </c>
      <c r="S355" s="64"/>
    </row>
    <row r="356" spans="1:19">
      <c r="A356" s="64" t="s">
        <v>626</v>
      </c>
      <c r="B356" s="65" t="s">
        <v>776</v>
      </c>
      <c r="C356" s="65" t="s">
        <v>777</v>
      </c>
      <c r="D356" s="64" t="s">
        <v>778</v>
      </c>
      <c r="E356" s="65" t="s">
        <v>75</v>
      </c>
      <c r="F356" s="64" t="s">
        <v>26</v>
      </c>
      <c r="G356" s="65" t="s">
        <v>20</v>
      </c>
      <c r="H356" s="65" t="s">
        <v>928</v>
      </c>
      <c r="I356" s="65">
        <v>201410</v>
      </c>
      <c r="J356" s="66">
        <v>0</v>
      </c>
      <c r="K356" s="72">
        <f t="shared" si="26"/>
        <v>42675</v>
      </c>
      <c r="L356" s="67">
        <f t="shared" si="29"/>
        <v>6</v>
      </c>
      <c r="M356" s="68">
        <v>1.4833299999999999E-3</v>
      </c>
      <c r="N356" s="69">
        <f t="shared" si="30"/>
        <v>0</v>
      </c>
      <c r="O356" s="66"/>
      <c r="P356" s="71">
        <f t="shared" si="27"/>
        <v>0</v>
      </c>
      <c r="Q356" s="132"/>
      <c r="R356" s="71">
        <f t="shared" si="28"/>
        <v>0</v>
      </c>
      <c r="S356" s="64"/>
    </row>
    <row r="357" spans="1:19">
      <c r="A357" s="64" t="s">
        <v>626</v>
      </c>
      <c r="B357" s="65" t="s">
        <v>779</v>
      </c>
      <c r="C357" s="65" t="s">
        <v>780</v>
      </c>
      <c r="D357" s="64" t="s">
        <v>781</v>
      </c>
      <c r="E357" s="65" t="s">
        <v>156</v>
      </c>
      <c r="F357" s="64" t="s">
        <v>26</v>
      </c>
      <c r="G357" s="65" t="s">
        <v>20</v>
      </c>
      <c r="H357" s="65" t="s">
        <v>928</v>
      </c>
      <c r="I357" s="65">
        <v>201410</v>
      </c>
      <c r="J357" s="66">
        <v>-81.62</v>
      </c>
      <c r="K357" s="72">
        <f t="shared" si="26"/>
        <v>42675</v>
      </c>
      <c r="L357" s="67">
        <f t="shared" si="29"/>
        <v>6</v>
      </c>
      <c r="M357" s="68">
        <v>1.4833299999999999E-3</v>
      </c>
      <c r="N357" s="69">
        <f t="shared" si="30"/>
        <v>-0.72641636760000006</v>
      </c>
      <c r="O357" s="66"/>
      <c r="P357" s="71">
        <f t="shared" si="27"/>
        <v>0</v>
      </c>
      <c r="Q357" s="132"/>
      <c r="R357" s="71">
        <f t="shared" si="28"/>
        <v>-1.2489050291666666</v>
      </c>
      <c r="S357" s="64"/>
    </row>
    <row r="358" spans="1:19">
      <c r="A358" s="64" t="s">
        <v>21</v>
      </c>
      <c r="B358" s="65" t="s">
        <v>888</v>
      </c>
      <c r="C358" s="65" t="s">
        <v>889</v>
      </c>
      <c r="D358" s="64" t="s">
        <v>890</v>
      </c>
      <c r="E358" s="65" t="s">
        <v>280</v>
      </c>
      <c r="F358" s="64" t="s">
        <v>26</v>
      </c>
      <c r="G358" s="65" t="s">
        <v>20</v>
      </c>
      <c r="H358" s="65" t="s">
        <v>928</v>
      </c>
      <c r="I358" s="65">
        <v>201410</v>
      </c>
      <c r="J358" s="66">
        <v>1828.42</v>
      </c>
      <c r="K358" s="72">
        <f t="shared" si="26"/>
        <v>42675</v>
      </c>
      <c r="L358" s="67">
        <f t="shared" si="29"/>
        <v>6</v>
      </c>
      <c r="M358" s="68">
        <v>1.4833299999999999E-3</v>
      </c>
      <c r="N358" s="69">
        <f t="shared" si="30"/>
        <v>16.272901431600001</v>
      </c>
      <c r="O358" s="66"/>
      <c r="P358" s="71">
        <f t="shared" si="27"/>
        <v>0</v>
      </c>
      <c r="Q358" s="132"/>
      <c r="R358" s="71">
        <f t="shared" si="28"/>
        <v>27.977492445833331</v>
      </c>
      <c r="S358" s="64"/>
    </row>
    <row r="359" spans="1:19">
      <c r="A359" s="64" t="s">
        <v>626</v>
      </c>
      <c r="B359" s="65" t="s">
        <v>944</v>
      </c>
      <c r="C359" s="65" t="s">
        <v>945</v>
      </c>
      <c r="D359" s="64" t="s">
        <v>946</v>
      </c>
      <c r="E359" s="65" t="s">
        <v>164</v>
      </c>
      <c r="F359" s="64" t="s">
        <v>165</v>
      </c>
      <c r="G359" s="65" t="s">
        <v>20</v>
      </c>
      <c r="H359" s="65" t="s">
        <v>928</v>
      </c>
      <c r="I359" s="65">
        <v>201410</v>
      </c>
      <c r="J359" s="66">
        <v>15539.61</v>
      </c>
      <c r="K359" s="72">
        <f t="shared" si="26"/>
        <v>42675</v>
      </c>
      <c r="L359" s="67">
        <f t="shared" si="29"/>
        <v>6</v>
      </c>
      <c r="M359" s="68">
        <v>1.4833299999999999E-3</v>
      </c>
      <c r="N359" s="69">
        <f t="shared" si="30"/>
        <v>138.3022182078</v>
      </c>
      <c r="O359" s="66"/>
      <c r="P359" s="71">
        <f t="shared" si="27"/>
        <v>0</v>
      </c>
      <c r="Q359" s="132"/>
      <c r="R359" s="71">
        <f t="shared" si="28"/>
        <v>237.77869493125002</v>
      </c>
      <c r="S359" s="64"/>
    </row>
    <row r="360" spans="1:19">
      <c r="A360" s="64" t="s">
        <v>626</v>
      </c>
      <c r="B360" s="65" t="s">
        <v>1038</v>
      </c>
      <c r="C360" s="65" t="s">
        <v>1039</v>
      </c>
      <c r="D360" s="64" t="s">
        <v>1040</v>
      </c>
      <c r="E360" s="65" t="s">
        <v>75</v>
      </c>
      <c r="F360" s="64" t="s">
        <v>26</v>
      </c>
      <c r="G360" s="65" t="s">
        <v>20</v>
      </c>
      <c r="H360" s="65" t="s">
        <v>928</v>
      </c>
      <c r="I360" s="65">
        <v>201410</v>
      </c>
      <c r="J360" s="66">
        <v>27394.7</v>
      </c>
      <c r="K360" s="72">
        <f t="shared" si="26"/>
        <v>42675</v>
      </c>
      <c r="L360" s="67">
        <f t="shared" si="29"/>
        <v>6</v>
      </c>
      <c r="M360" s="68">
        <v>1.4833299999999999E-3</v>
      </c>
      <c r="N360" s="69">
        <f t="shared" si="30"/>
        <v>243.812282106</v>
      </c>
      <c r="O360" s="66"/>
      <c r="P360" s="71">
        <f t="shared" si="27"/>
        <v>0</v>
      </c>
      <c r="Q360" s="132"/>
      <c r="R360" s="71">
        <f t="shared" si="28"/>
        <v>419.17886060416669</v>
      </c>
      <c r="S360" s="64"/>
    </row>
    <row r="361" spans="1:19">
      <c r="A361" s="64" t="s">
        <v>626</v>
      </c>
      <c r="B361" s="65" t="s">
        <v>785</v>
      </c>
      <c r="C361" s="65" t="s">
        <v>786</v>
      </c>
      <c r="D361" s="64" t="s">
        <v>787</v>
      </c>
      <c r="E361" s="65" t="s">
        <v>75</v>
      </c>
      <c r="F361" s="64" t="s">
        <v>26</v>
      </c>
      <c r="G361" s="65" t="s">
        <v>20</v>
      </c>
      <c r="H361" s="65" t="s">
        <v>928</v>
      </c>
      <c r="I361" s="65">
        <v>201410</v>
      </c>
      <c r="J361" s="66">
        <v>-19.38</v>
      </c>
      <c r="K361" s="72">
        <f t="shared" si="26"/>
        <v>42675</v>
      </c>
      <c r="L361" s="67">
        <f t="shared" si="29"/>
        <v>6</v>
      </c>
      <c r="M361" s="68">
        <v>1.4833299999999999E-3</v>
      </c>
      <c r="N361" s="69">
        <f t="shared" si="30"/>
        <v>-0.17248161239999998</v>
      </c>
      <c r="O361" s="66"/>
      <c r="P361" s="71">
        <f t="shared" si="27"/>
        <v>0</v>
      </c>
      <c r="Q361" s="132"/>
      <c r="R361" s="71">
        <f t="shared" si="28"/>
        <v>-0.29654226249999993</v>
      </c>
      <c r="S361" s="64"/>
    </row>
    <row r="362" spans="1:19">
      <c r="A362" s="64" t="s">
        <v>626</v>
      </c>
      <c r="B362" s="65" t="s">
        <v>947</v>
      </c>
      <c r="C362" s="65" t="s">
        <v>948</v>
      </c>
      <c r="D362" s="64" t="s">
        <v>949</v>
      </c>
      <c r="E362" s="65" t="s">
        <v>75</v>
      </c>
      <c r="F362" s="64" t="s">
        <v>26</v>
      </c>
      <c r="G362" s="65" t="s">
        <v>20</v>
      </c>
      <c r="H362" s="65" t="s">
        <v>928</v>
      </c>
      <c r="I362" s="65">
        <v>201410</v>
      </c>
      <c r="J362" s="66">
        <v>3048.22</v>
      </c>
      <c r="K362" s="72">
        <f t="shared" si="26"/>
        <v>42675</v>
      </c>
      <c r="L362" s="67">
        <f t="shared" si="29"/>
        <v>6</v>
      </c>
      <c r="M362" s="68">
        <v>1.4833299999999999E-3</v>
      </c>
      <c r="N362" s="69">
        <f t="shared" si="30"/>
        <v>27.129097035599997</v>
      </c>
      <c r="O362" s="66"/>
      <c r="P362" s="71">
        <f t="shared" si="27"/>
        <v>0</v>
      </c>
      <c r="Q362" s="132"/>
      <c r="R362" s="71">
        <f t="shared" si="28"/>
        <v>46.642211320833326</v>
      </c>
      <c r="S362" s="64"/>
    </row>
    <row r="363" spans="1:19">
      <c r="A363" s="64" t="s">
        <v>626</v>
      </c>
      <c r="B363" s="65" t="s">
        <v>724</v>
      </c>
      <c r="C363" s="65" t="s">
        <v>725</v>
      </c>
      <c r="D363" s="64" t="s">
        <v>726</v>
      </c>
      <c r="E363" s="65" t="s">
        <v>280</v>
      </c>
      <c r="F363" s="64" t="s">
        <v>26</v>
      </c>
      <c r="G363" s="65" t="s">
        <v>20</v>
      </c>
      <c r="H363" s="65" t="s">
        <v>928</v>
      </c>
      <c r="I363" s="65">
        <v>201410</v>
      </c>
      <c r="J363" s="66">
        <v>-40.68</v>
      </c>
      <c r="K363" s="72">
        <f t="shared" si="26"/>
        <v>42675</v>
      </c>
      <c r="L363" s="67">
        <f t="shared" si="29"/>
        <v>6</v>
      </c>
      <c r="M363" s="68">
        <v>1.4833299999999999E-3</v>
      </c>
      <c r="N363" s="69">
        <f t="shared" si="30"/>
        <v>-0.3620511864</v>
      </c>
      <c r="O363" s="66"/>
      <c r="P363" s="71">
        <f t="shared" si="27"/>
        <v>0</v>
      </c>
      <c r="Q363" s="132"/>
      <c r="R363" s="71">
        <f t="shared" si="28"/>
        <v>-0.6224633249999999</v>
      </c>
      <c r="S363" s="64"/>
    </row>
    <row r="364" spans="1:19">
      <c r="A364" s="64" t="s">
        <v>626</v>
      </c>
      <c r="B364" s="65" t="s">
        <v>788</v>
      </c>
      <c r="C364" s="65" t="s">
        <v>789</v>
      </c>
      <c r="D364" s="64" t="s">
        <v>790</v>
      </c>
      <c r="E364" s="65" t="s">
        <v>164</v>
      </c>
      <c r="F364" s="64" t="s">
        <v>165</v>
      </c>
      <c r="G364" s="65" t="s">
        <v>20</v>
      </c>
      <c r="H364" s="65" t="s">
        <v>928</v>
      </c>
      <c r="I364" s="65">
        <v>201410</v>
      </c>
      <c r="J364" s="66">
        <v>-89.02</v>
      </c>
      <c r="K364" s="72">
        <f t="shared" si="26"/>
        <v>42675</v>
      </c>
      <c r="L364" s="67">
        <f t="shared" si="29"/>
        <v>6</v>
      </c>
      <c r="M364" s="68">
        <v>1.4833299999999999E-3</v>
      </c>
      <c r="N364" s="69">
        <f t="shared" si="30"/>
        <v>-0.79227621959999994</v>
      </c>
      <c r="O364" s="66"/>
      <c r="P364" s="71">
        <f t="shared" si="27"/>
        <v>0</v>
      </c>
      <c r="Q364" s="132"/>
      <c r="R364" s="71">
        <f t="shared" si="28"/>
        <v>-1.3621358208333332</v>
      </c>
      <c r="S364" s="64"/>
    </row>
    <row r="365" spans="1:19">
      <c r="A365" s="64" t="s">
        <v>626</v>
      </c>
      <c r="B365" s="65" t="s">
        <v>727</v>
      </c>
      <c r="C365" s="65" t="s">
        <v>728</v>
      </c>
      <c r="D365" s="64" t="s">
        <v>729</v>
      </c>
      <c r="E365" s="65" t="s">
        <v>79</v>
      </c>
      <c r="F365" s="64" t="s">
        <v>26</v>
      </c>
      <c r="G365" s="65" t="s">
        <v>20</v>
      </c>
      <c r="H365" s="65" t="s">
        <v>928</v>
      </c>
      <c r="I365" s="65">
        <v>201410</v>
      </c>
      <c r="J365" s="66">
        <v>-21.63</v>
      </c>
      <c r="K365" s="72">
        <f t="shared" si="26"/>
        <v>42675</v>
      </c>
      <c r="L365" s="67">
        <f t="shared" si="29"/>
        <v>6</v>
      </c>
      <c r="M365" s="68">
        <v>1.4833299999999999E-3</v>
      </c>
      <c r="N365" s="69">
        <f t="shared" si="30"/>
        <v>-0.19250656739999999</v>
      </c>
      <c r="O365" s="66"/>
      <c r="P365" s="71">
        <f t="shared" si="27"/>
        <v>0</v>
      </c>
      <c r="Q365" s="132"/>
      <c r="R365" s="71">
        <f t="shared" si="28"/>
        <v>-0.33097054374999996</v>
      </c>
      <c r="S365" s="64"/>
    </row>
    <row r="366" spans="1:19">
      <c r="A366" s="64" t="s">
        <v>626</v>
      </c>
      <c r="B366" s="65" t="s">
        <v>825</v>
      </c>
      <c r="C366" s="65" t="s">
        <v>826</v>
      </c>
      <c r="D366" s="64" t="s">
        <v>827</v>
      </c>
      <c r="E366" s="65" t="s">
        <v>63</v>
      </c>
      <c r="F366" s="64" t="s">
        <v>19</v>
      </c>
      <c r="G366" s="65" t="s">
        <v>20</v>
      </c>
      <c r="H366" s="65" t="s">
        <v>928</v>
      </c>
      <c r="I366" s="65">
        <v>201410</v>
      </c>
      <c r="J366" s="66">
        <v>-10.32</v>
      </c>
      <c r="K366" s="72">
        <f t="shared" ref="K366:K429" si="31">+K365</f>
        <v>42675</v>
      </c>
      <c r="L366" s="67">
        <f t="shared" si="29"/>
        <v>6</v>
      </c>
      <c r="M366" s="68">
        <v>1.4833299999999999E-3</v>
      </c>
      <c r="N366" s="69">
        <f t="shared" si="30"/>
        <v>-9.1847793600000005E-2</v>
      </c>
      <c r="O366" s="66"/>
      <c r="P366" s="71">
        <f t="shared" ref="P366:P429" si="32">$P$300*J366*$U$11</f>
        <v>0</v>
      </c>
      <c r="Q366" s="132"/>
      <c r="R366" s="71">
        <f t="shared" ref="R366:R429" si="33">$R$300*J366*$U$12</f>
        <v>-0.15791105</v>
      </c>
      <c r="S366" s="64"/>
    </row>
    <row r="367" spans="1:19">
      <c r="A367" s="64" t="s">
        <v>626</v>
      </c>
      <c r="B367" s="65" t="s">
        <v>791</v>
      </c>
      <c r="C367" s="65" t="s">
        <v>792</v>
      </c>
      <c r="D367" s="64" t="s">
        <v>793</v>
      </c>
      <c r="E367" s="65" t="s">
        <v>79</v>
      </c>
      <c r="F367" s="64" t="s">
        <v>26</v>
      </c>
      <c r="G367" s="65" t="s">
        <v>20</v>
      </c>
      <c r="H367" s="65" t="s">
        <v>928</v>
      </c>
      <c r="I367" s="65">
        <v>201410</v>
      </c>
      <c r="J367" s="66">
        <v>-14.44</v>
      </c>
      <c r="K367" s="72">
        <f t="shared" si="31"/>
        <v>42675</v>
      </c>
      <c r="L367" s="67">
        <f t="shared" si="29"/>
        <v>6</v>
      </c>
      <c r="M367" s="68">
        <v>1.4833299999999999E-3</v>
      </c>
      <c r="N367" s="69">
        <f t="shared" si="30"/>
        <v>-0.12851571119999999</v>
      </c>
      <c r="O367" s="66"/>
      <c r="P367" s="71">
        <f t="shared" si="32"/>
        <v>0</v>
      </c>
      <c r="Q367" s="132"/>
      <c r="R367" s="71">
        <f t="shared" si="33"/>
        <v>-0.22095305833333329</v>
      </c>
      <c r="S367" s="64"/>
    </row>
    <row r="368" spans="1:19">
      <c r="A368" s="64" t="s">
        <v>626</v>
      </c>
      <c r="B368" s="65" t="s">
        <v>1041</v>
      </c>
      <c r="C368" s="65" t="s">
        <v>1042</v>
      </c>
      <c r="D368" s="64" t="s">
        <v>1043</v>
      </c>
      <c r="E368" s="65" t="s">
        <v>75</v>
      </c>
      <c r="F368" s="64" t="s">
        <v>26</v>
      </c>
      <c r="G368" s="65" t="s">
        <v>20</v>
      </c>
      <c r="H368" s="65" t="s">
        <v>928</v>
      </c>
      <c r="I368" s="65">
        <v>201410</v>
      </c>
      <c r="J368" s="66">
        <v>40690.879999999997</v>
      </c>
      <c r="K368" s="72">
        <f t="shared" si="31"/>
        <v>42675</v>
      </c>
      <c r="L368" s="67">
        <f t="shared" si="29"/>
        <v>6</v>
      </c>
      <c r="M368" s="68">
        <v>1.4833299999999999E-3</v>
      </c>
      <c r="N368" s="69">
        <f t="shared" si="30"/>
        <v>362.14801818239999</v>
      </c>
      <c r="O368" s="66"/>
      <c r="P368" s="71">
        <f t="shared" si="32"/>
        <v>0</v>
      </c>
      <c r="Q368" s="132"/>
      <c r="R368" s="71">
        <f t="shared" si="33"/>
        <v>622.62980486666652</v>
      </c>
      <c r="S368" s="64"/>
    </row>
    <row r="369" spans="1:19">
      <c r="A369" s="64" t="s">
        <v>626</v>
      </c>
      <c r="B369" s="65" t="s">
        <v>848</v>
      </c>
      <c r="C369" s="65" t="s">
        <v>849</v>
      </c>
      <c r="D369" s="64" t="s">
        <v>850</v>
      </c>
      <c r="E369" s="65" t="s">
        <v>93</v>
      </c>
      <c r="F369" s="64" t="s">
        <v>88</v>
      </c>
      <c r="G369" s="65" t="s">
        <v>20</v>
      </c>
      <c r="H369" s="65" t="s">
        <v>929</v>
      </c>
      <c r="I369" s="65">
        <v>201410</v>
      </c>
      <c r="J369" s="66">
        <v>-7153.05</v>
      </c>
      <c r="K369" s="72">
        <f t="shared" si="31"/>
        <v>42675</v>
      </c>
      <c r="L369" s="67">
        <f t="shared" si="29"/>
        <v>6</v>
      </c>
      <c r="M369" s="68">
        <v>1.4833299999999999E-3</v>
      </c>
      <c r="N369" s="69">
        <f t="shared" si="30"/>
        <v>-63.662001939</v>
      </c>
      <c r="O369" s="66"/>
      <c r="P369" s="71">
        <f t="shared" si="32"/>
        <v>0</v>
      </c>
      <c r="Q369" s="132"/>
      <c r="R369" s="71">
        <f t="shared" si="33"/>
        <v>-109.45209653124999</v>
      </c>
      <c r="S369" s="64"/>
    </row>
    <row r="370" spans="1:19">
      <c r="A370" s="64" t="s">
        <v>21</v>
      </c>
      <c r="B370" s="65" t="s">
        <v>800</v>
      </c>
      <c r="C370" s="65" t="s">
        <v>801</v>
      </c>
      <c r="D370" s="64" t="s">
        <v>802</v>
      </c>
      <c r="E370" s="65" t="s">
        <v>260</v>
      </c>
      <c r="F370" s="64" t="s">
        <v>26</v>
      </c>
      <c r="G370" s="65" t="s">
        <v>20</v>
      </c>
      <c r="H370" s="65" t="s">
        <v>928</v>
      </c>
      <c r="I370" s="65">
        <v>201410</v>
      </c>
      <c r="J370" s="66">
        <v>-23.54</v>
      </c>
      <c r="K370" s="72">
        <f t="shared" si="31"/>
        <v>42675</v>
      </c>
      <c r="L370" s="67">
        <f t="shared" si="29"/>
        <v>6</v>
      </c>
      <c r="M370" s="68">
        <v>1.4833299999999999E-3</v>
      </c>
      <c r="N370" s="69">
        <f t="shared" si="30"/>
        <v>-0.20950552919999998</v>
      </c>
      <c r="O370" s="66"/>
      <c r="P370" s="71">
        <f t="shared" si="32"/>
        <v>0</v>
      </c>
      <c r="Q370" s="132"/>
      <c r="R370" s="71">
        <f t="shared" si="33"/>
        <v>-0.36019632916666661</v>
      </c>
      <c r="S370" s="64"/>
    </row>
    <row r="371" spans="1:19">
      <c r="A371" s="64" t="s">
        <v>626</v>
      </c>
      <c r="B371" s="65" t="s">
        <v>800</v>
      </c>
      <c r="C371" s="65" t="s">
        <v>801</v>
      </c>
      <c r="D371" s="64" t="s">
        <v>802</v>
      </c>
      <c r="E371" s="65" t="s">
        <v>260</v>
      </c>
      <c r="F371" s="64" t="s">
        <v>26</v>
      </c>
      <c r="G371" s="65" t="s">
        <v>20</v>
      </c>
      <c r="H371" s="65" t="s">
        <v>928</v>
      </c>
      <c r="I371" s="65">
        <v>201410</v>
      </c>
      <c r="J371" s="66">
        <v>5.81</v>
      </c>
      <c r="K371" s="72">
        <f t="shared" si="31"/>
        <v>42675</v>
      </c>
      <c r="L371" s="67">
        <f t="shared" si="29"/>
        <v>6</v>
      </c>
      <c r="M371" s="68">
        <v>1.4833299999999999E-3</v>
      </c>
      <c r="N371" s="69">
        <f t="shared" si="30"/>
        <v>5.1708883799999994E-2</v>
      </c>
      <c r="O371" s="66"/>
      <c r="P371" s="71">
        <f t="shared" si="32"/>
        <v>0</v>
      </c>
      <c r="Q371" s="132"/>
      <c r="R371" s="71">
        <f t="shared" si="33"/>
        <v>8.8901472916666655E-2</v>
      </c>
      <c r="S371" s="64"/>
    </row>
    <row r="372" spans="1:19">
      <c r="A372" s="64" t="s">
        <v>626</v>
      </c>
      <c r="B372" s="65" t="s">
        <v>897</v>
      </c>
      <c r="C372" s="65" t="s">
        <v>898</v>
      </c>
      <c r="D372" s="64" t="s">
        <v>899</v>
      </c>
      <c r="E372" s="65" t="s">
        <v>164</v>
      </c>
      <c r="F372" s="64" t="s">
        <v>165</v>
      </c>
      <c r="G372" s="65" t="s">
        <v>20</v>
      </c>
      <c r="H372" s="65" t="s">
        <v>928</v>
      </c>
      <c r="I372" s="65">
        <v>201410</v>
      </c>
      <c r="J372" s="66">
        <v>9.77</v>
      </c>
      <c r="K372" s="72">
        <f t="shared" si="31"/>
        <v>42675</v>
      </c>
      <c r="L372" s="67">
        <f t="shared" si="29"/>
        <v>6</v>
      </c>
      <c r="M372" s="68">
        <v>1.4833299999999999E-3</v>
      </c>
      <c r="N372" s="69">
        <f t="shared" si="30"/>
        <v>8.6952804600000003E-2</v>
      </c>
      <c r="O372" s="66"/>
      <c r="P372" s="71">
        <f t="shared" si="32"/>
        <v>0</v>
      </c>
      <c r="Q372" s="132"/>
      <c r="R372" s="71">
        <f t="shared" si="33"/>
        <v>0.14949524791666666</v>
      </c>
      <c r="S372" s="64"/>
    </row>
    <row r="373" spans="1:19">
      <c r="A373" s="64" t="s">
        <v>29</v>
      </c>
      <c r="B373" s="65" t="s">
        <v>950</v>
      </c>
      <c r="C373" s="65" t="s">
        <v>951</v>
      </c>
      <c r="D373" s="64" t="s">
        <v>952</v>
      </c>
      <c r="E373" s="65" t="s">
        <v>834</v>
      </c>
      <c r="F373" s="64" t="s">
        <v>835</v>
      </c>
      <c r="G373" s="65" t="s">
        <v>20</v>
      </c>
      <c r="H373" s="65" t="s">
        <v>937</v>
      </c>
      <c r="I373" s="65">
        <v>201410</v>
      </c>
      <c r="J373" s="66">
        <v>-0.01</v>
      </c>
      <c r="K373" s="72">
        <f t="shared" si="31"/>
        <v>42675</v>
      </c>
      <c r="L373" s="67">
        <f t="shared" si="29"/>
        <v>6</v>
      </c>
      <c r="M373" s="68">
        <v>2.23333E-3</v>
      </c>
      <c r="N373" s="69">
        <f t="shared" si="30"/>
        <v>-1.3399979999999999E-4</v>
      </c>
      <c r="O373" s="66"/>
      <c r="P373" s="71">
        <f t="shared" si="32"/>
        <v>0</v>
      </c>
      <c r="Q373" s="132"/>
      <c r="R373" s="71">
        <f t="shared" si="33"/>
        <v>-1.5301458333333333E-4</v>
      </c>
      <c r="S373" s="64"/>
    </row>
    <row r="374" spans="1:19">
      <c r="A374" s="64" t="s">
        <v>21</v>
      </c>
      <c r="B374" s="65" t="s">
        <v>828</v>
      </c>
      <c r="C374" s="65" t="s">
        <v>829</v>
      </c>
      <c r="D374" s="64" t="s">
        <v>830</v>
      </c>
      <c r="E374" s="65" t="s">
        <v>360</v>
      </c>
      <c r="F374" s="64" t="s">
        <v>19</v>
      </c>
      <c r="G374" s="65" t="s">
        <v>20</v>
      </c>
      <c r="H374" s="65" t="s">
        <v>928</v>
      </c>
      <c r="I374" s="65">
        <v>201410</v>
      </c>
      <c r="J374" s="66">
        <v>0</v>
      </c>
      <c r="K374" s="72">
        <f t="shared" si="31"/>
        <v>42675</v>
      </c>
      <c r="L374" s="67">
        <f t="shared" si="29"/>
        <v>6</v>
      </c>
      <c r="M374" s="68">
        <v>1.4833299999999999E-3</v>
      </c>
      <c r="N374" s="69">
        <f t="shared" si="30"/>
        <v>0</v>
      </c>
      <c r="O374" s="66"/>
      <c r="P374" s="71">
        <f t="shared" si="32"/>
        <v>0</v>
      </c>
      <c r="Q374" s="132"/>
      <c r="R374" s="71">
        <f t="shared" si="33"/>
        <v>0</v>
      </c>
      <c r="S374" s="64"/>
    </row>
    <row r="375" spans="1:19">
      <c r="A375" s="64" t="s">
        <v>626</v>
      </c>
      <c r="B375" s="65" t="s">
        <v>903</v>
      </c>
      <c r="C375" s="65" t="s">
        <v>904</v>
      </c>
      <c r="D375" s="64" t="s">
        <v>905</v>
      </c>
      <c r="E375" s="65" t="s">
        <v>280</v>
      </c>
      <c r="F375" s="64" t="s">
        <v>26</v>
      </c>
      <c r="G375" s="65" t="s">
        <v>20</v>
      </c>
      <c r="H375" s="65" t="s">
        <v>928</v>
      </c>
      <c r="I375" s="65">
        <v>201410</v>
      </c>
      <c r="J375" s="66">
        <v>422.88</v>
      </c>
      <c r="K375" s="72">
        <f t="shared" si="31"/>
        <v>42675</v>
      </c>
      <c r="L375" s="67">
        <f t="shared" si="29"/>
        <v>6</v>
      </c>
      <c r="M375" s="68">
        <v>1.4833299999999999E-3</v>
      </c>
      <c r="N375" s="69">
        <f t="shared" si="30"/>
        <v>3.7636235424</v>
      </c>
      <c r="O375" s="66"/>
      <c r="P375" s="71">
        <f t="shared" si="32"/>
        <v>0</v>
      </c>
      <c r="Q375" s="132"/>
      <c r="R375" s="71">
        <f t="shared" si="33"/>
        <v>6.4706806999999991</v>
      </c>
      <c r="S375" s="64"/>
    </row>
    <row r="376" spans="1:19">
      <c r="A376" s="64" t="s">
        <v>626</v>
      </c>
      <c r="B376" s="65" t="s">
        <v>906</v>
      </c>
      <c r="C376" s="65" t="s">
        <v>907</v>
      </c>
      <c r="D376" s="64" t="s">
        <v>908</v>
      </c>
      <c r="E376" s="65" t="s">
        <v>471</v>
      </c>
      <c r="F376" s="64" t="s">
        <v>165</v>
      </c>
      <c r="G376" s="65" t="s">
        <v>20</v>
      </c>
      <c r="H376" s="65" t="s">
        <v>928</v>
      </c>
      <c r="I376" s="65">
        <v>201410</v>
      </c>
      <c r="J376" s="66">
        <v>8.59</v>
      </c>
      <c r="K376" s="72">
        <f t="shared" si="31"/>
        <v>42675</v>
      </c>
      <c r="L376" s="67">
        <f t="shared" si="29"/>
        <v>6</v>
      </c>
      <c r="M376" s="68">
        <v>1.4833299999999999E-3</v>
      </c>
      <c r="N376" s="69">
        <f t="shared" si="30"/>
        <v>7.6450828200000001E-2</v>
      </c>
      <c r="O376" s="66"/>
      <c r="P376" s="71">
        <f t="shared" si="32"/>
        <v>0</v>
      </c>
      <c r="Q376" s="132"/>
      <c r="R376" s="71">
        <f t="shared" si="33"/>
        <v>0.13143952708333331</v>
      </c>
      <c r="S376" s="64"/>
    </row>
    <row r="377" spans="1:19">
      <c r="A377" s="64" t="s">
        <v>21</v>
      </c>
      <c r="B377" s="65" t="s">
        <v>953</v>
      </c>
      <c r="C377" s="65" t="s">
        <v>954</v>
      </c>
      <c r="D377" s="64" t="s">
        <v>955</v>
      </c>
      <c r="E377" s="65" t="s">
        <v>531</v>
      </c>
      <c r="F377" s="64" t="s">
        <v>26</v>
      </c>
      <c r="G377" s="65" t="s">
        <v>20</v>
      </c>
      <c r="H377" s="65" t="s">
        <v>928</v>
      </c>
      <c r="I377" s="65">
        <v>201410</v>
      </c>
      <c r="J377" s="66">
        <v>343.32</v>
      </c>
      <c r="K377" s="72">
        <f t="shared" si="31"/>
        <v>42675</v>
      </c>
      <c r="L377" s="67">
        <f t="shared" si="29"/>
        <v>6</v>
      </c>
      <c r="M377" s="68">
        <v>1.4833299999999999E-3</v>
      </c>
      <c r="N377" s="69">
        <f t="shared" si="30"/>
        <v>3.0555411335999998</v>
      </c>
      <c r="O377" s="66"/>
      <c r="P377" s="71">
        <f t="shared" si="32"/>
        <v>0</v>
      </c>
      <c r="Q377" s="132"/>
      <c r="R377" s="71">
        <f t="shared" si="33"/>
        <v>5.2532966749999996</v>
      </c>
      <c r="S377" s="64"/>
    </row>
    <row r="378" spans="1:19">
      <c r="A378" s="64" t="s">
        <v>21</v>
      </c>
      <c r="B378" s="65" t="s">
        <v>851</v>
      </c>
      <c r="C378" s="65" t="s">
        <v>852</v>
      </c>
      <c r="D378" s="64" t="s">
        <v>853</v>
      </c>
      <c r="E378" s="65" t="s">
        <v>415</v>
      </c>
      <c r="F378" s="64" t="s">
        <v>88</v>
      </c>
      <c r="G378" s="65" t="s">
        <v>20</v>
      </c>
      <c r="H378" s="65" t="s">
        <v>929</v>
      </c>
      <c r="I378" s="65">
        <v>201410</v>
      </c>
      <c r="J378" s="66">
        <v>0</v>
      </c>
      <c r="K378" s="72">
        <f t="shared" si="31"/>
        <v>42675</v>
      </c>
      <c r="L378" s="67">
        <f t="shared" si="29"/>
        <v>6</v>
      </c>
      <c r="M378" s="68">
        <v>1.4833299999999999E-3</v>
      </c>
      <c r="N378" s="69">
        <f t="shared" si="30"/>
        <v>0</v>
      </c>
      <c r="O378" s="66"/>
      <c r="P378" s="71">
        <f t="shared" si="32"/>
        <v>0</v>
      </c>
      <c r="Q378" s="132"/>
      <c r="R378" s="71">
        <f t="shared" si="33"/>
        <v>0</v>
      </c>
      <c r="S378" s="64"/>
    </row>
    <row r="379" spans="1:19">
      <c r="A379" s="64" t="s">
        <v>626</v>
      </c>
      <c r="B379" s="65" t="s">
        <v>909</v>
      </c>
      <c r="C379" s="65" t="s">
        <v>910</v>
      </c>
      <c r="D379" s="64" t="s">
        <v>911</v>
      </c>
      <c r="E379" s="65" t="s">
        <v>79</v>
      </c>
      <c r="F379" s="64" t="s">
        <v>26</v>
      </c>
      <c r="G379" s="65" t="s">
        <v>20</v>
      </c>
      <c r="H379" s="65" t="s">
        <v>928</v>
      </c>
      <c r="I379" s="65">
        <v>201410</v>
      </c>
      <c r="J379" s="66">
        <v>38.01</v>
      </c>
      <c r="K379" s="72">
        <f t="shared" si="31"/>
        <v>42675</v>
      </c>
      <c r="L379" s="67">
        <f t="shared" si="29"/>
        <v>6</v>
      </c>
      <c r="M379" s="68">
        <v>1.4833299999999999E-3</v>
      </c>
      <c r="N379" s="69">
        <f t="shared" si="30"/>
        <v>0.3382882398</v>
      </c>
      <c r="O379" s="66"/>
      <c r="P379" s="71">
        <f t="shared" si="32"/>
        <v>0</v>
      </c>
      <c r="Q379" s="132"/>
      <c r="R379" s="71">
        <f t="shared" si="33"/>
        <v>0.58160843124999984</v>
      </c>
      <c r="S379" s="64"/>
    </row>
    <row r="380" spans="1:19">
      <c r="A380" s="64" t="s">
        <v>626</v>
      </c>
      <c r="B380" s="65" t="s">
        <v>956</v>
      </c>
      <c r="C380" s="65" t="s">
        <v>957</v>
      </c>
      <c r="D380" s="64" t="s">
        <v>958</v>
      </c>
      <c r="E380" s="65" t="s">
        <v>809</v>
      </c>
      <c r="F380" s="64" t="s">
        <v>26</v>
      </c>
      <c r="G380" s="65" t="s">
        <v>20</v>
      </c>
      <c r="H380" s="65" t="s">
        <v>928</v>
      </c>
      <c r="I380" s="65">
        <v>201410</v>
      </c>
      <c r="J380" s="66">
        <v>0.82</v>
      </c>
      <c r="K380" s="72">
        <f t="shared" si="31"/>
        <v>42675</v>
      </c>
      <c r="L380" s="67">
        <f t="shared" si="29"/>
        <v>6</v>
      </c>
      <c r="M380" s="68">
        <v>1.4833299999999999E-3</v>
      </c>
      <c r="N380" s="69">
        <f t="shared" si="30"/>
        <v>7.2979835999999994E-3</v>
      </c>
      <c r="O380" s="66"/>
      <c r="P380" s="71">
        <f t="shared" si="32"/>
        <v>0</v>
      </c>
      <c r="Q380" s="132"/>
      <c r="R380" s="71">
        <f t="shared" si="33"/>
        <v>1.2547195833333332E-2</v>
      </c>
      <c r="S380" s="64"/>
    </row>
    <row r="381" spans="1:19">
      <c r="A381" s="64" t="s">
        <v>626</v>
      </c>
      <c r="B381" s="65" t="s">
        <v>816</v>
      </c>
      <c r="C381" s="65" t="s">
        <v>817</v>
      </c>
      <c r="D381" s="64" t="s">
        <v>818</v>
      </c>
      <c r="E381" s="65" t="s">
        <v>164</v>
      </c>
      <c r="F381" s="64" t="s">
        <v>165</v>
      </c>
      <c r="G381" s="65" t="s">
        <v>20</v>
      </c>
      <c r="H381" s="65" t="s">
        <v>928</v>
      </c>
      <c r="I381" s="65">
        <v>201410</v>
      </c>
      <c r="J381" s="66">
        <v>129.80000000000001</v>
      </c>
      <c r="K381" s="72">
        <f t="shared" si="31"/>
        <v>42675</v>
      </c>
      <c r="L381" s="67">
        <f t="shared" si="29"/>
        <v>6</v>
      </c>
      <c r="M381" s="68">
        <v>1.4833299999999999E-3</v>
      </c>
      <c r="N381" s="69">
        <f t="shared" si="30"/>
        <v>1.1552174040000001</v>
      </c>
      <c r="O381" s="66"/>
      <c r="P381" s="71">
        <f t="shared" si="32"/>
        <v>0</v>
      </c>
      <c r="Q381" s="132"/>
      <c r="R381" s="71">
        <f t="shared" si="33"/>
        <v>1.9861292916666666</v>
      </c>
      <c r="S381" s="64"/>
    </row>
    <row r="382" spans="1:19">
      <c r="A382" s="64" t="s">
        <v>21</v>
      </c>
      <c r="B382" s="65" t="s">
        <v>959</v>
      </c>
      <c r="C382" s="65" t="s">
        <v>960</v>
      </c>
      <c r="D382" s="64" t="s">
        <v>961</v>
      </c>
      <c r="E382" s="65" t="s">
        <v>962</v>
      </c>
      <c r="F382" s="64" t="s">
        <v>88</v>
      </c>
      <c r="G382" s="65" t="s">
        <v>20</v>
      </c>
      <c r="H382" s="65" t="s">
        <v>929</v>
      </c>
      <c r="I382" s="65">
        <v>201410</v>
      </c>
      <c r="J382" s="66">
        <v>163.34</v>
      </c>
      <c r="K382" s="72">
        <f t="shared" si="31"/>
        <v>42675</v>
      </c>
      <c r="L382" s="67">
        <f t="shared" si="29"/>
        <v>6</v>
      </c>
      <c r="M382" s="68">
        <v>1.4833299999999999E-3</v>
      </c>
      <c r="N382" s="69">
        <f t="shared" si="30"/>
        <v>1.4537227332</v>
      </c>
      <c r="O382" s="66"/>
      <c r="P382" s="71">
        <f t="shared" si="32"/>
        <v>0</v>
      </c>
      <c r="Q382" s="132"/>
      <c r="R382" s="71">
        <f t="shared" si="33"/>
        <v>2.4993402041666664</v>
      </c>
      <c r="S382" s="64"/>
    </row>
    <row r="383" spans="1:19">
      <c r="A383" s="64" t="s">
        <v>626</v>
      </c>
      <c r="B383" s="65" t="s">
        <v>963</v>
      </c>
      <c r="C383" s="65" t="s">
        <v>964</v>
      </c>
      <c r="D383" s="64" t="s">
        <v>965</v>
      </c>
      <c r="E383" s="65" t="s">
        <v>164</v>
      </c>
      <c r="F383" s="64" t="s">
        <v>165</v>
      </c>
      <c r="G383" s="65" t="s">
        <v>20</v>
      </c>
      <c r="H383" s="65" t="s">
        <v>928</v>
      </c>
      <c r="I383" s="65">
        <v>201410</v>
      </c>
      <c r="J383" s="66">
        <v>9145.27</v>
      </c>
      <c r="K383" s="72">
        <f t="shared" si="31"/>
        <v>42675</v>
      </c>
      <c r="L383" s="67">
        <f t="shared" si="29"/>
        <v>6</v>
      </c>
      <c r="M383" s="68">
        <v>1.4833299999999999E-3</v>
      </c>
      <c r="N383" s="69">
        <f t="shared" si="30"/>
        <v>81.392720094600008</v>
      </c>
      <c r="O383" s="66"/>
      <c r="P383" s="71">
        <f t="shared" si="32"/>
        <v>0</v>
      </c>
      <c r="Q383" s="132"/>
      <c r="R383" s="71">
        <f t="shared" si="33"/>
        <v>139.93596785208334</v>
      </c>
      <c r="S383" s="64"/>
    </row>
    <row r="384" spans="1:19">
      <c r="A384" s="64" t="s">
        <v>21</v>
      </c>
      <c r="B384" s="65" t="s">
        <v>966</v>
      </c>
      <c r="C384" s="65" t="s">
        <v>967</v>
      </c>
      <c r="D384" s="64" t="s">
        <v>968</v>
      </c>
      <c r="E384" s="65" t="s">
        <v>209</v>
      </c>
      <c r="F384" s="64" t="s">
        <v>88</v>
      </c>
      <c r="G384" s="65" t="s">
        <v>20</v>
      </c>
      <c r="H384" s="65" t="s">
        <v>929</v>
      </c>
      <c r="I384" s="65">
        <v>201410</v>
      </c>
      <c r="J384" s="66">
        <v>904.96</v>
      </c>
      <c r="K384" s="72">
        <f t="shared" si="31"/>
        <v>42675</v>
      </c>
      <c r="L384" s="67">
        <f t="shared" si="29"/>
        <v>6</v>
      </c>
      <c r="M384" s="68">
        <v>1.4833299999999999E-3</v>
      </c>
      <c r="N384" s="69">
        <f t="shared" si="30"/>
        <v>8.0541259008000008</v>
      </c>
      <c r="O384" s="66"/>
      <c r="P384" s="71">
        <f t="shared" si="32"/>
        <v>0</v>
      </c>
      <c r="Q384" s="132"/>
      <c r="R384" s="71">
        <f t="shared" si="33"/>
        <v>13.847207733333333</v>
      </c>
      <c r="S384" s="64"/>
    </row>
    <row r="385" spans="1:19">
      <c r="A385" s="64" t="s">
        <v>626</v>
      </c>
      <c r="B385" s="65" t="s">
        <v>1044</v>
      </c>
      <c r="C385" s="65" t="s">
        <v>1045</v>
      </c>
      <c r="D385" s="64" t="s">
        <v>1046</v>
      </c>
      <c r="E385" s="65" t="s">
        <v>164</v>
      </c>
      <c r="F385" s="64" t="s">
        <v>165</v>
      </c>
      <c r="G385" s="65" t="s">
        <v>20</v>
      </c>
      <c r="H385" s="65" t="s">
        <v>928</v>
      </c>
      <c r="I385" s="65">
        <v>201410</v>
      </c>
      <c r="J385" s="66">
        <v>110798.91</v>
      </c>
      <c r="K385" s="72">
        <f t="shared" si="31"/>
        <v>42675</v>
      </c>
      <c r="L385" s="67">
        <f t="shared" si="29"/>
        <v>6</v>
      </c>
      <c r="M385" s="68">
        <v>1.4833299999999999E-3</v>
      </c>
      <c r="N385" s="69">
        <f t="shared" si="30"/>
        <v>986.10808302179998</v>
      </c>
      <c r="O385" s="66"/>
      <c r="P385" s="71">
        <f t="shared" si="32"/>
        <v>0</v>
      </c>
      <c r="Q385" s="132"/>
      <c r="R385" s="71">
        <f t="shared" si="33"/>
        <v>1695.3849047437498</v>
      </c>
      <c r="S385" s="64"/>
    </row>
    <row r="386" spans="1:19">
      <c r="A386" s="64" t="s">
        <v>626</v>
      </c>
      <c r="B386" s="65" t="s">
        <v>969</v>
      </c>
      <c r="C386" s="65" t="s">
        <v>970</v>
      </c>
      <c r="D386" s="64" t="s">
        <v>971</v>
      </c>
      <c r="E386" s="65" t="s">
        <v>164</v>
      </c>
      <c r="F386" s="64" t="s">
        <v>165</v>
      </c>
      <c r="G386" s="65" t="s">
        <v>20</v>
      </c>
      <c r="H386" s="65" t="s">
        <v>928</v>
      </c>
      <c r="I386" s="65">
        <v>201410</v>
      </c>
      <c r="J386" s="66">
        <v>15389.95</v>
      </c>
      <c r="K386" s="72">
        <f t="shared" si="31"/>
        <v>42675</v>
      </c>
      <c r="L386" s="67">
        <f t="shared" si="29"/>
        <v>6</v>
      </c>
      <c r="M386" s="68">
        <v>1.4833299999999999E-3</v>
      </c>
      <c r="N386" s="69">
        <f t="shared" si="30"/>
        <v>136.97024720100001</v>
      </c>
      <c r="O386" s="66"/>
      <c r="P386" s="71">
        <f t="shared" si="32"/>
        <v>0</v>
      </c>
      <c r="Q386" s="132"/>
      <c r="R386" s="71">
        <f t="shared" si="33"/>
        <v>235.4886786770833</v>
      </c>
      <c r="S386" s="64"/>
    </row>
    <row r="387" spans="1:19">
      <c r="A387" s="64" t="s">
        <v>21</v>
      </c>
      <c r="B387" s="65" t="s">
        <v>882</v>
      </c>
      <c r="C387" s="65" t="s">
        <v>883</v>
      </c>
      <c r="D387" s="64" t="s">
        <v>884</v>
      </c>
      <c r="E387" s="65" t="s">
        <v>87</v>
      </c>
      <c r="F387" s="64" t="s">
        <v>88</v>
      </c>
      <c r="G387" s="65" t="s">
        <v>20</v>
      </c>
      <c r="H387" s="65" t="s">
        <v>929</v>
      </c>
      <c r="I387" s="65">
        <v>201410</v>
      </c>
      <c r="J387" s="66">
        <v>977.06</v>
      </c>
      <c r="K387" s="72">
        <f t="shared" si="31"/>
        <v>42675</v>
      </c>
      <c r="L387" s="67">
        <f t="shared" si="29"/>
        <v>6</v>
      </c>
      <c r="M387" s="68">
        <v>1.4833299999999999E-3</v>
      </c>
      <c r="N387" s="69">
        <f t="shared" si="30"/>
        <v>8.6958144587999993</v>
      </c>
      <c r="O387" s="66"/>
      <c r="P387" s="71">
        <f t="shared" si="32"/>
        <v>0</v>
      </c>
      <c r="Q387" s="132"/>
      <c r="R387" s="71">
        <f t="shared" si="33"/>
        <v>14.950442879166664</v>
      </c>
      <c r="S387" s="64"/>
    </row>
    <row r="388" spans="1:19">
      <c r="A388" s="64" t="s">
        <v>21</v>
      </c>
      <c r="B388" s="65" t="s">
        <v>972</v>
      </c>
      <c r="C388" s="65" t="s">
        <v>973</v>
      </c>
      <c r="D388" s="64" t="s">
        <v>974</v>
      </c>
      <c r="E388" s="65" t="s">
        <v>87</v>
      </c>
      <c r="F388" s="64" t="s">
        <v>88</v>
      </c>
      <c r="G388" s="65" t="s">
        <v>20</v>
      </c>
      <c r="H388" s="65" t="s">
        <v>929</v>
      </c>
      <c r="I388" s="65">
        <v>201410</v>
      </c>
      <c r="J388" s="66">
        <v>-0.49</v>
      </c>
      <c r="K388" s="72">
        <f t="shared" si="31"/>
        <v>42675</v>
      </c>
      <c r="L388" s="67">
        <f t="shared" si="29"/>
        <v>6</v>
      </c>
      <c r="M388" s="68">
        <v>1.4833299999999999E-3</v>
      </c>
      <c r="N388" s="69">
        <f t="shared" si="30"/>
        <v>-4.3609901999999996E-3</v>
      </c>
      <c r="O388" s="66"/>
      <c r="P388" s="71">
        <f t="shared" si="32"/>
        <v>0</v>
      </c>
      <c r="Q388" s="132"/>
      <c r="R388" s="71">
        <f t="shared" si="33"/>
        <v>-7.4977145833333321E-3</v>
      </c>
      <c r="S388" s="64"/>
    </row>
    <row r="389" spans="1:19">
      <c r="A389" s="64" t="s">
        <v>626</v>
      </c>
      <c r="B389" s="65" t="s">
        <v>975</v>
      </c>
      <c r="C389" s="65" t="s">
        <v>976</v>
      </c>
      <c r="D389" s="64" t="s">
        <v>977</v>
      </c>
      <c r="E389" s="65" t="s">
        <v>87</v>
      </c>
      <c r="F389" s="64" t="s">
        <v>88</v>
      </c>
      <c r="G389" s="65" t="s">
        <v>20</v>
      </c>
      <c r="H389" s="65" t="s">
        <v>929</v>
      </c>
      <c r="I389" s="65">
        <v>201410</v>
      </c>
      <c r="J389" s="66">
        <v>190.86</v>
      </c>
      <c r="K389" s="72">
        <f t="shared" si="31"/>
        <v>42675</v>
      </c>
      <c r="L389" s="67">
        <f t="shared" si="29"/>
        <v>6</v>
      </c>
      <c r="M389" s="68">
        <v>1.4833299999999999E-3</v>
      </c>
      <c r="N389" s="69">
        <f t="shared" si="30"/>
        <v>1.6986501828</v>
      </c>
      <c r="O389" s="66"/>
      <c r="P389" s="71">
        <f t="shared" si="32"/>
        <v>0</v>
      </c>
      <c r="Q389" s="132"/>
      <c r="R389" s="71">
        <f t="shared" si="33"/>
        <v>2.9204363375</v>
      </c>
      <c r="S389" s="64"/>
    </row>
    <row r="390" spans="1:19">
      <c r="A390" s="64" t="s">
        <v>626</v>
      </c>
      <c r="B390" s="65" t="s">
        <v>885</v>
      </c>
      <c r="C390" s="65" t="s">
        <v>886</v>
      </c>
      <c r="D390" s="64" t="s">
        <v>887</v>
      </c>
      <c r="E390" s="65" t="s">
        <v>93</v>
      </c>
      <c r="F390" s="64" t="s">
        <v>88</v>
      </c>
      <c r="G390" s="65" t="s">
        <v>20</v>
      </c>
      <c r="H390" s="65" t="s">
        <v>929</v>
      </c>
      <c r="I390" s="65">
        <v>201410</v>
      </c>
      <c r="J390" s="66">
        <v>-9961.83</v>
      </c>
      <c r="K390" s="72">
        <f t="shared" si="31"/>
        <v>42675</v>
      </c>
      <c r="L390" s="67">
        <f t="shared" si="29"/>
        <v>6</v>
      </c>
      <c r="M390" s="68">
        <v>1.4833299999999999E-3</v>
      </c>
      <c r="N390" s="69">
        <f t="shared" si="30"/>
        <v>-88.6600877634</v>
      </c>
      <c r="O390" s="66"/>
      <c r="P390" s="71">
        <f t="shared" si="32"/>
        <v>0</v>
      </c>
      <c r="Q390" s="132"/>
      <c r="R390" s="71">
        <f t="shared" si="33"/>
        <v>-152.43052666874999</v>
      </c>
      <c r="S390" s="64"/>
    </row>
    <row r="391" spans="1:19">
      <c r="A391" s="64" t="s">
        <v>626</v>
      </c>
      <c r="B391" s="65" t="s">
        <v>912</v>
      </c>
      <c r="C391" s="65" t="s">
        <v>913</v>
      </c>
      <c r="D391" s="64" t="s">
        <v>914</v>
      </c>
      <c r="E391" s="65" t="s">
        <v>164</v>
      </c>
      <c r="F391" s="64" t="s">
        <v>165</v>
      </c>
      <c r="G391" s="65" t="s">
        <v>20</v>
      </c>
      <c r="H391" s="65" t="s">
        <v>928</v>
      </c>
      <c r="I391" s="65">
        <v>201410</v>
      </c>
      <c r="J391" s="66">
        <v>4514.09</v>
      </c>
      <c r="K391" s="72">
        <f t="shared" si="31"/>
        <v>42675</v>
      </c>
      <c r="L391" s="67">
        <f t="shared" si="29"/>
        <v>6</v>
      </c>
      <c r="M391" s="68">
        <v>1.4833299999999999E-3</v>
      </c>
      <c r="N391" s="69">
        <f t="shared" si="30"/>
        <v>40.175310718200002</v>
      </c>
      <c r="O391" s="66"/>
      <c r="P391" s="71">
        <f t="shared" si="32"/>
        <v>0</v>
      </c>
      <c r="Q391" s="132"/>
      <c r="R391" s="71">
        <f t="shared" si="33"/>
        <v>69.072160047916654</v>
      </c>
      <c r="S391" s="64"/>
    </row>
    <row r="392" spans="1:19">
      <c r="A392" s="64" t="s">
        <v>626</v>
      </c>
      <c r="B392" s="65" t="s">
        <v>915</v>
      </c>
      <c r="C392" s="65" t="s">
        <v>916</v>
      </c>
      <c r="D392" s="64" t="s">
        <v>917</v>
      </c>
      <c r="E392" s="65" t="s">
        <v>918</v>
      </c>
      <c r="F392" s="64" t="s">
        <v>143</v>
      </c>
      <c r="G392" s="65" t="s">
        <v>20</v>
      </c>
      <c r="H392" s="65" t="s">
        <v>928</v>
      </c>
      <c r="I392" s="65">
        <v>201410</v>
      </c>
      <c r="J392" s="66">
        <v>0</v>
      </c>
      <c r="K392" s="72">
        <f t="shared" si="31"/>
        <v>42675</v>
      </c>
      <c r="L392" s="67">
        <f t="shared" si="29"/>
        <v>6</v>
      </c>
      <c r="M392" s="68">
        <v>1.4833299999999999E-3</v>
      </c>
      <c r="N392" s="69">
        <f t="shared" si="30"/>
        <v>0</v>
      </c>
      <c r="O392" s="66"/>
      <c r="P392" s="71">
        <f t="shared" si="32"/>
        <v>0</v>
      </c>
      <c r="Q392" s="132"/>
      <c r="R392" s="71">
        <f t="shared" si="33"/>
        <v>0</v>
      </c>
      <c r="S392" s="64"/>
    </row>
    <row r="393" spans="1:19">
      <c r="A393" s="64" t="s">
        <v>21</v>
      </c>
      <c r="B393" s="65" t="s">
        <v>894</v>
      </c>
      <c r="C393" s="65" t="s">
        <v>895</v>
      </c>
      <c r="D393" s="64" t="s">
        <v>896</v>
      </c>
      <c r="E393" s="65" t="s">
        <v>280</v>
      </c>
      <c r="F393" s="64" t="s">
        <v>26</v>
      </c>
      <c r="G393" s="65" t="s">
        <v>20</v>
      </c>
      <c r="H393" s="65" t="s">
        <v>928</v>
      </c>
      <c r="I393" s="65">
        <v>201410</v>
      </c>
      <c r="J393" s="66">
        <v>0.63</v>
      </c>
      <c r="K393" s="72">
        <f t="shared" si="31"/>
        <v>42675</v>
      </c>
      <c r="L393" s="67">
        <f t="shared" si="29"/>
        <v>6</v>
      </c>
      <c r="M393" s="68">
        <v>1.4833299999999999E-3</v>
      </c>
      <c r="N393" s="69">
        <f t="shared" si="30"/>
        <v>5.6069874E-3</v>
      </c>
      <c r="O393" s="66"/>
      <c r="P393" s="71">
        <f t="shared" si="32"/>
        <v>0</v>
      </c>
      <c r="Q393" s="132"/>
      <c r="R393" s="71">
        <f t="shared" si="33"/>
        <v>9.6399187500000004E-3</v>
      </c>
      <c r="S393" s="64"/>
    </row>
    <row r="394" spans="1:19">
      <c r="A394" s="64" t="s">
        <v>626</v>
      </c>
      <c r="B394" s="65" t="s">
        <v>1047</v>
      </c>
      <c r="C394" s="65" t="s">
        <v>1048</v>
      </c>
      <c r="D394" s="64" t="s">
        <v>1049</v>
      </c>
      <c r="E394" s="65" t="s">
        <v>164</v>
      </c>
      <c r="F394" s="64" t="s">
        <v>165</v>
      </c>
      <c r="G394" s="65" t="s">
        <v>20</v>
      </c>
      <c r="H394" s="65" t="s">
        <v>928</v>
      </c>
      <c r="I394" s="65">
        <v>201410</v>
      </c>
      <c r="J394" s="66">
        <v>123284.96</v>
      </c>
      <c r="K394" s="72">
        <f t="shared" si="31"/>
        <v>42675</v>
      </c>
      <c r="L394" s="67">
        <f t="shared" si="29"/>
        <v>6</v>
      </c>
      <c r="M394" s="68">
        <v>1.4833299999999999E-3</v>
      </c>
      <c r="N394" s="69">
        <f t="shared" si="30"/>
        <v>1097.2336783008</v>
      </c>
      <c r="O394" s="66"/>
      <c r="P394" s="71">
        <f t="shared" si="32"/>
        <v>0</v>
      </c>
      <c r="Q394" s="132"/>
      <c r="R394" s="71">
        <f t="shared" si="33"/>
        <v>1886.4396785666668</v>
      </c>
      <c r="S394" s="64"/>
    </row>
    <row r="395" spans="1:19">
      <c r="A395" s="64" t="s">
        <v>21</v>
      </c>
      <c r="B395" s="65" t="s">
        <v>978</v>
      </c>
      <c r="C395" s="65" t="s">
        <v>979</v>
      </c>
      <c r="D395" s="64" t="s">
        <v>980</v>
      </c>
      <c r="E395" s="65" t="s">
        <v>102</v>
      </c>
      <c r="F395" s="64" t="s">
        <v>19</v>
      </c>
      <c r="G395" s="65" t="s">
        <v>20</v>
      </c>
      <c r="H395" s="65" t="s">
        <v>928</v>
      </c>
      <c r="I395" s="65">
        <v>201410</v>
      </c>
      <c r="J395" s="66">
        <v>0</v>
      </c>
      <c r="K395" s="72">
        <f t="shared" si="31"/>
        <v>42675</v>
      </c>
      <c r="L395" s="67">
        <f t="shared" si="29"/>
        <v>6</v>
      </c>
      <c r="M395" s="68">
        <v>1.4833299999999999E-3</v>
      </c>
      <c r="N395" s="69">
        <f t="shared" si="30"/>
        <v>0</v>
      </c>
      <c r="O395" s="66"/>
      <c r="P395" s="71">
        <f t="shared" si="32"/>
        <v>0</v>
      </c>
      <c r="Q395" s="132"/>
      <c r="R395" s="71">
        <f t="shared" si="33"/>
        <v>0</v>
      </c>
      <c r="S395" s="64"/>
    </row>
    <row r="396" spans="1:19">
      <c r="A396" s="64" t="s">
        <v>626</v>
      </c>
      <c r="B396" s="65" t="s">
        <v>1050</v>
      </c>
      <c r="C396" s="65" t="s">
        <v>1051</v>
      </c>
      <c r="D396" s="64" t="s">
        <v>1052</v>
      </c>
      <c r="E396" s="65" t="s">
        <v>164</v>
      </c>
      <c r="F396" s="64" t="s">
        <v>165</v>
      </c>
      <c r="G396" s="65" t="s">
        <v>20</v>
      </c>
      <c r="H396" s="65" t="s">
        <v>928</v>
      </c>
      <c r="I396" s="65">
        <v>201410</v>
      </c>
      <c r="J396" s="66">
        <v>28474.67</v>
      </c>
      <c r="K396" s="72">
        <f t="shared" si="31"/>
        <v>42675</v>
      </c>
      <c r="L396" s="67">
        <f t="shared" si="29"/>
        <v>6</v>
      </c>
      <c r="M396" s="68">
        <v>1.4833299999999999E-3</v>
      </c>
      <c r="N396" s="69">
        <f t="shared" si="30"/>
        <v>253.4239935066</v>
      </c>
      <c r="O396" s="66"/>
      <c r="P396" s="71">
        <f t="shared" si="32"/>
        <v>0</v>
      </c>
      <c r="Q396" s="132"/>
      <c r="R396" s="71">
        <f t="shared" si="33"/>
        <v>435.70397656041661</v>
      </c>
      <c r="S396" s="64"/>
    </row>
    <row r="397" spans="1:19">
      <c r="A397" s="64" t="s">
        <v>626</v>
      </c>
      <c r="B397" s="65" t="s">
        <v>981</v>
      </c>
      <c r="C397" s="65" t="s">
        <v>982</v>
      </c>
      <c r="D397" s="64" t="s">
        <v>983</v>
      </c>
      <c r="E397" s="65" t="s">
        <v>531</v>
      </c>
      <c r="F397" s="64" t="s">
        <v>26</v>
      </c>
      <c r="G397" s="65" t="s">
        <v>20</v>
      </c>
      <c r="H397" s="65" t="s">
        <v>928</v>
      </c>
      <c r="I397" s="65">
        <v>201410</v>
      </c>
      <c r="J397" s="66">
        <v>19575.849999999999</v>
      </c>
      <c r="K397" s="72">
        <f t="shared" si="31"/>
        <v>42675</v>
      </c>
      <c r="L397" s="67">
        <f t="shared" si="29"/>
        <v>6</v>
      </c>
      <c r="M397" s="68">
        <v>1.4833299999999999E-3</v>
      </c>
      <c r="N397" s="69">
        <f t="shared" si="30"/>
        <v>174.22467348299998</v>
      </c>
      <c r="O397" s="66"/>
      <c r="P397" s="71">
        <f t="shared" si="32"/>
        <v>0</v>
      </c>
      <c r="Q397" s="132"/>
      <c r="R397" s="71">
        <f t="shared" si="33"/>
        <v>299.53905311458328</v>
      </c>
      <c r="S397" s="64"/>
    </row>
    <row r="398" spans="1:19">
      <c r="A398" s="64" t="s">
        <v>626</v>
      </c>
      <c r="B398" s="65" t="s">
        <v>1053</v>
      </c>
      <c r="C398" s="65" t="s">
        <v>1054</v>
      </c>
      <c r="D398" s="64" t="s">
        <v>1055</v>
      </c>
      <c r="E398" s="65" t="s">
        <v>160</v>
      </c>
      <c r="F398" s="64" t="s">
        <v>19</v>
      </c>
      <c r="G398" s="65" t="s">
        <v>20</v>
      </c>
      <c r="H398" s="65" t="s">
        <v>928</v>
      </c>
      <c r="I398" s="65">
        <v>201410</v>
      </c>
      <c r="J398" s="66">
        <v>8804.85</v>
      </c>
      <c r="K398" s="72">
        <f t="shared" si="31"/>
        <v>42675</v>
      </c>
      <c r="L398" s="67">
        <f t="shared" si="29"/>
        <v>6</v>
      </c>
      <c r="M398" s="68">
        <v>1.4833299999999999E-3</v>
      </c>
      <c r="N398" s="69">
        <f t="shared" si="30"/>
        <v>78.362988903000002</v>
      </c>
      <c r="O398" s="66"/>
      <c r="P398" s="71">
        <f t="shared" si="32"/>
        <v>0</v>
      </c>
      <c r="Q398" s="132"/>
      <c r="R398" s="71">
        <f t="shared" si="33"/>
        <v>134.72704540625</v>
      </c>
      <c r="S398" s="64"/>
    </row>
    <row r="399" spans="1:19">
      <c r="A399" s="64" t="s">
        <v>626</v>
      </c>
      <c r="B399" s="65" t="s">
        <v>1056</v>
      </c>
      <c r="C399" s="65" t="s">
        <v>1057</v>
      </c>
      <c r="D399" s="64" t="s">
        <v>1058</v>
      </c>
      <c r="E399" s="65" t="s">
        <v>1059</v>
      </c>
      <c r="F399" s="64" t="s">
        <v>26</v>
      </c>
      <c r="G399" s="65" t="s">
        <v>20</v>
      </c>
      <c r="H399" s="65" t="s">
        <v>928</v>
      </c>
      <c r="I399" s="65">
        <v>201410</v>
      </c>
      <c r="J399" s="66">
        <v>6323.2</v>
      </c>
      <c r="K399" s="72">
        <f t="shared" si="31"/>
        <v>42675</v>
      </c>
      <c r="L399" s="67">
        <f t="shared" si="29"/>
        <v>6</v>
      </c>
      <c r="M399" s="68">
        <v>1.4833299999999999E-3</v>
      </c>
      <c r="N399" s="69">
        <f t="shared" si="30"/>
        <v>56.276353536000002</v>
      </c>
      <c r="O399" s="66"/>
      <c r="P399" s="71">
        <f t="shared" si="32"/>
        <v>0</v>
      </c>
      <c r="Q399" s="132"/>
      <c r="R399" s="71">
        <f t="shared" si="33"/>
        <v>96.754181333333321</v>
      </c>
      <c r="S399" s="64"/>
    </row>
    <row r="400" spans="1:19">
      <c r="A400" s="64" t="s">
        <v>626</v>
      </c>
      <c r="B400" s="65" t="s">
        <v>987</v>
      </c>
      <c r="C400" s="65" t="s">
        <v>988</v>
      </c>
      <c r="D400" s="64" t="s">
        <v>989</v>
      </c>
      <c r="E400" s="65" t="s">
        <v>63</v>
      </c>
      <c r="F400" s="64" t="s">
        <v>19</v>
      </c>
      <c r="G400" s="65" t="s">
        <v>20</v>
      </c>
      <c r="H400" s="65" t="s">
        <v>928</v>
      </c>
      <c r="I400" s="65">
        <v>201410</v>
      </c>
      <c r="J400" s="66">
        <v>0</v>
      </c>
      <c r="K400" s="72">
        <f t="shared" si="31"/>
        <v>42675</v>
      </c>
      <c r="L400" s="67">
        <f t="shared" ref="L400:L470" si="34">((YEAR($L$1)-YEAR(K400))*12+MONTH($L$1)-MONTH(K400))</f>
        <v>6</v>
      </c>
      <c r="M400" s="68">
        <v>1.4833299999999999E-3</v>
      </c>
      <c r="N400" s="69">
        <f t="shared" ref="N400:N470" si="35">M400*L400*J400</f>
        <v>0</v>
      </c>
      <c r="O400" s="66"/>
      <c r="P400" s="71">
        <f t="shared" si="32"/>
        <v>0</v>
      </c>
      <c r="Q400" s="132"/>
      <c r="R400" s="71">
        <f t="shared" si="33"/>
        <v>0</v>
      </c>
      <c r="S400" s="64"/>
    </row>
    <row r="401" spans="1:19">
      <c r="A401" s="64" t="s">
        <v>29</v>
      </c>
      <c r="B401" s="65" t="s">
        <v>1060</v>
      </c>
      <c r="C401" s="65" t="s">
        <v>1061</v>
      </c>
      <c r="D401" s="64" t="s">
        <v>1062</v>
      </c>
      <c r="E401" s="65" t="s">
        <v>834</v>
      </c>
      <c r="F401" s="64" t="s">
        <v>835</v>
      </c>
      <c r="G401" s="65" t="s">
        <v>20</v>
      </c>
      <c r="H401" s="65" t="s">
        <v>937</v>
      </c>
      <c r="I401" s="65">
        <v>201410</v>
      </c>
      <c r="J401" s="66">
        <v>0</v>
      </c>
      <c r="K401" s="72">
        <f t="shared" si="31"/>
        <v>42675</v>
      </c>
      <c r="L401" s="67">
        <f t="shared" si="34"/>
        <v>6</v>
      </c>
      <c r="M401" s="68">
        <v>2.23333E-3</v>
      </c>
      <c r="N401" s="69">
        <f t="shared" si="35"/>
        <v>0</v>
      </c>
      <c r="O401" s="66"/>
      <c r="P401" s="71">
        <f t="shared" si="32"/>
        <v>0</v>
      </c>
      <c r="Q401" s="132"/>
      <c r="R401" s="71">
        <f t="shared" si="33"/>
        <v>0</v>
      </c>
      <c r="S401" s="64"/>
    </row>
    <row r="402" spans="1:19">
      <c r="A402" s="88" t="s">
        <v>990</v>
      </c>
      <c r="B402" s="89" t="s">
        <v>991</v>
      </c>
      <c r="C402" s="89" t="s">
        <v>992</v>
      </c>
      <c r="D402" s="88" t="s">
        <v>993</v>
      </c>
      <c r="E402" s="89" t="s">
        <v>994</v>
      </c>
      <c r="F402" s="88" t="s">
        <v>995</v>
      </c>
      <c r="G402" s="89" t="s">
        <v>20</v>
      </c>
      <c r="H402" s="65" t="s">
        <v>933</v>
      </c>
      <c r="I402" s="89">
        <v>201410</v>
      </c>
      <c r="J402" s="90">
        <v>10750.98</v>
      </c>
      <c r="K402" s="72">
        <f t="shared" si="31"/>
        <v>42675</v>
      </c>
      <c r="L402" s="67">
        <f t="shared" si="34"/>
        <v>6</v>
      </c>
      <c r="M402" s="91">
        <v>2.0333333000000001E-3</v>
      </c>
      <c r="N402" s="69">
        <f t="shared" si="35"/>
        <v>131.16195384980398</v>
      </c>
      <c r="O402" s="66"/>
      <c r="P402" s="71">
        <f t="shared" si="32"/>
        <v>0</v>
      </c>
      <c r="Q402" s="132"/>
      <c r="R402" s="71">
        <f t="shared" si="33"/>
        <v>164.50567251249998</v>
      </c>
      <c r="S402" s="64"/>
    </row>
    <row r="403" spans="1:19">
      <c r="A403" s="88" t="s">
        <v>990</v>
      </c>
      <c r="B403" s="89" t="s">
        <v>996</v>
      </c>
      <c r="C403" s="89" t="s">
        <v>997</v>
      </c>
      <c r="D403" s="88" t="s">
        <v>998</v>
      </c>
      <c r="E403" s="89" t="s">
        <v>999</v>
      </c>
      <c r="F403" s="88" t="s">
        <v>995</v>
      </c>
      <c r="G403" s="89" t="s">
        <v>20</v>
      </c>
      <c r="H403" s="65" t="s">
        <v>933</v>
      </c>
      <c r="I403" s="89">
        <v>201410</v>
      </c>
      <c r="J403" s="90">
        <v>2397.15</v>
      </c>
      <c r="K403" s="72">
        <f t="shared" si="31"/>
        <v>42675</v>
      </c>
      <c r="L403" s="67">
        <f t="shared" si="34"/>
        <v>6</v>
      </c>
      <c r="M403" s="91">
        <v>2.0333333000000001E-3</v>
      </c>
      <c r="N403" s="69">
        <f t="shared" si="35"/>
        <v>29.24522952057</v>
      </c>
      <c r="O403" s="66"/>
      <c r="P403" s="71">
        <f t="shared" si="32"/>
        <v>0</v>
      </c>
      <c r="Q403" s="132"/>
      <c r="R403" s="71">
        <f t="shared" si="33"/>
        <v>36.679890843749995</v>
      </c>
      <c r="S403" s="64"/>
    </row>
    <row r="404" spans="1:19">
      <c r="A404" s="88" t="s">
        <v>990</v>
      </c>
      <c r="B404" s="89" t="s">
        <v>1000</v>
      </c>
      <c r="C404" s="89" t="s">
        <v>1001</v>
      </c>
      <c r="D404" s="88" t="s">
        <v>998</v>
      </c>
      <c r="E404" s="89" t="s">
        <v>1002</v>
      </c>
      <c r="F404" s="88" t="s">
        <v>995</v>
      </c>
      <c r="G404" s="89" t="s">
        <v>20</v>
      </c>
      <c r="H404" s="65" t="s">
        <v>933</v>
      </c>
      <c r="I404" s="89">
        <v>201410</v>
      </c>
      <c r="J404" s="90">
        <v>26051.41</v>
      </c>
      <c r="K404" s="72">
        <f t="shared" si="31"/>
        <v>42675</v>
      </c>
      <c r="L404" s="67">
        <f t="shared" si="34"/>
        <v>6</v>
      </c>
      <c r="M404" s="91">
        <v>2.0333333000000001E-3</v>
      </c>
      <c r="N404" s="69">
        <f t="shared" si="35"/>
        <v>317.82719678971802</v>
      </c>
      <c r="O404" s="66"/>
      <c r="P404" s="71">
        <f t="shared" si="32"/>
        <v>0</v>
      </c>
      <c r="Q404" s="132"/>
      <c r="R404" s="71">
        <f t="shared" si="33"/>
        <v>398.6245646395833</v>
      </c>
      <c r="S404" s="64"/>
    </row>
    <row r="405" spans="1:19">
      <c r="A405" s="88" t="s">
        <v>990</v>
      </c>
      <c r="B405" s="89" t="s">
        <v>1003</v>
      </c>
      <c r="C405" s="89" t="s">
        <v>1004</v>
      </c>
      <c r="D405" s="88" t="s">
        <v>1005</v>
      </c>
      <c r="E405" s="89" t="s">
        <v>1006</v>
      </c>
      <c r="F405" s="88" t="s">
        <v>995</v>
      </c>
      <c r="G405" s="89" t="s">
        <v>20</v>
      </c>
      <c r="H405" s="65" t="s">
        <v>933</v>
      </c>
      <c r="I405" s="89">
        <v>201410</v>
      </c>
      <c r="J405" s="90">
        <v>8169.02</v>
      </c>
      <c r="K405" s="72">
        <f t="shared" si="31"/>
        <v>42675</v>
      </c>
      <c r="L405" s="67">
        <f t="shared" si="34"/>
        <v>6</v>
      </c>
      <c r="M405" s="91">
        <v>2.0333333000000001E-3</v>
      </c>
      <c r="N405" s="69">
        <f t="shared" si="35"/>
        <v>99.662042366196005</v>
      </c>
      <c r="O405" s="66"/>
      <c r="P405" s="71">
        <f t="shared" si="32"/>
        <v>0</v>
      </c>
      <c r="Q405" s="132"/>
      <c r="R405" s="71">
        <f t="shared" si="33"/>
        <v>124.99791915416665</v>
      </c>
      <c r="S405" s="64"/>
    </row>
    <row r="406" spans="1:19">
      <c r="A406" s="88" t="s">
        <v>990</v>
      </c>
      <c r="B406" s="89" t="s">
        <v>1010</v>
      </c>
      <c r="C406" s="89" t="s">
        <v>1011</v>
      </c>
      <c r="D406" s="88" t="s">
        <v>1012</v>
      </c>
      <c r="E406" s="89" t="s">
        <v>1013</v>
      </c>
      <c r="F406" s="88" t="s">
        <v>995</v>
      </c>
      <c r="G406" s="89" t="s">
        <v>20</v>
      </c>
      <c r="H406" s="65" t="s">
        <v>933</v>
      </c>
      <c r="I406" s="89">
        <v>201410</v>
      </c>
      <c r="J406" s="90">
        <v>18008.71</v>
      </c>
      <c r="K406" s="72">
        <f t="shared" si="31"/>
        <v>42675</v>
      </c>
      <c r="L406" s="67">
        <f t="shared" si="34"/>
        <v>6</v>
      </c>
      <c r="M406" s="91">
        <v>2.0333333000000001E-3</v>
      </c>
      <c r="N406" s="69">
        <f t="shared" si="35"/>
        <v>219.70625839825797</v>
      </c>
      <c r="O406" s="66"/>
      <c r="P406" s="71">
        <f t="shared" si="32"/>
        <v>0</v>
      </c>
      <c r="Q406" s="132"/>
      <c r="R406" s="71">
        <f t="shared" si="33"/>
        <v>275.55952570208331</v>
      </c>
      <c r="S406" s="64"/>
    </row>
    <row r="407" spans="1:19">
      <c r="A407" s="88" t="s">
        <v>990</v>
      </c>
      <c r="B407" s="89" t="s">
        <v>1017</v>
      </c>
      <c r="C407" s="89" t="s">
        <v>1018</v>
      </c>
      <c r="D407" s="88" t="s">
        <v>993</v>
      </c>
      <c r="E407" s="89" t="s">
        <v>1019</v>
      </c>
      <c r="F407" s="88" t="s">
        <v>995</v>
      </c>
      <c r="G407" s="89" t="s">
        <v>20</v>
      </c>
      <c r="H407" s="65" t="s">
        <v>933</v>
      </c>
      <c r="I407" s="89">
        <v>201410</v>
      </c>
      <c r="J407" s="90">
        <v>434.13</v>
      </c>
      <c r="K407" s="72">
        <f t="shared" si="31"/>
        <v>42675</v>
      </c>
      <c r="L407" s="67">
        <f t="shared" si="34"/>
        <v>6</v>
      </c>
      <c r="M407" s="91">
        <v>2.0333333000000001E-3</v>
      </c>
      <c r="N407" s="69">
        <f t="shared" si="35"/>
        <v>5.2963859131740003</v>
      </c>
      <c r="O407" s="66"/>
      <c r="P407" s="71">
        <f t="shared" si="32"/>
        <v>0</v>
      </c>
      <c r="Q407" s="132"/>
      <c r="R407" s="71">
        <f t="shared" si="33"/>
        <v>6.6428221062499988</v>
      </c>
      <c r="S407" s="64"/>
    </row>
    <row r="408" spans="1:19">
      <c r="A408" s="88" t="s">
        <v>990</v>
      </c>
      <c r="B408" s="89" t="s">
        <v>1020</v>
      </c>
      <c r="C408" s="89" t="s">
        <v>1021</v>
      </c>
      <c r="D408" s="88" t="s">
        <v>998</v>
      </c>
      <c r="E408" s="89" t="s">
        <v>1022</v>
      </c>
      <c r="F408" s="88" t="s">
        <v>995</v>
      </c>
      <c r="G408" s="89" t="s">
        <v>20</v>
      </c>
      <c r="H408" s="65" t="s">
        <v>933</v>
      </c>
      <c r="I408" s="89">
        <v>201410</v>
      </c>
      <c r="J408" s="90">
        <v>4029.73</v>
      </c>
      <c r="K408" s="72">
        <f t="shared" si="31"/>
        <v>42675</v>
      </c>
      <c r="L408" s="67">
        <f t="shared" si="34"/>
        <v>6</v>
      </c>
      <c r="M408" s="91">
        <v>2.0333333000000001E-3</v>
      </c>
      <c r="N408" s="69">
        <f t="shared" si="35"/>
        <v>49.162705194053999</v>
      </c>
      <c r="O408" s="66"/>
      <c r="P408" s="71">
        <f t="shared" si="32"/>
        <v>0</v>
      </c>
      <c r="Q408" s="132"/>
      <c r="R408" s="71">
        <f t="shared" si="33"/>
        <v>61.660745689583329</v>
      </c>
      <c r="S408" s="64"/>
    </row>
    <row r="409" spans="1:19">
      <c r="A409" s="64" t="s">
        <v>626</v>
      </c>
      <c r="B409" s="65" t="s">
        <v>1063</v>
      </c>
      <c r="C409" s="65" t="s">
        <v>1064</v>
      </c>
      <c r="D409" s="64" t="s">
        <v>1065</v>
      </c>
      <c r="E409" s="65" t="s">
        <v>497</v>
      </c>
      <c r="F409" s="64" t="s">
        <v>26</v>
      </c>
      <c r="G409" s="65" t="s">
        <v>20</v>
      </c>
      <c r="H409" s="65" t="s">
        <v>928</v>
      </c>
      <c r="I409" s="65">
        <v>201411</v>
      </c>
      <c r="J409" s="66">
        <v>180848.77</v>
      </c>
      <c r="K409" s="72">
        <f t="shared" si="31"/>
        <v>42675</v>
      </c>
      <c r="L409" s="67">
        <f t="shared" si="34"/>
        <v>6</v>
      </c>
      <c r="M409" s="68">
        <v>1.4833299999999999E-3</v>
      </c>
      <c r="N409" s="69">
        <f t="shared" si="35"/>
        <v>1609.5504360246</v>
      </c>
      <c r="O409" s="66"/>
      <c r="P409" s="71">
        <f t="shared" si="32"/>
        <v>0</v>
      </c>
      <c r="Q409" s="132"/>
      <c r="R409" s="71">
        <f t="shared" si="33"/>
        <v>2767.2499187895828</v>
      </c>
      <c r="S409" s="64"/>
    </row>
    <row r="410" spans="1:19">
      <c r="A410" s="64" t="s">
        <v>29</v>
      </c>
      <c r="B410" s="65" t="s">
        <v>30</v>
      </c>
      <c r="C410" s="65" t="s">
        <v>31</v>
      </c>
      <c r="D410" s="64" t="s">
        <v>32</v>
      </c>
      <c r="E410" s="65" t="s">
        <v>33</v>
      </c>
      <c r="F410" s="64" t="s">
        <v>34</v>
      </c>
      <c r="G410" s="65" t="s">
        <v>20</v>
      </c>
      <c r="H410" s="65" t="s">
        <v>933</v>
      </c>
      <c r="I410" s="65">
        <v>201411</v>
      </c>
      <c r="J410" s="66">
        <v>75040.75</v>
      </c>
      <c r="K410" s="72">
        <f t="shared" si="31"/>
        <v>42675</v>
      </c>
      <c r="L410" s="67">
        <f t="shared" si="34"/>
        <v>6</v>
      </c>
      <c r="M410" s="68">
        <v>2.23333E-3</v>
      </c>
      <c r="N410" s="69">
        <f t="shared" si="35"/>
        <v>1005.5445491849999</v>
      </c>
      <c r="O410" s="66"/>
      <c r="P410" s="71">
        <f t="shared" si="32"/>
        <v>0</v>
      </c>
      <c r="Q410" s="132"/>
      <c r="R410" s="71">
        <f t="shared" si="33"/>
        <v>1148.2329094270833</v>
      </c>
      <c r="S410" s="64"/>
    </row>
    <row r="411" spans="1:19">
      <c r="A411" s="64" t="s">
        <v>29</v>
      </c>
      <c r="B411" s="65" t="s">
        <v>37</v>
      </c>
      <c r="C411" s="65" t="s">
        <v>38</v>
      </c>
      <c r="D411" s="64" t="s">
        <v>39</v>
      </c>
      <c r="E411" s="65" t="s">
        <v>40</v>
      </c>
      <c r="F411" s="64" t="s">
        <v>41</v>
      </c>
      <c r="G411" s="65" t="s">
        <v>20</v>
      </c>
      <c r="H411" s="65" t="s">
        <v>933</v>
      </c>
      <c r="I411" s="65">
        <v>201411</v>
      </c>
      <c r="J411" s="66">
        <v>18288.689999999999</v>
      </c>
      <c r="K411" s="72">
        <f t="shared" si="31"/>
        <v>42675</v>
      </c>
      <c r="L411" s="67">
        <f t="shared" si="34"/>
        <v>6</v>
      </c>
      <c r="M411" s="68">
        <v>2.23333E-3</v>
      </c>
      <c r="N411" s="69">
        <f t="shared" si="35"/>
        <v>245.06808022619995</v>
      </c>
      <c r="O411" s="66"/>
      <c r="P411" s="71">
        <f t="shared" si="32"/>
        <v>0</v>
      </c>
      <c r="Q411" s="132"/>
      <c r="R411" s="71">
        <f t="shared" si="33"/>
        <v>279.84362800624996</v>
      </c>
      <c r="S411" s="64"/>
    </row>
    <row r="412" spans="1:19">
      <c r="A412" s="64" t="s">
        <v>29</v>
      </c>
      <c r="B412" s="65" t="s">
        <v>48</v>
      </c>
      <c r="C412" s="65" t="s">
        <v>49</v>
      </c>
      <c r="D412" s="64" t="s">
        <v>50</v>
      </c>
      <c r="E412" s="65" t="s">
        <v>51</v>
      </c>
      <c r="F412" s="64" t="s">
        <v>52</v>
      </c>
      <c r="G412" s="65" t="s">
        <v>20</v>
      </c>
      <c r="H412" s="65" t="s">
        <v>933</v>
      </c>
      <c r="I412" s="65">
        <v>201411</v>
      </c>
      <c r="J412" s="66">
        <v>25805.41</v>
      </c>
      <c r="K412" s="72">
        <f t="shared" si="31"/>
        <v>42675</v>
      </c>
      <c r="L412" s="67">
        <f t="shared" si="34"/>
        <v>6</v>
      </c>
      <c r="M412" s="68">
        <v>2.23333E-3</v>
      </c>
      <c r="N412" s="69">
        <f t="shared" si="35"/>
        <v>345.79197789179995</v>
      </c>
      <c r="O412" s="66"/>
      <c r="P412" s="71">
        <f t="shared" si="32"/>
        <v>0</v>
      </c>
      <c r="Q412" s="132"/>
      <c r="R412" s="71">
        <f t="shared" si="33"/>
        <v>394.86040588958332</v>
      </c>
      <c r="S412" s="64"/>
    </row>
    <row r="413" spans="1:19">
      <c r="A413" s="64" t="s">
        <v>21</v>
      </c>
      <c r="B413" s="65" t="s">
        <v>60</v>
      </c>
      <c r="C413" s="65" t="s">
        <v>61</v>
      </c>
      <c r="D413" s="64" t="s">
        <v>62</v>
      </c>
      <c r="E413" s="65" t="s">
        <v>63</v>
      </c>
      <c r="F413" s="64" t="s">
        <v>19</v>
      </c>
      <c r="G413" s="65" t="s">
        <v>20</v>
      </c>
      <c r="H413" s="65" t="s">
        <v>928</v>
      </c>
      <c r="I413" s="65">
        <v>201411</v>
      </c>
      <c r="J413" s="66">
        <v>132.91</v>
      </c>
      <c r="K413" s="72">
        <f t="shared" si="31"/>
        <v>42675</v>
      </c>
      <c r="L413" s="67">
        <f t="shared" si="34"/>
        <v>6</v>
      </c>
      <c r="M413" s="68">
        <v>1.4833299999999999E-3</v>
      </c>
      <c r="N413" s="69">
        <f t="shared" si="35"/>
        <v>1.1828963418</v>
      </c>
      <c r="O413" s="66"/>
      <c r="P413" s="71">
        <f t="shared" si="32"/>
        <v>0</v>
      </c>
      <c r="Q413" s="132"/>
      <c r="R413" s="71">
        <f t="shared" si="33"/>
        <v>2.033716827083333</v>
      </c>
      <c r="S413" s="64"/>
    </row>
    <row r="414" spans="1:19">
      <c r="A414" s="64" t="s">
        <v>626</v>
      </c>
      <c r="B414" s="65" t="s">
        <v>1066</v>
      </c>
      <c r="C414" s="65" t="s">
        <v>1067</v>
      </c>
      <c r="D414" s="64" t="s">
        <v>1068</v>
      </c>
      <c r="E414" s="65" t="s">
        <v>75</v>
      </c>
      <c r="F414" s="64" t="s">
        <v>26</v>
      </c>
      <c r="G414" s="65" t="s">
        <v>20</v>
      </c>
      <c r="H414" s="65" t="s">
        <v>928</v>
      </c>
      <c r="I414" s="65">
        <v>201411</v>
      </c>
      <c r="J414" s="66">
        <v>800090.36</v>
      </c>
      <c r="K414" s="72">
        <f t="shared" si="31"/>
        <v>42675</v>
      </c>
      <c r="L414" s="67">
        <f t="shared" si="34"/>
        <v>6</v>
      </c>
      <c r="M414" s="68">
        <v>1.4833299999999999E-3</v>
      </c>
      <c r="N414" s="69">
        <f t="shared" si="35"/>
        <v>7120.7882021927999</v>
      </c>
      <c r="O414" s="66"/>
      <c r="P414" s="71">
        <f t="shared" si="32"/>
        <v>0</v>
      </c>
      <c r="Q414" s="132"/>
      <c r="R414" s="71">
        <f t="shared" si="33"/>
        <v>12242.549306441664</v>
      </c>
      <c r="S414" s="64"/>
    </row>
    <row r="415" spans="1:19">
      <c r="A415" s="85" t="s">
        <v>21</v>
      </c>
      <c r="B415" s="65" t="s">
        <v>735</v>
      </c>
      <c r="C415" s="65" t="s">
        <v>736</v>
      </c>
      <c r="D415" s="64" t="s">
        <v>737</v>
      </c>
      <c r="E415" s="65" t="s">
        <v>75</v>
      </c>
      <c r="F415" s="64" t="s">
        <v>26</v>
      </c>
      <c r="G415" s="65" t="s">
        <v>20</v>
      </c>
      <c r="H415" s="65" t="s">
        <v>928</v>
      </c>
      <c r="I415" s="65">
        <v>201411</v>
      </c>
      <c r="J415" s="66">
        <v>-151959.22</v>
      </c>
      <c r="K415" s="72">
        <f t="shared" si="31"/>
        <v>42675</v>
      </c>
      <c r="L415" s="67">
        <f t="shared" si="34"/>
        <v>6</v>
      </c>
      <c r="M415" s="68">
        <v>1.4833299999999999E-3</v>
      </c>
      <c r="N415" s="69">
        <f t="shared" si="35"/>
        <v>-1352.4340188156</v>
      </c>
      <c r="O415" s="66"/>
      <c r="P415" s="71">
        <f t="shared" si="32"/>
        <v>0</v>
      </c>
      <c r="Q415" s="132"/>
      <c r="R415" s="71">
        <f t="shared" si="33"/>
        <v>-2325.197673195833</v>
      </c>
      <c r="S415" s="64"/>
    </row>
    <row r="416" spans="1:19">
      <c r="A416" s="85" t="s">
        <v>626</v>
      </c>
      <c r="B416" s="65" t="s">
        <v>735</v>
      </c>
      <c r="C416" s="65" t="s">
        <v>736</v>
      </c>
      <c r="D416" s="64" t="s">
        <v>737</v>
      </c>
      <c r="E416" s="65" t="s">
        <v>75</v>
      </c>
      <c r="F416" s="64" t="s">
        <v>26</v>
      </c>
      <c r="G416" s="65" t="s">
        <v>20</v>
      </c>
      <c r="H416" s="65" t="s">
        <v>928</v>
      </c>
      <c r="I416" s="65">
        <v>201411</v>
      </c>
      <c r="J416" s="66">
        <v>151959.22</v>
      </c>
      <c r="K416" s="72">
        <f t="shared" si="31"/>
        <v>42675</v>
      </c>
      <c r="L416" s="67">
        <f t="shared" si="34"/>
        <v>6</v>
      </c>
      <c r="M416" s="68">
        <v>1.4833299999999999E-3</v>
      </c>
      <c r="N416" s="69">
        <f t="shared" si="35"/>
        <v>1352.4340188156</v>
      </c>
      <c r="O416" s="66"/>
      <c r="P416" s="71">
        <f t="shared" si="32"/>
        <v>0</v>
      </c>
      <c r="Q416" s="132"/>
      <c r="R416" s="71">
        <f t="shared" si="33"/>
        <v>2325.197673195833</v>
      </c>
      <c r="S416" s="64"/>
    </row>
    <row r="417" spans="1:19">
      <c r="A417" s="64" t="s">
        <v>29</v>
      </c>
      <c r="B417" s="65" t="s">
        <v>1024</v>
      </c>
      <c r="C417" s="65" t="s">
        <v>1025</v>
      </c>
      <c r="D417" s="64" t="s">
        <v>1026</v>
      </c>
      <c r="E417" s="65" t="s">
        <v>1027</v>
      </c>
      <c r="F417" s="64" t="s">
        <v>1028</v>
      </c>
      <c r="G417" s="65" t="s">
        <v>20</v>
      </c>
      <c r="H417" s="65" t="s">
        <v>933</v>
      </c>
      <c r="I417" s="65">
        <v>201411</v>
      </c>
      <c r="J417" s="66">
        <v>-2.78</v>
      </c>
      <c r="K417" s="72">
        <f t="shared" si="31"/>
        <v>42675</v>
      </c>
      <c r="L417" s="67">
        <f t="shared" si="34"/>
        <v>6</v>
      </c>
      <c r="M417" s="68">
        <v>2.23333E-3</v>
      </c>
      <c r="N417" s="69">
        <f t="shared" si="35"/>
        <v>-3.7251944399999994E-2</v>
      </c>
      <c r="O417" s="66"/>
      <c r="P417" s="71">
        <f t="shared" si="32"/>
        <v>0</v>
      </c>
      <c r="Q417" s="132"/>
      <c r="R417" s="71">
        <f t="shared" si="33"/>
        <v>-4.2538054166666658E-2</v>
      </c>
      <c r="S417" s="64"/>
    </row>
    <row r="418" spans="1:19">
      <c r="A418" s="64" t="s">
        <v>29</v>
      </c>
      <c r="B418" s="65" t="s">
        <v>103</v>
      </c>
      <c r="C418" s="65" t="s">
        <v>104</v>
      </c>
      <c r="D418" s="64" t="s">
        <v>105</v>
      </c>
      <c r="E418" s="65" t="s">
        <v>106</v>
      </c>
      <c r="F418" s="64" t="s">
        <v>34</v>
      </c>
      <c r="G418" s="65" t="s">
        <v>20</v>
      </c>
      <c r="H418" s="65" t="s">
        <v>933</v>
      </c>
      <c r="I418" s="65">
        <v>201411</v>
      </c>
      <c r="J418" s="66">
        <v>-444.19</v>
      </c>
      <c r="K418" s="72">
        <f t="shared" si="31"/>
        <v>42675</v>
      </c>
      <c r="L418" s="67">
        <f t="shared" si="34"/>
        <v>6</v>
      </c>
      <c r="M418" s="68">
        <v>2.23333E-3</v>
      </c>
      <c r="N418" s="69">
        <f t="shared" si="35"/>
        <v>-5.9521371161999994</v>
      </c>
      <c r="O418" s="66"/>
      <c r="P418" s="71">
        <f t="shared" si="32"/>
        <v>0</v>
      </c>
      <c r="Q418" s="132"/>
      <c r="R418" s="71">
        <f t="shared" si="33"/>
        <v>-6.7967547770833328</v>
      </c>
      <c r="S418" s="64"/>
    </row>
    <row r="419" spans="1:19">
      <c r="A419" s="64" t="s">
        <v>29</v>
      </c>
      <c r="B419" s="65" t="s">
        <v>107</v>
      </c>
      <c r="C419" s="65" t="s">
        <v>108</v>
      </c>
      <c r="D419" s="64" t="s">
        <v>109</v>
      </c>
      <c r="E419" s="65" t="s">
        <v>110</v>
      </c>
      <c r="F419" s="64" t="s">
        <v>52</v>
      </c>
      <c r="G419" s="65" t="s">
        <v>20</v>
      </c>
      <c r="H419" s="65" t="s">
        <v>933</v>
      </c>
      <c r="I419" s="65">
        <v>201411</v>
      </c>
      <c r="J419" s="66">
        <v>8450.75</v>
      </c>
      <c r="K419" s="72">
        <f t="shared" si="31"/>
        <v>42675</v>
      </c>
      <c r="L419" s="67">
        <f t="shared" si="34"/>
        <v>6</v>
      </c>
      <c r="M419" s="68">
        <v>2.23333E-3</v>
      </c>
      <c r="N419" s="69">
        <f t="shared" si="35"/>
        <v>113.23988098499999</v>
      </c>
      <c r="O419" s="66"/>
      <c r="P419" s="71">
        <f t="shared" si="32"/>
        <v>0</v>
      </c>
      <c r="Q419" s="132"/>
      <c r="R419" s="71">
        <f t="shared" si="33"/>
        <v>129.30879901041664</v>
      </c>
      <c r="S419" s="64"/>
    </row>
    <row r="420" spans="1:19">
      <c r="A420" s="85" t="s">
        <v>554</v>
      </c>
      <c r="B420" s="65" t="s">
        <v>116</v>
      </c>
      <c r="C420" s="65" t="s">
        <v>117</v>
      </c>
      <c r="D420" s="64" t="s">
        <v>118</v>
      </c>
      <c r="E420" s="65" t="s">
        <v>119</v>
      </c>
      <c r="F420" s="64" t="s">
        <v>120</v>
      </c>
      <c r="G420" s="65" t="s">
        <v>20</v>
      </c>
      <c r="H420" s="65" t="s">
        <v>936</v>
      </c>
      <c r="I420" s="65">
        <v>201411</v>
      </c>
      <c r="J420" s="66">
        <v>63472.43</v>
      </c>
      <c r="K420" s="72">
        <f t="shared" si="31"/>
        <v>42675</v>
      </c>
      <c r="L420" s="67">
        <f t="shared" si="34"/>
        <v>6</v>
      </c>
      <c r="M420" s="68">
        <v>1.4833299999999999E-3</v>
      </c>
      <c r="N420" s="69">
        <f t="shared" si="35"/>
        <v>564.90335755139995</v>
      </c>
      <c r="O420" s="66"/>
      <c r="P420" s="71">
        <f t="shared" si="32"/>
        <v>0</v>
      </c>
      <c r="Q420" s="132"/>
      <c r="R420" s="71">
        <f t="shared" si="33"/>
        <v>971.2207429604166</v>
      </c>
      <c r="S420" s="64"/>
    </row>
    <row r="421" spans="1:19">
      <c r="A421" s="64" t="s">
        <v>29</v>
      </c>
      <c r="B421" s="65" t="s">
        <v>555</v>
      </c>
      <c r="C421" s="65" t="s">
        <v>556</v>
      </c>
      <c r="D421" s="64" t="s">
        <v>45</v>
      </c>
      <c r="E421" s="65" t="s">
        <v>557</v>
      </c>
      <c r="F421" s="64" t="s">
        <v>41</v>
      </c>
      <c r="G421" s="65" t="s">
        <v>20</v>
      </c>
      <c r="H421" s="65" t="s">
        <v>933</v>
      </c>
      <c r="I421" s="65">
        <v>201411</v>
      </c>
      <c r="J421" s="66">
        <v>-864.28</v>
      </c>
      <c r="K421" s="72">
        <f t="shared" si="31"/>
        <v>42675</v>
      </c>
      <c r="L421" s="67">
        <f t="shared" si="34"/>
        <v>6</v>
      </c>
      <c r="M421" s="68">
        <v>2.23333E-3</v>
      </c>
      <c r="N421" s="69">
        <f t="shared" si="35"/>
        <v>-11.581334714399999</v>
      </c>
      <c r="O421" s="66"/>
      <c r="P421" s="71">
        <f t="shared" si="32"/>
        <v>0</v>
      </c>
      <c r="Q421" s="132"/>
      <c r="R421" s="71">
        <f t="shared" si="33"/>
        <v>-13.224744408333333</v>
      </c>
      <c r="S421" s="64"/>
    </row>
    <row r="422" spans="1:19">
      <c r="A422" s="64" t="s">
        <v>29</v>
      </c>
      <c r="B422" s="65" t="s">
        <v>121</v>
      </c>
      <c r="C422" s="65" t="s">
        <v>122</v>
      </c>
      <c r="D422" s="64" t="s">
        <v>50</v>
      </c>
      <c r="E422" s="65" t="s">
        <v>123</v>
      </c>
      <c r="F422" s="64" t="s">
        <v>52</v>
      </c>
      <c r="G422" s="65" t="s">
        <v>20</v>
      </c>
      <c r="H422" s="65" t="s">
        <v>933</v>
      </c>
      <c r="I422" s="65">
        <v>201411</v>
      </c>
      <c r="J422" s="66">
        <v>-783.88</v>
      </c>
      <c r="K422" s="72">
        <f t="shared" si="31"/>
        <v>42675</v>
      </c>
      <c r="L422" s="67">
        <f t="shared" si="34"/>
        <v>6</v>
      </c>
      <c r="M422" s="68">
        <v>2.23333E-3</v>
      </c>
      <c r="N422" s="69">
        <f t="shared" si="35"/>
        <v>-10.5039763224</v>
      </c>
      <c r="O422" s="66"/>
      <c r="P422" s="71">
        <f t="shared" si="32"/>
        <v>0</v>
      </c>
      <c r="Q422" s="132"/>
      <c r="R422" s="71">
        <f t="shared" si="33"/>
        <v>-11.994507158333333</v>
      </c>
      <c r="S422" s="64"/>
    </row>
    <row r="423" spans="1:19">
      <c r="A423" s="64" t="s">
        <v>29</v>
      </c>
      <c r="B423" s="65" t="s">
        <v>124</v>
      </c>
      <c r="C423" s="65" t="s">
        <v>125</v>
      </c>
      <c r="D423" s="64" t="s">
        <v>50</v>
      </c>
      <c r="E423" s="65" t="s">
        <v>126</v>
      </c>
      <c r="F423" s="64" t="s">
        <v>52</v>
      </c>
      <c r="G423" s="65" t="s">
        <v>20</v>
      </c>
      <c r="H423" s="65" t="s">
        <v>933</v>
      </c>
      <c r="I423" s="65">
        <v>201411</v>
      </c>
      <c r="J423" s="66">
        <v>-3450.23</v>
      </c>
      <c r="K423" s="72">
        <f t="shared" si="31"/>
        <v>42675</v>
      </c>
      <c r="L423" s="67">
        <f t="shared" si="34"/>
        <v>6</v>
      </c>
      <c r="M423" s="68">
        <v>2.23333E-3</v>
      </c>
      <c r="N423" s="69">
        <f t="shared" si="35"/>
        <v>-46.233012995399996</v>
      </c>
      <c r="O423" s="66"/>
      <c r="P423" s="71">
        <f t="shared" si="32"/>
        <v>0</v>
      </c>
      <c r="Q423" s="132"/>
      <c r="R423" s="71">
        <f t="shared" si="33"/>
        <v>-52.793550585416668</v>
      </c>
      <c r="S423" s="64"/>
    </row>
    <row r="424" spans="1:19">
      <c r="A424" s="64" t="s">
        <v>626</v>
      </c>
      <c r="B424" s="65" t="s">
        <v>738</v>
      </c>
      <c r="C424" s="65" t="s">
        <v>739</v>
      </c>
      <c r="D424" s="64" t="s">
        <v>740</v>
      </c>
      <c r="E424" s="65" t="s">
        <v>209</v>
      </c>
      <c r="F424" s="64" t="s">
        <v>88</v>
      </c>
      <c r="G424" s="65" t="s">
        <v>20</v>
      </c>
      <c r="H424" s="65" t="s">
        <v>929</v>
      </c>
      <c r="I424" s="65">
        <v>201411</v>
      </c>
      <c r="J424" s="66">
        <v>0</v>
      </c>
      <c r="K424" s="72">
        <f t="shared" si="31"/>
        <v>42675</v>
      </c>
      <c r="L424" s="67">
        <f t="shared" si="34"/>
        <v>6</v>
      </c>
      <c r="M424" s="68">
        <v>1.4833299999999999E-3</v>
      </c>
      <c r="N424" s="69">
        <f t="shared" si="35"/>
        <v>0</v>
      </c>
      <c r="O424" s="66"/>
      <c r="P424" s="71">
        <f t="shared" si="32"/>
        <v>0</v>
      </c>
      <c r="Q424" s="132"/>
      <c r="R424" s="71">
        <f t="shared" si="33"/>
        <v>0</v>
      </c>
      <c r="S424" s="64"/>
    </row>
    <row r="425" spans="1:19">
      <c r="A425" s="64" t="s">
        <v>626</v>
      </c>
      <c r="B425" s="65" t="s">
        <v>1069</v>
      </c>
      <c r="C425" s="65" t="s">
        <v>1070</v>
      </c>
      <c r="D425" s="64" t="s">
        <v>1071</v>
      </c>
      <c r="E425" s="65" t="s">
        <v>260</v>
      </c>
      <c r="F425" s="64" t="s">
        <v>26</v>
      </c>
      <c r="G425" s="65" t="s">
        <v>20</v>
      </c>
      <c r="H425" s="65" t="s">
        <v>928</v>
      </c>
      <c r="I425" s="65">
        <v>201411</v>
      </c>
      <c r="J425" s="66">
        <v>40780.9</v>
      </c>
      <c r="K425" s="72">
        <f t="shared" si="31"/>
        <v>42675</v>
      </c>
      <c r="L425" s="67">
        <f t="shared" si="34"/>
        <v>6</v>
      </c>
      <c r="M425" s="68">
        <v>1.4833299999999999E-3</v>
      </c>
      <c r="N425" s="69">
        <f t="shared" si="35"/>
        <v>362.94919438200003</v>
      </c>
      <c r="O425" s="66"/>
      <c r="P425" s="71">
        <f t="shared" si="32"/>
        <v>0</v>
      </c>
      <c r="Q425" s="132"/>
      <c r="R425" s="71">
        <f t="shared" si="33"/>
        <v>624.00724214583329</v>
      </c>
      <c r="S425" s="64"/>
    </row>
    <row r="426" spans="1:19">
      <c r="A426" s="64" t="s">
        <v>21</v>
      </c>
      <c r="B426" s="65" t="s">
        <v>177</v>
      </c>
      <c r="C426" s="65" t="s">
        <v>178</v>
      </c>
      <c r="D426" s="64" t="s">
        <v>179</v>
      </c>
      <c r="E426" s="65" t="s">
        <v>172</v>
      </c>
      <c r="F426" s="64" t="s">
        <v>173</v>
      </c>
      <c r="G426" s="65" t="s">
        <v>20</v>
      </c>
      <c r="H426" s="65" t="s">
        <v>928</v>
      </c>
      <c r="I426" s="65">
        <v>201411</v>
      </c>
      <c r="J426" s="66">
        <v>1085.29</v>
      </c>
      <c r="K426" s="72">
        <f t="shared" si="31"/>
        <v>42675</v>
      </c>
      <c r="L426" s="67">
        <f t="shared" si="34"/>
        <v>6</v>
      </c>
      <c r="M426" s="68">
        <v>1.4833299999999999E-3</v>
      </c>
      <c r="N426" s="69">
        <f t="shared" si="35"/>
        <v>9.6590592942000004</v>
      </c>
      <c r="O426" s="66"/>
      <c r="P426" s="71">
        <f t="shared" si="32"/>
        <v>0</v>
      </c>
      <c r="Q426" s="132"/>
      <c r="R426" s="71">
        <f t="shared" si="33"/>
        <v>16.606519714583332</v>
      </c>
      <c r="S426" s="64"/>
    </row>
    <row r="427" spans="1:19">
      <c r="A427" s="64" t="s">
        <v>626</v>
      </c>
      <c r="B427" s="65" t="s">
        <v>741</v>
      </c>
      <c r="C427" s="65" t="s">
        <v>742</v>
      </c>
      <c r="D427" s="64" t="s">
        <v>743</v>
      </c>
      <c r="E427" s="65" t="s">
        <v>415</v>
      </c>
      <c r="F427" s="64" t="s">
        <v>88</v>
      </c>
      <c r="G427" s="65" t="s">
        <v>20</v>
      </c>
      <c r="H427" s="65" t="s">
        <v>929</v>
      </c>
      <c r="I427" s="65">
        <v>201411</v>
      </c>
      <c r="J427" s="66">
        <v>-76.47</v>
      </c>
      <c r="K427" s="72">
        <f t="shared" si="31"/>
        <v>42675</v>
      </c>
      <c r="L427" s="67">
        <f t="shared" si="34"/>
        <v>6</v>
      </c>
      <c r="M427" s="68">
        <v>1.4833299999999999E-3</v>
      </c>
      <c r="N427" s="69">
        <f t="shared" si="35"/>
        <v>-0.68058147059999996</v>
      </c>
      <c r="O427" s="66"/>
      <c r="P427" s="71">
        <f t="shared" si="32"/>
        <v>0</v>
      </c>
      <c r="Q427" s="132"/>
      <c r="R427" s="71">
        <f t="shared" si="33"/>
        <v>-1.1701025187499998</v>
      </c>
      <c r="S427" s="64"/>
    </row>
    <row r="428" spans="1:19">
      <c r="A428" s="64" t="s">
        <v>21</v>
      </c>
      <c r="B428" s="65" t="s">
        <v>1072</v>
      </c>
      <c r="C428" s="65" t="s">
        <v>1073</v>
      </c>
      <c r="D428" s="64" t="s">
        <v>1074</v>
      </c>
      <c r="E428" s="65" t="s">
        <v>857</v>
      </c>
      <c r="F428" s="64" t="s">
        <v>88</v>
      </c>
      <c r="G428" s="65" t="s">
        <v>20</v>
      </c>
      <c r="H428" s="65" t="s">
        <v>929</v>
      </c>
      <c r="I428" s="65">
        <v>201411</v>
      </c>
      <c r="J428" s="66">
        <v>3575265.61</v>
      </c>
      <c r="K428" s="72">
        <f t="shared" si="31"/>
        <v>42675</v>
      </c>
      <c r="L428" s="67">
        <f t="shared" si="34"/>
        <v>6</v>
      </c>
      <c r="M428" s="68">
        <v>1.4833299999999999E-3</v>
      </c>
      <c r="N428" s="69">
        <f t="shared" si="35"/>
        <v>31819.792423687799</v>
      </c>
      <c r="O428" s="66"/>
      <c r="P428" s="71">
        <f t="shared" si="32"/>
        <v>0</v>
      </c>
      <c r="Q428" s="132"/>
      <c r="R428" s="71">
        <f t="shared" si="33"/>
        <v>54706.777762014572</v>
      </c>
      <c r="S428" s="64"/>
    </row>
    <row r="429" spans="1:19">
      <c r="A429" s="64" t="s">
        <v>21</v>
      </c>
      <c r="B429" s="65" t="s">
        <v>1072</v>
      </c>
      <c r="C429" s="65" t="s">
        <v>1073</v>
      </c>
      <c r="D429" s="64" t="s">
        <v>1075</v>
      </c>
      <c r="E429" s="65" t="s">
        <v>857</v>
      </c>
      <c r="F429" s="64" t="s">
        <v>88</v>
      </c>
      <c r="G429" s="65" t="s">
        <v>20</v>
      </c>
      <c r="H429" s="65" t="s">
        <v>929</v>
      </c>
      <c r="I429" s="65">
        <v>201411</v>
      </c>
      <c r="J429" s="66">
        <v>-1179275</v>
      </c>
      <c r="K429" s="72">
        <f t="shared" si="31"/>
        <v>42675</v>
      </c>
      <c r="L429" s="67">
        <f t="shared" si="34"/>
        <v>6</v>
      </c>
      <c r="M429" s="68">
        <v>1.4833299999999999E-3</v>
      </c>
      <c r="N429" s="69">
        <f t="shared" si="35"/>
        <v>-10495.5239145</v>
      </c>
      <c r="O429" s="66"/>
      <c r="P429" s="71">
        <f t="shared" si="32"/>
        <v>0</v>
      </c>
      <c r="Q429" s="132"/>
      <c r="R429" s="71">
        <f t="shared" si="33"/>
        <v>-18044.627276041665</v>
      </c>
      <c r="S429" s="64"/>
    </row>
    <row r="430" spans="1:19">
      <c r="A430" s="64" t="s">
        <v>29</v>
      </c>
      <c r="B430" s="65" t="s">
        <v>183</v>
      </c>
      <c r="C430" s="65" t="s">
        <v>184</v>
      </c>
      <c r="D430" s="64" t="s">
        <v>45</v>
      </c>
      <c r="E430" s="65" t="s">
        <v>185</v>
      </c>
      <c r="F430" s="64" t="s">
        <v>41</v>
      </c>
      <c r="G430" s="65" t="s">
        <v>20</v>
      </c>
      <c r="H430" s="65" t="s">
        <v>933</v>
      </c>
      <c r="I430" s="65">
        <v>201411</v>
      </c>
      <c r="J430" s="66">
        <v>-288.35000000000002</v>
      </c>
      <c r="K430" s="72">
        <f t="shared" ref="K430:K493" si="36">+K429</f>
        <v>42675</v>
      </c>
      <c r="L430" s="67">
        <f t="shared" si="34"/>
        <v>6</v>
      </c>
      <c r="M430" s="68">
        <v>2.23333E-3</v>
      </c>
      <c r="N430" s="69">
        <f t="shared" si="35"/>
        <v>-3.8638842329999998</v>
      </c>
      <c r="O430" s="66"/>
      <c r="P430" s="71">
        <f t="shared" ref="P430:P493" si="37">$P$300*J430*$U$11</f>
        <v>0</v>
      </c>
      <c r="Q430" s="132"/>
      <c r="R430" s="71">
        <f t="shared" ref="R430:R493" si="38">$R$300*J430*$U$12</f>
        <v>-4.4121755104166667</v>
      </c>
      <c r="S430" s="64"/>
    </row>
    <row r="431" spans="1:19">
      <c r="A431" s="64" t="s">
        <v>29</v>
      </c>
      <c r="B431" s="65" t="s">
        <v>186</v>
      </c>
      <c r="C431" s="65" t="s">
        <v>187</v>
      </c>
      <c r="D431" s="64" t="s">
        <v>188</v>
      </c>
      <c r="E431" s="65" t="s">
        <v>189</v>
      </c>
      <c r="F431" s="64" t="s">
        <v>190</v>
      </c>
      <c r="G431" s="65" t="s">
        <v>20</v>
      </c>
      <c r="H431" s="65" t="s">
        <v>933</v>
      </c>
      <c r="I431" s="65">
        <v>201411</v>
      </c>
      <c r="J431" s="66">
        <v>-119.93</v>
      </c>
      <c r="K431" s="72">
        <f t="shared" si="36"/>
        <v>42675</v>
      </c>
      <c r="L431" s="67">
        <f t="shared" si="34"/>
        <v>6</v>
      </c>
      <c r="M431" s="68">
        <v>2.23333E-3</v>
      </c>
      <c r="N431" s="69">
        <f t="shared" si="35"/>
        <v>-1.6070596014</v>
      </c>
      <c r="O431" s="66"/>
      <c r="P431" s="71">
        <f t="shared" si="37"/>
        <v>0</v>
      </c>
      <c r="Q431" s="132"/>
      <c r="R431" s="71">
        <f t="shared" si="38"/>
        <v>-1.8351038979166665</v>
      </c>
      <c r="S431" s="64"/>
    </row>
    <row r="432" spans="1:19">
      <c r="A432" s="64" t="s">
        <v>29</v>
      </c>
      <c r="B432" s="65" t="s">
        <v>191</v>
      </c>
      <c r="C432" s="65" t="s">
        <v>192</v>
      </c>
      <c r="D432" s="64" t="s">
        <v>193</v>
      </c>
      <c r="E432" s="65" t="s">
        <v>194</v>
      </c>
      <c r="F432" s="64" t="s">
        <v>115</v>
      </c>
      <c r="G432" s="65" t="s">
        <v>20</v>
      </c>
      <c r="H432" s="65" t="s">
        <v>933</v>
      </c>
      <c r="I432" s="65">
        <v>201411</v>
      </c>
      <c r="J432" s="66">
        <v>8632.84</v>
      </c>
      <c r="K432" s="72">
        <f t="shared" si="36"/>
        <v>42675</v>
      </c>
      <c r="L432" s="67">
        <f t="shared" si="34"/>
        <v>6</v>
      </c>
      <c r="M432" s="68">
        <v>2.23333E-3</v>
      </c>
      <c r="N432" s="69">
        <f t="shared" si="35"/>
        <v>115.67988334319999</v>
      </c>
      <c r="O432" s="66"/>
      <c r="P432" s="71">
        <f t="shared" si="37"/>
        <v>0</v>
      </c>
      <c r="Q432" s="132"/>
      <c r="R432" s="71">
        <f t="shared" si="38"/>
        <v>132.09504155833332</v>
      </c>
      <c r="S432" s="64"/>
    </row>
    <row r="433" spans="1:19">
      <c r="A433" s="64" t="s">
        <v>29</v>
      </c>
      <c r="B433" s="65" t="s">
        <v>195</v>
      </c>
      <c r="C433" s="65" t="s">
        <v>196</v>
      </c>
      <c r="D433" s="64" t="s">
        <v>197</v>
      </c>
      <c r="E433" s="65" t="s">
        <v>198</v>
      </c>
      <c r="F433" s="64" t="s">
        <v>199</v>
      </c>
      <c r="G433" s="65" t="s">
        <v>20</v>
      </c>
      <c r="H433" s="65" t="s">
        <v>933</v>
      </c>
      <c r="I433" s="65">
        <v>201411</v>
      </c>
      <c r="J433" s="66">
        <v>112142.79</v>
      </c>
      <c r="K433" s="72">
        <f t="shared" si="36"/>
        <v>42675</v>
      </c>
      <c r="L433" s="67">
        <f t="shared" si="34"/>
        <v>6</v>
      </c>
      <c r="M433" s="68">
        <v>2.23333E-3</v>
      </c>
      <c r="N433" s="69">
        <f t="shared" si="35"/>
        <v>1502.7111431441997</v>
      </c>
      <c r="O433" s="66"/>
      <c r="P433" s="71">
        <f t="shared" si="37"/>
        <v>0</v>
      </c>
      <c r="Q433" s="132"/>
      <c r="R433" s="71">
        <f t="shared" si="38"/>
        <v>1715.9482285687498</v>
      </c>
      <c r="S433" s="64"/>
    </row>
    <row r="434" spans="1:19">
      <c r="A434" s="64" t="s">
        <v>29</v>
      </c>
      <c r="B434" s="65" t="s">
        <v>200</v>
      </c>
      <c r="C434" s="65" t="s">
        <v>201</v>
      </c>
      <c r="D434" s="64" t="s">
        <v>197</v>
      </c>
      <c r="E434" s="65" t="s">
        <v>202</v>
      </c>
      <c r="F434" s="64" t="s">
        <v>199</v>
      </c>
      <c r="G434" s="65" t="s">
        <v>20</v>
      </c>
      <c r="H434" s="65" t="s">
        <v>933</v>
      </c>
      <c r="I434" s="65">
        <v>201411</v>
      </c>
      <c r="J434" s="66">
        <v>8594.43</v>
      </c>
      <c r="K434" s="72">
        <f t="shared" si="36"/>
        <v>42675</v>
      </c>
      <c r="L434" s="67">
        <f t="shared" si="34"/>
        <v>6</v>
      </c>
      <c r="M434" s="68">
        <v>2.23333E-3</v>
      </c>
      <c r="N434" s="69">
        <f t="shared" si="35"/>
        <v>115.16519011139999</v>
      </c>
      <c r="O434" s="66"/>
      <c r="P434" s="71">
        <f t="shared" si="37"/>
        <v>0</v>
      </c>
      <c r="Q434" s="132"/>
      <c r="R434" s="71">
        <f t="shared" si="38"/>
        <v>131.50731254375</v>
      </c>
      <c r="S434" s="64"/>
    </row>
    <row r="435" spans="1:19">
      <c r="A435" s="64" t="s">
        <v>21</v>
      </c>
      <c r="B435" s="65" t="s">
        <v>449</v>
      </c>
      <c r="C435" s="65" t="s">
        <v>450</v>
      </c>
      <c r="D435" s="64" t="s">
        <v>451</v>
      </c>
      <c r="E435" s="65" t="s">
        <v>452</v>
      </c>
      <c r="F435" s="64" t="s">
        <v>398</v>
      </c>
      <c r="G435" s="65" t="s">
        <v>20</v>
      </c>
      <c r="H435" s="65" t="s">
        <v>929</v>
      </c>
      <c r="I435" s="65">
        <v>201411</v>
      </c>
      <c r="J435" s="66">
        <v>5763.59</v>
      </c>
      <c r="K435" s="72">
        <f t="shared" si="36"/>
        <v>42675</v>
      </c>
      <c r="L435" s="67">
        <f t="shared" si="34"/>
        <v>6</v>
      </c>
      <c r="M435" s="68">
        <v>1.4833299999999999E-3</v>
      </c>
      <c r="N435" s="69">
        <f t="shared" si="35"/>
        <v>51.295835728200004</v>
      </c>
      <c r="O435" s="66"/>
      <c r="P435" s="71">
        <f t="shared" si="37"/>
        <v>0</v>
      </c>
      <c r="Q435" s="132"/>
      <c r="R435" s="71">
        <f t="shared" si="38"/>
        <v>88.191332235416667</v>
      </c>
      <c r="S435" s="64"/>
    </row>
    <row r="436" spans="1:19">
      <c r="A436" s="64" t="s">
        <v>626</v>
      </c>
      <c r="B436" s="65" t="s">
        <v>700</v>
      </c>
      <c r="C436" s="65" t="s">
        <v>701</v>
      </c>
      <c r="D436" s="64" t="s">
        <v>702</v>
      </c>
      <c r="E436" s="65" t="s">
        <v>25</v>
      </c>
      <c r="F436" s="64" t="s">
        <v>26</v>
      </c>
      <c r="G436" s="65" t="s">
        <v>20</v>
      </c>
      <c r="H436" s="65" t="s">
        <v>928</v>
      </c>
      <c r="I436" s="65">
        <v>201411</v>
      </c>
      <c r="J436" s="66">
        <v>-3.53</v>
      </c>
      <c r="K436" s="72">
        <f t="shared" si="36"/>
        <v>42675</v>
      </c>
      <c r="L436" s="67">
        <f t="shared" si="34"/>
        <v>6</v>
      </c>
      <c r="M436" s="68">
        <v>1.4833299999999999E-3</v>
      </c>
      <c r="N436" s="69">
        <f t="shared" si="35"/>
        <v>-3.1416929400000002E-2</v>
      </c>
      <c r="O436" s="66"/>
      <c r="P436" s="71">
        <f t="shared" si="37"/>
        <v>0</v>
      </c>
      <c r="Q436" s="132"/>
      <c r="R436" s="71">
        <f t="shared" si="38"/>
        <v>-5.4014147916666658E-2</v>
      </c>
      <c r="S436" s="64"/>
    </row>
    <row r="437" spans="1:19">
      <c r="A437" s="64" t="s">
        <v>626</v>
      </c>
      <c r="B437" s="65" t="s">
        <v>465</v>
      </c>
      <c r="C437" s="65" t="s">
        <v>466</v>
      </c>
      <c r="D437" s="64" t="s">
        <v>467</v>
      </c>
      <c r="E437" s="65" t="s">
        <v>75</v>
      </c>
      <c r="F437" s="64" t="s">
        <v>26</v>
      </c>
      <c r="G437" s="65" t="s">
        <v>20</v>
      </c>
      <c r="H437" s="65" t="s">
        <v>928</v>
      </c>
      <c r="I437" s="65">
        <v>201411</v>
      </c>
      <c r="J437" s="66">
        <v>-29.65</v>
      </c>
      <c r="K437" s="72">
        <f t="shared" si="36"/>
        <v>42675</v>
      </c>
      <c r="L437" s="67">
        <f t="shared" si="34"/>
        <v>6</v>
      </c>
      <c r="M437" s="68">
        <v>1.4833299999999999E-3</v>
      </c>
      <c r="N437" s="69">
        <f t="shared" si="35"/>
        <v>-0.26388440699999999</v>
      </c>
      <c r="O437" s="66"/>
      <c r="P437" s="71">
        <f t="shared" si="37"/>
        <v>0</v>
      </c>
      <c r="Q437" s="132"/>
      <c r="R437" s="71">
        <f t="shared" si="38"/>
        <v>-0.45368823958333326</v>
      </c>
      <c r="S437" s="64"/>
    </row>
    <row r="438" spans="1:19">
      <c r="A438" s="64" t="s">
        <v>21</v>
      </c>
      <c r="B438" s="65" t="s">
        <v>230</v>
      </c>
      <c r="C438" s="65" t="s">
        <v>231</v>
      </c>
      <c r="D438" s="64" t="s">
        <v>232</v>
      </c>
      <c r="E438" s="65" t="s">
        <v>164</v>
      </c>
      <c r="F438" s="64" t="s">
        <v>165</v>
      </c>
      <c r="G438" s="65" t="s">
        <v>20</v>
      </c>
      <c r="H438" s="65" t="s">
        <v>928</v>
      </c>
      <c r="I438" s="65">
        <v>201411</v>
      </c>
      <c r="J438" s="66">
        <v>-143.49</v>
      </c>
      <c r="K438" s="72">
        <f t="shared" si="36"/>
        <v>42675</v>
      </c>
      <c r="L438" s="67">
        <f t="shared" si="34"/>
        <v>6</v>
      </c>
      <c r="M438" s="68">
        <v>1.4833299999999999E-3</v>
      </c>
      <c r="N438" s="69">
        <f t="shared" si="35"/>
        <v>-1.2770581302000001</v>
      </c>
      <c r="O438" s="66"/>
      <c r="P438" s="71">
        <f t="shared" si="37"/>
        <v>0</v>
      </c>
      <c r="Q438" s="132"/>
      <c r="R438" s="71">
        <f t="shared" si="38"/>
        <v>-2.1956062562499996</v>
      </c>
      <c r="S438" s="64"/>
    </row>
    <row r="439" spans="1:19">
      <c r="A439" s="64" t="s">
        <v>29</v>
      </c>
      <c r="B439" s="65" t="s">
        <v>481</v>
      </c>
      <c r="C439" s="65" t="s">
        <v>482</v>
      </c>
      <c r="D439" s="64" t="s">
        <v>483</v>
      </c>
      <c r="E439" s="65" t="s">
        <v>484</v>
      </c>
      <c r="F439" s="64" t="s">
        <v>190</v>
      </c>
      <c r="G439" s="65" t="s">
        <v>20</v>
      </c>
      <c r="H439" s="65" t="s">
        <v>933</v>
      </c>
      <c r="I439" s="65">
        <v>201411</v>
      </c>
      <c r="J439" s="66">
        <v>2182.83</v>
      </c>
      <c r="K439" s="72">
        <f t="shared" si="36"/>
        <v>42675</v>
      </c>
      <c r="L439" s="67">
        <f t="shared" si="34"/>
        <v>6</v>
      </c>
      <c r="M439" s="68">
        <v>2.23333E-3</v>
      </c>
      <c r="N439" s="69">
        <f t="shared" si="35"/>
        <v>29.249878343399995</v>
      </c>
      <c r="O439" s="66"/>
      <c r="P439" s="71">
        <f t="shared" si="37"/>
        <v>0</v>
      </c>
      <c r="Q439" s="132"/>
      <c r="R439" s="71">
        <f t="shared" si="38"/>
        <v>33.400482293749995</v>
      </c>
      <c r="S439" s="64"/>
    </row>
    <row r="440" spans="1:19">
      <c r="A440" s="64" t="s">
        <v>29</v>
      </c>
      <c r="B440" s="65" t="s">
        <v>236</v>
      </c>
      <c r="C440" s="65" t="s">
        <v>237</v>
      </c>
      <c r="D440" s="64" t="s">
        <v>188</v>
      </c>
      <c r="E440" s="65" t="s">
        <v>238</v>
      </c>
      <c r="F440" s="64" t="s">
        <v>190</v>
      </c>
      <c r="G440" s="65" t="s">
        <v>20</v>
      </c>
      <c r="H440" s="65" t="s">
        <v>933</v>
      </c>
      <c r="I440" s="65">
        <v>201411</v>
      </c>
      <c r="J440" s="66">
        <v>467</v>
      </c>
      <c r="K440" s="72">
        <f t="shared" si="36"/>
        <v>42675</v>
      </c>
      <c r="L440" s="67">
        <f t="shared" si="34"/>
        <v>6</v>
      </c>
      <c r="M440" s="68">
        <v>2.23333E-3</v>
      </c>
      <c r="N440" s="69">
        <f t="shared" si="35"/>
        <v>6.2577906599999995</v>
      </c>
      <c r="O440" s="66"/>
      <c r="P440" s="71">
        <f t="shared" si="37"/>
        <v>0</v>
      </c>
      <c r="Q440" s="132"/>
      <c r="R440" s="71">
        <f t="shared" si="38"/>
        <v>7.1457810416666661</v>
      </c>
      <c r="S440" s="64"/>
    </row>
    <row r="441" spans="1:19">
      <c r="A441" s="64" t="s">
        <v>29</v>
      </c>
      <c r="B441" s="65" t="s">
        <v>239</v>
      </c>
      <c r="C441" s="65" t="s">
        <v>240</v>
      </c>
      <c r="D441" s="64" t="s">
        <v>197</v>
      </c>
      <c r="E441" s="65" t="s">
        <v>241</v>
      </c>
      <c r="F441" s="64" t="s">
        <v>199</v>
      </c>
      <c r="G441" s="65" t="s">
        <v>20</v>
      </c>
      <c r="H441" s="65" t="s">
        <v>933</v>
      </c>
      <c r="I441" s="65">
        <v>201411</v>
      </c>
      <c r="J441" s="66">
        <v>14235.91</v>
      </c>
      <c r="K441" s="72">
        <f t="shared" si="36"/>
        <v>42675</v>
      </c>
      <c r="L441" s="67">
        <f t="shared" si="34"/>
        <v>6</v>
      </c>
      <c r="M441" s="68">
        <v>2.23333E-3</v>
      </c>
      <c r="N441" s="69">
        <f t="shared" si="35"/>
        <v>190.76090928179997</v>
      </c>
      <c r="O441" s="66"/>
      <c r="P441" s="71">
        <f t="shared" si="37"/>
        <v>0</v>
      </c>
      <c r="Q441" s="132"/>
      <c r="R441" s="71">
        <f t="shared" si="38"/>
        <v>217.8301837020833</v>
      </c>
      <c r="S441" s="64"/>
    </row>
    <row r="442" spans="1:19">
      <c r="A442" s="64" t="s">
        <v>626</v>
      </c>
      <c r="B442" s="65" t="s">
        <v>1076</v>
      </c>
      <c r="C442" s="65" t="s">
        <v>1077</v>
      </c>
      <c r="D442" s="64" t="s">
        <v>1078</v>
      </c>
      <c r="E442" s="65" t="s">
        <v>75</v>
      </c>
      <c r="F442" s="64" t="s">
        <v>26</v>
      </c>
      <c r="G442" s="65" t="s">
        <v>20</v>
      </c>
      <c r="H442" s="65" t="s">
        <v>928</v>
      </c>
      <c r="I442" s="65">
        <v>201411</v>
      </c>
      <c r="J442" s="66">
        <v>26447.34</v>
      </c>
      <c r="K442" s="72">
        <f t="shared" si="36"/>
        <v>42675</v>
      </c>
      <c r="L442" s="67">
        <f t="shared" si="34"/>
        <v>6</v>
      </c>
      <c r="M442" s="68">
        <v>1.4833299999999999E-3</v>
      </c>
      <c r="N442" s="69">
        <f t="shared" si="35"/>
        <v>235.38079705320001</v>
      </c>
      <c r="O442" s="66"/>
      <c r="P442" s="71">
        <f t="shared" si="37"/>
        <v>0</v>
      </c>
      <c r="Q442" s="132"/>
      <c r="R442" s="71">
        <f t="shared" si="38"/>
        <v>404.68287103749998</v>
      </c>
      <c r="S442" s="64"/>
    </row>
    <row r="443" spans="1:19">
      <c r="A443" s="64" t="s">
        <v>21</v>
      </c>
      <c r="B443" s="65" t="s">
        <v>261</v>
      </c>
      <c r="C443" s="65" t="s">
        <v>262</v>
      </c>
      <c r="D443" s="64" t="s">
        <v>263</v>
      </c>
      <c r="E443" s="65" t="s">
        <v>75</v>
      </c>
      <c r="F443" s="64" t="s">
        <v>26</v>
      </c>
      <c r="G443" s="65" t="s">
        <v>20</v>
      </c>
      <c r="H443" s="65" t="s">
        <v>928</v>
      </c>
      <c r="I443" s="65">
        <v>201411</v>
      </c>
      <c r="J443" s="66">
        <v>-5700.68</v>
      </c>
      <c r="K443" s="72">
        <f t="shared" si="36"/>
        <v>42675</v>
      </c>
      <c r="L443" s="67">
        <f t="shared" si="34"/>
        <v>6</v>
      </c>
      <c r="M443" s="68">
        <v>1.4833299999999999E-3</v>
      </c>
      <c r="N443" s="69">
        <f t="shared" si="35"/>
        <v>-50.735937986400003</v>
      </c>
      <c r="O443" s="66"/>
      <c r="P443" s="71">
        <f t="shared" si="37"/>
        <v>0</v>
      </c>
      <c r="Q443" s="132"/>
      <c r="R443" s="71">
        <f t="shared" si="38"/>
        <v>-87.228717491666657</v>
      </c>
      <c r="S443" s="64"/>
    </row>
    <row r="444" spans="1:19">
      <c r="A444" s="64" t="s">
        <v>127</v>
      </c>
      <c r="B444" s="65" t="s">
        <v>1032</v>
      </c>
      <c r="C444" s="65" t="s">
        <v>1033</v>
      </c>
      <c r="D444" s="64" t="s">
        <v>1034</v>
      </c>
      <c r="E444" s="65" t="s">
        <v>209</v>
      </c>
      <c r="F444" s="64" t="s">
        <v>88</v>
      </c>
      <c r="G444" s="65" t="s">
        <v>20</v>
      </c>
      <c r="H444" s="65" t="s">
        <v>929</v>
      </c>
      <c r="I444" s="65">
        <v>201411</v>
      </c>
      <c r="J444" s="66">
        <v>-831.58</v>
      </c>
      <c r="K444" s="72">
        <f t="shared" si="36"/>
        <v>42675</v>
      </c>
      <c r="L444" s="67">
        <f t="shared" si="34"/>
        <v>6</v>
      </c>
      <c r="M444" s="68">
        <v>2.3833299999999999E-3</v>
      </c>
      <c r="N444" s="69">
        <f t="shared" si="35"/>
        <v>-11.8915773684</v>
      </c>
      <c r="O444" s="66"/>
      <c r="P444" s="71">
        <f t="shared" si="37"/>
        <v>0</v>
      </c>
      <c r="Q444" s="132"/>
      <c r="R444" s="71">
        <f t="shared" si="38"/>
        <v>-12.724386720833333</v>
      </c>
      <c r="S444" s="64"/>
    </row>
    <row r="445" spans="1:19">
      <c r="A445" s="64" t="s">
        <v>626</v>
      </c>
      <c r="B445" s="65" t="s">
        <v>938</v>
      </c>
      <c r="C445" s="65" t="s">
        <v>939</v>
      </c>
      <c r="D445" s="64" t="s">
        <v>940</v>
      </c>
      <c r="E445" s="65" t="s">
        <v>209</v>
      </c>
      <c r="F445" s="64" t="s">
        <v>88</v>
      </c>
      <c r="G445" s="65" t="s">
        <v>20</v>
      </c>
      <c r="H445" s="65" t="s">
        <v>929</v>
      </c>
      <c r="I445" s="65">
        <v>201411</v>
      </c>
      <c r="J445" s="66">
        <v>-154.51</v>
      </c>
      <c r="K445" s="72">
        <f t="shared" si="36"/>
        <v>42675</v>
      </c>
      <c r="L445" s="67">
        <f t="shared" si="34"/>
        <v>6</v>
      </c>
      <c r="M445" s="68">
        <v>1.4833299999999999E-3</v>
      </c>
      <c r="N445" s="69">
        <f t="shared" si="35"/>
        <v>-1.3751359098</v>
      </c>
      <c r="O445" s="66"/>
      <c r="P445" s="71">
        <f t="shared" si="37"/>
        <v>0</v>
      </c>
      <c r="Q445" s="132"/>
      <c r="R445" s="71">
        <f t="shared" si="38"/>
        <v>-2.3642283270833331</v>
      </c>
      <c r="S445" s="64"/>
    </row>
    <row r="446" spans="1:19">
      <c r="A446" s="64" t="s">
        <v>29</v>
      </c>
      <c r="B446" s="65" t="s">
        <v>267</v>
      </c>
      <c r="C446" s="65" t="s">
        <v>268</v>
      </c>
      <c r="D446" s="64" t="s">
        <v>269</v>
      </c>
      <c r="E446" s="65" t="s">
        <v>270</v>
      </c>
      <c r="F446" s="64" t="s">
        <v>115</v>
      </c>
      <c r="G446" s="65" t="s">
        <v>20</v>
      </c>
      <c r="H446" s="65" t="s">
        <v>933</v>
      </c>
      <c r="I446" s="65">
        <v>201411</v>
      </c>
      <c r="J446" s="66">
        <v>46466.6</v>
      </c>
      <c r="K446" s="72">
        <f t="shared" si="36"/>
        <v>42675</v>
      </c>
      <c r="L446" s="67">
        <f t="shared" si="34"/>
        <v>6</v>
      </c>
      <c r="M446" s="68">
        <v>2.23333E-3</v>
      </c>
      <c r="N446" s="69">
        <f t="shared" si="35"/>
        <v>622.6515106679999</v>
      </c>
      <c r="O446" s="66"/>
      <c r="P446" s="71">
        <f t="shared" si="37"/>
        <v>0</v>
      </c>
      <c r="Q446" s="132"/>
      <c r="R446" s="71">
        <f t="shared" si="38"/>
        <v>711.00674379166662</v>
      </c>
      <c r="S446" s="64"/>
    </row>
    <row r="447" spans="1:19">
      <c r="A447" s="64" t="s">
        <v>29</v>
      </c>
      <c r="B447" s="65" t="s">
        <v>271</v>
      </c>
      <c r="C447" s="65" t="s">
        <v>272</v>
      </c>
      <c r="D447" s="64" t="s">
        <v>197</v>
      </c>
      <c r="E447" s="65" t="s">
        <v>273</v>
      </c>
      <c r="F447" s="64" t="s">
        <v>199</v>
      </c>
      <c r="G447" s="65" t="s">
        <v>20</v>
      </c>
      <c r="H447" s="65" t="s">
        <v>933</v>
      </c>
      <c r="I447" s="65">
        <v>201411</v>
      </c>
      <c r="J447" s="66">
        <v>5494.87</v>
      </c>
      <c r="K447" s="72">
        <f t="shared" si="36"/>
        <v>42675</v>
      </c>
      <c r="L447" s="67">
        <f t="shared" si="34"/>
        <v>6</v>
      </c>
      <c r="M447" s="68">
        <v>2.23333E-3</v>
      </c>
      <c r="N447" s="69">
        <f t="shared" si="35"/>
        <v>73.631148102599994</v>
      </c>
      <c r="O447" s="66"/>
      <c r="P447" s="71">
        <f t="shared" si="37"/>
        <v>0</v>
      </c>
      <c r="Q447" s="132"/>
      <c r="R447" s="71">
        <f t="shared" si="38"/>
        <v>84.079524352083325</v>
      </c>
      <c r="S447" s="64"/>
    </row>
    <row r="448" spans="1:19">
      <c r="A448" s="85" t="s">
        <v>21</v>
      </c>
      <c r="B448" s="65" t="s">
        <v>1079</v>
      </c>
      <c r="C448" s="65" t="s">
        <v>1080</v>
      </c>
      <c r="D448" s="64" t="s">
        <v>1081</v>
      </c>
      <c r="E448" s="65" t="s">
        <v>102</v>
      </c>
      <c r="F448" s="64" t="s">
        <v>19</v>
      </c>
      <c r="G448" s="65" t="s">
        <v>20</v>
      </c>
      <c r="H448" s="65" t="s">
        <v>928</v>
      </c>
      <c r="I448" s="65">
        <v>201411</v>
      </c>
      <c r="J448" s="66">
        <v>0</v>
      </c>
      <c r="K448" s="72">
        <f t="shared" si="36"/>
        <v>42675</v>
      </c>
      <c r="L448" s="67">
        <f t="shared" si="34"/>
        <v>6</v>
      </c>
      <c r="M448" s="68">
        <v>1.4833299999999999E-3</v>
      </c>
      <c r="N448" s="69">
        <f t="shared" si="35"/>
        <v>0</v>
      </c>
      <c r="O448" s="66"/>
      <c r="P448" s="71">
        <f t="shared" si="37"/>
        <v>0</v>
      </c>
      <c r="Q448" s="132"/>
      <c r="R448" s="71">
        <f t="shared" si="38"/>
        <v>0</v>
      </c>
      <c r="S448" s="64"/>
    </row>
    <row r="449" spans="1:19">
      <c r="A449" s="64" t="s">
        <v>29</v>
      </c>
      <c r="B449" s="65" t="s">
        <v>836</v>
      </c>
      <c r="C449" s="65" t="s">
        <v>837</v>
      </c>
      <c r="D449" s="64" t="s">
        <v>327</v>
      </c>
      <c r="E449" s="65" t="s">
        <v>838</v>
      </c>
      <c r="F449" s="64" t="s">
        <v>58</v>
      </c>
      <c r="G449" s="65" t="s">
        <v>20</v>
      </c>
      <c r="H449" s="65" t="s">
        <v>933</v>
      </c>
      <c r="I449" s="65">
        <v>201411</v>
      </c>
      <c r="J449" s="66">
        <v>20.29</v>
      </c>
      <c r="K449" s="72">
        <f t="shared" si="36"/>
        <v>42675</v>
      </c>
      <c r="L449" s="67">
        <f t="shared" si="34"/>
        <v>6</v>
      </c>
      <c r="M449" s="68">
        <v>2.23333E-3</v>
      </c>
      <c r="N449" s="69">
        <f t="shared" si="35"/>
        <v>0.27188559419999997</v>
      </c>
      <c r="O449" s="66"/>
      <c r="P449" s="71">
        <f t="shared" si="37"/>
        <v>0</v>
      </c>
      <c r="Q449" s="132"/>
      <c r="R449" s="71">
        <f t="shared" si="38"/>
        <v>0.31046658958333329</v>
      </c>
      <c r="S449" s="64"/>
    </row>
    <row r="450" spans="1:19">
      <c r="A450" s="64" t="s">
        <v>29</v>
      </c>
      <c r="B450" s="65" t="s">
        <v>292</v>
      </c>
      <c r="C450" s="65" t="s">
        <v>293</v>
      </c>
      <c r="D450" s="64" t="s">
        <v>197</v>
      </c>
      <c r="E450" s="65" t="s">
        <v>294</v>
      </c>
      <c r="F450" s="64" t="s">
        <v>199</v>
      </c>
      <c r="G450" s="65" t="s">
        <v>20</v>
      </c>
      <c r="H450" s="65" t="s">
        <v>933</v>
      </c>
      <c r="I450" s="65">
        <v>201411</v>
      </c>
      <c r="J450" s="66">
        <v>-5090.0600000000004</v>
      </c>
      <c r="K450" s="72">
        <f t="shared" si="36"/>
        <v>42675</v>
      </c>
      <c r="L450" s="67">
        <f t="shared" si="34"/>
        <v>6</v>
      </c>
      <c r="M450" s="68">
        <v>2.23333E-3</v>
      </c>
      <c r="N450" s="69">
        <f t="shared" si="35"/>
        <v>-68.206702198800002</v>
      </c>
      <c r="O450" s="66"/>
      <c r="P450" s="71">
        <f t="shared" si="37"/>
        <v>0</v>
      </c>
      <c r="Q450" s="132"/>
      <c r="R450" s="71">
        <f t="shared" si="38"/>
        <v>-77.885341004166662</v>
      </c>
      <c r="S450" s="64"/>
    </row>
    <row r="451" spans="1:19">
      <c r="A451" s="85" t="s">
        <v>21</v>
      </c>
      <c r="B451" s="65" t="s">
        <v>494</v>
      </c>
      <c r="C451" s="65" t="s">
        <v>495</v>
      </c>
      <c r="D451" s="64" t="s">
        <v>496</v>
      </c>
      <c r="E451" s="65" t="s">
        <v>497</v>
      </c>
      <c r="F451" s="64" t="s">
        <v>26</v>
      </c>
      <c r="G451" s="65" t="s">
        <v>20</v>
      </c>
      <c r="H451" s="65" t="s">
        <v>928</v>
      </c>
      <c r="I451" s="65">
        <v>201411</v>
      </c>
      <c r="J451" s="66">
        <v>5238.34</v>
      </c>
      <c r="K451" s="72">
        <f t="shared" si="36"/>
        <v>42675</v>
      </c>
      <c r="L451" s="67">
        <f t="shared" si="34"/>
        <v>6</v>
      </c>
      <c r="M451" s="68">
        <v>1.4833299999999999E-3</v>
      </c>
      <c r="N451" s="69">
        <f t="shared" si="35"/>
        <v>46.6211212332</v>
      </c>
      <c r="O451" s="66"/>
      <c r="P451" s="71">
        <f t="shared" si="37"/>
        <v>0</v>
      </c>
      <c r="Q451" s="132"/>
      <c r="R451" s="71">
        <f t="shared" si="38"/>
        <v>80.154241245833333</v>
      </c>
      <c r="S451" s="64"/>
    </row>
    <row r="452" spans="1:19">
      <c r="A452" s="64" t="s">
        <v>626</v>
      </c>
      <c r="B452" s="65" t="s">
        <v>767</v>
      </c>
      <c r="C452" s="65" t="s">
        <v>768</v>
      </c>
      <c r="D452" s="64" t="s">
        <v>769</v>
      </c>
      <c r="E452" s="65" t="s">
        <v>18</v>
      </c>
      <c r="F452" s="64" t="s">
        <v>19</v>
      </c>
      <c r="G452" s="65" t="s">
        <v>20</v>
      </c>
      <c r="H452" s="65" t="s">
        <v>928</v>
      </c>
      <c r="I452" s="65">
        <v>201411</v>
      </c>
      <c r="J452" s="66">
        <v>0</v>
      </c>
      <c r="K452" s="72">
        <f t="shared" si="36"/>
        <v>42675</v>
      </c>
      <c r="L452" s="67">
        <f t="shared" si="34"/>
        <v>6</v>
      </c>
      <c r="M452" s="68">
        <v>1.4833299999999999E-3</v>
      </c>
      <c r="N452" s="69">
        <f t="shared" si="35"/>
        <v>0</v>
      </c>
      <c r="O452" s="66"/>
      <c r="P452" s="71">
        <f t="shared" si="37"/>
        <v>0</v>
      </c>
      <c r="Q452" s="132"/>
      <c r="R452" s="71">
        <f t="shared" si="38"/>
        <v>0</v>
      </c>
      <c r="S452" s="64"/>
    </row>
    <row r="453" spans="1:19">
      <c r="A453" s="64" t="s">
        <v>29</v>
      </c>
      <c r="B453" s="65" t="s">
        <v>318</v>
      </c>
      <c r="C453" s="65" t="s">
        <v>319</v>
      </c>
      <c r="D453" s="64" t="s">
        <v>105</v>
      </c>
      <c r="E453" s="65" t="s">
        <v>320</v>
      </c>
      <c r="F453" s="64" t="s">
        <v>34</v>
      </c>
      <c r="G453" s="65" t="s">
        <v>20</v>
      </c>
      <c r="H453" s="65" t="s">
        <v>933</v>
      </c>
      <c r="I453" s="65">
        <v>201411</v>
      </c>
      <c r="J453" s="66">
        <v>-127.08</v>
      </c>
      <c r="K453" s="72">
        <f t="shared" si="36"/>
        <v>42675</v>
      </c>
      <c r="L453" s="67">
        <f t="shared" si="34"/>
        <v>6</v>
      </c>
      <c r="M453" s="68">
        <v>2.23333E-3</v>
      </c>
      <c r="N453" s="69">
        <f t="shared" si="35"/>
        <v>-1.7028694583999999</v>
      </c>
      <c r="O453" s="66"/>
      <c r="P453" s="71">
        <f t="shared" si="37"/>
        <v>0</v>
      </c>
      <c r="Q453" s="132"/>
      <c r="R453" s="71">
        <f t="shared" si="38"/>
        <v>-1.9445093249999996</v>
      </c>
      <c r="S453" s="64"/>
    </row>
    <row r="454" spans="1:19">
      <c r="A454" s="64" t="s">
        <v>29</v>
      </c>
      <c r="B454" s="65" t="s">
        <v>321</v>
      </c>
      <c r="C454" s="65" t="s">
        <v>322</v>
      </c>
      <c r="D454" s="64" t="s">
        <v>323</v>
      </c>
      <c r="E454" s="65" t="s">
        <v>324</v>
      </c>
      <c r="F454" s="64" t="s">
        <v>52</v>
      </c>
      <c r="G454" s="65" t="s">
        <v>20</v>
      </c>
      <c r="H454" s="65" t="s">
        <v>933</v>
      </c>
      <c r="I454" s="65">
        <v>201411</v>
      </c>
      <c r="J454" s="66">
        <v>8037.46</v>
      </c>
      <c r="K454" s="72">
        <f t="shared" si="36"/>
        <v>42675</v>
      </c>
      <c r="L454" s="67">
        <f t="shared" si="34"/>
        <v>6</v>
      </c>
      <c r="M454" s="68">
        <v>2.23333E-3</v>
      </c>
      <c r="N454" s="69">
        <f t="shared" si="35"/>
        <v>107.7018032508</v>
      </c>
      <c r="O454" s="66"/>
      <c r="P454" s="71">
        <f t="shared" si="37"/>
        <v>0</v>
      </c>
      <c r="Q454" s="132"/>
      <c r="R454" s="71">
        <f t="shared" si="38"/>
        <v>122.98485929583332</v>
      </c>
      <c r="S454" s="64"/>
    </row>
    <row r="455" spans="1:19">
      <c r="A455" s="64" t="s">
        <v>29</v>
      </c>
      <c r="B455" s="65" t="s">
        <v>419</v>
      </c>
      <c r="C455" s="65" t="s">
        <v>420</v>
      </c>
      <c r="D455" s="64" t="s">
        <v>50</v>
      </c>
      <c r="E455" s="65" t="s">
        <v>421</v>
      </c>
      <c r="F455" s="64" t="s">
        <v>52</v>
      </c>
      <c r="G455" s="65" t="s">
        <v>20</v>
      </c>
      <c r="H455" s="65" t="s">
        <v>933</v>
      </c>
      <c r="I455" s="65">
        <v>201411</v>
      </c>
      <c r="J455" s="66">
        <v>-983.36</v>
      </c>
      <c r="K455" s="72">
        <f t="shared" si="36"/>
        <v>42675</v>
      </c>
      <c r="L455" s="67">
        <f t="shared" si="34"/>
        <v>6</v>
      </c>
      <c r="M455" s="68">
        <v>2.23333E-3</v>
      </c>
      <c r="N455" s="69">
        <f t="shared" si="35"/>
        <v>-13.177004332799999</v>
      </c>
      <c r="O455" s="66"/>
      <c r="P455" s="71">
        <f t="shared" si="37"/>
        <v>0</v>
      </c>
      <c r="Q455" s="132"/>
      <c r="R455" s="71">
        <f t="shared" si="38"/>
        <v>-15.046842066666667</v>
      </c>
      <c r="S455" s="64"/>
    </row>
    <row r="456" spans="1:19">
      <c r="A456" s="64" t="s">
        <v>29</v>
      </c>
      <c r="B456" s="65" t="s">
        <v>325</v>
      </c>
      <c r="C456" s="65" t="s">
        <v>326</v>
      </c>
      <c r="D456" s="64" t="s">
        <v>327</v>
      </c>
      <c r="E456" s="65" t="s">
        <v>328</v>
      </c>
      <c r="F456" s="64" t="s">
        <v>58</v>
      </c>
      <c r="G456" s="65" t="s">
        <v>20</v>
      </c>
      <c r="H456" s="65" t="s">
        <v>933</v>
      </c>
      <c r="I456" s="65">
        <v>201411</v>
      </c>
      <c r="J456" s="66">
        <v>8010.12</v>
      </c>
      <c r="K456" s="72">
        <f t="shared" si="36"/>
        <v>42675</v>
      </c>
      <c r="L456" s="67">
        <f t="shared" si="34"/>
        <v>6</v>
      </c>
      <c r="M456" s="68">
        <v>2.23333E-3</v>
      </c>
      <c r="N456" s="69">
        <f t="shared" si="35"/>
        <v>107.33544779759998</v>
      </c>
      <c r="O456" s="66"/>
      <c r="P456" s="71">
        <f t="shared" si="37"/>
        <v>0</v>
      </c>
      <c r="Q456" s="132"/>
      <c r="R456" s="71">
        <f t="shared" si="38"/>
        <v>122.56651742499997</v>
      </c>
      <c r="S456" s="64"/>
    </row>
    <row r="457" spans="1:19">
      <c r="A457" s="64" t="s">
        <v>21</v>
      </c>
      <c r="B457" s="65" t="s">
        <v>678</v>
      </c>
      <c r="C457" s="65" t="s">
        <v>679</v>
      </c>
      <c r="D457" s="64" t="s">
        <v>680</v>
      </c>
      <c r="E457" s="65" t="s">
        <v>75</v>
      </c>
      <c r="F457" s="64" t="s">
        <v>26</v>
      </c>
      <c r="G457" s="65" t="s">
        <v>20</v>
      </c>
      <c r="H457" s="65" t="s">
        <v>928</v>
      </c>
      <c r="I457" s="65">
        <v>201411</v>
      </c>
      <c r="J457" s="66">
        <v>205.63</v>
      </c>
      <c r="K457" s="72">
        <f t="shared" si="36"/>
        <v>42675</v>
      </c>
      <c r="L457" s="67">
        <f t="shared" si="34"/>
        <v>6</v>
      </c>
      <c r="M457" s="68">
        <v>1.4833299999999999E-3</v>
      </c>
      <c r="N457" s="69">
        <f t="shared" si="35"/>
        <v>1.8301028874</v>
      </c>
      <c r="O457" s="66"/>
      <c r="P457" s="71">
        <f t="shared" si="37"/>
        <v>0</v>
      </c>
      <c r="Q457" s="132"/>
      <c r="R457" s="71">
        <f t="shared" si="38"/>
        <v>3.1464388770833329</v>
      </c>
      <c r="S457" s="64"/>
    </row>
    <row r="458" spans="1:19">
      <c r="A458" s="64" t="s">
        <v>626</v>
      </c>
      <c r="B458" s="65" t="s">
        <v>1082</v>
      </c>
      <c r="C458" s="65" t="s">
        <v>1083</v>
      </c>
      <c r="D458" s="64" t="s">
        <v>1084</v>
      </c>
      <c r="E458" s="65" t="s">
        <v>75</v>
      </c>
      <c r="F458" s="64" t="s">
        <v>26</v>
      </c>
      <c r="G458" s="65" t="s">
        <v>20</v>
      </c>
      <c r="H458" s="65" t="s">
        <v>928</v>
      </c>
      <c r="I458" s="65">
        <v>201411</v>
      </c>
      <c r="J458" s="66">
        <v>611627.82999999996</v>
      </c>
      <c r="K458" s="72">
        <f t="shared" si="36"/>
        <v>42675</v>
      </c>
      <c r="L458" s="67">
        <f t="shared" si="34"/>
        <v>6</v>
      </c>
      <c r="M458" s="68">
        <v>1.4833299999999999E-3</v>
      </c>
      <c r="N458" s="69">
        <f t="shared" si="35"/>
        <v>5443.4754544433999</v>
      </c>
      <c r="O458" s="66"/>
      <c r="P458" s="71">
        <f t="shared" si="37"/>
        <v>0</v>
      </c>
      <c r="Q458" s="132"/>
      <c r="R458" s="71">
        <f t="shared" si="38"/>
        <v>9358.7977562520828</v>
      </c>
      <c r="S458" s="64"/>
    </row>
    <row r="459" spans="1:19">
      <c r="A459" s="64" t="s">
        <v>21</v>
      </c>
      <c r="B459" s="65" t="s">
        <v>870</v>
      </c>
      <c r="C459" s="65" t="s">
        <v>871</v>
      </c>
      <c r="D459" s="64" t="s">
        <v>872</v>
      </c>
      <c r="E459" s="65" t="s">
        <v>873</v>
      </c>
      <c r="F459" s="64" t="s">
        <v>874</v>
      </c>
      <c r="G459" s="65" t="s">
        <v>20</v>
      </c>
      <c r="H459" s="65" t="s">
        <v>929</v>
      </c>
      <c r="I459" s="65">
        <v>201411</v>
      </c>
      <c r="J459" s="66">
        <v>1769.72</v>
      </c>
      <c r="K459" s="72">
        <f t="shared" si="36"/>
        <v>42675</v>
      </c>
      <c r="L459" s="67">
        <f t="shared" si="34"/>
        <v>6</v>
      </c>
      <c r="M459" s="68">
        <v>1.4833299999999999E-3</v>
      </c>
      <c r="N459" s="69">
        <f t="shared" si="35"/>
        <v>15.750472605600001</v>
      </c>
      <c r="O459" s="66"/>
      <c r="P459" s="71">
        <f t="shared" si="37"/>
        <v>0</v>
      </c>
      <c r="Q459" s="132"/>
      <c r="R459" s="71">
        <f t="shared" si="38"/>
        <v>27.079296841666665</v>
      </c>
      <c r="S459" s="64"/>
    </row>
    <row r="460" spans="1:19">
      <c r="A460" s="64" t="s">
        <v>626</v>
      </c>
      <c r="B460" s="65" t="s">
        <v>1085</v>
      </c>
      <c r="C460" s="65" t="s">
        <v>1086</v>
      </c>
      <c r="D460" s="64" t="s">
        <v>1087</v>
      </c>
      <c r="E460" s="65" t="s">
        <v>75</v>
      </c>
      <c r="F460" s="64" t="s">
        <v>26</v>
      </c>
      <c r="G460" s="65" t="s">
        <v>20</v>
      </c>
      <c r="H460" s="65" t="s">
        <v>928</v>
      </c>
      <c r="I460" s="65">
        <v>201411</v>
      </c>
      <c r="J460" s="66">
        <v>35798.080000000002</v>
      </c>
      <c r="K460" s="72">
        <f t="shared" si="36"/>
        <v>42675</v>
      </c>
      <c r="L460" s="67">
        <f t="shared" si="34"/>
        <v>6</v>
      </c>
      <c r="M460" s="68">
        <v>1.4833299999999999E-3</v>
      </c>
      <c r="N460" s="69">
        <f t="shared" si="35"/>
        <v>318.6021960384</v>
      </c>
      <c r="O460" s="66"/>
      <c r="P460" s="71">
        <f t="shared" si="37"/>
        <v>0</v>
      </c>
      <c r="Q460" s="132"/>
      <c r="R460" s="71">
        <f t="shared" si="38"/>
        <v>547.76282953333327</v>
      </c>
      <c r="S460" s="64"/>
    </row>
    <row r="461" spans="1:19">
      <c r="A461" s="64" t="s">
        <v>21</v>
      </c>
      <c r="B461" s="65" t="s">
        <v>888</v>
      </c>
      <c r="C461" s="65" t="s">
        <v>889</v>
      </c>
      <c r="D461" s="64" t="s">
        <v>890</v>
      </c>
      <c r="E461" s="65" t="s">
        <v>280</v>
      </c>
      <c r="F461" s="64" t="s">
        <v>26</v>
      </c>
      <c r="G461" s="65" t="s">
        <v>20</v>
      </c>
      <c r="H461" s="65" t="s">
        <v>928</v>
      </c>
      <c r="I461" s="65">
        <v>201411</v>
      </c>
      <c r="J461" s="66">
        <v>-85.84</v>
      </c>
      <c r="K461" s="72">
        <f t="shared" si="36"/>
        <v>42675</v>
      </c>
      <c r="L461" s="67">
        <f t="shared" si="34"/>
        <v>6</v>
      </c>
      <c r="M461" s="68">
        <v>1.4833299999999999E-3</v>
      </c>
      <c r="N461" s="69">
        <f t="shared" si="35"/>
        <v>-0.76397428320000005</v>
      </c>
      <c r="O461" s="66"/>
      <c r="P461" s="71">
        <f t="shared" si="37"/>
        <v>0</v>
      </c>
      <c r="Q461" s="132"/>
      <c r="R461" s="71">
        <f t="shared" si="38"/>
        <v>-1.3134771833333332</v>
      </c>
      <c r="S461" s="64"/>
    </row>
    <row r="462" spans="1:19">
      <c r="A462" s="64" t="s">
        <v>626</v>
      </c>
      <c r="B462" s="65" t="s">
        <v>944</v>
      </c>
      <c r="C462" s="65" t="s">
        <v>945</v>
      </c>
      <c r="D462" s="64" t="s">
        <v>946</v>
      </c>
      <c r="E462" s="65" t="s">
        <v>164</v>
      </c>
      <c r="F462" s="64" t="s">
        <v>165</v>
      </c>
      <c r="G462" s="65" t="s">
        <v>20</v>
      </c>
      <c r="H462" s="65" t="s">
        <v>928</v>
      </c>
      <c r="I462" s="65">
        <v>201411</v>
      </c>
      <c r="J462" s="66">
        <v>11927.86</v>
      </c>
      <c r="K462" s="72">
        <f t="shared" si="36"/>
        <v>42675</v>
      </c>
      <c r="L462" s="67">
        <f t="shared" si="34"/>
        <v>6</v>
      </c>
      <c r="M462" s="68">
        <v>1.4833299999999999E-3</v>
      </c>
      <c r="N462" s="69">
        <f t="shared" si="35"/>
        <v>106.15771544280001</v>
      </c>
      <c r="O462" s="66"/>
      <c r="P462" s="71">
        <f t="shared" si="37"/>
        <v>0</v>
      </c>
      <c r="Q462" s="132"/>
      <c r="R462" s="71">
        <f t="shared" si="38"/>
        <v>182.51365279583331</v>
      </c>
      <c r="S462" s="64"/>
    </row>
    <row r="463" spans="1:19">
      <c r="A463" s="64" t="s">
        <v>626</v>
      </c>
      <c r="B463" s="65" t="s">
        <v>1038</v>
      </c>
      <c r="C463" s="65" t="s">
        <v>1039</v>
      </c>
      <c r="D463" s="64" t="s">
        <v>1040</v>
      </c>
      <c r="E463" s="65" t="s">
        <v>75</v>
      </c>
      <c r="F463" s="64" t="s">
        <v>26</v>
      </c>
      <c r="G463" s="65" t="s">
        <v>20</v>
      </c>
      <c r="H463" s="65" t="s">
        <v>928</v>
      </c>
      <c r="I463" s="65">
        <v>201411</v>
      </c>
      <c r="J463" s="66">
        <v>2279.85</v>
      </c>
      <c r="K463" s="72">
        <f t="shared" si="36"/>
        <v>42675</v>
      </c>
      <c r="L463" s="67">
        <f t="shared" si="34"/>
        <v>6</v>
      </c>
      <c r="M463" s="68">
        <v>1.4833299999999999E-3</v>
      </c>
      <c r="N463" s="69">
        <f t="shared" si="35"/>
        <v>20.290619403000001</v>
      </c>
      <c r="O463" s="66"/>
      <c r="P463" s="71">
        <f t="shared" si="37"/>
        <v>0</v>
      </c>
      <c r="Q463" s="132"/>
      <c r="R463" s="71">
        <f t="shared" si="38"/>
        <v>34.885029781249997</v>
      </c>
      <c r="S463" s="64"/>
    </row>
    <row r="464" spans="1:19">
      <c r="A464" s="64" t="s">
        <v>626</v>
      </c>
      <c r="B464" s="65" t="s">
        <v>947</v>
      </c>
      <c r="C464" s="65" t="s">
        <v>948</v>
      </c>
      <c r="D464" s="64" t="s">
        <v>949</v>
      </c>
      <c r="E464" s="65" t="s">
        <v>75</v>
      </c>
      <c r="F464" s="64" t="s">
        <v>26</v>
      </c>
      <c r="G464" s="65" t="s">
        <v>20</v>
      </c>
      <c r="H464" s="65" t="s">
        <v>928</v>
      </c>
      <c r="I464" s="65">
        <v>201411</v>
      </c>
      <c r="J464" s="66">
        <v>-3013.95</v>
      </c>
      <c r="K464" s="72">
        <f t="shared" si="36"/>
        <v>42675</v>
      </c>
      <c r="L464" s="67">
        <f t="shared" si="34"/>
        <v>6</v>
      </c>
      <c r="M464" s="68">
        <v>1.4833299999999999E-3</v>
      </c>
      <c r="N464" s="69">
        <f t="shared" si="35"/>
        <v>-26.824094720999998</v>
      </c>
      <c r="O464" s="66"/>
      <c r="P464" s="71">
        <f t="shared" si="37"/>
        <v>0</v>
      </c>
      <c r="Q464" s="132"/>
      <c r="R464" s="71">
        <f t="shared" si="38"/>
        <v>-46.117830343749993</v>
      </c>
      <c r="S464" s="64"/>
    </row>
    <row r="465" spans="1:19">
      <c r="A465" s="64" t="s">
        <v>626</v>
      </c>
      <c r="B465" s="65" t="s">
        <v>1041</v>
      </c>
      <c r="C465" s="65" t="s">
        <v>1042</v>
      </c>
      <c r="D465" s="64" t="s">
        <v>1043</v>
      </c>
      <c r="E465" s="65" t="s">
        <v>75</v>
      </c>
      <c r="F465" s="64" t="s">
        <v>26</v>
      </c>
      <c r="G465" s="65" t="s">
        <v>20</v>
      </c>
      <c r="H465" s="65" t="s">
        <v>928</v>
      </c>
      <c r="I465" s="65">
        <v>201411</v>
      </c>
      <c r="J465" s="66">
        <v>8478.08</v>
      </c>
      <c r="K465" s="72">
        <f t="shared" si="36"/>
        <v>42675</v>
      </c>
      <c r="L465" s="67">
        <f t="shared" si="34"/>
        <v>6</v>
      </c>
      <c r="M465" s="68">
        <v>1.4833299999999999E-3</v>
      </c>
      <c r="N465" s="69">
        <f t="shared" si="35"/>
        <v>75.454742438400004</v>
      </c>
      <c r="O465" s="66"/>
      <c r="P465" s="71">
        <f t="shared" si="37"/>
        <v>0</v>
      </c>
      <c r="Q465" s="132"/>
      <c r="R465" s="71">
        <f t="shared" si="38"/>
        <v>129.72698786666663</v>
      </c>
      <c r="S465" s="64"/>
    </row>
    <row r="466" spans="1:19">
      <c r="A466" s="64" t="s">
        <v>626</v>
      </c>
      <c r="B466" s="65" t="s">
        <v>848</v>
      </c>
      <c r="C466" s="65" t="s">
        <v>849</v>
      </c>
      <c r="D466" s="64" t="s">
        <v>850</v>
      </c>
      <c r="E466" s="65" t="s">
        <v>93</v>
      </c>
      <c r="F466" s="64" t="s">
        <v>88</v>
      </c>
      <c r="G466" s="65" t="s">
        <v>20</v>
      </c>
      <c r="H466" s="65" t="s">
        <v>929</v>
      </c>
      <c r="I466" s="65">
        <v>201411</v>
      </c>
      <c r="J466" s="66">
        <v>195.47</v>
      </c>
      <c r="K466" s="72">
        <f t="shared" si="36"/>
        <v>42675</v>
      </c>
      <c r="L466" s="67">
        <f t="shared" si="34"/>
        <v>6</v>
      </c>
      <c r="M466" s="68">
        <v>1.4833299999999999E-3</v>
      </c>
      <c r="N466" s="69">
        <f t="shared" si="35"/>
        <v>1.7396790905999999</v>
      </c>
      <c r="O466" s="66"/>
      <c r="P466" s="71">
        <f t="shared" si="37"/>
        <v>0</v>
      </c>
      <c r="Q466" s="132"/>
      <c r="R466" s="71">
        <f t="shared" si="38"/>
        <v>2.9909760604166662</v>
      </c>
      <c r="S466" s="64"/>
    </row>
    <row r="467" spans="1:19">
      <c r="A467" s="64" t="s">
        <v>21</v>
      </c>
      <c r="B467" s="65" t="s">
        <v>828</v>
      </c>
      <c r="C467" s="65" t="s">
        <v>829</v>
      </c>
      <c r="D467" s="64" t="s">
        <v>830</v>
      </c>
      <c r="E467" s="65" t="s">
        <v>360</v>
      </c>
      <c r="F467" s="64" t="s">
        <v>19</v>
      </c>
      <c r="G467" s="65" t="s">
        <v>20</v>
      </c>
      <c r="H467" s="65" t="s">
        <v>928</v>
      </c>
      <c r="I467" s="65">
        <v>201411</v>
      </c>
      <c r="J467" s="66">
        <v>0</v>
      </c>
      <c r="K467" s="72">
        <f t="shared" si="36"/>
        <v>42675</v>
      </c>
      <c r="L467" s="67">
        <f t="shared" si="34"/>
        <v>6</v>
      </c>
      <c r="M467" s="68">
        <v>1.4833299999999999E-3</v>
      </c>
      <c r="N467" s="69">
        <f t="shared" si="35"/>
        <v>0</v>
      </c>
      <c r="O467" s="66"/>
      <c r="P467" s="71">
        <f t="shared" si="37"/>
        <v>0</v>
      </c>
      <c r="Q467" s="132"/>
      <c r="R467" s="71">
        <f t="shared" si="38"/>
        <v>0</v>
      </c>
      <c r="S467" s="64"/>
    </row>
    <row r="468" spans="1:19">
      <c r="A468" s="64" t="s">
        <v>21</v>
      </c>
      <c r="B468" s="65" t="s">
        <v>953</v>
      </c>
      <c r="C468" s="65" t="s">
        <v>954</v>
      </c>
      <c r="D468" s="64" t="s">
        <v>955</v>
      </c>
      <c r="E468" s="65" t="s">
        <v>531</v>
      </c>
      <c r="F468" s="64" t="s">
        <v>26</v>
      </c>
      <c r="G468" s="65" t="s">
        <v>20</v>
      </c>
      <c r="H468" s="65" t="s">
        <v>928</v>
      </c>
      <c r="I468" s="65">
        <v>201411</v>
      </c>
      <c r="J468" s="66">
        <v>-25.51</v>
      </c>
      <c r="K468" s="72">
        <f t="shared" si="36"/>
        <v>42675</v>
      </c>
      <c r="L468" s="67">
        <f t="shared" si="34"/>
        <v>6</v>
      </c>
      <c r="M468" s="68">
        <v>1.4833299999999999E-3</v>
      </c>
      <c r="N468" s="69">
        <f t="shared" si="35"/>
        <v>-0.22703848980000002</v>
      </c>
      <c r="O468" s="66"/>
      <c r="P468" s="71">
        <f t="shared" si="37"/>
        <v>0</v>
      </c>
      <c r="Q468" s="132"/>
      <c r="R468" s="71">
        <f t="shared" si="38"/>
        <v>-0.39034020208333331</v>
      </c>
      <c r="S468" s="64"/>
    </row>
    <row r="469" spans="1:19">
      <c r="A469" s="64" t="s">
        <v>626</v>
      </c>
      <c r="B469" s="65" t="s">
        <v>806</v>
      </c>
      <c r="C469" s="65" t="s">
        <v>807</v>
      </c>
      <c r="D469" s="64" t="s">
        <v>808</v>
      </c>
      <c r="E469" s="65" t="s">
        <v>809</v>
      </c>
      <c r="F469" s="64" t="s">
        <v>26</v>
      </c>
      <c r="G469" s="65" t="s">
        <v>20</v>
      </c>
      <c r="H469" s="65" t="s">
        <v>928</v>
      </c>
      <c r="I469" s="65">
        <v>201411</v>
      </c>
      <c r="J469" s="66">
        <v>0</v>
      </c>
      <c r="K469" s="72">
        <f t="shared" si="36"/>
        <v>42675</v>
      </c>
      <c r="L469" s="67">
        <f t="shared" si="34"/>
        <v>6</v>
      </c>
      <c r="M469" s="68">
        <v>1.4833299999999999E-3</v>
      </c>
      <c r="N469" s="69">
        <f t="shared" si="35"/>
        <v>0</v>
      </c>
      <c r="O469" s="66"/>
      <c r="P469" s="71">
        <f t="shared" si="37"/>
        <v>0</v>
      </c>
      <c r="Q469" s="132"/>
      <c r="R469" s="71">
        <f t="shared" si="38"/>
        <v>0</v>
      </c>
      <c r="S469" s="64"/>
    </row>
    <row r="470" spans="1:19">
      <c r="A470" s="64" t="s">
        <v>21</v>
      </c>
      <c r="B470" s="65" t="s">
        <v>851</v>
      </c>
      <c r="C470" s="65" t="s">
        <v>852</v>
      </c>
      <c r="D470" s="64" t="s">
        <v>853</v>
      </c>
      <c r="E470" s="65" t="s">
        <v>415</v>
      </c>
      <c r="F470" s="64" t="s">
        <v>88</v>
      </c>
      <c r="G470" s="65" t="s">
        <v>20</v>
      </c>
      <c r="H470" s="65" t="s">
        <v>929</v>
      </c>
      <c r="I470" s="65">
        <v>201411</v>
      </c>
      <c r="J470" s="66">
        <v>0.95</v>
      </c>
      <c r="K470" s="72">
        <f t="shared" si="36"/>
        <v>42675</v>
      </c>
      <c r="L470" s="67">
        <f t="shared" si="34"/>
        <v>6</v>
      </c>
      <c r="M470" s="68">
        <v>1.4833299999999999E-3</v>
      </c>
      <c r="N470" s="69">
        <f t="shared" si="35"/>
        <v>8.4549810000000003E-3</v>
      </c>
      <c r="O470" s="66"/>
      <c r="P470" s="71">
        <f t="shared" si="37"/>
        <v>0</v>
      </c>
      <c r="Q470" s="132"/>
      <c r="R470" s="71">
        <f t="shared" si="38"/>
        <v>1.4536385416666664E-2</v>
      </c>
      <c r="S470" s="64"/>
    </row>
    <row r="471" spans="1:19">
      <c r="A471" s="64" t="s">
        <v>626</v>
      </c>
      <c r="B471" s="65" t="s">
        <v>909</v>
      </c>
      <c r="C471" s="65" t="s">
        <v>910</v>
      </c>
      <c r="D471" s="64" t="s">
        <v>911</v>
      </c>
      <c r="E471" s="65" t="s">
        <v>79</v>
      </c>
      <c r="F471" s="64" t="s">
        <v>26</v>
      </c>
      <c r="G471" s="65" t="s">
        <v>20</v>
      </c>
      <c r="H471" s="65" t="s">
        <v>928</v>
      </c>
      <c r="I471" s="65">
        <v>201411</v>
      </c>
      <c r="J471" s="66">
        <v>-1080.8800000000001</v>
      </c>
      <c r="K471" s="72">
        <f t="shared" si="36"/>
        <v>42675</v>
      </c>
      <c r="L471" s="67">
        <f t="shared" ref="L471:L541" si="39">((YEAR($L$1)-YEAR(K471))*12+MONTH($L$1)-MONTH(K471))</f>
        <v>6</v>
      </c>
      <c r="M471" s="68">
        <v>1.4833299999999999E-3</v>
      </c>
      <c r="N471" s="69">
        <f t="shared" ref="N471:N541" si="40">M471*L471*J471</f>
        <v>-9.6198103824000007</v>
      </c>
      <c r="O471" s="66"/>
      <c r="P471" s="71">
        <f t="shared" si="37"/>
        <v>0</v>
      </c>
      <c r="Q471" s="132"/>
      <c r="R471" s="71">
        <f t="shared" si="38"/>
        <v>-16.539040283333332</v>
      </c>
      <c r="S471" s="64"/>
    </row>
    <row r="472" spans="1:19">
      <c r="A472" s="64" t="s">
        <v>626</v>
      </c>
      <c r="B472" s="65" t="s">
        <v>1088</v>
      </c>
      <c r="C472" s="65" t="s">
        <v>1089</v>
      </c>
      <c r="D472" s="64" t="s">
        <v>1090</v>
      </c>
      <c r="E472" s="65" t="s">
        <v>415</v>
      </c>
      <c r="F472" s="64" t="s">
        <v>88</v>
      </c>
      <c r="G472" s="65" t="s">
        <v>20</v>
      </c>
      <c r="H472" s="65" t="s">
        <v>929</v>
      </c>
      <c r="I472" s="65">
        <v>201411</v>
      </c>
      <c r="J472" s="66">
        <v>156809.47</v>
      </c>
      <c r="K472" s="72">
        <f t="shared" si="36"/>
        <v>42675</v>
      </c>
      <c r="L472" s="67">
        <f t="shared" si="39"/>
        <v>6</v>
      </c>
      <c r="M472" s="68">
        <v>1.4833299999999999E-3</v>
      </c>
      <c r="N472" s="69">
        <f t="shared" si="40"/>
        <v>1395.6011468106001</v>
      </c>
      <c r="O472" s="66"/>
      <c r="P472" s="71">
        <f t="shared" si="37"/>
        <v>0</v>
      </c>
      <c r="Q472" s="132"/>
      <c r="R472" s="71">
        <f t="shared" si="38"/>
        <v>2399.4135714770832</v>
      </c>
      <c r="S472" s="64"/>
    </row>
    <row r="473" spans="1:19">
      <c r="A473" s="64" t="s">
        <v>626</v>
      </c>
      <c r="B473" s="65" t="s">
        <v>1091</v>
      </c>
      <c r="C473" s="65" t="s">
        <v>1092</v>
      </c>
      <c r="D473" s="64" t="s">
        <v>1093</v>
      </c>
      <c r="E473" s="65" t="s">
        <v>962</v>
      </c>
      <c r="F473" s="64" t="s">
        <v>88</v>
      </c>
      <c r="G473" s="65" t="s">
        <v>20</v>
      </c>
      <c r="H473" s="65" t="s">
        <v>929</v>
      </c>
      <c r="I473" s="65">
        <v>201411</v>
      </c>
      <c r="J473" s="66">
        <v>100429.48</v>
      </c>
      <c r="K473" s="72">
        <f t="shared" si="36"/>
        <v>42675</v>
      </c>
      <c r="L473" s="67">
        <f t="shared" si="39"/>
        <v>6</v>
      </c>
      <c r="M473" s="68">
        <v>1.4833299999999999E-3</v>
      </c>
      <c r="N473" s="69">
        <f t="shared" si="40"/>
        <v>893.82036341039998</v>
      </c>
      <c r="O473" s="66"/>
      <c r="P473" s="71">
        <f t="shared" si="37"/>
        <v>0</v>
      </c>
      <c r="Q473" s="132"/>
      <c r="R473" s="71">
        <f t="shared" si="38"/>
        <v>1536.7175036583333</v>
      </c>
      <c r="S473" s="64"/>
    </row>
    <row r="474" spans="1:19">
      <c r="A474" s="64" t="s">
        <v>626</v>
      </c>
      <c r="B474" s="65" t="s">
        <v>1094</v>
      </c>
      <c r="C474" s="65" t="s">
        <v>1095</v>
      </c>
      <c r="D474" s="64" t="s">
        <v>1096</v>
      </c>
      <c r="E474" s="65" t="s">
        <v>452</v>
      </c>
      <c r="F474" s="64" t="s">
        <v>398</v>
      </c>
      <c r="G474" s="65" t="s">
        <v>20</v>
      </c>
      <c r="H474" s="65" t="s">
        <v>929</v>
      </c>
      <c r="I474" s="65">
        <v>201411</v>
      </c>
      <c r="J474" s="66">
        <v>37016.21</v>
      </c>
      <c r="K474" s="72">
        <f t="shared" si="36"/>
        <v>42675</v>
      </c>
      <c r="L474" s="67">
        <f t="shared" si="39"/>
        <v>6</v>
      </c>
      <c r="M474" s="68">
        <v>1.4833299999999999E-3</v>
      </c>
      <c r="N474" s="69">
        <f t="shared" si="40"/>
        <v>329.4435286758</v>
      </c>
      <c r="O474" s="66"/>
      <c r="P474" s="71">
        <f t="shared" si="37"/>
        <v>0</v>
      </c>
      <c r="Q474" s="132"/>
      <c r="R474" s="71">
        <f t="shared" si="38"/>
        <v>566.40199497291667</v>
      </c>
      <c r="S474" s="64"/>
    </row>
    <row r="475" spans="1:19">
      <c r="A475" s="64" t="s">
        <v>626</v>
      </c>
      <c r="B475" s="65" t="s">
        <v>963</v>
      </c>
      <c r="C475" s="65" t="s">
        <v>964</v>
      </c>
      <c r="D475" s="64" t="s">
        <v>965</v>
      </c>
      <c r="E475" s="65" t="s">
        <v>164</v>
      </c>
      <c r="F475" s="64" t="s">
        <v>165</v>
      </c>
      <c r="G475" s="65" t="s">
        <v>20</v>
      </c>
      <c r="H475" s="65" t="s">
        <v>928</v>
      </c>
      <c r="I475" s="65">
        <v>201411</v>
      </c>
      <c r="J475" s="66">
        <v>-767.04</v>
      </c>
      <c r="K475" s="72">
        <f t="shared" si="36"/>
        <v>42675</v>
      </c>
      <c r="L475" s="67">
        <f t="shared" si="39"/>
        <v>6</v>
      </c>
      <c r="M475" s="68">
        <v>1.4833299999999999E-3</v>
      </c>
      <c r="N475" s="69">
        <f t="shared" si="40"/>
        <v>-6.8266406591999997</v>
      </c>
      <c r="O475" s="66"/>
      <c r="P475" s="71">
        <f t="shared" si="37"/>
        <v>0</v>
      </c>
      <c r="Q475" s="132"/>
      <c r="R475" s="71">
        <f t="shared" si="38"/>
        <v>-11.736830599999999</v>
      </c>
      <c r="S475" s="64"/>
    </row>
    <row r="476" spans="1:19">
      <c r="A476" s="64" t="s">
        <v>21</v>
      </c>
      <c r="B476" s="65" t="s">
        <v>966</v>
      </c>
      <c r="C476" s="65" t="s">
        <v>967</v>
      </c>
      <c r="D476" s="64" t="s">
        <v>968</v>
      </c>
      <c r="E476" s="65" t="s">
        <v>209</v>
      </c>
      <c r="F476" s="64" t="s">
        <v>88</v>
      </c>
      <c r="G476" s="65" t="s">
        <v>20</v>
      </c>
      <c r="H476" s="65" t="s">
        <v>929</v>
      </c>
      <c r="I476" s="65">
        <v>201411</v>
      </c>
      <c r="J476" s="66">
        <v>-42.39</v>
      </c>
      <c r="K476" s="72">
        <f t="shared" si="36"/>
        <v>42675</v>
      </c>
      <c r="L476" s="67">
        <f t="shared" si="39"/>
        <v>6</v>
      </c>
      <c r="M476" s="68">
        <v>1.4833299999999999E-3</v>
      </c>
      <c r="N476" s="69">
        <f t="shared" si="40"/>
        <v>-0.37727015219999999</v>
      </c>
      <c r="O476" s="66"/>
      <c r="P476" s="71">
        <f t="shared" si="37"/>
        <v>0</v>
      </c>
      <c r="Q476" s="132"/>
      <c r="R476" s="71">
        <f t="shared" si="38"/>
        <v>-0.64862881874999989</v>
      </c>
      <c r="S476" s="64"/>
    </row>
    <row r="477" spans="1:19">
      <c r="A477" s="64" t="s">
        <v>626</v>
      </c>
      <c r="B477" s="65" t="s">
        <v>1044</v>
      </c>
      <c r="C477" s="65" t="s">
        <v>1045</v>
      </c>
      <c r="D477" s="64" t="s">
        <v>1046</v>
      </c>
      <c r="E477" s="65" t="s">
        <v>164</v>
      </c>
      <c r="F477" s="64" t="s">
        <v>165</v>
      </c>
      <c r="G477" s="65" t="s">
        <v>20</v>
      </c>
      <c r="H477" s="65" t="s">
        <v>928</v>
      </c>
      <c r="I477" s="65">
        <v>201411</v>
      </c>
      <c r="J477" s="66">
        <v>88675.88</v>
      </c>
      <c r="K477" s="72">
        <f t="shared" si="36"/>
        <v>42675</v>
      </c>
      <c r="L477" s="67">
        <f t="shared" si="39"/>
        <v>6</v>
      </c>
      <c r="M477" s="68">
        <v>1.4833299999999999E-3</v>
      </c>
      <c r="N477" s="69">
        <f t="shared" si="40"/>
        <v>789.2135584824</v>
      </c>
      <c r="O477" s="66"/>
      <c r="P477" s="71">
        <f t="shared" si="37"/>
        <v>0</v>
      </c>
      <c r="Q477" s="132"/>
      <c r="R477" s="71">
        <f t="shared" si="38"/>
        <v>1356.8702829916665</v>
      </c>
      <c r="S477" s="64"/>
    </row>
    <row r="478" spans="1:19">
      <c r="A478" s="64" t="s">
        <v>626</v>
      </c>
      <c r="B478" s="65" t="s">
        <v>969</v>
      </c>
      <c r="C478" s="65" t="s">
        <v>970</v>
      </c>
      <c r="D478" s="64" t="s">
        <v>971</v>
      </c>
      <c r="E478" s="65" t="s">
        <v>164</v>
      </c>
      <c r="F478" s="64" t="s">
        <v>165</v>
      </c>
      <c r="G478" s="65" t="s">
        <v>20</v>
      </c>
      <c r="H478" s="65" t="s">
        <v>928</v>
      </c>
      <c r="I478" s="65">
        <v>201411</v>
      </c>
      <c r="J478" s="66">
        <v>11910.35</v>
      </c>
      <c r="K478" s="72">
        <f t="shared" si="36"/>
        <v>42675</v>
      </c>
      <c r="L478" s="67">
        <f t="shared" si="39"/>
        <v>6</v>
      </c>
      <c r="M478" s="68">
        <v>1.4833299999999999E-3</v>
      </c>
      <c r="N478" s="69">
        <f t="shared" si="40"/>
        <v>106.00187679300001</v>
      </c>
      <c r="O478" s="66"/>
      <c r="P478" s="71">
        <f t="shared" si="37"/>
        <v>0</v>
      </c>
      <c r="Q478" s="132"/>
      <c r="R478" s="71">
        <f t="shared" si="38"/>
        <v>182.24572426041667</v>
      </c>
      <c r="S478" s="64"/>
    </row>
    <row r="479" spans="1:19">
      <c r="A479" s="64" t="s">
        <v>21</v>
      </c>
      <c r="B479" s="65" t="s">
        <v>879</v>
      </c>
      <c r="C479" s="65" t="s">
        <v>880</v>
      </c>
      <c r="D479" s="64" t="s">
        <v>881</v>
      </c>
      <c r="E479" s="65" t="s">
        <v>87</v>
      </c>
      <c r="F479" s="64" t="s">
        <v>88</v>
      </c>
      <c r="G479" s="65" t="s">
        <v>20</v>
      </c>
      <c r="H479" s="65" t="s">
        <v>929</v>
      </c>
      <c r="I479" s="65">
        <v>201411</v>
      </c>
      <c r="J479" s="66">
        <v>0</v>
      </c>
      <c r="K479" s="72">
        <f t="shared" si="36"/>
        <v>42675</v>
      </c>
      <c r="L479" s="67">
        <f t="shared" si="39"/>
        <v>6</v>
      </c>
      <c r="M479" s="68">
        <v>1.4833299999999999E-3</v>
      </c>
      <c r="N479" s="69">
        <f t="shared" si="40"/>
        <v>0</v>
      </c>
      <c r="O479" s="66"/>
      <c r="P479" s="71">
        <f t="shared" si="37"/>
        <v>0</v>
      </c>
      <c r="Q479" s="132"/>
      <c r="R479" s="71">
        <f t="shared" si="38"/>
        <v>0</v>
      </c>
      <c r="S479" s="64"/>
    </row>
    <row r="480" spans="1:19">
      <c r="A480" s="64" t="s">
        <v>21</v>
      </c>
      <c r="B480" s="65" t="s">
        <v>882</v>
      </c>
      <c r="C480" s="65" t="s">
        <v>883</v>
      </c>
      <c r="D480" s="64" t="s">
        <v>884</v>
      </c>
      <c r="E480" s="65" t="s">
        <v>87</v>
      </c>
      <c r="F480" s="64" t="s">
        <v>88</v>
      </c>
      <c r="G480" s="65" t="s">
        <v>20</v>
      </c>
      <c r="H480" s="65" t="s">
        <v>929</v>
      </c>
      <c r="I480" s="65">
        <v>201411</v>
      </c>
      <c r="J480" s="66">
        <v>-45.74</v>
      </c>
      <c r="K480" s="72">
        <f t="shared" si="36"/>
        <v>42675</v>
      </c>
      <c r="L480" s="67">
        <f t="shared" si="39"/>
        <v>6</v>
      </c>
      <c r="M480" s="68">
        <v>1.4833299999999999E-3</v>
      </c>
      <c r="N480" s="69">
        <f t="shared" si="40"/>
        <v>-0.40708508520000003</v>
      </c>
      <c r="O480" s="66"/>
      <c r="P480" s="71">
        <f t="shared" si="37"/>
        <v>0</v>
      </c>
      <c r="Q480" s="132"/>
      <c r="R480" s="71">
        <f t="shared" si="38"/>
        <v>-0.69988870416666671</v>
      </c>
      <c r="S480" s="64"/>
    </row>
    <row r="481" spans="1:19">
      <c r="A481" s="64" t="s">
        <v>626</v>
      </c>
      <c r="B481" s="65" t="s">
        <v>975</v>
      </c>
      <c r="C481" s="65" t="s">
        <v>976</v>
      </c>
      <c r="D481" s="64" t="s">
        <v>977</v>
      </c>
      <c r="E481" s="65" t="s">
        <v>87</v>
      </c>
      <c r="F481" s="64" t="s">
        <v>88</v>
      </c>
      <c r="G481" s="65" t="s">
        <v>20</v>
      </c>
      <c r="H481" s="65" t="s">
        <v>929</v>
      </c>
      <c r="I481" s="65">
        <v>201411</v>
      </c>
      <c r="J481" s="66">
        <v>1379.28</v>
      </c>
      <c r="K481" s="72">
        <f t="shared" si="36"/>
        <v>42675</v>
      </c>
      <c r="L481" s="67">
        <f t="shared" si="39"/>
        <v>6</v>
      </c>
      <c r="M481" s="68">
        <v>1.4833299999999999E-3</v>
      </c>
      <c r="N481" s="69">
        <f t="shared" si="40"/>
        <v>12.2755644144</v>
      </c>
      <c r="O481" s="66"/>
      <c r="P481" s="71">
        <f t="shared" si="37"/>
        <v>0</v>
      </c>
      <c r="Q481" s="132"/>
      <c r="R481" s="71">
        <f t="shared" si="38"/>
        <v>21.104995449999997</v>
      </c>
      <c r="S481" s="64"/>
    </row>
    <row r="482" spans="1:19">
      <c r="A482" s="64" t="s">
        <v>626</v>
      </c>
      <c r="B482" s="65" t="s">
        <v>885</v>
      </c>
      <c r="C482" s="65" t="s">
        <v>886</v>
      </c>
      <c r="D482" s="64" t="s">
        <v>887</v>
      </c>
      <c r="E482" s="65" t="s">
        <v>93</v>
      </c>
      <c r="F482" s="64" t="s">
        <v>88</v>
      </c>
      <c r="G482" s="65" t="s">
        <v>20</v>
      </c>
      <c r="H482" s="65" t="s">
        <v>929</v>
      </c>
      <c r="I482" s="65">
        <v>201411</v>
      </c>
      <c r="J482" s="66">
        <v>-10648.99</v>
      </c>
      <c r="K482" s="72">
        <f t="shared" si="36"/>
        <v>42675</v>
      </c>
      <c r="L482" s="67">
        <f t="shared" si="39"/>
        <v>6</v>
      </c>
      <c r="M482" s="68">
        <v>1.4833299999999999E-3</v>
      </c>
      <c r="N482" s="69">
        <f t="shared" si="40"/>
        <v>-94.7757980202</v>
      </c>
      <c r="O482" s="66"/>
      <c r="P482" s="71">
        <f t="shared" si="37"/>
        <v>0</v>
      </c>
      <c r="Q482" s="132"/>
      <c r="R482" s="71">
        <f t="shared" si="38"/>
        <v>-162.94507677708333</v>
      </c>
      <c r="S482" s="64"/>
    </row>
    <row r="483" spans="1:19">
      <c r="A483" s="64" t="s">
        <v>626</v>
      </c>
      <c r="B483" s="65" t="s">
        <v>1097</v>
      </c>
      <c r="C483" s="65" t="s">
        <v>1098</v>
      </c>
      <c r="D483" s="64" t="s">
        <v>1099</v>
      </c>
      <c r="E483" s="65" t="s">
        <v>452</v>
      </c>
      <c r="F483" s="64" t="s">
        <v>398</v>
      </c>
      <c r="G483" s="65" t="s">
        <v>20</v>
      </c>
      <c r="H483" s="65" t="s">
        <v>929</v>
      </c>
      <c r="I483" s="65">
        <v>201411</v>
      </c>
      <c r="J483" s="66">
        <v>46130.239999999998</v>
      </c>
      <c r="K483" s="72">
        <f t="shared" si="36"/>
        <v>42675</v>
      </c>
      <c r="L483" s="67">
        <f t="shared" si="39"/>
        <v>6</v>
      </c>
      <c r="M483" s="68">
        <v>1.4833299999999999E-3</v>
      </c>
      <c r="N483" s="69">
        <f t="shared" si="40"/>
        <v>410.55821339519997</v>
      </c>
      <c r="O483" s="66"/>
      <c r="P483" s="71">
        <f t="shared" si="37"/>
        <v>0</v>
      </c>
      <c r="Q483" s="132"/>
      <c r="R483" s="71">
        <f t="shared" si="38"/>
        <v>705.85994526666661</v>
      </c>
      <c r="S483" s="64"/>
    </row>
    <row r="484" spans="1:19">
      <c r="A484" s="64" t="s">
        <v>626</v>
      </c>
      <c r="B484" s="65" t="s">
        <v>1100</v>
      </c>
      <c r="C484" s="65" t="s">
        <v>1101</v>
      </c>
      <c r="D484" s="64" t="s">
        <v>1102</v>
      </c>
      <c r="E484" s="65" t="s">
        <v>397</v>
      </c>
      <c r="F484" s="64" t="s">
        <v>398</v>
      </c>
      <c r="G484" s="65" t="s">
        <v>20</v>
      </c>
      <c r="H484" s="65" t="s">
        <v>929</v>
      </c>
      <c r="I484" s="65">
        <v>201411</v>
      </c>
      <c r="J484" s="66">
        <v>35042.230000000003</v>
      </c>
      <c r="K484" s="72">
        <f t="shared" si="36"/>
        <v>42675</v>
      </c>
      <c r="L484" s="67">
        <f t="shared" si="39"/>
        <v>6</v>
      </c>
      <c r="M484" s="68">
        <v>1.4833299999999999E-3</v>
      </c>
      <c r="N484" s="69">
        <f t="shared" si="40"/>
        <v>311.87514615540005</v>
      </c>
      <c r="O484" s="66"/>
      <c r="P484" s="71">
        <f t="shared" si="37"/>
        <v>0</v>
      </c>
      <c r="Q484" s="132"/>
      <c r="R484" s="71">
        <f t="shared" si="38"/>
        <v>536.19722225208329</v>
      </c>
      <c r="S484" s="64"/>
    </row>
    <row r="485" spans="1:19">
      <c r="A485" s="64" t="s">
        <v>626</v>
      </c>
      <c r="B485" s="65" t="s">
        <v>912</v>
      </c>
      <c r="C485" s="65" t="s">
        <v>913</v>
      </c>
      <c r="D485" s="64" t="s">
        <v>914</v>
      </c>
      <c r="E485" s="65" t="s">
        <v>164</v>
      </c>
      <c r="F485" s="64" t="s">
        <v>165</v>
      </c>
      <c r="G485" s="65" t="s">
        <v>20</v>
      </c>
      <c r="H485" s="65" t="s">
        <v>928</v>
      </c>
      <c r="I485" s="65">
        <v>201411</v>
      </c>
      <c r="J485" s="66">
        <v>-208.96</v>
      </c>
      <c r="K485" s="72">
        <f t="shared" si="36"/>
        <v>42675</v>
      </c>
      <c r="L485" s="67">
        <f t="shared" si="39"/>
        <v>6</v>
      </c>
      <c r="M485" s="68">
        <v>1.4833299999999999E-3</v>
      </c>
      <c r="N485" s="69">
        <f t="shared" si="40"/>
        <v>-1.8597398208</v>
      </c>
      <c r="O485" s="66"/>
      <c r="P485" s="71">
        <f t="shared" si="37"/>
        <v>0</v>
      </c>
      <c r="Q485" s="132"/>
      <c r="R485" s="71">
        <f t="shared" si="38"/>
        <v>-3.1973927333333334</v>
      </c>
      <c r="S485" s="64"/>
    </row>
    <row r="486" spans="1:19">
      <c r="A486" s="64" t="s">
        <v>626</v>
      </c>
      <c r="B486" s="65" t="s">
        <v>1047</v>
      </c>
      <c r="C486" s="65" t="s">
        <v>1048</v>
      </c>
      <c r="D486" s="64" t="s">
        <v>1049</v>
      </c>
      <c r="E486" s="65" t="s">
        <v>164</v>
      </c>
      <c r="F486" s="64" t="s">
        <v>165</v>
      </c>
      <c r="G486" s="65" t="s">
        <v>20</v>
      </c>
      <c r="H486" s="65" t="s">
        <v>928</v>
      </c>
      <c r="I486" s="65">
        <v>201411</v>
      </c>
      <c r="J486" s="66">
        <v>-8191.63</v>
      </c>
      <c r="K486" s="72">
        <f t="shared" si="36"/>
        <v>42675</v>
      </c>
      <c r="L486" s="67">
        <f t="shared" si="39"/>
        <v>6</v>
      </c>
      <c r="M486" s="68">
        <v>1.4833299999999999E-3</v>
      </c>
      <c r="N486" s="69">
        <f t="shared" si="40"/>
        <v>-72.905343167400005</v>
      </c>
      <c r="O486" s="66"/>
      <c r="P486" s="71">
        <f t="shared" si="37"/>
        <v>0</v>
      </c>
      <c r="Q486" s="132"/>
      <c r="R486" s="71">
        <f t="shared" si="38"/>
        <v>-125.34388512708333</v>
      </c>
      <c r="S486" s="64"/>
    </row>
    <row r="487" spans="1:19">
      <c r="A487" s="64" t="s">
        <v>626</v>
      </c>
      <c r="B487" s="65" t="s">
        <v>1103</v>
      </c>
      <c r="C487" s="65" t="s">
        <v>1104</v>
      </c>
      <c r="D487" s="64" t="s">
        <v>1105</v>
      </c>
      <c r="E487" s="65" t="s">
        <v>87</v>
      </c>
      <c r="F487" s="64" t="s">
        <v>88</v>
      </c>
      <c r="G487" s="65" t="s">
        <v>20</v>
      </c>
      <c r="H487" s="65" t="s">
        <v>929</v>
      </c>
      <c r="I487" s="65">
        <v>201411</v>
      </c>
      <c r="J487" s="66">
        <v>19878.39</v>
      </c>
      <c r="K487" s="72">
        <f t="shared" si="36"/>
        <v>42675</v>
      </c>
      <c r="L487" s="67">
        <f t="shared" si="39"/>
        <v>6</v>
      </c>
      <c r="M487" s="68">
        <v>1.4833299999999999E-3</v>
      </c>
      <c r="N487" s="69">
        <f t="shared" si="40"/>
        <v>176.91727343220001</v>
      </c>
      <c r="O487" s="66"/>
      <c r="P487" s="71">
        <f t="shared" si="37"/>
        <v>0</v>
      </c>
      <c r="Q487" s="132"/>
      <c r="R487" s="71">
        <f t="shared" si="38"/>
        <v>304.16835631875</v>
      </c>
      <c r="S487" s="64"/>
    </row>
    <row r="488" spans="1:19">
      <c r="A488" s="64" t="s">
        <v>626</v>
      </c>
      <c r="B488" s="65" t="s">
        <v>1106</v>
      </c>
      <c r="C488" s="65" t="s">
        <v>1107</v>
      </c>
      <c r="D488" s="64" t="s">
        <v>1108</v>
      </c>
      <c r="E488" s="65" t="s">
        <v>18</v>
      </c>
      <c r="F488" s="64" t="s">
        <v>19</v>
      </c>
      <c r="G488" s="65" t="s">
        <v>20</v>
      </c>
      <c r="H488" s="65" t="s">
        <v>928</v>
      </c>
      <c r="I488" s="65">
        <v>201411</v>
      </c>
      <c r="J488" s="66">
        <v>20478.060000000001</v>
      </c>
      <c r="K488" s="72">
        <f t="shared" si="36"/>
        <v>42675</v>
      </c>
      <c r="L488" s="67">
        <f t="shared" si="39"/>
        <v>6</v>
      </c>
      <c r="M488" s="68">
        <v>1.4833299999999999E-3</v>
      </c>
      <c r="N488" s="69">
        <f t="shared" si="40"/>
        <v>182.25432443880001</v>
      </c>
      <c r="O488" s="66"/>
      <c r="P488" s="71">
        <f t="shared" si="37"/>
        <v>0</v>
      </c>
      <c r="Q488" s="132"/>
      <c r="R488" s="71">
        <f t="shared" si="38"/>
        <v>313.34418183749995</v>
      </c>
      <c r="S488" s="64"/>
    </row>
    <row r="489" spans="1:19">
      <c r="A489" s="64" t="s">
        <v>21</v>
      </c>
      <c r="B489" s="65" t="s">
        <v>978</v>
      </c>
      <c r="C489" s="65" t="s">
        <v>979</v>
      </c>
      <c r="D489" s="64" t="s">
        <v>980</v>
      </c>
      <c r="E489" s="65" t="s">
        <v>102</v>
      </c>
      <c r="F489" s="64" t="s">
        <v>19</v>
      </c>
      <c r="G489" s="65" t="s">
        <v>20</v>
      </c>
      <c r="H489" s="65" t="s">
        <v>928</v>
      </c>
      <c r="I489" s="65">
        <v>201411</v>
      </c>
      <c r="J489" s="66">
        <v>0</v>
      </c>
      <c r="K489" s="72">
        <f t="shared" si="36"/>
        <v>42675</v>
      </c>
      <c r="L489" s="67">
        <f t="shared" si="39"/>
        <v>6</v>
      </c>
      <c r="M489" s="68">
        <v>1.4833299999999999E-3</v>
      </c>
      <c r="N489" s="69">
        <f t="shared" si="40"/>
        <v>0</v>
      </c>
      <c r="O489" s="66"/>
      <c r="P489" s="71">
        <f t="shared" si="37"/>
        <v>0</v>
      </c>
      <c r="Q489" s="132"/>
      <c r="R489" s="71">
        <f t="shared" si="38"/>
        <v>0</v>
      </c>
      <c r="S489" s="64"/>
    </row>
    <row r="490" spans="1:19">
      <c r="A490" s="64" t="s">
        <v>626</v>
      </c>
      <c r="B490" s="65" t="s">
        <v>1109</v>
      </c>
      <c r="C490" s="65" t="s">
        <v>1110</v>
      </c>
      <c r="D490" s="64" t="s">
        <v>1111</v>
      </c>
      <c r="E490" s="65" t="s">
        <v>260</v>
      </c>
      <c r="F490" s="64" t="s">
        <v>26</v>
      </c>
      <c r="G490" s="65" t="s">
        <v>20</v>
      </c>
      <c r="H490" s="65" t="s">
        <v>928</v>
      </c>
      <c r="I490" s="65">
        <v>201411</v>
      </c>
      <c r="J490" s="66">
        <v>19239.02</v>
      </c>
      <c r="K490" s="72">
        <f t="shared" si="36"/>
        <v>42675</v>
      </c>
      <c r="L490" s="67">
        <f t="shared" si="39"/>
        <v>6</v>
      </c>
      <c r="M490" s="68">
        <v>1.4833299999999999E-3</v>
      </c>
      <c r="N490" s="69">
        <f t="shared" si="40"/>
        <v>171.22689321960002</v>
      </c>
      <c r="O490" s="66"/>
      <c r="P490" s="71">
        <f t="shared" si="37"/>
        <v>0</v>
      </c>
      <c r="Q490" s="132"/>
      <c r="R490" s="71">
        <f t="shared" si="38"/>
        <v>294.38506290416666</v>
      </c>
      <c r="S490" s="64"/>
    </row>
    <row r="491" spans="1:19">
      <c r="A491" s="64" t="s">
        <v>626</v>
      </c>
      <c r="B491" s="65" t="s">
        <v>1050</v>
      </c>
      <c r="C491" s="65" t="s">
        <v>1051</v>
      </c>
      <c r="D491" s="64" t="s">
        <v>1052</v>
      </c>
      <c r="E491" s="65" t="s">
        <v>164</v>
      </c>
      <c r="F491" s="64" t="s">
        <v>165</v>
      </c>
      <c r="G491" s="65" t="s">
        <v>20</v>
      </c>
      <c r="H491" s="65" t="s">
        <v>928</v>
      </c>
      <c r="I491" s="65">
        <v>201411</v>
      </c>
      <c r="J491" s="66">
        <v>8538.86</v>
      </c>
      <c r="K491" s="72">
        <f t="shared" si="36"/>
        <v>42675</v>
      </c>
      <c r="L491" s="67">
        <f t="shared" si="39"/>
        <v>6</v>
      </c>
      <c r="M491" s="68">
        <v>1.4833299999999999E-3</v>
      </c>
      <c r="N491" s="69">
        <f t="shared" si="40"/>
        <v>75.995683222800011</v>
      </c>
      <c r="O491" s="66"/>
      <c r="P491" s="71">
        <f t="shared" si="37"/>
        <v>0</v>
      </c>
      <c r="Q491" s="132"/>
      <c r="R491" s="71">
        <f t="shared" si="38"/>
        <v>130.65701050416666</v>
      </c>
      <c r="S491" s="64"/>
    </row>
    <row r="492" spans="1:19">
      <c r="A492" s="64" t="s">
        <v>626</v>
      </c>
      <c r="B492" s="65" t="s">
        <v>981</v>
      </c>
      <c r="C492" s="65" t="s">
        <v>982</v>
      </c>
      <c r="D492" s="64" t="s">
        <v>983</v>
      </c>
      <c r="E492" s="65" t="s">
        <v>531</v>
      </c>
      <c r="F492" s="64" t="s">
        <v>26</v>
      </c>
      <c r="G492" s="65" t="s">
        <v>20</v>
      </c>
      <c r="H492" s="65" t="s">
        <v>928</v>
      </c>
      <c r="I492" s="65">
        <v>201411</v>
      </c>
      <c r="J492" s="66">
        <v>-4489.25</v>
      </c>
      <c r="K492" s="72">
        <f t="shared" si="36"/>
        <v>42675</v>
      </c>
      <c r="L492" s="67">
        <f t="shared" si="39"/>
        <v>6</v>
      </c>
      <c r="M492" s="68">
        <v>1.4833299999999999E-3</v>
      </c>
      <c r="N492" s="69">
        <f t="shared" si="40"/>
        <v>-39.954235214999997</v>
      </c>
      <c r="O492" s="66"/>
      <c r="P492" s="71">
        <f t="shared" si="37"/>
        <v>0</v>
      </c>
      <c r="Q492" s="132"/>
      <c r="R492" s="71">
        <f t="shared" si="38"/>
        <v>-68.69207182291666</v>
      </c>
      <c r="S492" s="64"/>
    </row>
    <row r="493" spans="1:19">
      <c r="A493" s="64" t="s">
        <v>626</v>
      </c>
      <c r="B493" s="65" t="s">
        <v>1053</v>
      </c>
      <c r="C493" s="65" t="s">
        <v>1054</v>
      </c>
      <c r="D493" s="64" t="s">
        <v>1055</v>
      </c>
      <c r="E493" s="65" t="s">
        <v>160</v>
      </c>
      <c r="F493" s="64" t="s">
        <v>19</v>
      </c>
      <c r="G493" s="65" t="s">
        <v>20</v>
      </c>
      <c r="H493" s="65" t="s">
        <v>928</v>
      </c>
      <c r="I493" s="65">
        <v>201411</v>
      </c>
      <c r="J493" s="66">
        <v>-4496.3500000000004</v>
      </c>
      <c r="K493" s="72">
        <f t="shared" si="36"/>
        <v>42675</v>
      </c>
      <c r="L493" s="67">
        <f t="shared" si="39"/>
        <v>6</v>
      </c>
      <c r="M493" s="68">
        <v>1.4833299999999999E-3</v>
      </c>
      <c r="N493" s="69">
        <f t="shared" si="40"/>
        <v>-40.017425073000005</v>
      </c>
      <c r="O493" s="66"/>
      <c r="P493" s="71">
        <f t="shared" si="37"/>
        <v>0</v>
      </c>
      <c r="Q493" s="132"/>
      <c r="R493" s="71">
        <f t="shared" si="38"/>
        <v>-68.800712177083327</v>
      </c>
      <c r="S493" s="64"/>
    </row>
    <row r="494" spans="1:19">
      <c r="A494" s="64" t="s">
        <v>626</v>
      </c>
      <c r="B494" s="65" t="s">
        <v>1056</v>
      </c>
      <c r="C494" s="65" t="s">
        <v>1057</v>
      </c>
      <c r="D494" s="64" t="s">
        <v>1058</v>
      </c>
      <c r="E494" s="65" t="s">
        <v>1059</v>
      </c>
      <c r="F494" s="64" t="s">
        <v>26</v>
      </c>
      <c r="G494" s="65" t="s">
        <v>20</v>
      </c>
      <c r="H494" s="65" t="s">
        <v>928</v>
      </c>
      <c r="I494" s="65">
        <v>201411</v>
      </c>
      <c r="J494" s="66">
        <v>5145.3999999999996</v>
      </c>
      <c r="K494" s="72">
        <f t="shared" ref="K494:K557" si="41">+K493</f>
        <v>42675</v>
      </c>
      <c r="L494" s="67">
        <f t="shared" si="39"/>
        <v>6</v>
      </c>
      <c r="M494" s="68">
        <v>1.4833299999999999E-3</v>
      </c>
      <c r="N494" s="69">
        <f t="shared" si="40"/>
        <v>45.793957091999999</v>
      </c>
      <c r="O494" s="66"/>
      <c r="P494" s="71">
        <f t="shared" ref="P494:P557" si="42">$P$300*J494*$U$11</f>
        <v>0</v>
      </c>
      <c r="Q494" s="132"/>
      <c r="R494" s="71">
        <f t="shared" ref="R494:R557" si="43">$R$300*J494*$U$12</f>
        <v>78.732123708333319</v>
      </c>
      <c r="S494" s="64"/>
    </row>
    <row r="495" spans="1:19">
      <c r="A495" s="64" t="s">
        <v>626</v>
      </c>
      <c r="B495" s="65" t="s">
        <v>987</v>
      </c>
      <c r="C495" s="65" t="s">
        <v>988</v>
      </c>
      <c r="D495" s="64" t="s">
        <v>989</v>
      </c>
      <c r="E495" s="65" t="s">
        <v>63</v>
      </c>
      <c r="F495" s="64" t="s">
        <v>19</v>
      </c>
      <c r="G495" s="65" t="s">
        <v>20</v>
      </c>
      <c r="H495" s="65" t="s">
        <v>928</v>
      </c>
      <c r="I495" s="65">
        <v>201411</v>
      </c>
      <c r="J495" s="66">
        <v>0</v>
      </c>
      <c r="K495" s="72">
        <f t="shared" si="41"/>
        <v>42675</v>
      </c>
      <c r="L495" s="67">
        <f t="shared" si="39"/>
        <v>6</v>
      </c>
      <c r="M495" s="68">
        <v>1.4833299999999999E-3</v>
      </c>
      <c r="N495" s="69">
        <f t="shared" si="40"/>
        <v>0</v>
      </c>
      <c r="O495" s="66"/>
      <c r="P495" s="71">
        <f t="shared" si="42"/>
        <v>0</v>
      </c>
      <c r="Q495" s="132"/>
      <c r="R495" s="71">
        <f t="shared" si="43"/>
        <v>0</v>
      </c>
      <c r="S495" s="64"/>
    </row>
    <row r="496" spans="1:19">
      <c r="A496" s="64" t="s">
        <v>29</v>
      </c>
      <c r="B496" s="65" t="s">
        <v>1060</v>
      </c>
      <c r="C496" s="65" t="s">
        <v>1061</v>
      </c>
      <c r="D496" s="64" t="s">
        <v>1062</v>
      </c>
      <c r="E496" s="65" t="s">
        <v>834</v>
      </c>
      <c r="F496" s="64" t="s">
        <v>835</v>
      </c>
      <c r="G496" s="65" t="s">
        <v>20</v>
      </c>
      <c r="H496" s="65" t="s">
        <v>937</v>
      </c>
      <c r="I496" s="65">
        <v>201411</v>
      </c>
      <c r="J496" s="66">
        <v>0</v>
      </c>
      <c r="K496" s="72">
        <f t="shared" si="41"/>
        <v>42675</v>
      </c>
      <c r="L496" s="67">
        <f t="shared" si="39"/>
        <v>6</v>
      </c>
      <c r="M496" s="68">
        <v>2.23333E-3</v>
      </c>
      <c r="N496" s="69">
        <f>M496*L496*J496</f>
        <v>0</v>
      </c>
      <c r="O496" s="66"/>
      <c r="P496" s="71">
        <f t="shared" si="42"/>
        <v>0</v>
      </c>
      <c r="Q496" s="132"/>
      <c r="R496" s="71">
        <f t="shared" si="43"/>
        <v>0</v>
      </c>
      <c r="S496" s="64"/>
    </row>
    <row r="497" spans="1:19">
      <c r="A497" s="88" t="s">
        <v>990</v>
      </c>
      <c r="B497" s="89" t="s">
        <v>991</v>
      </c>
      <c r="C497" s="89" t="s">
        <v>992</v>
      </c>
      <c r="D497" s="88" t="s">
        <v>993</v>
      </c>
      <c r="E497" s="89" t="s">
        <v>994</v>
      </c>
      <c r="F497" s="88" t="s">
        <v>995</v>
      </c>
      <c r="G497" s="89" t="s">
        <v>20</v>
      </c>
      <c r="H497" s="65" t="s">
        <v>933</v>
      </c>
      <c r="I497" s="89">
        <v>201411</v>
      </c>
      <c r="J497" s="90">
        <v>3556.67</v>
      </c>
      <c r="K497" s="72">
        <f t="shared" si="41"/>
        <v>42675</v>
      </c>
      <c r="L497" s="67">
        <f t="shared" si="39"/>
        <v>6</v>
      </c>
      <c r="M497" s="91">
        <v>2.0333333000000001E-3</v>
      </c>
      <c r="N497" s="69">
        <f t="shared" si="40"/>
        <v>43.391373288666003</v>
      </c>
      <c r="O497" s="66"/>
      <c r="P497" s="71">
        <f t="shared" si="42"/>
        <v>0</v>
      </c>
      <c r="Q497" s="132"/>
      <c r="R497" s="71">
        <f t="shared" si="43"/>
        <v>54.422237810416661</v>
      </c>
      <c r="S497" s="64"/>
    </row>
    <row r="498" spans="1:19">
      <c r="A498" s="88" t="s">
        <v>990</v>
      </c>
      <c r="B498" s="89" t="s">
        <v>996</v>
      </c>
      <c r="C498" s="89" t="s">
        <v>997</v>
      </c>
      <c r="D498" s="88" t="s">
        <v>998</v>
      </c>
      <c r="E498" s="89" t="s">
        <v>999</v>
      </c>
      <c r="F498" s="88" t="s">
        <v>995</v>
      </c>
      <c r="G498" s="89" t="s">
        <v>20</v>
      </c>
      <c r="H498" s="65" t="s">
        <v>933</v>
      </c>
      <c r="I498" s="89">
        <v>201411</v>
      </c>
      <c r="J498" s="90">
        <v>-65.48</v>
      </c>
      <c r="K498" s="72">
        <f t="shared" si="41"/>
        <v>42675</v>
      </c>
      <c r="L498" s="67">
        <f t="shared" si="39"/>
        <v>6</v>
      </c>
      <c r="M498" s="91">
        <v>2.0333333000000001E-3</v>
      </c>
      <c r="N498" s="69">
        <f t="shared" si="40"/>
        <v>-0.79885598690400006</v>
      </c>
      <c r="O498" s="66"/>
      <c r="P498" s="71">
        <f t="shared" si="42"/>
        <v>0</v>
      </c>
      <c r="Q498" s="132"/>
      <c r="R498" s="71">
        <f t="shared" si="43"/>
        <v>-1.0019394916666666</v>
      </c>
      <c r="S498" s="64"/>
    </row>
    <row r="499" spans="1:19">
      <c r="A499" s="88" t="s">
        <v>990</v>
      </c>
      <c r="B499" s="89" t="s">
        <v>1000</v>
      </c>
      <c r="C499" s="89" t="s">
        <v>1001</v>
      </c>
      <c r="D499" s="88" t="s">
        <v>998</v>
      </c>
      <c r="E499" s="89" t="s">
        <v>1002</v>
      </c>
      <c r="F499" s="88" t="s">
        <v>995</v>
      </c>
      <c r="G499" s="89" t="s">
        <v>20</v>
      </c>
      <c r="H499" s="65" t="s">
        <v>933</v>
      </c>
      <c r="I499" s="89">
        <v>201411</v>
      </c>
      <c r="J499" s="90">
        <v>12942.18</v>
      </c>
      <c r="K499" s="72">
        <f t="shared" si="41"/>
        <v>42675</v>
      </c>
      <c r="L499" s="67">
        <f t="shared" si="39"/>
        <v>6</v>
      </c>
      <c r="M499" s="91">
        <v>2.0333333000000001E-3</v>
      </c>
      <c r="N499" s="69">
        <f t="shared" si="40"/>
        <v>157.89459341156399</v>
      </c>
      <c r="O499" s="66"/>
      <c r="P499" s="71">
        <f t="shared" si="42"/>
        <v>0</v>
      </c>
      <c r="Q499" s="132"/>
      <c r="R499" s="71">
        <f t="shared" si="43"/>
        <v>198.03422801249997</v>
      </c>
      <c r="S499" s="64"/>
    </row>
    <row r="500" spans="1:19">
      <c r="A500" s="88" t="s">
        <v>990</v>
      </c>
      <c r="B500" s="89" t="s">
        <v>1003</v>
      </c>
      <c r="C500" s="89" t="s">
        <v>1004</v>
      </c>
      <c r="D500" s="88" t="s">
        <v>1005</v>
      </c>
      <c r="E500" s="89" t="s">
        <v>1006</v>
      </c>
      <c r="F500" s="88" t="s">
        <v>995</v>
      </c>
      <c r="G500" s="89" t="s">
        <v>20</v>
      </c>
      <c r="H500" s="65" t="s">
        <v>933</v>
      </c>
      <c r="I500" s="89">
        <v>201411</v>
      </c>
      <c r="J500" s="90">
        <v>7279.43</v>
      </c>
      <c r="K500" s="72">
        <f t="shared" si="41"/>
        <v>42675</v>
      </c>
      <c r="L500" s="67">
        <f t="shared" si="39"/>
        <v>6</v>
      </c>
      <c r="M500" s="91">
        <v>2.0333333000000001E-3</v>
      </c>
      <c r="N500" s="69">
        <f t="shared" si="40"/>
        <v>88.809044544114002</v>
      </c>
      <c r="O500" s="66"/>
      <c r="P500" s="71">
        <f t="shared" si="42"/>
        <v>0</v>
      </c>
      <c r="Q500" s="132"/>
      <c r="R500" s="71">
        <f t="shared" si="43"/>
        <v>111.38589483541666</v>
      </c>
      <c r="S500" s="64"/>
    </row>
    <row r="501" spans="1:19">
      <c r="A501" s="88" t="s">
        <v>990</v>
      </c>
      <c r="B501" s="89" t="s">
        <v>1010</v>
      </c>
      <c r="C501" s="89" t="s">
        <v>1011</v>
      </c>
      <c r="D501" s="88" t="s">
        <v>1012</v>
      </c>
      <c r="E501" s="89" t="s">
        <v>1013</v>
      </c>
      <c r="F501" s="88" t="s">
        <v>995</v>
      </c>
      <c r="G501" s="89" t="s">
        <v>20</v>
      </c>
      <c r="H501" s="65" t="s">
        <v>933</v>
      </c>
      <c r="I501" s="89">
        <v>201411</v>
      </c>
      <c r="J501" s="90">
        <v>13521.65</v>
      </c>
      <c r="K501" s="72">
        <f t="shared" si="41"/>
        <v>42675</v>
      </c>
      <c r="L501" s="67">
        <f t="shared" si="39"/>
        <v>6</v>
      </c>
      <c r="M501" s="91">
        <v>2.0333333000000001E-3</v>
      </c>
      <c r="N501" s="69">
        <f t="shared" si="40"/>
        <v>164.96412729566998</v>
      </c>
      <c r="O501" s="66"/>
      <c r="P501" s="71">
        <f t="shared" si="42"/>
        <v>0</v>
      </c>
      <c r="Q501" s="132"/>
      <c r="R501" s="71">
        <f t="shared" si="43"/>
        <v>206.90096407291662</v>
      </c>
      <c r="S501" s="64"/>
    </row>
    <row r="502" spans="1:19">
      <c r="A502" s="88" t="s">
        <v>990</v>
      </c>
      <c r="B502" s="89" t="s">
        <v>1017</v>
      </c>
      <c r="C502" s="89" t="s">
        <v>1018</v>
      </c>
      <c r="D502" s="88" t="s">
        <v>993</v>
      </c>
      <c r="E502" s="89" t="s">
        <v>1019</v>
      </c>
      <c r="F502" s="88" t="s">
        <v>995</v>
      </c>
      <c r="G502" s="89" t="s">
        <v>20</v>
      </c>
      <c r="H502" s="65" t="s">
        <v>933</v>
      </c>
      <c r="I502" s="89">
        <v>201411</v>
      </c>
      <c r="J502" s="90">
        <v>425.66</v>
      </c>
      <c r="K502" s="72">
        <f t="shared" si="41"/>
        <v>42675</v>
      </c>
      <c r="L502" s="67">
        <f t="shared" si="39"/>
        <v>6</v>
      </c>
      <c r="M502" s="91">
        <v>2.0333333000000001E-3</v>
      </c>
      <c r="N502" s="69">
        <f t="shared" si="40"/>
        <v>5.1930519148680006</v>
      </c>
      <c r="O502" s="66"/>
      <c r="P502" s="71">
        <f t="shared" si="42"/>
        <v>0</v>
      </c>
      <c r="Q502" s="132"/>
      <c r="R502" s="71">
        <f t="shared" si="43"/>
        <v>6.5132187541666671</v>
      </c>
      <c r="S502" s="64"/>
    </row>
    <row r="503" spans="1:19">
      <c r="A503" s="88" t="s">
        <v>990</v>
      </c>
      <c r="B503" s="89" t="s">
        <v>1020</v>
      </c>
      <c r="C503" s="89" t="s">
        <v>1021</v>
      </c>
      <c r="D503" s="88" t="s">
        <v>998</v>
      </c>
      <c r="E503" s="89" t="s">
        <v>1022</v>
      </c>
      <c r="F503" s="88" t="s">
        <v>995</v>
      </c>
      <c r="G503" s="89" t="s">
        <v>20</v>
      </c>
      <c r="H503" s="65" t="s">
        <v>933</v>
      </c>
      <c r="I503" s="89">
        <v>201411</v>
      </c>
      <c r="J503" s="90">
        <v>4.0199999999999996</v>
      </c>
      <c r="K503" s="72">
        <f t="shared" si="41"/>
        <v>42675</v>
      </c>
      <c r="L503" s="67">
        <f t="shared" si="39"/>
        <v>6</v>
      </c>
      <c r="M503" s="91">
        <v>2.0333333000000001E-3</v>
      </c>
      <c r="N503" s="69">
        <f t="shared" si="40"/>
        <v>4.9043999195999992E-2</v>
      </c>
      <c r="O503" s="66"/>
      <c r="P503" s="71">
        <f t="shared" si="42"/>
        <v>0</v>
      </c>
      <c r="Q503" s="132"/>
      <c r="R503" s="71">
        <f t="shared" si="43"/>
        <v>6.1511862499999993E-2</v>
      </c>
      <c r="S503" s="64"/>
    </row>
    <row r="504" spans="1:19">
      <c r="A504" s="64" t="s">
        <v>626</v>
      </c>
      <c r="B504" s="65" t="s">
        <v>1063</v>
      </c>
      <c r="C504" s="65" t="s">
        <v>1064</v>
      </c>
      <c r="D504" s="64" t="s">
        <v>1065</v>
      </c>
      <c r="E504" s="65" t="s">
        <v>497</v>
      </c>
      <c r="F504" s="64" t="s">
        <v>26</v>
      </c>
      <c r="G504" s="65" t="s">
        <v>20</v>
      </c>
      <c r="H504" s="65" t="s">
        <v>928</v>
      </c>
      <c r="I504" s="65">
        <v>201412</v>
      </c>
      <c r="J504" s="66">
        <v>395.39</v>
      </c>
      <c r="K504" s="72">
        <f t="shared" si="41"/>
        <v>42675</v>
      </c>
      <c r="L504" s="67">
        <f t="shared" si="39"/>
        <v>6</v>
      </c>
      <c r="M504" s="68">
        <v>1.4833299999999999E-3</v>
      </c>
      <c r="N504" s="69">
        <f t="shared" si="40"/>
        <v>3.5189630921999999</v>
      </c>
      <c r="O504" s="66"/>
      <c r="P504" s="71">
        <f t="shared" si="42"/>
        <v>0</v>
      </c>
      <c r="Q504" s="132"/>
      <c r="R504" s="71">
        <f t="shared" si="43"/>
        <v>6.0500436104166662</v>
      </c>
      <c r="S504" s="64"/>
    </row>
    <row r="505" spans="1:19">
      <c r="A505" s="64" t="s">
        <v>29</v>
      </c>
      <c r="B505" s="65" t="s">
        <v>30</v>
      </c>
      <c r="C505" s="65" t="s">
        <v>31</v>
      </c>
      <c r="D505" s="64" t="s">
        <v>32</v>
      </c>
      <c r="E505" s="65" t="s">
        <v>33</v>
      </c>
      <c r="F505" s="64" t="s">
        <v>34</v>
      </c>
      <c r="G505" s="65" t="s">
        <v>20</v>
      </c>
      <c r="H505" s="65" t="s">
        <v>933</v>
      </c>
      <c r="I505" s="65">
        <v>201412</v>
      </c>
      <c r="J505" s="66">
        <v>137868.63</v>
      </c>
      <c r="K505" s="72">
        <f t="shared" si="41"/>
        <v>42675</v>
      </c>
      <c r="L505" s="67">
        <f t="shared" si="39"/>
        <v>6</v>
      </c>
      <c r="M505" s="68">
        <v>2.23333E-3</v>
      </c>
      <c r="N505" s="69">
        <f t="shared" si="40"/>
        <v>1847.4368846273999</v>
      </c>
      <c r="O505" s="66"/>
      <c r="P505" s="71">
        <f t="shared" si="42"/>
        <v>0</v>
      </c>
      <c r="Q505" s="132"/>
      <c r="R505" s="71">
        <f t="shared" si="43"/>
        <v>2109.59109741875</v>
      </c>
      <c r="S505" s="64"/>
    </row>
    <row r="506" spans="1:19">
      <c r="A506" s="64" t="s">
        <v>29</v>
      </c>
      <c r="B506" s="65" t="s">
        <v>37</v>
      </c>
      <c r="C506" s="65" t="s">
        <v>38</v>
      </c>
      <c r="D506" s="64" t="s">
        <v>39</v>
      </c>
      <c r="E506" s="65" t="s">
        <v>40</v>
      </c>
      <c r="F506" s="64" t="s">
        <v>41</v>
      </c>
      <c r="G506" s="65" t="s">
        <v>20</v>
      </c>
      <c r="H506" s="65" t="s">
        <v>933</v>
      </c>
      <c r="I506" s="65">
        <v>201412</v>
      </c>
      <c r="J506" s="66">
        <v>21637.919999999998</v>
      </c>
      <c r="K506" s="72">
        <f t="shared" si="41"/>
        <v>42675</v>
      </c>
      <c r="L506" s="67">
        <f t="shared" si="39"/>
        <v>6</v>
      </c>
      <c r="M506" s="68">
        <v>2.23333E-3</v>
      </c>
      <c r="N506" s="69">
        <f t="shared" si="40"/>
        <v>289.94769524159994</v>
      </c>
      <c r="O506" s="66"/>
      <c r="P506" s="71">
        <f t="shared" si="42"/>
        <v>0</v>
      </c>
      <c r="Q506" s="132"/>
      <c r="R506" s="71">
        <f t="shared" si="43"/>
        <v>331.09173129999994</v>
      </c>
      <c r="S506" s="64"/>
    </row>
    <row r="507" spans="1:19">
      <c r="A507" s="64" t="s">
        <v>29</v>
      </c>
      <c r="B507" s="65" t="s">
        <v>48</v>
      </c>
      <c r="C507" s="65" t="s">
        <v>49</v>
      </c>
      <c r="D507" s="64" t="s">
        <v>50</v>
      </c>
      <c r="E507" s="65" t="s">
        <v>51</v>
      </c>
      <c r="F507" s="64" t="s">
        <v>52</v>
      </c>
      <c r="G507" s="65" t="s">
        <v>20</v>
      </c>
      <c r="H507" s="65" t="s">
        <v>933</v>
      </c>
      <c r="I507" s="65">
        <v>201412</v>
      </c>
      <c r="J507" s="66">
        <v>11747.82</v>
      </c>
      <c r="K507" s="72">
        <f t="shared" si="41"/>
        <v>42675</v>
      </c>
      <c r="L507" s="67">
        <f t="shared" si="39"/>
        <v>6</v>
      </c>
      <c r="M507" s="68">
        <v>2.23333E-3</v>
      </c>
      <c r="N507" s="69">
        <f t="shared" si="40"/>
        <v>157.42055304359999</v>
      </c>
      <c r="O507" s="66"/>
      <c r="P507" s="71">
        <f t="shared" si="42"/>
        <v>0</v>
      </c>
      <c r="Q507" s="132"/>
      <c r="R507" s="71">
        <f t="shared" si="43"/>
        <v>179.75877823749997</v>
      </c>
      <c r="S507" s="64"/>
    </row>
    <row r="508" spans="1:19">
      <c r="A508" s="64" t="s">
        <v>626</v>
      </c>
      <c r="B508" s="65" t="s">
        <v>1066</v>
      </c>
      <c r="C508" s="65" t="s">
        <v>1067</v>
      </c>
      <c r="D508" s="64" t="s">
        <v>1068</v>
      </c>
      <c r="E508" s="65" t="s">
        <v>75</v>
      </c>
      <c r="F508" s="64" t="s">
        <v>26</v>
      </c>
      <c r="G508" s="65" t="s">
        <v>20</v>
      </c>
      <c r="H508" s="65" t="s">
        <v>928</v>
      </c>
      <c r="I508" s="65">
        <v>201412</v>
      </c>
      <c r="J508" s="66">
        <v>4971.3500000000004</v>
      </c>
      <c r="K508" s="72">
        <f t="shared" si="41"/>
        <v>42675</v>
      </c>
      <c r="L508" s="67">
        <f t="shared" si="39"/>
        <v>6</v>
      </c>
      <c r="M508" s="68">
        <v>1.4833299999999999E-3</v>
      </c>
      <c r="N508" s="69">
        <f t="shared" si="40"/>
        <v>44.244915573</v>
      </c>
      <c r="O508" s="66"/>
      <c r="P508" s="71">
        <f t="shared" si="42"/>
        <v>0</v>
      </c>
      <c r="Q508" s="132"/>
      <c r="R508" s="71">
        <f t="shared" si="43"/>
        <v>76.068904885416671</v>
      </c>
      <c r="S508" s="64"/>
    </row>
    <row r="509" spans="1:19">
      <c r="A509" s="64" t="s">
        <v>21</v>
      </c>
      <c r="B509" s="65" t="s">
        <v>84</v>
      </c>
      <c r="C509" s="65" t="s">
        <v>85</v>
      </c>
      <c r="D509" s="64" t="s">
        <v>86</v>
      </c>
      <c r="E509" s="65" t="s">
        <v>87</v>
      </c>
      <c r="F509" s="64" t="s">
        <v>88</v>
      </c>
      <c r="G509" s="65" t="s">
        <v>20</v>
      </c>
      <c r="H509" s="65" t="s">
        <v>929</v>
      </c>
      <c r="I509" s="65">
        <v>201412</v>
      </c>
      <c r="J509" s="66">
        <v>19553.21</v>
      </c>
      <c r="K509" s="72">
        <f t="shared" si="41"/>
        <v>42675</v>
      </c>
      <c r="L509" s="67">
        <f t="shared" si="39"/>
        <v>6</v>
      </c>
      <c r="M509" s="68">
        <v>1.4833299999999999E-3</v>
      </c>
      <c r="N509" s="69">
        <f t="shared" si="40"/>
        <v>174.02317793579999</v>
      </c>
      <c r="O509" s="66"/>
      <c r="P509" s="71">
        <f t="shared" si="42"/>
        <v>0</v>
      </c>
      <c r="Q509" s="132"/>
      <c r="R509" s="71">
        <f t="shared" si="43"/>
        <v>299.19262809791667</v>
      </c>
      <c r="S509" s="64"/>
    </row>
    <row r="510" spans="1:19">
      <c r="A510" s="64" t="s">
        <v>29</v>
      </c>
      <c r="B510" s="65" t="s">
        <v>1024</v>
      </c>
      <c r="C510" s="65" t="s">
        <v>1025</v>
      </c>
      <c r="D510" s="64" t="s">
        <v>1026</v>
      </c>
      <c r="E510" s="65" t="s">
        <v>1027</v>
      </c>
      <c r="F510" s="64" t="s">
        <v>1028</v>
      </c>
      <c r="G510" s="65" t="s">
        <v>20</v>
      </c>
      <c r="H510" s="65" t="s">
        <v>933</v>
      </c>
      <c r="I510" s="65">
        <v>201412</v>
      </c>
      <c r="J510" s="66">
        <v>-8.64</v>
      </c>
      <c r="K510" s="72">
        <f t="shared" si="41"/>
        <v>42675</v>
      </c>
      <c r="L510" s="67">
        <f t="shared" si="39"/>
        <v>6</v>
      </c>
      <c r="M510" s="68">
        <v>2.23333E-3</v>
      </c>
      <c r="N510" s="69">
        <f t="shared" si="40"/>
        <v>-0.1157758272</v>
      </c>
      <c r="O510" s="66"/>
      <c r="P510" s="71">
        <f t="shared" si="42"/>
        <v>0</v>
      </c>
      <c r="Q510" s="132"/>
      <c r="R510" s="71">
        <f t="shared" si="43"/>
        <v>-0.13220459999999998</v>
      </c>
      <c r="S510" s="64"/>
    </row>
    <row r="511" spans="1:19">
      <c r="A511" s="64" t="s">
        <v>29</v>
      </c>
      <c r="B511" s="65" t="s">
        <v>103</v>
      </c>
      <c r="C511" s="65" t="s">
        <v>104</v>
      </c>
      <c r="D511" s="64" t="s">
        <v>105</v>
      </c>
      <c r="E511" s="65" t="s">
        <v>106</v>
      </c>
      <c r="F511" s="64" t="s">
        <v>34</v>
      </c>
      <c r="G511" s="65" t="s">
        <v>20</v>
      </c>
      <c r="H511" s="65" t="s">
        <v>933</v>
      </c>
      <c r="I511" s="65">
        <v>201412</v>
      </c>
      <c r="J511" s="66">
        <v>28.04</v>
      </c>
      <c r="K511" s="72">
        <f t="shared" si="41"/>
        <v>42675</v>
      </c>
      <c r="L511" s="67">
        <f t="shared" si="39"/>
        <v>6</v>
      </c>
      <c r="M511" s="68">
        <v>2.23333E-3</v>
      </c>
      <c r="N511" s="69">
        <f t="shared" si="40"/>
        <v>0.37573543919999997</v>
      </c>
      <c r="O511" s="66"/>
      <c r="P511" s="71">
        <f t="shared" si="42"/>
        <v>0</v>
      </c>
      <c r="Q511" s="132"/>
      <c r="R511" s="71">
        <f t="shared" si="43"/>
        <v>0.4290528916666666</v>
      </c>
      <c r="S511" s="64"/>
    </row>
    <row r="512" spans="1:19">
      <c r="A512" s="64" t="s">
        <v>29</v>
      </c>
      <c r="B512" s="65" t="s">
        <v>107</v>
      </c>
      <c r="C512" s="65" t="s">
        <v>108</v>
      </c>
      <c r="D512" s="64" t="s">
        <v>109</v>
      </c>
      <c r="E512" s="65" t="s">
        <v>110</v>
      </c>
      <c r="F512" s="64" t="s">
        <v>52</v>
      </c>
      <c r="G512" s="65" t="s">
        <v>20</v>
      </c>
      <c r="H512" s="65" t="s">
        <v>933</v>
      </c>
      <c r="I512" s="65">
        <v>201412</v>
      </c>
      <c r="J512" s="66">
        <v>23427.599999999999</v>
      </c>
      <c r="K512" s="72">
        <f t="shared" si="41"/>
        <v>42675</v>
      </c>
      <c r="L512" s="67">
        <f t="shared" si="39"/>
        <v>6</v>
      </c>
      <c r="M512" s="68">
        <v>2.23333E-3</v>
      </c>
      <c r="N512" s="69">
        <f t="shared" si="40"/>
        <v>313.92937144799993</v>
      </c>
      <c r="O512" s="66"/>
      <c r="P512" s="71">
        <f t="shared" si="42"/>
        <v>0</v>
      </c>
      <c r="Q512" s="132"/>
      <c r="R512" s="71">
        <f t="shared" si="43"/>
        <v>358.47644524999998</v>
      </c>
      <c r="S512" s="64"/>
    </row>
    <row r="513" spans="1:19">
      <c r="A513" s="64" t="s">
        <v>554</v>
      </c>
      <c r="B513" s="65" t="s">
        <v>116</v>
      </c>
      <c r="C513" s="65" t="s">
        <v>117</v>
      </c>
      <c r="D513" s="64" t="s">
        <v>118</v>
      </c>
      <c r="E513" s="65" t="s">
        <v>119</v>
      </c>
      <c r="F513" s="64" t="s">
        <v>120</v>
      </c>
      <c r="G513" s="65" t="s">
        <v>20</v>
      </c>
      <c r="H513" s="65" t="s">
        <v>936</v>
      </c>
      <c r="I513" s="65">
        <v>201412</v>
      </c>
      <c r="J513" s="66">
        <v>30904.42</v>
      </c>
      <c r="K513" s="72">
        <f t="shared" si="41"/>
        <v>42675</v>
      </c>
      <c r="L513" s="67">
        <f t="shared" si="39"/>
        <v>6</v>
      </c>
      <c r="M513" s="68">
        <v>1.4833299999999999E-3</v>
      </c>
      <c r="N513" s="69">
        <f t="shared" si="40"/>
        <v>275.04871991159996</v>
      </c>
      <c r="O513" s="66"/>
      <c r="P513" s="71">
        <f t="shared" si="42"/>
        <v>0</v>
      </c>
      <c r="Q513" s="132"/>
      <c r="R513" s="71">
        <f t="shared" si="43"/>
        <v>472.88269494583329</v>
      </c>
      <c r="S513" s="64"/>
    </row>
    <row r="514" spans="1:19">
      <c r="A514" s="64" t="s">
        <v>29</v>
      </c>
      <c r="B514" s="65" t="s">
        <v>555</v>
      </c>
      <c r="C514" s="65" t="s">
        <v>556</v>
      </c>
      <c r="D514" s="64" t="s">
        <v>45</v>
      </c>
      <c r="E514" s="65" t="s">
        <v>557</v>
      </c>
      <c r="F514" s="64" t="s">
        <v>41</v>
      </c>
      <c r="G514" s="65" t="s">
        <v>20</v>
      </c>
      <c r="H514" s="65" t="s">
        <v>933</v>
      </c>
      <c r="I514" s="65">
        <v>201412</v>
      </c>
      <c r="J514" s="66">
        <v>18.05</v>
      </c>
      <c r="K514" s="72">
        <f t="shared" si="41"/>
        <v>42675</v>
      </c>
      <c r="L514" s="67">
        <f t="shared" si="39"/>
        <v>6</v>
      </c>
      <c r="M514" s="68">
        <v>2.23333E-3</v>
      </c>
      <c r="N514" s="69">
        <f t="shared" si="40"/>
        <v>0.241869639</v>
      </c>
      <c r="O514" s="66"/>
      <c r="P514" s="71">
        <f t="shared" si="42"/>
        <v>0</v>
      </c>
      <c r="Q514" s="132"/>
      <c r="R514" s="71">
        <f t="shared" si="43"/>
        <v>0.27619132291666665</v>
      </c>
      <c r="S514" s="64"/>
    </row>
    <row r="515" spans="1:19">
      <c r="A515" s="64" t="s">
        <v>29</v>
      </c>
      <c r="B515" s="65" t="s">
        <v>121</v>
      </c>
      <c r="C515" s="65" t="s">
        <v>122</v>
      </c>
      <c r="D515" s="64" t="s">
        <v>50</v>
      </c>
      <c r="E515" s="65" t="s">
        <v>123</v>
      </c>
      <c r="F515" s="64" t="s">
        <v>52</v>
      </c>
      <c r="G515" s="65" t="s">
        <v>20</v>
      </c>
      <c r="H515" s="65" t="s">
        <v>933</v>
      </c>
      <c r="I515" s="65">
        <v>201412</v>
      </c>
      <c r="J515" s="66">
        <v>148.91</v>
      </c>
      <c r="K515" s="72">
        <f t="shared" si="41"/>
        <v>42675</v>
      </c>
      <c r="L515" s="67">
        <f t="shared" si="39"/>
        <v>6</v>
      </c>
      <c r="M515" s="68">
        <v>2.23333E-3</v>
      </c>
      <c r="N515" s="69">
        <f t="shared" si="40"/>
        <v>1.9953910217999997</v>
      </c>
      <c r="O515" s="66"/>
      <c r="P515" s="71">
        <f t="shared" si="42"/>
        <v>0</v>
      </c>
      <c r="Q515" s="132"/>
      <c r="R515" s="71">
        <f t="shared" si="43"/>
        <v>2.2785401604166662</v>
      </c>
      <c r="S515" s="64"/>
    </row>
    <row r="516" spans="1:19">
      <c r="A516" s="64" t="s">
        <v>29</v>
      </c>
      <c r="B516" s="65" t="s">
        <v>124</v>
      </c>
      <c r="C516" s="65" t="s">
        <v>125</v>
      </c>
      <c r="D516" s="64" t="s">
        <v>50</v>
      </c>
      <c r="E516" s="65" t="s">
        <v>126</v>
      </c>
      <c r="F516" s="64" t="s">
        <v>52</v>
      </c>
      <c r="G516" s="65" t="s">
        <v>20</v>
      </c>
      <c r="H516" s="65" t="s">
        <v>933</v>
      </c>
      <c r="I516" s="65">
        <v>201412</v>
      </c>
      <c r="J516" s="66">
        <v>4761.8599999999997</v>
      </c>
      <c r="K516" s="72">
        <f t="shared" si="41"/>
        <v>42675</v>
      </c>
      <c r="L516" s="67">
        <f t="shared" si="39"/>
        <v>6</v>
      </c>
      <c r="M516" s="68">
        <v>2.23333E-3</v>
      </c>
      <c r="N516" s="69">
        <f t="shared" si="40"/>
        <v>63.80882876279999</v>
      </c>
      <c r="O516" s="66"/>
      <c r="P516" s="71">
        <f t="shared" si="42"/>
        <v>0</v>
      </c>
      <c r="Q516" s="132"/>
      <c r="R516" s="71">
        <f t="shared" si="43"/>
        <v>72.863402379166658</v>
      </c>
      <c r="S516" s="64"/>
    </row>
    <row r="517" spans="1:19">
      <c r="A517" s="64" t="s">
        <v>21</v>
      </c>
      <c r="B517" s="65" t="s">
        <v>864</v>
      </c>
      <c r="C517" s="65" t="s">
        <v>865</v>
      </c>
      <c r="D517" s="64" t="s">
        <v>866</v>
      </c>
      <c r="E517" s="65" t="s">
        <v>209</v>
      </c>
      <c r="F517" s="64" t="s">
        <v>88</v>
      </c>
      <c r="G517" s="65" t="s">
        <v>20</v>
      </c>
      <c r="H517" s="65" t="s">
        <v>929</v>
      </c>
      <c r="I517" s="65">
        <v>201412</v>
      </c>
      <c r="J517" s="66">
        <v>-1972.63</v>
      </c>
      <c r="K517" s="72">
        <f t="shared" si="41"/>
        <v>42675</v>
      </c>
      <c r="L517" s="67">
        <f t="shared" si="39"/>
        <v>6</v>
      </c>
      <c r="M517" s="68">
        <v>1.4833299999999999E-3</v>
      </c>
      <c r="N517" s="69">
        <f t="shared" si="40"/>
        <v>-17.556367547400001</v>
      </c>
      <c r="O517" s="66"/>
      <c r="P517" s="71">
        <f t="shared" si="42"/>
        <v>0</v>
      </c>
      <c r="Q517" s="132"/>
      <c r="R517" s="71">
        <f t="shared" si="43"/>
        <v>-30.184115752083329</v>
      </c>
      <c r="S517" s="64"/>
    </row>
    <row r="518" spans="1:19">
      <c r="A518" s="64" t="s">
        <v>626</v>
      </c>
      <c r="B518" s="65" t="s">
        <v>864</v>
      </c>
      <c r="C518" s="65" t="s">
        <v>865</v>
      </c>
      <c r="D518" s="64" t="s">
        <v>866</v>
      </c>
      <c r="E518" s="65" t="s">
        <v>209</v>
      </c>
      <c r="F518" s="64" t="s">
        <v>88</v>
      </c>
      <c r="G518" s="65" t="s">
        <v>20</v>
      </c>
      <c r="H518" s="65" t="s">
        <v>929</v>
      </c>
      <c r="I518" s="65">
        <v>201412</v>
      </c>
      <c r="J518" s="66">
        <v>1972.63</v>
      </c>
      <c r="K518" s="72">
        <f t="shared" si="41"/>
        <v>42675</v>
      </c>
      <c r="L518" s="67">
        <f t="shared" si="39"/>
        <v>6</v>
      </c>
      <c r="M518" s="68">
        <v>1.4833299999999999E-3</v>
      </c>
      <c r="N518" s="69">
        <f t="shared" si="40"/>
        <v>17.556367547400001</v>
      </c>
      <c r="O518" s="66"/>
      <c r="P518" s="71">
        <f t="shared" si="42"/>
        <v>0</v>
      </c>
      <c r="Q518" s="132"/>
      <c r="R518" s="71">
        <f t="shared" si="43"/>
        <v>30.184115752083329</v>
      </c>
      <c r="S518" s="64"/>
    </row>
    <row r="519" spans="1:19">
      <c r="A519" s="64" t="s">
        <v>21</v>
      </c>
      <c r="B519" s="65" t="s">
        <v>1112</v>
      </c>
      <c r="C519" s="65" t="s">
        <v>1113</v>
      </c>
      <c r="D519" s="64" t="s">
        <v>1114</v>
      </c>
      <c r="E519" s="65" t="s">
        <v>260</v>
      </c>
      <c r="F519" s="64" t="s">
        <v>26</v>
      </c>
      <c r="G519" s="65" t="s">
        <v>20</v>
      </c>
      <c r="H519" s="65" t="s">
        <v>928</v>
      </c>
      <c r="I519" s="65">
        <v>201412</v>
      </c>
      <c r="J519" s="66">
        <v>48840.31</v>
      </c>
      <c r="K519" s="72">
        <f t="shared" si="41"/>
        <v>42675</v>
      </c>
      <c r="L519" s="67">
        <f t="shared" si="39"/>
        <v>6</v>
      </c>
      <c r="M519" s="68">
        <v>1.4833299999999999E-3</v>
      </c>
      <c r="N519" s="69">
        <f t="shared" si="40"/>
        <v>434.6777821938</v>
      </c>
      <c r="O519" s="66"/>
      <c r="P519" s="71">
        <f t="shared" si="42"/>
        <v>0</v>
      </c>
      <c r="Q519" s="132"/>
      <c r="R519" s="71">
        <f t="shared" si="43"/>
        <v>747.32796845208327</v>
      </c>
      <c r="S519" s="64"/>
    </row>
    <row r="520" spans="1:19">
      <c r="A520" s="64" t="s">
        <v>626</v>
      </c>
      <c r="B520" s="65" t="s">
        <v>1069</v>
      </c>
      <c r="C520" s="65" t="s">
        <v>1070</v>
      </c>
      <c r="D520" s="64" t="s">
        <v>1071</v>
      </c>
      <c r="E520" s="65" t="s">
        <v>260</v>
      </c>
      <c r="F520" s="64" t="s">
        <v>26</v>
      </c>
      <c r="G520" s="65" t="s">
        <v>20</v>
      </c>
      <c r="H520" s="65" t="s">
        <v>928</v>
      </c>
      <c r="I520" s="65">
        <v>201412</v>
      </c>
      <c r="J520" s="66">
        <v>-104.47</v>
      </c>
      <c r="K520" s="72">
        <f t="shared" si="41"/>
        <v>42675</v>
      </c>
      <c r="L520" s="67">
        <f t="shared" si="39"/>
        <v>6</v>
      </c>
      <c r="M520" s="68">
        <v>1.4833299999999999E-3</v>
      </c>
      <c r="N520" s="69">
        <f t="shared" si="40"/>
        <v>-0.92978091060000001</v>
      </c>
      <c r="O520" s="66"/>
      <c r="P520" s="71">
        <f t="shared" si="42"/>
        <v>0</v>
      </c>
      <c r="Q520" s="132"/>
      <c r="R520" s="71">
        <f t="shared" si="43"/>
        <v>-1.598543352083333</v>
      </c>
      <c r="S520" s="64"/>
    </row>
    <row r="521" spans="1:19">
      <c r="A521" s="64" t="s">
        <v>21</v>
      </c>
      <c r="B521" s="65" t="s">
        <v>177</v>
      </c>
      <c r="C521" s="65" t="s">
        <v>178</v>
      </c>
      <c r="D521" s="64" t="s">
        <v>179</v>
      </c>
      <c r="E521" s="65" t="s">
        <v>172</v>
      </c>
      <c r="F521" s="64" t="s">
        <v>173</v>
      </c>
      <c r="G521" s="65" t="s">
        <v>20</v>
      </c>
      <c r="H521" s="65" t="s">
        <v>928</v>
      </c>
      <c r="I521" s="65">
        <v>201412</v>
      </c>
      <c r="J521" s="66">
        <v>5.46</v>
      </c>
      <c r="K521" s="72">
        <f t="shared" si="41"/>
        <v>42675</v>
      </c>
      <c r="L521" s="67">
        <f t="shared" si="39"/>
        <v>6</v>
      </c>
      <c r="M521" s="68">
        <v>1.4833299999999999E-3</v>
      </c>
      <c r="N521" s="69">
        <f t="shared" si="40"/>
        <v>4.8593890799999997E-2</v>
      </c>
      <c r="O521" s="66"/>
      <c r="P521" s="71">
        <f t="shared" si="42"/>
        <v>0</v>
      </c>
      <c r="Q521" s="132"/>
      <c r="R521" s="71">
        <f t="shared" si="43"/>
        <v>8.3545962499999987E-2</v>
      </c>
      <c r="S521" s="64"/>
    </row>
    <row r="522" spans="1:19">
      <c r="A522" s="64" t="s">
        <v>626</v>
      </c>
      <c r="B522" s="65" t="s">
        <v>741</v>
      </c>
      <c r="C522" s="65" t="s">
        <v>742</v>
      </c>
      <c r="D522" s="64" t="s">
        <v>743</v>
      </c>
      <c r="E522" s="65" t="s">
        <v>415</v>
      </c>
      <c r="F522" s="64" t="s">
        <v>88</v>
      </c>
      <c r="G522" s="65" t="s">
        <v>20</v>
      </c>
      <c r="H522" s="65" t="s">
        <v>929</v>
      </c>
      <c r="I522" s="65">
        <v>201412</v>
      </c>
      <c r="J522" s="66">
        <v>-242.08</v>
      </c>
      <c r="K522" s="72">
        <f t="shared" si="41"/>
        <v>42675</v>
      </c>
      <c r="L522" s="67">
        <f t="shared" si="39"/>
        <v>6</v>
      </c>
      <c r="M522" s="68">
        <v>1.4833299999999999E-3</v>
      </c>
      <c r="N522" s="69">
        <f t="shared" si="40"/>
        <v>-2.1545071584</v>
      </c>
      <c r="O522" s="66"/>
      <c r="P522" s="71">
        <f t="shared" si="42"/>
        <v>0</v>
      </c>
      <c r="Q522" s="132"/>
      <c r="R522" s="71">
        <f t="shared" si="43"/>
        <v>-3.704177033333333</v>
      </c>
      <c r="S522" s="64"/>
    </row>
    <row r="523" spans="1:19">
      <c r="A523" s="64" t="s">
        <v>21</v>
      </c>
      <c r="B523" s="65" t="s">
        <v>1072</v>
      </c>
      <c r="C523" s="65" t="s">
        <v>1073</v>
      </c>
      <c r="D523" s="64" t="s">
        <v>1074</v>
      </c>
      <c r="E523" s="65" t="s">
        <v>857</v>
      </c>
      <c r="F523" s="64" t="s">
        <v>88</v>
      </c>
      <c r="G523" s="65" t="s">
        <v>20</v>
      </c>
      <c r="H523" s="65" t="s">
        <v>929</v>
      </c>
      <c r="I523" s="65">
        <v>201412</v>
      </c>
      <c r="J523" s="66">
        <v>11025.12</v>
      </c>
      <c r="K523" s="72">
        <f t="shared" si="41"/>
        <v>42675</v>
      </c>
      <c r="L523" s="67">
        <f t="shared" si="39"/>
        <v>6</v>
      </c>
      <c r="M523" s="68">
        <v>1.4833299999999999E-3</v>
      </c>
      <c r="N523" s="69">
        <f t="shared" si="40"/>
        <v>98.123347497600008</v>
      </c>
      <c r="O523" s="66"/>
      <c r="P523" s="71">
        <f t="shared" si="42"/>
        <v>0</v>
      </c>
      <c r="Q523" s="132"/>
      <c r="R523" s="71">
        <f t="shared" si="43"/>
        <v>168.70041430000001</v>
      </c>
      <c r="S523" s="64"/>
    </row>
    <row r="524" spans="1:19">
      <c r="A524" s="64" t="s">
        <v>29</v>
      </c>
      <c r="B524" s="65" t="s">
        <v>183</v>
      </c>
      <c r="C524" s="65" t="s">
        <v>184</v>
      </c>
      <c r="D524" s="64" t="s">
        <v>45</v>
      </c>
      <c r="E524" s="65" t="s">
        <v>185</v>
      </c>
      <c r="F524" s="64" t="s">
        <v>41</v>
      </c>
      <c r="G524" s="65" t="s">
        <v>20</v>
      </c>
      <c r="H524" s="65" t="s">
        <v>933</v>
      </c>
      <c r="I524" s="65">
        <v>201412</v>
      </c>
      <c r="J524" s="66">
        <v>2148.71</v>
      </c>
      <c r="K524" s="72">
        <f t="shared" si="41"/>
        <v>42675</v>
      </c>
      <c r="L524" s="67">
        <f t="shared" si="39"/>
        <v>6</v>
      </c>
      <c r="M524" s="68">
        <v>2.23333E-3</v>
      </c>
      <c r="N524" s="69">
        <f t="shared" si="40"/>
        <v>28.792671025799997</v>
      </c>
      <c r="O524" s="66"/>
      <c r="P524" s="71">
        <f t="shared" si="42"/>
        <v>0</v>
      </c>
      <c r="Q524" s="132"/>
      <c r="R524" s="71">
        <f t="shared" si="43"/>
        <v>32.878396535416663</v>
      </c>
      <c r="S524" s="64"/>
    </row>
    <row r="525" spans="1:19">
      <c r="A525" s="64" t="s">
        <v>29</v>
      </c>
      <c r="B525" s="65" t="s">
        <v>186</v>
      </c>
      <c r="C525" s="65" t="s">
        <v>187</v>
      </c>
      <c r="D525" s="64" t="s">
        <v>188</v>
      </c>
      <c r="E525" s="65" t="s">
        <v>189</v>
      </c>
      <c r="F525" s="64" t="s">
        <v>190</v>
      </c>
      <c r="G525" s="65" t="s">
        <v>20</v>
      </c>
      <c r="H525" s="65" t="s">
        <v>933</v>
      </c>
      <c r="I525" s="65">
        <v>201412</v>
      </c>
      <c r="J525" s="66">
        <v>1572.18</v>
      </c>
      <c r="K525" s="72">
        <f t="shared" si="41"/>
        <v>42675</v>
      </c>
      <c r="L525" s="67">
        <f t="shared" si="39"/>
        <v>6</v>
      </c>
      <c r="M525" s="68">
        <v>2.23333E-3</v>
      </c>
      <c r="N525" s="69">
        <f t="shared" si="40"/>
        <v>21.0671805564</v>
      </c>
      <c r="O525" s="66"/>
      <c r="P525" s="71">
        <f t="shared" si="42"/>
        <v>0</v>
      </c>
      <c r="Q525" s="132"/>
      <c r="R525" s="71">
        <f t="shared" si="43"/>
        <v>24.056646762499998</v>
      </c>
      <c r="S525" s="64"/>
    </row>
    <row r="526" spans="1:19">
      <c r="A526" s="64" t="s">
        <v>29</v>
      </c>
      <c r="B526" s="65" t="s">
        <v>191</v>
      </c>
      <c r="C526" s="65" t="s">
        <v>192</v>
      </c>
      <c r="D526" s="64" t="s">
        <v>193</v>
      </c>
      <c r="E526" s="65" t="s">
        <v>194</v>
      </c>
      <c r="F526" s="64" t="s">
        <v>115</v>
      </c>
      <c r="G526" s="65" t="s">
        <v>20</v>
      </c>
      <c r="H526" s="65" t="s">
        <v>933</v>
      </c>
      <c r="I526" s="65">
        <v>201412</v>
      </c>
      <c r="J526" s="66">
        <v>-3419.01</v>
      </c>
      <c r="K526" s="72">
        <f t="shared" si="41"/>
        <v>42675</v>
      </c>
      <c r="L526" s="67">
        <f t="shared" si="39"/>
        <v>6</v>
      </c>
      <c r="M526" s="68">
        <v>2.23333E-3</v>
      </c>
      <c r="N526" s="69">
        <f t="shared" si="40"/>
        <v>-45.814665619799996</v>
      </c>
      <c r="O526" s="66"/>
      <c r="P526" s="71">
        <f t="shared" si="42"/>
        <v>0</v>
      </c>
      <c r="Q526" s="132"/>
      <c r="R526" s="71">
        <f t="shared" si="43"/>
        <v>-52.315839056249999</v>
      </c>
      <c r="S526" s="64"/>
    </row>
    <row r="527" spans="1:19">
      <c r="A527" s="64" t="s">
        <v>29</v>
      </c>
      <c r="B527" s="65" t="s">
        <v>195</v>
      </c>
      <c r="C527" s="65" t="s">
        <v>196</v>
      </c>
      <c r="D527" s="64" t="s">
        <v>197</v>
      </c>
      <c r="E527" s="65" t="s">
        <v>198</v>
      </c>
      <c r="F527" s="64" t="s">
        <v>199</v>
      </c>
      <c r="G527" s="65" t="s">
        <v>20</v>
      </c>
      <c r="H527" s="65" t="s">
        <v>933</v>
      </c>
      <c r="I527" s="65">
        <v>201412</v>
      </c>
      <c r="J527" s="66">
        <v>155294.04</v>
      </c>
      <c r="K527" s="72">
        <f t="shared" si="41"/>
        <v>42675</v>
      </c>
      <c r="L527" s="67">
        <f t="shared" si="39"/>
        <v>6</v>
      </c>
      <c r="M527" s="68">
        <v>2.23333E-3</v>
      </c>
      <c r="N527" s="69">
        <f t="shared" si="40"/>
        <v>2080.9370301191998</v>
      </c>
      <c r="O527" s="66"/>
      <c r="P527" s="71">
        <f t="shared" si="42"/>
        <v>0</v>
      </c>
      <c r="Q527" s="132"/>
      <c r="R527" s="71">
        <f t="shared" si="43"/>
        <v>2376.2252824749999</v>
      </c>
      <c r="S527" s="64"/>
    </row>
    <row r="528" spans="1:19">
      <c r="A528" s="64" t="s">
        <v>29</v>
      </c>
      <c r="B528" s="65" t="s">
        <v>200</v>
      </c>
      <c r="C528" s="65" t="s">
        <v>201</v>
      </c>
      <c r="D528" s="64" t="s">
        <v>197</v>
      </c>
      <c r="E528" s="65" t="s">
        <v>202</v>
      </c>
      <c r="F528" s="64" t="s">
        <v>199</v>
      </c>
      <c r="G528" s="65" t="s">
        <v>20</v>
      </c>
      <c r="H528" s="65" t="s">
        <v>933</v>
      </c>
      <c r="I528" s="65">
        <v>201412</v>
      </c>
      <c r="J528" s="66">
        <v>24453.55</v>
      </c>
      <c r="K528" s="72">
        <f t="shared" si="41"/>
        <v>42675</v>
      </c>
      <c r="L528" s="67">
        <f t="shared" si="39"/>
        <v>6</v>
      </c>
      <c r="M528" s="68">
        <v>2.23333E-3</v>
      </c>
      <c r="N528" s="69">
        <f t="shared" si="40"/>
        <v>327.67708092899994</v>
      </c>
      <c r="O528" s="66"/>
      <c r="P528" s="71">
        <f t="shared" si="42"/>
        <v>0</v>
      </c>
      <c r="Q528" s="132"/>
      <c r="R528" s="71">
        <f t="shared" si="43"/>
        <v>374.17497642708327</v>
      </c>
      <c r="S528" s="64"/>
    </row>
    <row r="529" spans="1:19">
      <c r="A529" s="64" t="s">
        <v>21</v>
      </c>
      <c r="B529" s="65" t="s">
        <v>449</v>
      </c>
      <c r="C529" s="65" t="s">
        <v>450</v>
      </c>
      <c r="D529" s="64" t="s">
        <v>451</v>
      </c>
      <c r="E529" s="65" t="s">
        <v>452</v>
      </c>
      <c r="F529" s="64" t="s">
        <v>398</v>
      </c>
      <c r="G529" s="65" t="s">
        <v>20</v>
      </c>
      <c r="H529" s="65" t="s">
        <v>929</v>
      </c>
      <c r="I529" s="65">
        <v>201412</v>
      </c>
      <c r="J529" s="66">
        <v>-583.21</v>
      </c>
      <c r="K529" s="72">
        <f t="shared" si="41"/>
        <v>42675</v>
      </c>
      <c r="L529" s="67">
        <f t="shared" si="39"/>
        <v>6</v>
      </c>
      <c r="M529" s="68">
        <v>1.4833299999999999E-3</v>
      </c>
      <c r="N529" s="69">
        <f t="shared" si="40"/>
        <v>-5.1905573358000003</v>
      </c>
      <c r="O529" s="66"/>
      <c r="P529" s="71">
        <f t="shared" si="42"/>
        <v>0</v>
      </c>
      <c r="Q529" s="132"/>
      <c r="R529" s="71">
        <f t="shared" si="43"/>
        <v>-8.9239635145833329</v>
      </c>
      <c r="S529" s="64"/>
    </row>
    <row r="530" spans="1:19">
      <c r="A530" s="64" t="s">
        <v>626</v>
      </c>
      <c r="B530" s="65" t="s">
        <v>700</v>
      </c>
      <c r="C530" s="65" t="s">
        <v>701</v>
      </c>
      <c r="D530" s="64" t="s">
        <v>702</v>
      </c>
      <c r="E530" s="65" t="s">
        <v>25</v>
      </c>
      <c r="F530" s="64" t="s">
        <v>26</v>
      </c>
      <c r="G530" s="65" t="s">
        <v>20</v>
      </c>
      <c r="H530" s="65" t="s">
        <v>928</v>
      </c>
      <c r="I530" s="65">
        <v>201412</v>
      </c>
      <c r="J530" s="66">
        <v>-11.23</v>
      </c>
      <c r="K530" s="72">
        <f t="shared" si="41"/>
        <v>42675</v>
      </c>
      <c r="L530" s="67">
        <f t="shared" si="39"/>
        <v>6</v>
      </c>
      <c r="M530" s="68">
        <v>1.4833299999999999E-3</v>
      </c>
      <c r="N530" s="69">
        <f t="shared" si="40"/>
        <v>-9.9946775400000007E-2</v>
      </c>
      <c r="O530" s="66"/>
      <c r="P530" s="71">
        <f t="shared" si="42"/>
        <v>0</v>
      </c>
      <c r="Q530" s="132"/>
      <c r="R530" s="71">
        <f t="shared" si="43"/>
        <v>-0.17183537708333332</v>
      </c>
      <c r="S530" s="64"/>
    </row>
    <row r="531" spans="1:19">
      <c r="A531" s="64" t="s">
        <v>626</v>
      </c>
      <c r="B531" s="65" t="s">
        <v>465</v>
      </c>
      <c r="C531" s="65" t="s">
        <v>466</v>
      </c>
      <c r="D531" s="64" t="s">
        <v>467</v>
      </c>
      <c r="E531" s="65" t="s">
        <v>75</v>
      </c>
      <c r="F531" s="64" t="s">
        <v>26</v>
      </c>
      <c r="G531" s="65" t="s">
        <v>20</v>
      </c>
      <c r="H531" s="65" t="s">
        <v>928</v>
      </c>
      <c r="I531" s="65">
        <v>201412</v>
      </c>
      <c r="J531" s="66">
        <v>-93.8</v>
      </c>
      <c r="K531" s="72">
        <f t="shared" si="41"/>
        <v>42675</v>
      </c>
      <c r="L531" s="67">
        <f t="shared" si="39"/>
        <v>6</v>
      </c>
      <c r="M531" s="68">
        <v>1.4833299999999999E-3</v>
      </c>
      <c r="N531" s="69">
        <f t="shared" si="40"/>
        <v>-0.83481812399999999</v>
      </c>
      <c r="O531" s="66"/>
      <c r="P531" s="71">
        <f t="shared" si="42"/>
        <v>0</v>
      </c>
      <c r="Q531" s="132"/>
      <c r="R531" s="71">
        <f t="shared" si="43"/>
        <v>-1.4352767916666664</v>
      </c>
      <c r="S531" s="64"/>
    </row>
    <row r="532" spans="1:19">
      <c r="A532" s="64" t="s">
        <v>21</v>
      </c>
      <c r="B532" s="65" t="s">
        <v>230</v>
      </c>
      <c r="C532" s="65" t="s">
        <v>231</v>
      </c>
      <c r="D532" s="64" t="s">
        <v>232</v>
      </c>
      <c r="E532" s="65" t="s">
        <v>164</v>
      </c>
      <c r="F532" s="64" t="s">
        <v>165</v>
      </c>
      <c r="G532" s="65" t="s">
        <v>20</v>
      </c>
      <c r="H532" s="65" t="s">
        <v>928</v>
      </c>
      <c r="I532" s="65">
        <v>201412</v>
      </c>
      <c r="J532" s="66">
        <v>-12.75</v>
      </c>
      <c r="K532" s="72">
        <f t="shared" si="41"/>
        <v>42675</v>
      </c>
      <c r="L532" s="67">
        <f t="shared" si="39"/>
        <v>6</v>
      </c>
      <c r="M532" s="68">
        <v>1.4833299999999999E-3</v>
      </c>
      <c r="N532" s="69">
        <f t="shared" si="40"/>
        <v>-0.113474745</v>
      </c>
      <c r="O532" s="66"/>
      <c r="P532" s="71">
        <f t="shared" si="42"/>
        <v>0</v>
      </c>
      <c r="Q532" s="132"/>
      <c r="R532" s="71">
        <f t="shared" si="43"/>
        <v>-0.19509359374999999</v>
      </c>
      <c r="S532" s="64"/>
    </row>
    <row r="533" spans="1:19">
      <c r="A533" s="64" t="s">
        <v>29</v>
      </c>
      <c r="B533" s="65" t="s">
        <v>481</v>
      </c>
      <c r="C533" s="65" t="s">
        <v>482</v>
      </c>
      <c r="D533" s="64" t="s">
        <v>483</v>
      </c>
      <c r="E533" s="65" t="s">
        <v>484</v>
      </c>
      <c r="F533" s="64" t="s">
        <v>190</v>
      </c>
      <c r="G533" s="65" t="s">
        <v>20</v>
      </c>
      <c r="H533" s="65" t="s">
        <v>933</v>
      </c>
      <c r="I533" s="65">
        <v>201412</v>
      </c>
      <c r="J533" s="66">
        <v>-341.38</v>
      </c>
      <c r="K533" s="72">
        <f t="shared" si="41"/>
        <v>42675</v>
      </c>
      <c r="L533" s="67">
        <f t="shared" si="39"/>
        <v>6</v>
      </c>
      <c r="M533" s="68">
        <v>2.23333E-3</v>
      </c>
      <c r="N533" s="69">
        <f t="shared" si="40"/>
        <v>-4.5744851723999993</v>
      </c>
      <c r="O533" s="66"/>
      <c r="P533" s="71">
        <f t="shared" si="42"/>
        <v>0</v>
      </c>
      <c r="Q533" s="132"/>
      <c r="R533" s="71">
        <f t="shared" si="43"/>
        <v>-5.2236118458333323</v>
      </c>
      <c r="S533" s="64"/>
    </row>
    <row r="534" spans="1:19">
      <c r="A534" s="64" t="s">
        <v>29</v>
      </c>
      <c r="B534" s="65" t="s">
        <v>236</v>
      </c>
      <c r="C534" s="65" t="s">
        <v>237</v>
      </c>
      <c r="D534" s="64" t="s">
        <v>188</v>
      </c>
      <c r="E534" s="65" t="s">
        <v>238</v>
      </c>
      <c r="F534" s="64" t="s">
        <v>190</v>
      </c>
      <c r="G534" s="65" t="s">
        <v>20</v>
      </c>
      <c r="H534" s="65" t="s">
        <v>933</v>
      </c>
      <c r="I534" s="65">
        <v>201412</v>
      </c>
      <c r="J534" s="66">
        <v>44688.62</v>
      </c>
      <c r="K534" s="72">
        <f t="shared" si="41"/>
        <v>42675</v>
      </c>
      <c r="L534" s="67">
        <f t="shared" si="39"/>
        <v>6</v>
      </c>
      <c r="M534" s="68">
        <v>2.23333E-3</v>
      </c>
      <c r="N534" s="69">
        <f t="shared" si="40"/>
        <v>598.82661422759998</v>
      </c>
      <c r="O534" s="66"/>
      <c r="P534" s="71">
        <f t="shared" si="42"/>
        <v>0</v>
      </c>
      <c r="Q534" s="132"/>
      <c r="R534" s="71">
        <f t="shared" si="43"/>
        <v>683.80105690416667</v>
      </c>
      <c r="S534" s="64"/>
    </row>
    <row r="535" spans="1:19">
      <c r="A535" s="64" t="s">
        <v>29</v>
      </c>
      <c r="B535" s="65" t="s">
        <v>239</v>
      </c>
      <c r="C535" s="65" t="s">
        <v>240</v>
      </c>
      <c r="D535" s="64" t="s">
        <v>197</v>
      </c>
      <c r="E535" s="65" t="s">
        <v>241</v>
      </c>
      <c r="F535" s="64" t="s">
        <v>199</v>
      </c>
      <c r="G535" s="65" t="s">
        <v>20</v>
      </c>
      <c r="H535" s="65" t="s">
        <v>933</v>
      </c>
      <c r="I535" s="65">
        <v>201412</v>
      </c>
      <c r="J535" s="66">
        <v>-1460.39</v>
      </c>
      <c r="K535" s="72">
        <f t="shared" si="41"/>
        <v>42675</v>
      </c>
      <c r="L535" s="67">
        <f t="shared" si="39"/>
        <v>6</v>
      </c>
      <c r="M535" s="68">
        <v>2.23333E-3</v>
      </c>
      <c r="N535" s="69">
        <f t="shared" si="40"/>
        <v>-19.5691967922</v>
      </c>
      <c r="O535" s="66"/>
      <c r="P535" s="71">
        <f t="shared" si="42"/>
        <v>0</v>
      </c>
      <c r="Q535" s="132"/>
      <c r="R535" s="71">
        <f t="shared" si="43"/>
        <v>-22.346096735416666</v>
      </c>
      <c r="S535" s="64"/>
    </row>
    <row r="536" spans="1:19">
      <c r="A536" s="64" t="s">
        <v>626</v>
      </c>
      <c r="B536" s="65" t="s">
        <v>1076</v>
      </c>
      <c r="C536" s="65" t="s">
        <v>1077</v>
      </c>
      <c r="D536" s="64" t="s">
        <v>1078</v>
      </c>
      <c r="E536" s="65" t="s">
        <v>75</v>
      </c>
      <c r="F536" s="64" t="s">
        <v>26</v>
      </c>
      <c r="G536" s="65" t="s">
        <v>20</v>
      </c>
      <c r="H536" s="65" t="s">
        <v>928</v>
      </c>
      <c r="I536" s="65">
        <v>201412</v>
      </c>
      <c r="J536" s="66">
        <v>-151.33000000000001</v>
      </c>
      <c r="K536" s="72">
        <f t="shared" si="41"/>
        <v>42675</v>
      </c>
      <c r="L536" s="67">
        <f t="shared" si="39"/>
        <v>6</v>
      </c>
      <c r="M536" s="68">
        <v>1.4833299999999999E-3</v>
      </c>
      <c r="N536" s="69">
        <f t="shared" si="40"/>
        <v>-1.3468339734000001</v>
      </c>
      <c r="O536" s="66"/>
      <c r="P536" s="71">
        <f t="shared" si="42"/>
        <v>0</v>
      </c>
      <c r="Q536" s="132"/>
      <c r="R536" s="71">
        <f t="shared" si="43"/>
        <v>-2.3155696895833331</v>
      </c>
      <c r="S536" s="64"/>
    </row>
    <row r="537" spans="1:19">
      <c r="A537" s="64" t="s">
        <v>21</v>
      </c>
      <c r="B537" s="65" t="s">
        <v>261</v>
      </c>
      <c r="C537" s="65" t="s">
        <v>262</v>
      </c>
      <c r="D537" s="64" t="s">
        <v>263</v>
      </c>
      <c r="E537" s="65" t="s">
        <v>75</v>
      </c>
      <c r="F537" s="64" t="s">
        <v>26</v>
      </c>
      <c r="G537" s="65" t="s">
        <v>20</v>
      </c>
      <c r="H537" s="65" t="s">
        <v>928</v>
      </c>
      <c r="I537" s="65">
        <v>201412</v>
      </c>
      <c r="J537" s="66">
        <v>2866.12</v>
      </c>
      <c r="K537" s="72">
        <f t="shared" si="41"/>
        <v>42675</v>
      </c>
      <c r="L537" s="67">
        <f t="shared" si="39"/>
        <v>6</v>
      </c>
      <c r="M537" s="68">
        <v>1.4833299999999999E-3</v>
      </c>
      <c r="N537" s="69">
        <f t="shared" si="40"/>
        <v>25.508410677600001</v>
      </c>
      <c r="O537" s="66"/>
      <c r="P537" s="71">
        <f t="shared" si="42"/>
        <v>0</v>
      </c>
      <c r="Q537" s="132"/>
      <c r="R537" s="71">
        <f t="shared" si="43"/>
        <v>43.855815758333328</v>
      </c>
      <c r="S537" s="64"/>
    </row>
    <row r="538" spans="1:19">
      <c r="A538" s="97" t="s">
        <v>127</v>
      </c>
      <c r="B538" s="98" t="s">
        <v>1032</v>
      </c>
      <c r="C538" s="98" t="s">
        <v>1033</v>
      </c>
      <c r="D538" s="97" t="s">
        <v>1034</v>
      </c>
      <c r="E538" s="98" t="s">
        <v>209</v>
      </c>
      <c r="F538" s="97" t="s">
        <v>88</v>
      </c>
      <c r="G538" s="98" t="s">
        <v>20</v>
      </c>
      <c r="H538" s="65" t="s">
        <v>929</v>
      </c>
      <c r="I538" s="98">
        <v>201412</v>
      </c>
      <c r="J538" s="99">
        <v>2739.95</v>
      </c>
      <c r="K538" s="72">
        <f t="shared" si="41"/>
        <v>42675</v>
      </c>
      <c r="L538" s="67">
        <f t="shared" si="39"/>
        <v>6</v>
      </c>
      <c r="M538" s="100">
        <v>2.3833299999999999E-3</v>
      </c>
      <c r="N538" s="69">
        <f t="shared" si="40"/>
        <v>39.181230200999998</v>
      </c>
      <c r="O538" s="66"/>
      <c r="P538" s="71">
        <f t="shared" si="42"/>
        <v>0</v>
      </c>
      <c r="Q538" s="132"/>
      <c r="R538" s="71">
        <f t="shared" si="43"/>
        <v>41.92523076041666</v>
      </c>
      <c r="S538" s="64"/>
    </row>
    <row r="539" spans="1:19">
      <c r="A539" s="64" t="s">
        <v>21</v>
      </c>
      <c r="B539" s="65" t="s">
        <v>938</v>
      </c>
      <c r="C539" s="65" t="s">
        <v>939</v>
      </c>
      <c r="D539" s="64" t="s">
        <v>940</v>
      </c>
      <c r="E539" s="65" t="s">
        <v>209</v>
      </c>
      <c r="F539" s="64" t="s">
        <v>88</v>
      </c>
      <c r="G539" s="65" t="s">
        <v>20</v>
      </c>
      <c r="H539" s="65" t="s">
        <v>929</v>
      </c>
      <c r="I539" s="65">
        <v>201412</v>
      </c>
      <c r="J539" s="66">
        <v>1337.3</v>
      </c>
      <c r="K539" s="72">
        <f t="shared" si="41"/>
        <v>42675</v>
      </c>
      <c r="L539" s="67">
        <f t="shared" si="39"/>
        <v>6</v>
      </c>
      <c r="M539" s="68">
        <v>1.4833299999999999E-3</v>
      </c>
      <c r="N539" s="69">
        <f t="shared" si="40"/>
        <v>11.901943253999999</v>
      </c>
      <c r="O539" s="66"/>
      <c r="P539" s="71">
        <f t="shared" si="42"/>
        <v>0</v>
      </c>
      <c r="Q539" s="132"/>
      <c r="R539" s="71">
        <f t="shared" si="43"/>
        <v>20.462640229166663</v>
      </c>
      <c r="S539" s="64"/>
    </row>
    <row r="540" spans="1:19">
      <c r="A540" s="64" t="s">
        <v>626</v>
      </c>
      <c r="B540" s="65" t="s">
        <v>938</v>
      </c>
      <c r="C540" s="65" t="s">
        <v>939</v>
      </c>
      <c r="D540" s="64" t="s">
        <v>940</v>
      </c>
      <c r="E540" s="65" t="s">
        <v>209</v>
      </c>
      <c r="F540" s="64" t="s">
        <v>88</v>
      </c>
      <c r="G540" s="65" t="s">
        <v>20</v>
      </c>
      <c r="H540" s="65" t="s">
        <v>929</v>
      </c>
      <c r="I540" s="65">
        <v>201412</v>
      </c>
      <c r="J540" s="66">
        <v>-1826.47</v>
      </c>
      <c r="K540" s="72">
        <f t="shared" si="41"/>
        <v>42675</v>
      </c>
      <c r="L540" s="67">
        <f t="shared" si="39"/>
        <v>6</v>
      </c>
      <c r="M540" s="68">
        <v>1.4833299999999999E-3</v>
      </c>
      <c r="N540" s="69">
        <f t="shared" si="40"/>
        <v>-16.255546470599999</v>
      </c>
      <c r="O540" s="66"/>
      <c r="P540" s="71">
        <f t="shared" si="42"/>
        <v>0</v>
      </c>
      <c r="Q540" s="132"/>
      <c r="R540" s="71">
        <f t="shared" si="43"/>
        <v>-27.947654602083329</v>
      </c>
      <c r="S540" s="64"/>
    </row>
    <row r="541" spans="1:19">
      <c r="A541" s="64" t="s">
        <v>29</v>
      </c>
      <c r="B541" s="65" t="s">
        <v>1115</v>
      </c>
      <c r="C541" s="65" t="s">
        <v>1116</v>
      </c>
      <c r="D541" s="64" t="s">
        <v>1026</v>
      </c>
      <c r="E541" s="65" t="s">
        <v>1117</v>
      </c>
      <c r="F541" s="64" t="s">
        <v>1028</v>
      </c>
      <c r="G541" s="65" t="s">
        <v>20</v>
      </c>
      <c r="H541" s="65" t="s">
        <v>933</v>
      </c>
      <c r="I541" s="65">
        <v>201412</v>
      </c>
      <c r="J541" s="66">
        <v>463.42</v>
      </c>
      <c r="K541" s="72">
        <f t="shared" si="41"/>
        <v>42675</v>
      </c>
      <c r="L541" s="67">
        <f t="shared" si="39"/>
        <v>6</v>
      </c>
      <c r="M541" s="68">
        <v>2.23333E-3</v>
      </c>
      <c r="N541" s="69">
        <f t="shared" si="40"/>
        <v>6.2098187315999995</v>
      </c>
      <c r="O541" s="66"/>
      <c r="P541" s="71">
        <f t="shared" si="42"/>
        <v>0</v>
      </c>
      <c r="Q541" s="132"/>
      <c r="R541" s="71">
        <f t="shared" si="43"/>
        <v>7.0910018208333323</v>
      </c>
      <c r="S541" s="64"/>
    </row>
    <row r="542" spans="1:19">
      <c r="A542" s="64" t="s">
        <v>29</v>
      </c>
      <c r="B542" s="65" t="s">
        <v>267</v>
      </c>
      <c r="C542" s="65" t="s">
        <v>268</v>
      </c>
      <c r="D542" s="64" t="s">
        <v>269</v>
      </c>
      <c r="E542" s="65" t="s">
        <v>270</v>
      </c>
      <c r="F542" s="64" t="s">
        <v>115</v>
      </c>
      <c r="G542" s="65" t="s">
        <v>20</v>
      </c>
      <c r="H542" s="65" t="s">
        <v>933</v>
      </c>
      <c r="I542" s="65">
        <v>201412</v>
      </c>
      <c r="J542" s="66">
        <v>24356.41</v>
      </c>
      <c r="K542" s="72">
        <f t="shared" si="41"/>
        <v>42675</v>
      </c>
      <c r="L542" s="67">
        <f t="shared" ref="L542:L605" si="44">((YEAR($L$1)-YEAR(K542))*12+MONTH($L$1)-MONTH(K542))</f>
        <v>6</v>
      </c>
      <c r="M542" s="68">
        <v>2.23333E-3</v>
      </c>
      <c r="N542" s="69">
        <f t="shared" ref="N542:N605" si="45">M542*L542*J542</f>
        <v>326.37540687179995</v>
      </c>
      <c r="O542" s="66"/>
      <c r="P542" s="71">
        <f t="shared" si="42"/>
        <v>0</v>
      </c>
      <c r="Q542" s="132"/>
      <c r="R542" s="71">
        <f t="shared" si="43"/>
        <v>372.68859276458329</v>
      </c>
      <c r="S542" s="64"/>
    </row>
    <row r="543" spans="1:19">
      <c r="A543" s="64" t="s">
        <v>29</v>
      </c>
      <c r="B543" s="65" t="s">
        <v>271</v>
      </c>
      <c r="C543" s="65" t="s">
        <v>272</v>
      </c>
      <c r="D543" s="64" t="s">
        <v>197</v>
      </c>
      <c r="E543" s="65" t="s">
        <v>273</v>
      </c>
      <c r="F543" s="64" t="s">
        <v>199</v>
      </c>
      <c r="G543" s="65" t="s">
        <v>20</v>
      </c>
      <c r="H543" s="65" t="s">
        <v>933</v>
      </c>
      <c r="I543" s="65">
        <v>201412</v>
      </c>
      <c r="J543" s="66">
        <v>5423.03</v>
      </c>
      <c r="K543" s="72">
        <f t="shared" si="41"/>
        <v>42675</v>
      </c>
      <c r="L543" s="67">
        <f t="shared" si="44"/>
        <v>6</v>
      </c>
      <c r="M543" s="68">
        <v>2.23333E-3</v>
      </c>
      <c r="N543" s="69">
        <f t="shared" si="45"/>
        <v>72.668493539399989</v>
      </c>
      <c r="O543" s="66"/>
      <c r="P543" s="71">
        <f t="shared" si="42"/>
        <v>0</v>
      </c>
      <c r="Q543" s="132"/>
      <c r="R543" s="71">
        <f t="shared" si="43"/>
        <v>82.980267585416655</v>
      </c>
      <c r="S543" s="64"/>
    </row>
    <row r="544" spans="1:19">
      <c r="A544" s="64" t="s">
        <v>21</v>
      </c>
      <c r="B544" s="65" t="s">
        <v>1118</v>
      </c>
      <c r="C544" s="65" t="s">
        <v>1119</v>
      </c>
      <c r="D544" s="64" t="s">
        <v>1120</v>
      </c>
      <c r="E544" s="65" t="s">
        <v>93</v>
      </c>
      <c r="F544" s="64" t="s">
        <v>88</v>
      </c>
      <c r="G544" s="65" t="s">
        <v>20</v>
      </c>
      <c r="H544" s="65" t="s">
        <v>929</v>
      </c>
      <c r="I544" s="65">
        <v>201412</v>
      </c>
      <c r="J544" s="66">
        <v>77100.09</v>
      </c>
      <c r="K544" s="72">
        <f t="shared" si="41"/>
        <v>42675</v>
      </c>
      <c r="L544" s="67">
        <f t="shared" si="44"/>
        <v>6</v>
      </c>
      <c r="M544" s="68">
        <v>1.4833299999999999E-3</v>
      </c>
      <c r="N544" s="69">
        <f t="shared" si="45"/>
        <v>686.18925899819999</v>
      </c>
      <c r="O544" s="66"/>
      <c r="P544" s="71">
        <f t="shared" si="42"/>
        <v>0</v>
      </c>
      <c r="Q544" s="132"/>
      <c r="R544" s="71">
        <f t="shared" si="43"/>
        <v>1179.74381463125</v>
      </c>
      <c r="S544" s="64"/>
    </row>
    <row r="545" spans="1:19">
      <c r="A545" s="64" t="s">
        <v>21</v>
      </c>
      <c r="B545" s="65" t="s">
        <v>1079</v>
      </c>
      <c r="C545" s="65" t="s">
        <v>1080</v>
      </c>
      <c r="D545" s="64" t="s">
        <v>1081</v>
      </c>
      <c r="E545" s="65" t="s">
        <v>102</v>
      </c>
      <c r="F545" s="64" t="s">
        <v>19</v>
      </c>
      <c r="G545" s="65" t="s">
        <v>20</v>
      </c>
      <c r="H545" s="65" t="s">
        <v>928</v>
      </c>
      <c r="I545" s="65">
        <v>201412</v>
      </c>
      <c r="J545" s="66">
        <v>0</v>
      </c>
      <c r="K545" s="72">
        <f t="shared" si="41"/>
        <v>42675</v>
      </c>
      <c r="L545" s="67">
        <f t="shared" si="44"/>
        <v>6</v>
      </c>
      <c r="M545" s="68">
        <v>1.4833299999999999E-3</v>
      </c>
      <c r="N545" s="69">
        <f t="shared" si="45"/>
        <v>0</v>
      </c>
      <c r="O545" s="66"/>
      <c r="P545" s="71">
        <f t="shared" si="42"/>
        <v>0</v>
      </c>
      <c r="Q545" s="132"/>
      <c r="R545" s="71">
        <f t="shared" si="43"/>
        <v>0</v>
      </c>
      <c r="S545" s="64"/>
    </row>
    <row r="546" spans="1:19">
      <c r="A546" s="64" t="s">
        <v>29</v>
      </c>
      <c r="B546" s="65" t="s">
        <v>836</v>
      </c>
      <c r="C546" s="65" t="s">
        <v>837</v>
      </c>
      <c r="D546" s="64" t="s">
        <v>327</v>
      </c>
      <c r="E546" s="65" t="s">
        <v>838</v>
      </c>
      <c r="F546" s="64" t="s">
        <v>58</v>
      </c>
      <c r="G546" s="65" t="s">
        <v>20</v>
      </c>
      <c r="H546" s="65" t="s">
        <v>933</v>
      </c>
      <c r="I546" s="65">
        <v>201412</v>
      </c>
      <c r="J546" s="66">
        <v>64.27</v>
      </c>
      <c r="K546" s="72">
        <f t="shared" si="41"/>
        <v>42675</v>
      </c>
      <c r="L546" s="67">
        <f t="shared" si="44"/>
        <v>6</v>
      </c>
      <c r="M546" s="68">
        <v>2.23333E-3</v>
      </c>
      <c r="N546" s="69">
        <f t="shared" si="45"/>
        <v>0.86121671459999982</v>
      </c>
      <c r="O546" s="66"/>
      <c r="P546" s="71">
        <f t="shared" si="42"/>
        <v>0</v>
      </c>
      <c r="Q546" s="132"/>
      <c r="R546" s="71">
        <f t="shared" si="43"/>
        <v>0.98342472708333317</v>
      </c>
      <c r="S546" s="64"/>
    </row>
    <row r="547" spans="1:19">
      <c r="A547" s="64" t="s">
        <v>29</v>
      </c>
      <c r="B547" s="65" t="s">
        <v>292</v>
      </c>
      <c r="C547" s="65" t="s">
        <v>293</v>
      </c>
      <c r="D547" s="64" t="s">
        <v>197</v>
      </c>
      <c r="E547" s="65" t="s">
        <v>294</v>
      </c>
      <c r="F547" s="64" t="s">
        <v>199</v>
      </c>
      <c r="G547" s="65" t="s">
        <v>20</v>
      </c>
      <c r="H547" s="65" t="s">
        <v>933</v>
      </c>
      <c r="I547" s="65">
        <v>201412</v>
      </c>
      <c r="J547" s="66">
        <v>4755.1000000000004</v>
      </c>
      <c r="K547" s="72">
        <f t="shared" si="41"/>
        <v>42675</v>
      </c>
      <c r="L547" s="67">
        <f t="shared" si="44"/>
        <v>6</v>
      </c>
      <c r="M547" s="68">
        <v>2.23333E-3</v>
      </c>
      <c r="N547" s="69">
        <f t="shared" si="45"/>
        <v>63.718244898000002</v>
      </c>
      <c r="O547" s="66"/>
      <c r="P547" s="71">
        <f t="shared" si="42"/>
        <v>0</v>
      </c>
      <c r="Q547" s="132"/>
      <c r="R547" s="71">
        <f t="shared" si="43"/>
        <v>72.759964520833321</v>
      </c>
      <c r="S547" s="64"/>
    </row>
    <row r="548" spans="1:19">
      <c r="A548" s="64" t="s">
        <v>21</v>
      </c>
      <c r="B548" s="65" t="s">
        <v>494</v>
      </c>
      <c r="C548" s="65" t="s">
        <v>495</v>
      </c>
      <c r="D548" s="64" t="s">
        <v>496</v>
      </c>
      <c r="E548" s="65" t="s">
        <v>497</v>
      </c>
      <c r="F548" s="64" t="s">
        <v>26</v>
      </c>
      <c r="G548" s="65" t="s">
        <v>20</v>
      </c>
      <c r="H548" s="65" t="s">
        <v>928</v>
      </c>
      <c r="I548" s="65">
        <v>201412</v>
      </c>
      <c r="J548" s="66">
        <v>7983.95</v>
      </c>
      <c r="K548" s="72">
        <f t="shared" si="41"/>
        <v>42675</v>
      </c>
      <c r="L548" s="67">
        <f t="shared" si="44"/>
        <v>6</v>
      </c>
      <c r="M548" s="68">
        <v>1.4833299999999999E-3</v>
      </c>
      <c r="N548" s="69">
        <f t="shared" si="45"/>
        <v>71.056995321000002</v>
      </c>
      <c r="O548" s="66"/>
      <c r="P548" s="71">
        <f t="shared" si="42"/>
        <v>0</v>
      </c>
      <c r="Q548" s="132"/>
      <c r="R548" s="71">
        <f t="shared" si="43"/>
        <v>122.16607826041665</v>
      </c>
      <c r="S548" s="64"/>
    </row>
    <row r="549" spans="1:19">
      <c r="A549" s="64" t="s">
        <v>21</v>
      </c>
      <c r="B549" s="65" t="s">
        <v>1121</v>
      </c>
      <c r="C549" s="65" t="s">
        <v>1122</v>
      </c>
      <c r="D549" s="64" t="s">
        <v>1123</v>
      </c>
      <c r="E549" s="65" t="s">
        <v>497</v>
      </c>
      <c r="F549" s="64" t="s">
        <v>26</v>
      </c>
      <c r="G549" s="65" t="s">
        <v>20</v>
      </c>
      <c r="H549" s="65" t="s">
        <v>928</v>
      </c>
      <c r="I549" s="65">
        <v>201412</v>
      </c>
      <c r="J549" s="66">
        <v>192036.17</v>
      </c>
      <c r="K549" s="72">
        <f t="shared" si="41"/>
        <v>42675</v>
      </c>
      <c r="L549" s="67">
        <f t="shared" si="44"/>
        <v>6</v>
      </c>
      <c r="M549" s="68">
        <v>1.4833299999999999E-3</v>
      </c>
      <c r="N549" s="69">
        <f t="shared" si="45"/>
        <v>1709.1180722766001</v>
      </c>
      <c r="O549" s="66"/>
      <c r="P549" s="71">
        <f t="shared" si="42"/>
        <v>0</v>
      </c>
      <c r="Q549" s="132"/>
      <c r="R549" s="71">
        <f t="shared" si="43"/>
        <v>2938.4334537479167</v>
      </c>
      <c r="S549" s="64"/>
    </row>
    <row r="550" spans="1:19">
      <c r="A550" s="64" t="s">
        <v>29</v>
      </c>
      <c r="B550" s="65" t="s">
        <v>318</v>
      </c>
      <c r="C550" s="65" t="s">
        <v>319</v>
      </c>
      <c r="D550" s="64" t="s">
        <v>105</v>
      </c>
      <c r="E550" s="65" t="s">
        <v>320</v>
      </c>
      <c r="F550" s="64" t="s">
        <v>34</v>
      </c>
      <c r="G550" s="65" t="s">
        <v>20</v>
      </c>
      <c r="H550" s="65" t="s">
        <v>933</v>
      </c>
      <c r="I550" s="65">
        <v>201412</v>
      </c>
      <c r="J550" s="66">
        <v>8.01</v>
      </c>
      <c r="K550" s="72">
        <f t="shared" si="41"/>
        <v>42675</v>
      </c>
      <c r="L550" s="67">
        <f t="shared" si="44"/>
        <v>6</v>
      </c>
      <c r="M550" s="68">
        <v>2.23333E-3</v>
      </c>
      <c r="N550" s="69">
        <f t="shared" si="45"/>
        <v>0.10733383979999998</v>
      </c>
      <c r="O550" s="66"/>
      <c r="P550" s="71">
        <f t="shared" si="42"/>
        <v>0</v>
      </c>
      <c r="Q550" s="132"/>
      <c r="R550" s="71">
        <f t="shared" si="43"/>
        <v>0.12256468124999997</v>
      </c>
      <c r="S550" s="64"/>
    </row>
    <row r="551" spans="1:19">
      <c r="A551" s="64" t="s">
        <v>29</v>
      </c>
      <c r="B551" s="65" t="s">
        <v>321</v>
      </c>
      <c r="C551" s="65" t="s">
        <v>322</v>
      </c>
      <c r="D551" s="64" t="s">
        <v>323</v>
      </c>
      <c r="E551" s="65" t="s">
        <v>324</v>
      </c>
      <c r="F551" s="64" t="s">
        <v>52</v>
      </c>
      <c r="G551" s="65" t="s">
        <v>20</v>
      </c>
      <c r="H551" s="65" t="s">
        <v>933</v>
      </c>
      <c r="I551" s="65">
        <v>201412</v>
      </c>
      <c r="J551" s="66">
        <v>-3814.16</v>
      </c>
      <c r="K551" s="72">
        <f t="shared" si="41"/>
        <v>42675</v>
      </c>
      <c r="L551" s="67">
        <f t="shared" si="44"/>
        <v>6</v>
      </c>
      <c r="M551" s="68">
        <v>2.23333E-3</v>
      </c>
      <c r="N551" s="69">
        <f t="shared" si="45"/>
        <v>-51.109667716799997</v>
      </c>
      <c r="O551" s="66"/>
      <c r="P551" s="71">
        <f t="shared" si="42"/>
        <v>0</v>
      </c>
      <c r="Q551" s="132"/>
      <c r="R551" s="71">
        <f t="shared" si="43"/>
        <v>-58.362210316666662</v>
      </c>
      <c r="S551" s="64"/>
    </row>
    <row r="552" spans="1:19">
      <c r="A552" s="64" t="s">
        <v>29</v>
      </c>
      <c r="B552" s="65" t="s">
        <v>419</v>
      </c>
      <c r="C552" s="65" t="s">
        <v>420</v>
      </c>
      <c r="D552" s="64" t="s">
        <v>50</v>
      </c>
      <c r="E552" s="65" t="s">
        <v>421</v>
      </c>
      <c r="F552" s="64" t="s">
        <v>52</v>
      </c>
      <c r="G552" s="65" t="s">
        <v>20</v>
      </c>
      <c r="H552" s="65" t="s">
        <v>933</v>
      </c>
      <c r="I552" s="65">
        <v>201412</v>
      </c>
      <c r="J552" s="66">
        <v>8776.2099999999991</v>
      </c>
      <c r="K552" s="72">
        <f t="shared" si="41"/>
        <v>42675</v>
      </c>
      <c r="L552" s="67">
        <f t="shared" si="44"/>
        <v>6</v>
      </c>
      <c r="M552" s="68">
        <v>2.23333E-3</v>
      </c>
      <c r="N552" s="69">
        <f t="shared" si="45"/>
        <v>117.60103847579998</v>
      </c>
      <c r="O552" s="66"/>
      <c r="P552" s="71">
        <f t="shared" si="42"/>
        <v>0</v>
      </c>
      <c r="Q552" s="132"/>
      <c r="R552" s="71">
        <f t="shared" si="43"/>
        <v>134.28881163958332</v>
      </c>
      <c r="S552" s="64"/>
    </row>
    <row r="553" spans="1:19">
      <c r="A553" s="64" t="s">
        <v>29</v>
      </c>
      <c r="B553" s="65" t="s">
        <v>839</v>
      </c>
      <c r="C553" s="65" t="s">
        <v>840</v>
      </c>
      <c r="D553" s="64" t="s">
        <v>50</v>
      </c>
      <c r="E553" s="65" t="s">
        <v>841</v>
      </c>
      <c r="F553" s="64" t="s">
        <v>52</v>
      </c>
      <c r="G553" s="65" t="s">
        <v>20</v>
      </c>
      <c r="H553" s="65" t="s">
        <v>933</v>
      </c>
      <c r="I553" s="65">
        <v>201412</v>
      </c>
      <c r="J553" s="66">
        <v>48.78</v>
      </c>
      <c r="K553" s="72">
        <f t="shared" si="41"/>
        <v>42675</v>
      </c>
      <c r="L553" s="67">
        <f t="shared" si="44"/>
        <v>6</v>
      </c>
      <c r="M553" s="68">
        <v>2.23333E-3</v>
      </c>
      <c r="N553" s="69">
        <f t="shared" si="45"/>
        <v>0.6536510244</v>
      </c>
      <c r="O553" s="66"/>
      <c r="P553" s="71">
        <f t="shared" si="42"/>
        <v>0</v>
      </c>
      <c r="Q553" s="132"/>
      <c r="R553" s="71">
        <f t="shared" si="43"/>
        <v>0.74640513749999993</v>
      </c>
      <c r="S553" s="64"/>
    </row>
    <row r="554" spans="1:19">
      <c r="A554" s="64" t="s">
        <v>29</v>
      </c>
      <c r="B554" s="65" t="s">
        <v>325</v>
      </c>
      <c r="C554" s="65" t="s">
        <v>326</v>
      </c>
      <c r="D554" s="64" t="s">
        <v>327</v>
      </c>
      <c r="E554" s="65" t="s">
        <v>328</v>
      </c>
      <c r="F554" s="64" t="s">
        <v>58</v>
      </c>
      <c r="G554" s="65" t="s">
        <v>20</v>
      </c>
      <c r="H554" s="65" t="s">
        <v>933</v>
      </c>
      <c r="I554" s="65">
        <v>201412</v>
      </c>
      <c r="J554" s="66">
        <v>2824.7</v>
      </c>
      <c r="K554" s="72">
        <f t="shared" si="41"/>
        <v>42675</v>
      </c>
      <c r="L554" s="67">
        <f t="shared" si="44"/>
        <v>6</v>
      </c>
      <c r="M554" s="68">
        <v>2.23333E-3</v>
      </c>
      <c r="N554" s="69">
        <f t="shared" si="45"/>
        <v>37.850923505999994</v>
      </c>
      <c r="O554" s="66"/>
      <c r="P554" s="71">
        <f t="shared" si="42"/>
        <v>0</v>
      </c>
      <c r="Q554" s="132"/>
      <c r="R554" s="71">
        <f t="shared" si="43"/>
        <v>43.222029354166658</v>
      </c>
      <c r="S554" s="64"/>
    </row>
    <row r="555" spans="1:19">
      <c r="A555" s="64" t="s">
        <v>21</v>
      </c>
      <c r="B555" s="65" t="s">
        <v>678</v>
      </c>
      <c r="C555" s="65" t="s">
        <v>679</v>
      </c>
      <c r="D555" s="64" t="s">
        <v>680</v>
      </c>
      <c r="E555" s="65" t="s">
        <v>75</v>
      </c>
      <c r="F555" s="64" t="s">
        <v>26</v>
      </c>
      <c r="G555" s="65" t="s">
        <v>20</v>
      </c>
      <c r="H555" s="65" t="s">
        <v>928</v>
      </c>
      <c r="I555" s="65">
        <v>201412</v>
      </c>
      <c r="J555" s="66">
        <v>-35.33</v>
      </c>
      <c r="K555" s="72">
        <f t="shared" si="41"/>
        <v>42675</v>
      </c>
      <c r="L555" s="67">
        <f t="shared" si="44"/>
        <v>6</v>
      </c>
      <c r="M555" s="68">
        <v>1.4833299999999999E-3</v>
      </c>
      <c r="N555" s="69">
        <f t="shared" si="45"/>
        <v>-0.31443629340000001</v>
      </c>
      <c r="O555" s="66"/>
      <c r="P555" s="71">
        <f t="shared" si="42"/>
        <v>0</v>
      </c>
      <c r="Q555" s="132"/>
      <c r="R555" s="71">
        <f t="shared" si="43"/>
        <v>-0.5406005229166666</v>
      </c>
      <c r="S555" s="64"/>
    </row>
    <row r="556" spans="1:19">
      <c r="A556" s="64" t="s">
        <v>21</v>
      </c>
      <c r="B556" s="65" t="s">
        <v>1124</v>
      </c>
      <c r="C556" s="65" t="s">
        <v>1125</v>
      </c>
      <c r="D556" s="64" t="s">
        <v>1126</v>
      </c>
      <c r="E556" s="65" t="s">
        <v>87</v>
      </c>
      <c r="F556" s="64" t="s">
        <v>88</v>
      </c>
      <c r="G556" s="65" t="s">
        <v>20</v>
      </c>
      <c r="H556" s="65" t="s">
        <v>929</v>
      </c>
      <c r="I556" s="65">
        <v>201412</v>
      </c>
      <c r="J556" s="66">
        <v>423003.39</v>
      </c>
      <c r="K556" s="72">
        <f t="shared" si="41"/>
        <v>42675</v>
      </c>
      <c r="L556" s="67">
        <f t="shared" si="44"/>
        <v>6</v>
      </c>
      <c r="M556" s="68">
        <v>1.4833299999999999E-3</v>
      </c>
      <c r="N556" s="69">
        <f t="shared" si="45"/>
        <v>3764.7217109322</v>
      </c>
      <c r="O556" s="66"/>
      <c r="P556" s="71">
        <f t="shared" si="42"/>
        <v>0</v>
      </c>
      <c r="Q556" s="132"/>
      <c r="R556" s="71">
        <f t="shared" si="43"/>
        <v>6472.5687469437498</v>
      </c>
      <c r="S556" s="64"/>
    </row>
    <row r="557" spans="1:19">
      <c r="A557" s="64" t="s">
        <v>21</v>
      </c>
      <c r="B557" s="65" t="s">
        <v>1127</v>
      </c>
      <c r="C557" s="65" t="s">
        <v>1128</v>
      </c>
      <c r="D557" s="64" t="s">
        <v>1129</v>
      </c>
      <c r="E557" s="65" t="s">
        <v>87</v>
      </c>
      <c r="F557" s="64" t="s">
        <v>88</v>
      </c>
      <c r="G557" s="65" t="s">
        <v>20</v>
      </c>
      <c r="H557" s="65" t="s">
        <v>929</v>
      </c>
      <c r="I557" s="65">
        <v>201412</v>
      </c>
      <c r="J557" s="66">
        <v>4268934.05</v>
      </c>
      <c r="K557" s="72">
        <f t="shared" si="41"/>
        <v>42675</v>
      </c>
      <c r="L557" s="67">
        <f t="shared" si="44"/>
        <v>6</v>
      </c>
      <c r="M557" s="68">
        <v>1.4833299999999999E-3</v>
      </c>
      <c r="N557" s="69">
        <f t="shared" si="45"/>
        <v>37993.427666318996</v>
      </c>
      <c r="O557" s="66"/>
      <c r="P557" s="71">
        <f t="shared" si="42"/>
        <v>0</v>
      </c>
      <c r="Q557" s="132"/>
      <c r="R557" s="71">
        <f t="shared" si="43"/>
        <v>65320.916493822901</v>
      </c>
      <c r="S557" s="64"/>
    </row>
    <row r="558" spans="1:19">
      <c r="A558" s="64" t="s">
        <v>626</v>
      </c>
      <c r="B558" s="65" t="s">
        <v>1082</v>
      </c>
      <c r="C558" s="65" t="s">
        <v>1083</v>
      </c>
      <c r="D558" s="64" t="s">
        <v>1084</v>
      </c>
      <c r="E558" s="65" t="s">
        <v>75</v>
      </c>
      <c r="F558" s="64" t="s">
        <v>26</v>
      </c>
      <c r="G558" s="65" t="s">
        <v>20</v>
      </c>
      <c r="H558" s="65" t="s">
        <v>928</v>
      </c>
      <c r="I558" s="65">
        <v>201412</v>
      </c>
      <c r="J558" s="66">
        <v>14879.8</v>
      </c>
      <c r="K558" s="72">
        <f t="shared" ref="K558:K621" si="46">+K557</f>
        <v>42675</v>
      </c>
      <c r="L558" s="67">
        <f t="shared" si="44"/>
        <v>6</v>
      </c>
      <c r="M558" s="68">
        <v>1.4833299999999999E-3</v>
      </c>
      <c r="N558" s="69">
        <f t="shared" si="45"/>
        <v>132.429922404</v>
      </c>
      <c r="O558" s="66"/>
      <c r="P558" s="71">
        <f t="shared" ref="P558:P621" si="47">$P$300*J558*$U$11</f>
        <v>0</v>
      </c>
      <c r="Q558" s="132"/>
      <c r="R558" s="71">
        <f t="shared" ref="R558:R621" si="48">$R$300*J558*$U$12</f>
        <v>227.68263970833331</v>
      </c>
      <c r="S558" s="64"/>
    </row>
    <row r="559" spans="1:19">
      <c r="A559" s="64" t="s">
        <v>21</v>
      </c>
      <c r="B559" s="65" t="s">
        <v>870</v>
      </c>
      <c r="C559" s="65" t="s">
        <v>871</v>
      </c>
      <c r="D559" s="64" t="s">
        <v>872</v>
      </c>
      <c r="E559" s="65" t="s">
        <v>873</v>
      </c>
      <c r="F559" s="64" t="s">
        <v>874</v>
      </c>
      <c r="G559" s="65" t="s">
        <v>20</v>
      </c>
      <c r="H559" s="65" t="s">
        <v>929</v>
      </c>
      <c r="I559" s="65">
        <v>201412</v>
      </c>
      <c r="J559" s="66">
        <v>-166.27</v>
      </c>
      <c r="K559" s="72">
        <f t="shared" si="46"/>
        <v>42675</v>
      </c>
      <c r="L559" s="67">
        <f t="shared" si="44"/>
        <v>6</v>
      </c>
      <c r="M559" s="68">
        <v>1.4833299999999999E-3</v>
      </c>
      <c r="N559" s="69">
        <f t="shared" si="45"/>
        <v>-1.4797996746000002</v>
      </c>
      <c r="O559" s="66"/>
      <c r="P559" s="71">
        <f t="shared" si="47"/>
        <v>0</v>
      </c>
      <c r="Q559" s="132"/>
      <c r="R559" s="71">
        <f t="shared" si="48"/>
        <v>-2.5441734770833331</v>
      </c>
      <c r="S559" s="64"/>
    </row>
    <row r="560" spans="1:19">
      <c r="A560" s="64" t="s">
        <v>626</v>
      </c>
      <c r="B560" s="65" t="s">
        <v>1085</v>
      </c>
      <c r="C560" s="65" t="s">
        <v>1086</v>
      </c>
      <c r="D560" s="64" t="s">
        <v>1087</v>
      </c>
      <c r="E560" s="65" t="s">
        <v>75</v>
      </c>
      <c r="F560" s="64" t="s">
        <v>26</v>
      </c>
      <c r="G560" s="65" t="s">
        <v>20</v>
      </c>
      <c r="H560" s="65" t="s">
        <v>928</v>
      </c>
      <c r="I560" s="65">
        <v>201412</v>
      </c>
      <c r="J560" s="66">
        <v>-96.51</v>
      </c>
      <c r="K560" s="72">
        <f t="shared" si="46"/>
        <v>42675</v>
      </c>
      <c r="L560" s="67">
        <f t="shared" si="44"/>
        <v>6</v>
      </c>
      <c r="M560" s="68">
        <v>1.4833299999999999E-3</v>
      </c>
      <c r="N560" s="69">
        <f t="shared" si="45"/>
        <v>-0.85893706980000006</v>
      </c>
      <c r="O560" s="66"/>
      <c r="P560" s="71">
        <f t="shared" si="47"/>
        <v>0</v>
      </c>
      <c r="Q560" s="132"/>
      <c r="R560" s="71">
        <f t="shared" si="48"/>
        <v>-1.4767437437499999</v>
      </c>
      <c r="S560" s="64"/>
    </row>
    <row r="561" spans="1:19">
      <c r="A561" s="64" t="s">
        <v>21</v>
      </c>
      <c r="B561" s="65" t="s">
        <v>888</v>
      </c>
      <c r="C561" s="65" t="s">
        <v>889</v>
      </c>
      <c r="D561" s="64" t="s">
        <v>890</v>
      </c>
      <c r="E561" s="65" t="s">
        <v>280</v>
      </c>
      <c r="F561" s="64" t="s">
        <v>26</v>
      </c>
      <c r="G561" s="65" t="s">
        <v>20</v>
      </c>
      <c r="H561" s="65" t="s">
        <v>928</v>
      </c>
      <c r="I561" s="65">
        <v>201412</v>
      </c>
      <c r="J561" s="66">
        <v>-122.95</v>
      </c>
      <c r="K561" s="72">
        <f t="shared" si="46"/>
        <v>42675</v>
      </c>
      <c r="L561" s="67">
        <f t="shared" si="44"/>
        <v>6</v>
      </c>
      <c r="M561" s="68">
        <v>1.4833299999999999E-3</v>
      </c>
      <c r="N561" s="69">
        <f t="shared" si="45"/>
        <v>-1.0942525410000001</v>
      </c>
      <c r="O561" s="66"/>
      <c r="P561" s="71">
        <f t="shared" si="47"/>
        <v>0</v>
      </c>
      <c r="Q561" s="132"/>
      <c r="R561" s="71">
        <f t="shared" si="48"/>
        <v>-1.8813143020833332</v>
      </c>
      <c r="S561" s="64"/>
    </row>
    <row r="562" spans="1:19">
      <c r="A562" s="64" t="s">
        <v>626</v>
      </c>
      <c r="B562" s="65" t="s">
        <v>944</v>
      </c>
      <c r="C562" s="65" t="s">
        <v>945</v>
      </c>
      <c r="D562" s="64" t="s">
        <v>946</v>
      </c>
      <c r="E562" s="65" t="s">
        <v>164</v>
      </c>
      <c r="F562" s="64" t="s">
        <v>165</v>
      </c>
      <c r="G562" s="65" t="s">
        <v>20</v>
      </c>
      <c r="H562" s="65" t="s">
        <v>928</v>
      </c>
      <c r="I562" s="65">
        <v>201412</v>
      </c>
      <c r="J562" s="66">
        <v>-1373.08</v>
      </c>
      <c r="K562" s="72">
        <f t="shared" si="46"/>
        <v>42675</v>
      </c>
      <c r="L562" s="67">
        <f t="shared" si="44"/>
        <v>6</v>
      </c>
      <c r="M562" s="68">
        <v>1.4833299999999999E-3</v>
      </c>
      <c r="N562" s="69">
        <f t="shared" si="45"/>
        <v>-12.220384538399999</v>
      </c>
      <c r="O562" s="66"/>
      <c r="P562" s="71">
        <f t="shared" si="47"/>
        <v>0</v>
      </c>
      <c r="Q562" s="132"/>
      <c r="R562" s="71">
        <f t="shared" si="48"/>
        <v>-21.010126408333331</v>
      </c>
      <c r="S562" s="64"/>
    </row>
    <row r="563" spans="1:19">
      <c r="A563" s="64" t="s">
        <v>21</v>
      </c>
      <c r="B563" s="65" t="s">
        <v>782</v>
      </c>
      <c r="C563" s="65" t="s">
        <v>783</v>
      </c>
      <c r="D563" s="64" t="s">
        <v>784</v>
      </c>
      <c r="E563" s="65" t="s">
        <v>18</v>
      </c>
      <c r="F563" s="64" t="s">
        <v>19</v>
      </c>
      <c r="G563" s="65" t="s">
        <v>20</v>
      </c>
      <c r="H563" s="65" t="s">
        <v>928</v>
      </c>
      <c r="I563" s="65">
        <v>201412</v>
      </c>
      <c r="J563" s="66">
        <v>58.38</v>
      </c>
      <c r="K563" s="72">
        <f t="shared" si="46"/>
        <v>42675</v>
      </c>
      <c r="L563" s="67">
        <f t="shared" si="44"/>
        <v>6</v>
      </c>
      <c r="M563" s="68">
        <v>1.4833299999999999E-3</v>
      </c>
      <c r="N563" s="69">
        <f t="shared" si="45"/>
        <v>0.51958083239999997</v>
      </c>
      <c r="O563" s="66"/>
      <c r="P563" s="71">
        <f t="shared" si="47"/>
        <v>0</v>
      </c>
      <c r="Q563" s="132"/>
      <c r="R563" s="71">
        <f t="shared" si="48"/>
        <v>0.89329913750000001</v>
      </c>
      <c r="S563" s="64"/>
    </row>
    <row r="564" spans="1:19">
      <c r="A564" s="64" t="s">
        <v>626</v>
      </c>
      <c r="B564" s="65" t="s">
        <v>1038</v>
      </c>
      <c r="C564" s="65" t="s">
        <v>1039</v>
      </c>
      <c r="D564" s="64" t="s">
        <v>1040</v>
      </c>
      <c r="E564" s="65" t="s">
        <v>75</v>
      </c>
      <c r="F564" s="64" t="s">
        <v>26</v>
      </c>
      <c r="G564" s="65" t="s">
        <v>20</v>
      </c>
      <c r="H564" s="65" t="s">
        <v>928</v>
      </c>
      <c r="I564" s="65">
        <v>201412</v>
      </c>
      <c r="J564" s="66">
        <v>-428.47</v>
      </c>
      <c r="K564" s="72">
        <f t="shared" si="46"/>
        <v>42675</v>
      </c>
      <c r="L564" s="67">
        <f t="shared" si="44"/>
        <v>6</v>
      </c>
      <c r="M564" s="68">
        <v>1.4833299999999999E-3</v>
      </c>
      <c r="N564" s="69">
        <f t="shared" si="45"/>
        <v>-3.8133744306000001</v>
      </c>
      <c r="O564" s="66"/>
      <c r="P564" s="71">
        <f t="shared" si="47"/>
        <v>0</v>
      </c>
      <c r="Q564" s="132"/>
      <c r="R564" s="71">
        <f t="shared" si="48"/>
        <v>-6.5562158520833336</v>
      </c>
      <c r="S564" s="64"/>
    </row>
    <row r="565" spans="1:19">
      <c r="A565" s="64" t="s">
        <v>626</v>
      </c>
      <c r="B565" s="65" t="s">
        <v>947</v>
      </c>
      <c r="C565" s="65" t="s">
        <v>948</v>
      </c>
      <c r="D565" s="64" t="s">
        <v>949</v>
      </c>
      <c r="E565" s="65" t="s">
        <v>75</v>
      </c>
      <c r="F565" s="64" t="s">
        <v>26</v>
      </c>
      <c r="G565" s="65" t="s">
        <v>20</v>
      </c>
      <c r="H565" s="65" t="s">
        <v>928</v>
      </c>
      <c r="I565" s="65">
        <v>201412</v>
      </c>
      <c r="J565" s="66">
        <v>45.84</v>
      </c>
      <c r="K565" s="72">
        <f t="shared" si="46"/>
        <v>42675</v>
      </c>
      <c r="L565" s="67">
        <f t="shared" si="44"/>
        <v>6</v>
      </c>
      <c r="M565" s="68">
        <v>1.4833299999999999E-3</v>
      </c>
      <c r="N565" s="69">
        <f t="shared" si="45"/>
        <v>0.40797508320000003</v>
      </c>
      <c r="O565" s="66"/>
      <c r="P565" s="71">
        <f t="shared" si="47"/>
        <v>0</v>
      </c>
      <c r="Q565" s="132"/>
      <c r="R565" s="71">
        <f t="shared" si="48"/>
        <v>0.70141884999999993</v>
      </c>
      <c r="S565" s="64"/>
    </row>
    <row r="566" spans="1:19">
      <c r="A566" s="64" t="s">
        <v>127</v>
      </c>
      <c r="B566" s="65" t="s">
        <v>1130</v>
      </c>
      <c r="C566" s="65" t="s">
        <v>1131</v>
      </c>
      <c r="D566" s="64" t="s">
        <v>1132</v>
      </c>
      <c r="E566" s="65" t="s">
        <v>131</v>
      </c>
      <c r="F566" s="64" t="s">
        <v>132</v>
      </c>
      <c r="G566" s="65" t="s">
        <v>20</v>
      </c>
      <c r="H566" s="65" t="s">
        <v>935</v>
      </c>
      <c r="I566" s="65">
        <v>201412</v>
      </c>
      <c r="J566" s="66">
        <v>32263.57</v>
      </c>
      <c r="K566" s="72">
        <f t="shared" si="46"/>
        <v>42675</v>
      </c>
      <c r="L566" s="67">
        <f t="shared" si="44"/>
        <v>6</v>
      </c>
      <c r="M566" s="68">
        <v>2.3833299999999999E-3</v>
      </c>
      <c r="N566" s="69">
        <f t="shared" si="45"/>
        <v>461.36840572860001</v>
      </c>
      <c r="O566" s="66"/>
      <c r="P566" s="71">
        <f t="shared" si="47"/>
        <v>0</v>
      </c>
      <c r="Q566" s="132"/>
      <c r="R566" s="71">
        <f t="shared" si="48"/>
        <v>493.67967203958324</v>
      </c>
      <c r="S566" s="64"/>
    </row>
    <row r="567" spans="1:19">
      <c r="A567" s="64" t="s">
        <v>626</v>
      </c>
      <c r="B567" s="65" t="s">
        <v>1041</v>
      </c>
      <c r="C567" s="65" t="s">
        <v>1042</v>
      </c>
      <c r="D567" s="64" t="s">
        <v>1043</v>
      </c>
      <c r="E567" s="65" t="s">
        <v>75</v>
      </c>
      <c r="F567" s="64" t="s">
        <v>26</v>
      </c>
      <c r="G567" s="65" t="s">
        <v>20</v>
      </c>
      <c r="H567" s="65" t="s">
        <v>928</v>
      </c>
      <c r="I567" s="65">
        <v>201412</v>
      </c>
      <c r="J567" s="66">
        <v>-865.92</v>
      </c>
      <c r="K567" s="72">
        <f t="shared" si="46"/>
        <v>42675</v>
      </c>
      <c r="L567" s="67">
        <f t="shared" si="44"/>
        <v>6</v>
      </c>
      <c r="M567" s="68">
        <v>1.4833299999999999E-3</v>
      </c>
      <c r="N567" s="69">
        <f t="shared" si="45"/>
        <v>-7.7066706815999995</v>
      </c>
      <c r="O567" s="66"/>
      <c r="P567" s="71">
        <f t="shared" si="47"/>
        <v>0</v>
      </c>
      <c r="Q567" s="132"/>
      <c r="R567" s="71">
        <f t="shared" si="48"/>
        <v>-13.249838799999997</v>
      </c>
      <c r="S567" s="64"/>
    </row>
    <row r="568" spans="1:19">
      <c r="A568" s="64" t="s">
        <v>626</v>
      </c>
      <c r="B568" s="65" t="s">
        <v>1133</v>
      </c>
      <c r="C568" s="65" t="s">
        <v>1134</v>
      </c>
      <c r="D568" s="64" t="s">
        <v>1135</v>
      </c>
      <c r="E568" s="65" t="s">
        <v>471</v>
      </c>
      <c r="F568" s="64" t="s">
        <v>165</v>
      </c>
      <c r="G568" s="65" t="s">
        <v>20</v>
      </c>
      <c r="H568" s="65" t="s">
        <v>928</v>
      </c>
      <c r="I568" s="65">
        <v>201412</v>
      </c>
      <c r="J568" s="66">
        <v>5321.09</v>
      </c>
      <c r="K568" s="72">
        <f t="shared" si="46"/>
        <v>42675</v>
      </c>
      <c r="L568" s="67">
        <f t="shared" si="44"/>
        <v>6</v>
      </c>
      <c r="M568" s="68">
        <v>1.4833299999999999E-3</v>
      </c>
      <c r="N568" s="69">
        <f t="shared" si="45"/>
        <v>47.357594578200001</v>
      </c>
      <c r="O568" s="66"/>
      <c r="P568" s="71">
        <f t="shared" si="47"/>
        <v>0</v>
      </c>
      <c r="Q568" s="132"/>
      <c r="R568" s="71">
        <f t="shared" si="48"/>
        <v>81.420436922916664</v>
      </c>
      <c r="S568" s="64"/>
    </row>
    <row r="569" spans="1:19">
      <c r="A569" s="64" t="s">
        <v>626</v>
      </c>
      <c r="B569" s="65" t="s">
        <v>848</v>
      </c>
      <c r="C569" s="65" t="s">
        <v>849</v>
      </c>
      <c r="D569" s="64" t="s">
        <v>850</v>
      </c>
      <c r="E569" s="65" t="s">
        <v>93</v>
      </c>
      <c r="F569" s="64" t="s">
        <v>88</v>
      </c>
      <c r="G569" s="65" t="s">
        <v>20</v>
      </c>
      <c r="H569" s="65" t="s">
        <v>929</v>
      </c>
      <c r="I569" s="65">
        <v>201412</v>
      </c>
      <c r="J569" s="66">
        <v>544.26</v>
      </c>
      <c r="K569" s="72">
        <f t="shared" si="46"/>
        <v>42675</v>
      </c>
      <c r="L569" s="67">
        <f t="shared" si="44"/>
        <v>6</v>
      </c>
      <c r="M569" s="68">
        <v>1.4833299999999999E-3</v>
      </c>
      <c r="N569" s="69">
        <f t="shared" si="45"/>
        <v>4.8439031147999998</v>
      </c>
      <c r="O569" s="66"/>
      <c r="P569" s="71">
        <f t="shared" si="47"/>
        <v>0</v>
      </c>
      <c r="Q569" s="132"/>
      <c r="R569" s="71">
        <f t="shared" si="48"/>
        <v>8.3279717124999983</v>
      </c>
      <c r="S569" s="64"/>
    </row>
    <row r="570" spans="1:19">
      <c r="A570" s="64" t="s">
        <v>626</v>
      </c>
      <c r="B570" s="65" t="s">
        <v>1136</v>
      </c>
      <c r="C570" s="65" t="s">
        <v>1137</v>
      </c>
      <c r="D570" s="64" t="s">
        <v>1138</v>
      </c>
      <c r="E570" s="65" t="s">
        <v>962</v>
      </c>
      <c r="F570" s="64" t="s">
        <v>88</v>
      </c>
      <c r="G570" s="65" t="s">
        <v>20</v>
      </c>
      <c r="H570" s="65" t="s">
        <v>929</v>
      </c>
      <c r="I570" s="65">
        <v>201412</v>
      </c>
      <c r="J570" s="66">
        <v>310904.90000000002</v>
      </c>
      <c r="K570" s="72">
        <f t="shared" si="46"/>
        <v>42675</v>
      </c>
      <c r="L570" s="67">
        <f t="shared" si="44"/>
        <v>6</v>
      </c>
      <c r="M570" s="68">
        <v>1.4833299999999999E-3</v>
      </c>
      <c r="N570" s="69">
        <f t="shared" si="45"/>
        <v>2767.0473919020001</v>
      </c>
      <c r="O570" s="66"/>
      <c r="P570" s="71">
        <f t="shared" si="47"/>
        <v>0</v>
      </c>
      <c r="Q570" s="132"/>
      <c r="R570" s="71">
        <f t="shared" si="48"/>
        <v>4757.2983729791667</v>
      </c>
      <c r="S570" s="64"/>
    </row>
    <row r="571" spans="1:19">
      <c r="A571" s="64" t="s">
        <v>626</v>
      </c>
      <c r="B571" s="65" t="s">
        <v>1139</v>
      </c>
      <c r="C571" s="65" t="s">
        <v>1140</v>
      </c>
      <c r="D571" s="64" t="s">
        <v>1141</v>
      </c>
      <c r="E571" s="65" t="s">
        <v>280</v>
      </c>
      <c r="F571" s="64" t="s">
        <v>26</v>
      </c>
      <c r="G571" s="65" t="s">
        <v>20</v>
      </c>
      <c r="H571" s="65" t="s">
        <v>928</v>
      </c>
      <c r="I571" s="65">
        <v>201412</v>
      </c>
      <c r="J571" s="66">
        <v>74180.240000000005</v>
      </c>
      <c r="K571" s="72">
        <f t="shared" si="46"/>
        <v>42675</v>
      </c>
      <c r="L571" s="67">
        <f t="shared" si="44"/>
        <v>6</v>
      </c>
      <c r="M571" s="68">
        <v>1.4833299999999999E-3</v>
      </c>
      <c r="N571" s="69">
        <f t="shared" si="45"/>
        <v>660.20265239520006</v>
      </c>
      <c r="O571" s="66"/>
      <c r="P571" s="71">
        <f t="shared" si="47"/>
        <v>0</v>
      </c>
      <c r="Q571" s="132"/>
      <c r="R571" s="71">
        <f t="shared" si="48"/>
        <v>1135.0658515166667</v>
      </c>
      <c r="S571" s="64"/>
    </row>
    <row r="572" spans="1:19">
      <c r="A572" s="64" t="s">
        <v>21</v>
      </c>
      <c r="B572" s="65" t="s">
        <v>803</v>
      </c>
      <c r="C572" s="65" t="s">
        <v>804</v>
      </c>
      <c r="D572" s="64" t="s">
        <v>805</v>
      </c>
      <c r="E572" s="65" t="s">
        <v>25</v>
      </c>
      <c r="F572" s="64" t="s">
        <v>26</v>
      </c>
      <c r="G572" s="65" t="s">
        <v>20</v>
      </c>
      <c r="H572" s="65" t="s">
        <v>928</v>
      </c>
      <c r="I572" s="65">
        <v>201412</v>
      </c>
      <c r="J572" s="66">
        <v>-568.53</v>
      </c>
      <c r="K572" s="72">
        <f t="shared" si="46"/>
        <v>42675</v>
      </c>
      <c r="L572" s="67">
        <f t="shared" si="44"/>
        <v>6</v>
      </c>
      <c r="M572" s="68">
        <v>1.4833299999999999E-3</v>
      </c>
      <c r="N572" s="69">
        <f t="shared" si="45"/>
        <v>-5.0599056294000002</v>
      </c>
      <c r="O572" s="66"/>
      <c r="P572" s="71">
        <f t="shared" si="47"/>
        <v>0</v>
      </c>
      <c r="Q572" s="132"/>
      <c r="R572" s="71">
        <f t="shared" si="48"/>
        <v>-8.6993381062499981</v>
      </c>
      <c r="S572" s="64"/>
    </row>
    <row r="573" spans="1:19">
      <c r="A573" s="64" t="s">
        <v>626</v>
      </c>
      <c r="B573" s="65" t="s">
        <v>803</v>
      </c>
      <c r="C573" s="65" t="s">
        <v>804</v>
      </c>
      <c r="D573" s="64" t="s">
        <v>805</v>
      </c>
      <c r="E573" s="65" t="s">
        <v>25</v>
      </c>
      <c r="F573" s="64" t="s">
        <v>26</v>
      </c>
      <c r="G573" s="65" t="s">
        <v>20</v>
      </c>
      <c r="H573" s="65" t="s">
        <v>928</v>
      </c>
      <c r="I573" s="65">
        <v>201412</v>
      </c>
      <c r="J573" s="66">
        <v>446.02</v>
      </c>
      <c r="K573" s="72">
        <f t="shared" si="46"/>
        <v>42675</v>
      </c>
      <c r="L573" s="67">
        <f t="shared" si="44"/>
        <v>6</v>
      </c>
      <c r="M573" s="68">
        <v>1.4833299999999999E-3</v>
      </c>
      <c r="N573" s="69">
        <f t="shared" si="45"/>
        <v>3.9695690795999998</v>
      </c>
      <c r="O573" s="66"/>
      <c r="P573" s="71">
        <f t="shared" si="47"/>
        <v>0</v>
      </c>
      <c r="Q573" s="132"/>
      <c r="R573" s="71">
        <f t="shared" si="48"/>
        <v>6.8247564458333327</v>
      </c>
      <c r="S573" s="64"/>
    </row>
    <row r="574" spans="1:19">
      <c r="A574" s="64" t="s">
        <v>626</v>
      </c>
      <c r="B574" s="65" t="s">
        <v>1142</v>
      </c>
      <c r="C574" s="65" t="s">
        <v>1143</v>
      </c>
      <c r="D574" s="64" t="s">
        <v>1144</v>
      </c>
      <c r="E574" s="65" t="s">
        <v>164</v>
      </c>
      <c r="F574" s="64" t="s">
        <v>165</v>
      </c>
      <c r="G574" s="65" t="s">
        <v>20</v>
      </c>
      <c r="H574" s="65" t="s">
        <v>928</v>
      </c>
      <c r="I574" s="65">
        <v>201412</v>
      </c>
      <c r="J574" s="66">
        <v>887506.89</v>
      </c>
      <c r="K574" s="72">
        <f t="shared" si="46"/>
        <v>42675</v>
      </c>
      <c r="L574" s="67">
        <f t="shared" si="44"/>
        <v>6</v>
      </c>
      <c r="M574" s="68">
        <v>1.4833299999999999E-3</v>
      </c>
      <c r="N574" s="69">
        <f t="shared" si="45"/>
        <v>7898.7935708621999</v>
      </c>
      <c r="O574" s="66"/>
      <c r="P574" s="71">
        <f t="shared" si="47"/>
        <v>0</v>
      </c>
      <c r="Q574" s="132"/>
      <c r="R574" s="71">
        <f t="shared" si="48"/>
        <v>13580.149697881248</v>
      </c>
      <c r="S574" s="64"/>
    </row>
    <row r="575" spans="1:19">
      <c r="A575" s="64" t="s">
        <v>21</v>
      </c>
      <c r="B575" s="65" t="s">
        <v>953</v>
      </c>
      <c r="C575" s="65" t="s">
        <v>954</v>
      </c>
      <c r="D575" s="64" t="s">
        <v>955</v>
      </c>
      <c r="E575" s="65" t="s">
        <v>531</v>
      </c>
      <c r="F575" s="64" t="s">
        <v>26</v>
      </c>
      <c r="G575" s="65" t="s">
        <v>20</v>
      </c>
      <c r="H575" s="65" t="s">
        <v>928</v>
      </c>
      <c r="I575" s="65">
        <v>201412</v>
      </c>
      <c r="J575" s="66">
        <v>-20.71</v>
      </c>
      <c r="K575" s="72">
        <f t="shared" si="46"/>
        <v>42675</v>
      </c>
      <c r="L575" s="67">
        <f t="shared" si="44"/>
        <v>6</v>
      </c>
      <c r="M575" s="68">
        <v>1.4833299999999999E-3</v>
      </c>
      <c r="N575" s="69">
        <f t="shared" si="45"/>
        <v>-0.18431858580000002</v>
      </c>
      <c r="O575" s="66"/>
      <c r="P575" s="71">
        <f t="shared" si="47"/>
        <v>0</v>
      </c>
      <c r="Q575" s="132"/>
      <c r="R575" s="71">
        <f t="shared" si="48"/>
        <v>-0.31689320208333333</v>
      </c>
      <c r="S575" s="64"/>
    </row>
    <row r="576" spans="1:19">
      <c r="A576" s="64" t="s">
        <v>626</v>
      </c>
      <c r="B576" s="65" t="s">
        <v>806</v>
      </c>
      <c r="C576" s="65" t="s">
        <v>807</v>
      </c>
      <c r="D576" s="64" t="s">
        <v>808</v>
      </c>
      <c r="E576" s="65" t="s">
        <v>809</v>
      </c>
      <c r="F576" s="64" t="s">
        <v>26</v>
      </c>
      <c r="G576" s="65" t="s">
        <v>20</v>
      </c>
      <c r="H576" s="65" t="s">
        <v>928</v>
      </c>
      <c r="I576" s="65">
        <v>201412</v>
      </c>
      <c r="J576" s="66">
        <v>1.08</v>
      </c>
      <c r="K576" s="72">
        <f t="shared" si="46"/>
        <v>42675</v>
      </c>
      <c r="L576" s="67">
        <f t="shared" si="44"/>
        <v>6</v>
      </c>
      <c r="M576" s="68">
        <v>1.4833299999999999E-3</v>
      </c>
      <c r="N576" s="69">
        <f t="shared" si="45"/>
        <v>9.6119784000000003E-3</v>
      </c>
      <c r="O576" s="66"/>
      <c r="P576" s="71">
        <f t="shared" si="47"/>
        <v>0</v>
      </c>
      <c r="Q576" s="132"/>
      <c r="R576" s="71">
        <f t="shared" si="48"/>
        <v>1.6525574999999997E-2</v>
      </c>
      <c r="S576" s="64"/>
    </row>
    <row r="577" spans="1:19">
      <c r="A577" s="64" t="s">
        <v>626</v>
      </c>
      <c r="B577" s="65" t="s">
        <v>909</v>
      </c>
      <c r="C577" s="65" t="s">
        <v>910</v>
      </c>
      <c r="D577" s="64" t="s">
        <v>911</v>
      </c>
      <c r="E577" s="65" t="s">
        <v>79</v>
      </c>
      <c r="F577" s="64" t="s">
        <v>26</v>
      </c>
      <c r="G577" s="65" t="s">
        <v>20</v>
      </c>
      <c r="H577" s="65" t="s">
        <v>928</v>
      </c>
      <c r="I577" s="65">
        <v>201412</v>
      </c>
      <c r="J577" s="66">
        <v>136.69</v>
      </c>
      <c r="K577" s="72">
        <f t="shared" si="46"/>
        <v>42675</v>
      </c>
      <c r="L577" s="67">
        <f t="shared" si="44"/>
        <v>6</v>
      </c>
      <c r="M577" s="68">
        <v>1.4833299999999999E-3</v>
      </c>
      <c r="N577" s="69">
        <f t="shared" si="45"/>
        <v>1.2165382661999999</v>
      </c>
      <c r="O577" s="66"/>
      <c r="P577" s="71">
        <f t="shared" si="47"/>
        <v>0</v>
      </c>
      <c r="Q577" s="132"/>
      <c r="R577" s="71">
        <f t="shared" si="48"/>
        <v>2.0915563395833332</v>
      </c>
      <c r="S577" s="64"/>
    </row>
    <row r="578" spans="1:19">
      <c r="A578" s="64" t="s">
        <v>626</v>
      </c>
      <c r="B578" s="65" t="s">
        <v>1088</v>
      </c>
      <c r="C578" s="65" t="s">
        <v>1089</v>
      </c>
      <c r="D578" s="64" t="s">
        <v>1090</v>
      </c>
      <c r="E578" s="65" t="s">
        <v>415</v>
      </c>
      <c r="F578" s="64" t="s">
        <v>88</v>
      </c>
      <c r="G578" s="65" t="s">
        <v>20</v>
      </c>
      <c r="H578" s="65" t="s">
        <v>929</v>
      </c>
      <c r="I578" s="65">
        <v>201412</v>
      </c>
      <c r="J578" s="66">
        <v>-653.91</v>
      </c>
      <c r="K578" s="72">
        <f t="shared" si="46"/>
        <v>42675</v>
      </c>
      <c r="L578" s="67">
        <f t="shared" si="44"/>
        <v>6</v>
      </c>
      <c r="M578" s="68">
        <v>1.4833299999999999E-3</v>
      </c>
      <c r="N578" s="69">
        <f t="shared" si="45"/>
        <v>-5.8197859217999994</v>
      </c>
      <c r="O578" s="66"/>
      <c r="P578" s="71">
        <f t="shared" si="47"/>
        <v>0</v>
      </c>
      <c r="Q578" s="132"/>
      <c r="R578" s="71">
        <f t="shared" si="48"/>
        <v>-10.00577661875</v>
      </c>
      <c r="S578" s="64"/>
    </row>
    <row r="579" spans="1:19">
      <c r="A579" s="64" t="s">
        <v>21</v>
      </c>
      <c r="B579" s="65" t="s">
        <v>1145</v>
      </c>
      <c r="C579" s="65" t="s">
        <v>1146</v>
      </c>
      <c r="D579" s="64" t="s">
        <v>1147</v>
      </c>
      <c r="E579" s="65" t="s">
        <v>962</v>
      </c>
      <c r="F579" s="64" t="s">
        <v>88</v>
      </c>
      <c r="G579" s="65" t="s">
        <v>20</v>
      </c>
      <c r="H579" s="65" t="s">
        <v>929</v>
      </c>
      <c r="I579" s="65">
        <v>201412</v>
      </c>
      <c r="J579" s="66">
        <v>37991.93</v>
      </c>
      <c r="K579" s="72">
        <f t="shared" si="46"/>
        <v>42675</v>
      </c>
      <c r="L579" s="67">
        <f t="shared" si="44"/>
        <v>6</v>
      </c>
      <c r="M579" s="68">
        <v>1.4833299999999999E-3</v>
      </c>
      <c r="N579" s="69">
        <f t="shared" si="45"/>
        <v>338.12741716139999</v>
      </c>
      <c r="O579" s="66"/>
      <c r="P579" s="71">
        <f t="shared" si="47"/>
        <v>0</v>
      </c>
      <c r="Q579" s="132"/>
      <c r="R579" s="71">
        <f t="shared" si="48"/>
        <v>581.33193389791654</v>
      </c>
      <c r="S579" s="64"/>
    </row>
    <row r="580" spans="1:19">
      <c r="A580" s="64" t="s">
        <v>626</v>
      </c>
      <c r="B580" s="65" t="s">
        <v>1091</v>
      </c>
      <c r="C580" s="65" t="s">
        <v>1092</v>
      </c>
      <c r="D580" s="64" t="s">
        <v>1093</v>
      </c>
      <c r="E580" s="65" t="s">
        <v>962</v>
      </c>
      <c r="F580" s="64" t="s">
        <v>88</v>
      </c>
      <c r="G580" s="65" t="s">
        <v>20</v>
      </c>
      <c r="H580" s="65" t="s">
        <v>929</v>
      </c>
      <c r="I580" s="65">
        <v>201412</v>
      </c>
      <c r="J580" s="66">
        <v>1865.84</v>
      </c>
      <c r="K580" s="72">
        <f t="shared" si="46"/>
        <v>42675</v>
      </c>
      <c r="L580" s="67">
        <f t="shared" si="44"/>
        <v>6</v>
      </c>
      <c r="M580" s="68">
        <v>1.4833299999999999E-3</v>
      </c>
      <c r="N580" s="69">
        <f t="shared" si="45"/>
        <v>16.605938683199998</v>
      </c>
      <c r="O580" s="66"/>
      <c r="P580" s="71">
        <f t="shared" si="47"/>
        <v>0</v>
      </c>
      <c r="Q580" s="132"/>
      <c r="R580" s="71">
        <f t="shared" si="48"/>
        <v>28.550073016666662</v>
      </c>
      <c r="S580" s="64"/>
    </row>
    <row r="581" spans="1:19">
      <c r="A581" s="64" t="s">
        <v>626</v>
      </c>
      <c r="B581" s="65" t="s">
        <v>1094</v>
      </c>
      <c r="C581" s="65" t="s">
        <v>1095</v>
      </c>
      <c r="D581" s="64" t="s">
        <v>1096</v>
      </c>
      <c r="E581" s="65" t="s">
        <v>452</v>
      </c>
      <c r="F581" s="64" t="s">
        <v>398</v>
      </c>
      <c r="G581" s="65" t="s">
        <v>20</v>
      </c>
      <c r="H581" s="65" t="s">
        <v>929</v>
      </c>
      <c r="I581" s="65">
        <v>201412</v>
      </c>
      <c r="J581" s="66">
        <v>237.88</v>
      </c>
      <c r="K581" s="72">
        <f t="shared" si="46"/>
        <v>42675</v>
      </c>
      <c r="L581" s="67">
        <f t="shared" si="44"/>
        <v>6</v>
      </c>
      <c r="M581" s="68">
        <v>1.4833299999999999E-3</v>
      </c>
      <c r="N581" s="69">
        <f t="shared" si="45"/>
        <v>2.1171272424000001</v>
      </c>
      <c r="O581" s="66"/>
      <c r="P581" s="71">
        <f t="shared" si="47"/>
        <v>0</v>
      </c>
      <c r="Q581" s="132"/>
      <c r="R581" s="71">
        <f t="shared" si="48"/>
        <v>3.639910908333333</v>
      </c>
      <c r="S581" s="64"/>
    </row>
    <row r="582" spans="1:19">
      <c r="A582" s="64" t="s">
        <v>626</v>
      </c>
      <c r="B582" s="65" t="s">
        <v>1148</v>
      </c>
      <c r="C582" s="65" t="s">
        <v>1149</v>
      </c>
      <c r="D582" s="64" t="s">
        <v>1150</v>
      </c>
      <c r="E582" s="65" t="s">
        <v>93</v>
      </c>
      <c r="F582" s="64" t="s">
        <v>88</v>
      </c>
      <c r="G582" s="65" t="s">
        <v>20</v>
      </c>
      <c r="H582" s="65" t="s">
        <v>929</v>
      </c>
      <c r="I582" s="65">
        <v>201412</v>
      </c>
      <c r="J582" s="66">
        <v>116872.01</v>
      </c>
      <c r="K582" s="72">
        <f t="shared" si="46"/>
        <v>42675</v>
      </c>
      <c r="L582" s="67">
        <f t="shared" si="44"/>
        <v>6</v>
      </c>
      <c r="M582" s="68">
        <v>1.4833299999999999E-3</v>
      </c>
      <c r="N582" s="69">
        <f t="shared" si="45"/>
        <v>1040.1585515597999</v>
      </c>
      <c r="O582" s="66"/>
      <c r="P582" s="71">
        <f t="shared" si="47"/>
        <v>0</v>
      </c>
      <c r="Q582" s="132"/>
      <c r="R582" s="71">
        <f t="shared" si="48"/>
        <v>1788.3121913479165</v>
      </c>
      <c r="S582" s="64"/>
    </row>
    <row r="583" spans="1:19">
      <c r="A583" s="64" t="s">
        <v>626</v>
      </c>
      <c r="B583" s="65" t="s">
        <v>963</v>
      </c>
      <c r="C583" s="65" t="s">
        <v>964</v>
      </c>
      <c r="D583" s="64" t="s">
        <v>965</v>
      </c>
      <c r="E583" s="65" t="s">
        <v>164</v>
      </c>
      <c r="F583" s="64" t="s">
        <v>165</v>
      </c>
      <c r="G583" s="65" t="s">
        <v>20</v>
      </c>
      <c r="H583" s="65" t="s">
        <v>928</v>
      </c>
      <c r="I583" s="65">
        <v>201412</v>
      </c>
      <c r="J583" s="66">
        <v>-683.61</v>
      </c>
      <c r="K583" s="72">
        <f t="shared" si="46"/>
        <v>42675</v>
      </c>
      <c r="L583" s="67">
        <f t="shared" si="44"/>
        <v>6</v>
      </c>
      <c r="M583" s="68">
        <v>1.4833299999999999E-3</v>
      </c>
      <c r="N583" s="69">
        <f t="shared" si="45"/>
        <v>-6.0841153278000002</v>
      </c>
      <c r="O583" s="66"/>
      <c r="P583" s="71">
        <f t="shared" si="47"/>
        <v>0</v>
      </c>
      <c r="Q583" s="132"/>
      <c r="R583" s="71">
        <f t="shared" si="48"/>
        <v>-10.46022993125</v>
      </c>
      <c r="S583" s="64"/>
    </row>
    <row r="584" spans="1:19">
      <c r="A584" s="64" t="s">
        <v>21</v>
      </c>
      <c r="B584" s="65" t="s">
        <v>966</v>
      </c>
      <c r="C584" s="65" t="s">
        <v>967</v>
      </c>
      <c r="D584" s="64" t="s">
        <v>968</v>
      </c>
      <c r="E584" s="65" t="s">
        <v>209</v>
      </c>
      <c r="F584" s="64" t="s">
        <v>88</v>
      </c>
      <c r="G584" s="65" t="s">
        <v>20</v>
      </c>
      <c r="H584" s="65" t="s">
        <v>929</v>
      </c>
      <c r="I584" s="65">
        <v>201412</v>
      </c>
      <c r="J584" s="66">
        <v>-69.72</v>
      </c>
      <c r="K584" s="72">
        <f t="shared" si="46"/>
        <v>42675</v>
      </c>
      <c r="L584" s="67">
        <f t="shared" si="44"/>
        <v>6</v>
      </c>
      <c r="M584" s="68">
        <v>1.4833299999999999E-3</v>
      </c>
      <c r="N584" s="69">
        <f t="shared" si="45"/>
        <v>-0.62050660560000004</v>
      </c>
      <c r="O584" s="66"/>
      <c r="P584" s="71">
        <f t="shared" si="47"/>
        <v>0</v>
      </c>
      <c r="Q584" s="132"/>
      <c r="R584" s="71">
        <f t="shared" si="48"/>
        <v>-1.0668176749999998</v>
      </c>
      <c r="S584" s="64"/>
    </row>
    <row r="585" spans="1:19">
      <c r="A585" s="64" t="s">
        <v>626</v>
      </c>
      <c r="B585" s="65" t="s">
        <v>1044</v>
      </c>
      <c r="C585" s="65" t="s">
        <v>1045</v>
      </c>
      <c r="D585" s="64" t="s">
        <v>1046</v>
      </c>
      <c r="E585" s="65" t="s">
        <v>164</v>
      </c>
      <c r="F585" s="64" t="s">
        <v>165</v>
      </c>
      <c r="G585" s="65" t="s">
        <v>20</v>
      </c>
      <c r="H585" s="65" t="s">
        <v>928</v>
      </c>
      <c r="I585" s="65">
        <v>201412</v>
      </c>
      <c r="J585" s="66">
        <v>18827.39</v>
      </c>
      <c r="K585" s="72">
        <f t="shared" si="46"/>
        <v>42675</v>
      </c>
      <c r="L585" s="67">
        <f t="shared" si="44"/>
        <v>6</v>
      </c>
      <c r="M585" s="68">
        <v>1.4833299999999999E-3</v>
      </c>
      <c r="N585" s="69">
        <f t="shared" si="45"/>
        <v>167.56339445219999</v>
      </c>
      <c r="O585" s="66"/>
      <c r="P585" s="71">
        <f t="shared" si="47"/>
        <v>0</v>
      </c>
      <c r="Q585" s="132"/>
      <c r="R585" s="71">
        <f t="shared" si="48"/>
        <v>288.08652361041658</v>
      </c>
      <c r="S585" s="64"/>
    </row>
    <row r="586" spans="1:19">
      <c r="A586" s="64" t="s">
        <v>626</v>
      </c>
      <c r="B586" s="65" t="s">
        <v>969</v>
      </c>
      <c r="C586" s="65" t="s">
        <v>970</v>
      </c>
      <c r="D586" s="64" t="s">
        <v>971</v>
      </c>
      <c r="E586" s="65" t="s">
        <v>164</v>
      </c>
      <c r="F586" s="64" t="s">
        <v>165</v>
      </c>
      <c r="G586" s="65" t="s">
        <v>20</v>
      </c>
      <c r="H586" s="65" t="s">
        <v>928</v>
      </c>
      <c r="I586" s="65">
        <v>201412</v>
      </c>
      <c r="J586" s="66">
        <v>-2384.0100000000002</v>
      </c>
      <c r="K586" s="72">
        <f t="shared" si="46"/>
        <v>42675</v>
      </c>
      <c r="L586" s="67">
        <f t="shared" si="44"/>
        <v>6</v>
      </c>
      <c r="M586" s="68">
        <v>1.4833299999999999E-3</v>
      </c>
      <c r="N586" s="69">
        <f t="shared" si="45"/>
        <v>-21.217641319800002</v>
      </c>
      <c r="O586" s="66"/>
      <c r="P586" s="71">
        <f t="shared" si="47"/>
        <v>0</v>
      </c>
      <c r="Q586" s="132"/>
      <c r="R586" s="71">
        <f t="shared" si="48"/>
        <v>-36.478829681249998</v>
      </c>
      <c r="S586" s="64"/>
    </row>
    <row r="587" spans="1:19">
      <c r="A587" s="64" t="s">
        <v>21</v>
      </c>
      <c r="B587" s="65" t="s">
        <v>879</v>
      </c>
      <c r="C587" s="65" t="s">
        <v>880</v>
      </c>
      <c r="D587" s="64" t="s">
        <v>881</v>
      </c>
      <c r="E587" s="65" t="s">
        <v>87</v>
      </c>
      <c r="F587" s="64" t="s">
        <v>88</v>
      </c>
      <c r="G587" s="65" t="s">
        <v>20</v>
      </c>
      <c r="H587" s="65" t="s">
        <v>929</v>
      </c>
      <c r="I587" s="65">
        <v>201412</v>
      </c>
      <c r="J587" s="66">
        <v>73.510000000000005</v>
      </c>
      <c r="K587" s="72">
        <f t="shared" si="46"/>
        <v>42675</v>
      </c>
      <c r="L587" s="67">
        <f t="shared" si="44"/>
        <v>6</v>
      </c>
      <c r="M587" s="68">
        <v>1.4833299999999999E-3</v>
      </c>
      <c r="N587" s="69">
        <f t="shared" si="45"/>
        <v>0.65423752980000005</v>
      </c>
      <c r="O587" s="66"/>
      <c r="P587" s="71">
        <f t="shared" si="47"/>
        <v>0</v>
      </c>
      <c r="Q587" s="132"/>
      <c r="R587" s="71">
        <f t="shared" si="48"/>
        <v>1.1248102020833333</v>
      </c>
      <c r="S587" s="64"/>
    </row>
    <row r="588" spans="1:19">
      <c r="A588" s="64" t="s">
        <v>21</v>
      </c>
      <c r="B588" s="65" t="s">
        <v>882</v>
      </c>
      <c r="C588" s="65" t="s">
        <v>883</v>
      </c>
      <c r="D588" s="64" t="s">
        <v>884</v>
      </c>
      <c r="E588" s="65" t="s">
        <v>87</v>
      </c>
      <c r="F588" s="64" t="s">
        <v>88</v>
      </c>
      <c r="G588" s="65" t="s">
        <v>20</v>
      </c>
      <c r="H588" s="65" t="s">
        <v>929</v>
      </c>
      <c r="I588" s="65">
        <v>201412</v>
      </c>
      <c r="J588" s="66">
        <v>-75.260000000000005</v>
      </c>
      <c r="K588" s="72">
        <f t="shared" si="46"/>
        <v>42675</v>
      </c>
      <c r="L588" s="67">
        <f t="shared" si="44"/>
        <v>6</v>
      </c>
      <c r="M588" s="68">
        <v>1.4833299999999999E-3</v>
      </c>
      <c r="N588" s="69">
        <f t="shared" si="45"/>
        <v>-0.66981249480000005</v>
      </c>
      <c r="O588" s="66"/>
      <c r="P588" s="71">
        <f t="shared" si="47"/>
        <v>0</v>
      </c>
      <c r="Q588" s="132"/>
      <c r="R588" s="71">
        <f t="shared" si="48"/>
        <v>-1.1515877541666666</v>
      </c>
      <c r="S588" s="64"/>
    </row>
    <row r="589" spans="1:19">
      <c r="A589" s="64" t="s">
        <v>626</v>
      </c>
      <c r="B589" s="65" t="s">
        <v>975</v>
      </c>
      <c r="C589" s="65" t="s">
        <v>976</v>
      </c>
      <c r="D589" s="64" t="s">
        <v>977</v>
      </c>
      <c r="E589" s="65" t="s">
        <v>87</v>
      </c>
      <c r="F589" s="64" t="s">
        <v>88</v>
      </c>
      <c r="G589" s="65" t="s">
        <v>20</v>
      </c>
      <c r="H589" s="65" t="s">
        <v>929</v>
      </c>
      <c r="I589" s="65">
        <v>201412</v>
      </c>
      <c r="J589" s="66">
        <v>-145.08000000000001</v>
      </c>
      <c r="K589" s="72">
        <f t="shared" si="46"/>
        <v>42675</v>
      </c>
      <c r="L589" s="67">
        <f t="shared" si="44"/>
        <v>6</v>
      </c>
      <c r="M589" s="68">
        <v>1.4833299999999999E-3</v>
      </c>
      <c r="N589" s="69">
        <f t="shared" si="45"/>
        <v>-1.2912090984000002</v>
      </c>
      <c r="O589" s="66"/>
      <c r="P589" s="71">
        <f t="shared" si="47"/>
        <v>0</v>
      </c>
      <c r="Q589" s="132"/>
      <c r="R589" s="71">
        <f t="shared" si="48"/>
        <v>-2.219935575</v>
      </c>
      <c r="S589" s="64"/>
    </row>
    <row r="590" spans="1:19">
      <c r="A590" s="64" t="s">
        <v>626</v>
      </c>
      <c r="B590" s="65" t="s">
        <v>885</v>
      </c>
      <c r="C590" s="65" t="s">
        <v>886</v>
      </c>
      <c r="D590" s="64" t="s">
        <v>887</v>
      </c>
      <c r="E590" s="65" t="s">
        <v>93</v>
      </c>
      <c r="F590" s="64" t="s">
        <v>88</v>
      </c>
      <c r="G590" s="65" t="s">
        <v>20</v>
      </c>
      <c r="H590" s="65" t="s">
        <v>929</v>
      </c>
      <c r="I590" s="65">
        <v>201412</v>
      </c>
      <c r="J590" s="66">
        <v>1538.04</v>
      </c>
      <c r="K590" s="72">
        <f t="shared" si="46"/>
        <v>42675</v>
      </c>
      <c r="L590" s="67">
        <f t="shared" si="44"/>
        <v>6</v>
      </c>
      <c r="M590" s="68">
        <v>1.4833299999999999E-3</v>
      </c>
      <c r="N590" s="69">
        <f t="shared" si="45"/>
        <v>13.688525239200001</v>
      </c>
      <c r="O590" s="66"/>
      <c r="P590" s="71">
        <f t="shared" si="47"/>
        <v>0</v>
      </c>
      <c r="Q590" s="132"/>
      <c r="R590" s="71">
        <f t="shared" si="48"/>
        <v>23.534254974999996</v>
      </c>
      <c r="S590" s="64"/>
    </row>
    <row r="591" spans="1:19">
      <c r="A591" s="64" t="s">
        <v>626</v>
      </c>
      <c r="B591" s="65" t="s">
        <v>1097</v>
      </c>
      <c r="C591" s="65" t="s">
        <v>1098</v>
      </c>
      <c r="D591" s="64" t="s">
        <v>1099</v>
      </c>
      <c r="E591" s="65" t="s">
        <v>452</v>
      </c>
      <c r="F591" s="64" t="s">
        <v>398</v>
      </c>
      <c r="G591" s="65" t="s">
        <v>20</v>
      </c>
      <c r="H591" s="65" t="s">
        <v>929</v>
      </c>
      <c r="I591" s="65">
        <v>201412</v>
      </c>
      <c r="J591" s="66">
        <v>-820.13</v>
      </c>
      <c r="K591" s="72">
        <f t="shared" si="46"/>
        <v>42675</v>
      </c>
      <c r="L591" s="67">
        <f t="shared" si="44"/>
        <v>6</v>
      </c>
      <c r="M591" s="68">
        <v>1.4833299999999999E-3</v>
      </c>
      <c r="N591" s="69">
        <f t="shared" si="45"/>
        <v>-7.2991405974000001</v>
      </c>
      <c r="O591" s="66"/>
      <c r="P591" s="71">
        <f t="shared" si="47"/>
        <v>0</v>
      </c>
      <c r="Q591" s="132"/>
      <c r="R591" s="71">
        <f t="shared" si="48"/>
        <v>-12.549185022916665</v>
      </c>
      <c r="S591" s="64"/>
    </row>
    <row r="592" spans="1:19">
      <c r="A592" s="64" t="s">
        <v>626</v>
      </c>
      <c r="B592" s="65" t="s">
        <v>1100</v>
      </c>
      <c r="C592" s="65" t="s">
        <v>1101</v>
      </c>
      <c r="D592" s="64" t="s">
        <v>1102</v>
      </c>
      <c r="E592" s="65" t="s">
        <v>397</v>
      </c>
      <c r="F592" s="64" t="s">
        <v>398</v>
      </c>
      <c r="G592" s="65" t="s">
        <v>20</v>
      </c>
      <c r="H592" s="65" t="s">
        <v>929</v>
      </c>
      <c r="I592" s="65">
        <v>201412</v>
      </c>
      <c r="J592" s="66">
        <v>3488.6</v>
      </c>
      <c r="K592" s="72">
        <f t="shared" si="46"/>
        <v>42675</v>
      </c>
      <c r="L592" s="67">
        <f t="shared" si="44"/>
        <v>6</v>
      </c>
      <c r="M592" s="68">
        <v>1.4833299999999999E-3</v>
      </c>
      <c r="N592" s="69">
        <f t="shared" si="45"/>
        <v>31.048470227999999</v>
      </c>
      <c r="O592" s="66"/>
      <c r="P592" s="71">
        <f t="shared" si="47"/>
        <v>0</v>
      </c>
      <c r="Q592" s="132"/>
      <c r="R592" s="71">
        <f t="shared" si="48"/>
        <v>53.380667541666661</v>
      </c>
      <c r="S592" s="64"/>
    </row>
    <row r="593" spans="1:19">
      <c r="A593" s="64" t="s">
        <v>626</v>
      </c>
      <c r="B593" s="65" t="s">
        <v>912</v>
      </c>
      <c r="C593" s="65" t="s">
        <v>913</v>
      </c>
      <c r="D593" s="64" t="s">
        <v>914</v>
      </c>
      <c r="E593" s="65" t="s">
        <v>164</v>
      </c>
      <c r="F593" s="64" t="s">
        <v>165</v>
      </c>
      <c r="G593" s="65" t="s">
        <v>20</v>
      </c>
      <c r="H593" s="65" t="s">
        <v>928</v>
      </c>
      <c r="I593" s="65">
        <v>201412</v>
      </c>
      <c r="J593" s="66">
        <v>-298.91000000000003</v>
      </c>
      <c r="K593" s="72">
        <f t="shared" si="46"/>
        <v>42675</v>
      </c>
      <c r="L593" s="67">
        <f t="shared" si="44"/>
        <v>6</v>
      </c>
      <c r="M593" s="68">
        <v>1.4833299999999999E-3</v>
      </c>
      <c r="N593" s="69">
        <f t="shared" si="45"/>
        <v>-2.6602930218000003</v>
      </c>
      <c r="O593" s="66"/>
      <c r="P593" s="71">
        <f t="shared" si="47"/>
        <v>0</v>
      </c>
      <c r="Q593" s="132"/>
      <c r="R593" s="71">
        <f t="shared" si="48"/>
        <v>-4.5737589104166672</v>
      </c>
      <c r="S593" s="64"/>
    </row>
    <row r="594" spans="1:19">
      <c r="A594" s="64" t="s">
        <v>626</v>
      </c>
      <c r="B594" s="65" t="s">
        <v>915</v>
      </c>
      <c r="C594" s="65" t="s">
        <v>916</v>
      </c>
      <c r="D594" s="64" t="s">
        <v>917</v>
      </c>
      <c r="E594" s="65" t="s">
        <v>918</v>
      </c>
      <c r="F594" s="64" t="s">
        <v>143</v>
      </c>
      <c r="G594" s="65" t="s">
        <v>20</v>
      </c>
      <c r="H594" s="65" t="s">
        <v>928</v>
      </c>
      <c r="I594" s="65">
        <v>201412</v>
      </c>
      <c r="J594" s="66">
        <v>0</v>
      </c>
      <c r="K594" s="72">
        <f t="shared" si="46"/>
        <v>42675</v>
      </c>
      <c r="L594" s="67">
        <f t="shared" si="44"/>
        <v>6</v>
      </c>
      <c r="M594" s="68">
        <v>1.4833299999999999E-3</v>
      </c>
      <c r="N594" s="69">
        <f t="shared" si="45"/>
        <v>0</v>
      </c>
      <c r="O594" s="66"/>
      <c r="P594" s="71">
        <f t="shared" si="47"/>
        <v>0</v>
      </c>
      <c r="Q594" s="132"/>
      <c r="R594" s="71">
        <f t="shared" si="48"/>
        <v>0</v>
      </c>
      <c r="S594" s="64"/>
    </row>
    <row r="595" spans="1:19">
      <c r="A595" s="64" t="s">
        <v>626</v>
      </c>
      <c r="B595" s="65" t="s">
        <v>919</v>
      </c>
      <c r="C595" s="65" t="s">
        <v>920</v>
      </c>
      <c r="D595" s="64" t="s">
        <v>921</v>
      </c>
      <c r="E595" s="65" t="s">
        <v>164</v>
      </c>
      <c r="F595" s="64" t="s">
        <v>165</v>
      </c>
      <c r="G595" s="65" t="s">
        <v>20</v>
      </c>
      <c r="H595" s="65" t="s">
        <v>928</v>
      </c>
      <c r="I595" s="65">
        <v>201412</v>
      </c>
      <c r="J595" s="66">
        <v>1481.62</v>
      </c>
      <c r="K595" s="72">
        <f t="shared" si="46"/>
        <v>42675</v>
      </c>
      <c r="L595" s="67">
        <f t="shared" si="44"/>
        <v>6</v>
      </c>
      <c r="M595" s="68">
        <v>1.4833299999999999E-3</v>
      </c>
      <c r="N595" s="69">
        <f t="shared" si="45"/>
        <v>13.186388367599999</v>
      </c>
      <c r="O595" s="66"/>
      <c r="P595" s="71">
        <f t="shared" si="47"/>
        <v>0</v>
      </c>
      <c r="Q595" s="132"/>
      <c r="R595" s="71">
        <f t="shared" si="48"/>
        <v>22.670946695833329</v>
      </c>
      <c r="S595" s="64"/>
    </row>
    <row r="596" spans="1:19">
      <c r="A596" s="64" t="s">
        <v>21</v>
      </c>
      <c r="B596" s="65" t="s">
        <v>894</v>
      </c>
      <c r="C596" s="65" t="s">
        <v>895</v>
      </c>
      <c r="D596" s="64" t="s">
        <v>896</v>
      </c>
      <c r="E596" s="65" t="s">
        <v>280</v>
      </c>
      <c r="F596" s="64" t="s">
        <v>26</v>
      </c>
      <c r="G596" s="65" t="s">
        <v>20</v>
      </c>
      <c r="H596" s="65" t="s">
        <v>928</v>
      </c>
      <c r="I596" s="65">
        <v>201412</v>
      </c>
      <c r="J596" s="66">
        <v>445.28</v>
      </c>
      <c r="K596" s="72">
        <f t="shared" si="46"/>
        <v>42675</v>
      </c>
      <c r="L596" s="67">
        <f t="shared" si="44"/>
        <v>6</v>
      </c>
      <c r="M596" s="68">
        <v>1.4833299999999999E-3</v>
      </c>
      <c r="N596" s="69">
        <f t="shared" si="45"/>
        <v>3.9629830943999997</v>
      </c>
      <c r="O596" s="66"/>
      <c r="P596" s="71">
        <f t="shared" si="47"/>
        <v>0</v>
      </c>
      <c r="Q596" s="132"/>
      <c r="R596" s="71">
        <f t="shared" si="48"/>
        <v>6.8134333666666658</v>
      </c>
      <c r="S596" s="64"/>
    </row>
    <row r="597" spans="1:19">
      <c r="A597" s="64" t="s">
        <v>626</v>
      </c>
      <c r="B597" s="65" t="s">
        <v>1047</v>
      </c>
      <c r="C597" s="65" t="s">
        <v>1048</v>
      </c>
      <c r="D597" s="64" t="s">
        <v>1049</v>
      </c>
      <c r="E597" s="65" t="s">
        <v>164</v>
      </c>
      <c r="F597" s="64" t="s">
        <v>165</v>
      </c>
      <c r="G597" s="65" t="s">
        <v>20</v>
      </c>
      <c r="H597" s="65" t="s">
        <v>928</v>
      </c>
      <c r="I597" s="65">
        <v>201412</v>
      </c>
      <c r="J597" s="66">
        <v>3203.04</v>
      </c>
      <c r="K597" s="72">
        <f t="shared" si="46"/>
        <v>42675</v>
      </c>
      <c r="L597" s="67">
        <f t="shared" si="44"/>
        <v>6</v>
      </c>
      <c r="M597" s="68">
        <v>1.4833299999999999E-3</v>
      </c>
      <c r="N597" s="69">
        <f t="shared" si="45"/>
        <v>28.506991939199999</v>
      </c>
      <c r="O597" s="66"/>
      <c r="P597" s="71">
        <f t="shared" si="47"/>
        <v>0</v>
      </c>
      <c r="Q597" s="132"/>
      <c r="R597" s="71">
        <f t="shared" si="48"/>
        <v>49.011183099999997</v>
      </c>
      <c r="S597" s="64"/>
    </row>
    <row r="598" spans="1:19">
      <c r="A598" s="64" t="s">
        <v>626</v>
      </c>
      <c r="B598" s="65" t="s">
        <v>1103</v>
      </c>
      <c r="C598" s="65" t="s">
        <v>1104</v>
      </c>
      <c r="D598" s="64" t="s">
        <v>1105</v>
      </c>
      <c r="E598" s="65" t="s">
        <v>87</v>
      </c>
      <c r="F598" s="64" t="s">
        <v>88</v>
      </c>
      <c r="G598" s="65" t="s">
        <v>20</v>
      </c>
      <c r="H598" s="65" t="s">
        <v>929</v>
      </c>
      <c r="I598" s="65">
        <v>201412</v>
      </c>
      <c r="J598" s="66">
        <v>829.19</v>
      </c>
      <c r="K598" s="72">
        <f t="shared" si="46"/>
        <v>42675</v>
      </c>
      <c r="L598" s="67">
        <f t="shared" si="44"/>
        <v>6</v>
      </c>
      <c r="M598" s="68">
        <v>1.4833299999999999E-3</v>
      </c>
      <c r="N598" s="69">
        <f t="shared" si="45"/>
        <v>7.379774416200001</v>
      </c>
      <c r="O598" s="66"/>
      <c r="P598" s="71">
        <f t="shared" si="47"/>
        <v>0</v>
      </c>
      <c r="Q598" s="132"/>
      <c r="R598" s="71">
        <f t="shared" si="48"/>
        <v>12.687816235416665</v>
      </c>
      <c r="S598" s="64"/>
    </row>
    <row r="599" spans="1:19">
      <c r="A599" s="64" t="s">
        <v>626</v>
      </c>
      <c r="B599" s="65" t="s">
        <v>1106</v>
      </c>
      <c r="C599" s="65" t="s">
        <v>1107</v>
      </c>
      <c r="D599" s="64" t="s">
        <v>1108</v>
      </c>
      <c r="E599" s="65" t="s">
        <v>18</v>
      </c>
      <c r="F599" s="64" t="s">
        <v>19</v>
      </c>
      <c r="G599" s="65" t="s">
        <v>20</v>
      </c>
      <c r="H599" s="65" t="s">
        <v>928</v>
      </c>
      <c r="I599" s="65">
        <v>201412</v>
      </c>
      <c r="J599" s="66">
        <v>-628.98</v>
      </c>
      <c r="K599" s="72">
        <f t="shared" si="46"/>
        <v>42675</v>
      </c>
      <c r="L599" s="67">
        <f t="shared" si="44"/>
        <v>6</v>
      </c>
      <c r="M599" s="68">
        <v>1.4833299999999999E-3</v>
      </c>
      <c r="N599" s="69">
        <f t="shared" si="45"/>
        <v>-5.5979094204000006</v>
      </c>
      <c r="O599" s="66"/>
      <c r="P599" s="71">
        <f t="shared" si="47"/>
        <v>0</v>
      </c>
      <c r="Q599" s="132"/>
      <c r="R599" s="71">
        <f t="shared" si="48"/>
        <v>-9.6243112624999991</v>
      </c>
      <c r="S599" s="64"/>
    </row>
    <row r="600" spans="1:19">
      <c r="A600" s="64" t="s">
        <v>21</v>
      </c>
      <c r="B600" s="65" t="s">
        <v>1151</v>
      </c>
      <c r="C600" s="65" t="s">
        <v>1152</v>
      </c>
      <c r="D600" s="64" t="s">
        <v>1153</v>
      </c>
      <c r="E600" s="65" t="s">
        <v>70</v>
      </c>
      <c r="F600" s="64" t="s">
        <v>71</v>
      </c>
      <c r="G600" s="65" t="s">
        <v>20</v>
      </c>
      <c r="H600" s="65" t="s">
        <v>928</v>
      </c>
      <c r="I600" s="65">
        <v>201412</v>
      </c>
      <c r="J600" s="66">
        <v>21760.85</v>
      </c>
      <c r="K600" s="72">
        <f t="shared" si="46"/>
        <v>42675</v>
      </c>
      <c r="L600" s="67">
        <f t="shared" si="44"/>
        <v>6</v>
      </c>
      <c r="M600" s="68">
        <v>1.4833299999999999E-3</v>
      </c>
      <c r="N600" s="69">
        <f t="shared" si="45"/>
        <v>193.671129783</v>
      </c>
      <c r="O600" s="66"/>
      <c r="P600" s="71">
        <f t="shared" si="47"/>
        <v>0</v>
      </c>
      <c r="Q600" s="132"/>
      <c r="R600" s="71">
        <f t="shared" si="48"/>
        <v>332.97273957291662</v>
      </c>
      <c r="S600" s="64"/>
    </row>
    <row r="601" spans="1:19">
      <c r="A601" s="64" t="s">
        <v>21</v>
      </c>
      <c r="B601" s="65" t="s">
        <v>978</v>
      </c>
      <c r="C601" s="65" t="s">
        <v>979</v>
      </c>
      <c r="D601" s="64" t="s">
        <v>980</v>
      </c>
      <c r="E601" s="65" t="s">
        <v>102</v>
      </c>
      <c r="F601" s="64" t="s">
        <v>19</v>
      </c>
      <c r="G601" s="65" t="s">
        <v>20</v>
      </c>
      <c r="H601" s="65" t="s">
        <v>928</v>
      </c>
      <c r="I601" s="65">
        <v>201412</v>
      </c>
      <c r="J601" s="66">
        <v>0</v>
      </c>
      <c r="K601" s="72">
        <f t="shared" si="46"/>
        <v>42675</v>
      </c>
      <c r="L601" s="67">
        <f t="shared" si="44"/>
        <v>6</v>
      </c>
      <c r="M601" s="68">
        <v>1.4833299999999999E-3</v>
      </c>
      <c r="N601" s="69">
        <f t="shared" si="45"/>
        <v>0</v>
      </c>
      <c r="O601" s="66"/>
      <c r="P601" s="71">
        <f t="shared" si="47"/>
        <v>0</v>
      </c>
      <c r="Q601" s="132"/>
      <c r="R601" s="71">
        <f t="shared" si="48"/>
        <v>0</v>
      </c>
      <c r="S601" s="64"/>
    </row>
    <row r="602" spans="1:19" ht="15" customHeight="1">
      <c r="A602" s="64" t="s">
        <v>626</v>
      </c>
      <c r="B602" s="65" t="s">
        <v>1109</v>
      </c>
      <c r="C602" s="65" t="s">
        <v>1110</v>
      </c>
      <c r="D602" s="64" t="s">
        <v>1111</v>
      </c>
      <c r="E602" s="65" t="s">
        <v>260</v>
      </c>
      <c r="F602" s="64" t="s">
        <v>26</v>
      </c>
      <c r="G602" s="65" t="s">
        <v>20</v>
      </c>
      <c r="H602" s="65" t="s">
        <v>928</v>
      </c>
      <c r="I602" s="65">
        <v>201412</v>
      </c>
      <c r="J602" s="66">
        <v>2460.33</v>
      </c>
      <c r="K602" s="72">
        <f t="shared" si="46"/>
        <v>42675</v>
      </c>
      <c r="L602" s="67">
        <f t="shared" si="44"/>
        <v>6</v>
      </c>
      <c r="M602" s="68">
        <v>1.4833299999999999E-3</v>
      </c>
      <c r="N602" s="69">
        <f t="shared" si="45"/>
        <v>21.896887793399998</v>
      </c>
      <c r="O602" s="66"/>
      <c r="P602" s="71">
        <f t="shared" si="47"/>
        <v>0</v>
      </c>
      <c r="Q602" s="132"/>
      <c r="R602" s="71">
        <f t="shared" si="48"/>
        <v>37.646636981249998</v>
      </c>
      <c r="S602" s="64"/>
    </row>
    <row r="603" spans="1:19" ht="15" customHeight="1">
      <c r="A603" s="64" t="s">
        <v>626</v>
      </c>
      <c r="B603" s="65" t="s">
        <v>1050</v>
      </c>
      <c r="C603" s="65" t="s">
        <v>1051</v>
      </c>
      <c r="D603" s="64" t="s">
        <v>1052</v>
      </c>
      <c r="E603" s="65" t="s">
        <v>164</v>
      </c>
      <c r="F603" s="64" t="s">
        <v>165</v>
      </c>
      <c r="G603" s="65" t="s">
        <v>20</v>
      </c>
      <c r="H603" s="65" t="s">
        <v>928</v>
      </c>
      <c r="I603" s="65">
        <v>201412</v>
      </c>
      <c r="J603" s="66">
        <v>-2188.61</v>
      </c>
      <c r="K603" s="72">
        <f t="shared" si="46"/>
        <v>42675</v>
      </c>
      <c r="L603" s="67">
        <f t="shared" si="44"/>
        <v>6</v>
      </c>
      <c r="M603" s="68">
        <v>1.4833299999999999E-3</v>
      </c>
      <c r="N603" s="69">
        <f t="shared" si="45"/>
        <v>-19.4785852278</v>
      </c>
      <c r="O603" s="66"/>
      <c r="P603" s="71">
        <f t="shared" si="47"/>
        <v>0</v>
      </c>
      <c r="Q603" s="132"/>
      <c r="R603" s="71">
        <f t="shared" si="48"/>
        <v>-33.488924722916671</v>
      </c>
      <c r="S603" s="64"/>
    </row>
    <row r="604" spans="1:19" ht="15" customHeight="1">
      <c r="A604" s="64" t="s">
        <v>626</v>
      </c>
      <c r="B604" s="65" t="s">
        <v>981</v>
      </c>
      <c r="C604" s="65" t="s">
        <v>982</v>
      </c>
      <c r="D604" s="64" t="s">
        <v>983</v>
      </c>
      <c r="E604" s="65" t="s">
        <v>531</v>
      </c>
      <c r="F604" s="64" t="s">
        <v>26</v>
      </c>
      <c r="G604" s="65" t="s">
        <v>20</v>
      </c>
      <c r="H604" s="65" t="s">
        <v>928</v>
      </c>
      <c r="I604" s="65">
        <v>201412</v>
      </c>
      <c r="J604" s="66">
        <v>2556.02</v>
      </c>
      <c r="K604" s="72">
        <f t="shared" si="46"/>
        <v>42675</v>
      </c>
      <c r="L604" s="67">
        <f t="shared" si="44"/>
        <v>6</v>
      </c>
      <c r="M604" s="68">
        <v>1.4833299999999999E-3</v>
      </c>
      <c r="N604" s="69">
        <f t="shared" si="45"/>
        <v>22.7485268796</v>
      </c>
      <c r="O604" s="66"/>
      <c r="P604" s="71">
        <f t="shared" si="47"/>
        <v>0</v>
      </c>
      <c r="Q604" s="132"/>
      <c r="R604" s="71">
        <f t="shared" si="48"/>
        <v>39.110833529166662</v>
      </c>
      <c r="S604" s="64"/>
    </row>
    <row r="605" spans="1:19" ht="15" customHeight="1">
      <c r="A605" s="64" t="s">
        <v>21</v>
      </c>
      <c r="B605" s="65" t="s">
        <v>1154</v>
      </c>
      <c r="C605" s="65" t="s">
        <v>1155</v>
      </c>
      <c r="D605" s="64" t="s">
        <v>1156</v>
      </c>
      <c r="E605" s="65" t="s">
        <v>397</v>
      </c>
      <c r="F605" s="64" t="s">
        <v>398</v>
      </c>
      <c r="G605" s="65" t="s">
        <v>20</v>
      </c>
      <c r="H605" s="65" t="s">
        <v>929</v>
      </c>
      <c r="I605" s="65">
        <v>201412</v>
      </c>
      <c r="J605" s="66">
        <v>105895.42</v>
      </c>
      <c r="K605" s="72">
        <f t="shared" si="46"/>
        <v>42675</v>
      </c>
      <c r="L605" s="67">
        <f t="shared" si="44"/>
        <v>6</v>
      </c>
      <c r="M605" s="68">
        <v>1.4833299999999999E-3</v>
      </c>
      <c r="N605" s="69">
        <f t="shared" si="45"/>
        <v>942.46712009160001</v>
      </c>
      <c r="O605" s="66"/>
      <c r="P605" s="71">
        <f t="shared" si="47"/>
        <v>0</v>
      </c>
      <c r="Q605" s="132"/>
      <c r="R605" s="71">
        <f t="shared" si="48"/>
        <v>1620.3543568208333</v>
      </c>
      <c r="S605" s="64"/>
    </row>
    <row r="606" spans="1:19" ht="15" customHeight="1">
      <c r="A606" s="64" t="s">
        <v>626</v>
      </c>
      <c r="B606" s="65" t="s">
        <v>1053</v>
      </c>
      <c r="C606" s="65" t="s">
        <v>1054</v>
      </c>
      <c r="D606" s="64" t="s">
        <v>1055</v>
      </c>
      <c r="E606" s="65" t="s">
        <v>160</v>
      </c>
      <c r="F606" s="64" t="s">
        <v>19</v>
      </c>
      <c r="G606" s="65" t="s">
        <v>20</v>
      </c>
      <c r="H606" s="65" t="s">
        <v>928</v>
      </c>
      <c r="I606" s="65">
        <v>201412</v>
      </c>
      <c r="J606" s="66">
        <v>133.1</v>
      </c>
      <c r="K606" s="72">
        <f t="shared" si="46"/>
        <v>42675</v>
      </c>
      <c r="L606" s="67">
        <f t="shared" ref="L606:L626" si="49">((YEAR($L$1)-YEAR(K606))*12+MONTH($L$1)-MONTH(K606))</f>
        <v>6</v>
      </c>
      <c r="M606" s="68">
        <v>1.4833299999999999E-3</v>
      </c>
      <c r="N606" s="69">
        <f t="shared" ref="N606:N858" si="50">M606*L606*J606</f>
        <v>1.184587338</v>
      </c>
      <c r="O606" s="66"/>
      <c r="P606" s="71">
        <f t="shared" si="47"/>
        <v>0</v>
      </c>
      <c r="Q606" s="132"/>
      <c r="R606" s="71">
        <f t="shared" si="48"/>
        <v>2.0366241041666666</v>
      </c>
      <c r="S606" s="64"/>
    </row>
    <row r="607" spans="1:19" ht="15" customHeight="1">
      <c r="A607" s="64" t="s">
        <v>626</v>
      </c>
      <c r="B607" s="65" t="s">
        <v>1056</v>
      </c>
      <c r="C607" s="65" t="s">
        <v>1057</v>
      </c>
      <c r="D607" s="64" t="s">
        <v>1058</v>
      </c>
      <c r="E607" s="65" t="s">
        <v>1059</v>
      </c>
      <c r="F607" s="64" t="s">
        <v>26</v>
      </c>
      <c r="G607" s="65" t="s">
        <v>20</v>
      </c>
      <c r="H607" s="65" t="s">
        <v>928</v>
      </c>
      <c r="I607" s="65">
        <v>201412</v>
      </c>
      <c r="J607" s="66">
        <v>2679.48</v>
      </c>
      <c r="K607" s="72">
        <v>42675</v>
      </c>
      <c r="L607" s="67">
        <f t="shared" si="49"/>
        <v>6</v>
      </c>
      <c r="M607" s="68">
        <v>1.4833299999999999E-3</v>
      </c>
      <c r="N607" s="69">
        <f t="shared" si="50"/>
        <v>23.8473184104</v>
      </c>
      <c r="O607" s="66"/>
      <c r="P607" s="71">
        <f t="shared" si="47"/>
        <v>0</v>
      </c>
      <c r="Q607" s="132"/>
      <c r="R607" s="71">
        <f t="shared" si="48"/>
        <v>40.99995157499999</v>
      </c>
      <c r="S607" s="64"/>
    </row>
    <row r="608" spans="1:19" ht="15" customHeight="1">
      <c r="A608" s="64" t="s">
        <v>626</v>
      </c>
      <c r="B608" s="65" t="s">
        <v>1157</v>
      </c>
      <c r="C608" s="65" t="s">
        <v>1158</v>
      </c>
      <c r="D608" s="64" t="s">
        <v>1159</v>
      </c>
      <c r="E608" s="65" t="s">
        <v>160</v>
      </c>
      <c r="F608" s="64" t="s">
        <v>19</v>
      </c>
      <c r="G608" s="65" t="s">
        <v>20</v>
      </c>
      <c r="H608" s="65" t="s">
        <v>928</v>
      </c>
      <c r="I608" s="65">
        <v>201412</v>
      </c>
      <c r="J608" s="66">
        <v>-310.58999999999997</v>
      </c>
      <c r="K608" s="72">
        <f t="shared" si="46"/>
        <v>42675</v>
      </c>
      <c r="L608" s="67">
        <f t="shared" si="49"/>
        <v>6</v>
      </c>
      <c r="M608" s="68">
        <v>1.4833299999999999E-3</v>
      </c>
      <c r="N608" s="69">
        <f t="shared" si="50"/>
        <v>-2.7642447881999996</v>
      </c>
      <c r="O608" s="66"/>
      <c r="P608" s="71">
        <f t="shared" si="47"/>
        <v>0</v>
      </c>
      <c r="Q608" s="132"/>
      <c r="R608" s="71">
        <f t="shared" si="48"/>
        <v>-4.7524799437499992</v>
      </c>
      <c r="S608" s="64"/>
    </row>
    <row r="609" spans="1:19" ht="15" customHeight="1">
      <c r="A609" s="64" t="s">
        <v>626</v>
      </c>
      <c r="B609" s="65" t="s">
        <v>1160</v>
      </c>
      <c r="C609" s="65" t="s">
        <v>1161</v>
      </c>
      <c r="D609" s="64" t="s">
        <v>1162</v>
      </c>
      <c r="E609" s="65" t="s">
        <v>160</v>
      </c>
      <c r="F609" s="64" t="s">
        <v>19</v>
      </c>
      <c r="G609" s="65" t="s">
        <v>20</v>
      </c>
      <c r="H609" s="65" t="s">
        <v>928</v>
      </c>
      <c r="I609" s="65">
        <v>201412</v>
      </c>
      <c r="J609" s="66">
        <v>24647.69</v>
      </c>
      <c r="K609" s="72">
        <f t="shared" si="46"/>
        <v>42675</v>
      </c>
      <c r="L609" s="67">
        <f t="shared" si="49"/>
        <v>6</v>
      </c>
      <c r="M609" s="68">
        <v>1.4833299999999999E-3</v>
      </c>
      <c r="N609" s="69">
        <f t="shared" si="50"/>
        <v>219.36394804619999</v>
      </c>
      <c r="O609" s="66"/>
      <c r="P609" s="71">
        <f t="shared" si="47"/>
        <v>0</v>
      </c>
      <c r="Q609" s="132"/>
      <c r="R609" s="71">
        <f t="shared" si="48"/>
        <v>377.14560154791661</v>
      </c>
      <c r="S609" s="64"/>
    </row>
    <row r="610" spans="1:19" ht="15" customHeight="1">
      <c r="A610" s="64" t="s">
        <v>626</v>
      </c>
      <c r="B610" s="65" t="s">
        <v>1163</v>
      </c>
      <c r="C610" s="65" t="s">
        <v>1164</v>
      </c>
      <c r="D610" s="64" t="s">
        <v>1165</v>
      </c>
      <c r="E610" s="65" t="s">
        <v>75</v>
      </c>
      <c r="F610" s="64" t="s">
        <v>26</v>
      </c>
      <c r="G610" s="65" t="s">
        <v>20</v>
      </c>
      <c r="H610" s="65" t="s">
        <v>928</v>
      </c>
      <c r="I610" s="65">
        <v>201412</v>
      </c>
      <c r="J610" s="66">
        <v>25101.279999999999</v>
      </c>
      <c r="K610" s="72">
        <f t="shared" si="46"/>
        <v>42675</v>
      </c>
      <c r="L610" s="67">
        <f t="shared" si="49"/>
        <v>6</v>
      </c>
      <c r="M610" s="68">
        <v>1.4833299999999999E-3</v>
      </c>
      <c r="N610" s="69">
        <f t="shared" si="50"/>
        <v>223.4008899744</v>
      </c>
      <c r="O610" s="66"/>
      <c r="P610" s="71">
        <f t="shared" si="47"/>
        <v>0</v>
      </c>
      <c r="Q610" s="132"/>
      <c r="R610" s="71">
        <f t="shared" si="48"/>
        <v>384.08619003333325</v>
      </c>
      <c r="S610" s="64"/>
    </row>
    <row r="611" spans="1:19" ht="15" customHeight="1">
      <c r="A611" s="64" t="s">
        <v>626</v>
      </c>
      <c r="B611" s="65" t="s">
        <v>987</v>
      </c>
      <c r="C611" s="65" t="s">
        <v>988</v>
      </c>
      <c r="D611" s="64" t="s">
        <v>989</v>
      </c>
      <c r="E611" s="65" t="s">
        <v>63</v>
      </c>
      <c r="F611" s="64" t="s">
        <v>19</v>
      </c>
      <c r="G611" s="65" t="s">
        <v>20</v>
      </c>
      <c r="H611" s="65" t="s">
        <v>928</v>
      </c>
      <c r="I611" s="65">
        <v>201412</v>
      </c>
      <c r="J611" s="66">
        <v>0</v>
      </c>
      <c r="K611" s="72">
        <f t="shared" si="46"/>
        <v>42675</v>
      </c>
      <c r="L611" s="67">
        <f t="shared" si="49"/>
        <v>6</v>
      </c>
      <c r="M611" s="68">
        <v>1.4833299999999999E-3</v>
      </c>
      <c r="N611" s="69">
        <f t="shared" si="50"/>
        <v>0</v>
      </c>
      <c r="O611" s="66"/>
      <c r="P611" s="71">
        <f t="shared" si="47"/>
        <v>0</v>
      </c>
      <c r="Q611" s="132"/>
      <c r="R611" s="71">
        <f t="shared" si="48"/>
        <v>0</v>
      </c>
      <c r="S611" s="64"/>
    </row>
    <row r="612" spans="1:19" ht="15" customHeight="1">
      <c r="A612" s="64" t="s">
        <v>626</v>
      </c>
      <c r="B612" s="65" t="s">
        <v>1166</v>
      </c>
      <c r="C612" s="65" t="s">
        <v>1167</v>
      </c>
      <c r="D612" s="64" t="s">
        <v>1168</v>
      </c>
      <c r="E612" s="65" t="s">
        <v>75</v>
      </c>
      <c r="F612" s="64" t="s">
        <v>26</v>
      </c>
      <c r="G612" s="65" t="s">
        <v>20</v>
      </c>
      <c r="H612" s="65" t="s">
        <v>928</v>
      </c>
      <c r="I612" s="65">
        <v>201412</v>
      </c>
      <c r="J612" s="66">
        <v>5227.7</v>
      </c>
      <c r="K612" s="72">
        <f t="shared" si="46"/>
        <v>42675</v>
      </c>
      <c r="L612" s="67">
        <f t="shared" si="49"/>
        <v>6</v>
      </c>
      <c r="M612" s="68">
        <v>1.4833299999999999E-3</v>
      </c>
      <c r="N612" s="69">
        <f t="shared" si="50"/>
        <v>46.526425445999998</v>
      </c>
      <c r="O612" s="66"/>
      <c r="P612" s="71">
        <f t="shared" si="47"/>
        <v>0</v>
      </c>
      <c r="Q612" s="132"/>
      <c r="R612" s="71">
        <f t="shared" si="48"/>
        <v>79.991433729166658</v>
      </c>
      <c r="S612" s="64"/>
    </row>
    <row r="613" spans="1:19" ht="15" customHeight="1">
      <c r="A613" s="64" t="s">
        <v>626</v>
      </c>
      <c r="B613" s="65" t="s">
        <v>1169</v>
      </c>
      <c r="C613" s="65" t="s">
        <v>1170</v>
      </c>
      <c r="D613" s="64" t="s">
        <v>1171</v>
      </c>
      <c r="E613" s="65" t="s">
        <v>164</v>
      </c>
      <c r="F613" s="64" t="s">
        <v>165</v>
      </c>
      <c r="G613" s="65" t="s">
        <v>20</v>
      </c>
      <c r="H613" s="65" t="s">
        <v>928</v>
      </c>
      <c r="I613" s="65">
        <v>201412</v>
      </c>
      <c r="J613" s="66">
        <v>75631.14</v>
      </c>
      <c r="K613" s="72">
        <f t="shared" si="46"/>
        <v>42675</v>
      </c>
      <c r="L613" s="67">
        <f t="shared" si="49"/>
        <v>6</v>
      </c>
      <c r="M613" s="68">
        <v>1.4833299999999999E-3</v>
      </c>
      <c r="N613" s="69">
        <f t="shared" si="50"/>
        <v>673.11563337719997</v>
      </c>
      <c r="O613" s="66"/>
      <c r="P613" s="71">
        <f t="shared" si="47"/>
        <v>0</v>
      </c>
      <c r="Q613" s="132"/>
      <c r="R613" s="71">
        <f t="shared" si="48"/>
        <v>1157.2667374124999</v>
      </c>
      <c r="S613" s="64"/>
    </row>
    <row r="614" spans="1:19" ht="15" customHeight="1">
      <c r="A614" s="64" t="s">
        <v>626</v>
      </c>
      <c r="B614" s="65" t="s">
        <v>1172</v>
      </c>
      <c r="C614" s="65" t="s">
        <v>1173</v>
      </c>
      <c r="D614" s="64" t="s">
        <v>1174</v>
      </c>
      <c r="E614" s="65" t="s">
        <v>156</v>
      </c>
      <c r="F614" s="64" t="s">
        <v>26</v>
      </c>
      <c r="G614" s="65" t="s">
        <v>20</v>
      </c>
      <c r="H614" s="65" t="s">
        <v>928</v>
      </c>
      <c r="I614" s="65">
        <v>201412</v>
      </c>
      <c r="J614" s="66">
        <v>36271.120000000003</v>
      </c>
      <c r="K614" s="72">
        <f t="shared" si="46"/>
        <v>42675</v>
      </c>
      <c r="L614" s="67">
        <f t="shared" si="49"/>
        <v>6</v>
      </c>
      <c r="M614" s="68">
        <v>1.4833299999999999E-3</v>
      </c>
      <c r="N614" s="69">
        <f t="shared" si="50"/>
        <v>322.81224257760005</v>
      </c>
      <c r="O614" s="66"/>
      <c r="P614" s="71">
        <f t="shared" si="47"/>
        <v>0</v>
      </c>
      <c r="Q614" s="132"/>
      <c r="R614" s="71">
        <f t="shared" si="48"/>
        <v>555.00103138333327</v>
      </c>
      <c r="S614" s="64"/>
    </row>
    <row r="615" spans="1:19" ht="15" customHeight="1">
      <c r="A615" s="64" t="s">
        <v>626</v>
      </c>
      <c r="B615" s="65" t="s">
        <v>1175</v>
      </c>
      <c r="C615" s="65" t="s">
        <v>1176</v>
      </c>
      <c r="D615" s="64" t="s">
        <v>1177</v>
      </c>
      <c r="E615" s="65" t="s">
        <v>1059</v>
      </c>
      <c r="F615" s="64" t="s">
        <v>26</v>
      </c>
      <c r="G615" s="65" t="s">
        <v>20</v>
      </c>
      <c r="H615" s="65" t="s">
        <v>928</v>
      </c>
      <c r="I615" s="65">
        <v>201412</v>
      </c>
      <c r="J615" s="66">
        <v>6257.37</v>
      </c>
      <c r="K615" s="72">
        <f t="shared" si="46"/>
        <v>42675</v>
      </c>
      <c r="L615" s="67">
        <f t="shared" si="49"/>
        <v>6</v>
      </c>
      <c r="M615" s="68">
        <v>1.4833299999999999E-3</v>
      </c>
      <c r="N615" s="69">
        <f t="shared" si="50"/>
        <v>55.690467852600001</v>
      </c>
      <c r="O615" s="66"/>
      <c r="P615" s="71">
        <f t="shared" si="47"/>
        <v>0</v>
      </c>
      <c r="Q615" s="132"/>
      <c r="R615" s="71">
        <f t="shared" si="48"/>
        <v>95.746886331249996</v>
      </c>
      <c r="S615" s="64"/>
    </row>
    <row r="616" spans="1:19" ht="15" customHeight="1">
      <c r="A616" s="64" t="s">
        <v>626</v>
      </c>
      <c r="B616" s="65" t="s">
        <v>1178</v>
      </c>
      <c r="C616" s="65" t="s">
        <v>1179</v>
      </c>
      <c r="D616" s="64" t="s">
        <v>1180</v>
      </c>
      <c r="E616" s="65" t="s">
        <v>260</v>
      </c>
      <c r="F616" s="64" t="s">
        <v>26</v>
      </c>
      <c r="G616" s="65" t="s">
        <v>20</v>
      </c>
      <c r="H616" s="65" t="s">
        <v>928</v>
      </c>
      <c r="I616" s="65">
        <v>201412</v>
      </c>
      <c r="J616" s="66">
        <v>11632.66</v>
      </c>
      <c r="K616" s="72">
        <f t="shared" si="46"/>
        <v>42675</v>
      </c>
      <c r="L616" s="67">
        <f t="shared" si="49"/>
        <v>6</v>
      </c>
      <c r="M616" s="68">
        <v>1.4833299999999999E-3</v>
      </c>
      <c r="N616" s="69">
        <f t="shared" si="50"/>
        <v>103.5304413468</v>
      </c>
      <c r="O616" s="66"/>
      <c r="P616" s="71">
        <f t="shared" si="47"/>
        <v>0</v>
      </c>
      <c r="Q616" s="132"/>
      <c r="R616" s="71">
        <f t="shared" si="48"/>
        <v>177.99666229583332</v>
      </c>
      <c r="S616" s="64"/>
    </row>
    <row r="617" spans="1:19" ht="15" customHeight="1">
      <c r="A617" s="64" t="s">
        <v>29</v>
      </c>
      <c r="B617" s="65" t="s">
        <v>1060</v>
      </c>
      <c r="C617" s="65" t="s">
        <v>1061</v>
      </c>
      <c r="D617" s="64" t="s">
        <v>1062</v>
      </c>
      <c r="E617" s="65" t="s">
        <v>834</v>
      </c>
      <c r="F617" s="64" t="s">
        <v>835</v>
      </c>
      <c r="G617" s="65" t="s">
        <v>20</v>
      </c>
      <c r="H617" s="65" t="s">
        <v>937</v>
      </c>
      <c r="I617" s="65">
        <v>201412</v>
      </c>
      <c r="J617" s="66">
        <v>0</v>
      </c>
      <c r="K617" s="72">
        <f t="shared" si="46"/>
        <v>42675</v>
      </c>
      <c r="L617" s="67">
        <f t="shared" si="49"/>
        <v>6</v>
      </c>
      <c r="M617" s="68">
        <v>2.23333E-3</v>
      </c>
      <c r="N617" s="69">
        <f t="shared" si="50"/>
        <v>0</v>
      </c>
      <c r="O617" s="66"/>
      <c r="P617" s="71">
        <f t="shared" si="47"/>
        <v>0</v>
      </c>
      <c r="Q617" s="132"/>
      <c r="R617" s="71">
        <f t="shared" si="48"/>
        <v>0</v>
      </c>
      <c r="S617" s="64"/>
    </row>
    <row r="618" spans="1:19" ht="15" customHeight="1">
      <c r="A618" s="64" t="s">
        <v>626</v>
      </c>
      <c r="B618" s="65" t="s">
        <v>1181</v>
      </c>
      <c r="C618" s="65" t="s">
        <v>1182</v>
      </c>
      <c r="D618" s="64" t="s">
        <v>1183</v>
      </c>
      <c r="E618" s="65" t="s">
        <v>18</v>
      </c>
      <c r="F618" s="64" t="s">
        <v>19</v>
      </c>
      <c r="G618" s="65" t="s">
        <v>20</v>
      </c>
      <c r="H618" s="65" t="s">
        <v>928</v>
      </c>
      <c r="I618" s="65">
        <v>201412</v>
      </c>
      <c r="J618" s="66">
        <v>0</v>
      </c>
      <c r="K618" s="72">
        <f t="shared" si="46"/>
        <v>42675</v>
      </c>
      <c r="L618" s="67">
        <f t="shared" si="49"/>
        <v>6</v>
      </c>
      <c r="M618" s="68">
        <v>1.4833299999999999E-3</v>
      </c>
      <c r="N618" s="69">
        <f t="shared" si="50"/>
        <v>0</v>
      </c>
      <c r="O618" s="66"/>
      <c r="P618" s="71">
        <f t="shared" si="47"/>
        <v>0</v>
      </c>
      <c r="Q618" s="132"/>
      <c r="R618" s="71">
        <f t="shared" si="48"/>
        <v>0</v>
      </c>
      <c r="S618" s="64"/>
    </row>
    <row r="619" spans="1:19" ht="15" customHeight="1">
      <c r="A619" s="64" t="s">
        <v>626</v>
      </c>
      <c r="B619" s="65" t="s">
        <v>1184</v>
      </c>
      <c r="C619" s="65" t="s">
        <v>1185</v>
      </c>
      <c r="D619" s="64" t="s">
        <v>1186</v>
      </c>
      <c r="E619" s="65" t="s">
        <v>471</v>
      </c>
      <c r="F619" s="64" t="s">
        <v>165</v>
      </c>
      <c r="G619" s="65" t="s">
        <v>20</v>
      </c>
      <c r="H619" s="65" t="s">
        <v>928</v>
      </c>
      <c r="I619" s="65">
        <v>201412</v>
      </c>
      <c r="J619" s="66">
        <v>16814.27</v>
      </c>
      <c r="K619" s="72">
        <f t="shared" si="46"/>
        <v>42675</v>
      </c>
      <c r="L619" s="67">
        <f t="shared" si="49"/>
        <v>6</v>
      </c>
      <c r="M619" s="68">
        <v>1.4833299999999999E-3</v>
      </c>
      <c r="N619" s="69">
        <f t="shared" si="50"/>
        <v>149.6466667146</v>
      </c>
      <c r="O619" s="66"/>
      <c r="P619" s="71">
        <f t="shared" si="47"/>
        <v>0</v>
      </c>
      <c r="Q619" s="132"/>
      <c r="R619" s="71">
        <f t="shared" si="48"/>
        <v>257.28285181041667</v>
      </c>
      <c r="S619" s="64"/>
    </row>
    <row r="620" spans="1:19">
      <c r="A620" s="88" t="s">
        <v>990</v>
      </c>
      <c r="B620" s="89" t="s">
        <v>991</v>
      </c>
      <c r="C620" s="89" t="s">
        <v>992</v>
      </c>
      <c r="D620" s="88" t="s">
        <v>993</v>
      </c>
      <c r="E620" s="89" t="s">
        <v>994</v>
      </c>
      <c r="F620" s="88" t="s">
        <v>995</v>
      </c>
      <c r="G620" s="89" t="s">
        <v>20</v>
      </c>
      <c r="H620" s="65" t="s">
        <v>933</v>
      </c>
      <c r="I620" s="89">
        <v>201412</v>
      </c>
      <c r="J620" s="90">
        <v>2193.1</v>
      </c>
      <c r="K620" s="72">
        <f t="shared" si="46"/>
        <v>42675</v>
      </c>
      <c r="L620" s="67">
        <f t="shared" si="49"/>
        <v>6</v>
      </c>
      <c r="M620" s="91">
        <v>2.0333333000000001E-3</v>
      </c>
      <c r="N620" s="69">
        <f t="shared" si="50"/>
        <v>26.755819561379997</v>
      </c>
      <c r="O620" s="66"/>
      <c r="P620" s="71">
        <f t="shared" si="47"/>
        <v>0</v>
      </c>
      <c r="Q620" s="132"/>
      <c r="R620" s="71">
        <f t="shared" si="48"/>
        <v>33.557628270833327</v>
      </c>
      <c r="S620" s="64"/>
    </row>
    <row r="621" spans="1:19">
      <c r="A621" s="88" t="s">
        <v>990</v>
      </c>
      <c r="B621" s="89" t="s">
        <v>996</v>
      </c>
      <c r="C621" s="89" t="s">
        <v>997</v>
      </c>
      <c r="D621" s="88" t="s">
        <v>998</v>
      </c>
      <c r="E621" s="89" t="s">
        <v>999</v>
      </c>
      <c r="F621" s="88" t="s">
        <v>995</v>
      </c>
      <c r="G621" s="89" t="s">
        <v>20</v>
      </c>
      <c r="H621" s="65" t="s">
        <v>933</v>
      </c>
      <c r="I621" s="89">
        <v>201412</v>
      </c>
      <c r="J621" s="90">
        <v>-207.19</v>
      </c>
      <c r="K621" s="72">
        <f t="shared" si="46"/>
        <v>42675</v>
      </c>
      <c r="L621" s="67">
        <f t="shared" si="49"/>
        <v>6</v>
      </c>
      <c r="M621" s="91">
        <v>2.0333333000000001E-3</v>
      </c>
      <c r="N621" s="69">
        <f t="shared" si="50"/>
        <v>-2.527717958562</v>
      </c>
      <c r="O621" s="66"/>
      <c r="P621" s="71">
        <f t="shared" si="47"/>
        <v>0</v>
      </c>
      <c r="Q621" s="132"/>
      <c r="R621" s="71">
        <f t="shared" si="48"/>
        <v>-3.1703091520833331</v>
      </c>
      <c r="S621" s="64"/>
    </row>
    <row r="622" spans="1:19">
      <c r="A622" s="88" t="s">
        <v>990</v>
      </c>
      <c r="B622" s="89" t="s">
        <v>1000</v>
      </c>
      <c r="C622" s="89" t="s">
        <v>1001</v>
      </c>
      <c r="D622" s="88" t="s">
        <v>998</v>
      </c>
      <c r="E622" s="89" t="s">
        <v>1002</v>
      </c>
      <c r="F622" s="88" t="s">
        <v>995</v>
      </c>
      <c r="G622" s="89" t="s">
        <v>20</v>
      </c>
      <c r="H622" s="65" t="s">
        <v>933</v>
      </c>
      <c r="I622" s="89">
        <v>201412</v>
      </c>
      <c r="J622" s="90">
        <v>24376.35</v>
      </c>
      <c r="K622" s="72">
        <f t="shared" ref="K622:K626" si="51">+K621</f>
        <v>42675</v>
      </c>
      <c r="L622" s="67">
        <f t="shared" si="49"/>
        <v>6</v>
      </c>
      <c r="M622" s="91">
        <v>2.0333333000000001E-3</v>
      </c>
      <c r="N622" s="69">
        <f t="shared" si="50"/>
        <v>297.39146512472996</v>
      </c>
      <c r="O622" s="66"/>
      <c r="P622" s="71">
        <f t="shared" ref="P622:P626" si="52">$P$300*J622*$U$11</f>
        <v>0</v>
      </c>
      <c r="Q622" s="132"/>
      <c r="R622" s="71">
        <f t="shared" ref="R622:R626" si="53">$R$300*J622*$U$12</f>
        <v>372.99370384374993</v>
      </c>
      <c r="S622" s="64"/>
    </row>
    <row r="623" spans="1:19">
      <c r="A623" s="88" t="s">
        <v>990</v>
      </c>
      <c r="B623" s="89" t="s">
        <v>1003</v>
      </c>
      <c r="C623" s="89" t="s">
        <v>1004</v>
      </c>
      <c r="D623" s="88" t="s">
        <v>1005</v>
      </c>
      <c r="E623" s="89" t="s">
        <v>1006</v>
      </c>
      <c r="F623" s="88" t="s">
        <v>995</v>
      </c>
      <c r="G623" s="89" t="s">
        <v>20</v>
      </c>
      <c r="H623" s="65" t="s">
        <v>933</v>
      </c>
      <c r="I623" s="89">
        <v>201412</v>
      </c>
      <c r="J623" s="90">
        <v>23241.21</v>
      </c>
      <c r="K623" s="72">
        <f t="shared" si="51"/>
        <v>42675</v>
      </c>
      <c r="L623" s="67">
        <f t="shared" si="49"/>
        <v>6</v>
      </c>
      <c r="M623" s="91">
        <v>2.0333333000000001E-3</v>
      </c>
      <c r="N623" s="69">
        <f t="shared" si="50"/>
        <v>283.54275735175798</v>
      </c>
      <c r="O623" s="66"/>
      <c r="P623" s="71">
        <f t="shared" si="52"/>
        <v>0</v>
      </c>
      <c r="Q623" s="132"/>
      <c r="R623" s="71">
        <f t="shared" si="53"/>
        <v>355.62440643124995</v>
      </c>
      <c r="S623" s="64"/>
    </row>
    <row r="624" spans="1:19">
      <c r="A624" s="88" t="s">
        <v>990</v>
      </c>
      <c r="B624" s="89" t="s">
        <v>1010</v>
      </c>
      <c r="C624" s="89" t="s">
        <v>1011</v>
      </c>
      <c r="D624" s="88" t="s">
        <v>1012</v>
      </c>
      <c r="E624" s="89" t="s">
        <v>1013</v>
      </c>
      <c r="F624" s="88" t="s">
        <v>995</v>
      </c>
      <c r="G624" s="89" t="s">
        <v>20</v>
      </c>
      <c r="H624" s="65" t="s">
        <v>933</v>
      </c>
      <c r="I624" s="89">
        <v>201412</v>
      </c>
      <c r="J624" s="90">
        <v>11008.76</v>
      </c>
      <c r="K624" s="72">
        <f t="shared" si="51"/>
        <v>42675</v>
      </c>
      <c r="L624" s="67">
        <f t="shared" si="49"/>
        <v>6</v>
      </c>
      <c r="M624" s="91">
        <v>2.0333333000000001E-3</v>
      </c>
      <c r="N624" s="69">
        <f t="shared" si="50"/>
        <v>134.30686979824799</v>
      </c>
      <c r="O624" s="66"/>
      <c r="P624" s="71">
        <f t="shared" si="52"/>
        <v>0</v>
      </c>
      <c r="Q624" s="132"/>
      <c r="R624" s="71">
        <f t="shared" si="53"/>
        <v>168.45008244166667</v>
      </c>
      <c r="S624" s="64"/>
    </row>
    <row r="625" spans="1:19">
      <c r="A625" s="88" t="s">
        <v>990</v>
      </c>
      <c r="B625" s="89" t="s">
        <v>1017</v>
      </c>
      <c r="C625" s="89" t="s">
        <v>1018</v>
      </c>
      <c r="D625" s="88" t="s">
        <v>993</v>
      </c>
      <c r="E625" s="89" t="s">
        <v>1019</v>
      </c>
      <c r="F625" s="88" t="s">
        <v>995</v>
      </c>
      <c r="G625" s="89" t="s">
        <v>20</v>
      </c>
      <c r="H625" s="65" t="s">
        <v>933</v>
      </c>
      <c r="I625" s="89">
        <v>201412</v>
      </c>
      <c r="J625" s="90">
        <v>332.2</v>
      </c>
      <c r="K625" s="72">
        <f t="shared" si="51"/>
        <v>42675</v>
      </c>
      <c r="L625" s="67">
        <f t="shared" si="49"/>
        <v>6</v>
      </c>
      <c r="M625" s="91">
        <v>2.0333333000000001E-3</v>
      </c>
      <c r="N625" s="69">
        <f t="shared" si="50"/>
        <v>4.0528399335599996</v>
      </c>
      <c r="O625" s="66"/>
      <c r="P625" s="71">
        <f t="shared" si="52"/>
        <v>0</v>
      </c>
      <c r="Q625" s="132"/>
      <c r="R625" s="71">
        <f t="shared" si="53"/>
        <v>5.0831444583333329</v>
      </c>
      <c r="S625" s="64"/>
    </row>
    <row r="626" spans="1:19" ht="15.75" thickBot="1">
      <c r="A626" s="88" t="s">
        <v>990</v>
      </c>
      <c r="B626" s="89" t="s">
        <v>1020</v>
      </c>
      <c r="C626" s="89" t="s">
        <v>1021</v>
      </c>
      <c r="D626" s="88" t="s">
        <v>998</v>
      </c>
      <c r="E626" s="89" t="s">
        <v>1022</v>
      </c>
      <c r="F626" s="88" t="s">
        <v>995</v>
      </c>
      <c r="G626" s="89" t="s">
        <v>20</v>
      </c>
      <c r="H626" s="65" t="s">
        <v>933</v>
      </c>
      <c r="I626" s="89">
        <v>201412</v>
      </c>
      <c r="J626" s="90">
        <v>-275.81</v>
      </c>
      <c r="K626" s="72">
        <f t="shared" si="51"/>
        <v>42675</v>
      </c>
      <c r="L626" s="67">
        <f t="shared" si="49"/>
        <v>6</v>
      </c>
      <c r="M626" s="91">
        <v>2.0333333000000001E-3</v>
      </c>
      <c r="N626" s="69">
        <f t="shared" si="50"/>
        <v>-3.3648819448379998</v>
      </c>
      <c r="O626" s="66"/>
      <c r="P626" s="71">
        <f t="shared" si="52"/>
        <v>0</v>
      </c>
      <c r="Q626" s="132"/>
      <c r="R626" s="71">
        <f t="shared" si="53"/>
        <v>-4.2202952229166666</v>
      </c>
      <c r="S626" s="64"/>
    </row>
    <row r="627" spans="1:19" ht="27.75" customHeight="1">
      <c r="A627" s="88"/>
      <c r="B627" s="89"/>
      <c r="C627" s="89"/>
      <c r="D627" s="88"/>
      <c r="E627" s="89"/>
      <c r="F627" s="88"/>
      <c r="G627" s="89"/>
      <c r="H627" s="92"/>
      <c r="I627" s="92"/>
      <c r="J627" s="93"/>
      <c r="K627" s="94" t="s">
        <v>1187</v>
      </c>
      <c r="L627" s="95"/>
      <c r="M627" s="96"/>
      <c r="N627" s="101"/>
      <c r="O627" s="66"/>
      <c r="P627" s="61">
        <v>0</v>
      </c>
      <c r="Q627" s="128"/>
      <c r="R627" s="128">
        <f>+X10</f>
        <v>6.6769999999999996E-2</v>
      </c>
      <c r="S627" s="64"/>
    </row>
    <row r="628" spans="1:19">
      <c r="A628" s="64" t="s">
        <v>29</v>
      </c>
      <c r="B628" s="65" t="s">
        <v>30</v>
      </c>
      <c r="C628" s="65" t="s">
        <v>31</v>
      </c>
      <c r="D628" s="64" t="s">
        <v>32</v>
      </c>
      <c r="E628" s="65" t="s">
        <v>33</v>
      </c>
      <c r="F628" s="64" t="s">
        <v>34</v>
      </c>
      <c r="G628" s="65" t="s">
        <v>20</v>
      </c>
      <c r="H628" s="65" t="s">
        <v>933</v>
      </c>
      <c r="I628" s="65">
        <v>201501</v>
      </c>
      <c r="J628" s="66">
        <v>102428.46</v>
      </c>
      <c r="K628" s="72">
        <v>42675</v>
      </c>
      <c r="L628" s="67">
        <f t="shared" ref="L628:L691" si="54">((YEAR($L$1)-YEAR(K628))*12+MONTH($L$1)-MONTH(K628))</f>
        <v>6</v>
      </c>
      <c r="M628" s="68">
        <v>2.23333E-3</v>
      </c>
      <c r="N628" s="69">
        <f t="shared" si="50"/>
        <v>1372.5393154307999</v>
      </c>
      <c r="O628" s="66"/>
      <c r="P628" s="71">
        <f>$P$627*0.5*J628*$U$12</f>
        <v>0</v>
      </c>
      <c r="Q628" s="132"/>
      <c r="R628" s="71">
        <f>$R$627*0.5*J628*$U$12</f>
        <v>1567.3048128374999</v>
      </c>
      <c r="S628" s="64"/>
    </row>
    <row r="629" spans="1:19">
      <c r="A629" s="64" t="s">
        <v>29</v>
      </c>
      <c r="B629" s="65" t="s">
        <v>37</v>
      </c>
      <c r="C629" s="65" t="s">
        <v>38</v>
      </c>
      <c r="D629" s="64" t="s">
        <v>39</v>
      </c>
      <c r="E629" s="65" t="s">
        <v>40</v>
      </c>
      <c r="F629" s="64" t="s">
        <v>41</v>
      </c>
      <c r="G629" s="65" t="s">
        <v>20</v>
      </c>
      <c r="H629" s="65" t="s">
        <v>933</v>
      </c>
      <c r="I629" s="65">
        <v>201501</v>
      </c>
      <c r="J629" s="66">
        <v>7579.37</v>
      </c>
      <c r="K629" s="72">
        <f>+K628</f>
        <v>42675</v>
      </c>
      <c r="L629" s="67">
        <f t="shared" si="54"/>
        <v>6</v>
      </c>
      <c r="M629" s="68">
        <v>2.23333E-3</v>
      </c>
      <c r="N629" s="69">
        <f t="shared" si="50"/>
        <v>101.56340641259999</v>
      </c>
      <c r="O629" s="66"/>
      <c r="P629" s="71">
        <f t="shared" ref="P629:P692" si="55">$P$627*0.5*J629*$U$12</f>
        <v>0</v>
      </c>
      <c r="Q629" s="132"/>
      <c r="R629" s="71">
        <f t="shared" ref="R629:R692" si="56">$R$627*0.5*J629*$U$12</f>
        <v>115.97541424791665</v>
      </c>
      <c r="S629" s="64"/>
    </row>
    <row r="630" spans="1:19">
      <c r="A630" s="64" t="s">
        <v>29</v>
      </c>
      <c r="B630" s="65" t="s">
        <v>48</v>
      </c>
      <c r="C630" s="65" t="s">
        <v>49</v>
      </c>
      <c r="D630" s="64" t="s">
        <v>50</v>
      </c>
      <c r="E630" s="65" t="s">
        <v>51</v>
      </c>
      <c r="F630" s="64" t="s">
        <v>52</v>
      </c>
      <c r="G630" s="65" t="s">
        <v>20</v>
      </c>
      <c r="H630" s="65" t="s">
        <v>933</v>
      </c>
      <c r="I630" s="65">
        <v>201501</v>
      </c>
      <c r="J630" s="66">
        <v>-1588.73</v>
      </c>
      <c r="K630" s="72">
        <f t="shared" ref="K630:K693" si="57">+K629</f>
        <v>42675</v>
      </c>
      <c r="L630" s="67">
        <f t="shared" si="54"/>
        <v>6</v>
      </c>
      <c r="M630" s="68">
        <v>2.23333E-3</v>
      </c>
      <c r="N630" s="69">
        <f t="shared" si="50"/>
        <v>-21.288950225399997</v>
      </c>
      <c r="O630" s="66"/>
      <c r="P630" s="71">
        <f t="shared" si="55"/>
        <v>0</v>
      </c>
      <c r="Q630" s="132"/>
      <c r="R630" s="71">
        <f t="shared" si="56"/>
        <v>-24.309885897916665</v>
      </c>
      <c r="S630" s="64"/>
    </row>
    <row r="631" spans="1:19">
      <c r="A631" s="64" t="s">
        <v>990</v>
      </c>
      <c r="B631" s="65" t="s">
        <v>991</v>
      </c>
      <c r="C631" s="65" t="s">
        <v>992</v>
      </c>
      <c r="D631" s="64" t="s">
        <v>993</v>
      </c>
      <c r="E631" s="65" t="s">
        <v>994</v>
      </c>
      <c r="F631" s="64" t="s">
        <v>995</v>
      </c>
      <c r="G631" s="65" t="s">
        <v>20</v>
      </c>
      <c r="H631" s="65" t="s">
        <v>933</v>
      </c>
      <c r="I631" s="65">
        <v>201501</v>
      </c>
      <c r="J631" s="66">
        <v>2733.2</v>
      </c>
      <c r="K631" s="72">
        <f t="shared" si="57"/>
        <v>42675</v>
      </c>
      <c r="L631" s="67">
        <f t="shared" si="54"/>
        <v>6</v>
      </c>
      <c r="M631" s="68">
        <v>2.0333333000000001E-3</v>
      </c>
      <c r="N631" s="69">
        <f t="shared" si="50"/>
        <v>33.345039453359995</v>
      </c>
      <c r="O631" s="66"/>
      <c r="P631" s="71">
        <f t="shared" si="55"/>
        <v>0</v>
      </c>
      <c r="Q631" s="132"/>
      <c r="R631" s="71">
        <f t="shared" si="56"/>
        <v>41.821945916666664</v>
      </c>
      <c r="S631" s="64"/>
    </row>
    <row r="632" spans="1:19">
      <c r="A632" s="64" t="s">
        <v>29</v>
      </c>
      <c r="B632" s="65" t="s">
        <v>1024</v>
      </c>
      <c r="C632" s="65" t="s">
        <v>1025</v>
      </c>
      <c r="D632" s="64" t="s">
        <v>1026</v>
      </c>
      <c r="E632" s="65" t="s">
        <v>1027</v>
      </c>
      <c r="F632" s="64" t="s">
        <v>1028</v>
      </c>
      <c r="G632" s="65" t="s">
        <v>20</v>
      </c>
      <c r="H632" s="65" t="s">
        <v>933</v>
      </c>
      <c r="I632" s="65">
        <v>201501</v>
      </c>
      <c r="J632" s="66">
        <v>-0.37</v>
      </c>
      <c r="K632" s="72">
        <f t="shared" si="57"/>
        <v>42675</v>
      </c>
      <c r="L632" s="67">
        <f t="shared" si="54"/>
        <v>6</v>
      </c>
      <c r="M632" s="68">
        <v>2.23333E-3</v>
      </c>
      <c r="N632" s="69">
        <f t="shared" si="50"/>
        <v>-4.9579925999999998E-3</v>
      </c>
      <c r="O632" s="66"/>
      <c r="P632" s="71">
        <f t="shared" si="55"/>
        <v>0</v>
      </c>
      <c r="Q632" s="132"/>
      <c r="R632" s="71">
        <f t="shared" si="56"/>
        <v>-5.6615395833333323E-3</v>
      </c>
      <c r="S632" s="64"/>
    </row>
    <row r="633" spans="1:19">
      <c r="A633" s="64" t="s">
        <v>29</v>
      </c>
      <c r="B633" s="65" t="s">
        <v>103</v>
      </c>
      <c r="C633" s="65" t="s">
        <v>104</v>
      </c>
      <c r="D633" s="64" t="s">
        <v>105</v>
      </c>
      <c r="E633" s="65" t="s">
        <v>106</v>
      </c>
      <c r="F633" s="64" t="s">
        <v>34</v>
      </c>
      <c r="G633" s="65" t="s">
        <v>20</v>
      </c>
      <c r="H633" s="65" t="s">
        <v>933</v>
      </c>
      <c r="I633" s="65">
        <v>201501</v>
      </c>
      <c r="J633" s="66">
        <v>5773.19</v>
      </c>
      <c r="K633" s="72">
        <f t="shared" si="57"/>
        <v>42675</v>
      </c>
      <c r="L633" s="67">
        <f t="shared" si="54"/>
        <v>6</v>
      </c>
      <c r="M633" s="68">
        <v>2.23333E-3</v>
      </c>
      <c r="N633" s="69">
        <f t="shared" si="50"/>
        <v>77.360630536199992</v>
      </c>
      <c r="O633" s="66"/>
      <c r="P633" s="71">
        <f t="shared" si="55"/>
        <v>0</v>
      </c>
      <c r="Q633" s="132"/>
      <c r="R633" s="71">
        <f t="shared" si="56"/>
        <v>88.338226235416641</v>
      </c>
      <c r="S633" s="64"/>
    </row>
    <row r="634" spans="1:19">
      <c r="A634" s="64" t="s">
        <v>990</v>
      </c>
      <c r="B634" s="65" t="s">
        <v>996</v>
      </c>
      <c r="C634" s="65" t="s">
        <v>997</v>
      </c>
      <c r="D634" s="64" t="s">
        <v>998</v>
      </c>
      <c r="E634" s="65" t="s">
        <v>999</v>
      </c>
      <c r="F634" s="64" t="s">
        <v>995</v>
      </c>
      <c r="G634" s="65" t="s">
        <v>20</v>
      </c>
      <c r="H634" s="65" t="s">
        <v>933</v>
      </c>
      <c r="I634" s="65">
        <v>201501</v>
      </c>
      <c r="J634" s="66">
        <v>-9.6</v>
      </c>
      <c r="K634" s="72">
        <f t="shared" si="57"/>
        <v>42675</v>
      </c>
      <c r="L634" s="67">
        <f t="shared" si="54"/>
        <v>6</v>
      </c>
      <c r="M634" s="68">
        <v>2.0333333000000001E-3</v>
      </c>
      <c r="N634" s="69">
        <f t="shared" si="50"/>
        <v>-0.11711999808</v>
      </c>
      <c r="O634" s="66"/>
      <c r="P634" s="71">
        <f t="shared" si="55"/>
        <v>0</v>
      </c>
      <c r="Q634" s="132"/>
      <c r="R634" s="71">
        <f t="shared" si="56"/>
        <v>-0.14689399999999997</v>
      </c>
      <c r="S634" s="64"/>
    </row>
    <row r="635" spans="1:19">
      <c r="A635" s="64" t="s">
        <v>990</v>
      </c>
      <c r="B635" s="65" t="s">
        <v>1000</v>
      </c>
      <c r="C635" s="65" t="s">
        <v>1001</v>
      </c>
      <c r="D635" s="64" t="s">
        <v>998</v>
      </c>
      <c r="E635" s="65" t="s">
        <v>1002</v>
      </c>
      <c r="F635" s="64" t="s">
        <v>995</v>
      </c>
      <c r="G635" s="65" t="s">
        <v>20</v>
      </c>
      <c r="H635" s="65" t="s">
        <v>933</v>
      </c>
      <c r="I635" s="65">
        <v>201501</v>
      </c>
      <c r="J635" s="66">
        <v>16802.72</v>
      </c>
      <c r="K635" s="72">
        <f t="shared" si="57"/>
        <v>42675</v>
      </c>
      <c r="L635" s="67">
        <f t="shared" si="54"/>
        <v>6</v>
      </c>
      <c r="M635" s="68">
        <v>2.0333333000000001E-3</v>
      </c>
      <c r="N635" s="69">
        <f t="shared" si="50"/>
        <v>204.993180639456</v>
      </c>
      <c r="O635" s="66"/>
      <c r="P635" s="71">
        <f t="shared" si="55"/>
        <v>0</v>
      </c>
      <c r="Q635" s="132"/>
      <c r="R635" s="71">
        <f t="shared" si="56"/>
        <v>257.10611996666665</v>
      </c>
      <c r="S635" s="64"/>
    </row>
    <row r="636" spans="1:19">
      <c r="A636" s="64" t="s">
        <v>29</v>
      </c>
      <c r="B636" s="65" t="s">
        <v>107</v>
      </c>
      <c r="C636" s="65" t="s">
        <v>108</v>
      </c>
      <c r="D636" s="64" t="s">
        <v>109</v>
      </c>
      <c r="E636" s="65" t="s">
        <v>110</v>
      </c>
      <c r="F636" s="64" t="s">
        <v>52</v>
      </c>
      <c r="G636" s="65" t="s">
        <v>20</v>
      </c>
      <c r="H636" s="65" t="s">
        <v>933</v>
      </c>
      <c r="I636" s="65">
        <v>201501</v>
      </c>
      <c r="J636" s="66">
        <v>12021.72</v>
      </c>
      <c r="K636" s="72">
        <f t="shared" si="57"/>
        <v>42675</v>
      </c>
      <c r="L636" s="67">
        <f t="shared" si="54"/>
        <v>6</v>
      </c>
      <c r="M636" s="68">
        <v>2.23333E-3</v>
      </c>
      <c r="N636" s="69">
        <f t="shared" si="50"/>
        <v>161.09080756559999</v>
      </c>
      <c r="O636" s="66"/>
      <c r="P636" s="71">
        <f t="shared" si="55"/>
        <v>0</v>
      </c>
      <c r="Q636" s="132"/>
      <c r="R636" s="71">
        <f t="shared" si="56"/>
        <v>183.94984767499997</v>
      </c>
      <c r="S636" s="64"/>
    </row>
    <row r="637" spans="1:19">
      <c r="A637" s="64" t="s">
        <v>29</v>
      </c>
      <c r="B637" s="65" t="s">
        <v>555</v>
      </c>
      <c r="C637" s="65" t="s">
        <v>556</v>
      </c>
      <c r="D637" s="64" t="s">
        <v>45</v>
      </c>
      <c r="E637" s="65" t="s">
        <v>557</v>
      </c>
      <c r="F637" s="64" t="s">
        <v>41</v>
      </c>
      <c r="G637" s="65" t="s">
        <v>20</v>
      </c>
      <c r="H637" s="65" t="s">
        <v>933</v>
      </c>
      <c r="I637" s="65">
        <v>201501</v>
      </c>
      <c r="J637" s="66">
        <v>33.119999999999997</v>
      </c>
      <c r="K637" s="72">
        <f t="shared" si="57"/>
        <v>42675</v>
      </c>
      <c r="L637" s="67">
        <f t="shared" si="54"/>
        <v>6</v>
      </c>
      <c r="M637" s="68">
        <v>2.23333E-3</v>
      </c>
      <c r="N637" s="69">
        <f t="shared" si="50"/>
        <v>0.44380733759999991</v>
      </c>
      <c r="O637" s="66"/>
      <c r="P637" s="71">
        <f t="shared" si="55"/>
        <v>0</v>
      </c>
      <c r="Q637" s="132"/>
      <c r="R637" s="71">
        <f t="shared" si="56"/>
        <v>0.50678429999999985</v>
      </c>
      <c r="S637" s="64"/>
    </row>
    <row r="638" spans="1:19">
      <c r="A638" s="64" t="s">
        <v>990</v>
      </c>
      <c r="B638" s="65" t="s">
        <v>1003</v>
      </c>
      <c r="C638" s="65" t="s">
        <v>1004</v>
      </c>
      <c r="D638" s="64" t="s">
        <v>1005</v>
      </c>
      <c r="E638" s="65" t="s">
        <v>1006</v>
      </c>
      <c r="F638" s="64" t="s">
        <v>995</v>
      </c>
      <c r="G638" s="65" t="s">
        <v>20</v>
      </c>
      <c r="H638" s="65" t="s">
        <v>933</v>
      </c>
      <c r="I638" s="65">
        <v>201501</v>
      </c>
      <c r="J638" s="66">
        <v>-1490</v>
      </c>
      <c r="K638" s="72">
        <f t="shared" si="57"/>
        <v>42675</v>
      </c>
      <c r="L638" s="67">
        <f t="shared" si="54"/>
        <v>6</v>
      </c>
      <c r="M638" s="68">
        <v>2.0333333000000001E-3</v>
      </c>
      <c r="N638" s="69">
        <f t="shared" si="50"/>
        <v>-18.177999702000001</v>
      </c>
      <c r="O638" s="66"/>
      <c r="P638" s="71">
        <f t="shared" si="55"/>
        <v>0</v>
      </c>
      <c r="Q638" s="132"/>
      <c r="R638" s="71">
        <f t="shared" si="56"/>
        <v>-22.799172916666663</v>
      </c>
      <c r="S638" s="64"/>
    </row>
    <row r="639" spans="1:19">
      <c r="A639" s="64" t="s">
        <v>29</v>
      </c>
      <c r="B639" s="65" t="s">
        <v>121</v>
      </c>
      <c r="C639" s="65" t="s">
        <v>122</v>
      </c>
      <c r="D639" s="64" t="s">
        <v>50</v>
      </c>
      <c r="E639" s="65" t="s">
        <v>123</v>
      </c>
      <c r="F639" s="64" t="s">
        <v>52</v>
      </c>
      <c r="G639" s="65" t="s">
        <v>20</v>
      </c>
      <c r="H639" s="65" t="s">
        <v>933</v>
      </c>
      <c r="I639" s="65">
        <v>201501</v>
      </c>
      <c r="J639" s="66">
        <v>17.399999999999999</v>
      </c>
      <c r="K639" s="72">
        <f t="shared" si="57"/>
        <v>42675</v>
      </c>
      <c r="L639" s="67">
        <f t="shared" si="54"/>
        <v>6</v>
      </c>
      <c r="M639" s="68">
        <v>2.23333E-3</v>
      </c>
      <c r="N639" s="69">
        <f t="shared" si="50"/>
        <v>0.23315965199999997</v>
      </c>
      <c r="O639" s="66"/>
      <c r="P639" s="71">
        <f t="shared" si="55"/>
        <v>0</v>
      </c>
      <c r="Q639" s="132"/>
      <c r="R639" s="71">
        <f t="shared" si="56"/>
        <v>0.26624537499999995</v>
      </c>
      <c r="S639" s="64"/>
    </row>
    <row r="640" spans="1:19">
      <c r="A640" s="64" t="s">
        <v>29</v>
      </c>
      <c r="B640" s="65" t="s">
        <v>124</v>
      </c>
      <c r="C640" s="65" t="s">
        <v>125</v>
      </c>
      <c r="D640" s="64" t="s">
        <v>50</v>
      </c>
      <c r="E640" s="65" t="s">
        <v>126</v>
      </c>
      <c r="F640" s="64" t="s">
        <v>52</v>
      </c>
      <c r="G640" s="65" t="s">
        <v>20</v>
      </c>
      <c r="H640" s="65" t="s">
        <v>933</v>
      </c>
      <c r="I640" s="65">
        <v>201501</v>
      </c>
      <c r="J640" s="66">
        <v>519.49</v>
      </c>
      <c r="K640" s="72">
        <f t="shared" si="57"/>
        <v>42675</v>
      </c>
      <c r="L640" s="67">
        <f t="shared" si="54"/>
        <v>6</v>
      </c>
      <c r="M640" s="68">
        <v>2.23333E-3</v>
      </c>
      <c r="N640" s="69">
        <f t="shared" si="50"/>
        <v>6.9611556101999996</v>
      </c>
      <c r="O640" s="66"/>
      <c r="P640" s="71">
        <f t="shared" si="55"/>
        <v>0</v>
      </c>
      <c r="Q640" s="132"/>
      <c r="R640" s="71">
        <f t="shared" si="56"/>
        <v>7.9489545895833329</v>
      </c>
      <c r="S640" s="64"/>
    </row>
    <row r="641" spans="1:19">
      <c r="A641" s="64" t="s">
        <v>29</v>
      </c>
      <c r="B641" s="65" t="s">
        <v>183</v>
      </c>
      <c r="C641" s="65" t="s">
        <v>184</v>
      </c>
      <c r="D641" s="64" t="s">
        <v>45</v>
      </c>
      <c r="E641" s="65" t="s">
        <v>185</v>
      </c>
      <c r="F641" s="64" t="s">
        <v>41</v>
      </c>
      <c r="G641" s="65" t="s">
        <v>20</v>
      </c>
      <c r="H641" s="65" t="s">
        <v>933</v>
      </c>
      <c r="I641" s="65">
        <v>201501</v>
      </c>
      <c r="J641" s="66">
        <v>-66.13</v>
      </c>
      <c r="K641" s="72">
        <f t="shared" si="57"/>
        <v>42675</v>
      </c>
      <c r="L641" s="67">
        <f t="shared" si="54"/>
        <v>6</v>
      </c>
      <c r="M641" s="68">
        <v>2.23333E-3</v>
      </c>
      <c r="N641" s="69">
        <f t="shared" si="50"/>
        <v>-0.88614067739999991</v>
      </c>
      <c r="O641" s="66"/>
      <c r="P641" s="71">
        <f t="shared" si="55"/>
        <v>0</v>
      </c>
      <c r="Q641" s="132"/>
      <c r="R641" s="71">
        <f t="shared" si="56"/>
        <v>-1.011885439583333</v>
      </c>
      <c r="S641" s="64"/>
    </row>
    <row r="642" spans="1:19">
      <c r="A642" s="64" t="s">
        <v>29</v>
      </c>
      <c r="B642" s="65" t="s">
        <v>186</v>
      </c>
      <c r="C642" s="65" t="s">
        <v>187</v>
      </c>
      <c r="D642" s="64" t="s">
        <v>188</v>
      </c>
      <c r="E642" s="65" t="s">
        <v>189</v>
      </c>
      <c r="F642" s="64" t="s">
        <v>190</v>
      </c>
      <c r="G642" s="65" t="s">
        <v>20</v>
      </c>
      <c r="H642" s="65" t="s">
        <v>933</v>
      </c>
      <c r="I642" s="65">
        <v>201501</v>
      </c>
      <c r="J642" s="66">
        <v>9578.3799999999992</v>
      </c>
      <c r="K642" s="72">
        <f t="shared" si="57"/>
        <v>42675</v>
      </c>
      <c r="L642" s="67">
        <f t="shared" si="54"/>
        <v>6</v>
      </c>
      <c r="M642" s="68">
        <v>2.23333E-3</v>
      </c>
      <c r="N642" s="69">
        <f t="shared" si="50"/>
        <v>128.35010043239998</v>
      </c>
      <c r="O642" s="66"/>
      <c r="P642" s="71">
        <f t="shared" si="55"/>
        <v>0</v>
      </c>
      <c r="Q642" s="132"/>
      <c r="R642" s="71">
        <f t="shared" si="56"/>
        <v>146.56318247083331</v>
      </c>
      <c r="S642" s="64"/>
    </row>
    <row r="643" spans="1:19">
      <c r="A643" s="64" t="s">
        <v>29</v>
      </c>
      <c r="B643" s="65" t="s">
        <v>191</v>
      </c>
      <c r="C643" s="65" t="s">
        <v>192</v>
      </c>
      <c r="D643" s="64" t="s">
        <v>193</v>
      </c>
      <c r="E643" s="65" t="s">
        <v>194</v>
      </c>
      <c r="F643" s="64" t="s">
        <v>115</v>
      </c>
      <c r="G643" s="65" t="s">
        <v>20</v>
      </c>
      <c r="H643" s="65" t="s">
        <v>933</v>
      </c>
      <c r="I643" s="65">
        <v>201501</v>
      </c>
      <c r="J643" s="66">
        <v>-219.89</v>
      </c>
      <c r="K643" s="72">
        <f t="shared" si="57"/>
        <v>42675</v>
      </c>
      <c r="L643" s="67">
        <f t="shared" si="54"/>
        <v>6</v>
      </c>
      <c r="M643" s="68">
        <v>2.23333E-3</v>
      </c>
      <c r="N643" s="69">
        <f t="shared" si="50"/>
        <v>-2.9465216021999994</v>
      </c>
      <c r="O643" s="66"/>
      <c r="P643" s="71">
        <f t="shared" si="55"/>
        <v>0</v>
      </c>
      <c r="Q643" s="132"/>
      <c r="R643" s="71">
        <f t="shared" si="56"/>
        <v>-3.364637672916666</v>
      </c>
      <c r="S643" s="64"/>
    </row>
    <row r="644" spans="1:19">
      <c r="A644" s="64" t="s">
        <v>29</v>
      </c>
      <c r="B644" s="65" t="s">
        <v>195</v>
      </c>
      <c r="C644" s="65" t="s">
        <v>196</v>
      </c>
      <c r="D644" s="64" t="s">
        <v>197</v>
      </c>
      <c r="E644" s="65" t="s">
        <v>198</v>
      </c>
      <c r="F644" s="64" t="s">
        <v>199</v>
      </c>
      <c r="G644" s="65" t="s">
        <v>20</v>
      </c>
      <c r="H644" s="65" t="s">
        <v>933</v>
      </c>
      <c r="I644" s="65">
        <v>201501</v>
      </c>
      <c r="J644" s="66">
        <v>193116.77</v>
      </c>
      <c r="K644" s="72">
        <f t="shared" si="57"/>
        <v>42675</v>
      </c>
      <c r="L644" s="67">
        <f t="shared" si="54"/>
        <v>6</v>
      </c>
      <c r="M644" s="68">
        <v>2.23333E-3</v>
      </c>
      <c r="N644" s="69">
        <f t="shared" si="50"/>
        <v>2587.7608556645996</v>
      </c>
      <c r="O644" s="66"/>
      <c r="P644" s="71">
        <f t="shared" si="55"/>
        <v>0</v>
      </c>
      <c r="Q644" s="132"/>
      <c r="R644" s="71">
        <f t="shared" si="56"/>
        <v>2954.9682096229162</v>
      </c>
      <c r="S644" s="64"/>
    </row>
    <row r="645" spans="1:19">
      <c r="A645" s="64" t="s">
        <v>29</v>
      </c>
      <c r="B645" s="65" t="s">
        <v>200</v>
      </c>
      <c r="C645" s="65" t="s">
        <v>201</v>
      </c>
      <c r="D645" s="64" t="s">
        <v>197</v>
      </c>
      <c r="E645" s="65" t="s">
        <v>202</v>
      </c>
      <c r="F645" s="64" t="s">
        <v>199</v>
      </c>
      <c r="G645" s="65" t="s">
        <v>20</v>
      </c>
      <c r="H645" s="65" t="s">
        <v>933</v>
      </c>
      <c r="I645" s="65">
        <v>201501</v>
      </c>
      <c r="J645" s="66">
        <v>11491.29</v>
      </c>
      <c r="K645" s="72">
        <f t="shared" si="57"/>
        <v>42675</v>
      </c>
      <c r="L645" s="67">
        <f t="shared" si="54"/>
        <v>6</v>
      </c>
      <c r="M645" s="68">
        <v>2.23333E-3</v>
      </c>
      <c r="N645" s="69">
        <f t="shared" si="50"/>
        <v>153.98305617419999</v>
      </c>
      <c r="O645" s="66"/>
      <c r="P645" s="71">
        <f t="shared" si="55"/>
        <v>0</v>
      </c>
      <c r="Q645" s="132"/>
      <c r="R645" s="71">
        <f t="shared" si="56"/>
        <v>175.83349513124998</v>
      </c>
      <c r="S645" s="64"/>
    </row>
    <row r="646" spans="1:19">
      <c r="A646" s="64" t="s">
        <v>29</v>
      </c>
      <c r="B646" s="65" t="s">
        <v>481</v>
      </c>
      <c r="C646" s="65" t="s">
        <v>482</v>
      </c>
      <c r="D646" s="64" t="s">
        <v>483</v>
      </c>
      <c r="E646" s="65" t="s">
        <v>484</v>
      </c>
      <c r="F646" s="64" t="s">
        <v>190</v>
      </c>
      <c r="G646" s="65" t="s">
        <v>20</v>
      </c>
      <c r="H646" s="65" t="s">
        <v>933</v>
      </c>
      <c r="I646" s="65">
        <v>201501</v>
      </c>
      <c r="J646" s="66">
        <v>-23.83</v>
      </c>
      <c r="K646" s="72">
        <f t="shared" si="57"/>
        <v>42675</v>
      </c>
      <c r="L646" s="67">
        <f t="shared" si="54"/>
        <v>6</v>
      </c>
      <c r="M646" s="68">
        <v>2.23333E-3</v>
      </c>
      <c r="N646" s="69">
        <f t="shared" si="50"/>
        <v>-0.31932152339999997</v>
      </c>
      <c r="O646" s="66"/>
      <c r="P646" s="71">
        <f t="shared" si="55"/>
        <v>0</v>
      </c>
      <c r="Q646" s="132"/>
      <c r="R646" s="71">
        <f t="shared" si="56"/>
        <v>-0.36463375208333326</v>
      </c>
      <c r="S646" s="64"/>
    </row>
    <row r="647" spans="1:19">
      <c r="A647" s="64" t="s">
        <v>990</v>
      </c>
      <c r="B647" s="65" t="s">
        <v>1010</v>
      </c>
      <c r="C647" s="65" t="s">
        <v>1011</v>
      </c>
      <c r="D647" s="64" t="s">
        <v>1012</v>
      </c>
      <c r="E647" s="65" t="s">
        <v>1013</v>
      </c>
      <c r="F647" s="64" t="s">
        <v>995</v>
      </c>
      <c r="G647" s="65" t="s">
        <v>20</v>
      </c>
      <c r="H647" s="65" t="s">
        <v>933</v>
      </c>
      <c r="I647" s="65">
        <v>201501</v>
      </c>
      <c r="J647" s="66">
        <v>9477.2199999999993</v>
      </c>
      <c r="K647" s="72">
        <f t="shared" si="57"/>
        <v>42675</v>
      </c>
      <c r="L647" s="67">
        <f t="shared" si="54"/>
        <v>6</v>
      </c>
      <c r="M647" s="68">
        <v>2.0333333000000001E-3</v>
      </c>
      <c r="N647" s="69">
        <f t="shared" si="50"/>
        <v>115.62208210455599</v>
      </c>
      <c r="O647" s="66"/>
      <c r="P647" s="71">
        <f t="shared" si="55"/>
        <v>0</v>
      </c>
      <c r="Q647" s="132"/>
      <c r="R647" s="71">
        <f t="shared" si="56"/>
        <v>145.01528694583331</v>
      </c>
      <c r="S647" s="64"/>
    </row>
    <row r="648" spans="1:19">
      <c r="A648" s="64" t="s">
        <v>29</v>
      </c>
      <c r="B648" s="65" t="s">
        <v>236</v>
      </c>
      <c r="C648" s="65" t="s">
        <v>237</v>
      </c>
      <c r="D648" s="64" t="s">
        <v>188</v>
      </c>
      <c r="E648" s="65" t="s">
        <v>238</v>
      </c>
      <c r="F648" s="64" t="s">
        <v>190</v>
      </c>
      <c r="G648" s="65" t="s">
        <v>20</v>
      </c>
      <c r="H648" s="65" t="s">
        <v>933</v>
      </c>
      <c r="I648" s="65">
        <v>201501</v>
      </c>
      <c r="J648" s="66">
        <v>44122.37</v>
      </c>
      <c r="K648" s="72">
        <f t="shared" si="57"/>
        <v>42675</v>
      </c>
      <c r="L648" s="67">
        <f t="shared" si="54"/>
        <v>6</v>
      </c>
      <c r="M648" s="68">
        <v>2.23333E-3</v>
      </c>
      <c r="N648" s="69">
        <f t="shared" si="50"/>
        <v>591.23887555260001</v>
      </c>
      <c r="O648" s="66"/>
      <c r="P648" s="71">
        <f t="shared" si="55"/>
        <v>0</v>
      </c>
      <c r="Q648" s="132"/>
      <c r="R648" s="71">
        <f t="shared" si="56"/>
        <v>675.13660612291665</v>
      </c>
      <c r="S648" s="64"/>
    </row>
    <row r="649" spans="1:19">
      <c r="A649" s="64" t="s">
        <v>29</v>
      </c>
      <c r="B649" s="65" t="s">
        <v>239</v>
      </c>
      <c r="C649" s="65" t="s">
        <v>240</v>
      </c>
      <c r="D649" s="64" t="s">
        <v>197</v>
      </c>
      <c r="E649" s="65" t="s">
        <v>241</v>
      </c>
      <c r="F649" s="64" t="s">
        <v>199</v>
      </c>
      <c r="G649" s="65" t="s">
        <v>20</v>
      </c>
      <c r="H649" s="65" t="s">
        <v>933</v>
      </c>
      <c r="I649" s="65">
        <v>201501</v>
      </c>
      <c r="J649" s="66">
        <v>10676.26</v>
      </c>
      <c r="K649" s="72">
        <f t="shared" si="57"/>
        <v>42675</v>
      </c>
      <c r="L649" s="67">
        <f t="shared" si="54"/>
        <v>6</v>
      </c>
      <c r="M649" s="68">
        <v>2.23333E-3</v>
      </c>
      <c r="N649" s="69">
        <f t="shared" si="50"/>
        <v>143.0616704748</v>
      </c>
      <c r="O649" s="66"/>
      <c r="P649" s="71">
        <f t="shared" si="55"/>
        <v>0</v>
      </c>
      <c r="Q649" s="132"/>
      <c r="R649" s="71">
        <f t="shared" si="56"/>
        <v>163.3623475458333</v>
      </c>
      <c r="S649" s="64"/>
    </row>
    <row r="650" spans="1:19">
      <c r="A650" s="64" t="s">
        <v>29</v>
      </c>
      <c r="B650" s="65" t="s">
        <v>267</v>
      </c>
      <c r="C650" s="65" t="s">
        <v>268</v>
      </c>
      <c r="D650" s="64" t="s">
        <v>269</v>
      </c>
      <c r="E650" s="65" t="s">
        <v>270</v>
      </c>
      <c r="F650" s="64" t="s">
        <v>115</v>
      </c>
      <c r="G650" s="65" t="s">
        <v>20</v>
      </c>
      <c r="H650" s="65" t="s">
        <v>933</v>
      </c>
      <c r="I650" s="65">
        <v>201501</v>
      </c>
      <c r="J650" s="66">
        <v>-6763.69</v>
      </c>
      <c r="K650" s="72">
        <f t="shared" si="57"/>
        <v>42675</v>
      </c>
      <c r="L650" s="67">
        <f t="shared" si="54"/>
        <v>6</v>
      </c>
      <c r="M650" s="68">
        <v>2.23333E-3</v>
      </c>
      <c r="N650" s="69">
        <f t="shared" si="50"/>
        <v>-90.63331072619998</v>
      </c>
      <c r="O650" s="66"/>
      <c r="P650" s="71">
        <f t="shared" si="55"/>
        <v>0</v>
      </c>
      <c r="Q650" s="132"/>
      <c r="R650" s="71">
        <f t="shared" si="56"/>
        <v>-103.49432071458332</v>
      </c>
      <c r="S650" s="64"/>
    </row>
    <row r="651" spans="1:19">
      <c r="A651" s="64" t="s">
        <v>29</v>
      </c>
      <c r="B651" s="65" t="s">
        <v>271</v>
      </c>
      <c r="C651" s="65" t="s">
        <v>272</v>
      </c>
      <c r="D651" s="64" t="s">
        <v>197</v>
      </c>
      <c r="E651" s="65" t="s">
        <v>273</v>
      </c>
      <c r="F651" s="64" t="s">
        <v>199</v>
      </c>
      <c r="G651" s="65" t="s">
        <v>20</v>
      </c>
      <c r="H651" s="65" t="s">
        <v>933</v>
      </c>
      <c r="I651" s="65">
        <v>201501</v>
      </c>
      <c r="J651" s="66">
        <v>12791.08</v>
      </c>
      <c r="K651" s="72">
        <f t="shared" si="57"/>
        <v>42675</v>
      </c>
      <c r="L651" s="67">
        <f t="shared" si="54"/>
        <v>6</v>
      </c>
      <c r="M651" s="68">
        <v>2.23333E-3</v>
      </c>
      <c r="N651" s="69">
        <f t="shared" si="50"/>
        <v>171.40021617839997</v>
      </c>
      <c r="O651" s="66"/>
      <c r="P651" s="71">
        <f t="shared" si="55"/>
        <v>0</v>
      </c>
      <c r="Q651" s="132"/>
      <c r="R651" s="71">
        <f t="shared" si="56"/>
        <v>195.72217765833332</v>
      </c>
      <c r="S651" s="64"/>
    </row>
    <row r="652" spans="1:19">
      <c r="A652" s="64" t="s">
        <v>990</v>
      </c>
      <c r="B652" s="65" t="s">
        <v>1017</v>
      </c>
      <c r="C652" s="65" t="s">
        <v>1018</v>
      </c>
      <c r="D652" s="64" t="s">
        <v>993</v>
      </c>
      <c r="E652" s="65" t="s">
        <v>1019</v>
      </c>
      <c r="F652" s="64" t="s">
        <v>995</v>
      </c>
      <c r="G652" s="65" t="s">
        <v>20</v>
      </c>
      <c r="H652" s="65" t="s">
        <v>933</v>
      </c>
      <c r="I652" s="65">
        <v>201501</v>
      </c>
      <c r="J652" s="66">
        <v>77.61</v>
      </c>
      <c r="K652" s="72">
        <f t="shared" si="57"/>
        <v>42675</v>
      </c>
      <c r="L652" s="67">
        <f t="shared" si="54"/>
        <v>6</v>
      </c>
      <c r="M652" s="68">
        <v>2.0333333000000001E-3</v>
      </c>
      <c r="N652" s="69">
        <f t="shared" si="50"/>
        <v>0.94684198447799994</v>
      </c>
      <c r="O652" s="66"/>
      <c r="P652" s="71">
        <f t="shared" si="55"/>
        <v>0</v>
      </c>
      <c r="Q652" s="132"/>
      <c r="R652" s="71">
        <f t="shared" si="56"/>
        <v>1.1875461812499999</v>
      </c>
      <c r="S652" s="64"/>
    </row>
    <row r="653" spans="1:19">
      <c r="A653" s="64" t="s">
        <v>29</v>
      </c>
      <c r="B653" s="65" t="s">
        <v>836</v>
      </c>
      <c r="C653" s="65" t="s">
        <v>837</v>
      </c>
      <c r="D653" s="64" t="s">
        <v>327</v>
      </c>
      <c r="E653" s="65" t="s">
        <v>838</v>
      </c>
      <c r="F653" s="64" t="s">
        <v>58</v>
      </c>
      <c r="G653" s="65" t="s">
        <v>20</v>
      </c>
      <c r="H653" s="65" t="s">
        <v>933</v>
      </c>
      <c r="I653" s="65">
        <v>201501</v>
      </c>
      <c r="J653" s="66">
        <v>2.98</v>
      </c>
      <c r="K653" s="72">
        <f t="shared" si="57"/>
        <v>42675</v>
      </c>
      <c r="L653" s="67">
        <f t="shared" si="54"/>
        <v>6</v>
      </c>
      <c r="M653" s="68">
        <v>2.23333E-3</v>
      </c>
      <c r="N653" s="69">
        <f t="shared" si="50"/>
        <v>3.9931940399999998E-2</v>
      </c>
      <c r="O653" s="66"/>
      <c r="P653" s="71">
        <f t="shared" si="55"/>
        <v>0</v>
      </c>
      <c r="Q653" s="132"/>
      <c r="R653" s="71">
        <f t="shared" si="56"/>
        <v>4.5598345833333324E-2</v>
      </c>
      <c r="S653" s="64"/>
    </row>
    <row r="654" spans="1:19">
      <c r="A654" s="64" t="s">
        <v>29</v>
      </c>
      <c r="B654" s="65" t="s">
        <v>292</v>
      </c>
      <c r="C654" s="65" t="s">
        <v>293</v>
      </c>
      <c r="D654" s="64" t="s">
        <v>197</v>
      </c>
      <c r="E654" s="65" t="s">
        <v>294</v>
      </c>
      <c r="F654" s="64" t="s">
        <v>199</v>
      </c>
      <c r="G654" s="65" t="s">
        <v>20</v>
      </c>
      <c r="H654" s="65" t="s">
        <v>933</v>
      </c>
      <c r="I654" s="65">
        <v>201501</v>
      </c>
      <c r="J654" s="66">
        <v>2657.85</v>
      </c>
      <c r="K654" s="72">
        <f t="shared" si="57"/>
        <v>42675</v>
      </c>
      <c r="L654" s="67">
        <f t="shared" si="54"/>
        <v>6</v>
      </c>
      <c r="M654" s="68">
        <v>2.23333E-3</v>
      </c>
      <c r="N654" s="69">
        <f t="shared" si="50"/>
        <v>35.615136842999995</v>
      </c>
      <c r="O654" s="66"/>
      <c r="P654" s="71">
        <f t="shared" si="55"/>
        <v>0</v>
      </c>
      <c r="Q654" s="132"/>
      <c r="R654" s="71">
        <f t="shared" si="56"/>
        <v>40.668981031249999</v>
      </c>
      <c r="S654" s="64"/>
    </row>
    <row r="655" spans="1:19">
      <c r="A655" s="64" t="s">
        <v>29</v>
      </c>
      <c r="B655" s="65" t="s">
        <v>318</v>
      </c>
      <c r="C655" s="65" t="s">
        <v>319</v>
      </c>
      <c r="D655" s="64" t="s">
        <v>105</v>
      </c>
      <c r="E655" s="65" t="s">
        <v>320</v>
      </c>
      <c r="F655" s="64" t="s">
        <v>34</v>
      </c>
      <c r="G655" s="65" t="s">
        <v>20</v>
      </c>
      <c r="H655" s="65" t="s">
        <v>933</v>
      </c>
      <c r="I655" s="65">
        <v>201501</v>
      </c>
      <c r="J655" s="66">
        <v>13974.22</v>
      </c>
      <c r="K655" s="72">
        <f t="shared" si="57"/>
        <v>42675</v>
      </c>
      <c r="L655" s="67">
        <f t="shared" si="54"/>
        <v>6</v>
      </c>
      <c r="M655" s="68">
        <v>2.23333E-3</v>
      </c>
      <c r="N655" s="69">
        <f t="shared" si="50"/>
        <v>187.25426851559999</v>
      </c>
      <c r="O655" s="66"/>
      <c r="P655" s="71">
        <f t="shared" si="55"/>
        <v>0</v>
      </c>
      <c r="Q655" s="132"/>
      <c r="R655" s="71">
        <f t="shared" si="56"/>
        <v>213.82594507083328</v>
      </c>
      <c r="S655" s="64"/>
    </row>
    <row r="656" spans="1:19">
      <c r="A656" s="64" t="s">
        <v>29</v>
      </c>
      <c r="B656" s="65" t="s">
        <v>321</v>
      </c>
      <c r="C656" s="65" t="s">
        <v>322</v>
      </c>
      <c r="D656" s="64" t="s">
        <v>323</v>
      </c>
      <c r="E656" s="65" t="s">
        <v>324</v>
      </c>
      <c r="F656" s="64" t="s">
        <v>52</v>
      </c>
      <c r="G656" s="65" t="s">
        <v>20</v>
      </c>
      <c r="H656" s="65" t="s">
        <v>933</v>
      </c>
      <c r="I656" s="65">
        <v>201501</v>
      </c>
      <c r="J656" s="66">
        <v>-3499.89</v>
      </c>
      <c r="K656" s="72">
        <f t="shared" si="57"/>
        <v>42675</v>
      </c>
      <c r="L656" s="67">
        <f t="shared" si="54"/>
        <v>6</v>
      </c>
      <c r="M656" s="68">
        <v>2.23333E-3</v>
      </c>
      <c r="N656" s="69">
        <f t="shared" si="50"/>
        <v>-46.898456002199993</v>
      </c>
      <c r="O656" s="66"/>
      <c r="P656" s="71">
        <f t="shared" si="55"/>
        <v>0</v>
      </c>
      <c r="Q656" s="132"/>
      <c r="R656" s="71">
        <f t="shared" si="56"/>
        <v>-53.553421006249998</v>
      </c>
      <c r="S656" s="64"/>
    </row>
    <row r="657" spans="1:19">
      <c r="A657" s="64" t="s">
        <v>29</v>
      </c>
      <c r="B657" s="65" t="s">
        <v>419</v>
      </c>
      <c r="C657" s="65" t="s">
        <v>420</v>
      </c>
      <c r="D657" s="64" t="s">
        <v>50</v>
      </c>
      <c r="E657" s="65" t="s">
        <v>421</v>
      </c>
      <c r="F657" s="64" t="s">
        <v>52</v>
      </c>
      <c r="G657" s="65" t="s">
        <v>20</v>
      </c>
      <c r="H657" s="65" t="s">
        <v>933</v>
      </c>
      <c r="I657" s="65">
        <v>201501</v>
      </c>
      <c r="J657" s="66">
        <v>4715.0600000000004</v>
      </c>
      <c r="K657" s="72">
        <f t="shared" si="57"/>
        <v>42675</v>
      </c>
      <c r="L657" s="67">
        <f t="shared" si="54"/>
        <v>6</v>
      </c>
      <c r="M657" s="68">
        <v>2.23333E-3</v>
      </c>
      <c r="N657" s="69">
        <f t="shared" si="50"/>
        <v>63.181709698799999</v>
      </c>
      <c r="O657" s="66"/>
      <c r="P657" s="71">
        <f t="shared" si="55"/>
        <v>0</v>
      </c>
      <c r="Q657" s="132"/>
      <c r="R657" s="71">
        <f t="shared" si="56"/>
        <v>72.147294129166667</v>
      </c>
      <c r="S657" s="64"/>
    </row>
    <row r="658" spans="1:19">
      <c r="A658" s="64" t="s">
        <v>29</v>
      </c>
      <c r="B658" s="65" t="s">
        <v>839</v>
      </c>
      <c r="C658" s="65" t="s">
        <v>840</v>
      </c>
      <c r="D658" s="64" t="s">
        <v>50</v>
      </c>
      <c r="E658" s="65" t="s">
        <v>841</v>
      </c>
      <c r="F658" s="64" t="s">
        <v>52</v>
      </c>
      <c r="G658" s="65" t="s">
        <v>20</v>
      </c>
      <c r="H658" s="65" t="s">
        <v>933</v>
      </c>
      <c r="I658" s="65">
        <v>201501</v>
      </c>
      <c r="J658" s="66">
        <v>-0.14000000000000001</v>
      </c>
      <c r="K658" s="72">
        <f t="shared" si="57"/>
        <v>42675</v>
      </c>
      <c r="L658" s="67">
        <f t="shared" si="54"/>
        <v>6</v>
      </c>
      <c r="M658" s="68">
        <v>2.23333E-3</v>
      </c>
      <c r="N658" s="69">
        <f t="shared" si="50"/>
        <v>-1.8759972E-3</v>
      </c>
      <c r="O658" s="66"/>
      <c r="P658" s="71">
        <f t="shared" si="55"/>
        <v>0</v>
      </c>
      <c r="Q658" s="132"/>
      <c r="R658" s="71">
        <f t="shared" si="56"/>
        <v>-2.1422041666666666E-3</v>
      </c>
      <c r="S658" s="64"/>
    </row>
    <row r="659" spans="1:19">
      <c r="A659" s="64" t="s">
        <v>990</v>
      </c>
      <c r="B659" s="65" t="s">
        <v>1020</v>
      </c>
      <c r="C659" s="65" t="s">
        <v>1021</v>
      </c>
      <c r="D659" s="64" t="s">
        <v>998</v>
      </c>
      <c r="E659" s="65" t="s">
        <v>1022</v>
      </c>
      <c r="F659" s="64" t="s">
        <v>995</v>
      </c>
      <c r="G659" s="65" t="s">
        <v>20</v>
      </c>
      <c r="H659" s="65" t="s">
        <v>933</v>
      </c>
      <c r="I659" s="65">
        <v>201501</v>
      </c>
      <c r="J659" s="66">
        <v>1643.72</v>
      </c>
      <c r="K659" s="72">
        <f t="shared" si="57"/>
        <v>42675</v>
      </c>
      <c r="L659" s="67">
        <f t="shared" si="54"/>
        <v>6</v>
      </c>
      <c r="M659" s="68">
        <v>2.0333333000000001E-3</v>
      </c>
      <c r="N659" s="69">
        <f t="shared" si="50"/>
        <v>20.053383671256</v>
      </c>
      <c r="O659" s="66"/>
      <c r="P659" s="71">
        <f t="shared" si="55"/>
        <v>0</v>
      </c>
      <c r="Q659" s="132"/>
      <c r="R659" s="71">
        <f t="shared" si="56"/>
        <v>25.151313091666665</v>
      </c>
      <c r="S659" s="64"/>
    </row>
    <row r="660" spans="1:19">
      <c r="A660" s="64" t="s">
        <v>29</v>
      </c>
      <c r="B660" s="65" t="s">
        <v>325</v>
      </c>
      <c r="C660" s="65" t="s">
        <v>326</v>
      </c>
      <c r="D660" s="64" t="s">
        <v>327</v>
      </c>
      <c r="E660" s="65" t="s">
        <v>328</v>
      </c>
      <c r="F660" s="64" t="s">
        <v>58</v>
      </c>
      <c r="G660" s="65" t="s">
        <v>20</v>
      </c>
      <c r="H660" s="65" t="s">
        <v>933</v>
      </c>
      <c r="I660" s="65">
        <v>201501</v>
      </c>
      <c r="J660" s="66">
        <v>1328.5</v>
      </c>
      <c r="K660" s="72">
        <f t="shared" si="57"/>
        <v>42675</v>
      </c>
      <c r="L660" s="67">
        <f t="shared" si="54"/>
        <v>6</v>
      </c>
      <c r="M660" s="68">
        <v>2.23333E-3</v>
      </c>
      <c r="N660" s="69">
        <f t="shared" si="50"/>
        <v>17.801873429999997</v>
      </c>
      <c r="O660" s="66"/>
      <c r="P660" s="71">
        <f t="shared" si="55"/>
        <v>0</v>
      </c>
      <c r="Q660" s="132"/>
      <c r="R660" s="71">
        <f t="shared" si="56"/>
        <v>20.327987395833329</v>
      </c>
      <c r="S660" s="64"/>
    </row>
    <row r="661" spans="1:19">
      <c r="A661" s="64" t="s">
        <v>554</v>
      </c>
      <c r="B661" s="65" t="s">
        <v>116</v>
      </c>
      <c r="C661" s="65" t="s">
        <v>117</v>
      </c>
      <c r="D661" s="64" t="s">
        <v>118</v>
      </c>
      <c r="E661" s="65" t="s">
        <v>119</v>
      </c>
      <c r="F661" s="64" t="s">
        <v>120</v>
      </c>
      <c r="G661" s="65" t="s">
        <v>20</v>
      </c>
      <c r="H661" s="65" t="s">
        <v>936</v>
      </c>
      <c r="I661" s="65">
        <v>201501</v>
      </c>
      <c r="J661" s="66">
        <v>45692.63</v>
      </c>
      <c r="K661" s="72">
        <f t="shared" si="57"/>
        <v>42675</v>
      </c>
      <c r="L661" s="67">
        <f t="shared" si="54"/>
        <v>6</v>
      </c>
      <c r="M661" s="68">
        <v>1.4833299999999999E-3</v>
      </c>
      <c r="N661" s="69">
        <f t="shared" si="50"/>
        <v>406.6634931474</v>
      </c>
      <c r="O661" s="66"/>
      <c r="P661" s="71">
        <f t="shared" si="55"/>
        <v>0</v>
      </c>
      <c r="Q661" s="132"/>
      <c r="R661" s="71">
        <f t="shared" si="56"/>
        <v>699.16387408541652</v>
      </c>
      <c r="S661" s="64"/>
    </row>
    <row r="662" spans="1:19">
      <c r="A662" s="64" t="s">
        <v>626</v>
      </c>
      <c r="B662" s="65" t="s">
        <v>1063</v>
      </c>
      <c r="C662" s="65" t="s">
        <v>1064</v>
      </c>
      <c r="D662" s="64" t="s">
        <v>1065</v>
      </c>
      <c r="E662" s="65" t="s">
        <v>497</v>
      </c>
      <c r="F662" s="64" t="s">
        <v>26</v>
      </c>
      <c r="G662" s="65" t="s">
        <v>20</v>
      </c>
      <c r="H662" s="65" t="s">
        <v>928</v>
      </c>
      <c r="I662" s="65">
        <v>201501</v>
      </c>
      <c r="J662" s="66">
        <v>-87.81</v>
      </c>
      <c r="K662" s="72">
        <f t="shared" si="57"/>
        <v>42675</v>
      </c>
      <c r="L662" s="67">
        <f t="shared" si="54"/>
        <v>6</v>
      </c>
      <c r="M662" s="68">
        <v>1.4833299999999999E-3</v>
      </c>
      <c r="N662" s="69">
        <f t="shared" si="50"/>
        <v>-0.78150724380000003</v>
      </c>
      <c r="O662" s="66"/>
      <c r="P662" s="71">
        <f t="shared" si="55"/>
        <v>0</v>
      </c>
      <c r="Q662" s="132"/>
      <c r="R662" s="71">
        <f t="shared" si="56"/>
        <v>-1.3436210562499999</v>
      </c>
      <c r="S662" s="64"/>
    </row>
    <row r="663" spans="1:19">
      <c r="A663" s="64" t="s">
        <v>626</v>
      </c>
      <c r="B663" s="65" t="s">
        <v>1066</v>
      </c>
      <c r="C663" s="65" t="s">
        <v>1067</v>
      </c>
      <c r="D663" s="64" t="s">
        <v>1068</v>
      </c>
      <c r="E663" s="65" t="s">
        <v>75</v>
      </c>
      <c r="F663" s="64" t="s">
        <v>26</v>
      </c>
      <c r="G663" s="65" t="s">
        <v>20</v>
      </c>
      <c r="H663" s="65" t="s">
        <v>928</v>
      </c>
      <c r="I663" s="65">
        <v>201501</v>
      </c>
      <c r="J663" s="66">
        <v>1145.8699999999999</v>
      </c>
      <c r="K663" s="72">
        <f t="shared" si="57"/>
        <v>42675</v>
      </c>
      <c r="L663" s="67">
        <f t="shared" si="54"/>
        <v>6</v>
      </c>
      <c r="M663" s="68">
        <v>1.4833299999999999E-3</v>
      </c>
      <c r="N663" s="69">
        <f t="shared" si="50"/>
        <v>10.198220082599999</v>
      </c>
      <c r="O663" s="66"/>
      <c r="P663" s="71">
        <f t="shared" si="55"/>
        <v>0</v>
      </c>
      <c r="Q663" s="132"/>
      <c r="R663" s="71">
        <f t="shared" si="56"/>
        <v>17.533482060416663</v>
      </c>
      <c r="S663" s="64"/>
    </row>
    <row r="664" spans="1:19">
      <c r="A664" s="64" t="s">
        <v>21</v>
      </c>
      <c r="B664" s="65" t="s">
        <v>1112</v>
      </c>
      <c r="C664" s="65" t="s">
        <v>1113</v>
      </c>
      <c r="D664" s="64" t="s">
        <v>1114</v>
      </c>
      <c r="E664" s="65" t="s">
        <v>260</v>
      </c>
      <c r="F664" s="64" t="s">
        <v>26</v>
      </c>
      <c r="G664" s="65" t="s">
        <v>20</v>
      </c>
      <c r="H664" s="65" t="s">
        <v>928</v>
      </c>
      <c r="I664" s="65">
        <v>201501</v>
      </c>
      <c r="J664" s="66">
        <v>87.89</v>
      </c>
      <c r="K664" s="72">
        <f t="shared" si="57"/>
        <v>42675</v>
      </c>
      <c r="L664" s="67">
        <f t="shared" si="54"/>
        <v>6</v>
      </c>
      <c r="M664" s="68">
        <v>1.4833299999999999E-3</v>
      </c>
      <c r="N664" s="69">
        <f t="shared" si="50"/>
        <v>0.78221924220000005</v>
      </c>
      <c r="O664" s="66"/>
      <c r="P664" s="71">
        <f t="shared" si="55"/>
        <v>0</v>
      </c>
      <c r="Q664" s="132"/>
      <c r="R664" s="71">
        <f t="shared" si="56"/>
        <v>1.3448451729166666</v>
      </c>
      <c r="S664" s="64"/>
    </row>
    <row r="665" spans="1:19">
      <c r="A665" s="64" t="s">
        <v>626</v>
      </c>
      <c r="B665" s="65" t="s">
        <v>1069</v>
      </c>
      <c r="C665" s="65" t="s">
        <v>1070</v>
      </c>
      <c r="D665" s="64" t="s">
        <v>1071</v>
      </c>
      <c r="E665" s="65" t="s">
        <v>260</v>
      </c>
      <c r="F665" s="64" t="s">
        <v>26</v>
      </c>
      <c r="G665" s="65" t="s">
        <v>20</v>
      </c>
      <c r="H665" s="65" t="s">
        <v>928</v>
      </c>
      <c r="I665" s="65">
        <v>201501</v>
      </c>
      <c r="J665" s="66">
        <v>-55.84</v>
      </c>
      <c r="K665" s="72">
        <f t="shared" si="57"/>
        <v>42675</v>
      </c>
      <c r="L665" s="67">
        <f t="shared" si="54"/>
        <v>6</v>
      </c>
      <c r="M665" s="68">
        <v>1.4833299999999999E-3</v>
      </c>
      <c r="N665" s="69">
        <f t="shared" si="50"/>
        <v>-0.49697488320000005</v>
      </c>
      <c r="O665" s="66"/>
      <c r="P665" s="71">
        <f t="shared" si="55"/>
        <v>0</v>
      </c>
      <c r="Q665" s="132"/>
      <c r="R665" s="71">
        <f t="shared" si="56"/>
        <v>-0.85443343333333333</v>
      </c>
      <c r="S665" s="64"/>
    </row>
    <row r="666" spans="1:19">
      <c r="A666" s="64" t="s">
        <v>21</v>
      </c>
      <c r="B666" s="65" t="s">
        <v>177</v>
      </c>
      <c r="C666" s="65" t="s">
        <v>178</v>
      </c>
      <c r="D666" s="64" t="s">
        <v>179</v>
      </c>
      <c r="E666" s="65" t="s">
        <v>172</v>
      </c>
      <c r="F666" s="64" t="s">
        <v>173</v>
      </c>
      <c r="G666" s="65" t="s">
        <v>20</v>
      </c>
      <c r="H666" s="65" t="s">
        <v>928</v>
      </c>
      <c r="I666" s="65">
        <v>201501</v>
      </c>
      <c r="J666" s="66">
        <v>138.51</v>
      </c>
      <c r="K666" s="72">
        <f t="shared" si="57"/>
        <v>42675</v>
      </c>
      <c r="L666" s="67">
        <f t="shared" si="54"/>
        <v>6</v>
      </c>
      <c r="M666" s="68">
        <v>1.4833299999999999E-3</v>
      </c>
      <c r="N666" s="69">
        <f t="shared" si="50"/>
        <v>1.2327362298</v>
      </c>
      <c r="O666" s="66"/>
      <c r="P666" s="71">
        <f t="shared" si="55"/>
        <v>0</v>
      </c>
      <c r="Q666" s="132"/>
      <c r="R666" s="71">
        <f t="shared" si="56"/>
        <v>2.1194049937499999</v>
      </c>
      <c r="S666" s="64"/>
    </row>
    <row r="667" spans="1:19">
      <c r="A667" s="64" t="s">
        <v>626</v>
      </c>
      <c r="B667" s="65" t="s">
        <v>700</v>
      </c>
      <c r="C667" s="65" t="s">
        <v>701</v>
      </c>
      <c r="D667" s="64" t="s">
        <v>702</v>
      </c>
      <c r="E667" s="65" t="s">
        <v>25</v>
      </c>
      <c r="F667" s="64" t="s">
        <v>26</v>
      </c>
      <c r="G667" s="65" t="s">
        <v>20</v>
      </c>
      <c r="H667" s="65" t="s">
        <v>928</v>
      </c>
      <c r="I667" s="65">
        <v>201501</v>
      </c>
      <c r="J667" s="66">
        <v>-0.52</v>
      </c>
      <c r="K667" s="72">
        <f t="shared" si="57"/>
        <v>42675</v>
      </c>
      <c r="L667" s="67">
        <f t="shared" si="54"/>
        <v>6</v>
      </c>
      <c r="M667" s="68">
        <v>1.4833299999999999E-3</v>
      </c>
      <c r="N667" s="69">
        <f t="shared" si="50"/>
        <v>-4.6279896000000001E-3</v>
      </c>
      <c r="O667" s="66"/>
      <c r="P667" s="71">
        <f t="shared" si="55"/>
        <v>0</v>
      </c>
      <c r="Q667" s="132"/>
      <c r="R667" s="71">
        <f t="shared" si="56"/>
        <v>-7.9567583333333327E-3</v>
      </c>
      <c r="S667" s="64"/>
    </row>
    <row r="668" spans="1:19">
      <c r="A668" s="64" t="s">
        <v>626</v>
      </c>
      <c r="B668" s="65" t="s">
        <v>750</v>
      </c>
      <c r="C668" s="65" t="s">
        <v>751</v>
      </c>
      <c r="D668" s="64" t="s">
        <v>752</v>
      </c>
      <c r="E668" s="65" t="s">
        <v>164</v>
      </c>
      <c r="F668" s="64" t="s">
        <v>165</v>
      </c>
      <c r="G668" s="65" t="s">
        <v>20</v>
      </c>
      <c r="H668" s="65" t="s">
        <v>928</v>
      </c>
      <c r="I668" s="65">
        <v>201501</v>
      </c>
      <c r="J668" s="66">
        <v>-9550.68</v>
      </c>
      <c r="K668" s="72">
        <f t="shared" si="57"/>
        <v>42675</v>
      </c>
      <c r="L668" s="67">
        <f t="shared" si="54"/>
        <v>6</v>
      </c>
      <c r="M668" s="68">
        <v>1.4833299999999999E-3</v>
      </c>
      <c r="N668" s="69">
        <f t="shared" si="50"/>
        <v>-85.000860986399999</v>
      </c>
      <c r="O668" s="66"/>
      <c r="P668" s="71">
        <f t="shared" si="55"/>
        <v>0</v>
      </c>
      <c r="Q668" s="132"/>
      <c r="R668" s="71">
        <f t="shared" si="56"/>
        <v>-146.139332075</v>
      </c>
      <c r="S668" s="64"/>
    </row>
    <row r="669" spans="1:19">
      <c r="A669" s="64" t="s">
        <v>626</v>
      </c>
      <c r="B669" s="65" t="s">
        <v>465</v>
      </c>
      <c r="C669" s="65" t="s">
        <v>466</v>
      </c>
      <c r="D669" s="64" t="s">
        <v>467</v>
      </c>
      <c r="E669" s="65" t="s">
        <v>75</v>
      </c>
      <c r="F669" s="64" t="s">
        <v>26</v>
      </c>
      <c r="G669" s="65" t="s">
        <v>20</v>
      </c>
      <c r="H669" s="65" t="s">
        <v>928</v>
      </c>
      <c r="I669" s="65">
        <v>201501</v>
      </c>
      <c r="J669" s="66">
        <v>-4.4000000000000004</v>
      </c>
      <c r="K669" s="72">
        <f t="shared" si="57"/>
        <v>42675</v>
      </c>
      <c r="L669" s="67">
        <f t="shared" si="54"/>
        <v>6</v>
      </c>
      <c r="M669" s="68">
        <v>1.4833299999999999E-3</v>
      </c>
      <c r="N669" s="69">
        <f t="shared" si="50"/>
        <v>-3.9159912000000005E-2</v>
      </c>
      <c r="O669" s="66"/>
      <c r="P669" s="71">
        <f t="shared" si="55"/>
        <v>0</v>
      </c>
      <c r="Q669" s="132"/>
      <c r="R669" s="71">
        <f t="shared" si="56"/>
        <v>-6.7326416666666666E-2</v>
      </c>
      <c r="S669" s="64"/>
    </row>
    <row r="670" spans="1:19">
      <c r="A670" s="64" t="s">
        <v>21</v>
      </c>
      <c r="B670" s="65" t="s">
        <v>230</v>
      </c>
      <c r="C670" s="65" t="s">
        <v>231</v>
      </c>
      <c r="D670" s="64" t="s">
        <v>232</v>
      </c>
      <c r="E670" s="65" t="s">
        <v>164</v>
      </c>
      <c r="F670" s="64" t="s">
        <v>165</v>
      </c>
      <c r="G670" s="65" t="s">
        <v>20</v>
      </c>
      <c r="H670" s="65" t="s">
        <v>928</v>
      </c>
      <c r="I670" s="65">
        <v>201501</v>
      </c>
      <c r="J670" s="66">
        <v>-10.74</v>
      </c>
      <c r="K670" s="72">
        <f t="shared" si="57"/>
        <v>42675</v>
      </c>
      <c r="L670" s="67">
        <f t="shared" si="54"/>
        <v>6</v>
      </c>
      <c r="M670" s="68">
        <v>1.4833299999999999E-3</v>
      </c>
      <c r="N670" s="69">
        <f t="shared" si="50"/>
        <v>-9.5585785200000009E-2</v>
      </c>
      <c r="O670" s="66"/>
      <c r="P670" s="71">
        <f t="shared" si="55"/>
        <v>0</v>
      </c>
      <c r="Q670" s="132"/>
      <c r="R670" s="71">
        <f t="shared" si="56"/>
        <v>-0.16433766250000001</v>
      </c>
      <c r="S670" s="64"/>
    </row>
    <row r="671" spans="1:19">
      <c r="A671" s="64" t="s">
        <v>626</v>
      </c>
      <c r="B671" s="65" t="s">
        <v>1076</v>
      </c>
      <c r="C671" s="65" t="s">
        <v>1077</v>
      </c>
      <c r="D671" s="64" t="s">
        <v>1078</v>
      </c>
      <c r="E671" s="65" t="s">
        <v>75</v>
      </c>
      <c r="F671" s="64" t="s">
        <v>26</v>
      </c>
      <c r="G671" s="65" t="s">
        <v>20</v>
      </c>
      <c r="H671" s="65" t="s">
        <v>928</v>
      </c>
      <c r="I671" s="65">
        <v>201501</v>
      </c>
      <c r="J671" s="66">
        <v>3264.89</v>
      </c>
      <c r="K671" s="72">
        <f t="shared" si="57"/>
        <v>42675</v>
      </c>
      <c r="L671" s="67">
        <f t="shared" si="54"/>
        <v>6</v>
      </c>
      <c r="M671" s="68">
        <v>1.4833299999999999E-3</v>
      </c>
      <c r="N671" s="69">
        <f t="shared" si="50"/>
        <v>29.057455702199999</v>
      </c>
      <c r="O671" s="66"/>
      <c r="P671" s="71">
        <f t="shared" si="55"/>
        <v>0</v>
      </c>
      <c r="Q671" s="132"/>
      <c r="R671" s="71">
        <f t="shared" si="56"/>
        <v>49.957578297916662</v>
      </c>
      <c r="S671" s="64"/>
    </row>
    <row r="672" spans="1:19">
      <c r="A672" s="64" t="s">
        <v>21</v>
      </c>
      <c r="B672" s="65" t="s">
        <v>261</v>
      </c>
      <c r="C672" s="65" t="s">
        <v>262</v>
      </c>
      <c r="D672" s="64" t="s">
        <v>263</v>
      </c>
      <c r="E672" s="65" t="s">
        <v>75</v>
      </c>
      <c r="F672" s="64" t="s">
        <v>26</v>
      </c>
      <c r="G672" s="65" t="s">
        <v>20</v>
      </c>
      <c r="H672" s="65" t="s">
        <v>928</v>
      </c>
      <c r="I672" s="65">
        <v>201501</v>
      </c>
      <c r="J672" s="66">
        <v>-1070.2</v>
      </c>
      <c r="K672" s="72">
        <f t="shared" si="57"/>
        <v>42675</v>
      </c>
      <c r="L672" s="67">
        <f t="shared" si="54"/>
        <v>6</v>
      </c>
      <c r="M672" s="68">
        <v>1.4833299999999999E-3</v>
      </c>
      <c r="N672" s="69">
        <f t="shared" si="50"/>
        <v>-9.5247585959999999</v>
      </c>
      <c r="O672" s="66"/>
      <c r="P672" s="71">
        <f t="shared" si="55"/>
        <v>0</v>
      </c>
      <c r="Q672" s="132"/>
      <c r="R672" s="71">
        <f t="shared" si="56"/>
        <v>-16.375620708333329</v>
      </c>
      <c r="S672" s="64"/>
    </row>
    <row r="673" spans="1:19">
      <c r="A673" s="64" t="s">
        <v>21</v>
      </c>
      <c r="B673" s="65" t="s">
        <v>794</v>
      </c>
      <c r="C673" s="65" t="s">
        <v>795</v>
      </c>
      <c r="D673" s="64" t="s">
        <v>796</v>
      </c>
      <c r="E673" s="65" t="s">
        <v>172</v>
      </c>
      <c r="F673" s="64" t="s">
        <v>173</v>
      </c>
      <c r="G673" s="65" t="s">
        <v>20</v>
      </c>
      <c r="H673" s="65" t="s">
        <v>928</v>
      </c>
      <c r="I673" s="65">
        <v>201501</v>
      </c>
      <c r="J673" s="66">
        <v>-2038.46</v>
      </c>
      <c r="K673" s="72">
        <f t="shared" si="57"/>
        <v>42675</v>
      </c>
      <c r="L673" s="67">
        <f t="shared" si="54"/>
        <v>6</v>
      </c>
      <c r="M673" s="68">
        <v>1.4833299999999999E-3</v>
      </c>
      <c r="N673" s="69">
        <f t="shared" si="50"/>
        <v>-18.142253230800002</v>
      </c>
      <c r="O673" s="66"/>
      <c r="P673" s="71">
        <f t="shared" si="55"/>
        <v>0</v>
      </c>
      <c r="Q673" s="132"/>
      <c r="R673" s="71">
        <f t="shared" si="56"/>
        <v>-31.191410754166665</v>
      </c>
      <c r="S673" s="64"/>
    </row>
    <row r="674" spans="1:19">
      <c r="A674" s="64" t="s">
        <v>21</v>
      </c>
      <c r="B674" s="65" t="s">
        <v>1079</v>
      </c>
      <c r="C674" s="65" t="s">
        <v>1080</v>
      </c>
      <c r="D674" s="64" t="s">
        <v>1081</v>
      </c>
      <c r="E674" s="65" t="s">
        <v>102</v>
      </c>
      <c r="F674" s="64" t="s">
        <v>19</v>
      </c>
      <c r="G674" s="65" t="s">
        <v>20</v>
      </c>
      <c r="H674" s="65" t="s">
        <v>928</v>
      </c>
      <c r="I674" s="65">
        <v>201501</v>
      </c>
      <c r="J674" s="66">
        <v>0</v>
      </c>
      <c r="K674" s="72">
        <f t="shared" si="57"/>
        <v>42675</v>
      </c>
      <c r="L674" s="67">
        <f t="shared" si="54"/>
        <v>6</v>
      </c>
      <c r="M674" s="68">
        <v>1.4833299999999999E-3</v>
      </c>
      <c r="N674" s="69">
        <f t="shared" si="50"/>
        <v>0</v>
      </c>
      <c r="O674" s="66"/>
      <c r="P674" s="71">
        <f t="shared" si="55"/>
        <v>0</v>
      </c>
      <c r="Q674" s="132"/>
      <c r="R674" s="71">
        <f t="shared" si="56"/>
        <v>0</v>
      </c>
      <c r="S674" s="64"/>
    </row>
    <row r="675" spans="1:19">
      <c r="A675" s="64" t="s">
        <v>21</v>
      </c>
      <c r="B675" s="65" t="s">
        <v>494</v>
      </c>
      <c r="C675" s="65" t="s">
        <v>495</v>
      </c>
      <c r="D675" s="64" t="s">
        <v>496</v>
      </c>
      <c r="E675" s="65" t="s">
        <v>497</v>
      </c>
      <c r="F675" s="64" t="s">
        <v>26</v>
      </c>
      <c r="G675" s="65" t="s">
        <v>20</v>
      </c>
      <c r="H675" s="65" t="s">
        <v>928</v>
      </c>
      <c r="I675" s="65">
        <v>201501</v>
      </c>
      <c r="J675" s="66">
        <v>1635.5</v>
      </c>
      <c r="K675" s="72">
        <f t="shared" si="57"/>
        <v>42675</v>
      </c>
      <c r="L675" s="67">
        <f t="shared" si="54"/>
        <v>6</v>
      </c>
      <c r="M675" s="68">
        <v>1.4833299999999999E-3</v>
      </c>
      <c r="N675" s="69">
        <f t="shared" si="50"/>
        <v>14.55591729</v>
      </c>
      <c r="O675" s="66"/>
      <c r="P675" s="71">
        <f t="shared" si="55"/>
        <v>0</v>
      </c>
      <c r="Q675" s="132"/>
      <c r="R675" s="71">
        <f t="shared" si="56"/>
        <v>25.025535104166664</v>
      </c>
      <c r="S675" s="64"/>
    </row>
    <row r="676" spans="1:19">
      <c r="A676" s="64" t="s">
        <v>21</v>
      </c>
      <c r="B676" s="65" t="s">
        <v>1121</v>
      </c>
      <c r="C676" s="65" t="s">
        <v>1122</v>
      </c>
      <c r="D676" s="64" t="s">
        <v>1123</v>
      </c>
      <c r="E676" s="65" t="s">
        <v>497</v>
      </c>
      <c r="F676" s="64" t="s">
        <v>26</v>
      </c>
      <c r="G676" s="65" t="s">
        <v>20</v>
      </c>
      <c r="H676" s="65" t="s">
        <v>928</v>
      </c>
      <c r="I676" s="65">
        <v>201501</v>
      </c>
      <c r="J676" s="66">
        <v>62.58</v>
      </c>
      <c r="K676" s="72">
        <f t="shared" si="57"/>
        <v>42675</v>
      </c>
      <c r="L676" s="67">
        <f t="shared" si="54"/>
        <v>6</v>
      </c>
      <c r="M676" s="68">
        <v>1.4833299999999999E-3</v>
      </c>
      <c r="N676" s="69">
        <f t="shared" si="50"/>
        <v>0.55696074839999998</v>
      </c>
      <c r="O676" s="66"/>
      <c r="P676" s="71">
        <f t="shared" si="55"/>
        <v>0</v>
      </c>
      <c r="Q676" s="132"/>
      <c r="R676" s="71">
        <f t="shared" si="56"/>
        <v>0.95756526249999974</v>
      </c>
      <c r="S676" s="64"/>
    </row>
    <row r="677" spans="1:19">
      <c r="A677" s="64" t="s">
        <v>21</v>
      </c>
      <c r="B677" s="65" t="s">
        <v>678</v>
      </c>
      <c r="C677" s="65" t="s">
        <v>679</v>
      </c>
      <c r="D677" s="64" t="s">
        <v>680</v>
      </c>
      <c r="E677" s="65" t="s">
        <v>75</v>
      </c>
      <c r="F677" s="64" t="s">
        <v>26</v>
      </c>
      <c r="G677" s="65" t="s">
        <v>20</v>
      </c>
      <c r="H677" s="65" t="s">
        <v>928</v>
      </c>
      <c r="I677" s="65">
        <v>201501</v>
      </c>
      <c r="J677" s="66">
        <v>2472.9499999999998</v>
      </c>
      <c r="K677" s="72">
        <f t="shared" si="57"/>
        <v>42675</v>
      </c>
      <c r="L677" s="67">
        <f t="shared" si="54"/>
        <v>6</v>
      </c>
      <c r="M677" s="68">
        <v>1.4833299999999999E-3</v>
      </c>
      <c r="N677" s="69">
        <f t="shared" si="50"/>
        <v>22.009205541</v>
      </c>
      <c r="O677" s="66"/>
      <c r="P677" s="71">
        <f t="shared" si="55"/>
        <v>0</v>
      </c>
      <c r="Q677" s="132"/>
      <c r="R677" s="71">
        <f t="shared" si="56"/>
        <v>37.839741385416659</v>
      </c>
      <c r="S677" s="64"/>
    </row>
    <row r="678" spans="1:19">
      <c r="A678" s="64" t="s">
        <v>626</v>
      </c>
      <c r="B678" s="65" t="s">
        <v>1082</v>
      </c>
      <c r="C678" s="65" t="s">
        <v>1083</v>
      </c>
      <c r="D678" s="64" t="s">
        <v>1084</v>
      </c>
      <c r="E678" s="65" t="s">
        <v>75</v>
      </c>
      <c r="F678" s="64" t="s">
        <v>26</v>
      </c>
      <c r="G678" s="65" t="s">
        <v>20</v>
      </c>
      <c r="H678" s="65" t="s">
        <v>928</v>
      </c>
      <c r="I678" s="65">
        <v>201501</v>
      </c>
      <c r="J678" s="66">
        <v>-265.87</v>
      </c>
      <c r="K678" s="72">
        <f t="shared" si="57"/>
        <v>42675</v>
      </c>
      <c r="L678" s="67">
        <f t="shared" si="54"/>
        <v>6</v>
      </c>
      <c r="M678" s="68">
        <v>1.4833299999999999E-3</v>
      </c>
      <c r="N678" s="69">
        <f t="shared" si="50"/>
        <v>-2.3662376826</v>
      </c>
      <c r="O678" s="66"/>
      <c r="P678" s="71">
        <f t="shared" si="55"/>
        <v>0</v>
      </c>
      <c r="Q678" s="132"/>
      <c r="R678" s="71">
        <f t="shared" si="56"/>
        <v>-4.0681987270833329</v>
      </c>
      <c r="S678" s="64"/>
    </row>
    <row r="679" spans="1:19">
      <c r="A679" s="64" t="s">
        <v>626</v>
      </c>
      <c r="B679" s="65" t="s">
        <v>1188</v>
      </c>
      <c r="C679" s="65" t="s">
        <v>1189</v>
      </c>
      <c r="D679" s="64" t="s">
        <v>1190</v>
      </c>
      <c r="E679" s="65" t="s">
        <v>75</v>
      </c>
      <c r="F679" s="64" t="s">
        <v>26</v>
      </c>
      <c r="G679" s="65" t="s">
        <v>20</v>
      </c>
      <c r="H679" s="65" t="s">
        <v>928</v>
      </c>
      <c r="I679" s="65">
        <v>201501</v>
      </c>
      <c r="J679" s="66">
        <v>219686.48</v>
      </c>
      <c r="K679" s="72">
        <f t="shared" si="57"/>
        <v>42675</v>
      </c>
      <c r="L679" s="67">
        <f t="shared" si="54"/>
        <v>6</v>
      </c>
      <c r="M679" s="68">
        <v>1.4833299999999999E-3</v>
      </c>
      <c r="N679" s="69">
        <f t="shared" si="50"/>
        <v>1955.2052782704002</v>
      </c>
      <c r="O679" s="66"/>
      <c r="P679" s="71">
        <f t="shared" si="55"/>
        <v>0</v>
      </c>
      <c r="Q679" s="132"/>
      <c r="R679" s="71">
        <f t="shared" si="56"/>
        <v>3361.5235201166665</v>
      </c>
      <c r="S679" s="64"/>
    </row>
    <row r="680" spans="1:19">
      <c r="A680" s="64" t="s">
        <v>626</v>
      </c>
      <c r="B680" s="65" t="s">
        <v>1085</v>
      </c>
      <c r="C680" s="65" t="s">
        <v>1086</v>
      </c>
      <c r="D680" s="64" t="s">
        <v>1087</v>
      </c>
      <c r="E680" s="65" t="s">
        <v>75</v>
      </c>
      <c r="F680" s="64" t="s">
        <v>26</v>
      </c>
      <c r="G680" s="65" t="s">
        <v>20</v>
      </c>
      <c r="H680" s="65" t="s">
        <v>928</v>
      </c>
      <c r="I680" s="65">
        <v>201501</v>
      </c>
      <c r="J680" s="66">
        <v>3752</v>
      </c>
      <c r="K680" s="72">
        <f t="shared" si="57"/>
        <v>42675</v>
      </c>
      <c r="L680" s="67">
        <f t="shared" si="54"/>
        <v>6</v>
      </c>
      <c r="M680" s="68">
        <v>1.4833299999999999E-3</v>
      </c>
      <c r="N680" s="69">
        <f t="shared" si="50"/>
        <v>33.392724960000002</v>
      </c>
      <c r="O680" s="66"/>
      <c r="P680" s="71">
        <f t="shared" si="55"/>
        <v>0</v>
      </c>
      <c r="Q680" s="132"/>
      <c r="R680" s="71">
        <f t="shared" si="56"/>
        <v>57.411071666666658</v>
      </c>
      <c r="S680" s="64"/>
    </row>
    <row r="681" spans="1:19">
      <c r="A681" s="64" t="s">
        <v>21</v>
      </c>
      <c r="B681" s="65" t="s">
        <v>888</v>
      </c>
      <c r="C681" s="65" t="s">
        <v>889</v>
      </c>
      <c r="D681" s="64" t="s">
        <v>890</v>
      </c>
      <c r="E681" s="65" t="s">
        <v>280</v>
      </c>
      <c r="F681" s="64" t="s">
        <v>26</v>
      </c>
      <c r="G681" s="65" t="s">
        <v>20</v>
      </c>
      <c r="H681" s="65" t="s">
        <v>928</v>
      </c>
      <c r="I681" s="65">
        <v>201501</v>
      </c>
      <c r="J681" s="66">
        <v>-3.48</v>
      </c>
      <c r="K681" s="72">
        <f t="shared" si="57"/>
        <v>42675</v>
      </c>
      <c r="L681" s="67">
        <f t="shared" si="54"/>
        <v>6</v>
      </c>
      <c r="M681" s="68">
        <v>1.4833299999999999E-3</v>
      </c>
      <c r="N681" s="69">
        <f t="shared" si="50"/>
        <v>-3.09719304E-2</v>
      </c>
      <c r="O681" s="66"/>
      <c r="P681" s="71">
        <f t="shared" si="55"/>
        <v>0</v>
      </c>
      <c r="Q681" s="132"/>
      <c r="R681" s="71">
        <f t="shared" si="56"/>
        <v>-5.3249074999999993E-2</v>
      </c>
      <c r="S681" s="64"/>
    </row>
    <row r="682" spans="1:19">
      <c r="A682" s="64" t="s">
        <v>626</v>
      </c>
      <c r="B682" s="65" t="s">
        <v>944</v>
      </c>
      <c r="C682" s="65" t="s">
        <v>945</v>
      </c>
      <c r="D682" s="64" t="s">
        <v>946</v>
      </c>
      <c r="E682" s="65" t="s">
        <v>164</v>
      </c>
      <c r="F682" s="64" t="s">
        <v>165</v>
      </c>
      <c r="G682" s="65" t="s">
        <v>20</v>
      </c>
      <c r="H682" s="65" t="s">
        <v>928</v>
      </c>
      <c r="I682" s="65">
        <v>201501</v>
      </c>
      <c r="J682" s="66">
        <v>70805.5</v>
      </c>
      <c r="K682" s="72">
        <f t="shared" si="57"/>
        <v>42675</v>
      </c>
      <c r="L682" s="67">
        <f t="shared" si="54"/>
        <v>6</v>
      </c>
      <c r="M682" s="68">
        <v>1.4833299999999999E-3</v>
      </c>
      <c r="N682" s="69">
        <f t="shared" si="50"/>
        <v>630.16753388999996</v>
      </c>
      <c r="O682" s="66"/>
      <c r="P682" s="71">
        <f t="shared" si="55"/>
        <v>0</v>
      </c>
      <c r="Q682" s="132"/>
      <c r="R682" s="71">
        <f t="shared" si="56"/>
        <v>1083.4274080208331</v>
      </c>
      <c r="S682" s="64"/>
    </row>
    <row r="683" spans="1:19">
      <c r="A683" s="64" t="s">
        <v>626</v>
      </c>
      <c r="B683" s="65" t="s">
        <v>1038</v>
      </c>
      <c r="C683" s="65" t="s">
        <v>1039</v>
      </c>
      <c r="D683" s="64" t="s">
        <v>1040</v>
      </c>
      <c r="E683" s="65" t="s">
        <v>75</v>
      </c>
      <c r="F683" s="64" t="s">
        <v>26</v>
      </c>
      <c r="G683" s="65" t="s">
        <v>20</v>
      </c>
      <c r="H683" s="65" t="s">
        <v>928</v>
      </c>
      <c r="I683" s="65">
        <v>201501</v>
      </c>
      <c r="J683" s="66">
        <v>1761.71</v>
      </c>
      <c r="K683" s="72">
        <f t="shared" si="57"/>
        <v>42675</v>
      </c>
      <c r="L683" s="67">
        <f t="shared" si="54"/>
        <v>6</v>
      </c>
      <c r="M683" s="68">
        <v>1.4833299999999999E-3</v>
      </c>
      <c r="N683" s="69">
        <f t="shared" si="50"/>
        <v>15.679183765800001</v>
      </c>
      <c r="O683" s="66"/>
      <c r="P683" s="71">
        <f t="shared" si="55"/>
        <v>0</v>
      </c>
      <c r="Q683" s="132"/>
      <c r="R683" s="71">
        <f t="shared" si="56"/>
        <v>26.956732160416664</v>
      </c>
      <c r="S683" s="64"/>
    </row>
    <row r="684" spans="1:19">
      <c r="A684" s="64" t="s">
        <v>21</v>
      </c>
      <c r="B684" s="65" t="s">
        <v>1191</v>
      </c>
      <c r="C684" s="65" t="s">
        <v>1192</v>
      </c>
      <c r="D684" s="64" t="s">
        <v>1193</v>
      </c>
      <c r="E684" s="65" t="s">
        <v>402</v>
      </c>
      <c r="F684" s="64" t="s">
        <v>19</v>
      </c>
      <c r="G684" s="65" t="s">
        <v>20</v>
      </c>
      <c r="H684" s="65" t="s">
        <v>928</v>
      </c>
      <c r="I684" s="65">
        <v>201501</v>
      </c>
      <c r="J684" s="66">
        <v>146040.44</v>
      </c>
      <c r="K684" s="72">
        <f t="shared" si="57"/>
        <v>42675</v>
      </c>
      <c r="L684" s="67">
        <f t="shared" si="54"/>
        <v>6</v>
      </c>
      <c r="M684" s="68">
        <v>1.4833299999999999E-3</v>
      </c>
      <c r="N684" s="69">
        <f t="shared" si="50"/>
        <v>1299.7569951912001</v>
      </c>
      <c r="O684" s="66"/>
      <c r="P684" s="71">
        <f t="shared" si="55"/>
        <v>0</v>
      </c>
      <c r="Q684" s="132"/>
      <c r="R684" s="71">
        <f t="shared" si="56"/>
        <v>2234.6317076416667</v>
      </c>
      <c r="S684" s="64"/>
    </row>
    <row r="685" spans="1:19">
      <c r="A685" s="64" t="s">
        <v>626</v>
      </c>
      <c r="B685" s="65" t="s">
        <v>947</v>
      </c>
      <c r="C685" s="65" t="s">
        <v>948</v>
      </c>
      <c r="D685" s="64" t="s">
        <v>949</v>
      </c>
      <c r="E685" s="65" t="s">
        <v>75</v>
      </c>
      <c r="F685" s="64" t="s">
        <v>26</v>
      </c>
      <c r="G685" s="65" t="s">
        <v>20</v>
      </c>
      <c r="H685" s="65" t="s">
        <v>928</v>
      </c>
      <c r="I685" s="65">
        <v>201501</v>
      </c>
      <c r="J685" s="66">
        <v>-0.61</v>
      </c>
      <c r="K685" s="72">
        <f t="shared" si="57"/>
        <v>42675</v>
      </c>
      <c r="L685" s="67">
        <f t="shared" si="54"/>
        <v>6</v>
      </c>
      <c r="M685" s="68">
        <v>1.4833299999999999E-3</v>
      </c>
      <c r="N685" s="69">
        <f t="shared" si="50"/>
        <v>-5.4289878E-3</v>
      </c>
      <c r="O685" s="66"/>
      <c r="P685" s="71">
        <f t="shared" si="55"/>
        <v>0</v>
      </c>
      <c r="Q685" s="132"/>
      <c r="R685" s="71">
        <f t="shared" si="56"/>
        <v>-9.333889583333331E-3</v>
      </c>
      <c r="S685" s="64"/>
    </row>
    <row r="686" spans="1:19">
      <c r="A686" s="64" t="s">
        <v>626</v>
      </c>
      <c r="B686" s="65" t="s">
        <v>1041</v>
      </c>
      <c r="C686" s="65" t="s">
        <v>1042</v>
      </c>
      <c r="D686" s="64" t="s">
        <v>1043</v>
      </c>
      <c r="E686" s="65" t="s">
        <v>75</v>
      </c>
      <c r="F686" s="64" t="s">
        <v>26</v>
      </c>
      <c r="G686" s="65" t="s">
        <v>20</v>
      </c>
      <c r="H686" s="65" t="s">
        <v>928</v>
      </c>
      <c r="I686" s="65">
        <v>201501</v>
      </c>
      <c r="J686" s="66">
        <v>48299.15</v>
      </c>
      <c r="K686" s="72">
        <f t="shared" si="57"/>
        <v>42675</v>
      </c>
      <c r="L686" s="67">
        <f t="shared" si="54"/>
        <v>6</v>
      </c>
      <c r="M686" s="68">
        <v>1.4833299999999999E-3</v>
      </c>
      <c r="N686" s="69">
        <f t="shared" si="50"/>
        <v>429.86146901699999</v>
      </c>
      <c r="O686" s="66"/>
      <c r="P686" s="71">
        <f t="shared" si="55"/>
        <v>0</v>
      </c>
      <c r="Q686" s="132"/>
      <c r="R686" s="71">
        <f t="shared" si="56"/>
        <v>739.0474312604166</v>
      </c>
      <c r="S686" s="64"/>
    </row>
    <row r="687" spans="1:19">
      <c r="A687" s="64" t="s">
        <v>626</v>
      </c>
      <c r="B687" s="65" t="s">
        <v>1041</v>
      </c>
      <c r="C687" s="65" t="s">
        <v>1042</v>
      </c>
      <c r="D687" s="64" t="s">
        <v>1043</v>
      </c>
      <c r="E687" s="65" t="s">
        <v>75</v>
      </c>
      <c r="F687" s="64" t="s">
        <v>26</v>
      </c>
      <c r="G687" s="65" t="s">
        <v>20</v>
      </c>
      <c r="H687" s="65" t="s">
        <v>928</v>
      </c>
      <c r="I687" s="65">
        <v>201501</v>
      </c>
      <c r="J687" s="66">
        <v>-48303.040000000001</v>
      </c>
      <c r="K687" s="72">
        <f t="shared" si="57"/>
        <v>42675</v>
      </c>
      <c r="L687" s="67">
        <f t="shared" si="54"/>
        <v>6</v>
      </c>
      <c r="M687" s="68">
        <v>1.4833299999999999E-3</v>
      </c>
      <c r="N687" s="69">
        <f t="shared" si="50"/>
        <v>-429.89608993920001</v>
      </c>
      <c r="O687" s="66"/>
      <c r="P687" s="71">
        <f t="shared" si="55"/>
        <v>0</v>
      </c>
      <c r="Q687" s="132"/>
      <c r="R687" s="71">
        <f t="shared" si="56"/>
        <v>-739.10695393333322</v>
      </c>
      <c r="S687" s="64"/>
    </row>
    <row r="688" spans="1:19">
      <c r="A688" s="64" t="s">
        <v>626</v>
      </c>
      <c r="B688" s="65" t="s">
        <v>1194</v>
      </c>
      <c r="C688" s="65" t="s">
        <v>1195</v>
      </c>
      <c r="D688" s="64" t="s">
        <v>1196</v>
      </c>
      <c r="E688" s="65" t="s">
        <v>75</v>
      </c>
      <c r="F688" s="64" t="s">
        <v>26</v>
      </c>
      <c r="G688" s="65" t="s">
        <v>20</v>
      </c>
      <c r="H688" s="65" t="s">
        <v>928</v>
      </c>
      <c r="I688" s="65">
        <v>201501</v>
      </c>
      <c r="J688" s="66">
        <v>93860.72</v>
      </c>
      <c r="K688" s="72">
        <f t="shared" si="57"/>
        <v>42675</v>
      </c>
      <c r="L688" s="67">
        <f t="shared" si="54"/>
        <v>6</v>
      </c>
      <c r="M688" s="68">
        <v>1.4833299999999999E-3</v>
      </c>
      <c r="N688" s="69">
        <f t="shared" si="50"/>
        <v>835.35853078560001</v>
      </c>
      <c r="O688" s="66"/>
      <c r="P688" s="71">
        <f t="shared" si="55"/>
        <v>0</v>
      </c>
      <c r="Q688" s="132"/>
      <c r="R688" s="71">
        <f t="shared" si="56"/>
        <v>1436.2058962166664</v>
      </c>
      <c r="S688" s="64"/>
    </row>
    <row r="689" spans="1:19">
      <c r="A689" s="64" t="s">
        <v>626</v>
      </c>
      <c r="B689" s="65" t="s">
        <v>1133</v>
      </c>
      <c r="C689" s="65" t="s">
        <v>1134</v>
      </c>
      <c r="D689" s="64" t="s">
        <v>1135</v>
      </c>
      <c r="E689" s="65" t="s">
        <v>471</v>
      </c>
      <c r="F689" s="64" t="s">
        <v>165</v>
      </c>
      <c r="G689" s="65" t="s">
        <v>20</v>
      </c>
      <c r="H689" s="65" t="s">
        <v>928</v>
      </c>
      <c r="I689" s="65">
        <v>201501</v>
      </c>
      <c r="J689" s="66">
        <v>4423.05</v>
      </c>
      <c r="K689" s="72">
        <f t="shared" si="57"/>
        <v>42675</v>
      </c>
      <c r="L689" s="67">
        <f t="shared" si="54"/>
        <v>6</v>
      </c>
      <c r="M689" s="68">
        <v>1.4833299999999999E-3</v>
      </c>
      <c r="N689" s="69">
        <f t="shared" si="50"/>
        <v>39.365056539000001</v>
      </c>
      <c r="O689" s="66"/>
      <c r="P689" s="71">
        <f t="shared" si="55"/>
        <v>0</v>
      </c>
      <c r="Q689" s="132"/>
      <c r="R689" s="71">
        <f t="shared" si="56"/>
        <v>67.679115281249992</v>
      </c>
      <c r="S689" s="64"/>
    </row>
    <row r="690" spans="1:19">
      <c r="A690" s="64" t="s">
        <v>626</v>
      </c>
      <c r="B690" s="65" t="s">
        <v>1197</v>
      </c>
      <c r="C690" s="65" t="s">
        <v>1198</v>
      </c>
      <c r="D690" s="64" t="s">
        <v>1199</v>
      </c>
      <c r="E690" s="65" t="s">
        <v>18</v>
      </c>
      <c r="F690" s="64" t="s">
        <v>19</v>
      </c>
      <c r="G690" s="65" t="s">
        <v>20</v>
      </c>
      <c r="H690" s="65" t="s">
        <v>928</v>
      </c>
      <c r="I690" s="65">
        <v>201501</v>
      </c>
      <c r="J690" s="66">
        <v>21847.29</v>
      </c>
      <c r="K690" s="72">
        <f t="shared" si="57"/>
        <v>42675</v>
      </c>
      <c r="L690" s="67">
        <f t="shared" si="54"/>
        <v>6</v>
      </c>
      <c r="M690" s="68">
        <v>1.4833299999999999E-3</v>
      </c>
      <c r="N690" s="69">
        <f t="shared" si="50"/>
        <v>194.44044405420001</v>
      </c>
      <c r="O690" s="66"/>
      <c r="P690" s="71">
        <f t="shared" si="55"/>
        <v>0</v>
      </c>
      <c r="Q690" s="132"/>
      <c r="R690" s="71">
        <f t="shared" si="56"/>
        <v>334.29539763125001</v>
      </c>
      <c r="S690" s="64"/>
    </row>
    <row r="691" spans="1:19">
      <c r="A691" s="64" t="s">
        <v>626</v>
      </c>
      <c r="B691" s="65" t="s">
        <v>1139</v>
      </c>
      <c r="C691" s="65" t="s">
        <v>1140</v>
      </c>
      <c r="D691" s="64" t="s">
        <v>1141</v>
      </c>
      <c r="E691" s="65" t="s">
        <v>280</v>
      </c>
      <c r="F691" s="64" t="s">
        <v>26</v>
      </c>
      <c r="G691" s="65" t="s">
        <v>20</v>
      </c>
      <c r="H691" s="65" t="s">
        <v>928</v>
      </c>
      <c r="I691" s="65">
        <v>201501</v>
      </c>
      <c r="J691" s="66">
        <v>7190.75</v>
      </c>
      <c r="K691" s="72">
        <f t="shared" si="57"/>
        <v>42675</v>
      </c>
      <c r="L691" s="67">
        <f t="shared" si="54"/>
        <v>6</v>
      </c>
      <c r="M691" s="68">
        <v>1.4833299999999999E-3</v>
      </c>
      <c r="N691" s="69">
        <f t="shared" si="50"/>
        <v>63.997531185</v>
      </c>
      <c r="O691" s="66"/>
      <c r="P691" s="71">
        <f t="shared" si="55"/>
        <v>0</v>
      </c>
      <c r="Q691" s="132"/>
      <c r="R691" s="71">
        <f t="shared" si="56"/>
        <v>110.02896151041666</v>
      </c>
      <c r="S691" s="64"/>
    </row>
    <row r="692" spans="1:19">
      <c r="A692" s="64" t="s">
        <v>626</v>
      </c>
      <c r="B692" s="65" t="s">
        <v>900</v>
      </c>
      <c r="C692" s="65" t="s">
        <v>901</v>
      </c>
      <c r="D692" s="64" t="s">
        <v>902</v>
      </c>
      <c r="E692" s="65" t="s">
        <v>25</v>
      </c>
      <c r="F692" s="64" t="s">
        <v>26</v>
      </c>
      <c r="G692" s="65" t="s">
        <v>20</v>
      </c>
      <c r="H692" s="65" t="s">
        <v>928</v>
      </c>
      <c r="I692" s="65">
        <v>201501</v>
      </c>
      <c r="J692" s="66">
        <v>0.26</v>
      </c>
      <c r="K692" s="72">
        <f t="shared" si="57"/>
        <v>42675</v>
      </c>
      <c r="L692" s="67">
        <f t="shared" ref="L692:L755" si="58">((YEAR($L$1)-YEAR(K692))*12+MONTH($L$1)-MONTH(K692))</f>
        <v>6</v>
      </c>
      <c r="M692" s="68">
        <v>1.4833299999999999E-3</v>
      </c>
      <c r="N692" s="69">
        <f t="shared" si="50"/>
        <v>2.3139948E-3</v>
      </c>
      <c r="O692" s="66"/>
      <c r="P692" s="71">
        <f t="shared" si="55"/>
        <v>0</v>
      </c>
      <c r="Q692" s="132"/>
      <c r="R692" s="71">
        <f t="shared" si="56"/>
        <v>3.9783791666666663E-3</v>
      </c>
      <c r="S692" s="64"/>
    </row>
    <row r="693" spans="1:19">
      <c r="A693" s="64" t="s">
        <v>626</v>
      </c>
      <c r="B693" s="65" t="s">
        <v>1200</v>
      </c>
      <c r="C693" s="65" t="s">
        <v>1201</v>
      </c>
      <c r="D693" s="64" t="s">
        <v>1202</v>
      </c>
      <c r="E693" s="65" t="s">
        <v>75</v>
      </c>
      <c r="F693" s="64" t="s">
        <v>26</v>
      </c>
      <c r="G693" s="65" t="s">
        <v>20</v>
      </c>
      <c r="H693" s="65" t="s">
        <v>928</v>
      </c>
      <c r="I693" s="65">
        <v>201501</v>
      </c>
      <c r="J693" s="66">
        <v>769399.64</v>
      </c>
      <c r="K693" s="72">
        <f t="shared" si="57"/>
        <v>42675</v>
      </c>
      <c r="L693" s="67">
        <f t="shared" si="58"/>
        <v>6</v>
      </c>
      <c r="M693" s="68">
        <v>1.4833299999999999E-3</v>
      </c>
      <c r="N693" s="69">
        <f t="shared" si="50"/>
        <v>6847.6414080072</v>
      </c>
      <c r="O693" s="66"/>
      <c r="P693" s="71">
        <f t="shared" ref="P693:P756" si="59">$P$627*0.5*J693*$U$12</f>
        <v>0</v>
      </c>
      <c r="Q693" s="132"/>
      <c r="R693" s="71">
        <f t="shared" ref="R693:R756" si="60">$R$627*0.5*J693*$U$12</f>
        <v>11772.936533141667</v>
      </c>
      <c r="S693" s="64"/>
    </row>
    <row r="694" spans="1:19">
      <c r="A694" s="64" t="s">
        <v>626</v>
      </c>
      <c r="B694" s="65" t="s">
        <v>903</v>
      </c>
      <c r="C694" s="65" t="s">
        <v>904</v>
      </c>
      <c r="D694" s="64" t="s">
        <v>905</v>
      </c>
      <c r="E694" s="65" t="s">
        <v>280</v>
      </c>
      <c r="F694" s="64" t="s">
        <v>26</v>
      </c>
      <c r="G694" s="65" t="s">
        <v>20</v>
      </c>
      <c r="H694" s="65" t="s">
        <v>928</v>
      </c>
      <c r="I694" s="65">
        <v>201501</v>
      </c>
      <c r="J694" s="66">
        <v>0</v>
      </c>
      <c r="K694" s="72">
        <f t="shared" ref="K694:K757" si="61">+K693</f>
        <v>42675</v>
      </c>
      <c r="L694" s="67">
        <f t="shared" si="58"/>
        <v>6</v>
      </c>
      <c r="M694" s="68">
        <v>1.4833299999999999E-3</v>
      </c>
      <c r="N694" s="69">
        <f t="shared" si="50"/>
        <v>0</v>
      </c>
      <c r="O694" s="66"/>
      <c r="P694" s="71">
        <f t="shared" si="59"/>
        <v>0</v>
      </c>
      <c r="Q694" s="132"/>
      <c r="R694" s="71">
        <f t="shared" si="60"/>
        <v>0</v>
      </c>
      <c r="S694" s="64"/>
    </row>
    <row r="695" spans="1:19">
      <c r="A695" s="64" t="s">
        <v>626</v>
      </c>
      <c r="B695" s="65" t="s">
        <v>1142</v>
      </c>
      <c r="C695" s="65" t="s">
        <v>1143</v>
      </c>
      <c r="D695" s="64" t="s">
        <v>1144</v>
      </c>
      <c r="E695" s="65" t="s">
        <v>164</v>
      </c>
      <c r="F695" s="64" t="s">
        <v>165</v>
      </c>
      <c r="G695" s="65" t="s">
        <v>20</v>
      </c>
      <c r="H695" s="65" t="s">
        <v>928</v>
      </c>
      <c r="I695" s="65">
        <v>201501</v>
      </c>
      <c r="J695" s="66">
        <v>18395.05</v>
      </c>
      <c r="K695" s="72">
        <f t="shared" si="61"/>
        <v>42675</v>
      </c>
      <c r="L695" s="67">
        <f t="shared" si="58"/>
        <v>6</v>
      </c>
      <c r="M695" s="68">
        <v>1.4833299999999999E-3</v>
      </c>
      <c r="N695" s="69">
        <f t="shared" si="50"/>
        <v>163.715577099</v>
      </c>
      <c r="O695" s="66"/>
      <c r="P695" s="71">
        <f t="shared" si="59"/>
        <v>0</v>
      </c>
      <c r="Q695" s="132"/>
      <c r="R695" s="71">
        <f t="shared" si="60"/>
        <v>281.47109111458332</v>
      </c>
      <c r="S695" s="64"/>
    </row>
    <row r="696" spans="1:19">
      <c r="A696" s="64" t="s">
        <v>21</v>
      </c>
      <c r="B696" s="65" t="s">
        <v>953</v>
      </c>
      <c r="C696" s="65" t="s">
        <v>954</v>
      </c>
      <c r="D696" s="64" t="s">
        <v>955</v>
      </c>
      <c r="E696" s="65" t="s">
        <v>531</v>
      </c>
      <c r="F696" s="64" t="s">
        <v>26</v>
      </c>
      <c r="G696" s="65" t="s">
        <v>20</v>
      </c>
      <c r="H696" s="65" t="s">
        <v>928</v>
      </c>
      <c r="I696" s="65">
        <v>201501</v>
      </c>
      <c r="J696" s="66">
        <v>0.2</v>
      </c>
      <c r="K696" s="72">
        <f t="shared" si="61"/>
        <v>42675</v>
      </c>
      <c r="L696" s="67">
        <f t="shared" si="58"/>
        <v>6</v>
      </c>
      <c r="M696" s="68">
        <v>1.4833299999999999E-3</v>
      </c>
      <c r="N696" s="69">
        <f t="shared" si="50"/>
        <v>1.7799960000000001E-3</v>
      </c>
      <c r="O696" s="66"/>
      <c r="P696" s="71">
        <f t="shared" si="59"/>
        <v>0</v>
      </c>
      <c r="Q696" s="132"/>
      <c r="R696" s="71">
        <f t="shared" si="60"/>
        <v>3.0602916666666665E-3</v>
      </c>
      <c r="S696" s="64"/>
    </row>
    <row r="697" spans="1:19">
      <c r="A697" s="64" t="s">
        <v>626</v>
      </c>
      <c r="B697" s="65" t="s">
        <v>909</v>
      </c>
      <c r="C697" s="65" t="s">
        <v>910</v>
      </c>
      <c r="D697" s="64" t="s">
        <v>911</v>
      </c>
      <c r="E697" s="65" t="s">
        <v>79</v>
      </c>
      <c r="F697" s="64" t="s">
        <v>26</v>
      </c>
      <c r="G697" s="65" t="s">
        <v>20</v>
      </c>
      <c r="H697" s="65" t="s">
        <v>928</v>
      </c>
      <c r="I697" s="65">
        <v>201501</v>
      </c>
      <c r="J697" s="66">
        <v>47.73</v>
      </c>
      <c r="K697" s="72">
        <f t="shared" si="61"/>
        <v>42675</v>
      </c>
      <c r="L697" s="67">
        <f t="shared" si="58"/>
        <v>6</v>
      </c>
      <c r="M697" s="68">
        <v>1.4833299999999999E-3</v>
      </c>
      <c r="N697" s="69">
        <f t="shared" si="50"/>
        <v>0.42479604539999999</v>
      </c>
      <c r="O697" s="66"/>
      <c r="P697" s="71">
        <f t="shared" si="59"/>
        <v>0</v>
      </c>
      <c r="Q697" s="132"/>
      <c r="R697" s="71">
        <f t="shared" si="60"/>
        <v>0.7303386062499998</v>
      </c>
      <c r="S697" s="64"/>
    </row>
    <row r="698" spans="1:19">
      <c r="A698" s="64" t="s">
        <v>626</v>
      </c>
      <c r="B698" s="65" t="s">
        <v>956</v>
      </c>
      <c r="C698" s="65" t="s">
        <v>957</v>
      </c>
      <c r="D698" s="64" t="s">
        <v>958</v>
      </c>
      <c r="E698" s="65" t="s">
        <v>809</v>
      </c>
      <c r="F698" s="64" t="s">
        <v>26</v>
      </c>
      <c r="G698" s="65" t="s">
        <v>20</v>
      </c>
      <c r="H698" s="65" t="s">
        <v>928</v>
      </c>
      <c r="I698" s="65">
        <v>201501</v>
      </c>
      <c r="J698" s="66">
        <v>0</v>
      </c>
      <c r="K698" s="72">
        <f t="shared" si="61"/>
        <v>42675</v>
      </c>
      <c r="L698" s="67">
        <f t="shared" si="58"/>
        <v>6</v>
      </c>
      <c r="M698" s="68">
        <v>1.4833299999999999E-3</v>
      </c>
      <c r="N698" s="69">
        <f t="shared" si="50"/>
        <v>0</v>
      </c>
      <c r="O698" s="66"/>
      <c r="P698" s="71">
        <f t="shared" si="59"/>
        <v>0</v>
      </c>
      <c r="Q698" s="132"/>
      <c r="R698" s="71">
        <f t="shared" si="60"/>
        <v>0</v>
      </c>
      <c r="S698" s="64"/>
    </row>
    <row r="699" spans="1:19">
      <c r="A699" s="64" t="s">
        <v>626</v>
      </c>
      <c r="B699" s="65" t="s">
        <v>1203</v>
      </c>
      <c r="C699" s="65" t="s">
        <v>1204</v>
      </c>
      <c r="D699" s="64" t="s">
        <v>1205</v>
      </c>
      <c r="E699" s="65" t="s">
        <v>260</v>
      </c>
      <c r="F699" s="64" t="s">
        <v>26</v>
      </c>
      <c r="G699" s="65" t="s">
        <v>20</v>
      </c>
      <c r="H699" s="65" t="s">
        <v>928</v>
      </c>
      <c r="I699" s="65">
        <v>201501</v>
      </c>
      <c r="J699" s="66">
        <v>34182.43</v>
      </c>
      <c r="K699" s="72">
        <f t="shared" si="61"/>
        <v>42675</v>
      </c>
      <c r="L699" s="67">
        <f t="shared" si="58"/>
        <v>6</v>
      </c>
      <c r="M699" s="68">
        <v>1.4833299999999999E-3</v>
      </c>
      <c r="N699" s="69">
        <f t="shared" si="50"/>
        <v>304.22294335139998</v>
      </c>
      <c r="O699" s="66"/>
      <c r="P699" s="71">
        <f t="shared" si="59"/>
        <v>0</v>
      </c>
      <c r="Q699" s="132"/>
      <c r="R699" s="71">
        <f t="shared" si="60"/>
        <v>523.04102837708331</v>
      </c>
      <c r="S699" s="64"/>
    </row>
    <row r="700" spans="1:19">
      <c r="A700" s="64" t="s">
        <v>626</v>
      </c>
      <c r="B700" s="65" t="s">
        <v>963</v>
      </c>
      <c r="C700" s="65" t="s">
        <v>964</v>
      </c>
      <c r="D700" s="64" t="s">
        <v>965</v>
      </c>
      <c r="E700" s="65" t="s">
        <v>164</v>
      </c>
      <c r="F700" s="64" t="s">
        <v>165</v>
      </c>
      <c r="G700" s="65" t="s">
        <v>20</v>
      </c>
      <c r="H700" s="65" t="s">
        <v>928</v>
      </c>
      <c r="I700" s="65">
        <v>201501</v>
      </c>
      <c r="J700" s="66">
        <v>-2.04</v>
      </c>
      <c r="K700" s="72">
        <f t="shared" si="61"/>
        <v>42675</v>
      </c>
      <c r="L700" s="67">
        <f t="shared" si="58"/>
        <v>6</v>
      </c>
      <c r="M700" s="68">
        <v>1.4833299999999999E-3</v>
      </c>
      <c r="N700" s="69">
        <f t="shared" si="50"/>
        <v>-1.8155959200000002E-2</v>
      </c>
      <c r="O700" s="66"/>
      <c r="P700" s="71">
        <f t="shared" si="59"/>
        <v>0</v>
      </c>
      <c r="Q700" s="132"/>
      <c r="R700" s="71">
        <f t="shared" si="60"/>
        <v>-3.1214974999999996E-2</v>
      </c>
      <c r="S700" s="64"/>
    </row>
    <row r="701" spans="1:19">
      <c r="A701" s="64" t="s">
        <v>626</v>
      </c>
      <c r="B701" s="65" t="s">
        <v>1206</v>
      </c>
      <c r="C701" s="65" t="s">
        <v>1207</v>
      </c>
      <c r="D701" s="64" t="s">
        <v>1208</v>
      </c>
      <c r="E701" s="65" t="s">
        <v>280</v>
      </c>
      <c r="F701" s="64" t="s">
        <v>26</v>
      </c>
      <c r="G701" s="65" t="s">
        <v>20</v>
      </c>
      <c r="H701" s="65" t="s">
        <v>928</v>
      </c>
      <c r="I701" s="65">
        <v>201501</v>
      </c>
      <c r="J701" s="66">
        <v>2643.04</v>
      </c>
      <c r="K701" s="72">
        <f t="shared" si="61"/>
        <v>42675</v>
      </c>
      <c r="L701" s="67">
        <f t="shared" si="58"/>
        <v>6</v>
      </c>
      <c r="M701" s="68">
        <v>1.4833299999999999E-3</v>
      </c>
      <c r="N701" s="69">
        <f t="shared" si="50"/>
        <v>23.5230031392</v>
      </c>
      <c r="O701" s="66"/>
      <c r="P701" s="71">
        <f t="shared" si="59"/>
        <v>0</v>
      </c>
      <c r="Q701" s="132"/>
      <c r="R701" s="71">
        <f t="shared" si="60"/>
        <v>40.442366433333333</v>
      </c>
      <c r="S701" s="64"/>
    </row>
    <row r="702" spans="1:19">
      <c r="A702" s="64" t="s">
        <v>626</v>
      </c>
      <c r="B702" s="65" t="s">
        <v>1044</v>
      </c>
      <c r="C702" s="65" t="s">
        <v>1045</v>
      </c>
      <c r="D702" s="64" t="s">
        <v>1046</v>
      </c>
      <c r="E702" s="65" t="s">
        <v>164</v>
      </c>
      <c r="F702" s="64" t="s">
        <v>165</v>
      </c>
      <c r="G702" s="65" t="s">
        <v>20</v>
      </c>
      <c r="H702" s="65" t="s">
        <v>928</v>
      </c>
      <c r="I702" s="65">
        <v>201501</v>
      </c>
      <c r="J702" s="66">
        <v>-20078.13</v>
      </c>
      <c r="K702" s="72">
        <f t="shared" si="61"/>
        <v>42675</v>
      </c>
      <c r="L702" s="67">
        <f t="shared" si="58"/>
        <v>6</v>
      </c>
      <c r="M702" s="68">
        <v>1.4833299999999999E-3</v>
      </c>
      <c r="N702" s="69">
        <f t="shared" si="50"/>
        <v>-178.69495543740001</v>
      </c>
      <c r="O702" s="66"/>
      <c r="P702" s="71">
        <f t="shared" si="59"/>
        <v>0</v>
      </c>
      <c r="Q702" s="132"/>
      <c r="R702" s="71">
        <f t="shared" si="60"/>
        <v>-307.22466960625002</v>
      </c>
      <c r="S702" s="64"/>
    </row>
    <row r="703" spans="1:19">
      <c r="A703" s="64" t="s">
        <v>626</v>
      </c>
      <c r="B703" s="65" t="s">
        <v>969</v>
      </c>
      <c r="C703" s="65" t="s">
        <v>970</v>
      </c>
      <c r="D703" s="64" t="s">
        <v>971</v>
      </c>
      <c r="E703" s="65" t="s">
        <v>164</v>
      </c>
      <c r="F703" s="64" t="s">
        <v>165</v>
      </c>
      <c r="G703" s="65" t="s">
        <v>20</v>
      </c>
      <c r="H703" s="65" t="s">
        <v>928</v>
      </c>
      <c r="I703" s="65">
        <v>201501</v>
      </c>
      <c r="J703" s="66">
        <v>234.22</v>
      </c>
      <c r="K703" s="72">
        <f t="shared" si="61"/>
        <v>42675</v>
      </c>
      <c r="L703" s="67">
        <f t="shared" si="58"/>
        <v>6</v>
      </c>
      <c r="M703" s="68">
        <v>1.4833299999999999E-3</v>
      </c>
      <c r="N703" s="69">
        <f t="shared" si="50"/>
        <v>2.0845533156</v>
      </c>
      <c r="O703" s="66"/>
      <c r="P703" s="71">
        <f t="shared" si="59"/>
        <v>0</v>
      </c>
      <c r="Q703" s="132"/>
      <c r="R703" s="71">
        <f t="shared" si="60"/>
        <v>3.583907570833333</v>
      </c>
      <c r="S703" s="64"/>
    </row>
    <row r="704" spans="1:19">
      <c r="A704" s="64" t="s">
        <v>626</v>
      </c>
      <c r="B704" s="65" t="s">
        <v>912</v>
      </c>
      <c r="C704" s="65" t="s">
        <v>913</v>
      </c>
      <c r="D704" s="64" t="s">
        <v>914</v>
      </c>
      <c r="E704" s="65" t="s">
        <v>164</v>
      </c>
      <c r="F704" s="64" t="s">
        <v>165</v>
      </c>
      <c r="G704" s="65" t="s">
        <v>20</v>
      </c>
      <c r="H704" s="65" t="s">
        <v>928</v>
      </c>
      <c r="I704" s="65">
        <v>201501</v>
      </c>
      <c r="J704" s="66">
        <v>-8.36</v>
      </c>
      <c r="K704" s="72">
        <f t="shared" si="61"/>
        <v>42675</v>
      </c>
      <c r="L704" s="67">
        <f t="shared" si="58"/>
        <v>6</v>
      </c>
      <c r="M704" s="68">
        <v>1.4833299999999999E-3</v>
      </c>
      <c r="N704" s="69">
        <f t="shared" si="50"/>
        <v>-7.44038328E-2</v>
      </c>
      <c r="O704" s="66"/>
      <c r="P704" s="71">
        <f t="shared" si="59"/>
        <v>0</v>
      </c>
      <c r="Q704" s="132"/>
      <c r="R704" s="71">
        <f t="shared" si="60"/>
        <v>-0.12792019166666665</v>
      </c>
      <c r="S704" s="64"/>
    </row>
    <row r="705" spans="1:19">
      <c r="A705" s="64" t="s">
        <v>626</v>
      </c>
      <c r="B705" s="65" t="s">
        <v>915</v>
      </c>
      <c r="C705" s="65" t="s">
        <v>916</v>
      </c>
      <c r="D705" s="64" t="s">
        <v>917</v>
      </c>
      <c r="E705" s="65" t="s">
        <v>918</v>
      </c>
      <c r="F705" s="64" t="s">
        <v>143</v>
      </c>
      <c r="G705" s="65" t="s">
        <v>20</v>
      </c>
      <c r="H705" s="65" t="s">
        <v>928</v>
      </c>
      <c r="I705" s="65">
        <v>201501</v>
      </c>
      <c r="J705" s="66">
        <v>0</v>
      </c>
      <c r="K705" s="72">
        <f t="shared" si="61"/>
        <v>42675</v>
      </c>
      <c r="L705" s="67">
        <f t="shared" si="58"/>
        <v>6</v>
      </c>
      <c r="M705" s="68">
        <v>1.4833299999999999E-3</v>
      </c>
      <c r="N705" s="69">
        <f t="shared" si="50"/>
        <v>0</v>
      </c>
      <c r="O705" s="66"/>
      <c r="P705" s="71">
        <f t="shared" si="59"/>
        <v>0</v>
      </c>
      <c r="Q705" s="132"/>
      <c r="R705" s="71">
        <f t="shared" si="60"/>
        <v>0</v>
      </c>
      <c r="S705" s="64"/>
    </row>
    <row r="706" spans="1:19">
      <c r="A706" s="64" t="s">
        <v>21</v>
      </c>
      <c r="B706" s="65" t="s">
        <v>891</v>
      </c>
      <c r="C706" s="65" t="s">
        <v>892</v>
      </c>
      <c r="D706" s="64" t="s">
        <v>893</v>
      </c>
      <c r="E706" s="65" t="s">
        <v>360</v>
      </c>
      <c r="F706" s="64" t="s">
        <v>19</v>
      </c>
      <c r="G706" s="65" t="s">
        <v>20</v>
      </c>
      <c r="H706" s="65" t="s">
        <v>928</v>
      </c>
      <c r="I706" s="65">
        <v>201501</v>
      </c>
      <c r="J706" s="66">
        <v>0</v>
      </c>
      <c r="K706" s="72">
        <f t="shared" si="61"/>
        <v>42675</v>
      </c>
      <c r="L706" s="67">
        <f t="shared" si="58"/>
        <v>6</v>
      </c>
      <c r="M706" s="68">
        <v>1.4833299999999999E-3</v>
      </c>
      <c r="N706" s="69">
        <f t="shared" si="50"/>
        <v>0</v>
      </c>
      <c r="O706" s="66"/>
      <c r="P706" s="71">
        <f t="shared" si="59"/>
        <v>0</v>
      </c>
      <c r="Q706" s="132"/>
      <c r="R706" s="71">
        <f t="shared" si="60"/>
        <v>0</v>
      </c>
      <c r="S706" s="64"/>
    </row>
    <row r="707" spans="1:19">
      <c r="A707" s="64" t="s">
        <v>626</v>
      </c>
      <c r="B707" s="65" t="s">
        <v>919</v>
      </c>
      <c r="C707" s="65" t="s">
        <v>920</v>
      </c>
      <c r="D707" s="64" t="s">
        <v>921</v>
      </c>
      <c r="E707" s="65" t="s">
        <v>164</v>
      </c>
      <c r="F707" s="64" t="s">
        <v>165</v>
      </c>
      <c r="G707" s="65" t="s">
        <v>20</v>
      </c>
      <c r="H707" s="65" t="s">
        <v>928</v>
      </c>
      <c r="I707" s="65">
        <v>201501</v>
      </c>
      <c r="J707" s="66">
        <v>-4.32</v>
      </c>
      <c r="K707" s="72">
        <f t="shared" si="61"/>
        <v>42675</v>
      </c>
      <c r="L707" s="67">
        <f t="shared" si="58"/>
        <v>6</v>
      </c>
      <c r="M707" s="68">
        <v>1.4833299999999999E-3</v>
      </c>
      <c r="N707" s="69">
        <f t="shared" si="50"/>
        <v>-3.8447913600000001E-2</v>
      </c>
      <c r="O707" s="66"/>
      <c r="P707" s="71">
        <f t="shared" si="59"/>
        <v>0</v>
      </c>
      <c r="Q707" s="132"/>
      <c r="R707" s="71">
        <f t="shared" si="60"/>
        <v>-6.6102299999999989E-2</v>
      </c>
      <c r="S707" s="64"/>
    </row>
    <row r="708" spans="1:19">
      <c r="A708" s="64" t="s">
        <v>21</v>
      </c>
      <c r="B708" s="65" t="s">
        <v>894</v>
      </c>
      <c r="C708" s="65" t="s">
        <v>895</v>
      </c>
      <c r="D708" s="64" t="s">
        <v>896</v>
      </c>
      <c r="E708" s="65" t="s">
        <v>280</v>
      </c>
      <c r="F708" s="64" t="s">
        <v>26</v>
      </c>
      <c r="G708" s="65" t="s">
        <v>20</v>
      </c>
      <c r="H708" s="65" t="s">
        <v>928</v>
      </c>
      <c r="I708" s="65">
        <v>201501</v>
      </c>
      <c r="J708" s="66">
        <v>-5.49</v>
      </c>
      <c r="K708" s="72">
        <f t="shared" si="61"/>
        <v>42675</v>
      </c>
      <c r="L708" s="67">
        <f t="shared" si="58"/>
        <v>6</v>
      </c>
      <c r="M708" s="68">
        <v>1.4833299999999999E-3</v>
      </c>
      <c r="N708" s="69">
        <f t="shared" si="50"/>
        <v>-4.88608902E-2</v>
      </c>
      <c r="O708" s="66"/>
      <c r="P708" s="71">
        <f t="shared" si="59"/>
        <v>0</v>
      </c>
      <c r="Q708" s="132"/>
      <c r="R708" s="71">
        <f t="shared" si="60"/>
        <v>-8.400500625E-2</v>
      </c>
      <c r="S708" s="64"/>
    </row>
    <row r="709" spans="1:19">
      <c r="A709" s="64" t="s">
        <v>626</v>
      </c>
      <c r="B709" s="65" t="s">
        <v>1047</v>
      </c>
      <c r="C709" s="65" t="s">
        <v>1048</v>
      </c>
      <c r="D709" s="64" t="s">
        <v>1049</v>
      </c>
      <c r="E709" s="65" t="s">
        <v>164</v>
      </c>
      <c r="F709" s="64" t="s">
        <v>165</v>
      </c>
      <c r="G709" s="65" t="s">
        <v>20</v>
      </c>
      <c r="H709" s="65" t="s">
        <v>928</v>
      </c>
      <c r="I709" s="65">
        <v>201501</v>
      </c>
      <c r="J709" s="66">
        <v>-180.44</v>
      </c>
      <c r="K709" s="72">
        <f t="shared" si="61"/>
        <v>42675</v>
      </c>
      <c r="L709" s="67">
        <f t="shared" si="58"/>
        <v>6</v>
      </c>
      <c r="M709" s="68">
        <v>1.4833299999999999E-3</v>
      </c>
      <c r="N709" s="69">
        <f t="shared" si="50"/>
        <v>-1.6059123912</v>
      </c>
      <c r="O709" s="66"/>
      <c r="P709" s="71">
        <f t="shared" si="59"/>
        <v>0</v>
      </c>
      <c r="Q709" s="132"/>
      <c r="R709" s="71">
        <f t="shared" si="60"/>
        <v>-2.7609951416666663</v>
      </c>
      <c r="S709" s="64"/>
    </row>
    <row r="710" spans="1:19">
      <c r="A710" s="64" t="s">
        <v>626</v>
      </c>
      <c r="B710" s="65" t="s">
        <v>1106</v>
      </c>
      <c r="C710" s="65" t="s">
        <v>1107</v>
      </c>
      <c r="D710" s="64" t="s">
        <v>1108</v>
      </c>
      <c r="E710" s="65" t="s">
        <v>18</v>
      </c>
      <c r="F710" s="64" t="s">
        <v>19</v>
      </c>
      <c r="G710" s="65" t="s">
        <v>20</v>
      </c>
      <c r="H710" s="65" t="s">
        <v>928</v>
      </c>
      <c r="I710" s="65">
        <v>201501</v>
      </c>
      <c r="J710" s="66">
        <v>-127.94</v>
      </c>
      <c r="K710" s="72">
        <f t="shared" si="61"/>
        <v>42675</v>
      </c>
      <c r="L710" s="67">
        <f t="shared" si="58"/>
        <v>6</v>
      </c>
      <c r="M710" s="68">
        <v>1.4833299999999999E-3</v>
      </c>
      <c r="N710" s="69">
        <f t="shared" si="50"/>
        <v>-1.1386634412000001</v>
      </c>
      <c r="O710" s="66"/>
      <c r="P710" s="71">
        <f t="shared" si="59"/>
        <v>0</v>
      </c>
      <c r="Q710" s="132"/>
      <c r="R710" s="71">
        <f t="shared" si="60"/>
        <v>-1.9576685791666661</v>
      </c>
      <c r="S710" s="64"/>
    </row>
    <row r="711" spans="1:19">
      <c r="A711" s="64" t="s">
        <v>21</v>
      </c>
      <c r="B711" s="65" t="s">
        <v>1151</v>
      </c>
      <c r="C711" s="65" t="s">
        <v>1152</v>
      </c>
      <c r="D711" s="64" t="s">
        <v>1153</v>
      </c>
      <c r="E711" s="65" t="s">
        <v>70</v>
      </c>
      <c r="F711" s="64" t="s">
        <v>71</v>
      </c>
      <c r="G711" s="65" t="s">
        <v>20</v>
      </c>
      <c r="H711" s="65" t="s">
        <v>928</v>
      </c>
      <c r="I711" s="65">
        <v>201501</v>
      </c>
      <c r="J711" s="66">
        <v>-4051.45</v>
      </c>
      <c r="K711" s="72">
        <f t="shared" si="61"/>
        <v>42675</v>
      </c>
      <c r="L711" s="67">
        <f t="shared" si="58"/>
        <v>6</v>
      </c>
      <c r="M711" s="68">
        <v>1.4833299999999999E-3</v>
      </c>
      <c r="N711" s="69">
        <f t="shared" si="50"/>
        <v>-36.057823970999998</v>
      </c>
      <c r="O711" s="66"/>
      <c r="P711" s="71">
        <f t="shared" si="59"/>
        <v>0</v>
      </c>
      <c r="Q711" s="132"/>
      <c r="R711" s="71">
        <f t="shared" si="60"/>
        <v>-61.993093364583324</v>
      </c>
      <c r="S711" s="64"/>
    </row>
    <row r="712" spans="1:19">
      <c r="A712" s="64" t="s">
        <v>21</v>
      </c>
      <c r="B712" s="65" t="s">
        <v>978</v>
      </c>
      <c r="C712" s="65" t="s">
        <v>979</v>
      </c>
      <c r="D712" s="64" t="s">
        <v>980</v>
      </c>
      <c r="E712" s="65" t="s">
        <v>102</v>
      </c>
      <c r="F712" s="64" t="s">
        <v>19</v>
      </c>
      <c r="G712" s="65" t="s">
        <v>20</v>
      </c>
      <c r="H712" s="65" t="s">
        <v>928</v>
      </c>
      <c r="I712" s="65">
        <v>201501</v>
      </c>
      <c r="J712" s="66">
        <v>0</v>
      </c>
      <c r="K712" s="72">
        <f t="shared" si="61"/>
        <v>42675</v>
      </c>
      <c r="L712" s="67">
        <f t="shared" si="58"/>
        <v>6</v>
      </c>
      <c r="M712" s="68">
        <v>1.4833299999999999E-3</v>
      </c>
      <c r="N712" s="69">
        <f t="shared" si="50"/>
        <v>0</v>
      </c>
      <c r="O712" s="66"/>
      <c r="P712" s="71">
        <f t="shared" si="59"/>
        <v>0</v>
      </c>
      <c r="Q712" s="132"/>
      <c r="R712" s="71">
        <f t="shared" si="60"/>
        <v>0</v>
      </c>
      <c r="S712" s="64"/>
    </row>
    <row r="713" spans="1:19">
      <c r="A713" s="64" t="s">
        <v>626</v>
      </c>
      <c r="B713" s="65" t="s">
        <v>1109</v>
      </c>
      <c r="C713" s="65" t="s">
        <v>1110</v>
      </c>
      <c r="D713" s="64" t="s">
        <v>1111</v>
      </c>
      <c r="E713" s="65" t="s">
        <v>260</v>
      </c>
      <c r="F713" s="64" t="s">
        <v>26</v>
      </c>
      <c r="G713" s="65" t="s">
        <v>20</v>
      </c>
      <c r="H713" s="65" t="s">
        <v>928</v>
      </c>
      <c r="I713" s="65">
        <v>201501</v>
      </c>
      <c r="J713" s="66">
        <v>-2560.84</v>
      </c>
      <c r="K713" s="72">
        <f t="shared" si="61"/>
        <v>42675</v>
      </c>
      <c r="L713" s="67">
        <f t="shared" si="58"/>
        <v>6</v>
      </c>
      <c r="M713" s="68">
        <v>1.4833299999999999E-3</v>
      </c>
      <c r="N713" s="69">
        <f t="shared" si="50"/>
        <v>-22.7914247832</v>
      </c>
      <c r="O713" s="66"/>
      <c r="P713" s="71">
        <f t="shared" si="59"/>
        <v>0</v>
      </c>
      <c r="Q713" s="132"/>
      <c r="R713" s="71">
        <f t="shared" si="60"/>
        <v>-39.184586558333329</v>
      </c>
      <c r="S713" s="64"/>
    </row>
    <row r="714" spans="1:19">
      <c r="A714" s="64" t="s">
        <v>626</v>
      </c>
      <c r="B714" s="65" t="s">
        <v>1050</v>
      </c>
      <c r="C714" s="65" t="s">
        <v>1051</v>
      </c>
      <c r="D714" s="64" t="s">
        <v>1052</v>
      </c>
      <c r="E714" s="65" t="s">
        <v>164</v>
      </c>
      <c r="F714" s="64" t="s">
        <v>165</v>
      </c>
      <c r="G714" s="65" t="s">
        <v>20</v>
      </c>
      <c r="H714" s="65" t="s">
        <v>928</v>
      </c>
      <c r="I714" s="65">
        <v>201501</v>
      </c>
      <c r="J714" s="66">
        <v>-125.4</v>
      </c>
      <c r="K714" s="72">
        <f t="shared" si="61"/>
        <v>42675</v>
      </c>
      <c r="L714" s="67">
        <f t="shared" si="58"/>
        <v>6</v>
      </c>
      <c r="M714" s="68">
        <v>1.4833299999999999E-3</v>
      </c>
      <c r="N714" s="69">
        <f t="shared" si="50"/>
        <v>-1.1160574920000002</v>
      </c>
      <c r="O714" s="66"/>
      <c r="P714" s="71">
        <f t="shared" si="59"/>
        <v>0</v>
      </c>
      <c r="Q714" s="132"/>
      <c r="R714" s="71">
        <f t="shared" si="60"/>
        <v>-1.9188028750000001</v>
      </c>
      <c r="S714" s="64"/>
    </row>
    <row r="715" spans="1:19">
      <c r="A715" s="64" t="s">
        <v>626</v>
      </c>
      <c r="B715" s="65" t="s">
        <v>1209</v>
      </c>
      <c r="C715" s="65" t="s">
        <v>1210</v>
      </c>
      <c r="D715" s="64" t="s">
        <v>1211</v>
      </c>
      <c r="E715" s="65" t="s">
        <v>79</v>
      </c>
      <c r="F715" s="64" t="s">
        <v>26</v>
      </c>
      <c r="G715" s="65" t="s">
        <v>20</v>
      </c>
      <c r="H715" s="65" t="s">
        <v>928</v>
      </c>
      <c r="I715" s="65">
        <v>201501</v>
      </c>
      <c r="J715" s="66">
        <v>23997.22</v>
      </c>
      <c r="K715" s="72">
        <f t="shared" si="61"/>
        <v>42675</v>
      </c>
      <c r="L715" s="67">
        <f t="shared" si="58"/>
        <v>6</v>
      </c>
      <c r="M715" s="68">
        <v>1.4833299999999999E-3</v>
      </c>
      <c r="N715" s="69">
        <f t="shared" si="50"/>
        <v>213.57477805560001</v>
      </c>
      <c r="O715" s="66"/>
      <c r="P715" s="71">
        <f t="shared" si="59"/>
        <v>0</v>
      </c>
      <c r="Q715" s="132"/>
      <c r="R715" s="71">
        <f t="shared" si="60"/>
        <v>367.19246194583332</v>
      </c>
      <c r="S715" s="64"/>
    </row>
    <row r="716" spans="1:19">
      <c r="A716" s="64" t="s">
        <v>626</v>
      </c>
      <c r="B716" s="65" t="s">
        <v>981</v>
      </c>
      <c r="C716" s="65" t="s">
        <v>982</v>
      </c>
      <c r="D716" s="64" t="s">
        <v>983</v>
      </c>
      <c r="E716" s="65" t="s">
        <v>531</v>
      </c>
      <c r="F716" s="64" t="s">
        <v>26</v>
      </c>
      <c r="G716" s="65" t="s">
        <v>20</v>
      </c>
      <c r="H716" s="65" t="s">
        <v>928</v>
      </c>
      <c r="I716" s="65">
        <v>201501</v>
      </c>
      <c r="J716" s="66">
        <v>-222.36</v>
      </c>
      <c r="K716" s="72">
        <f t="shared" si="61"/>
        <v>42675</v>
      </c>
      <c r="L716" s="67">
        <f t="shared" si="58"/>
        <v>6</v>
      </c>
      <c r="M716" s="68">
        <v>1.4833299999999999E-3</v>
      </c>
      <c r="N716" s="69">
        <f t="shared" si="50"/>
        <v>-1.9789995528000002</v>
      </c>
      <c r="O716" s="66"/>
      <c r="P716" s="71">
        <f t="shared" si="59"/>
        <v>0</v>
      </c>
      <c r="Q716" s="132"/>
      <c r="R716" s="71">
        <f t="shared" si="60"/>
        <v>-3.4024322749999998</v>
      </c>
      <c r="S716" s="64"/>
    </row>
    <row r="717" spans="1:19">
      <c r="A717" s="64" t="s">
        <v>626</v>
      </c>
      <c r="B717" s="65" t="s">
        <v>1053</v>
      </c>
      <c r="C717" s="65" t="s">
        <v>1054</v>
      </c>
      <c r="D717" s="64" t="s">
        <v>1055</v>
      </c>
      <c r="E717" s="65" t="s">
        <v>160</v>
      </c>
      <c r="F717" s="64" t="s">
        <v>19</v>
      </c>
      <c r="G717" s="65" t="s">
        <v>20</v>
      </c>
      <c r="H717" s="65" t="s">
        <v>928</v>
      </c>
      <c r="I717" s="65">
        <v>201501</v>
      </c>
      <c r="J717" s="66">
        <v>-6.33</v>
      </c>
      <c r="K717" s="72">
        <f t="shared" si="61"/>
        <v>42675</v>
      </c>
      <c r="L717" s="67">
        <f t="shared" si="58"/>
        <v>6</v>
      </c>
      <c r="M717" s="68">
        <v>1.4833299999999999E-3</v>
      </c>
      <c r="N717" s="69">
        <f t="shared" si="50"/>
        <v>-5.6336873400000001E-2</v>
      </c>
      <c r="O717" s="66"/>
      <c r="P717" s="71">
        <f t="shared" si="59"/>
        <v>0</v>
      </c>
      <c r="Q717" s="132"/>
      <c r="R717" s="71">
        <f t="shared" si="60"/>
        <v>-9.6858231249999996E-2</v>
      </c>
      <c r="S717" s="64"/>
    </row>
    <row r="718" spans="1:19">
      <c r="A718" s="64" t="s">
        <v>626</v>
      </c>
      <c r="B718" s="65" t="s">
        <v>1056</v>
      </c>
      <c r="C718" s="65" t="s">
        <v>1057</v>
      </c>
      <c r="D718" s="64" t="s">
        <v>1058</v>
      </c>
      <c r="E718" s="65" t="s">
        <v>1059</v>
      </c>
      <c r="F718" s="64" t="s">
        <v>26</v>
      </c>
      <c r="G718" s="65" t="s">
        <v>20</v>
      </c>
      <c r="H718" s="65" t="s">
        <v>928</v>
      </c>
      <c r="I718" s="65">
        <v>201501</v>
      </c>
      <c r="J718" s="66">
        <v>-1626.32</v>
      </c>
      <c r="K718" s="72">
        <f t="shared" si="61"/>
        <v>42675</v>
      </c>
      <c r="L718" s="67">
        <f t="shared" si="58"/>
        <v>6</v>
      </c>
      <c r="M718" s="68">
        <v>1.4833299999999999E-3</v>
      </c>
      <c r="N718" s="69">
        <f t="shared" si="50"/>
        <v>-14.474215473599999</v>
      </c>
      <c r="O718" s="66"/>
      <c r="P718" s="71">
        <f t="shared" si="59"/>
        <v>0</v>
      </c>
      <c r="Q718" s="132"/>
      <c r="R718" s="71">
        <f t="shared" si="60"/>
        <v>-24.885067716666665</v>
      </c>
      <c r="S718" s="64"/>
    </row>
    <row r="719" spans="1:19">
      <c r="A719" s="64" t="s">
        <v>626</v>
      </c>
      <c r="B719" s="65" t="s">
        <v>1157</v>
      </c>
      <c r="C719" s="65" t="s">
        <v>1158</v>
      </c>
      <c r="D719" s="64" t="s">
        <v>1159</v>
      </c>
      <c r="E719" s="65" t="s">
        <v>160</v>
      </c>
      <c r="F719" s="64" t="s">
        <v>19</v>
      </c>
      <c r="G719" s="65" t="s">
        <v>20</v>
      </c>
      <c r="H719" s="65" t="s">
        <v>928</v>
      </c>
      <c r="I719" s="65">
        <v>201501</v>
      </c>
      <c r="J719" s="66">
        <v>-19.29</v>
      </c>
      <c r="K719" s="72">
        <f t="shared" si="61"/>
        <v>42675</v>
      </c>
      <c r="L719" s="67">
        <f t="shared" si="58"/>
        <v>6</v>
      </c>
      <c r="M719" s="68">
        <v>1.4833299999999999E-3</v>
      </c>
      <c r="N719" s="69">
        <f t="shared" si="50"/>
        <v>-0.1716806142</v>
      </c>
      <c r="O719" s="66"/>
      <c r="P719" s="71">
        <f t="shared" si="59"/>
        <v>0</v>
      </c>
      <c r="Q719" s="132"/>
      <c r="R719" s="71">
        <f t="shared" si="60"/>
        <v>-0.29516513124999999</v>
      </c>
      <c r="S719" s="64"/>
    </row>
    <row r="720" spans="1:19">
      <c r="A720" s="64" t="s">
        <v>626</v>
      </c>
      <c r="B720" s="65" t="s">
        <v>1160</v>
      </c>
      <c r="C720" s="65" t="s">
        <v>1161</v>
      </c>
      <c r="D720" s="64" t="s">
        <v>1162</v>
      </c>
      <c r="E720" s="65" t="s">
        <v>160</v>
      </c>
      <c r="F720" s="64" t="s">
        <v>19</v>
      </c>
      <c r="G720" s="65" t="s">
        <v>20</v>
      </c>
      <c r="H720" s="65" t="s">
        <v>928</v>
      </c>
      <c r="I720" s="65">
        <v>201501</v>
      </c>
      <c r="J720" s="66">
        <v>-34.159999999999997</v>
      </c>
      <c r="K720" s="72">
        <f t="shared" si="61"/>
        <v>42675</v>
      </c>
      <c r="L720" s="67">
        <f t="shared" si="58"/>
        <v>6</v>
      </c>
      <c r="M720" s="68">
        <v>1.4833299999999999E-3</v>
      </c>
      <c r="N720" s="69">
        <f t="shared" si="50"/>
        <v>-0.3040233168</v>
      </c>
      <c r="O720" s="66"/>
      <c r="P720" s="71">
        <f t="shared" si="59"/>
        <v>0</v>
      </c>
      <c r="Q720" s="132"/>
      <c r="R720" s="71">
        <f t="shared" si="60"/>
        <v>-0.52269781666666659</v>
      </c>
      <c r="S720" s="64"/>
    </row>
    <row r="721" spans="1:19">
      <c r="A721" s="64" t="s">
        <v>626</v>
      </c>
      <c r="B721" s="65" t="s">
        <v>1163</v>
      </c>
      <c r="C721" s="65" t="s">
        <v>1164</v>
      </c>
      <c r="D721" s="64" t="s">
        <v>1165</v>
      </c>
      <c r="E721" s="65" t="s">
        <v>75</v>
      </c>
      <c r="F721" s="64" t="s">
        <v>26</v>
      </c>
      <c r="G721" s="65" t="s">
        <v>20</v>
      </c>
      <c r="H721" s="65" t="s">
        <v>928</v>
      </c>
      <c r="I721" s="65">
        <v>201501</v>
      </c>
      <c r="J721" s="66">
        <v>-264.39</v>
      </c>
      <c r="K721" s="72">
        <f t="shared" si="61"/>
        <v>42675</v>
      </c>
      <c r="L721" s="67">
        <f t="shared" si="58"/>
        <v>6</v>
      </c>
      <c r="M721" s="68">
        <v>1.4833299999999999E-3</v>
      </c>
      <c r="N721" s="69">
        <f t="shared" si="50"/>
        <v>-2.3530657121999998</v>
      </c>
      <c r="O721" s="66"/>
      <c r="P721" s="71">
        <f t="shared" si="59"/>
        <v>0</v>
      </c>
      <c r="Q721" s="132"/>
      <c r="R721" s="71">
        <f t="shared" si="60"/>
        <v>-4.0455525687499989</v>
      </c>
      <c r="S721" s="64"/>
    </row>
    <row r="722" spans="1:19">
      <c r="A722" s="64" t="s">
        <v>626</v>
      </c>
      <c r="B722" s="65" t="s">
        <v>987</v>
      </c>
      <c r="C722" s="65" t="s">
        <v>988</v>
      </c>
      <c r="D722" s="64" t="s">
        <v>989</v>
      </c>
      <c r="E722" s="65" t="s">
        <v>63</v>
      </c>
      <c r="F722" s="64" t="s">
        <v>19</v>
      </c>
      <c r="G722" s="65" t="s">
        <v>20</v>
      </c>
      <c r="H722" s="65" t="s">
        <v>928</v>
      </c>
      <c r="I722" s="65">
        <v>201501</v>
      </c>
      <c r="J722" s="66">
        <v>0</v>
      </c>
      <c r="K722" s="72">
        <f t="shared" si="61"/>
        <v>42675</v>
      </c>
      <c r="L722" s="67">
        <f t="shared" si="58"/>
        <v>6</v>
      </c>
      <c r="M722" s="68">
        <v>1.4833299999999999E-3</v>
      </c>
      <c r="N722" s="69">
        <f t="shared" si="50"/>
        <v>0</v>
      </c>
      <c r="O722" s="66"/>
      <c r="P722" s="71">
        <f t="shared" si="59"/>
        <v>0</v>
      </c>
      <c r="Q722" s="132"/>
      <c r="R722" s="71">
        <f t="shared" si="60"/>
        <v>0</v>
      </c>
      <c r="S722" s="64"/>
    </row>
    <row r="723" spans="1:19">
      <c r="A723" s="64" t="s">
        <v>626</v>
      </c>
      <c r="B723" s="65" t="s">
        <v>1166</v>
      </c>
      <c r="C723" s="65" t="s">
        <v>1167</v>
      </c>
      <c r="D723" s="64" t="s">
        <v>1168</v>
      </c>
      <c r="E723" s="65" t="s">
        <v>75</v>
      </c>
      <c r="F723" s="64" t="s">
        <v>26</v>
      </c>
      <c r="G723" s="65" t="s">
        <v>20</v>
      </c>
      <c r="H723" s="65" t="s">
        <v>928</v>
      </c>
      <c r="I723" s="65">
        <v>201501</v>
      </c>
      <c r="J723" s="66">
        <v>-9.73</v>
      </c>
      <c r="K723" s="72">
        <f t="shared" si="61"/>
        <v>42675</v>
      </c>
      <c r="L723" s="67">
        <f t="shared" si="58"/>
        <v>6</v>
      </c>
      <c r="M723" s="68">
        <v>1.4833299999999999E-3</v>
      </c>
      <c r="N723" s="69">
        <f t="shared" si="50"/>
        <v>-8.6596805400000004E-2</v>
      </c>
      <c r="O723" s="66"/>
      <c r="P723" s="71">
        <f t="shared" si="59"/>
        <v>0</v>
      </c>
      <c r="Q723" s="132"/>
      <c r="R723" s="71">
        <f t="shared" si="60"/>
        <v>-0.14888318958333333</v>
      </c>
      <c r="S723" s="64"/>
    </row>
    <row r="724" spans="1:19">
      <c r="A724" s="64" t="s">
        <v>626</v>
      </c>
      <c r="B724" s="65" t="s">
        <v>1169</v>
      </c>
      <c r="C724" s="65" t="s">
        <v>1170</v>
      </c>
      <c r="D724" s="64" t="s">
        <v>1171</v>
      </c>
      <c r="E724" s="65" t="s">
        <v>164</v>
      </c>
      <c r="F724" s="64" t="s">
        <v>165</v>
      </c>
      <c r="G724" s="65" t="s">
        <v>20</v>
      </c>
      <c r="H724" s="65" t="s">
        <v>928</v>
      </c>
      <c r="I724" s="65">
        <v>201501</v>
      </c>
      <c r="J724" s="66">
        <v>40504.11</v>
      </c>
      <c r="K724" s="72">
        <f t="shared" si="61"/>
        <v>42675</v>
      </c>
      <c r="L724" s="67">
        <f t="shared" si="58"/>
        <v>6</v>
      </c>
      <c r="M724" s="68">
        <v>1.4833299999999999E-3</v>
      </c>
      <c r="N724" s="69">
        <f t="shared" si="50"/>
        <v>360.48576891779999</v>
      </c>
      <c r="O724" s="66"/>
      <c r="P724" s="71">
        <f t="shared" si="59"/>
        <v>0</v>
      </c>
      <c r="Q724" s="132"/>
      <c r="R724" s="71">
        <f t="shared" si="60"/>
        <v>619.77195149374995</v>
      </c>
      <c r="S724" s="64"/>
    </row>
    <row r="725" spans="1:19">
      <c r="A725" s="64" t="s">
        <v>626</v>
      </c>
      <c r="B725" s="65" t="s">
        <v>1172</v>
      </c>
      <c r="C725" s="65" t="s">
        <v>1173</v>
      </c>
      <c r="D725" s="64" t="s">
        <v>1174</v>
      </c>
      <c r="E725" s="65" t="s">
        <v>156</v>
      </c>
      <c r="F725" s="64" t="s">
        <v>26</v>
      </c>
      <c r="G725" s="65" t="s">
        <v>20</v>
      </c>
      <c r="H725" s="65" t="s">
        <v>928</v>
      </c>
      <c r="I725" s="65">
        <v>201501</v>
      </c>
      <c r="J725" s="66">
        <v>3371.22</v>
      </c>
      <c r="K725" s="72">
        <f t="shared" si="61"/>
        <v>42675</v>
      </c>
      <c r="L725" s="67">
        <f t="shared" si="58"/>
        <v>6</v>
      </c>
      <c r="M725" s="68">
        <v>1.4833299999999999E-3</v>
      </c>
      <c r="N725" s="69">
        <f t="shared" si="50"/>
        <v>30.0037905756</v>
      </c>
      <c r="O725" s="66"/>
      <c r="P725" s="71">
        <f t="shared" si="59"/>
        <v>0</v>
      </c>
      <c r="Q725" s="132"/>
      <c r="R725" s="71">
        <f t="shared" si="60"/>
        <v>51.584582362499994</v>
      </c>
      <c r="S725" s="64"/>
    </row>
    <row r="726" spans="1:19">
      <c r="A726" s="64" t="s">
        <v>626</v>
      </c>
      <c r="B726" s="65" t="s">
        <v>1212</v>
      </c>
      <c r="C726" s="65" t="s">
        <v>1213</v>
      </c>
      <c r="D726" s="64" t="s">
        <v>1214</v>
      </c>
      <c r="E726" s="65" t="s">
        <v>260</v>
      </c>
      <c r="F726" s="64" t="s">
        <v>26</v>
      </c>
      <c r="G726" s="65" t="s">
        <v>20</v>
      </c>
      <c r="H726" s="65" t="s">
        <v>928</v>
      </c>
      <c r="I726" s="65">
        <v>201501</v>
      </c>
      <c r="J726" s="66">
        <v>43695.4</v>
      </c>
      <c r="K726" s="72">
        <f t="shared" si="61"/>
        <v>42675</v>
      </c>
      <c r="L726" s="67">
        <f t="shared" si="58"/>
        <v>6</v>
      </c>
      <c r="M726" s="68">
        <v>1.4833299999999999E-3</v>
      </c>
      <c r="N726" s="69">
        <f t="shared" si="50"/>
        <v>388.88818609200001</v>
      </c>
      <c r="O726" s="66"/>
      <c r="P726" s="71">
        <f t="shared" si="59"/>
        <v>0</v>
      </c>
      <c r="Q726" s="132"/>
      <c r="R726" s="71">
        <f t="shared" si="60"/>
        <v>668.60334245833337</v>
      </c>
      <c r="S726" s="64"/>
    </row>
    <row r="727" spans="1:19">
      <c r="A727" s="64" t="s">
        <v>626</v>
      </c>
      <c r="B727" s="65" t="s">
        <v>1175</v>
      </c>
      <c r="C727" s="65" t="s">
        <v>1176</v>
      </c>
      <c r="D727" s="64" t="s">
        <v>1177</v>
      </c>
      <c r="E727" s="65" t="s">
        <v>1059</v>
      </c>
      <c r="F727" s="64" t="s">
        <v>26</v>
      </c>
      <c r="G727" s="65" t="s">
        <v>20</v>
      </c>
      <c r="H727" s="65" t="s">
        <v>928</v>
      </c>
      <c r="I727" s="65">
        <v>201501</v>
      </c>
      <c r="J727" s="66">
        <v>-355.88</v>
      </c>
      <c r="K727" s="72">
        <f t="shared" si="61"/>
        <v>42675</v>
      </c>
      <c r="L727" s="67">
        <f t="shared" si="58"/>
        <v>6</v>
      </c>
      <c r="M727" s="68">
        <v>1.4833299999999999E-3</v>
      </c>
      <c r="N727" s="69">
        <f t="shared" si="50"/>
        <v>-3.1673248824</v>
      </c>
      <c r="O727" s="66"/>
      <c r="P727" s="71">
        <f t="shared" si="59"/>
        <v>0</v>
      </c>
      <c r="Q727" s="132"/>
      <c r="R727" s="71">
        <f t="shared" si="60"/>
        <v>-5.4454829916666654</v>
      </c>
      <c r="S727" s="64"/>
    </row>
    <row r="728" spans="1:19">
      <c r="A728" s="64" t="s">
        <v>626</v>
      </c>
      <c r="B728" s="65" t="s">
        <v>1178</v>
      </c>
      <c r="C728" s="65" t="s">
        <v>1179</v>
      </c>
      <c r="D728" s="64" t="s">
        <v>1180</v>
      </c>
      <c r="E728" s="65" t="s">
        <v>260</v>
      </c>
      <c r="F728" s="64" t="s">
        <v>26</v>
      </c>
      <c r="G728" s="65" t="s">
        <v>20</v>
      </c>
      <c r="H728" s="65" t="s">
        <v>928</v>
      </c>
      <c r="I728" s="65">
        <v>201501</v>
      </c>
      <c r="J728" s="66">
        <v>-806.13</v>
      </c>
      <c r="K728" s="72">
        <f t="shared" si="61"/>
        <v>42675</v>
      </c>
      <c r="L728" s="67">
        <f t="shared" si="58"/>
        <v>6</v>
      </c>
      <c r="M728" s="68">
        <v>1.4833299999999999E-3</v>
      </c>
      <c r="N728" s="69">
        <f t="shared" si="50"/>
        <v>-7.1745408774000001</v>
      </c>
      <c r="O728" s="66"/>
      <c r="P728" s="71">
        <f t="shared" si="59"/>
        <v>0</v>
      </c>
      <c r="Q728" s="132"/>
      <c r="R728" s="71">
        <f t="shared" si="60"/>
        <v>-12.334964606249999</v>
      </c>
      <c r="S728" s="64"/>
    </row>
    <row r="729" spans="1:19">
      <c r="A729" s="64" t="s">
        <v>626</v>
      </c>
      <c r="B729" s="65" t="s">
        <v>1215</v>
      </c>
      <c r="C729" s="65" t="s">
        <v>1216</v>
      </c>
      <c r="D729" s="64" t="s">
        <v>1217</v>
      </c>
      <c r="E729" s="65" t="s">
        <v>102</v>
      </c>
      <c r="F729" s="64" t="s">
        <v>19</v>
      </c>
      <c r="G729" s="65" t="s">
        <v>20</v>
      </c>
      <c r="H729" s="65" t="s">
        <v>928</v>
      </c>
      <c r="I729" s="65">
        <v>201501</v>
      </c>
      <c r="J729" s="66">
        <v>128.97999999999999</v>
      </c>
      <c r="K729" s="72">
        <f t="shared" si="61"/>
        <v>42675</v>
      </c>
      <c r="L729" s="67">
        <f t="shared" si="58"/>
        <v>6</v>
      </c>
      <c r="M729" s="68">
        <v>1.4833299999999999E-3</v>
      </c>
      <c r="N729" s="69">
        <f t="shared" si="50"/>
        <v>1.1479194203999998</v>
      </c>
      <c r="O729" s="66"/>
      <c r="P729" s="71">
        <f t="shared" si="59"/>
        <v>0</v>
      </c>
      <c r="Q729" s="132"/>
      <c r="R729" s="71">
        <f t="shared" si="60"/>
        <v>1.973582095833333</v>
      </c>
      <c r="S729" s="64"/>
    </row>
    <row r="730" spans="1:19">
      <c r="A730" s="64" t="s">
        <v>626</v>
      </c>
      <c r="B730" s="65" t="s">
        <v>1218</v>
      </c>
      <c r="C730" s="65" t="s">
        <v>1219</v>
      </c>
      <c r="D730" s="64" t="s">
        <v>1220</v>
      </c>
      <c r="E730" s="65" t="s">
        <v>809</v>
      </c>
      <c r="F730" s="64" t="s">
        <v>26</v>
      </c>
      <c r="G730" s="65" t="s">
        <v>20</v>
      </c>
      <c r="H730" s="65" t="s">
        <v>928</v>
      </c>
      <c r="I730" s="65">
        <v>201501</v>
      </c>
      <c r="J730" s="66">
        <v>3215.27</v>
      </c>
      <c r="K730" s="72">
        <f t="shared" si="61"/>
        <v>42675</v>
      </c>
      <c r="L730" s="67">
        <f t="shared" si="58"/>
        <v>6</v>
      </c>
      <c r="M730" s="68">
        <v>1.4833299999999999E-3</v>
      </c>
      <c r="N730" s="69">
        <f t="shared" si="50"/>
        <v>28.615838694600001</v>
      </c>
      <c r="O730" s="66"/>
      <c r="P730" s="71">
        <f t="shared" si="59"/>
        <v>0</v>
      </c>
      <c r="Q730" s="132"/>
      <c r="R730" s="71">
        <f t="shared" si="60"/>
        <v>49.198319935416663</v>
      </c>
      <c r="S730" s="64"/>
    </row>
    <row r="731" spans="1:19">
      <c r="A731" s="64" t="s">
        <v>626</v>
      </c>
      <c r="B731" s="65" t="s">
        <v>1181</v>
      </c>
      <c r="C731" s="65" t="s">
        <v>1182</v>
      </c>
      <c r="D731" s="64" t="s">
        <v>1183</v>
      </c>
      <c r="E731" s="65" t="s">
        <v>18</v>
      </c>
      <c r="F731" s="64" t="s">
        <v>19</v>
      </c>
      <c r="G731" s="65" t="s">
        <v>20</v>
      </c>
      <c r="H731" s="65" t="s">
        <v>928</v>
      </c>
      <c r="I731" s="65">
        <v>201501</v>
      </c>
      <c r="J731" s="66">
        <v>0</v>
      </c>
      <c r="K731" s="72">
        <f t="shared" si="61"/>
        <v>42675</v>
      </c>
      <c r="L731" s="67">
        <f t="shared" si="58"/>
        <v>6</v>
      </c>
      <c r="M731" s="68">
        <v>1.4833299999999999E-3</v>
      </c>
      <c r="N731" s="69">
        <f t="shared" si="50"/>
        <v>0</v>
      </c>
      <c r="O731" s="66"/>
      <c r="P731" s="71">
        <f t="shared" si="59"/>
        <v>0</v>
      </c>
      <c r="Q731" s="132"/>
      <c r="R731" s="71">
        <f t="shared" si="60"/>
        <v>0</v>
      </c>
      <c r="S731" s="64"/>
    </row>
    <row r="732" spans="1:19">
      <c r="A732" s="64" t="s">
        <v>21</v>
      </c>
      <c r="B732" s="65" t="s">
        <v>1221</v>
      </c>
      <c r="C732" s="65" t="s">
        <v>1222</v>
      </c>
      <c r="D732" s="64" t="s">
        <v>1223</v>
      </c>
      <c r="E732" s="65" t="s">
        <v>360</v>
      </c>
      <c r="F732" s="64" t="s">
        <v>19</v>
      </c>
      <c r="G732" s="65" t="s">
        <v>20</v>
      </c>
      <c r="H732" s="65" t="s">
        <v>928</v>
      </c>
      <c r="I732" s="65">
        <v>201501</v>
      </c>
      <c r="J732" s="66">
        <v>22886.23</v>
      </c>
      <c r="K732" s="72">
        <f t="shared" si="61"/>
        <v>42675</v>
      </c>
      <c r="L732" s="67">
        <f t="shared" si="58"/>
        <v>6</v>
      </c>
      <c r="M732" s="68">
        <v>1.4833299999999999E-3</v>
      </c>
      <c r="N732" s="69">
        <f t="shared" si="50"/>
        <v>203.68698927540001</v>
      </c>
      <c r="O732" s="66"/>
      <c r="P732" s="71">
        <f t="shared" si="59"/>
        <v>0</v>
      </c>
      <c r="Q732" s="132"/>
      <c r="R732" s="71">
        <f t="shared" si="60"/>
        <v>350.1926947520833</v>
      </c>
      <c r="S732" s="64"/>
    </row>
    <row r="733" spans="1:19">
      <c r="A733" s="64" t="s">
        <v>626</v>
      </c>
      <c r="B733" s="65" t="s">
        <v>1184</v>
      </c>
      <c r="C733" s="65" t="s">
        <v>1185</v>
      </c>
      <c r="D733" s="64" t="s">
        <v>1186</v>
      </c>
      <c r="E733" s="65" t="s">
        <v>471</v>
      </c>
      <c r="F733" s="64" t="s">
        <v>165</v>
      </c>
      <c r="G733" s="65" t="s">
        <v>20</v>
      </c>
      <c r="H733" s="65" t="s">
        <v>928</v>
      </c>
      <c r="I733" s="65">
        <v>201501</v>
      </c>
      <c r="J733" s="66">
        <v>740.17</v>
      </c>
      <c r="K733" s="72">
        <f t="shared" si="61"/>
        <v>42675</v>
      </c>
      <c r="L733" s="67">
        <f t="shared" si="58"/>
        <v>6</v>
      </c>
      <c r="M733" s="68">
        <v>1.4833299999999999E-3</v>
      </c>
      <c r="N733" s="69">
        <f t="shared" si="50"/>
        <v>6.5874981965999995</v>
      </c>
      <c r="O733" s="66"/>
      <c r="P733" s="71">
        <f t="shared" si="59"/>
        <v>0</v>
      </c>
      <c r="Q733" s="132"/>
      <c r="R733" s="71">
        <f t="shared" si="60"/>
        <v>11.325680414583331</v>
      </c>
      <c r="S733" s="64"/>
    </row>
    <row r="734" spans="1:19">
      <c r="A734" s="64" t="s">
        <v>626</v>
      </c>
      <c r="B734" s="65" t="s">
        <v>1224</v>
      </c>
      <c r="C734" s="65" t="s">
        <v>1225</v>
      </c>
      <c r="D734" s="64" t="s">
        <v>1226</v>
      </c>
      <c r="E734" s="65" t="s">
        <v>164</v>
      </c>
      <c r="F734" s="64" t="s">
        <v>165</v>
      </c>
      <c r="G734" s="65" t="s">
        <v>20</v>
      </c>
      <c r="H734" s="65" t="s">
        <v>928</v>
      </c>
      <c r="I734" s="65">
        <v>201501</v>
      </c>
      <c r="J734" s="66">
        <v>65796.67</v>
      </c>
      <c r="K734" s="72">
        <f t="shared" si="61"/>
        <v>42675</v>
      </c>
      <c r="L734" s="67">
        <f t="shared" si="58"/>
        <v>6</v>
      </c>
      <c r="M734" s="68">
        <v>1.4833299999999999E-3</v>
      </c>
      <c r="N734" s="69">
        <f t="shared" si="50"/>
        <v>585.58904706659996</v>
      </c>
      <c r="O734" s="66"/>
      <c r="P734" s="71">
        <f t="shared" si="59"/>
        <v>0</v>
      </c>
      <c r="Q734" s="132"/>
      <c r="R734" s="71">
        <f t="shared" si="60"/>
        <v>1006.7850044770832</v>
      </c>
      <c r="S734" s="64"/>
    </row>
    <row r="735" spans="1:19">
      <c r="A735" s="64" t="s">
        <v>626</v>
      </c>
      <c r="B735" s="65" t="s">
        <v>1227</v>
      </c>
      <c r="C735" s="65" t="s">
        <v>1228</v>
      </c>
      <c r="D735" s="64" t="s">
        <v>1229</v>
      </c>
      <c r="E735" s="65" t="s">
        <v>280</v>
      </c>
      <c r="F735" s="64" t="s">
        <v>26</v>
      </c>
      <c r="G735" s="65" t="s">
        <v>20</v>
      </c>
      <c r="H735" s="65" t="s">
        <v>928</v>
      </c>
      <c r="I735" s="65">
        <v>201501</v>
      </c>
      <c r="J735" s="66">
        <v>32651.14</v>
      </c>
      <c r="K735" s="72">
        <f t="shared" si="61"/>
        <v>42675</v>
      </c>
      <c r="L735" s="67">
        <f t="shared" si="58"/>
        <v>6</v>
      </c>
      <c r="M735" s="68">
        <v>1.4833299999999999E-3</v>
      </c>
      <c r="N735" s="69">
        <f t="shared" si="50"/>
        <v>290.59449297719999</v>
      </c>
      <c r="O735" s="66"/>
      <c r="P735" s="71">
        <f t="shared" si="59"/>
        <v>0</v>
      </c>
      <c r="Q735" s="132"/>
      <c r="R735" s="71">
        <f t="shared" si="60"/>
        <v>499.61005824583327</v>
      </c>
      <c r="S735" s="64"/>
    </row>
    <row r="736" spans="1:19">
      <c r="A736" s="64" t="s">
        <v>21</v>
      </c>
      <c r="B736" s="65" t="s">
        <v>1230</v>
      </c>
      <c r="C736" s="65" t="s">
        <v>1231</v>
      </c>
      <c r="D736" s="64" t="s">
        <v>1232</v>
      </c>
      <c r="E736" s="65" t="s">
        <v>63</v>
      </c>
      <c r="F736" s="64" t="s">
        <v>19</v>
      </c>
      <c r="G736" s="65" t="s">
        <v>20</v>
      </c>
      <c r="H736" s="65" t="s">
        <v>928</v>
      </c>
      <c r="I736" s="65">
        <v>201501</v>
      </c>
      <c r="J736" s="66">
        <v>3822.71</v>
      </c>
      <c r="K736" s="72">
        <f t="shared" si="61"/>
        <v>42675</v>
      </c>
      <c r="L736" s="67">
        <f t="shared" si="58"/>
        <v>6</v>
      </c>
      <c r="M736" s="68">
        <v>1.4833299999999999E-3</v>
      </c>
      <c r="N736" s="69">
        <f t="shared" si="50"/>
        <v>34.022042545799998</v>
      </c>
      <c r="O736" s="66"/>
      <c r="P736" s="71">
        <f t="shared" si="59"/>
        <v>0</v>
      </c>
      <c r="Q736" s="132"/>
      <c r="R736" s="71">
        <f t="shared" si="60"/>
        <v>58.493037785416661</v>
      </c>
      <c r="S736" s="64"/>
    </row>
    <row r="737" spans="1:19">
      <c r="A737" s="64" t="s">
        <v>21</v>
      </c>
      <c r="B737" s="65" t="s">
        <v>1233</v>
      </c>
      <c r="C737" s="65" t="s">
        <v>1234</v>
      </c>
      <c r="D737" s="64" t="s">
        <v>1235</v>
      </c>
      <c r="E737" s="65" t="s">
        <v>172</v>
      </c>
      <c r="F737" s="64" t="s">
        <v>173</v>
      </c>
      <c r="G737" s="65" t="s">
        <v>20</v>
      </c>
      <c r="H737" s="65" t="s">
        <v>928</v>
      </c>
      <c r="I737" s="65">
        <v>201501</v>
      </c>
      <c r="J737" s="66">
        <v>11034.87</v>
      </c>
      <c r="K737" s="72">
        <f t="shared" si="61"/>
        <v>42675</v>
      </c>
      <c r="L737" s="67">
        <f t="shared" si="58"/>
        <v>6</v>
      </c>
      <c r="M737" s="68">
        <v>1.4833299999999999E-3</v>
      </c>
      <c r="N737" s="69">
        <f t="shared" si="50"/>
        <v>98.210122302600013</v>
      </c>
      <c r="O737" s="66"/>
      <c r="P737" s="71">
        <f t="shared" si="59"/>
        <v>0</v>
      </c>
      <c r="Q737" s="132"/>
      <c r="R737" s="71">
        <f t="shared" si="60"/>
        <v>168.84960351875</v>
      </c>
      <c r="S737" s="64"/>
    </row>
    <row r="738" spans="1:19">
      <c r="A738" s="64" t="s">
        <v>21</v>
      </c>
      <c r="B738" s="65" t="s">
        <v>84</v>
      </c>
      <c r="C738" s="65" t="s">
        <v>85</v>
      </c>
      <c r="D738" s="64" t="s">
        <v>86</v>
      </c>
      <c r="E738" s="65" t="s">
        <v>87</v>
      </c>
      <c r="F738" s="64" t="s">
        <v>88</v>
      </c>
      <c r="G738" s="65" t="s">
        <v>20</v>
      </c>
      <c r="H738" s="65" t="s">
        <v>929</v>
      </c>
      <c r="I738" s="65">
        <v>201501</v>
      </c>
      <c r="J738" s="66">
        <v>-64.599999999999994</v>
      </c>
      <c r="K738" s="72">
        <f t="shared" si="61"/>
        <v>42675</v>
      </c>
      <c r="L738" s="67">
        <f t="shared" si="58"/>
        <v>6</v>
      </c>
      <c r="M738" s="68">
        <v>1.4833299999999999E-3</v>
      </c>
      <c r="N738" s="69">
        <f t="shared" si="50"/>
        <v>-0.57493870799999991</v>
      </c>
      <c r="O738" s="66"/>
      <c r="P738" s="71">
        <f t="shared" si="59"/>
        <v>0</v>
      </c>
      <c r="Q738" s="132"/>
      <c r="R738" s="71">
        <f t="shared" si="60"/>
        <v>-0.98847420833333322</v>
      </c>
      <c r="S738" s="64"/>
    </row>
    <row r="739" spans="1:19">
      <c r="A739" s="64" t="s">
        <v>626</v>
      </c>
      <c r="B739" s="65" t="s">
        <v>741</v>
      </c>
      <c r="C739" s="65" t="s">
        <v>742</v>
      </c>
      <c r="D739" s="64" t="s">
        <v>743</v>
      </c>
      <c r="E739" s="65" t="s">
        <v>415</v>
      </c>
      <c r="F739" s="64" t="s">
        <v>88</v>
      </c>
      <c r="G739" s="65" t="s">
        <v>20</v>
      </c>
      <c r="H739" s="65" t="s">
        <v>929</v>
      </c>
      <c r="I739" s="65">
        <v>201501</v>
      </c>
      <c r="J739" s="66">
        <v>-11.23</v>
      </c>
      <c r="K739" s="72">
        <f t="shared" si="61"/>
        <v>42675</v>
      </c>
      <c r="L739" s="67">
        <f t="shared" si="58"/>
        <v>6</v>
      </c>
      <c r="M739" s="68">
        <v>1.4833299999999999E-3</v>
      </c>
      <c r="N739" s="69">
        <f t="shared" si="50"/>
        <v>-9.9946775400000007E-2</v>
      </c>
      <c r="O739" s="66"/>
      <c r="P739" s="71">
        <f t="shared" si="59"/>
        <v>0</v>
      </c>
      <c r="Q739" s="132"/>
      <c r="R739" s="71">
        <f t="shared" si="60"/>
        <v>-0.17183537708333332</v>
      </c>
      <c r="S739" s="64"/>
    </row>
    <row r="740" spans="1:19">
      <c r="A740" s="64" t="s">
        <v>21</v>
      </c>
      <c r="B740" s="65" t="s">
        <v>1072</v>
      </c>
      <c r="C740" s="65" t="s">
        <v>1073</v>
      </c>
      <c r="D740" s="64" t="s">
        <v>1074</v>
      </c>
      <c r="E740" s="65" t="s">
        <v>857</v>
      </c>
      <c r="F740" s="64" t="s">
        <v>88</v>
      </c>
      <c r="G740" s="65" t="s">
        <v>20</v>
      </c>
      <c r="H740" s="65" t="s">
        <v>929</v>
      </c>
      <c r="I740" s="65">
        <v>201501</v>
      </c>
      <c r="J740" s="66">
        <v>14460.37</v>
      </c>
      <c r="K740" s="72">
        <f t="shared" si="61"/>
        <v>42675</v>
      </c>
      <c r="L740" s="67">
        <f t="shared" si="58"/>
        <v>6</v>
      </c>
      <c r="M740" s="68">
        <v>1.4833299999999999E-3</v>
      </c>
      <c r="N740" s="69">
        <f t="shared" si="50"/>
        <v>128.69700379260001</v>
      </c>
      <c r="O740" s="66"/>
      <c r="P740" s="71">
        <f t="shared" si="59"/>
        <v>0</v>
      </c>
      <c r="Q740" s="132"/>
      <c r="R740" s="71">
        <f t="shared" si="60"/>
        <v>221.26474903958334</v>
      </c>
      <c r="S740" s="64"/>
    </row>
    <row r="741" spans="1:19">
      <c r="A741" s="64" t="s">
        <v>21</v>
      </c>
      <c r="B741" s="65" t="s">
        <v>449</v>
      </c>
      <c r="C741" s="65" t="s">
        <v>450</v>
      </c>
      <c r="D741" s="64" t="s">
        <v>451</v>
      </c>
      <c r="E741" s="65" t="s">
        <v>452</v>
      </c>
      <c r="F741" s="64" t="s">
        <v>398</v>
      </c>
      <c r="G741" s="65" t="s">
        <v>20</v>
      </c>
      <c r="H741" s="65" t="s">
        <v>929</v>
      </c>
      <c r="I741" s="65">
        <v>201501</v>
      </c>
      <c r="J741" s="66">
        <v>-48.91</v>
      </c>
      <c r="K741" s="72">
        <f t="shared" si="61"/>
        <v>42675</v>
      </c>
      <c r="L741" s="67">
        <f t="shared" si="58"/>
        <v>6</v>
      </c>
      <c r="M741" s="68">
        <v>1.4833299999999999E-3</v>
      </c>
      <c r="N741" s="69">
        <f t="shared" si="50"/>
        <v>-0.43529802179999999</v>
      </c>
      <c r="O741" s="66"/>
      <c r="P741" s="71">
        <f t="shared" si="59"/>
        <v>0</v>
      </c>
      <c r="Q741" s="132"/>
      <c r="R741" s="71">
        <f t="shared" si="60"/>
        <v>-0.7483943270833332</v>
      </c>
      <c r="S741" s="64"/>
    </row>
    <row r="742" spans="1:19">
      <c r="A742" s="64" t="s">
        <v>127</v>
      </c>
      <c r="B742" s="65" t="s">
        <v>1032</v>
      </c>
      <c r="C742" s="65" t="s">
        <v>1033</v>
      </c>
      <c r="D742" s="64" t="s">
        <v>1034</v>
      </c>
      <c r="E742" s="65" t="s">
        <v>209</v>
      </c>
      <c r="F742" s="64" t="s">
        <v>88</v>
      </c>
      <c r="G742" s="65" t="s">
        <v>20</v>
      </c>
      <c r="H742" s="65" t="s">
        <v>929</v>
      </c>
      <c r="I742" s="65">
        <v>201501</v>
      </c>
      <c r="J742" s="66">
        <v>-1320.23</v>
      </c>
      <c r="K742" s="72">
        <f t="shared" si="61"/>
        <v>42675</v>
      </c>
      <c r="L742" s="67">
        <f t="shared" si="58"/>
        <v>6</v>
      </c>
      <c r="M742" s="68">
        <v>2.3833299999999999E-3</v>
      </c>
      <c r="N742" s="69">
        <f t="shared" si="50"/>
        <v>-18.8792625954</v>
      </c>
      <c r="O742" s="66"/>
      <c r="P742" s="71">
        <f t="shared" si="59"/>
        <v>0</v>
      </c>
      <c r="Q742" s="132"/>
      <c r="R742" s="71">
        <f t="shared" si="60"/>
        <v>-20.201444335416664</v>
      </c>
      <c r="S742" s="64"/>
    </row>
    <row r="743" spans="1:19">
      <c r="A743" s="64" t="s">
        <v>626</v>
      </c>
      <c r="B743" s="65" t="s">
        <v>630</v>
      </c>
      <c r="C743" s="65" t="s">
        <v>631</v>
      </c>
      <c r="D743" s="64" t="s">
        <v>632</v>
      </c>
      <c r="E743" s="65" t="s">
        <v>613</v>
      </c>
      <c r="F743" s="64" t="s">
        <v>398</v>
      </c>
      <c r="G743" s="65" t="s">
        <v>20</v>
      </c>
      <c r="H743" s="65" t="s">
        <v>929</v>
      </c>
      <c r="I743" s="65">
        <v>201501</v>
      </c>
      <c r="J743" s="66">
        <v>643.61</v>
      </c>
      <c r="K743" s="72">
        <f t="shared" si="61"/>
        <v>42675</v>
      </c>
      <c r="L743" s="67">
        <f t="shared" si="58"/>
        <v>6</v>
      </c>
      <c r="M743" s="68">
        <v>1.4833299999999999E-3</v>
      </c>
      <c r="N743" s="69">
        <f t="shared" si="50"/>
        <v>5.7281161277999999</v>
      </c>
      <c r="O743" s="66"/>
      <c r="P743" s="71">
        <f t="shared" si="59"/>
        <v>0</v>
      </c>
      <c r="Q743" s="132"/>
      <c r="R743" s="71">
        <f t="shared" si="60"/>
        <v>9.8481715979166662</v>
      </c>
      <c r="S743" s="64"/>
    </row>
    <row r="744" spans="1:19">
      <c r="A744" s="64" t="s">
        <v>21</v>
      </c>
      <c r="B744" s="65" t="s">
        <v>938</v>
      </c>
      <c r="C744" s="65" t="s">
        <v>939</v>
      </c>
      <c r="D744" s="64" t="s">
        <v>940</v>
      </c>
      <c r="E744" s="65" t="s">
        <v>209</v>
      </c>
      <c r="F744" s="64" t="s">
        <v>88</v>
      </c>
      <c r="G744" s="65" t="s">
        <v>20</v>
      </c>
      <c r="H744" s="65" t="s">
        <v>929</v>
      </c>
      <c r="I744" s="65">
        <v>201501</v>
      </c>
      <c r="J744" s="66">
        <v>-0.3</v>
      </c>
      <c r="K744" s="72">
        <f t="shared" si="61"/>
        <v>42675</v>
      </c>
      <c r="L744" s="67">
        <f t="shared" si="58"/>
        <v>6</v>
      </c>
      <c r="M744" s="68">
        <v>1.4833299999999999E-3</v>
      </c>
      <c r="N744" s="69">
        <f t="shared" si="50"/>
        <v>-2.6699939999999998E-3</v>
      </c>
      <c r="O744" s="66"/>
      <c r="P744" s="71">
        <f t="shared" si="59"/>
        <v>0</v>
      </c>
      <c r="Q744" s="132"/>
      <c r="R744" s="71">
        <f t="shared" si="60"/>
        <v>-4.590437499999999E-3</v>
      </c>
      <c r="S744" s="64"/>
    </row>
    <row r="745" spans="1:19">
      <c r="A745" s="64" t="s">
        <v>626</v>
      </c>
      <c r="B745" s="65" t="s">
        <v>938</v>
      </c>
      <c r="C745" s="65" t="s">
        <v>939</v>
      </c>
      <c r="D745" s="64" t="s">
        <v>940</v>
      </c>
      <c r="E745" s="65" t="s">
        <v>209</v>
      </c>
      <c r="F745" s="64" t="s">
        <v>88</v>
      </c>
      <c r="G745" s="65" t="s">
        <v>20</v>
      </c>
      <c r="H745" s="65" t="s">
        <v>929</v>
      </c>
      <c r="I745" s="65">
        <v>201501</v>
      </c>
      <c r="J745" s="66">
        <v>-22.4</v>
      </c>
      <c r="K745" s="72">
        <f t="shared" si="61"/>
        <v>42675</v>
      </c>
      <c r="L745" s="67">
        <f t="shared" si="58"/>
        <v>6</v>
      </c>
      <c r="M745" s="68">
        <v>1.4833299999999999E-3</v>
      </c>
      <c r="N745" s="69">
        <f t="shared" si="50"/>
        <v>-0.199359552</v>
      </c>
      <c r="O745" s="66"/>
      <c r="P745" s="71">
        <f t="shared" si="59"/>
        <v>0</v>
      </c>
      <c r="Q745" s="132"/>
      <c r="R745" s="71">
        <f t="shared" si="60"/>
        <v>-0.34275266666666665</v>
      </c>
      <c r="S745" s="64"/>
    </row>
    <row r="746" spans="1:19">
      <c r="A746" s="64" t="s">
        <v>21</v>
      </c>
      <c r="B746" s="65" t="s">
        <v>1118</v>
      </c>
      <c r="C746" s="65" t="s">
        <v>1119</v>
      </c>
      <c r="D746" s="64" t="s">
        <v>1120</v>
      </c>
      <c r="E746" s="65" t="s">
        <v>93</v>
      </c>
      <c r="F746" s="64" t="s">
        <v>88</v>
      </c>
      <c r="G746" s="65" t="s">
        <v>20</v>
      </c>
      <c r="H746" s="65" t="s">
        <v>929</v>
      </c>
      <c r="I746" s="65">
        <v>201501</v>
      </c>
      <c r="J746" s="66">
        <v>-2.5</v>
      </c>
      <c r="K746" s="72">
        <f t="shared" si="61"/>
        <v>42675</v>
      </c>
      <c r="L746" s="67">
        <f t="shared" si="58"/>
        <v>6</v>
      </c>
      <c r="M746" s="68">
        <v>1.4833299999999999E-3</v>
      </c>
      <c r="N746" s="69">
        <f t="shared" si="50"/>
        <v>-2.2249950000000001E-2</v>
      </c>
      <c r="O746" s="66"/>
      <c r="P746" s="71">
        <f t="shared" si="59"/>
        <v>0</v>
      </c>
      <c r="Q746" s="132"/>
      <c r="R746" s="71">
        <f t="shared" si="60"/>
        <v>-3.8253645833333329E-2</v>
      </c>
      <c r="S746" s="64"/>
    </row>
    <row r="747" spans="1:19">
      <c r="A747" s="64" t="s">
        <v>21</v>
      </c>
      <c r="B747" s="65" t="s">
        <v>1124</v>
      </c>
      <c r="C747" s="65" t="s">
        <v>1125</v>
      </c>
      <c r="D747" s="64" t="s">
        <v>1126</v>
      </c>
      <c r="E747" s="65" t="s">
        <v>87</v>
      </c>
      <c r="F747" s="64" t="s">
        <v>88</v>
      </c>
      <c r="G747" s="65" t="s">
        <v>20</v>
      </c>
      <c r="H747" s="65" t="s">
        <v>929</v>
      </c>
      <c r="I747" s="65">
        <v>201501</v>
      </c>
      <c r="J747" s="66">
        <v>-54.09</v>
      </c>
      <c r="K747" s="72">
        <f t="shared" si="61"/>
        <v>42675</v>
      </c>
      <c r="L747" s="67">
        <f t="shared" si="58"/>
        <v>6</v>
      </c>
      <c r="M747" s="68">
        <v>1.4833299999999999E-3</v>
      </c>
      <c r="N747" s="69">
        <f t="shared" si="50"/>
        <v>-0.48139991820000005</v>
      </c>
      <c r="O747" s="66"/>
      <c r="P747" s="71">
        <f t="shared" si="59"/>
        <v>0</v>
      </c>
      <c r="Q747" s="132"/>
      <c r="R747" s="71">
        <f t="shared" si="60"/>
        <v>-0.82765588124999989</v>
      </c>
      <c r="S747" s="64"/>
    </row>
    <row r="748" spans="1:19">
      <c r="A748" s="64" t="s">
        <v>21</v>
      </c>
      <c r="B748" s="65" t="s">
        <v>1127</v>
      </c>
      <c r="C748" s="65" t="s">
        <v>1128</v>
      </c>
      <c r="D748" s="64" t="s">
        <v>1129</v>
      </c>
      <c r="E748" s="65" t="s">
        <v>87</v>
      </c>
      <c r="F748" s="64" t="s">
        <v>88</v>
      </c>
      <c r="G748" s="65" t="s">
        <v>20</v>
      </c>
      <c r="H748" s="65" t="s">
        <v>929</v>
      </c>
      <c r="I748" s="65">
        <v>201501</v>
      </c>
      <c r="J748" s="66">
        <v>-13161.06</v>
      </c>
      <c r="K748" s="72">
        <f t="shared" si="61"/>
        <v>42675</v>
      </c>
      <c r="L748" s="67">
        <f t="shared" si="58"/>
        <v>6</v>
      </c>
      <c r="M748" s="68">
        <v>1.4833299999999999E-3</v>
      </c>
      <c r="N748" s="69">
        <f t="shared" si="50"/>
        <v>-117.13317077879999</v>
      </c>
      <c r="O748" s="66"/>
      <c r="P748" s="71">
        <f t="shared" si="59"/>
        <v>0</v>
      </c>
      <c r="Q748" s="132"/>
      <c r="R748" s="71">
        <f t="shared" si="60"/>
        <v>-201.38341121249996</v>
      </c>
      <c r="S748" s="64"/>
    </row>
    <row r="749" spans="1:19">
      <c r="A749" s="64" t="s">
        <v>21</v>
      </c>
      <c r="B749" s="65" t="s">
        <v>870</v>
      </c>
      <c r="C749" s="65" t="s">
        <v>871</v>
      </c>
      <c r="D749" s="64" t="s">
        <v>872</v>
      </c>
      <c r="E749" s="65" t="s">
        <v>873</v>
      </c>
      <c r="F749" s="64" t="s">
        <v>874</v>
      </c>
      <c r="G749" s="65" t="s">
        <v>20</v>
      </c>
      <c r="H749" s="65" t="s">
        <v>929</v>
      </c>
      <c r="I749" s="65">
        <v>201501</v>
      </c>
      <c r="J749" s="66">
        <v>-2.89</v>
      </c>
      <c r="K749" s="72">
        <f t="shared" si="61"/>
        <v>42675</v>
      </c>
      <c r="L749" s="67">
        <f t="shared" si="58"/>
        <v>6</v>
      </c>
      <c r="M749" s="68">
        <v>1.4833299999999999E-3</v>
      </c>
      <c r="N749" s="69">
        <f t="shared" si="50"/>
        <v>-2.5720942200000003E-2</v>
      </c>
      <c r="O749" s="66"/>
      <c r="P749" s="71">
        <f t="shared" si="59"/>
        <v>0</v>
      </c>
      <c r="Q749" s="132"/>
      <c r="R749" s="71">
        <f t="shared" si="60"/>
        <v>-4.4221214583333335E-2</v>
      </c>
      <c r="S749" s="64"/>
    </row>
    <row r="750" spans="1:19">
      <c r="A750" s="64" t="s">
        <v>626</v>
      </c>
      <c r="B750" s="65" t="s">
        <v>848</v>
      </c>
      <c r="C750" s="65" t="s">
        <v>849</v>
      </c>
      <c r="D750" s="64" t="s">
        <v>850</v>
      </c>
      <c r="E750" s="65" t="s">
        <v>93</v>
      </c>
      <c r="F750" s="64" t="s">
        <v>88</v>
      </c>
      <c r="G750" s="65" t="s">
        <v>20</v>
      </c>
      <c r="H750" s="65" t="s">
        <v>929</v>
      </c>
      <c r="I750" s="65">
        <v>201501</v>
      </c>
      <c r="J750" s="66">
        <v>12</v>
      </c>
      <c r="K750" s="72">
        <f t="shared" si="61"/>
        <v>42675</v>
      </c>
      <c r="L750" s="67">
        <f t="shared" si="58"/>
        <v>6</v>
      </c>
      <c r="M750" s="68">
        <v>1.4833299999999999E-3</v>
      </c>
      <c r="N750" s="69">
        <f t="shared" si="50"/>
        <v>0.10679975999999999</v>
      </c>
      <c r="O750" s="66"/>
      <c r="P750" s="71">
        <f t="shared" si="59"/>
        <v>0</v>
      </c>
      <c r="Q750" s="132"/>
      <c r="R750" s="71">
        <f t="shared" si="60"/>
        <v>0.18361749999999999</v>
      </c>
      <c r="S750" s="64"/>
    </row>
    <row r="751" spans="1:19">
      <c r="A751" s="64" t="s">
        <v>626</v>
      </c>
      <c r="B751" s="65" t="s">
        <v>1136</v>
      </c>
      <c r="C751" s="65" t="s">
        <v>1137</v>
      </c>
      <c r="D751" s="64" t="s">
        <v>1138</v>
      </c>
      <c r="E751" s="65" t="s">
        <v>962</v>
      </c>
      <c r="F751" s="64" t="s">
        <v>88</v>
      </c>
      <c r="G751" s="65" t="s">
        <v>20</v>
      </c>
      <c r="H751" s="65" t="s">
        <v>929</v>
      </c>
      <c r="I751" s="65">
        <v>201501</v>
      </c>
      <c r="J751" s="66">
        <v>12220.11</v>
      </c>
      <c r="K751" s="72">
        <f t="shared" si="61"/>
        <v>42675</v>
      </c>
      <c r="L751" s="67">
        <f t="shared" si="58"/>
        <v>6</v>
      </c>
      <c r="M751" s="68">
        <v>1.4833299999999999E-3</v>
      </c>
      <c r="N751" s="69">
        <f t="shared" si="50"/>
        <v>108.7587345978</v>
      </c>
      <c r="O751" s="66"/>
      <c r="P751" s="71">
        <f t="shared" si="59"/>
        <v>0</v>
      </c>
      <c r="Q751" s="132"/>
      <c r="R751" s="71">
        <f t="shared" si="60"/>
        <v>186.98550399374997</v>
      </c>
      <c r="S751" s="64"/>
    </row>
    <row r="752" spans="1:19">
      <c r="A752" s="64" t="s">
        <v>626</v>
      </c>
      <c r="B752" s="65" t="s">
        <v>1088</v>
      </c>
      <c r="C752" s="65" t="s">
        <v>1089</v>
      </c>
      <c r="D752" s="64" t="s">
        <v>1090</v>
      </c>
      <c r="E752" s="65" t="s">
        <v>415</v>
      </c>
      <c r="F752" s="64" t="s">
        <v>88</v>
      </c>
      <c r="G752" s="65" t="s">
        <v>20</v>
      </c>
      <c r="H752" s="65" t="s">
        <v>929</v>
      </c>
      <c r="I752" s="65">
        <v>201501</v>
      </c>
      <c r="J752" s="66">
        <v>-229.26</v>
      </c>
      <c r="K752" s="72">
        <f t="shared" si="61"/>
        <v>42675</v>
      </c>
      <c r="L752" s="67">
        <f t="shared" si="58"/>
        <v>6</v>
      </c>
      <c r="M752" s="68">
        <v>1.4833299999999999E-3</v>
      </c>
      <c r="N752" s="69">
        <f t="shared" si="50"/>
        <v>-2.0404094148</v>
      </c>
      <c r="O752" s="66"/>
      <c r="P752" s="71">
        <f t="shared" si="59"/>
        <v>0</v>
      </c>
      <c r="Q752" s="132"/>
      <c r="R752" s="71">
        <f t="shared" si="60"/>
        <v>-3.5080123374999994</v>
      </c>
      <c r="S752" s="64"/>
    </row>
    <row r="753" spans="1:19">
      <c r="A753" s="64" t="s">
        <v>21</v>
      </c>
      <c r="B753" s="65" t="s">
        <v>1145</v>
      </c>
      <c r="C753" s="65" t="s">
        <v>1146</v>
      </c>
      <c r="D753" s="64" t="s">
        <v>1147</v>
      </c>
      <c r="E753" s="65" t="s">
        <v>962</v>
      </c>
      <c r="F753" s="64" t="s">
        <v>88</v>
      </c>
      <c r="G753" s="65" t="s">
        <v>20</v>
      </c>
      <c r="H753" s="65" t="s">
        <v>929</v>
      </c>
      <c r="I753" s="65">
        <v>201501</v>
      </c>
      <c r="J753" s="66">
        <v>-3547.65</v>
      </c>
      <c r="K753" s="72">
        <f t="shared" si="61"/>
        <v>42675</v>
      </c>
      <c r="L753" s="67">
        <f t="shared" si="58"/>
        <v>6</v>
      </c>
      <c r="M753" s="68">
        <v>1.4833299999999999E-3</v>
      </c>
      <c r="N753" s="69">
        <f t="shared" si="50"/>
        <v>-31.574014047000002</v>
      </c>
      <c r="O753" s="66"/>
      <c r="P753" s="71">
        <f t="shared" si="59"/>
        <v>0</v>
      </c>
      <c r="Q753" s="132"/>
      <c r="R753" s="71">
        <f t="shared" si="60"/>
        <v>-54.284218656249998</v>
      </c>
      <c r="S753" s="64"/>
    </row>
    <row r="754" spans="1:19">
      <c r="A754" s="64" t="s">
        <v>626</v>
      </c>
      <c r="B754" s="65" t="s">
        <v>1091</v>
      </c>
      <c r="C754" s="65" t="s">
        <v>1092</v>
      </c>
      <c r="D754" s="64" t="s">
        <v>1093</v>
      </c>
      <c r="E754" s="65" t="s">
        <v>962</v>
      </c>
      <c r="F754" s="64" t="s">
        <v>88</v>
      </c>
      <c r="G754" s="65" t="s">
        <v>20</v>
      </c>
      <c r="H754" s="65" t="s">
        <v>929</v>
      </c>
      <c r="I754" s="65">
        <v>201501</v>
      </c>
      <c r="J754" s="66">
        <v>-961.44</v>
      </c>
      <c r="K754" s="72">
        <f t="shared" si="61"/>
        <v>42675</v>
      </c>
      <c r="L754" s="67">
        <f t="shared" si="58"/>
        <v>6</v>
      </c>
      <c r="M754" s="68">
        <v>1.4833299999999999E-3</v>
      </c>
      <c r="N754" s="69">
        <f t="shared" si="50"/>
        <v>-8.5567967712000002</v>
      </c>
      <c r="O754" s="66"/>
      <c r="P754" s="71">
        <f t="shared" si="59"/>
        <v>0</v>
      </c>
      <c r="Q754" s="132"/>
      <c r="R754" s="71">
        <f t="shared" si="60"/>
        <v>-14.7114341</v>
      </c>
      <c r="S754" s="64"/>
    </row>
    <row r="755" spans="1:19">
      <c r="A755" s="64" t="s">
        <v>626</v>
      </c>
      <c r="B755" s="65" t="s">
        <v>1094</v>
      </c>
      <c r="C755" s="65" t="s">
        <v>1095</v>
      </c>
      <c r="D755" s="64" t="s">
        <v>1096</v>
      </c>
      <c r="E755" s="65" t="s">
        <v>452</v>
      </c>
      <c r="F755" s="64" t="s">
        <v>398</v>
      </c>
      <c r="G755" s="65" t="s">
        <v>20</v>
      </c>
      <c r="H755" s="65" t="s">
        <v>929</v>
      </c>
      <c r="I755" s="65">
        <v>201501</v>
      </c>
      <c r="J755" s="66">
        <v>171.63</v>
      </c>
      <c r="K755" s="72">
        <f t="shared" si="61"/>
        <v>42675</v>
      </c>
      <c r="L755" s="67">
        <f t="shared" si="58"/>
        <v>6</v>
      </c>
      <c r="M755" s="68">
        <v>1.4833299999999999E-3</v>
      </c>
      <c r="N755" s="69">
        <f t="shared" si="50"/>
        <v>1.5275035673999999</v>
      </c>
      <c r="O755" s="66"/>
      <c r="P755" s="71">
        <f t="shared" si="59"/>
        <v>0</v>
      </c>
      <c r="Q755" s="132"/>
      <c r="R755" s="71">
        <f t="shared" si="60"/>
        <v>2.62618929375</v>
      </c>
      <c r="S755" s="64"/>
    </row>
    <row r="756" spans="1:19">
      <c r="A756" s="64" t="s">
        <v>626</v>
      </c>
      <c r="B756" s="65" t="s">
        <v>1148</v>
      </c>
      <c r="C756" s="65" t="s">
        <v>1149</v>
      </c>
      <c r="D756" s="64" t="s">
        <v>1150</v>
      </c>
      <c r="E756" s="65" t="s">
        <v>93</v>
      </c>
      <c r="F756" s="64" t="s">
        <v>88</v>
      </c>
      <c r="G756" s="65" t="s">
        <v>20</v>
      </c>
      <c r="H756" s="65" t="s">
        <v>929</v>
      </c>
      <c r="I756" s="65">
        <v>201501</v>
      </c>
      <c r="J756" s="66">
        <v>-53.39</v>
      </c>
      <c r="K756" s="72">
        <f t="shared" si="61"/>
        <v>42675</v>
      </c>
      <c r="L756" s="67">
        <f t="shared" ref="L756:L819" si="62">((YEAR($L$1)-YEAR(K756))*12+MONTH($L$1)-MONTH(K756))</f>
        <v>6</v>
      </c>
      <c r="M756" s="68">
        <v>1.4833299999999999E-3</v>
      </c>
      <c r="N756" s="69">
        <f t="shared" si="50"/>
        <v>-0.47516993220000003</v>
      </c>
      <c r="O756" s="66"/>
      <c r="P756" s="71">
        <f t="shared" si="59"/>
        <v>0</v>
      </c>
      <c r="Q756" s="132"/>
      <c r="R756" s="71">
        <f t="shared" si="60"/>
        <v>-0.81694486041666659</v>
      </c>
      <c r="S756" s="64"/>
    </row>
    <row r="757" spans="1:19">
      <c r="A757" s="64" t="s">
        <v>21</v>
      </c>
      <c r="B757" s="65" t="s">
        <v>966</v>
      </c>
      <c r="C757" s="65" t="s">
        <v>967</v>
      </c>
      <c r="D757" s="64" t="s">
        <v>968</v>
      </c>
      <c r="E757" s="65" t="s">
        <v>209</v>
      </c>
      <c r="F757" s="64" t="s">
        <v>88</v>
      </c>
      <c r="G757" s="65" t="s">
        <v>20</v>
      </c>
      <c r="H757" s="65" t="s">
        <v>929</v>
      </c>
      <c r="I757" s="65">
        <v>201501</v>
      </c>
      <c r="J757" s="66">
        <v>-1.72</v>
      </c>
      <c r="K757" s="72">
        <f t="shared" si="61"/>
        <v>42675</v>
      </c>
      <c r="L757" s="67">
        <f t="shared" si="62"/>
        <v>6</v>
      </c>
      <c r="M757" s="68">
        <v>1.4833299999999999E-3</v>
      </c>
      <c r="N757" s="69">
        <f t="shared" si="50"/>
        <v>-1.5307965599999999E-2</v>
      </c>
      <c r="O757" s="66"/>
      <c r="P757" s="71">
        <f t="shared" ref="P757:P820" si="63">$P$627*0.5*J757*$U$12</f>
        <v>0</v>
      </c>
      <c r="Q757" s="132"/>
      <c r="R757" s="71">
        <f t="shared" ref="R757:R820" si="64">$R$627*0.5*J757*$U$12</f>
        <v>-2.6318508333333331E-2</v>
      </c>
      <c r="S757" s="64"/>
    </row>
    <row r="758" spans="1:19">
      <c r="A758" s="64" t="s">
        <v>21</v>
      </c>
      <c r="B758" s="65" t="s">
        <v>882</v>
      </c>
      <c r="C758" s="65" t="s">
        <v>883</v>
      </c>
      <c r="D758" s="64" t="s">
        <v>884</v>
      </c>
      <c r="E758" s="65" t="s">
        <v>87</v>
      </c>
      <c r="F758" s="64" t="s">
        <v>88</v>
      </c>
      <c r="G758" s="65" t="s">
        <v>20</v>
      </c>
      <c r="H758" s="65" t="s">
        <v>929</v>
      </c>
      <c r="I758" s="65">
        <v>201501</v>
      </c>
      <c r="J758" s="66">
        <v>-1.82</v>
      </c>
      <c r="K758" s="72">
        <f t="shared" ref="K758:K821" si="65">+K757</f>
        <v>42675</v>
      </c>
      <c r="L758" s="67">
        <f t="shared" si="62"/>
        <v>6</v>
      </c>
      <c r="M758" s="68">
        <v>1.4833299999999999E-3</v>
      </c>
      <c r="N758" s="69">
        <f t="shared" si="50"/>
        <v>-1.61979636E-2</v>
      </c>
      <c r="O758" s="66"/>
      <c r="P758" s="71">
        <f t="shared" si="63"/>
        <v>0</v>
      </c>
      <c r="Q758" s="132"/>
      <c r="R758" s="71">
        <f t="shared" si="64"/>
        <v>-2.7848654166666667E-2</v>
      </c>
      <c r="S758" s="64"/>
    </row>
    <row r="759" spans="1:19">
      <c r="A759" s="64" t="s">
        <v>626</v>
      </c>
      <c r="B759" s="65" t="s">
        <v>975</v>
      </c>
      <c r="C759" s="65" t="s">
        <v>976</v>
      </c>
      <c r="D759" s="64" t="s">
        <v>977</v>
      </c>
      <c r="E759" s="65" t="s">
        <v>87</v>
      </c>
      <c r="F759" s="64" t="s">
        <v>88</v>
      </c>
      <c r="G759" s="65" t="s">
        <v>20</v>
      </c>
      <c r="H759" s="65" t="s">
        <v>929</v>
      </c>
      <c r="I759" s="65">
        <v>201501</v>
      </c>
      <c r="J759" s="66">
        <v>65.239999999999995</v>
      </c>
      <c r="K759" s="72">
        <f t="shared" si="65"/>
        <v>42675</v>
      </c>
      <c r="L759" s="67">
        <f t="shared" si="62"/>
        <v>6</v>
      </c>
      <c r="M759" s="68">
        <v>1.4833299999999999E-3</v>
      </c>
      <c r="N759" s="69">
        <f t="shared" si="50"/>
        <v>0.5806346952</v>
      </c>
      <c r="O759" s="66"/>
      <c r="P759" s="71">
        <f t="shared" si="63"/>
        <v>0</v>
      </c>
      <c r="Q759" s="132"/>
      <c r="R759" s="71">
        <f t="shared" si="64"/>
        <v>0.99826714166666641</v>
      </c>
      <c r="S759" s="64"/>
    </row>
    <row r="760" spans="1:19">
      <c r="A760" s="64" t="s">
        <v>626</v>
      </c>
      <c r="B760" s="65" t="s">
        <v>885</v>
      </c>
      <c r="C760" s="65" t="s">
        <v>886</v>
      </c>
      <c r="D760" s="64" t="s">
        <v>887</v>
      </c>
      <c r="E760" s="65" t="s">
        <v>93</v>
      </c>
      <c r="F760" s="64" t="s">
        <v>88</v>
      </c>
      <c r="G760" s="65" t="s">
        <v>20</v>
      </c>
      <c r="H760" s="65" t="s">
        <v>929</v>
      </c>
      <c r="I760" s="65">
        <v>201501</v>
      </c>
      <c r="J760" s="66">
        <v>14.8</v>
      </c>
      <c r="K760" s="72">
        <f t="shared" si="65"/>
        <v>42675</v>
      </c>
      <c r="L760" s="67">
        <f t="shared" si="62"/>
        <v>6</v>
      </c>
      <c r="M760" s="68">
        <v>1.4833299999999999E-3</v>
      </c>
      <c r="N760" s="69">
        <f t="shared" si="50"/>
        <v>0.13171970400000002</v>
      </c>
      <c r="O760" s="66"/>
      <c r="P760" s="71">
        <f t="shared" si="63"/>
        <v>0</v>
      </c>
      <c r="Q760" s="132"/>
      <c r="R760" s="71">
        <f t="shared" si="64"/>
        <v>0.22646158333333333</v>
      </c>
      <c r="S760" s="64"/>
    </row>
    <row r="761" spans="1:19">
      <c r="A761" s="64" t="s">
        <v>626</v>
      </c>
      <c r="B761" s="65" t="s">
        <v>1097</v>
      </c>
      <c r="C761" s="65" t="s">
        <v>1098</v>
      </c>
      <c r="D761" s="64" t="s">
        <v>1099</v>
      </c>
      <c r="E761" s="65" t="s">
        <v>452</v>
      </c>
      <c r="F761" s="64" t="s">
        <v>398</v>
      </c>
      <c r="G761" s="65" t="s">
        <v>20</v>
      </c>
      <c r="H761" s="65" t="s">
        <v>929</v>
      </c>
      <c r="I761" s="65">
        <v>201501</v>
      </c>
      <c r="J761" s="66">
        <v>-5.0999999999999996</v>
      </c>
      <c r="K761" s="72">
        <f t="shared" si="65"/>
        <v>42675</v>
      </c>
      <c r="L761" s="67">
        <f t="shared" si="62"/>
        <v>6</v>
      </c>
      <c r="M761" s="68">
        <v>1.4833299999999999E-3</v>
      </c>
      <c r="N761" s="69">
        <f t="shared" si="50"/>
        <v>-4.5389897999999998E-2</v>
      </c>
      <c r="O761" s="66"/>
      <c r="P761" s="71">
        <f t="shared" si="63"/>
        <v>0</v>
      </c>
      <c r="Q761" s="132"/>
      <c r="R761" s="71">
        <f t="shared" si="64"/>
        <v>-7.8037437499999987E-2</v>
      </c>
      <c r="S761" s="64"/>
    </row>
    <row r="762" spans="1:19">
      <c r="A762" s="64" t="s">
        <v>626</v>
      </c>
      <c r="B762" s="65" t="s">
        <v>1100</v>
      </c>
      <c r="C762" s="65" t="s">
        <v>1101</v>
      </c>
      <c r="D762" s="64" t="s">
        <v>1102</v>
      </c>
      <c r="E762" s="65" t="s">
        <v>397</v>
      </c>
      <c r="F762" s="64" t="s">
        <v>398</v>
      </c>
      <c r="G762" s="65" t="s">
        <v>20</v>
      </c>
      <c r="H762" s="65" t="s">
        <v>929</v>
      </c>
      <c r="I762" s="65">
        <v>201501</v>
      </c>
      <c r="J762" s="66">
        <v>-486.19</v>
      </c>
      <c r="K762" s="72">
        <f t="shared" si="65"/>
        <v>42675</v>
      </c>
      <c r="L762" s="67">
        <f t="shared" si="62"/>
        <v>6</v>
      </c>
      <c r="M762" s="68">
        <v>1.4833299999999999E-3</v>
      </c>
      <c r="N762" s="69">
        <f t="shared" si="50"/>
        <v>-4.3270812762000004</v>
      </c>
      <c r="O762" s="66"/>
      <c r="P762" s="71">
        <f t="shared" si="63"/>
        <v>0</v>
      </c>
      <c r="Q762" s="132"/>
      <c r="R762" s="71">
        <f t="shared" si="64"/>
        <v>-7.4394160270833334</v>
      </c>
      <c r="S762" s="64"/>
    </row>
    <row r="763" spans="1:19">
      <c r="A763" s="64" t="s">
        <v>626</v>
      </c>
      <c r="B763" s="65" t="s">
        <v>1103</v>
      </c>
      <c r="C763" s="65" t="s">
        <v>1104</v>
      </c>
      <c r="D763" s="64" t="s">
        <v>1105</v>
      </c>
      <c r="E763" s="65" t="s">
        <v>87</v>
      </c>
      <c r="F763" s="64" t="s">
        <v>88</v>
      </c>
      <c r="G763" s="65" t="s">
        <v>20</v>
      </c>
      <c r="H763" s="65" t="s">
        <v>929</v>
      </c>
      <c r="I763" s="65">
        <v>201501</v>
      </c>
      <c r="J763" s="66">
        <v>-138.21</v>
      </c>
      <c r="K763" s="72">
        <f t="shared" si="65"/>
        <v>42675</v>
      </c>
      <c r="L763" s="67">
        <f t="shared" si="62"/>
        <v>6</v>
      </c>
      <c r="M763" s="68">
        <v>1.4833299999999999E-3</v>
      </c>
      <c r="N763" s="69">
        <f t="shared" si="50"/>
        <v>-1.2300662358000001</v>
      </c>
      <c r="O763" s="66"/>
      <c r="P763" s="71">
        <f t="shared" si="63"/>
        <v>0</v>
      </c>
      <c r="Q763" s="132"/>
      <c r="R763" s="71">
        <f t="shared" si="64"/>
        <v>-2.1148145562499998</v>
      </c>
      <c r="S763" s="64"/>
    </row>
    <row r="764" spans="1:19">
      <c r="A764" s="64" t="s">
        <v>21</v>
      </c>
      <c r="B764" s="65" t="s">
        <v>1154</v>
      </c>
      <c r="C764" s="65" t="s">
        <v>1155</v>
      </c>
      <c r="D764" s="64" t="s">
        <v>1156</v>
      </c>
      <c r="E764" s="65" t="s">
        <v>397</v>
      </c>
      <c r="F764" s="64" t="s">
        <v>398</v>
      </c>
      <c r="G764" s="65" t="s">
        <v>20</v>
      </c>
      <c r="H764" s="65" t="s">
        <v>929</v>
      </c>
      <c r="I764" s="65">
        <v>201501</v>
      </c>
      <c r="J764" s="66">
        <v>6260.51</v>
      </c>
      <c r="K764" s="72">
        <f t="shared" si="65"/>
        <v>42675</v>
      </c>
      <c r="L764" s="67">
        <f t="shared" si="62"/>
        <v>6</v>
      </c>
      <c r="M764" s="68">
        <v>1.4833299999999999E-3</v>
      </c>
      <c r="N764" s="69">
        <f t="shared" si="50"/>
        <v>55.718413789800003</v>
      </c>
      <c r="O764" s="66"/>
      <c r="P764" s="71">
        <f t="shared" si="63"/>
        <v>0</v>
      </c>
      <c r="Q764" s="132"/>
      <c r="R764" s="71">
        <f t="shared" si="64"/>
        <v>95.794932910416662</v>
      </c>
      <c r="S764" s="64"/>
    </row>
    <row r="765" spans="1:19">
      <c r="A765" s="64" t="s">
        <v>626</v>
      </c>
      <c r="B765" s="65" t="s">
        <v>1236</v>
      </c>
      <c r="C765" s="65" t="s">
        <v>1237</v>
      </c>
      <c r="D765" s="64" t="s">
        <v>1238</v>
      </c>
      <c r="E765" s="65" t="s">
        <v>93</v>
      </c>
      <c r="F765" s="64" t="s">
        <v>88</v>
      </c>
      <c r="G765" s="65" t="s">
        <v>20</v>
      </c>
      <c r="H765" s="65" t="s">
        <v>929</v>
      </c>
      <c r="I765" s="65">
        <v>201501</v>
      </c>
      <c r="J765" s="66">
        <v>10706.71</v>
      </c>
      <c r="K765" s="72">
        <f t="shared" si="65"/>
        <v>42675</v>
      </c>
      <c r="L765" s="67">
        <f t="shared" si="62"/>
        <v>6</v>
      </c>
      <c r="M765" s="68">
        <v>1.4833299999999999E-3</v>
      </c>
      <c r="N765" s="69">
        <f t="shared" si="50"/>
        <v>95.289504865799998</v>
      </c>
      <c r="O765" s="66"/>
      <c r="P765" s="71">
        <f t="shared" si="63"/>
        <v>0</v>
      </c>
      <c r="Q765" s="132"/>
      <c r="R765" s="71">
        <f t="shared" si="64"/>
        <v>163.82827695208329</v>
      </c>
      <c r="S765" s="64"/>
    </row>
    <row r="766" spans="1:19">
      <c r="A766" s="64" t="s">
        <v>626</v>
      </c>
      <c r="B766" s="65" t="s">
        <v>1239</v>
      </c>
      <c r="C766" s="65" t="s">
        <v>1240</v>
      </c>
      <c r="D766" s="64" t="s">
        <v>1241</v>
      </c>
      <c r="E766" s="65" t="s">
        <v>415</v>
      </c>
      <c r="F766" s="64" t="s">
        <v>88</v>
      </c>
      <c r="G766" s="65" t="s">
        <v>20</v>
      </c>
      <c r="H766" s="65" t="s">
        <v>929</v>
      </c>
      <c r="I766" s="65">
        <v>201501</v>
      </c>
      <c r="J766" s="66">
        <v>14496.1</v>
      </c>
      <c r="K766" s="72">
        <f t="shared" si="65"/>
        <v>42675</v>
      </c>
      <c r="L766" s="67">
        <f t="shared" si="62"/>
        <v>6</v>
      </c>
      <c r="M766" s="68">
        <v>1.4833299999999999E-3</v>
      </c>
      <c r="N766" s="69">
        <f t="shared" si="50"/>
        <v>129.01500007800001</v>
      </c>
      <c r="O766" s="66"/>
      <c r="P766" s="71">
        <f t="shared" si="63"/>
        <v>0</v>
      </c>
      <c r="Q766" s="132"/>
      <c r="R766" s="71">
        <f t="shared" si="64"/>
        <v>221.81147014583331</v>
      </c>
      <c r="S766" s="64"/>
    </row>
    <row r="767" spans="1:19">
      <c r="A767" s="64" t="s">
        <v>127</v>
      </c>
      <c r="B767" s="65" t="s">
        <v>1242</v>
      </c>
      <c r="C767" s="65" t="s">
        <v>1243</v>
      </c>
      <c r="D767" s="64" t="s">
        <v>1244</v>
      </c>
      <c r="E767" s="65" t="s">
        <v>131</v>
      </c>
      <c r="F767" s="64" t="s">
        <v>132</v>
      </c>
      <c r="G767" s="65" t="s">
        <v>20</v>
      </c>
      <c r="H767" s="65" t="s">
        <v>935</v>
      </c>
      <c r="I767" s="65">
        <v>201501</v>
      </c>
      <c r="J767" s="66">
        <v>213064.46</v>
      </c>
      <c r="K767" s="72">
        <f t="shared" si="65"/>
        <v>42675</v>
      </c>
      <c r="L767" s="67">
        <f t="shared" si="62"/>
        <v>6</v>
      </c>
      <c r="M767" s="68">
        <v>2.3833299999999999E-3</v>
      </c>
      <c r="N767" s="69">
        <f t="shared" si="50"/>
        <v>3046.8175167107997</v>
      </c>
      <c r="O767" s="66"/>
      <c r="P767" s="71">
        <f t="shared" si="63"/>
        <v>0</v>
      </c>
      <c r="Q767" s="132"/>
      <c r="R767" s="71">
        <f t="shared" si="64"/>
        <v>3260.1969570041661</v>
      </c>
      <c r="S767" s="64"/>
    </row>
    <row r="768" spans="1:19">
      <c r="A768" s="64" t="s">
        <v>127</v>
      </c>
      <c r="B768" s="65" t="s">
        <v>388</v>
      </c>
      <c r="C768" s="65" t="s">
        <v>389</v>
      </c>
      <c r="D768" s="64" t="s">
        <v>390</v>
      </c>
      <c r="E768" s="65" t="s">
        <v>131</v>
      </c>
      <c r="F768" s="64" t="s">
        <v>132</v>
      </c>
      <c r="G768" s="65" t="s">
        <v>20</v>
      </c>
      <c r="H768" s="65" t="s">
        <v>935</v>
      </c>
      <c r="I768" s="65">
        <v>201501</v>
      </c>
      <c r="J768" s="66">
        <v>780.23</v>
      </c>
      <c r="K768" s="72">
        <f t="shared" si="65"/>
        <v>42675</v>
      </c>
      <c r="L768" s="67">
        <f t="shared" si="62"/>
        <v>6</v>
      </c>
      <c r="M768" s="68">
        <v>2.3833299999999999E-3</v>
      </c>
      <c r="N768" s="69">
        <f t="shared" si="50"/>
        <v>11.157273395400001</v>
      </c>
      <c r="O768" s="66"/>
      <c r="P768" s="71">
        <f t="shared" si="63"/>
        <v>0</v>
      </c>
      <c r="Q768" s="132"/>
      <c r="R768" s="71">
        <f t="shared" si="64"/>
        <v>11.938656835416666</v>
      </c>
      <c r="S768" s="64"/>
    </row>
    <row r="769" spans="1:19">
      <c r="A769" s="64" t="s">
        <v>127</v>
      </c>
      <c r="B769" s="65" t="s">
        <v>1130</v>
      </c>
      <c r="C769" s="65" t="s">
        <v>1131</v>
      </c>
      <c r="D769" s="64" t="s">
        <v>1132</v>
      </c>
      <c r="E769" s="65" t="s">
        <v>131</v>
      </c>
      <c r="F769" s="64" t="s">
        <v>132</v>
      </c>
      <c r="G769" s="65" t="s">
        <v>20</v>
      </c>
      <c r="H769" s="65" t="s">
        <v>935</v>
      </c>
      <c r="I769" s="65">
        <v>201501</v>
      </c>
      <c r="J769" s="66">
        <v>1130.32</v>
      </c>
      <c r="K769" s="72">
        <f t="shared" si="65"/>
        <v>42675</v>
      </c>
      <c r="L769" s="67">
        <f t="shared" si="62"/>
        <v>6</v>
      </c>
      <c r="M769" s="68">
        <v>2.3833299999999999E-3</v>
      </c>
      <c r="N769" s="69">
        <f t="shared" si="50"/>
        <v>16.163553393600001</v>
      </c>
      <c r="O769" s="66"/>
      <c r="P769" s="71">
        <f t="shared" si="63"/>
        <v>0</v>
      </c>
      <c r="Q769" s="132"/>
      <c r="R769" s="71">
        <f t="shared" si="64"/>
        <v>17.295544383333333</v>
      </c>
      <c r="S769" s="64"/>
    </row>
    <row r="770" spans="1:19">
      <c r="A770" s="64" t="s">
        <v>29</v>
      </c>
      <c r="B770" s="65" t="s">
        <v>1060</v>
      </c>
      <c r="C770" s="65" t="s">
        <v>1061</v>
      </c>
      <c r="D770" s="64" t="s">
        <v>1062</v>
      </c>
      <c r="E770" s="65" t="s">
        <v>834</v>
      </c>
      <c r="F770" s="64" t="s">
        <v>835</v>
      </c>
      <c r="G770" s="65" t="s">
        <v>20</v>
      </c>
      <c r="H770" s="65" t="s">
        <v>937</v>
      </c>
      <c r="I770" s="65">
        <v>201501</v>
      </c>
      <c r="J770" s="66">
        <v>0</v>
      </c>
      <c r="K770" s="72">
        <f t="shared" si="65"/>
        <v>42675</v>
      </c>
      <c r="L770" s="67">
        <f t="shared" si="62"/>
        <v>6</v>
      </c>
      <c r="M770" s="68">
        <v>2.23333E-3</v>
      </c>
      <c r="N770" s="69">
        <f t="shared" si="50"/>
        <v>0</v>
      </c>
      <c r="O770" s="66"/>
      <c r="P770" s="71">
        <f t="shared" si="63"/>
        <v>0</v>
      </c>
      <c r="Q770" s="132"/>
      <c r="R770" s="71">
        <f t="shared" si="64"/>
        <v>0</v>
      </c>
      <c r="S770" s="64"/>
    </row>
    <row r="771" spans="1:19">
      <c r="A771" s="64" t="s">
        <v>29</v>
      </c>
      <c r="B771" s="65" t="s">
        <v>30</v>
      </c>
      <c r="C771" s="65" t="s">
        <v>31</v>
      </c>
      <c r="D771" s="64" t="s">
        <v>32</v>
      </c>
      <c r="E771" s="65" t="s">
        <v>33</v>
      </c>
      <c r="F771" s="64" t="s">
        <v>34</v>
      </c>
      <c r="G771" s="65" t="s">
        <v>20</v>
      </c>
      <c r="H771" s="65" t="s">
        <v>933</v>
      </c>
      <c r="I771" s="65">
        <v>201502</v>
      </c>
      <c r="J771" s="66">
        <v>77105.95</v>
      </c>
      <c r="K771" s="72">
        <f t="shared" si="65"/>
        <v>42675</v>
      </c>
      <c r="L771" s="67">
        <f t="shared" si="62"/>
        <v>6</v>
      </c>
      <c r="M771" s="68">
        <v>2.23333E-3</v>
      </c>
      <c r="N771" s="69">
        <f t="shared" si="50"/>
        <v>1033.2181878809999</v>
      </c>
      <c r="O771" s="66"/>
      <c r="P771" s="71">
        <f t="shared" si="63"/>
        <v>0</v>
      </c>
      <c r="Q771" s="132"/>
      <c r="R771" s="71">
        <f t="shared" si="64"/>
        <v>1179.8334811770831</v>
      </c>
      <c r="S771" s="64"/>
    </row>
    <row r="772" spans="1:19">
      <c r="A772" s="64" t="s">
        <v>29</v>
      </c>
      <c r="B772" s="65" t="s">
        <v>37</v>
      </c>
      <c r="C772" s="65" t="s">
        <v>38</v>
      </c>
      <c r="D772" s="64" t="s">
        <v>39</v>
      </c>
      <c r="E772" s="65" t="s">
        <v>40</v>
      </c>
      <c r="F772" s="64" t="s">
        <v>41</v>
      </c>
      <c r="G772" s="65" t="s">
        <v>20</v>
      </c>
      <c r="H772" s="65" t="s">
        <v>933</v>
      </c>
      <c r="I772" s="65">
        <v>201502</v>
      </c>
      <c r="J772" s="66">
        <v>21115.64</v>
      </c>
      <c r="K772" s="72">
        <f t="shared" si="65"/>
        <v>42675</v>
      </c>
      <c r="L772" s="67">
        <f t="shared" si="62"/>
        <v>6</v>
      </c>
      <c r="M772" s="68">
        <v>2.23333E-3</v>
      </c>
      <c r="N772" s="69">
        <f t="shared" si="50"/>
        <v>282.94915368719995</v>
      </c>
      <c r="O772" s="66"/>
      <c r="P772" s="71">
        <f t="shared" si="63"/>
        <v>0</v>
      </c>
      <c r="Q772" s="132"/>
      <c r="R772" s="71">
        <f t="shared" si="64"/>
        <v>323.10008564166662</v>
      </c>
      <c r="S772" s="64"/>
    </row>
    <row r="773" spans="1:19">
      <c r="A773" s="64" t="s">
        <v>29</v>
      </c>
      <c r="B773" s="65" t="s">
        <v>48</v>
      </c>
      <c r="C773" s="65" t="s">
        <v>49</v>
      </c>
      <c r="D773" s="64" t="s">
        <v>50</v>
      </c>
      <c r="E773" s="65" t="s">
        <v>51</v>
      </c>
      <c r="F773" s="64" t="s">
        <v>52</v>
      </c>
      <c r="G773" s="65" t="s">
        <v>20</v>
      </c>
      <c r="H773" s="65" t="s">
        <v>933</v>
      </c>
      <c r="I773" s="65">
        <v>201502</v>
      </c>
      <c r="J773" s="66">
        <v>16080.97</v>
      </c>
      <c r="K773" s="72">
        <f t="shared" si="65"/>
        <v>42675</v>
      </c>
      <c r="L773" s="67">
        <f t="shared" si="62"/>
        <v>6</v>
      </c>
      <c r="M773" s="68">
        <v>2.23333E-3</v>
      </c>
      <c r="N773" s="69">
        <f t="shared" si="50"/>
        <v>215.48467638059998</v>
      </c>
      <c r="O773" s="66"/>
      <c r="P773" s="71">
        <f t="shared" si="63"/>
        <v>0</v>
      </c>
      <c r="Q773" s="132"/>
      <c r="R773" s="71">
        <f t="shared" si="64"/>
        <v>246.06229241458331</v>
      </c>
      <c r="S773" s="64"/>
    </row>
    <row r="774" spans="1:19">
      <c r="A774" s="64" t="s">
        <v>29</v>
      </c>
      <c r="B774" s="65" t="s">
        <v>1024</v>
      </c>
      <c r="C774" s="65" t="s">
        <v>1025</v>
      </c>
      <c r="D774" s="64" t="s">
        <v>1026</v>
      </c>
      <c r="E774" s="65" t="s">
        <v>1027</v>
      </c>
      <c r="F774" s="64" t="s">
        <v>1028</v>
      </c>
      <c r="G774" s="65" t="s">
        <v>20</v>
      </c>
      <c r="H774" s="65" t="s">
        <v>933</v>
      </c>
      <c r="I774" s="65">
        <v>201502</v>
      </c>
      <c r="J774" s="66">
        <v>-0.87</v>
      </c>
      <c r="K774" s="72">
        <f t="shared" si="65"/>
        <v>42675</v>
      </c>
      <c r="L774" s="67">
        <f t="shared" si="62"/>
        <v>6</v>
      </c>
      <c r="M774" s="68">
        <v>2.23333E-3</v>
      </c>
      <c r="N774" s="69">
        <f t="shared" si="50"/>
        <v>-1.1657982599999998E-2</v>
      </c>
      <c r="O774" s="66"/>
      <c r="P774" s="71">
        <f t="shared" si="63"/>
        <v>0</v>
      </c>
      <c r="Q774" s="132"/>
      <c r="R774" s="71">
        <f t="shared" si="64"/>
        <v>-1.3312268749999998E-2</v>
      </c>
      <c r="S774" s="64"/>
    </row>
    <row r="775" spans="1:19">
      <c r="A775" s="64" t="s">
        <v>29</v>
      </c>
      <c r="B775" s="65" t="s">
        <v>1245</v>
      </c>
      <c r="C775" s="65" t="s">
        <v>1246</v>
      </c>
      <c r="D775" s="64" t="s">
        <v>1026</v>
      </c>
      <c r="E775" s="65" t="s">
        <v>1027</v>
      </c>
      <c r="F775" s="64" t="s">
        <v>1028</v>
      </c>
      <c r="G775" s="65" t="s">
        <v>20</v>
      </c>
      <c r="H775" s="65" t="s">
        <v>933</v>
      </c>
      <c r="I775" s="65">
        <v>201502</v>
      </c>
      <c r="J775" s="66">
        <v>1767.23</v>
      </c>
      <c r="K775" s="72">
        <f t="shared" si="65"/>
        <v>42675</v>
      </c>
      <c r="L775" s="67">
        <f t="shared" si="62"/>
        <v>6</v>
      </c>
      <c r="M775" s="68">
        <v>2.23333E-3</v>
      </c>
      <c r="N775" s="69">
        <f t="shared" si="50"/>
        <v>23.6808466554</v>
      </c>
      <c r="O775" s="66"/>
      <c r="P775" s="71">
        <f t="shared" si="63"/>
        <v>0</v>
      </c>
      <c r="Q775" s="132"/>
      <c r="R775" s="71">
        <f t="shared" si="64"/>
        <v>27.041196210416665</v>
      </c>
      <c r="S775" s="64"/>
    </row>
    <row r="776" spans="1:19">
      <c r="A776" s="64" t="s">
        <v>29</v>
      </c>
      <c r="B776" s="65" t="s">
        <v>103</v>
      </c>
      <c r="C776" s="65" t="s">
        <v>104</v>
      </c>
      <c r="D776" s="64" t="s">
        <v>105</v>
      </c>
      <c r="E776" s="65" t="s">
        <v>106</v>
      </c>
      <c r="F776" s="64" t="s">
        <v>34</v>
      </c>
      <c r="G776" s="65" t="s">
        <v>20</v>
      </c>
      <c r="H776" s="65" t="s">
        <v>933</v>
      </c>
      <c r="I776" s="65">
        <v>201502</v>
      </c>
      <c r="J776" s="66">
        <v>16558.93</v>
      </c>
      <c r="K776" s="72">
        <f t="shared" si="65"/>
        <v>42675</v>
      </c>
      <c r="L776" s="67">
        <f t="shared" si="62"/>
        <v>6</v>
      </c>
      <c r="M776" s="68">
        <v>2.23333E-3</v>
      </c>
      <c r="N776" s="69">
        <f t="shared" si="50"/>
        <v>221.88933082139999</v>
      </c>
      <c r="O776" s="66"/>
      <c r="P776" s="71">
        <f t="shared" si="63"/>
        <v>0</v>
      </c>
      <c r="Q776" s="132"/>
      <c r="R776" s="71">
        <f t="shared" si="64"/>
        <v>253.37577743958329</v>
      </c>
      <c r="S776" s="64"/>
    </row>
    <row r="777" spans="1:19">
      <c r="A777" s="64" t="s">
        <v>29</v>
      </c>
      <c r="B777" s="65" t="s">
        <v>107</v>
      </c>
      <c r="C777" s="65" t="s">
        <v>108</v>
      </c>
      <c r="D777" s="64" t="s">
        <v>109</v>
      </c>
      <c r="E777" s="65" t="s">
        <v>110</v>
      </c>
      <c r="F777" s="64" t="s">
        <v>52</v>
      </c>
      <c r="G777" s="65" t="s">
        <v>20</v>
      </c>
      <c r="H777" s="65" t="s">
        <v>933</v>
      </c>
      <c r="I777" s="65">
        <v>201502</v>
      </c>
      <c r="J777" s="66">
        <v>6597.97</v>
      </c>
      <c r="K777" s="72">
        <f t="shared" si="65"/>
        <v>42675</v>
      </c>
      <c r="L777" s="67">
        <f t="shared" si="62"/>
        <v>6</v>
      </c>
      <c r="M777" s="68">
        <v>2.23333E-3</v>
      </c>
      <c r="N777" s="69">
        <f t="shared" si="50"/>
        <v>88.412666040600001</v>
      </c>
      <c r="O777" s="66"/>
      <c r="P777" s="71">
        <f t="shared" si="63"/>
        <v>0</v>
      </c>
      <c r="Q777" s="132"/>
      <c r="R777" s="71">
        <f t="shared" si="64"/>
        <v>100.95856303958332</v>
      </c>
      <c r="S777" s="64"/>
    </row>
    <row r="778" spans="1:19">
      <c r="A778" s="64" t="s">
        <v>29</v>
      </c>
      <c r="B778" s="65" t="s">
        <v>555</v>
      </c>
      <c r="C778" s="65" t="s">
        <v>556</v>
      </c>
      <c r="D778" s="64" t="s">
        <v>45</v>
      </c>
      <c r="E778" s="65" t="s">
        <v>557</v>
      </c>
      <c r="F778" s="64" t="s">
        <v>41</v>
      </c>
      <c r="G778" s="65" t="s">
        <v>20</v>
      </c>
      <c r="H778" s="65" t="s">
        <v>933</v>
      </c>
      <c r="I778" s="65">
        <v>201502</v>
      </c>
      <c r="J778" s="66">
        <v>780.81</v>
      </c>
      <c r="K778" s="72">
        <f t="shared" si="65"/>
        <v>42675</v>
      </c>
      <c r="L778" s="67">
        <f t="shared" si="62"/>
        <v>6</v>
      </c>
      <c r="M778" s="68">
        <v>2.23333E-3</v>
      </c>
      <c r="N778" s="69">
        <f t="shared" si="50"/>
        <v>10.462838383799998</v>
      </c>
      <c r="O778" s="66"/>
      <c r="P778" s="71">
        <f t="shared" si="63"/>
        <v>0</v>
      </c>
      <c r="Q778" s="132"/>
      <c r="R778" s="71">
        <f t="shared" si="64"/>
        <v>11.947531681249998</v>
      </c>
      <c r="S778" s="64"/>
    </row>
    <row r="779" spans="1:19">
      <c r="A779" s="64" t="s">
        <v>29</v>
      </c>
      <c r="B779" s="65" t="s">
        <v>121</v>
      </c>
      <c r="C779" s="65" t="s">
        <v>122</v>
      </c>
      <c r="D779" s="64" t="s">
        <v>50</v>
      </c>
      <c r="E779" s="65" t="s">
        <v>123</v>
      </c>
      <c r="F779" s="64" t="s">
        <v>52</v>
      </c>
      <c r="G779" s="65" t="s">
        <v>20</v>
      </c>
      <c r="H779" s="65" t="s">
        <v>933</v>
      </c>
      <c r="I779" s="65">
        <v>201502</v>
      </c>
      <c r="J779" s="66">
        <v>-31.08</v>
      </c>
      <c r="K779" s="72">
        <f t="shared" si="65"/>
        <v>42675</v>
      </c>
      <c r="L779" s="67">
        <f t="shared" si="62"/>
        <v>6</v>
      </c>
      <c r="M779" s="68">
        <v>2.23333E-3</v>
      </c>
      <c r="N779" s="69">
        <f t="shared" si="50"/>
        <v>-0.41647137839999993</v>
      </c>
      <c r="O779" s="66"/>
      <c r="P779" s="71">
        <f t="shared" si="63"/>
        <v>0</v>
      </c>
      <c r="Q779" s="132"/>
      <c r="R779" s="71">
        <f t="shared" si="64"/>
        <v>-0.47556932499999993</v>
      </c>
      <c r="S779" s="64"/>
    </row>
    <row r="780" spans="1:19">
      <c r="A780" s="64" t="s">
        <v>29</v>
      </c>
      <c r="B780" s="65" t="s">
        <v>124</v>
      </c>
      <c r="C780" s="65" t="s">
        <v>125</v>
      </c>
      <c r="D780" s="64" t="s">
        <v>50</v>
      </c>
      <c r="E780" s="65" t="s">
        <v>126</v>
      </c>
      <c r="F780" s="64" t="s">
        <v>52</v>
      </c>
      <c r="G780" s="65" t="s">
        <v>20</v>
      </c>
      <c r="H780" s="65" t="s">
        <v>933</v>
      </c>
      <c r="I780" s="65">
        <v>201502</v>
      </c>
      <c r="J780" s="66">
        <v>-507.92</v>
      </c>
      <c r="K780" s="72">
        <f t="shared" si="65"/>
        <v>42675</v>
      </c>
      <c r="L780" s="67">
        <f t="shared" si="62"/>
        <v>6</v>
      </c>
      <c r="M780" s="68">
        <v>2.23333E-3</v>
      </c>
      <c r="N780" s="69">
        <f t="shared" si="50"/>
        <v>-6.8061178415999999</v>
      </c>
      <c r="O780" s="66"/>
      <c r="P780" s="71">
        <f t="shared" si="63"/>
        <v>0</v>
      </c>
      <c r="Q780" s="132"/>
      <c r="R780" s="71">
        <f t="shared" si="64"/>
        <v>-7.7719167166666656</v>
      </c>
      <c r="S780" s="64"/>
    </row>
    <row r="781" spans="1:19">
      <c r="A781" s="64" t="s">
        <v>29</v>
      </c>
      <c r="B781" s="65" t="s">
        <v>1247</v>
      </c>
      <c r="C781" s="65" t="s">
        <v>1248</v>
      </c>
      <c r="D781" s="64" t="s">
        <v>708</v>
      </c>
      <c r="E781" s="65" t="s">
        <v>1249</v>
      </c>
      <c r="F781" s="64" t="s">
        <v>710</v>
      </c>
      <c r="G781" s="65" t="s">
        <v>20</v>
      </c>
      <c r="H781" s="65" t="s">
        <v>933</v>
      </c>
      <c r="I781" s="65">
        <v>201502</v>
      </c>
      <c r="J781" s="66">
        <v>7194.54</v>
      </c>
      <c r="K781" s="72">
        <f t="shared" si="65"/>
        <v>42675</v>
      </c>
      <c r="L781" s="67">
        <f t="shared" si="62"/>
        <v>6</v>
      </c>
      <c r="M781" s="68">
        <v>2.23333E-3</v>
      </c>
      <c r="N781" s="69">
        <f t="shared" si="50"/>
        <v>96.406692109199994</v>
      </c>
      <c r="O781" s="66"/>
      <c r="P781" s="71">
        <f t="shared" si="63"/>
        <v>0</v>
      </c>
      <c r="Q781" s="132"/>
      <c r="R781" s="71">
        <f t="shared" si="64"/>
        <v>110.08695403749998</v>
      </c>
      <c r="S781" s="64"/>
    </row>
    <row r="782" spans="1:19">
      <c r="A782" s="64" t="s">
        <v>29</v>
      </c>
      <c r="B782" s="65" t="s">
        <v>183</v>
      </c>
      <c r="C782" s="65" t="s">
        <v>184</v>
      </c>
      <c r="D782" s="64" t="s">
        <v>45</v>
      </c>
      <c r="E782" s="65" t="s">
        <v>185</v>
      </c>
      <c r="F782" s="64" t="s">
        <v>41</v>
      </c>
      <c r="G782" s="65" t="s">
        <v>20</v>
      </c>
      <c r="H782" s="65" t="s">
        <v>933</v>
      </c>
      <c r="I782" s="65">
        <v>201502</v>
      </c>
      <c r="J782" s="66">
        <v>11468.81</v>
      </c>
      <c r="K782" s="72">
        <f t="shared" si="65"/>
        <v>42675</v>
      </c>
      <c r="L782" s="67">
        <f t="shared" si="62"/>
        <v>6</v>
      </c>
      <c r="M782" s="68">
        <v>2.23333E-3</v>
      </c>
      <c r="N782" s="69">
        <f t="shared" si="50"/>
        <v>153.68182462379997</v>
      </c>
      <c r="O782" s="66"/>
      <c r="P782" s="71">
        <f t="shared" si="63"/>
        <v>0</v>
      </c>
      <c r="Q782" s="132"/>
      <c r="R782" s="71">
        <f t="shared" si="64"/>
        <v>175.48951834791666</v>
      </c>
      <c r="S782" s="64"/>
    </row>
    <row r="783" spans="1:19">
      <c r="A783" s="64" t="s">
        <v>29</v>
      </c>
      <c r="B783" s="65" t="s">
        <v>186</v>
      </c>
      <c r="C783" s="65" t="s">
        <v>187</v>
      </c>
      <c r="D783" s="64" t="s">
        <v>188</v>
      </c>
      <c r="E783" s="65" t="s">
        <v>189</v>
      </c>
      <c r="F783" s="64" t="s">
        <v>190</v>
      </c>
      <c r="G783" s="65" t="s">
        <v>20</v>
      </c>
      <c r="H783" s="65" t="s">
        <v>933</v>
      </c>
      <c r="I783" s="65">
        <v>201502</v>
      </c>
      <c r="J783" s="66">
        <v>1496.68</v>
      </c>
      <c r="K783" s="72">
        <f t="shared" si="65"/>
        <v>42675</v>
      </c>
      <c r="L783" s="67">
        <f t="shared" si="62"/>
        <v>6</v>
      </c>
      <c r="M783" s="68">
        <v>2.23333E-3</v>
      </c>
      <c r="N783" s="69">
        <f t="shared" si="50"/>
        <v>20.0554820664</v>
      </c>
      <c r="O783" s="66"/>
      <c r="P783" s="71">
        <f t="shared" si="63"/>
        <v>0</v>
      </c>
      <c r="Q783" s="132"/>
      <c r="R783" s="71">
        <f t="shared" si="64"/>
        <v>22.90138665833333</v>
      </c>
      <c r="S783" s="64"/>
    </row>
    <row r="784" spans="1:19">
      <c r="A784" s="64" t="s">
        <v>29</v>
      </c>
      <c r="B784" s="65" t="s">
        <v>191</v>
      </c>
      <c r="C784" s="65" t="s">
        <v>192</v>
      </c>
      <c r="D784" s="64" t="s">
        <v>193</v>
      </c>
      <c r="E784" s="65" t="s">
        <v>194</v>
      </c>
      <c r="F784" s="64" t="s">
        <v>115</v>
      </c>
      <c r="G784" s="65" t="s">
        <v>20</v>
      </c>
      <c r="H784" s="65" t="s">
        <v>933</v>
      </c>
      <c r="I784" s="65">
        <v>201502</v>
      </c>
      <c r="J784" s="66">
        <v>20813.990000000002</v>
      </c>
      <c r="K784" s="72">
        <f t="shared" si="65"/>
        <v>42675</v>
      </c>
      <c r="L784" s="67">
        <f t="shared" si="62"/>
        <v>6</v>
      </c>
      <c r="M784" s="68">
        <v>2.23333E-3</v>
      </c>
      <c r="N784" s="69">
        <f t="shared" si="50"/>
        <v>278.90704972020001</v>
      </c>
      <c r="O784" s="66"/>
      <c r="P784" s="71">
        <f t="shared" si="63"/>
        <v>0</v>
      </c>
      <c r="Q784" s="132"/>
      <c r="R784" s="71">
        <f t="shared" si="64"/>
        <v>318.48440073541667</v>
      </c>
      <c r="S784" s="64"/>
    </row>
    <row r="785" spans="1:19">
      <c r="A785" s="64" t="s">
        <v>29</v>
      </c>
      <c r="B785" s="65" t="s">
        <v>195</v>
      </c>
      <c r="C785" s="65" t="s">
        <v>196</v>
      </c>
      <c r="D785" s="64" t="s">
        <v>197</v>
      </c>
      <c r="E785" s="65" t="s">
        <v>198</v>
      </c>
      <c r="F785" s="64" t="s">
        <v>199</v>
      </c>
      <c r="G785" s="65" t="s">
        <v>20</v>
      </c>
      <c r="H785" s="65" t="s">
        <v>933</v>
      </c>
      <c r="I785" s="65">
        <v>201502</v>
      </c>
      <c r="J785" s="66">
        <v>135568.03</v>
      </c>
      <c r="K785" s="72">
        <f t="shared" si="65"/>
        <v>42675</v>
      </c>
      <c r="L785" s="67">
        <f t="shared" si="62"/>
        <v>6</v>
      </c>
      <c r="M785" s="68">
        <v>2.23333E-3</v>
      </c>
      <c r="N785" s="69">
        <f t="shared" si="50"/>
        <v>1816.6088906393998</v>
      </c>
      <c r="O785" s="66"/>
      <c r="P785" s="71">
        <f t="shared" si="63"/>
        <v>0</v>
      </c>
      <c r="Q785" s="132"/>
      <c r="R785" s="71">
        <f t="shared" si="64"/>
        <v>2074.388562377083</v>
      </c>
      <c r="S785" s="64"/>
    </row>
    <row r="786" spans="1:19">
      <c r="A786" s="64" t="s">
        <v>29</v>
      </c>
      <c r="B786" s="65" t="s">
        <v>200</v>
      </c>
      <c r="C786" s="65" t="s">
        <v>201</v>
      </c>
      <c r="D786" s="64" t="s">
        <v>197</v>
      </c>
      <c r="E786" s="65" t="s">
        <v>202</v>
      </c>
      <c r="F786" s="64" t="s">
        <v>199</v>
      </c>
      <c r="G786" s="65" t="s">
        <v>20</v>
      </c>
      <c r="H786" s="65" t="s">
        <v>933</v>
      </c>
      <c r="I786" s="65">
        <v>201502</v>
      </c>
      <c r="J786" s="66">
        <v>21410.28</v>
      </c>
      <c r="K786" s="72">
        <f t="shared" si="65"/>
        <v>42675</v>
      </c>
      <c r="L786" s="67">
        <f t="shared" si="62"/>
        <v>6</v>
      </c>
      <c r="M786" s="68">
        <v>2.23333E-3</v>
      </c>
      <c r="N786" s="69">
        <f t="shared" si="50"/>
        <v>286.89732379439994</v>
      </c>
      <c r="O786" s="66"/>
      <c r="P786" s="71">
        <f t="shared" si="63"/>
        <v>0</v>
      </c>
      <c r="Q786" s="132"/>
      <c r="R786" s="71">
        <f t="shared" si="64"/>
        <v>327.60850732499995</v>
      </c>
      <c r="S786" s="64"/>
    </row>
    <row r="787" spans="1:19">
      <c r="A787" s="64" t="s">
        <v>29</v>
      </c>
      <c r="B787" s="65" t="s">
        <v>481</v>
      </c>
      <c r="C787" s="65" t="s">
        <v>482</v>
      </c>
      <c r="D787" s="64" t="s">
        <v>483</v>
      </c>
      <c r="E787" s="65" t="s">
        <v>484</v>
      </c>
      <c r="F787" s="64" t="s">
        <v>190</v>
      </c>
      <c r="G787" s="65" t="s">
        <v>20</v>
      </c>
      <c r="H787" s="65" t="s">
        <v>933</v>
      </c>
      <c r="I787" s="65">
        <v>201502</v>
      </c>
      <c r="J787" s="66">
        <v>-72.19</v>
      </c>
      <c r="K787" s="72">
        <f t="shared" si="65"/>
        <v>42675</v>
      </c>
      <c r="L787" s="67">
        <f t="shared" si="62"/>
        <v>6</v>
      </c>
      <c r="M787" s="68">
        <v>2.23333E-3</v>
      </c>
      <c r="N787" s="69">
        <f t="shared" si="50"/>
        <v>-0.96734455619999993</v>
      </c>
      <c r="O787" s="66"/>
      <c r="P787" s="71">
        <f t="shared" si="63"/>
        <v>0</v>
      </c>
      <c r="Q787" s="132"/>
      <c r="R787" s="71">
        <f t="shared" si="64"/>
        <v>-1.1046122770833331</v>
      </c>
      <c r="S787" s="64"/>
    </row>
    <row r="788" spans="1:19">
      <c r="A788" s="64" t="s">
        <v>29</v>
      </c>
      <c r="B788" s="65" t="s">
        <v>236</v>
      </c>
      <c r="C788" s="65" t="s">
        <v>237</v>
      </c>
      <c r="D788" s="64" t="s">
        <v>188</v>
      </c>
      <c r="E788" s="65" t="s">
        <v>238</v>
      </c>
      <c r="F788" s="64" t="s">
        <v>190</v>
      </c>
      <c r="G788" s="65" t="s">
        <v>20</v>
      </c>
      <c r="H788" s="65" t="s">
        <v>933</v>
      </c>
      <c r="I788" s="65">
        <v>201502</v>
      </c>
      <c r="J788" s="66">
        <v>49045.33</v>
      </c>
      <c r="K788" s="72">
        <f t="shared" si="65"/>
        <v>42675</v>
      </c>
      <c r="L788" s="67">
        <f t="shared" si="62"/>
        <v>6</v>
      </c>
      <c r="M788" s="68">
        <v>2.23333E-3</v>
      </c>
      <c r="N788" s="69">
        <f t="shared" si="50"/>
        <v>657.20644109339992</v>
      </c>
      <c r="O788" s="66"/>
      <c r="P788" s="71">
        <f t="shared" si="63"/>
        <v>0</v>
      </c>
      <c r="Q788" s="132"/>
      <c r="R788" s="71">
        <f t="shared" si="64"/>
        <v>750.46507343958331</v>
      </c>
      <c r="S788" s="64"/>
    </row>
    <row r="789" spans="1:19">
      <c r="A789" s="64" t="s">
        <v>29</v>
      </c>
      <c r="B789" s="65" t="s">
        <v>239</v>
      </c>
      <c r="C789" s="65" t="s">
        <v>240</v>
      </c>
      <c r="D789" s="64" t="s">
        <v>197</v>
      </c>
      <c r="E789" s="65" t="s">
        <v>241</v>
      </c>
      <c r="F789" s="64" t="s">
        <v>199</v>
      </c>
      <c r="G789" s="65" t="s">
        <v>20</v>
      </c>
      <c r="H789" s="65" t="s">
        <v>933</v>
      </c>
      <c r="I789" s="65">
        <v>201502</v>
      </c>
      <c r="J789" s="66">
        <v>20994.25</v>
      </c>
      <c r="K789" s="72">
        <f t="shared" si="65"/>
        <v>42675</v>
      </c>
      <c r="L789" s="67">
        <f t="shared" si="62"/>
        <v>6</v>
      </c>
      <c r="M789" s="68">
        <v>2.23333E-3</v>
      </c>
      <c r="N789" s="69">
        <f t="shared" si="50"/>
        <v>281.32253011499995</v>
      </c>
      <c r="O789" s="66"/>
      <c r="P789" s="71">
        <f t="shared" si="63"/>
        <v>0</v>
      </c>
      <c r="Q789" s="132"/>
      <c r="R789" s="71">
        <f t="shared" si="64"/>
        <v>321.24264161458331</v>
      </c>
      <c r="S789" s="64"/>
    </row>
    <row r="790" spans="1:19">
      <c r="A790" s="64" t="s">
        <v>29</v>
      </c>
      <c r="B790" s="65" t="s">
        <v>267</v>
      </c>
      <c r="C790" s="65" t="s">
        <v>268</v>
      </c>
      <c r="D790" s="64" t="s">
        <v>269</v>
      </c>
      <c r="E790" s="65" t="s">
        <v>270</v>
      </c>
      <c r="F790" s="64" t="s">
        <v>115</v>
      </c>
      <c r="G790" s="65" t="s">
        <v>20</v>
      </c>
      <c r="H790" s="65" t="s">
        <v>933</v>
      </c>
      <c r="I790" s="65">
        <v>201502</v>
      </c>
      <c r="J790" s="66">
        <v>69364.84</v>
      </c>
      <c r="K790" s="72">
        <f t="shared" si="65"/>
        <v>42675</v>
      </c>
      <c r="L790" s="67">
        <f t="shared" si="62"/>
        <v>6</v>
      </c>
      <c r="M790" s="68">
        <v>2.23333E-3</v>
      </c>
      <c r="N790" s="69">
        <f t="shared" si="50"/>
        <v>929.48746870319985</v>
      </c>
      <c r="O790" s="66"/>
      <c r="P790" s="71">
        <f t="shared" si="63"/>
        <v>0</v>
      </c>
      <c r="Q790" s="132"/>
      <c r="R790" s="71">
        <f t="shared" si="64"/>
        <v>1061.3832090583333</v>
      </c>
      <c r="S790" s="64"/>
    </row>
    <row r="791" spans="1:19">
      <c r="A791" s="64" t="s">
        <v>29</v>
      </c>
      <c r="B791" s="65" t="s">
        <v>271</v>
      </c>
      <c r="C791" s="65" t="s">
        <v>272</v>
      </c>
      <c r="D791" s="64" t="s">
        <v>197</v>
      </c>
      <c r="E791" s="65" t="s">
        <v>273</v>
      </c>
      <c r="F791" s="64" t="s">
        <v>199</v>
      </c>
      <c r="G791" s="65" t="s">
        <v>20</v>
      </c>
      <c r="H791" s="65" t="s">
        <v>933</v>
      </c>
      <c r="I791" s="65">
        <v>201502</v>
      </c>
      <c r="J791" s="66">
        <v>-3148.9</v>
      </c>
      <c r="K791" s="72">
        <f t="shared" si="65"/>
        <v>42675</v>
      </c>
      <c r="L791" s="67">
        <f t="shared" si="62"/>
        <v>6</v>
      </c>
      <c r="M791" s="68">
        <v>2.23333E-3</v>
      </c>
      <c r="N791" s="69">
        <f t="shared" si="50"/>
        <v>-42.195197021999995</v>
      </c>
      <c r="O791" s="66"/>
      <c r="P791" s="71">
        <f t="shared" si="63"/>
        <v>0</v>
      </c>
      <c r="Q791" s="132"/>
      <c r="R791" s="71">
        <f t="shared" si="64"/>
        <v>-48.18276214583333</v>
      </c>
      <c r="S791" s="64"/>
    </row>
    <row r="792" spans="1:19">
      <c r="A792" s="64" t="s">
        <v>29</v>
      </c>
      <c r="B792" s="65" t="s">
        <v>836</v>
      </c>
      <c r="C792" s="65" t="s">
        <v>837</v>
      </c>
      <c r="D792" s="64" t="s">
        <v>327</v>
      </c>
      <c r="E792" s="65" t="s">
        <v>838</v>
      </c>
      <c r="F792" s="64" t="s">
        <v>58</v>
      </c>
      <c r="G792" s="65" t="s">
        <v>20</v>
      </c>
      <c r="H792" s="65" t="s">
        <v>933</v>
      </c>
      <c r="I792" s="65">
        <v>201502</v>
      </c>
      <c r="J792" s="66">
        <v>6.38</v>
      </c>
      <c r="K792" s="72">
        <f t="shared" si="65"/>
        <v>42675</v>
      </c>
      <c r="L792" s="67">
        <f t="shared" si="62"/>
        <v>6</v>
      </c>
      <c r="M792" s="68">
        <v>2.23333E-3</v>
      </c>
      <c r="N792" s="69">
        <f t="shared" si="50"/>
        <v>8.5491872399999988E-2</v>
      </c>
      <c r="O792" s="66"/>
      <c r="P792" s="71">
        <f t="shared" si="63"/>
        <v>0</v>
      </c>
      <c r="Q792" s="132"/>
      <c r="R792" s="71">
        <f t="shared" si="64"/>
        <v>9.7623304166666647E-2</v>
      </c>
      <c r="S792" s="64"/>
    </row>
    <row r="793" spans="1:19">
      <c r="A793" s="64" t="s">
        <v>29</v>
      </c>
      <c r="B793" s="65" t="s">
        <v>292</v>
      </c>
      <c r="C793" s="65" t="s">
        <v>293</v>
      </c>
      <c r="D793" s="64" t="s">
        <v>197</v>
      </c>
      <c r="E793" s="65" t="s">
        <v>294</v>
      </c>
      <c r="F793" s="64" t="s">
        <v>199</v>
      </c>
      <c r="G793" s="65" t="s">
        <v>20</v>
      </c>
      <c r="H793" s="65" t="s">
        <v>933</v>
      </c>
      <c r="I793" s="65">
        <v>201502</v>
      </c>
      <c r="J793" s="66">
        <v>10309.6</v>
      </c>
      <c r="K793" s="72">
        <f t="shared" si="65"/>
        <v>42675</v>
      </c>
      <c r="L793" s="67">
        <f t="shared" si="62"/>
        <v>6</v>
      </c>
      <c r="M793" s="68">
        <v>2.23333E-3</v>
      </c>
      <c r="N793" s="69">
        <f t="shared" si="50"/>
        <v>138.14843380799999</v>
      </c>
      <c r="O793" s="66"/>
      <c r="P793" s="71">
        <f t="shared" si="63"/>
        <v>0</v>
      </c>
      <c r="Q793" s="132"/>
      <c r="R793" s="71">
        <f t="shared" si="64"/>
        <v>157.75191483333333</v>
      </c>
      <c r="S793" s="64"/>
    </row>
    <row r="794" spans="1:19">
      <c r="A794" s="64" t="s">
        <v>29</v>
      </c>
      <c r="B794" s="65" t="s">
        <v>318</v>
      </c>
      <c r="C794" s="65" t="s">
        <v>319</v>
      </c>
      <c r="D794" s="64" t="s">
        <v>105</v>
      </c>
      <c r="E794" s="65" t="s">
        <v>320</v>
      </c>
      <c r="F794" s="64" t="s">
        <v>34</v>
      </c>
      <c r="G794" s="65" t="s">
        <v>20</v>
      </c>
      <c r="H794" s="65" t="s">
        <v>933</v>
      </c>
      <c r="I794" s="65">
        <v>201502</v>
      </c>
      <c r="J794" s="66">
        <v>-1571.16</v>
      </c>
      <c r="K794" s="72">
        <f t="shared" si="65"/>
        <v>42675</v>
      </c>
      <c r="L794" s="67">
        <f t="shared" si="62"/>
        <v>6</v>
      </c>
      <c r="M794" s="68">
        <v>2.23333E-3</v>
      </c>
      <c r="N794" s="69">
        <f t="shared" si="50"/>
        <v>-21.053512576799999</v>
      </c>
      <c r="O794" s="66"/>
      <c r="P794" s="71">
        <f t="shared" si="63"/>
        <v>0</v>
      </c>
      <c r="Q794" s="132"/>
      <c r="R794" s="71">
        <f t="shared" si="64"/>
        <v>-24.041039274999999</v>
      </c>
      <c r="S794" s="64"/>
    </row>
    <row r="795" spans="1:19">
      <c r="A795" s="64" t="s">
        <v>29</v>
      </c>
      <c r="B795" s="65" t="s">
        <v>321</v>
      </c>
      <c r="C795" s="65" t="s">
        <v>322</v>
      </c>
      <c r="D795" s="64" t="s">
        <v>323</v>
      </c>
      <c r="E795" s="65" t="s">
        <v>324</v>
      </c>
      <c r="F795" s="64" t="s">
        <v>52</v>
      </c>
      <c r="G795" s="65" t="s">
        <v>20</v>
      </c>
      <c r="H795" s="65" t="s">
        <v>933</v>
      </c>
      <c r="I795" s="65">
        <v>201502</v>
      </c>
      <c r="J795" s="66">
        <v>-487.55</v>
      </c>
      <c r="K795" s="72">
        <f t="shared" si="65"/>
        <v>42675</v>
      </c>
      <c r="L795" s="67">
        <f t="shared" si="62"/>
        <v>6</v>
      </c>
      <c r="M795" s="68">
        <v>2.23333E-3</v>
      </c>
      <c r="N795" s="69">
        <f t="shared" si="50"/>
        <v>-6.5331602489999998</v>
      </c>
      <c r="O795" s="66"/>
      <c r="P795" s="71">
        <f t="shared" si="63"/>
        <v>0</v>
      </c>
      <c r="Q795" s="132"/>
      <c r="R795" s="71">
        <f t="shared" si="64"/>
        <v>-7.4602260104166662</v>
      </c>
      <c r="S795" s="64"/>
    </row>
    <row r="796" spans="1:19">
      <c r="A796" s="64" t="s">
        <v>29</v>
      </c>
      <c r="B796" s="65" t="s">
        <v>419</v>
      </c>
      <c r="C796" s="65" t="s">
        <v>420</v>
      </c>
      <c r="D796" s="64" t="s">
        <v>50</v>
      </c>
      <c r="E796" s="65" t="s">
        <v>421</v>
      </c>
      <c r="F796" s="64" t="s">
        <v>52</v>
      </c>
      <c r="G796" s="65" t="s">
        <v>20</v>
      </c>
      <c r="H796" s="65" t="s">
        <v>933</v>
      </c>
      <c r="I796" s="65">
        <v>201502</v>
      </c>
      <c r="J796" s="66">
        <v>3541.36</v>
      </c>
      <c r="K796" s="72">
        <f t="shared" si="65"/>
        <v>42675</v>
      </c>
      <c r="L796" s="67">
        <f t="shared" si="62"/>
        <v>6</v>
      </c>
      <c r="M796" s="68">
        <v>2.23333E-3</v>
      </c>
      <c r="N796" s="69">
        <f t="shared" si="50"/>
        <v>47.454153172799998</v>
      </c>
      <c r="O796" s="66"/>
      <c r="P796" s="71">
        <f t="shared" si="63"/>
        <v>0</v>
      </c>
      <c r="Q796" s="132"/>
      <c r="R796" s="71">
        <f t="shared" si="64"/>
        <v>54.187972483333333</v>
      </c>
      <c r="S796" s="64"/>
    </row>
    <row r="797" spans="1:19">
      <c r="A797" s="64" t="s">
        <v>29</v>
      </c>
      <c r="B797" s="65" t="s">
        <v>839</v>
      </c>
      <c r="C797" s="65" t="s">
        <v>840</v>
      </c>
      <c r="D797" s="64" t="s">
        <v>50</v>
      </c>
      <c r="E797" s="65" t="s">
        <v>841</v>
      </c>
      <c r="F797" s="64" t="s">
        <v>52</v>
      </c>
      <c r="G797" s="65" t="s">
        <v>20</v>
      </c>
      <c r="H797" s="65" t="s">
        <v>933</v>
      </c>
      <c r="I797" s="65">
        <v>201502</v>
      </c>
      <c r="J797" s="66">
        <v>-0.45</v>
      </c>
      <c r="K797" s="72">
        <f t="shared" si="65"/>
        <v>42675</v>
      </c>
      <c r="L797" s="67">
        <f t="shared" si="62"/>
        <v>6</v>
      </c>
      <c r="M797" s="68">
        <v>2.23333E-3</v>
      </c>
      <c r="N797" s="69">
        <f t="shared" si="50"/>
        <v>-6.0299909999999993E-3</v>
      </c>
      <c r="O797" s="66"/>
      <c r="P797" s="71">
        <f t="shared" si="63"/>
        <v>0</v>
      </c>
      <c r="Q797" s="132"/>
      <c r="R797" s="71">
        <f t="shared" si="64"/>
        <v>-6.8856562499999994E-3</v>
      </c>
      <c r="S797" s="64"/>
    </row>
    <row r="798" spans="1:19">
      <c r="A798" s="64" t="s">
        <v>29</v>
      </c>
      <c r="B798" s="65" t="s">
        <v>325</v>
      </c>
      <c r="C798" s="65" t="s">
        <v>326</v>
      </c>
      <c r="D798" s="64" t="s">
        <v>327</v>
      </c>
      <c r="E798" s="65" t="s">
        <v>328</v>
      </c>
      <c r="F798" s="64" t="s">
        <v>58</v>
      </c>
      <c r="G798" s="65" t="s">
        <v>20</v>
      </c>
      <c r="H798" s="65" t="s">
        <v>933</v>
      </c>
      <c r="I798" s="65">
        <v>201502</v>
      </c>
      <c r="J798" s="66">
        <v>5789.58</v>
      </c>
      <c r="K798" s="72">
        <f t="shared" si="65"/>
        <v>42675</v>
      </c>
      <c r="L798" s="67">
        <f t="shared" si="62"/>
        <v>6</v>
      </c>
      <c r="M798" s="68">
        <v>2.23333E-3</v>
      </c>
      <c r="N798" s="69">
        <f t="shared" si="50"/>
        <v>77.580256208399987</v>
      </c>
      <c r="O798" s="66"/>
      <c r="P798" s="71">
        <f t="shared" si="63"/>
        <v>0</v>
      </c>
      <c r="Q798" s="132"/>
      <c r="R798" s="71">
        <f t="shared" si="64"/>
        <v>88.589017137499994</v>
      </c>
      <c r="S798" s="64"/>
    </row>
    <row r="799" spans="1:19">
      <c r="A799" s="64" t="s">
        <v>554</v>
      </c>
      <c r="B799" s="65" t="s">
        <v>116</v>
      </c>
      <c r="C799" s="65" t="s">
        <v>117</v>
      </c>
      <c r="D799" s="64" t="s">
        <v>118</v>
      </c>
      <c r="E799" s="65" t="s">
        <v>119</v>
      </c>
      <c r="F799" s="64" t="s">
        <v>120</v>
      </c>
      <c r="G799" s="65" t="s">
        <v>20</v>
      </c>
      <c r="H799" s="65" t="s">
        <v>936</v>
      </c>
      <c r="I799" s="65">
        <v>201502</v>
      </c>
      <c r="J799" s="66">
        <v>56481.21</v>
      </c>
      <c r="K799" s="72">
        <f t="shared" si="65"/>
        <v>42675</v>
      </c>
      <c r="L799" s="67">
        <f t="shared" si="62"/>
        <v>6</v>
      </c>
      <c r="M799" s="68">
        <v>1.4833299999999999E-3</v>
      </c>
      <c r="N799" s="69">
        <f t="shared" si="50"/>
        <v>502.68163937579999</v>
      </c>
      <c r="O799" s="66"/>
      <c r="P799" s="71">
        <f t="shared" si="63"/>
        <v>0</v>
      </c>
      <c r="Q799" s="132"/>
      <c r="R799" s="71">
        <f t="shared" si="64"/>
        <v>864.24488143124995</v>
      </c>
      <c r="S799" s="64"/>
    </row>
    <row r="800" spans="1:19">
      <c r="A800" s="64" t="s">
        <v>626</v>
      </c>
      <c r="B800" s="65" t="s">
        <v>1063</v>
      </c>
      <c r="C800" s="65" t="s">
        <v>1064</v>
      </c>
      <c r="D800" s="64" t="s">
        <v>1065</v>
      </c>
      <c r="E800" s="65" t="s">
        <v>497</v>
      </c>
      <c r="F800" s="64" t="s">
        <v>26</v>
      </c>
      <c r="G800" s="65" t="s">
        <v>20</v>
      </c>
      <c r="H800" s="65" t="s">
        <v>928</v>
      </c>
      <c r="I800" s="65">
        <v>201502</v>
      </c>
      <c r="J800" s="66">
        <v>-145.28</v>
      </c>
      <c r="K800" s="72">
        <f t="shared" si="65"/>
        <v>42675</v>
      </c>
      <c r="L800" s="67">
        <f t="shared" si="62"/>
        <v>6</v>
      </c>
      <c r="M800" s="68">
        <v>1.4833299999999999E-3</v>
      </c>
      <c r="N800" s="69">
        <f t="shared" si="50"/>
        <v>-1.2929890944</v>
      </c>
      <c r="O800" s="66"/>
      <c r="P800" s="71">
        <f t="shared" si="63"/>
        <v>0</v>
      </c>
      <c r="Q800" s="132"/>
      <c r="R800" s="71">
        <f t="shared" si="64"/>
        <v>-2.2229958666666665</v>
      </c>
      <c r="S800" s="64"/>
    </row>
    <row r="801" spans="1:19">
      <c r="A801" s="64" t="s">
        <v>626</v>
      </c>
      <c r="B801" s="65" t="s">
        <v>1066</v>
      </c>
      <c r="C801" s="65" t="s">
        <v>1067</v>
      </c>
      <c r="D801" s="64" t="s">
        <v>1068</v>
      </c>
      <c r="E801" s="65" t="s">
        <v>75</v>
      </c>
      <c r="F801" s="64" t="s">
        <v>26</v>
      </c>
      <c r="G801" s="65" t="s">
        <v>20</v>
      </c>
      <c r="H801" s="65" t="s">
        <v>928</v>
      </c>
      <c r="I801" s="65">
        <v>201502</v>
      </c>
      <c r="J801" s="66">
        <v>6528.61</v>
      </c>
      <c r="K801" s="72">
        <f t="shared" si="65"/>
        <v>42675</v>
      </c>
      <c r="L801" s="67">
        <f t="shared" si="62"/>
        <v>6</v>
      </c>
      <c r="M801" s="68">
        <v>1.4833299999999999E-3</v>
      </c>
      <c r="N801" s="69">
        <f t="shared" si="50"/>
        <v>58.104498427799996</v>
      </c>
      <c r="O801" s="66"/>
      <c r="P801" s="71">
        <f t="shared" si="63"/>
        <v>0</v>
      </c>
      <c r="Q801" s="132"/>
      <c r="R801" s="71">
        <f t="shared" si="64"/>
        <v>99.897253889583325</v>
      </c>
      <c r="S801" s="64"/>
    </row>
    <row r="802" spans="1:19">
      <c r="A802" s="64" t="s">
        <v>21</v>
      </c>
      <c r="B802" s="65" t="s">
        <v>1112</v>
      </c>
      <c r="C802" s="65" t="s">
        <v>1113</v>
      </c>
      <c r="D802" s="64" t="s">
        <v>1114</v>
      </c>
      <c r="E802" s="65" t="s">
        <v>260</v>
      </c>
      <c r="F802" s="64" t="s">
        <v>26</v>
      </c>
      <c r="G802" s="65" t="s">
        <v>20</v>
      </c>
      <c r="H802" s="65" t="s">
        <v>928</v>
      </c>
      <c r="I802" s="65">
        <v>201502</v>
      </c>
      <c r="J802" s="66">
        <v>10.91</v>
      </c>
      <c r="K802" s="72">
        <f t="shared" si="65"/>
        <v>42675</v>
      </c>
      <c r="L802" s="67">
        <f t="shared" si="62"/>
        <v>6</v>
      </c>
      <c r="M802" s="68">
        <v>1.4833299999999999E-3</v>
      </c>
      <c r="N802" s="69">
        <f t="shared" si="50"/>
        <v>9.7098781800000006E-2</v>
      </c>
      <c r="O802" s="66"/>
      <c r="P802" s="71">
        <f t="shared" si="63"/>
        <v>0</v>
      </c>
      <c r="Q802" s="132"/>
      <c r="R802" s="71">
        <f t="shared" si="64"/>
        <v>0.16693891041666664</v>
      </c>
      <c r="S802" s="64"/>
    </row>
    <row r="803" spans="1:19">
      <c r="A803" s="64" t="s">
        <v>626</v>
      </c>
      <c r="B803" s="65" t="s">
        <v>1069</v>
      </c>
      <c r="C803" s="65" t="s">
        <v>1070</v>
      </c>
      <c r="D803" s="64" t="s">
        <v>1071</v>
      </c>
      <c r="E803" s="65" t="s">
        <v>260</v>
      </c>
      <c r="F803" s="64" t="s">
        <v>26</v>
      </c>
      <c r="G803" s="65" t="s">
        <v>20</v>
      </c>
      <c r="H803" s="65" t="s">
        <v>928</v>
      </c>
      <c r="I803" s="65">
        <v>201502</v>
      </c>
      <c r="J803" s="66">
        <v>-166.18</v>
      </c>
      <c r="K803" s="72">
        <f t="shared" si="65"/>
        <v>42675</v>
      </c>
      <c r="L803" s="67">
        <f t="shared" si="62"/>
        <v>6</v>
      </c>
      <c r="M803" s="68">
        <v>1.4833299999999999E-3</v>
      </c>
      <c r="N803" s="69">
        <f t="shared" si="50"/>
        <v>-1.4789986764</v>
      </c>
      <c r="O803" s="66"/>
      <c r="P803" s="71">
        <f t="shared" si="63"/>
        <v>0</v>
      </c>
      <c r="Q803" s="132"/>
      <c r="R803" s="71">
        <f t="shared" si="64"/>
        <v>-2.5427963458333331</v>
      </c>
      <c r="S803" s="64"/>
    </row>
    <row r="804" spans="1:19">
      <c r="A804" s="64" t="s">
        <v>21</v>
      </c>
      <c r="B804" s="65" t="s">
        <v>177</v>
      </c>
      <c r="C804" s="65" t="s">
        <v>178</v>
      </c>
      <c r="D804" s="64" t="s">
        <v>179</v>
      </c>
      <c r="E804" s="65" t="s">
        <v>172</v>
      </c>
      <c r="F804" s="64" t="s">
        <v>173</v>
      </c>
      <c r="G804" s="65" t="s">
        <v>20</v>
      </c>
      <c r="H804" s="65" t="s">
        <v>928</v>
      </c>
      <c r="I804" s="65">
        <v>201502</v>
      </c>
      <c r="J804" s="66">
        <v>-37.24</v>
      </c>
      <c r="K804" s="72">
        <f t="shared" si="65"/>
        <v>42675</v>
      </c>
      <c r="L804" s="67">
        <f t="shared" si="62"/>
        <v>6</v>
      </c>
      <c r="M804" s="68">
        <v>1.4833299999999999E-3</v>
      </c>
      <c r="N804" s="69">
        <f t="shared" si="50"/>
        <v>-0.3314352552</v>
      </c>
      <c r="O804" s="66"/>
      <c r="P804" s="71">
        <f t="shared" si="63"/>
        <v>0</v>
      </c>
      <c r="Q804" s="132"/>
      <c r="R804" s="71">
        <f t="shared" si="64"/>
        <v>-0.56982630833333336</v>
      </c>
      <c r="S804" s="64"/>
    </row>
    <row r="805" spans="1:19">
      <c r="A805" s="64" t="s">
        <v>626</v>
      </c>
      <c r="B805" s="65" t="s">
        <v>700</v>
      </c>
      <c r="C805" s="65" t="s">
        <v>701</v>
      </c>
      <c r="D805" s="64" t="s">
        <v>702</v>
      </c>
      <c r="E805" s="65" t="s">
        <v>25</v>
      </c>
      <c r="F805" s="64" t="s">
        <v>26</v>
      </c>
      <c r="G805" s="65" t="s">
        <v>20</v>
      </c>
      <c r="H805" s="65" t="s">
        <v>928</v>
      </c>
      <c r="I805" s="65">
        <v>201502</v>
      </c>
      <c r="J805" s="66">
        <v>-1.1299999999999999</v>
      </c>
      <c r="K805" s="72">
        <f t="shared" si="65"/>
        <v>42675</v>
      </c>
      <c r="L805" s="67">
        <f t="shared" si="62"/>
        <v>6</v>
      </c>
      <c r="M805" s="68">
        <v>1.4833299999999999E-3</v>
      </c>
      <c r="N805" s="69">
        <f t="shared" si="50"/>
        <v>-1.0056977399999998E-2</v>
      </c>
      <c r="O805" s="66"/>
      <c r="P805" s="71">
        <f t="shared" si="63"/>
        <v>0</v>
      </c>
      <c r="Q805" s="132"/>
      <c r="R805" s="71">
        <f t="shared" si="64"/>
        <v>-1.7290647916666665E-2</v>
      </c>
      <c r="S805" s="64"/>
    </row>
    <row r="806" spans="1:19">
      <c r="A806" s="64" t="s">
        <v>626</v>
      </c>
      <c r="B806" s="65" t="s">
        <v>750</v>
      </c>
      <c r="C806" s="65" t="s">
        <v>751</v>
      </c>
      <c r="D806" s="64" t="s">
        <v>752</v>
      </c>
      <c r="E806" s="65" t="s">
        <v>164</v>
      </c>
      <c r="F806" s="64" t="s">
        <v>165</v>
      </c>
      <c r="G806" s="65" t="s">
        <v>20</v>
      </c>
      <c r="H806" s="65" t="s">
        <v>928</v>
      </c>
      <c r="I806" s="65">
        <v>201502</v>
      </c>
      <c r="J806" s="66">
        <v>84.58</v>
      </c>
      <c r="K806" s="72">
        <f t="shared" si="65"/>
        <v>42675</v>
      </c>
      <c r="L806" s="67">
        <f t="shared" si="62"/>
        <v>6</v>
      </c>
      <c r="M806" s="68">
        <v>1.4833299999999999E-3</v>
      </c>
      <c r="N806" s="69">
        <f t="shared" si="50"/>
        <v>0.75276030839999997</v>
      </c>
      <c r="O806" s="66"/>
      <c r="P806" s="71">
        <f t="shared" si="63"/>
        <v>0</v>
      </c>
      <c r="Q806" s="132"/>
      <c r="R806" s="71">
        <f t="shared" si="64"/>
        <v>1.2941973458333331</v>
      </c>
      <c r="S806" s="64"/>
    </row>
    <row r="807" spans="1:19">
      <c r="A807" s="64" t="s">
        <v>626</v>
      </c>
      <c r="B807" s="65" t="s">
        <v>465</v>
      </c>
      <c r="C807" s="65" t="s">
        <v>466</v>
      </c>
      <c r="D807" s="64" t="s">
        <v>467</v>
      </c>
      <c r="E807" s="65" t="s">
        <v>75</v>
      </c>
      <c r="F807" s="64" t="s">
        <v>26</v>
      </c>
      <c r="G807" s="65" t="s">
        <v>20</v>
      </c>
      <c r="H807" s="65" t="s">
        <v>928</v>
      </c>
      <c r="I807" s="65">
        <v>201502</v>
      </c>
      <c r="J807" s="66">
        <v>-9.2899999999999991</v>
      </c>
      <c r="K807" s="72">
        <f t="shared" si="65"/>
        <v>42675</v>
      </c>
      <c r="L807" s="67">
        <f t="shared" si="62"/>
        <v>6</v>
      </c>
      <c r="M807" s="68">
        <v>1.4833299999999999E-3</v>
      </c>
      <c r="N807" s="69">
        <f t="shared" si="50"/>
        <v>-8.2680814199999994E-2</v>
      </c>
      <c r="O807" s="66"/>
      <c r="P807" s="71">
        <f t="shared" si="63"/>
        <v>0</v>
      </c>
      <c r="Q807" s="132"/>
      <c r="R807" s="71">
        <f t="shared" si="64"/>
        <v>-0.14215054791666665</v>
      </c>
      <c r="S807" s="64"/>
    </row>
    <row r="808" spans="1:19">
      <c r="A808" s="64" t="s">
        <v>21</v>
      </c>
      <c r="B808" s="65" t="s">
        <v>230</v>
      </c>
      <c r="C808" s="65" t="s">
        <v>231</v>
      </c>
      <c r="D808" s="64" t="s">
        <v>232</v>
      </c>
      <c r="E808" s="65" t="s">
        <v>164</v>
      </c>
      <c r="F808" s="64" t="s">
        <v>165</v>
      </c>
      <c r="G808" s="65" t="s">
        <v>20</v>
      </c>
      <c r="H808" s="65" t="s">
        <v>928</v>
      </c>
      <c r="I808" s="65">
        <v>201502</v>
      </c>
      <c r="J808" s="66">
        <v>-2.95</v>
      </c>
      <c r="K808" s="72">
        <f t="shared" si="65"/>
        <v>42675</v>
      </c>
      <c r="L808" s="67">
        <f t="shared" si="62"/>
        <v>6</v>
      </c>
      <c r="M808" s="68">
        <v>1.4833299999999999E-3</v>
      </c>
      <c r="N808" s="69">
        <f t="shared" si="50"/>
        <v>-2.6254941E-2</v>
      </c>
      <c r="O808" s="66"/>
      <c r="P808" s="71">
        <f t="shared" si="63"/>
        <v>0</v>
      </c>
      <c r="Q808" s="132"/>
      <c r="R808" s="71">
        <f t="shared" si="64"/>
        <v>-4.5139302083333332E-2</v>
      </c>
      <c r="S808" s="64"/>
    </row>
    <row r="809" spans="1:19">
      <c r="A809" s="64" t="s">
        <v>626</v>
      </c>
      <c r="B809" s="65" t="s">
        <v>1076</v>
      </c>
      <c r="C809" s="65" t="s">
        <v>1077</v>
      </c>
      <c r="D809" s="64" t="s">
        <v>1078</v>
      </c>
      <c r="E809" s="65" t="s">
        <v>75</v>
      </c>
      <c r="F809" s="64" t="s">
        <v>26</v>
      </c>
      <c r="G809" s="65" t="s">
        <v>20</v>
      </c>
      <c r="H809" s="65" t="s">
        <v>928</v>
      </c>
      <c r="I809" s="65">
        <v>201502</v>
      </c>
      <c r="J809" s="66">
        <v>-42.42</v>
      </c>
      <c r="K809" s="72">
        <f t="shared" si="65"/>
        <v>42675</v>
      </c>
      <c r="L809" s="67">
        <f t="shared" si="62"/>
        <v>6</v>
      </c>
      <c r="M809" s="68">
        <v>1.4833299999999999E-3</v>
      </c>
      <c r="N809" s="69">
        <f t="shared" si="50"/>
        <v>-0.37753715160000001</v>
      </c>
      <c r="O809" s="66"/>
      <c r="P809" s="71">
        <f t="shared" si="63"/>
        <v>0</v>
      </c>
      <c r="Q809" s="132"/>
      <c r="R809" s="71">
        <f t="shared" si="64"/>
        <v>-0.64908786249999995</v>
      </c>
      <c r="S809" s="64"/>
    </row>
    <row r="810" spans="1:19">
      <c r="A810" s="64" t="s">
        <v>21</v>
      </c>
      <c r="B810" s="65" t="s">
        <v>261</v>
      </c>
      <c r="C810" s="65" t="s">
        <v>262</v>
      </c>
      <c r="D810" s="64" t="s">
        <v>263</v>
      </c>
      <c r="E810" s="65" t="s">
        <v>75</v>
      </c>
      <c r="F810" s="64" t="s">
        <v>26</v>
      </c>
      <c r="G810" s="65" t="s">
        <v>20</v>
      </c>
      <c r="H810" s="65" t="s">
        <v>928</v>
      </c>
      <c r="I810" s="65">
        <v>201502</v>
      </c>
      <c r="J810" s="66">
        <v>-1612.64</v>
      </c>
      <c r="K810" s="72">
        <f t="shared" si="65"/>
        <v>42675</v>
      </c>
      <c r="L810" s="67">
        <f t="shared" si="62"/>
        <v>6</v>
      </c>
      <c r="M810" s="68">
        <v>1.4833299999999999E-3</v>
      </c>
      <c r="N810" s="69">
        <f t="shared" si="50"/>
        <v>-14.352463747200002</v>
      </c>
      <c r="O810" s="66"/>
      <c r="P810" s="71">
        <f t="shared" si="63"/>
        <v>0</v>
      </c>
      <c r="Q810" s="132"/>
      <c r="R810" s="71">
        <f t="shared" si="64"/>
        <v>-24.675743766666663</v>
      </c>
      <c r="S810" s="64"/>
    </row>
    <row r="811" spans="1:19">
      <c r="A811" s="64" t="s">
        <v>21</v>
      </c>
      <c r="B811" s="65" t="s">
        <v>264</v>
      </c>
      <c r="C811" s="65" t="s">
        <v>265</v>
      </c>
      <c r="D811" s="64" t="s">
        <v>266</v>
      </c>
      <c r="E811" s="65" t="s">
        <v>172</v>
      </c>
      <c r="F811" s="64" t="s">
        <v>173</v>
      </c>
      <c r="G811" s="65" t="s">
        <v>20</v>
      </c>
      <c r="H811" s="65" t="s">
        <v>928</v>
      </c>
      <c r="I811" s="65">
        <v>201502</v>
      </c>
      <c r="J811" s="66">
        <v>391.21</v>
      </c>
      <c r="K811" s="72">
        <f t="shared" si="65"/>
        <v>42675</v>
      </c>
      <c r="L811" s="67">
        <f t="shared" si="62"/>
        <v>6</v>
      </c>
      <c r="M811" s="68">
        <v>1.4833299999999999E-3</v>
      </c>
      <c r="N811" s="69">
        <f t="shared" si="50"/>
        <v>3.4817611758</v>
      </c>
      <c r="O811" s="66"/>
      <c r="P811" s="71">
        <f t="shared" si="63"/>
        <v>0</v>
      </c>
      <c r="Q811" s="132"/>
      <c r="R811" s="71">
        <f t="shared" si="64"/>
        <v>5.9860835145833322</v>
      </c>
      <c r="S811" s="64"/>
    </row>
    <row r="812" spans="1:19">
      <c r="A812" s="64" t="s">
        <v>21</v>
      </c>
      <c r="B812" s="65" t="s">
        <v>794</v>
      </c>
      <c r="C812" s="65" t="s">
        <v>795</v>
      </c>
      <c r="D812" s="64" t="s">
        <v>796</v>
      </c>
      <c r="E812" s="65" t="s">
        <v>172</v>
      </c>
      <c r="F812" s="64" t="s">
        <v>173</v>
      </c>
      <c r="G812" s="65" t="s">
        <v>20</v>
      </c>
      <c r="H812" s="65" t="s">
        <v>928</v>
      </c>
      <c r="I812" s="65">
        <v>201502</v>
      </c>
      <c r="J812" s="66">
        <v>18.059999999999999</v>
      </c>
      <c r="K812" s="72">
        <f t="shared" si="65"/>
        <v>42675</v>
      </c>
      <c r="L812" s="67">
        <f t="shared" si="62"/>
        <v>6</v>
      </c>
      <c r="M812" s="68">
        <v>1.4833299999999999E-3</v>
      </c>
      <c r="N812" s="69">
        <f t="shared" si="50"/>
        <v>0.16073363879999999</v>
      </c>
      <c r="O812" s="66"/>
      <c r="P812" s="71">
        <f t="shared" si="63"/>
        <v>0</v>
      </c>
      <c r="Q812" s="132"/>
      <c r="R812" s="71">
        <f t="shared" si="64"/>
        <v>0.27634433749999993</v>
      </c>
      <c r="S812" s="64"/>
    </row>
    <row r="813" spans="1:19">
      <c r="A813" s="64" t="s">
        <v>21</v>
      </c>
      <c r="B813" s="65" t="s">
        <v>1250</v>
      </c>
      <c r="C813" s="65" t="s">
        <v>1251</v>
      </c>
      <c r="D813" s="64" t="s">
        <v>1252</v>
      </c>
      <c r="E813" s="65" t="s">
        <v>260</v>
      </c>
      <c r="F813" s="64" t="s">
        <v>26</v>
      </c>
      <c r="G813" s="65" t="s">
        <v>20</v>
      </c>
      <c r="H813" s="65" t="s">
        <v>928</v>
      </c>
      <c r="I813" s="65">
        <v>201502</v>
      </c>
      <c r="J813" s="66">
        <v>106051.23</v>
      </c>
      <c r="K813" s="72">
        <f t="shared" si="65"/>
        <v>42675</v>
      </c>
      <c r="L813" s="67">
        <f t="shared" si="62"/>
        <v>6</v>
      </c>
      <c r="M813" s="68">
        <v>1.4833299999999999E-3</v>
      </c>
      <c r="N813" s="69">
        <f t="shared" si="50"/>
        <v>943.85382597540001</v>
      </c>
      <c r="O813" s="66"/>
      <c r="P813" s="71">
        <f t="shared" si="63"/>
        <v>0</v>
      </c>
      <c r="Q813" s="132"/>
      <c r="R813" s="71">
        <f t="shared" si="64"/>
        <v>1622.7384770437498</v>
      </c>
      <c r="S813" s="64"/>
    </row>
    <row r="814" spans="1:19">
      <c r="A814" s="64" t="s">
        <v>21</v>
      </c>
      <c r="B814" s="65" t="s">
        <v>1079</v>
      </c>
      <c r="C814" s="65" t="s">
        <v>1080</v>
      </c>
      <c r="D814" s="64" t="s">
        <v>1081</v>
      </c>
      <c r="E814" s="65" t="s">
        <v>102</v>
      </c>
      <c r="F814" s="64" t="s">
        <v>19</v>
      </c>
      <c r="G814" s="65" t="s">
        <v>20</v>
      </c>
      <c r="H814" s="65" t="s">
        <v>928</v>
      </c>
      <c r="I814" s="65">
        <v>201502</v>
      </c>
      <c r="J814" s="66">
        <v>0</v>
      </c>
      <c r="K814" s="72">
        <f t="shared" si="65"/>
        <v>42675</v>
      </c>
      <c r="L814" s="67">
        <f t="shared" si="62"/>
        <v>6</v>
      </c>
      <c r="M814" s="68">
        <v>1.4833299999999999E-3</v>
      </c>
      <c r="N814" s="69">
        <f t="shared" si="50"/>
        <v>0</v>
      </c>
      <c r="O814" s="66"/>
      <c r="P814" s="71">
        <f t="shared" si="63"/>
        <v>0</v>
      </c>
      <c r="Q814" s="132"/>
      <c r="R814" s="71">
        <f t="shared" si="64"/>
        <v>0</v>
      </c>
      <c r="S814" s="64"/>
    </row>
    <row r="815" spans="1:19">
      <c r="A815" s="64" t="s">
        <v>21</v>
      </c>
      <c r="B815" s="65" t="s">
        <v>494</v>
      </c>
      <c r="C815" s="65" t="s">
        <v>495</v>
      </c>
      <c r="D815" s="64" t="s">
        <v>496</v>
      </c>
      <c r="E815" s="65" t="s">
        <v>497</v>
      </c>
      <c r="F815" s="64" t="s">
        <v>26</v>
      </c>
      <c r="G815" s="65" t="s">
        <v>20</v>
      </c>
      <c r="H815" s="65" t="s">
        <v>928</v>
      </c>
      <c r="I815" s="65">
        <v>201502</v>
      </c>
      <c r="J815" s="66">
        <v>-136.63</v>
      </c>
      <c r="K815" s="72">
        <f t="shared" si="65"/>
        <v>42675</v>
      </c>
      <c r="L815" s="67">
        <f t="shared" si="62"/>
        <v>6</v>
      </c>
      <c r="M815" s="68">
        <v>1.4833299999999999E-3</v>
      </c>
      <c r="N815" s="69">
        <f t="shared" si="50"/>
        <v>-1.2160042674</v>
      </c>
      <c r="O815" s="66"/>
      <c r="P815" s="71">
        <f t="shared" si="63"/>
        <v>0</v>
      </c>
      <c r="Q815" s="132"/>
      <c r="R815" s="71">
        <f t="shared" si="64"/>
        <v>-2.0906382520833331</v>
      </c>
      <c r="S815" s="64"/>
    </row>
    <row r="816" spans="1:19">
      <c r="A816" s="64" t="s">
        <v>21</v>
      </c>
      <c r="B816" s="65" t="s">
        <v>1121</v>
      </c>
      <c r="C816" s="65" t="s">
        <v>1122</v>
      </c>
      <c r="D816" s="64" t="s">
        <v>1123</v>
      </c>
      <c r="E816" s="65" t="s">
        <v>497</v>
      </c>
      <c r="F816" s="64" t="s">
        <v>26</v>
      </c>
      <c r="G816" s="65" t="s">
        <v>20</v>
      </c>
      <c r="H816" s="65" t="s">
        <v>928</v>
      </c>
      <c r="I816" s="65">
        <v>201502</v>
      </c>
      <c r="J816" s="66">
        <v>123.75</v>
      </c>
      <c r="K816" s="72">
        <f t="shared" si="65"/>
        <v>42675</v>
      </c>
      <c r="L816" s="67">
        <f t="shared" si="62"/>
        <v>6</v>
      </c>
      <c r="M816" s="68">
        <v>1.4833299999999999E-3</v>
      </c>
      <c r="N816" s="69">
        <f t="shared" si="50"/>
        <v>1.1013725249999999</v>
      </c>
      <c r="O816" s="66"/>
      <c r="P816" s="71">
        <f t="shared" si="63"/>
        <v>0</v>
      </c>
      <c r="Q816" s="132"/>
      <c r="R816" s="71">
        <f t="shared" si="64"/>
        <v>1.8935554687499998</v>
      </c>
      <c r="S816" s="64"/>
    </row>
    <row r="817" spans="1:19">
      <c r="A817" s="64" t="s">
        <v>21</v>
      </c>
      <c r="B817" s="65" t="s">
        <v>678</v>
      </c>
      <c r="C817" s="65" t="s">
        <v>679</v>
      </c>
      <c r="D817" s="64" t="s">
        <v>680</v>
      </c>
      <c r="E817" s="65" t="s">
        <v>75</v>
      </c>
      <c r="F817" s="64" t="s">
        <v>26</v>
      </c>
      <c r="G817" s="65" t="s">
        <v>20</v>
      </c>
      <c r="H817" s="65" t="s">
        <v>928</v>
      </c>
      <c r="I817" s="65">
        <v>201502</v>
      </c>
      <c r="J817" s="66">
        <v>-453.81</v>
      </c>
      <c r="K817" s="72">
        <f t="shared" si="65"/>
        <v>42675</v>
      </c>
      <c r="L817" s="67">
        <f t="shared" si="62"/>
        <v>6</v>
      </c>
      <c r="M817" s="68">
        <v>1.4833299999999999E-3</v>
      </c>
      <c r="N817" s="69">
        <f t="shared" si="50"/>
        <v>-4.0388999237999998</v>
      </c>
      <c r="O817" s="66"/>
      <c r="P817" s="71">
        <f t="shared" si="63"/>
        <v>0</v>
      </c>
      <c r="Q817" s="132"/>
      <c r="R817" s="71">
        <f t="shared" si="64"/>
        <v>-6.9439548062499998</v>
      </c>
      <c r="S817" s="64"/>
    </row>
    <row r="818" spans="1:19">
      <c r="A818" s="64" t="s">
        <v>626</v>
      </c>
      <c r="B818" s="65" t="s">
        <v>1082</v>
      </c>
      <c r="C818" s="65" t="s">
        <v>1083</v>
      </c>
      <c r="D818" s="64" t="s">
        <v>1084</v>
      </c>
      <c r="E818" s="65" t="s">
        <v>75</v>
      </c>
      <c r="F818" s="64" t="s">
        <v>26</v>
      </c>
      <c r="G818" s="65" t="s">
        <v>20</v>
      </c>
      <c r="H818" s="65" t="s">
        <v>928</v>
      </c>
      <c r="I818" s="65">
        <v>201502</v>
      </c>
      <c r="J818" s="66">
        <v>-456.88</v>
      </c>
      <c r="K818" s="72">
        <f t="shared" si="65"/>
        <v>42675</v>
      </c>
      <c r="L818" s="67">
        <f t="shared" si="62"/>
        <v>6</v>
      </c>
      <c r="M818" s="68">
        <v>1.4833299999999999E-3</v>
      </c>
      <c r="N818" s="69">
        <f t="shared" si="50"/>
        <v>-4.0662228624000001</v>
      </c>
      <c r="O818" s="66"/>
      <c r="P818" s="71">
        <f t="shared" si="63"/>
        <v>0</v>
      </c>
      <c r="Q818" s="132"/>
      <c r="R818" s="71">
        <f t="shared" si="64"/>
        <v>-6.9909302833333324</v>
      </c>
      <c r="S818" s="64"/>
    </row>
    <row r="819" spans="1:19">
      <c r="A819" s="64" t="s">
        <v>626</v>
      </c>
      <c r="B819" s="65" t="s">
        <v>1188</v>
      </c>
      <c r="C819" s="65" t="s">
        <v>1189</v>
      </c>
      <c r="D819" s="64" t="s">
        <v>1190</v>
      </c>
      <c r="E819" s="65" t="s">
        <v>75</v>
      </c>
      <c r="F819" s="64" t="s">
        <v>26</v>
      </c>
      <c r="G819" s="65" t="s">
        <v>20</v>
      </c>
      <c r="H819" s="65" t="s">
        <v>928</v>
      </c>
      <c r="I819" s="65">
        <v>201502</v>
      </c>
      <c r="J819" s="66">
        <v>-1020.59</v>
      </c>
      <c r="K819" s="72">
        <f t="shared" si="65"/>
        <v>42675</v>
      </c>
      <c r="L819" s="67">
        <f t="shared" si="62"/>
        <v>6</v>
      </c>
      <c r="M819" s="68">
        <v>1.4833299999999999E-3</v>
      </c>
      <c r="N819" s="69">
        <f t="shared" si="50"/>
        <v>-9.0832305882000011</v>
      </c>
      <c r="O819" s="66"/>
      <c r="P819" s="71">
        <f t="shared" si="63"/>
        <v>0</v>
      </c>
      <c r="Q819" s="132"/>
      <c r="R819" s="71">
        <f t="shared" si="64"/>
        <v>-15.616515360416667</v>
      </c>
      <c r="S819" s="64"/>
    </row>
    <row r="820" spans="1:19">
      <c r="A820" s="64" t="s">
        <v>626</v>
      </c>
      <c r="B820" s="65" t="s">
        <v>1085</v>
      </c>
      <c r="C820" s="65" t="s">
        <v>1086</v>
      </c>
      <c r="D820" s="64" t="s">
        <v>1087</v>
      </c>
      <c r="E820" s="65" t="s">
        <v>75</v>
      </c>
      <c r="F820" s="64" t="s">
        <v>26</v>
      </c>
      <c r="G820" s="65" t="s">
        <v>20</v>
      </c>
      <c r="H820" s="65" t="s">
        <v>928</v>
      </c>
      <c r="I820" s="65">
        <v>201502</v>
      </c>
      <c r="J820" s="66">
        <v>-70.510000000000005</v>
      </c>
      <c r="K820" s="72">
        <f t="shared" si="65"/>
        <v>42675</v>
      </c>
      <c r="L820" s="67">
        <f t="shared" ref="L820:L883" si="66">((YEAR($L$1)-YEAR(K820))*12+MONTH($L$1)-MONTH(K820))</f>
        <v>6</v>
      </c>
      <c r="M820" s="68">
        <v>1.4833299999999999E-3</v>
      </c>
      <c r="N820" s="69">
        <f t="shared" si="50"/>
        <v>-0.62753758980000007</v>
      </c>
      <c r="O820" s="66"/>
      <c r="P820" s="71">
        <f t="shared" si="63"/>
        <v>0</v>
      </c>
      <c r="Q820" s="132"/>
      <c r="R820" s="71">
        <f t="shared" si="64"/>
        <v>-1.0789058270833332</v>
      </c>
      <c r="S820" s="64"/>
    </row>
    <row r="821" spans="1:19">
      <c r="A821" s="64" t="s">
        <v>21</v>
      </c>
      <c r="B821" s="65" t="s">
        <v>888</v>
      </c>
      <c r="C821" s="65" t="s">
        <v>889</v>
      </c>
      <c r="D821" s="64" t="s">
        <v>890</v>
      </c>
      <c r="E821" s="65" t="s">
        <v>280</v>
      </c>
      <c r="F821" s="64" t="s">
        <v>26</v>
      </c>
      <c r="G821" s="65" t="s">
        <v>20</v>
      </c>
      <c r="H821" s="65" t="s">
        <v>928</v>
      </c>
      <c r="I821" s="65">
        <v>201502</v>
      </c>
      <c r="J821" s="66">
        <v>-13.96</v>
      </c>
      <c r="K821" s="72">
        <f t="shared" si="65"/>
        <v>42675</v>
      </c>
      <c r="L821" s="67">
        <f t="shared" si="66"/>
        <v>6</v>
      </c>
      <c r="M821" s="68">
        <v>1.4833299999999999E-3</v>
      </c>
      <c r="N821" s="69">
        <f t="shared" si="50"/>
        <v>-0.12424372080000001</v>
      </c>
      <c r="O821" s="66"/>
      <c r="P821" s="71">
        <f t="shared" ref="P821:P884" si="67">$P$627*0.5*J821*$U$12</f>
        <v>0</v>
      </c>
      <c r="Q821" s="132"/>
      <c r="R821" s="71">
        <f t="shared" ref="R821:R884" si="68">$R$627*0.5*J821*$U$12</f>
        <v>-0.21360835833333333</v>
      </c>
      <c r="S821" s="64"/>
    </row>
    <row r="822" spans="1:19">
      <c r="A822" s="64" t="s">
        <v>626</v>
      </c>
      <c r="B822" s="65" t="s">
        <v>944</v>
      </c>
      <c r="C822" s="65" t="s">
        <v>945</v>
      </c>
      <c r="D822" s="64" t="s">
        <v>946</v>
      </c>
      <c r="E822" s="65" t="s">
        <v>164</v>
      </c>
      <c r="F822" s="64" t="s">
        <v>165</v>
      </c>
      <c r="G822" s="65" t="s">
        <v>20</v>
      </c>
      <c r="H822" s="65" t="s">
        <v>928</v>
      </c>
      <c r="I822" s="65">
        <v>201502</v>
      </c>
      <c r="J822" s="66">
        <v>-99.76</v>
      </c>
      <c r="K822" s="72">
        <f t="shared" ref="K822:K885" si="69">+K821</f>
        <v>42675</v>
      </c>
      <c r="L822" s="67">
        <f t="shared" si="66"/>
        <v>6</v>
      </c>
      <c r="M822" s="68">
        <v>1.4833299999999999E-3</v>
      </c>
      <c r="N822" s="69">
        <f t="shared" si="50"/>
        <v>-0.8878620048000001</v>
      </c>
      <c r="O822" s="66"/>
      <c r="P822" s="71">
        <f t="shared" si="67"/>
        <v>0</v>
      </c>
      <c r="Q822" s="132"/>
      <c r="R822" s="71">
        <f t="shared" si="68"/>
        <v>-1.5264734833333333</v>
      </c>
      <c r="S822" s="64"/>
    </row>
    <row r="823" spans="1:19">
      <c r="A823" s="64" t="s">
        <v>626</v>
      </c>
      <c r="B823" s="65" t="s">
        <v>1253</v>
      </c>
      <c r="C823" s="65" t="s">
        <v>1254</v>
      </c>
      <c r="D823" s="64" t="s">
        <v>1255</v>
      </c>
      <c r="E823" s="65" t="s">
        <v>25</v>
      </c>
      <c r="F823" s="64" t="s">
        <v>26</v>
      </c>
      <c r="G823" s="65" t="s">
        <v>20</v>
      </c>
      <c r="H823" s="65" t="s">
        <v>928</v>
      </c>
      <c r="I823" s="65">
        <v>201502</v>
      </c>
      <c r="J823" s="66">
        <v>107240.43</v>
      </c>
      <c r="K823" s="72">
        <f t="shared" si="69"/>
        <v>42675</v>
      </c>
      <c r="L823" s="67">
        <f t="shared" si="66"/>
        <v>6</v>
      </c>
      <c r="M823" s="68">
        <v>1.4833299999999999E-3</v>
      </c>
      <c r="N823" s="69">
        <f t="shared" si="50"/>
        <v>954.43768219139997</v>
      </c>
      <c r="O823" s="66"/>
      <c r="P823" s="71">
        <f t="shared" si="67"/>
        <v>0</v>
      </c>
      <c r="Q823" s="132"/>
      <c r="R823" s="71">
        <f t="shared" si="68"/>
        <v>1640.9349712937499</v>
      </c>
      <c r="S823" s="64"/>
    </row>
    <row r="824" spans="1:19">
      <c r="A824" s="64" t="s">
        <v>626</v>
      </c>
      <c r="B824" s="65" t="s">
        <v>1038</v>
      </c>
      <c r="C824" s="65" t="s">
        <v>1039</v>
      </c>
      <c r="D824" s="64" t="s">
        <v>1040</v>
      </c>
      <c r="E824" s="65" t="s">
        <v>75</v>
      </c>
      <c r="F824" s="64" t="s">
        <v>26</v>
      </c>
      <c r="G824" s="65" t="s">
        <v>20</v>
      </c>
      <c r="H824" s="65" t="s">
        <v>928</v>
      </c>
      <c r="I824" s="65">
        <v>201502</v>
      </c>
      <c r="J824" s="66">
        <v>-17.649999999999999</v>
      </c>
      <c r="K824" s="72">
        <f t="shared" si="69"/>
        <v>42675</v>
      </c>
      <c r="L824" s="67">
        <f t="shared" si="66"/>
        <v>6</v>
      </c>
      <c r="M824" s="68">
        <v>1.4833299999999999E-3</v>
      </c>
      <c r="N824" s="69">
        <f t="shared" si="50"/>
        <v>-0.15708464699999999</v>
      </c>
      <c r="O824" s="66"/>
      <c r="P824" s="71">
        <f t="shared" si="67"/>
        <v>0</v>
      </c>
      <c r="Q824" s="132"/>
      <c r="R824" s="71">
        <f t="shared" si="68"/>
        <v>-0.27007073958333327</v>
      </c>
      <c r="S824" s="64"/>
    </row>
    <row r="825" spans="1:19">
      <c r="A825" s="64" t="s">
        <v>21</v>
      </c>
      <c r="B825" s="65" t="s">
        <v>1191</v>
      </c>
      <c r="C825" s="65" t="s">
        <v>1192</v>
      </c>
      <c r="D825" s="64" t="s">
        <v>1193</v>
      </c>
      <c r="E825" s="65" t="s">
        <v>402</v>
      </c>
      <c r="F825" s="64" t="s">
        <v>19</v>
      </c>
      <c r="G825" s="65" t="s">
        <v>20</v>
      </c>
      <c r="H825" s="65" t="s">
        <v>928</v>
      </c>
      <c r="I825" s="65">
        <v>201502</v>
      </c>
      <c r="J825" s="66">
        <v>4110.0200000000004</v>
      </c>
      <c r="K825" s="72">
        <f t="shared" si="69"/>
        <v>42675</v>
      </c>
      <c r="L825" s="67">
        <f t="shared" si="66"/>
        <v>6</v>
      </c>
      <c r="M825" s="68">
        <v>1.4833299999999999E-3</v>
      </c>
      <c r="N825" s="69">
        <f t="shared" si="50"/>
        <v>36.579095799600005</v>
      </c>
      <c r="O825" s="66"/>
      <c r="P825" s="71">
        <f t="shared" si="67"/>
        <v>0</v>
      </c>
      <c r="Q825" s="132"/>
      <c r="R825" s="71">
        <f t="shared" si="68"/>
        <v>62.889299779166663</v>
      </c>
      <c r="S825" s="64"/>
    </row>
    <row r="826" spans="1:19">
      <c r="A826" s="64" t="s">
        <v>626</v>
      </c>
      <c r="B826" s="65" t="s">
        <v>947</v>
      </c>
      <c r="C826" s="65" t="s">
        <v>948</v>
      </c>
      <c r="D826" s="64" t="s">
        <v>949</v>
      </c>
      <c r="E826" s="65" t="s">
        <v>75</v>
      </c>
      <c r="F826" s="64" t="s">
        <v>26</v>
      </c>
      <c r="G826" s="65" t="s">
        <v>20</v>
      </c>
      <c r="H826" s="65" t="s">
        <v>928</v>
      </c>
      <c r="I826" s="65">
        <v>201502</v>
      </c>
      <c r="J826" s="66">
        <v>-1.78</v>
      </c>
      <c r="K826" s="72">
        <f t="shared" si="69"/>
        <v>42675</v>
      </c>
      <c r="L826" s="67">
        <f t="shared" si="66"/>
        <v>6</v>
      </c>
      <c r="M826" s="68">
        <v>1.4833299999999999E-3</v>
      </c>
      <c r="N826" s="69">
        <f t="shared" si="50"/>
        <v>-1.5841964400000002E-2</v>
      </c>
      <c r="O826" s="66"/>
      <c r="P826" s="71">
        <f t="shared" si="67"/>
        <v>0</v>
      </c>
      <c r="Q826" s="132"/>
      <c r="R826" s="71">
        <f t="shared" si="68"/>
        <v>-2.7236595833333332E-2</v>
      </c>
      <c r="S826" s="64"/>
    </row>
    <row r="827" spans="1:19">
      <c r="A827" s="64" t="s">
        <v>626</v>
      </c>
      <c r="B827" s="65" t="s">
        <v>1041</v>
      </c>
      <c r="C827" s="65" t="s">
        <v>1042</v>
      </c>
      <c r="D827" s="64" t="s">
        <v>1043</v>
      </c>
      <c r="E827" s="65" t="s">
        <v>75</v>
      </c>
      <c r="F827" s="64" t="s">
        <v>26</v>
      </c>
      <c r="G827" s="65" t="s">
        <v>20</v>
      </c>
      <c r="H827" s="65" t="s">
        <v>928</v>
      </c>
      <c r="I827" s="65">
        <v>201502</v>
      </c>
      <c r="J827" s="66">
        <v>2933.77</v>
      </c>
      <c r="K827" s="72">
        <f t="shared" si="69"/>
        <v>42675</v>
      </c>
      <c r="L827" s="67">
        <f t="shared" si="66"/>
        <v>6</v>
      </c>
      <c r="M827" s="68">
        <v>1.4833299999999999E-3</v>
      </c>
      <c r="N827" s="69">
        <f t="shared" si="50"/>
        <v>26.110494324600001</v>
      </c>
      <c r="O827" s="66"/>
      <c r="P827" s="71">
        <f t="shared" si="67"/>
        <v>0</v>
      </c>
      <c r="Q827" s="132"/>
      <c r="R827" s="71">
        <f t="shared" si="68"/>
        <v>44.890959414583328</v>
      </c>
      <c r="S827" s="64"/>
    </row>
    <row r="828" spans="1:19">
      <c r="A828" s="64" t="s">
        <v>626</v>
      </c>
      <c r="B828" s="65" t="s">
        <v>1194</v>
      </c>
      <c r="C828" s="65" t="s">
        <v>1195</v>
      </c>
      <c r="D828" s="64" t="s">
        <v>1196</v>
      </c>
      <c r="E828" s="65" t="s">
        <v>75</v>
      </c>
      <c r="F828" s="64" t="s">
        <v>26</v>
      </c>
      <c r="G828" s="65" t="s">
        <v>20</v>
      </c>
      <c r="H828" s="65" t="s">
        <v>928</v>
      </c>
      <c r="I828" s="65">
        <v>201502</v>
      </c>
      <c r="J828" s="66">
        <v>7017.73</v>
      </c>
      <c r="K828" s="72">
        <f t="shared" si="69"/>
        <v>42675</v>
      </c>
      <c r="L828" s="67">
        <f t="shared" si="66"/>
        <v>6</v>
      </c>
      <c r="M828" s="68">
        <v>1.4833299999999999E-3</v>
      </c>
      <c r="N828" s="69">
        <f t="shared" si="50"/>
        <v>62.457656645399993</v>
      </c>
      <c r="O828" s="66"/>
      <c r="P828" s="71">
        <f t="shared" si="67"/>
        <v>0</v>
      </c>
      <c r="Q828" s="132"/>
      <c r="R828" s="71">
        <f t="shared" si="68"/>
        <v>107.38150318958331</v>
      </c>
      <c r="S828" s="64"/>
    </row>
    <row r="829" spans="1:19">
      <c r="A829" s="64" t="s">
        <v>626</v>
      </c>
      <c r="B829" s="65" t="s">
        <v>1133</v>
      </c>
      <c r="C829" s="65" t="s">
        <v>1134</v>
      </c>
      <c r="D829" s="64" t="s">
        <v>1135</v>
      </c>
      <c r="E829" s="65" t="s">
        <v>471</v>
      </c>
      <c r="F829" s="64" t="s">
        <v>165</v>
      </c>
      <c r="G829" s="65" t="s">
        <v>20</v>
      </c>
      <c r="H829" s="65" t="s">
        <v>928</v>
      </c>
      <c r="I829" s="65">
        <v>201502</v>
      </c>
      <c r="J829" s="66">
        <v>6074.92</v>
      </c>
      <c r="K829" s="72">
        <f t="shared" si="69"/>
        <v>42675</v>
      </c>
      <c r="L829" s="67">
        <f t="shared" si="66"/>
        <v>6</v>
      </c>
      <c r="M829" s="68">
        <v>1.4833299999999999E-3</v>
      </c>
      <c r="N829" s="69">
        <f t="shared" si="50"/>
        <v>54.066666501600004</v>
      </c>
      <c r="O829" s="66"/>
      <c r="P829" s="71">
        <f t="shared" si="67"/>
        <v>0</v>
      </c>
      <c r="Q829" s="132"/>
      <c r="R829" s="71">
        <f t="shared" si="68"/>
        <v>92.955135258333328</v>
      </c>
      <c r="S829" s="64"/>
    </row>
    <row r="830" spans="1:19">
      <c r="A830" s="64" t="s">
        <v>626</v>
      </c>
      <c r="B830" s="65" t="s">
        <v>1197</v>
      </c>
      <c r="C830" s="65" t="s">
        <v>1198</v>
      </c>
      <c r="D830" s="64" t="s">
        <v>1199</v>
      </c>
      <c r="E830" s="65" t="s">
        <v>18</v>
      </c>
      <c r="F830" s="64" t="s">
        <v>19</v>
      </c>
      <c r="G830" s="65" t="s">
        <v>20</v>
      </c>
      <c r="H830" s="65" t="s">
        <v>928</v>
      </c>
      <c r="I830" s="65">
        <v>201502</v>
      </c>
      <c r="J830" s="66">
        <v>-182.96</v>
      </c>
      <c r="K830" s="72">
        <f t="shared" si="69"/>
        <v>42675</v>
      </c>
      <c r="L830" s="67">
        <f t="shared" si="66"/>
        <v>6</v>
      </c>
      <c r="M830" s="68">
        <v>1.4833299999999999E-3</v>
      </c>
      <c r="N830" s="69">
        <f t="shared" si="50"/>
        <v>-1.6283403408000001</v>
      </c>
      <c r="O830" s="66"/>
      <c r="P830" s="71">
        <f t="shared" si="67"/>
        <v>0</v>
      </c>
      <c r="Q830" s="132"/>
      <c r="R830" s="71">
        <f t="shared" si="68"/>
        <v>-2.7995548166666668</v>
      </c>
      <c r="S830" s="64"/>
    </row>
    <row r="831" spans="1:19">
      <c r="A831" s="64" t="s">
        <v>626</v>
      </c>
      <c r="B831" s="65" t="s">
        <v>1256</v>
      </c>
      <c r="C831" s="65" t="s">
        <v>1257</v>
      </c>
      <c r="D831" s="64" t="s">
        <v>1258</v>
      </c>
      <c r="E831" s="65" t="s">
        <v>75</v>
      </c>
      <c r="F831" s="64" t="s">
        <v>26</v>
      </c>
      <c r="G831" s="65" t="s">
        <v>20</v>
      </c>
      <c r="H831" s="65" t="s">
        <v>928</v>
      </c>
      <c r="I831" s="65">
        <v>201502</v>
      </c>
      <c r="J831" s="66">
        <v>901406.9</v>
      </c>
      <c r="K831" s="72">
        <f t="shared" si="69"/>
        <v>42675</v>
      </c>
      <c r="L831" s="67">
        <f t="shared" si="66"/>
        <v>6</v>
      </c>
      <c r="M831" s="68">
        <v>1.4833299999999999E-3</v>
      </c>
      <c r="N831" s="69">
        <f t="shared" si="50"/>
        <v>8022.5033818620004</v>
      </c>
      <c r="O831" s="66"/>
      <c r="P831" s="71">
        <f t="shared" si="67"/>
        <v>0</v>
      </c>
      <c r="Q831" s="132"/>
      <c r="R831" s="71">
        <f t="shared" si="68"/>
        <v>13792.840121729165</v>
      </c>
      <c r="S831" s="64"/>
    </row>
    <row r="832" spans="1:19">
      <c r="A832" s="64" t="s">
        <v>626</v>
      </c>
      <c r="B832" s="65" t="s">
        <v>1139</v>
      </c>
      <c r="C832" s="65" t="s">
        <v>1140</v>
      </c>
      <c r="D832" s="64" t="s">
        <v>1141</v>
      </c>
      <c r="E832" s="65" t="s">
        <v>280</v>
      </c>
      <c r="F832" s="64" t="s">
        <v>26</v>
      </c>
      <c r="G832" s="65" t="s">
        <v>20</v>
      </c>
      <c r="H832" s="65" t="s">
        <v>928</v>
      </c>
      <c r="I832" s="65">
        <v>201502</v>
      </c>
      <c r="J832" s="66">
        <v>-989.1</v>
      </c>
      <c r="K832" s="72">
        <f t="shared" si="69"/>
        <v>42675</v>
      </c>
      <c r="L832" s="67">
        <f t="shared" si="66"/>
        <v>6</v>
      </c>
      <c r="M832" s="68">
        <v>1.4833299999999999E-3</v>
      </c>
      <c r="N832" s="69">
        <f t="shared" si="50"/>
        <v>-8.8029702180000005</v>
      </c>
      <c r="O832" s="66"/>
      <c r="P832" s="71">
        <f t="shared" si="67"/>
        <v>0</v>
      </c>
      <c r="Q832" s="132"/>
      <c r="R832" s="71">
        <f t="shared" si="68"/>
        <v>-15.134672437499997</v>
      </c>
      <c r="S832" s="64"/>
    </row>
    <row r="833" spans="1:19">
      <c r="A833" s="64" t="s">
        <v>626</v>
      </c>
      <c r="B833" s="65" t="s">
        <v>1200</v>
      </c>
      <c r="C833" s="65" t="s">
        <v>1201</v>
      </c>
      <c r="D833" s="64" t="s">
        <v>1202</v>
      </c>
      <c r="E833" s="65" t="s">
        <v>75</v>
      </c>
      <c r="F833" s="64" t="s">
        <v>26</v>
      </c>
      <c r="G833" s="65" t="s">
        <v>20</v>
      </c>
      <c r="H833" s="65" t="s">
        <v>928</v>
      </c>
      <c r="I833" s="65">
        <v>201502</v>
      </c>
      <c r="J833" s="66">
        <v>45942.82</v>
      </c>
      <c r="K833" s="72">
        <f t="shared" si="69"/>
        <v>42675</v>
      </c>
      <c r="L833" s="67">
        <f t="shared" si="66"/>
        <v>6</v>
      </c>
      <c r="M833" s="68">
        <v>1.4833299999999999E-3</v>
      </c>
      <c r="N833" s="69">
        <f t="shared" si="50"/>
        <v>408.89017914359999</v>
      </c>
      <c r="O833" s="66"/>
      <c r="P833" s="71">
        <f t="shared" si="67"/>
        <v>0</v>
      </c>
      <c r="Q833" s="132"/>
      <c r="R833" s="71">
        <f t="shared" si="68"/>
        <v>702.99214594583327</v>
      </c>
      <c r="S833" s="64"/>
    </row>
    <row r="834" spans="1:19">
      <c r="A834" s="64" t="s">
        <v>626</v>
      </c>
      <c r="B834" s="65" t="s">
        <v>1142</v>
      </c>
      <c r="C834" s="65" t="s">
        <v>1143</v>
      </c>
      <c r="D834" s="64" t="s">
        <v>1144</v>
      </c>
      <c r="E834" s="65" t="s">
        <v>164</v>
      </c>
      <c r="F834" s="64" t="s">
        <v>165</v>
      </c>
      <c r="G834" s="65" t="s">
        <v>20</v>
      </c>
      <c r="H834" s="65" t="s">
        <v>928</v>
      </c>
      <c r="I834" s="65">
        <v>201502</v>
      </c>
      <c r="J834" s="66">
        <v>35739.47</v>
      </c>
      <c r="K834" s="72">
        <f t="shared" si="69"/>
        <v>42675</v>
      </c>
      <c r="L834" s="67">
        <f t="shared" si="66"/>
        <v>6</v>
      </c>
      <c r="M834" s="68">
        <v>1.4833299999999999E-3</v>
      </c>
      <c r="N834" s="69">
        <f t="shared" si="50"/>
        <v>318.08056821060001</v>
      </c>
      <c r="O834" s="66"/>
      <c r="P834" s="71">
        <f t="shared" si="67"/>
        <v>0</v>
      </c>
      <c r="Q834" s="132"/>
      <c r="R834" s="71">
        <f t="shared" si="68"/>
        <v>546.86601106041667</v>
      </c>
      <c r="S834" s="64"/>
    </row>
    <row r="835" spans="1:19">
      <c r="A835" s="64" t="s">
        <v>21</v>
      </c>
      <c r="B835" s="65" t="s">
        <v>953</v>
      </c>
      <c r="C835" s="65" t="s">
        <v>954</v>
      </c>
      <c r="D835" s="64" t="s">
        <v>955</v>
      </c>
      <c r="E835" s="65" t="s">
        <v>531</v>
      </c>
      <c r="F835" s="64" t="s">
        <v>26</v>
      </c>
      <c r="G835" s="65" t="s">
        <v>20</v>
      </c>
      <c r="H835" s="65" t="s">
        <v>928</v>
      </c>
      <c r="I835" s="65">
        <v>201502</v>
      </c>
      <c r="J835" s="66">
        <v>3.63</v>
      </c>
      <c r="K835" s="72">
        <f t="shared" si="69"/>
        <v>42675</v>
      </c>
      <c r="L835" s="67">
        <f t="shared" si="66"/>
        <v>6</v>
      </c>
      <c r="M835" s="68">
        <v>1.4833299999999999E-3</v>
      </c>
      <c r="N835" s="69">
        <f t="shared" si="50"/>
        <v>3.2306927399999998E-2</v>
      </c>
      <c r="O835" s="66"/>
      <c r="P835" s="71">
        <f t="shared" si="67"/>
        <v>0</v>
      </c>
      <c r="Q835" s="132"/>
      <c r="R835" s="71">
        <f t="shared" si="68"/>
        <v>5.5544293749999994E-2</v>
      </c>
      <c r="S835" s="64"/>
    </row>
    <row r="836" spans="1:19">
      <c r="A836" s="64" t="s">
        <v>626</v>
      </c>
      <c r="B836" s="65" t="s">
        <v>909</v>
      </c>
      <c r="C836" s="65" t="s">
        <v>910</v>
      </c>
      <c r="D836" s="64" t="s">
        <v>911</v>
      </c>
      <c r="E836" s="65" t="s">
        <v>79</v>
      </c>
      <c r="F836" s="64" t="s">
        <v>26</v>
      </c>
      <c r="G836" s="65" t="s">
        <v>20</v>
      </c>
      <c r="H836" s="65" t="s">
        <v>928</v>
      </c>
      <c r="I836" s="65">
        <v>201502</v>
      </c>
      <c r="J836" s="66">
        <v>17.23</v>
      </c>
      <c r="K836" s="72">
        <f t="shared" si="69"/>
        <v>42675</v>
      </c>
      <c r="L836" s="67">
        <f t="shared" si="66"/>
        <v>6</v>
      </c>
      <c r="M836" s="68">
        <v>1.4833299999999999E-3</v>
      </c>
      <c r="N836" s="69">
        <f t="shared" si="50"/>
        <v>0.1533466554</v>
      </c>
      <c r="O836" s="66"/>
      <c r="P836" s="71">
        <f t="shared" si="67"/>
        <v>0</v>
      </c>
      <c r="Q836" s="132"/>
      <c r="R836" s="71">
        <f t="shared" si="68"/>
        <v>0.26364412708333335</v>
      </c>
      <c r="S836" s="64"/>
    </row>
    <row r="837" spans="1:19">
      <c r="A837" s="64" t="s">
        <v>626</v>
      </c>
      <c r="B837" s="65" t="s">
        <v>1203</v>
      </c>
      <c r="C837" s="65" t="s">
        <v>1204</v>
      </c>
      <c r="D837" s="64" t="s">
        <v>1205</v>
      </c>
      <c r="E837" s="65" t="s">
        <v>260</v>
      </c>
      <c r="F837" s="64" t="s">
        <v>26</v>
      </c>
      <c r="G837" s="65" t="s">
        <v>20</v>
      </c>
      <c r="H837" s="65" t="s">
        <v>928</v>
      </c>
      <c r="I837" s="65">
        <v>201502</v>
      </c>
      <c r="J837" s="66">
        <v>236.56</v>
      </c>
      <c r="K837" s="72">
        <f t="shared" si="69"/>
        <v>42675</v>
      </c>
      <c r="L837" s="67">
        <f t="shared" si="66"/>
        <v>6</v>
      </c>
      <c r="M837" s="68">
        <v>1.4833299999999999E-3</v>
      </c>
      <c r="N837" s="69">
        <f t="shared" si="50"/>
        <v>2.1053792688000001</v>
      </c>
      <c r="O837" s="66"/>
      <c r="P837" s="71">
        <f t="shared" si="67"/>
        <v>0</v>
      </c>
      <c r="Q837" s="132"/>
      <c r="R837" s="71">
        <f t="shared" si="68"/>
        <v>3.6197129833333328</v>
      </c>
      <c r="S837" s="64"/>
    </row>
    <row r="838" spans="1:19">
      <c r="A838" s="64" t="s">
        <v>626</v>
      </c>
      <c r="B838" s="65" t="s">
        <v>963</v>
      </c>
      <c r="C838" s="65" t="s">
        <v>964</v>
      </c>
      <c r="D838" s="64" t="s">
        <v>965</v>
      </c>
      <c r="E838" s="65" t="s">
        <v>164</v>
      </c>
      <c r="F838" s="64" t="s">
        <v>165</v>
      </c>
      <c r="G838" s="65" t="s">
        <v>20</v>
      </c>
      <c r="H838" s="65" t="s">
        <v>928</v>
      </c>
      <c r="I838" s="65">
        <v>201502</v>
      </c>
      <c r="J838" s="66">
        <v>-64.540000000000006</v>
      </c>
      <c r="K838" s="72">
        <f t="shared" si="69"/>
        <v>42675</v>
      </c>
      <c r="L838" s="67">
        <f t="shared" si="66"/>
        <v>6</v>
      </c>
      <c r="M838" s="68">
        <v>1.4833299999999999E-3</v>
      </c>
      <c r="N838" s="69">
        <f t="shared" si="50"/>
        <v>-0.57440470920000009</v>
      </c>
      <c r="O838" s="66"/>
      <c r="P838" s="71">
        <f t="shared" si="67"/>
        <v>0</v>
      </c>
      <c r="Q838" s="132"/>
      <c r="R838" s="71">
        <f t="shared" si="68"/>
        <v>-0.98755612083333333</v>
      </c>
      <c r="S838" s="64"/>
    </row>
    <row r="839" spans="1:19">
      <c r="A839" s="64" t="s">
        <v>626</v>
      </c>
      <c r="B839" s="65" t="s">
        <v>1206</v>
      </c>
      <c r="C839" s="65" t="s">
        <v>1207</v>
      </c>
      <c r="D839" s="64" t="s">
        <v>1208</v>
      </c>
      <c r="E839" s="65" t="s">
        <v>280</v>
      </c>
      <c r="F839" s="64" t="s">
        <v>26</v>
      </c>
      <c r="G839" s="65" t="s">
        <v>20</v>
      </c>
      <c r="H839" s="65" t="s">
        <v>928</v>
      </c>
      <c r="I839" s="65">
        <v>201502</v>
      </c>
      <c r="J839" s="66">
        <v>-99.33</v>
      </c>
      <c r="K839" s="72">
        <f t="shared" si="69"/>
        <v>42675</v>
      </c>
      <c r="L839" s="67">
        <f t="shared" si="66"/>
        <v>6</v>
      </c>
      <c r="M839" s="68">
        <v>1.4833299999999999E-3</v>
      </c>
      <c r="N839" s="69">
        <f t="shared" si="50"/>
        <v>-0.88403501340000001</v>
      </c>
      <c r="O839" s="66"/>
      <c r="P839" s="71">
        <f t="shared" si="67"/>
        <v>0</v>
      </c>
      <c r="Q839" s="132"/>
      <c r="R839" s="71">
        <f t="shared" si="68"/>
        <v>-1.5198938562499997</v>
      </c>
      <c r="S839" s="64"/>
    </row>
    <row r="840" spans="1:19">
      <c r="A840" s="64" t="s">
        <v>626</v>
      </c>
      <c r="B840" s="65" t="s">
        <v>1044</v>
      </c>
      <c r="C840" s="65" t="s">
        <v>1045</v>
      </c>
      <c r="D840" s="64" t="s">
        <v>1046</v>
      </c>
      <c r="E840" s="65" t="s">
        <v>164</v>
      </c>
      <c r="F840" s="64" t="s">
        <v>165</v>
      </c>
      <c r="G840" s="65" t="s">
        <v>20</v>
      </c>
      <c r="H840" s="65" t="s">
        <v>928</v>
      </c>
      <c r="I840" s="65">
        <v>201502</v>
      </c>
      <c r="J840" s="66">
        <v>-1756.58</v>
      </c>
      <c r="K840" s="72">
        <f t="shared" si="69"/>
        <v>42675</v>
      </c>
      <c r="L840" s="67">
        <f t="shared" si="66"/>
        <v>6</v>
      </c>
      <c r="M840" s="68">
        <v>1.4833299999999999E-3</v>
      </c>
      <c r="N840" s="69">
        <f t="shared" si="50"/>
        <v>-15.633526868399999</v>
      </c>
      <c r="O840" s="66"/>
      <c r="P840" s="71">
        <f t="shared" si="67"/>
        <v>0</v>
      </c>
      <c r="Q840" s="132"/>
      <c r="R840" s="71">
        <f t="shared" si="68"/>
        <v>-26.878235679166664</v>
      </c>
      <c r="S840" s="64"/>
    </row>
    <row r="841" spans="1:19">
      <c r="A841" s="64" t="s">
        <v>626</v>
      </c>
      <c r="B841" s="65" t="s">
        <v>969</v>
      </c>
      <c r="C841" s="65" t="s">
        <v>970</v>
      </c>
      <c r="D841" s="64" t="s">
        <v>971</v>
      </c>
      <c r="E841" s="65" t="s">
        <v>164</v>
      </c>
      <c r="F841" s="64" t="s">
        <v>165</v>
      </c>
      <c r="G841" s="65" t="s">
        <v>20</v>
      </c>
      <c r="H841" s="65" t="s">
        <v>928</v>
      </c>
      <c r="I841" s="65">
        <v>201502</v>
      </c>
      <c r="J841" s="66">
        <v>-208.11</v>
      </c>
      <c r="K841" s="72">
        <f t="shared" si="69"/>
        <v>42675</v>
      </c>
      <c r="L841" s="67">
        <f t="shared" si="66"/>
        <v>6</v>
      </c>
      <c r="M841" s="68">
        <v>1.4833299999999999E-3</v>
      </c>
      <c r="N841" s="69">
        <f t="shared" si="50"/>
        <v>-1.8521748378</v>
      </c>
      <c r="O841" s="66"/>
      <c r="P841" s="71">
        <f t="shared" si="67"/>
        <v>0</v>
      </c>
      <c r="Q841" s="132"/>
      <c r="R841" s="71">
        <f t="shared" si="68"/>
        <v>-3.1843864937499999</v>
      </c>
      <c r="S841" s="64"/>
    </row>
    <row r="842" spans="1:19">
      <c r="A842" s="64" t="s">
        <v>626</v>
      </c>
      <c r="B842" s="65" t="s">
        <v>912</v>
      </c>
      <c r="C842" s="65" t="s">
        <v>913</v>
      </c>
      <c r="D842" s="64" t="s">
        <v>914</v>
      </c>
      <c r="E842" s="65" t="s">
        <v>164</v>
      </c>
      <c r="F842" s="64" t="s">
        <v>165</v>
      </c>
      <c r="G842" s="65" t="s">
        <v>20</v>
      </c>
      <c r="H842" s="65" t="s">
        <v>928</v>
      </c>
      <c r="I842" s="65">
        <v>201502</v>
      </c>
      <c r="J842" s="66">
        <v>-34.11</v>
      </c>
      <c r="K842" s="72">
        <f t="shared" si="69"/>
        <v>42675</v>
      </c>
      <c r="L842" s="67">
        <f t="shared" si="66"/>
        <v>6</v>
      </c>
      <c r="M842" s="68">
        <v>1.4833299999999999E-3</v>
      </c>
      <c r="N842" s="69">
        <f t="shared" si="50"/>
        <v>-0.3035783178</v>
      </c>
      <c r="O842" s="66"/>
      <c r="P842" s="71">
        <f t="shared" si="67"/>
        <v>0</v>
      </c>
      <c r="Q842" s="132"/>
      <c r="R842" s="71">
        <f t="shared" si="68"/>
        <v>-0.52193274374999998</v>
      </c>
      <c r="S842" s="64"/>
    </row>
    <row r="843" spans="1:19">
      <c r="A843" s="64" t="s">
        <v>626</v>
      </c>
      <c r="B843" s="65" t="s">
        <v>915</v>
      </c>
      <c r="C843" s="65" t="s">
        <v>916</v>
      </c>
      <c r="D843" s="64" t="s">
        <v>917</v>
      </c>
      <c r="E843" s="65" t="s">
        <v>918</v>
      </c>
      <c r="F843" s="64" t="s">
        <v>143</v>
      </c>
      <c r="G843" s="65" t="s">
        <v>20</v>
      </c>
      <c r="H843" s="65" t="s">
        <v>928</v>
      </c>
      <c r="I843" s="65">
        <v>201502</v>
      </c>
      <c r="J843" s="66">
        <v>0</v>
      </c>
      <c r="K843" s="72">
        <f t="shared" si="69"/>
        <v>42675</v>
      </c>
      <c r="L843" s="67">
        <f t="shared" si="66"/>
        <v>6</v>
      </c>
      <c r="M843" s="68">
        <v>1.4833299999999999E-3</v>
      </c>
      <c r="N843" s="69">
        <f t="shared" si="50"/>
        <v>0</v>
      </c>
      <c r="O843" s="66"/>
      <c r="P843" s="71">
        <f t="shared" si="67"/>
        <v>0</v>
      </c>
      <c r="Q843" s="132"/>
      <c r="R843" s="71">
        <f t="shared" si="68"/>
        <v>0</v>
      </c>
      <c r="S843" s="64"/>
    </row>
    <row r="844" spans="1:19">
      <c r="A844" s="64" t="s">
        <v>626</v>
      </c>
      <c r="B844" s="65" t="s">
        <v>919</v>
      </c>
      <c r="C844" s="65" t="s">
        <v>920</v>
      </c>
      <c r="D844" s="64" t="s">
        <v>921</v>
      </c>
      <c r="E844" s="65" t="s">
        <v>164</v>
      </c>
      <c r="F844" s="64" t="s">
        <v>165</v>
      </c>
      <c r="G844" s="65" t="s">
        <v>20</v>
      </c>
      <c r="H844" s="65" t="s">
        <v>928</v>
      </c>
      <c r="I844" s="65">
        <v>201502</v>
      </c>
      <c r="J844" s="66">
        <v>-12.08</v>
      </c>
      <c r="K844" s="72">
        <f t="shared" si="69"/>
        <v>42675</v>
      </c>
      <c r="L844" s="67">
        <f t="shared" si="66"/>
        <v>6</v>
      </c>
      <c r="M844" s="68">
        <v>1.4833299999999999E-3</v>
      </c>
      <c r="N844" s="69">
        <f t="shared" si="50"/>
        <v>-0.1075117584</v>
      </c>
      <c r="O844" s="66"/>
      <c r="P844" s="71">
        <f t="shared" si="67"/>
        <v>0</v>
      </c>
      <c r="Q844" s="132"/>
      <c r="R844" s="71">
        <f t="shared" si="68"/>
        <v>-0.18484161666666665</v>
      </c>
      <c r="S844" s="64"/>
    </row>
    <row r="845" spans="1:19">
      <c r="A845" s="64" t="s">
        <v>21</v>
      </c>
      <c r="B845" s="65" t="s">
        <v>894</v>
      </c>
      <c r="C845" s="65" t="s">
        <v>895</v>
      </c>
      <c r="D845" s="64" t="s">
        <v>896</v>
      </c>
      <c r="E845" s="65" t="s">
        <v>280</v>
      </c>
      <c r="F845" s="64" t="s">
        <v>26</v>
      </c>
      <c r="G845" s="65" t="s">
        <v>20</v>
      </c>
      <c r="H845" s="65" t="s">
        <v>928</v>
      </c>
      <c r="I845" s="65">
        <v>201502</v>
      </c>
      <c r="J845" s="66">
        <v>-3.65</v>
      </c>
      <c r="K845" s="72">
        <f t="shared" si="69"/>
        <v>42675</v>
      </c>
      <c r="L845" s="67">
        <f t="shared" si="66"/>
        <v>6</v>
      </c>
      <c r="M845" s="68">
        <v>1.4833299999999999E-3</v>
      </c>
      <c r="N845" s="69">
        <f t="shared" si="50"/>
        <v>-3.2484926999999997E-2</v>
      </c>
      <c r="O845" s="66"/>
      <c r="P845" s="71">
        <f t="shared" si="67"/>
        <v>0</v>
      </c>
      <c r="Q845" s="132"/>
      <c r="R845" s="71">
        <f t="shared" si="68"/>
        <v>-5.585032291666666E-2</v>
      </c>
      <c r="S845" s="64"/>
    </row>
    <row r="846" spans="1:19">
      <c r="A846" s="64" t="s">
        <v>626</v>
      </c>
      <c r="B846" s="65" t="s">
        <v>1047</v>
      </c>
      <c r="C846" s="65" t="s">
        <v>1048</v>
      </c>
      <c r="D846" s="64" t="s">
        <v>1049</v>
      </c>
      <c r="E846" s="65" t="s">
        <v>164</v>
      </c>
      <c r="F846" s="64" t="s">
        <v>165</v>
      </c>
      <c r="G846" s="65" t="s">
        <v>20</v>
      </c>
      <c r="H846" s="65" t="s">
        <v>928</v>
      </c>
      <c r="I846" s="65">
        <v>201502</v>
      </c>
      <c r="J846" s="66">
        <v>-113.84</v>
      </c>
      <c r="K846" s="72">
        <f t="shared" si="69"/>
        <v>42675</v>
      </c>
      <c r="L846" s="67">
        <f t="shared" si="66"/>
        <v>6</v>
      </c>
      <c r="M846" s="68">
        <v>1.4833299999999999E-3</v>
      </c>
      <c r="N846" s="69">
        <f t="shared" si="50"/>
        <v>-1.0131737232</v>
      </c>
      <c r="O846" s="66"/>
      <c r="P846" s="71">
        <f t="shared" si="67"/>
        <v>0</v>
      </c>
      <c r="Q846" s="132"/>
      <c r="R846" s="71">
        <f t="shared" si="68"/>
        <v>-1.7419180166666666</v>
      </c>
      <c r="S846" s="64"/>
    </row>
    <row r="847" spans="1:19">
      <c r="A847" s="64" t="s">
        <v>21</v>
      </c>
      <c r="B847" s="65" t="s">
        <v>1259</v>
      </c>
      <c r="C847" s="65" t="s">
        <v>1260</v>
      </c>
      <c r="D847" s="64" t="s">
        <v>1261</v>
      </c>
      <c r="E847" s="65" t="s">
        <v>756</v>
      </c>
      <c r="F847" s="64" t="s">
        <v>757</v>
      </c>
      <c r="G847" s="65" t="s">
        <v>20</v>
      </c>
      <c r="H847" s="65" t="s">
        <v>928</v>
      </c>
      <c r="I847" s="65">
        <v>201502</v>
      </c>
      <c r="J847" s="66">
        <v>17732.099999999999</v>
      </c>
      <c r="K847" s="72">
        <f t="shared" si="69"/>
        <v>42675</v>
      </c>
      <c r="L847" s="67">
        <f t="shared" si="66"/>
        <v>6</v>
      </c>
      <c r="M847" s="68">
        <v>1.4833299999999999E-3</v>
      </c>
      <c r="N847" s="69">
        <f t="shared" si="50"/>
        <v>157.815335358</v>
      </c>
      <c r="O847" s="66"/>
      <c r="P847" s="71">
        <f t="shared" si="67"/>
        <v>0</v>
      </c>
      <c r="Q847" s="132"/>
      <c r="R847" s="71">
        <f t="shared" si="68"/>
        <v>271.3269893124999</v>
      </c>
      <c r="S847" s="64"/>
    </row>
    <row r="848" spans="1:19">
      <c r="A848" s="64" t="s">
        <v>626</v>
      </c>
      <c r="B848" s="65" t="s">
        <v>1106</v>
      </c>
      <c r="C848" s="65" t="s">
        <v>1107</v>
      </c>
      <c r="D848" s="64" t="s">
        <v>1108</v>
      </c>
      <c r="E848" s="65" t="s">
        <v>18</v>
      </c>
      <c r="F848" s="64" t="s">
        <v>19</v>
      </c>
      <c r="G848" s="65" t="s">
        <v>20</v>
      </c>
      <c r="H848" s="65" t="s">
        <v>928</v>
      </c>
      <c r="I848" s="65">
        <v>201502</v>
      </c>
      <c r="J848" s="66">
        <v>-355.29</v>
      </c>
      <c r="K848" s="72">
        <f t="shared" si="69"/>
        <v>42675</v>
      </c>
      <c r="L848" s="67">
        <f t="shared" si="66"/>
        <v>6</v>
      </c>
      <c r="M848" s="68">
        <v>1.4833299999999999E-3</v>
      </c>
      <c r="N848" s="69">
        <f t="shared" si="50"/>
        <v>-3.1620738942000002</v>
      </c>
      <c r="O848" s="66"/>
      <c r="P848" s="71">
        <f t="shared" si="67"/>
        <v>0</v>
      </c>
      <c r="Q848" s="132"/>
      <c r="R848" s="71">
        <f t="shared" si="68"/>
        <v>-5.4364551312499998</v>
      </c>
      <c r="S848" s="64"/>
    </row>
    <row r="849" spans="1:19">
      <c r="A849" s="64" t="s">
        <v>21</v>
      </c>
      <c r="B849" s="65" t="s">
        <v>1262</v>
      </c>
      <c r="C849" s="65" t="s">
        <v>1263</v>
      </c>
      <c r="D849" s="64" t="s">
        <v>1264</v>
      </c>
      <c r="E849" s="65" t="s">
        <v>172</v>
      </c>
      <c r="F849" s="64" t="s">
        <v>173</v>
      </c>
      <c r="G849" s="65" t="s">
        <v>20</v>
      </c>
      <c r="H849" s="65" t="s">
        <v>928</v>
      </c>
      <c r="I849" s="65">
        <v>201502</v>
      </c>
      <c r="J849" s="66">
        <v>19096.580000000002</v>
      </c>
      <c r="K849" s="72">
        <f t="shared" si="69"/>
        <v>42675</v>
      </c>
      <c r="L849" s="67">
        <f t="shared" si="66"/>
        <v>6</v>
      </c>
      <c r="M849" s="68">
        <v>1.4833299999999999E-3</v>
      </c>
      <c r="N849" s="69">
        <f t="shared" si="50"/>
        <v>169.95918006840003</v>
      </c>
      <c r="O849" s="66"/>
      <c r="P849" s="71">
        <f t="shared" si="67"/>
        <v>0</v>
      </c>
      <c r="Q849" s="132"/>
      <c r="R849" s="71">
        <f t="shared" si="68"/>
        <v>292.20552317916662</v>
      </c>
      <c r="S849" s="64"/>
    </row>
    <row r="850" spans="1:19">
      <c r="A850" s="64" t="s">
        <v>21</v>
      </c>
      <c r="B850" s="65" t="s">
        <v>1151</v>
      </c>
      <c r="C850" s="65" t="s">
        <v>1152</v>
      </c>
      <c r="D850" s="64" t="s">
        <v>1153</v>
      </c>
      <c r="E850" s="65" t="s">
        <v>70</v>
      </c>
      <c r="F850" s="64" t="s">
        <v>71</v>
      </c>
      <c r="G850" s="65" t="s">
        <v>20</v>
      </c>
      <c r="H850" s="65" t="s">
        <v>928</v>
      </c>
      <c r="I850" s="65">
        <v>201502</v>
      </c>
      <c r="J850" s="66">
        <v>2666.26</v>
      </c>
      <c r="K850" s="72">
        <f t="shared" si="69"/>
        <v>42675</v>
      </c>
      <c r="L850" s="67">
        <f t="shared" si="66"/>
        <v>6</v>
      </c>
      <c r="M850" s="68">
        <v>1.4833299999999999E-3</v>
      </c>
      <c r="N850" s="69">
        <f t="shared" si="50"/>
        <v>23.729660674800002</v>
      </c>
      <c r="O850" s="66"/>
      <c r="P850" s="71">
        <f t="shared" si="67"/>
        <v>0</v>
      </c>
      <c r="Q850" s="132"/>
      <c r="R850" s="71">
        <f t="shared" si="68"/>
        <v>40.797666295833331</v>
      </c>
      <c r="S850" s="64"/>
    </row>
    <row r="851" spans="1:19">
      <c r="A851" s="64" t="s">
        <v>21</v>
      </c>
      <c r="B851" s="65" t="s">
        <v>978</v>
      </c>
      <c r="C851" s="65" t="s">
        <v>979</v>
      </c>
      <c r="D851" s="64" t="s">
        <v>980</v>
      </c>
      <c r="E851" s="65" t="s">
        <v>102</v>
      </c>
      <c r="F851" s="64" t="s">
        <v>19</v>
      </c>
      <c r="G851" s="65" t="s">
        <v>20</v>
      </c>
      <c r="H851" s="65" t="s">
        <v>928</v>
      </c>
      <c r="I851" s="65">
        <v>201502</v>
      </c>
      <c r="J851" s="66">
        <v>0</v>
      </c>
      <c r="K851" s="72">
        <f t="shared" si="69"/>
        <v>42675</v>
      </c>
      <c r="L851" s="67">
        <f t="shared" si="66"/>
        <v>6</v>
      </c>
      <c r="M851" s="68">
        <v>1.4833299999999999E-3</v>
      </c>
      <c r="N851" s="69">
        <f t="shared" si="50"/>
        <v>0</v>
      </c>
      <c r="O851" s="66"/>
      <c r="P851" s="71">
        <f t="shared" si="67"/>
        <v>0</v>
      </c>
      <c r="Q851" s="132"/>
      <c r="R851" s="71">
        <f t="shared" si="68"/>
        <v>0</v>
      </c>
      <c r="S851" s="64"/>
    </row>
    <row r="852" spans="1:19">
      <c r="A852" s="64" t="s">
        <v>21</v>
      </c>
      <c r="B852" s="65" t="s">
        <v>1265</v>
      </c>
      <c r="C852" s="65" t="s">
        <v>1266</v>
      </c>
      <c r="D852" s="64" t="s">
        <v>1267</v>
      </c>
      <c r="E852" s="65" t="s">
        <v>172</v>
      </c>
      <c r="F852" s="64" t="s">
        <v>173</v>
      </c>
      <c r="G852" s="65" t="s">
        <v>20</v>
      </c>
      <c r="H852" s="65" t="s">
        <v>928</v>
      </c>
      <c r="I852" s="65">
        <v>201502</v>
      </c>
      <c r="J852" s="66">
        <v>19268.349999999999</v>
      </c>
      <c r="K852" s="72">
        <f t="shared" si="69"/>
        <v>42675</v>
      </c>
      <c r="L852" s="67">
        <f t="shared" si="66"/>
        <v>6</v>
      </c>
      <c r="M852" s="68">
        <v>1.4833299999999999E-3</v>
      </c>
      <c r="N852" s="69">
        <f t="shared" si="50"/>
        <v>171.48792963299999</v>
      </c>
      <c r="O852" s="66"/>
      <c r="P852" s="71">
        <f t="shared" si="67"/>
        <v>0</v>
      </c>
      <c r="Q852" s="132"/>
      <c r="R852" s="71">
        <f t="shared" si="68"/>
        <v>294.83385467708331</v>
      </c>
      <c r="S852" s="64"/>
    </row>
    <row r="853" spans="1:19">
      <c r="A853" s="64" t="s">
        <v>626</v>
      </c>
      <c r="B853" s="65" t="s">
        <v>1109</v>
      </c>
      <c r="C853" s="65" t="s">
        <v>1110</v>
      </c>
      <c r="D853" s="64" t="s">
        <v>1111</v>
      </c>
      <c r="E853" s="65" t="s">
        <v>260</v>
      </c>
      <c r="F853" s="64" t="s">
        <v>26</v>
      </c>
      <c r="G853" s="65" t="s">
        <v>20</v>
      </c>
      <c r="H853" s="65" t="s">
        <v>928</v>
      </c>
      <c r="I853" s="65">
        <v>201502</v>
      </c>
      <c r="J853" s="66">
        <v>-420.75</v>
      </c>
      <c r="K853" s="72">
        <f t="shared" si="69"/>
        <v>42675</v>
      </c>
      <c r="L853" s="67">
        <f t="shared" si="66"/>
        <v>6</v>
      </c>
      <c r="M853" s="68">
        <v>1.4833299999999999E-3</v>
      </c>
      <c r="N853" s="69">
        <f t="shared" si="50"/>
        <v>-3.744666585</v>
      </c>
      <c r="O853" s="66"/>
      <c r="P853" s="71">
        <f t="shared" si="67"/>
        <v>0</v>
      </c>
      <c r="Q853" s="132"/>
      <c r="R853" s="71">
        <f t="shared" si="68"/>
        <v>-6.4380885937499999</v>
      </c>
      <c r="S853" s="64"/>
    </row>
    <row r="854" spans="1:19">
      <c r="A854" s="64" t="s">
        <v>626</v>
      </c>
      <c r="B854" s="65" t="s">
        <v>1050</v>
      </c>
      <c r="C854" s="65" t="s">
        <v>1051</v>
      </c>
      <c r="D854" s="64" t="s">
        <v>1052</v>
      </c>
      <c r="E854" s="65" t="s">
        <v>164</v>
      </c>
      <c r="F854" s="64" t="s">
        <v>165</v>
      </c>
      <c r="G854" s="65" t="s">
        <v>20</v>
      </c>
      <c r="H854" s="65" t="s">
        <v>928</v>
      </c>
      <c r="I854" s="65">
        <v>201502</v>
      </c>
      <c r="J854" s="66">
        <v>-479.84</v>
      </c>
      <c r="K854" s="72">
        <f t="shared" si="69"/>
        <v>42675</v>
      </c>
      <c r="L854" s="67">
        <f t="shared" si="66"/>
        <v>6</v>
      </c>
      <c r="M854" s="68">
        <v>1.4833299999999999E-3</v>
      </c>
      <c r="N854" s="69">
        <f t="shared" si="50"/>
        <v>-4.2705664032000001</v>
      </c>
      <c r="O854" s="66"/>
      <c r="P854" s="71">
        <f t="shared" si="67"/>
        <v>0</v>
      </c>
      <c r="Q854" s="132"/>
      <c r="R854" s="71">
        <f t="shared" si="68"/>
        <v>-7.3422517666666653</v>
      </c>
      <c r="S854" s="64"/>
    </row>
    <row r="855" spans="1:19">
      <c r="A855" s="64" t="s">
        <v>626</v>
      </c>
      <c r="B855" s="65" t="s">
        <v>1209</v>
      </c>
      <c r="C855" s="65" t="s">
        <v>1210</v>
      </c>
      <c r="D855" s="64" t="s">
        <v>1211</v>
      </c>
      <c r="E855" s="65" t="s">
        <v>79</v>
      </c>
      <c r="F855" s="64" t="s">
        <v>26</v>
      </c>
      <c r="G855" s="65" t="s">
        <v>20</v>
      </c>
      <c r="H855" s="65" t="s">
        <v>928</v>
      </c>
      <c r="I855" s="65">
        <v>201502</v>
      </c>
      <c r="J855" s="66">
        <v>23715.55</v>
      </c>
      <c r="K855" s="72">
        <f t="shared" si="69"/>
        <v>42675</v>
      </c>
      <c r="L855" s="67">
        <f t="shared" si="66"/>
        <v>6</v>
      </c>
      <c r="M855" s="68">
        <v>1.4833299999999999E-3</v>
      </c>
      <c r="N855" s="69">
        <f t="shared" si="50"/>
        <v>211.067920689</v>
      </c>
      <c r="O855" s="66"/>
      <c r="P855" s="71">
        <f t="shared" si="67"/>
        <v>0</v>
      </c>
      <c r="Q855" s="132"/>
      <c r="R855" s="71">
        <f t="shared" si="68"/>
        <v>362.88250017708327</v>
      </c>
      <c r="S855" s="64"/>
    </row>
    <row r="856" spans="1:19">
      <c r="A856" s="64" t="s">
        <v>626</v>
      </c>
      <c r="B856" s="65" t="s">
        <v>981</v>
      </c>
      <c r="C856" s="65" t="s">
        <v>982</v>
      </c>
      <c r="D856" s="64" t="s">
        <v>983</v>
      </c>
      <c r="E856" s="65" t="s">
        <v>531</v>
      </c>
      <c r="F856" s="64" t="s">
        <v>26</v>
      </c>
      <c r="G856" s="65" t="s">
        <v>20</v>
      </c>
      <c r="H856" s="65" t="s">
        <v>928</v>
      </c>
      <c r="I856" s="65">
        <v>201502</v>
      </c>
      <c r="J856" s="66">
        <v>-772.01</v>
      </c>
      <c r="K856" s="72">
        <f t="shared" si="69"/>
        <v>42675</v>
      </c>
      <c r="L856" s="67">
        <f t="shared" si="66"/>
        <v>6</v>
      </c>
      <c r="M856" s="68">
        <v>1.4833299999999999E-3</v>
      </c>
      <c r="N856" s="69">
        <f t="shared" si="50"/>
        <v>-6.8708735597999997</v>
      </c>
      <c r="O856" s="66"/>
      <c r="P856" s="71">
        <f t="shared" si="67"/>
        <v>0</v>
      </c>
      <c r="Q856" s="132"/>
      <c r="R856" s="71">
        <f t="shared" si="68"/>
        <v>-11.812878847916666</v>
      </c>
      <c r="S856" s="64"/>
    </row>
    <row r="857" spans="1:19">
      <c r="A857" s="64" t="s">
        <v>626</v>
      </c>
      <c r="B857" s="65" t="s">
        <v>1053</v>
      </c>
      <c r="C857" s="65" t="s">
        <v>1054</v>
      </c>
      <c r="D857" s="64" t="s">
        <v>1055</v>
      </c>
      <c r="E857" s="65" t="s">
        <v>160</v>
      </c>
      <c r="F857" s="64" t="s">
        <v>19</v>
      </c>
      <c r="G857" s="65" t="s">
        <v>20</v>
      </c>
      <c r="H857" s="65" t="s">
        <v>928</v>
      </c>
      <c r="I857" s="65">
        <v>201502</v>
      </c>
      <c r="J857" s="66">
        <v>-20.149999999999999</v>
      </c>
      <c r="K857" s="72">
        <f t="shared" si="69"/>
        <v>42675</v>
      </c>
      <c r="L857" s="67">
        <f t="shared" si="66"/>
        <v>6</v>
      </c>
      <c r="M857" s="68">
        <v>1.4833299999999999E-3</v>
      </c>
      <c r="N857" s="69">
        <f t="shared" si="50"/>
        <v>-0.17933459699999998</v>
      </c>
      <c r="O857" s="66"/>
      <c r="P857" s="71">
        <f t="shared" si="67"/>
        <v>0</v>
      </c>
      <c r="Q857" s="132"/>
      <c r="R857" s="71">
        <f t="shared" si="68"/>
        <v>-0.30832438541666662</v>
      </c>
      <c r="S857" s="64"/>
    </row>
    <row r="858" spans="1:19">
      <c r="A858" s="64" t="s">
        <v>626</v>
      </c>
      <c r="B858" s="65" t="s">
        <v>1056</v>
      </c>
      <c r="C858" s="65" t="s">
        <v>1057</v>
      </c>
      <c r="D858" s="64" t="s">
        <v>1058</v>
      </c>
      <c r="E858" s="65" t="s">
        <v>1059</v>
      </c>
      <c r="F858" s="64" t="s">
        <v>26</v>
      </c>
      <c r="G858" s="65" t="s">
        <v>20</v>
      </c>
      <c r="H858" s="65" t="s">
        <v>928</v>
      </c>
      <c r="I858" s="65">
        <v>201502</v>
      </c>
      <c r="J858" s="66">
        <v>-239.93</v>
      </c>
      <c r="K858" s="72">
        <f t="shared" si="69"/>
        <v>42675</v>
      </c>
      <c r="L858" s="67">
        <f t="shared" si="66"/>
        <v>6</v>
      </c>
      <c r="M858" s="68">
        <v>1.4833299999999999E-3</v>
      </c>
      <c r="N858" s="69">
        <f t="shared" si="50"/>
        <v>-2.1353722014000001</v>
      </c>
      <c r="O858" s="66"/>
      <c r="P858" s="71">
        <f t="shared" si="67"/>
        <v>0</v>
      </c>
      <c r="Q858" s="132"/>
      <c r="R858" s="71">
        <f t="shared" si="68"/>
        <v>-3.6712788979166664</v>
      </c>
      <c r="S858" s="64"/>
    </row>
    <row r="859" spans="1:19">
      <c r="A859" s="64" t="s">
        <v>626</v>
      </c>
      <c r="B859" s="65" t="s">
        <v>1157</v>
      </c>
      <c r="C859" s="65" t="s">
        <v>1158</v>
      </c>
      <c r="D859" s="64" t="s">
        <v>1159</v>
      </c>
      <c r="E859" s="65" t="s">
        <v>160</v>
      </c>
      <c r="F859" s="64" t="s">
        <v>19</v>
      </c>
      <c r="G859" s="65" t="s">
        <v>20</v>
      </c>
      <c r="H859" s="65" t="s">
        <v>928</v>
      </c>
      <c r="I859" s="65">
        <v>201502</v>
      </c>
      <c r="J859" s="66">
        <v>-51.24</v>
      </c>
      <c r="K859" s="72">
        <f t="shared" si="69"/>
        <v>42675</v>
      </c>
      <c r="L859" s="67">
        <f t="shared" si="66"/>
        <v>6</v>
      </c>
      <c r="M859" s="68">
        <v>1.4833299999999999E-3</v>
      </c>
      <c r="N859" s="69">
        <f t="shared" ref="N859:N922" si="70">M859*L859*J859</f>
        <v>-0.45603497520000003</v>
      </c>
      <c r="O859" s="66"/>
      <c r="P859" s="71">
        <f t="shared" si="67"/>
        <v>0</v>
      </c>
      <c r="Q859" s="132"/>
      <c r="R859" s="71">
        <f t="shared" si="68"/>
        <v>-0.78404672499999994</v>
      </c>
      <c r="S859" s="64"/>
    </row>
    <row r="860" spans="1:19">
      <c r="A860" s="64" t="s">
        <v>626</v>
      </c>
      <c r="B860" s="65" t="s">
        <v>1160</v>
      </c>
      <c r="C860" s="65" t="s">
        <v>1161</v>
      </c>
      <c r="D860" s="64" t="s">
        <v>1162</v>
      </c>
      <c r="E860" s="65" t="s">
        <v>160</v>
      </c>
      <c r="F860" s="64" t="s">
        <v>19</v>
      </c>
      <c r="G860" s="65" t="s">
        <v>20</v>
      </c>
      <c r="H860" s="65" t="s">
        <v>928</v>
      </c>
      <c r="I860" s="65">
        <v>201502</v>
      </c>
      <c r="J860" s="66">
        <v>10430.549999999999</v>
      </c>
      <c r="K860" s="72">
        <f t="shared" si="69"/>
        <v>42675</v>
      </c>
      <c r="L860" s="67">
        <f t="shared" si="66"/>
        <v>6</v>
      </c>
      <c r="M860" s="68">
        <v>1.4833299999999999E-3</v>
      </c>
      <c r="N860" s="69">
        <f t="shared" si="70"/>
        <v>92.831686388999998</v>
      </c>
      <c r="O860" s="66"/>
      <c r="P860" s="71">
        <f t="shared" si="67"/>
        <v>0</v>
      </c>
      <c r="Q860" s="132"/>
      <c r="R860" s="71">
        <f t="shared" si="68"/>
        <v>159.60262621874998</v>
      </c>
      <c r="S860" s="64"/>
    </row>
    <row r="861" spans="1:19">
      <c r="A861" s="64" t="s">
        <v>626</v>
      </c>
      <c r="B861" s="65" t="s">
        <v>1163</v>
      </c>
      <c r="C861" s="65" t="s">
        <v>1164</v>
      </c>
      <c r="D861" s="64" t="s">
        <v>1165</v>
      </c>
      <c r="E861" s="65" t="s">
        <v>75</v>
      </c>
      <c r="F861" s="64" t="s">
        <v>26</v>
      </c>
      <c r="G861" s="65" t="s">
        <v>20</v>
      </c>
      <c r="H861" s="65" t="s">
        <v>928</v>
      </c>
      <c r="I861" s="65">
        <v>201502</v>
      </c>
      <c r="J861" s="66">
        <v>-148.15</v>
      </c>
      <c r="K861" s="72">
        <f t="shared" si="69"/>
        <v>42675</v>
      </c>
      <c r="L861" s="67">
        <f t="shared" si="66"/>
        <v>6</v>
      </c>
      <c r="M861" s="68">
        <v>1.4833299999999999E-3</v>
      </c>
      <c r="N861" s="69">
        <f t="shared" si="70"/>
        <v>-1.318532037</v>
      </c>
      <c r="O861" s="66"/>
      <c r="P861" s="71">
        <f t="shared" si="67"/>
        <v>0</v>
      </c>
      <c r="Q861" s="132"/>
      <c r="R861" s="71">
        <f t="shared" si="68"/>
        <v>-2.2669110520833331</v>
      </c>
      <c r="S861" s="64"/>
    </row>
    <row r="862" spans="1:19">
      <c r="A862" s="64" t="s">
        <v>626</v>
      </c>
      <c r="B862" s="65" t="s">
        <v>987</v>
      </c>
      <c r="C862" s="65" t="s">
        <v>988</v>
      </c>
      <c r="D862" s="64" t="s">
        <v>989</v>
      </c>
      <c r="E862" s="65" t="s">
        <v>63</v>
      </c>
      <c r="F862" s="64" t="s">
        <v>19</v>
      </c>
      <c r="G862" s="65" t="s">
        <v>20</v>
      </c>
      <c r="H862" s="65" t="s">
        <v>928</v>
      </c>
      <c r="I862" s="65">
        <v>201502</v>
      </c>
      <c r="J862" s="66">
        <v>0</v>
      </c>
      <c r="K862" s="72">
        <f t="shared" si="69"/>
        <v>42675</v>
      </c>
      <c r="L862" s="67">
        <f t="shared" si="66"/>
        <v>6</v>
      </c>
      <c r="M862" s="68">
        <v>1.4833299999999999E-3</v>
      </c>
      <c r="N862" s="69">
        <f t="shared" si="70"/>
        <v>0</v>
      </c>
      <c r="O862" s="66"/>
      <c r="P862" s="71">
        <f t="shared" si="67"/>
        <v>0</v>
      </c>
      <c r="Q862" s="132"/>
      <c r="R862" s="71">
        <f t="shared" si="68"/>
        <v>0</v>
      </c>
      <c r="S862" s="64"/>
    </row>
    <row r="863" spans="1:19">
      <c r="A863" s="64" t="s">
        <v>626</v>
      </c>
      <c r="B863" s="65" t="s">
        <v>1166</v>
      </c>
      <c r="C863" s="65" t="s">
        <v>1167</v>
      </c>
      <c r="D863" s="64" t="s">
        <v>1168</v>
      </c>
      <c r="E863" s="65" t="s">
        <v>75</v>
      </c>
      <c r="F863" s="64" t="s">
        <v>26</v>
      </c>
      <c r="G863" s="65" t="s">
        <v>20</v>
      </c>
      <c r="H863" s="65" t="s">
        <v>928</v>
      </c>
      <c r="I863" s="65">
        <v>201502</v>
      </c>
      <c r="J863" s="66">
        <v>-64.19</v>
      </c>
      <c r="K863" s="72">
        <f t="shared" si="69"/>
        <v>42675</v>
      </c>
      <c r="L863" s="67">
        <f t="shared" si="66"/>
        <v>6</v>
      </c>
      <c r="M863" s="68">
        <v>1.4833299999999999E-3</v>
      </c>
      <c r="N863" s="69">
        <f t="shared" si="70"/>
        <v>-0.57128971620000002</v>
      </c>
      <c r="O863" s="66"/>
      <c r="P863" s="71">
        <f t="shared" si="67"/>
        <v>0</v>
      </c>
      <c r="Q863" s="132"/>
      <c r="R863" s="71">
        <f t="shared" si="68"/>
        <v>-0.9822006104166664</v>
      </c>
      <c r="S863" s="64"/>
    </row>
    <row r="864" spans="1:19">
      <c r="A864" s="64" t="s">
        <v>626</v>
      </c>
      <c r="B864" s="65" t="s">
        <v>1169</v>
      </c>
      <c r="C864" s="65" t="s">
        <v>1170</v>
      </c>
      <c r="D864" s="64" t="s">
        <v>1171</v>
      </c>
      <c r="E864" s="65" t="s">
        <v>164</v>
      </c>
      <c r="F864" s="64" t="s">
        <v>165</v>
      </c>
      <c r="G864" s="65" t="s">
        <v>20</v>
      </c>
      <c r="H864" s="65" t="s">
        <v>928</v>
      </c>
      <c r="I864" s="65">
        <v>201502</v>
      </c>
      <c r="J864" s="66">
        <v>-413.65</v>
      </c>
      <c r="K864" s="72">
        <f t="shared" si="69"/>
        <v>42675</v>
      </c>
      <c r="L864" s="67">
        <f t="shared" si="66"/>
        <v>6</v>
      </c>
      <c r="M864" s="68">
        <v>1.4833299999999999E-3</v>
      </c>
      <c r="N864" s="69">
        <f t="shared" si="70"/>
        <v>-3.6814767269999997</v>
      </c>
      <c r="O864" s="66"/>
      <c r="P864" s="71">
        <f t="shared" si="67"/>
        <v>0</v>
      </c>
      <c r="Q864" s="132"/>
      <c r="R864" s="71">
        <f t="shared" si="68"/>
        <v>-6.329448239583332</v>
      </c>
      <c r="S864" s="64"/>
    </row>
    <row r="865" spans="1:19">
      <c r="A865" s="64" t="s">
        <v>626</v>
      </c>
      <c r="B865" s="65" t="s">
        <v>1172</v>
      </c>
      <c r="C865" s="65" t="s">
        <v>1173</v>
      </c>
      <c r="D865" s="64" t="s">
        <v>1174</v>
      </c>
      <c r="E865" s="65" t="s">
        <v>156</v>
      </c>
      <c r="F865" s="64" t="s">
        <v>26</v>
      </c>
      <c r="G865" s="65" t="s">
        <v>20</v>
      </c>
      <c r="H865" s="65" t="s">
        <v>928</v>
      </c>
      <c r="I865" s="65">
        <v>201502</v>
      </c>
      <c r="J865" s="66">
        <v>-460.31</v>
      </c>
      <c r="K865" s="72">
        <f t="shared" si="69"/>
        <v>42675</v>
      </c>
      <c r="L865" s="67">
        <f t="shared" si="66"/>
        <v>6</v>
      </c>
      <c r="M865" s="68">
        <v>1.4833299999999999E-3</v>
      </c>
      <c r="N865" s="69">
        <f t="shared" si="70"/>
        <v>-4.0967497937999999</v>
      </c>
      <c r="O865" s="66"/>
      <c r="P865" s="71">
        <f t="shared" si="67"/>
        <v>0</v>
      </c>
      <c r="Q865" s="132"/>
      <c r="R865" s="71">
        <f t="shared" si="68"/>
        <v>-7.0434142854166657</v>
      </c>
      <c r="S865" s="64"/>
    </row>
    <row r="866" spans="1:19">
      <c r="A866" s="64" t="s">
        <v>626</v>
      </c>
      <c r="B866" s="65" t="s">
        <v>1212</v>
      </c>
      <c r="C866" s="65" t="s">
        <v>1213</v>
      </c>
      <c r="D866" s="64" t="s">
        <v>1214</v>
      </c>
      <c r="E866" s="65" t="s">
        <v>260</v>
      </c>
      <c r="F866" s="64" t="s">
        <v>26</v>
      </c>
      <c r="G866" s="65" t="s">
        <v>20</v>
      </c>
      <c r="H866" s="65" t="s">
        <v>928</v>
      </c>
      <c r="I866" s="65">
        <v>201502</v>
      </c>
      <c r="J866" s="66">
        <v>176.57</v>
      </c>
      <c r="K866" s="72">
        <f t="shared" si="69"/>
        <v>42675</v>
      </c>
      <c r="L866" s="67">
        <f t="shared" si="66"/>
        <v>6</v>
      </c>
      <c r="M866" s="68">
        <v>1.4833299999999999E-3</v>
      </c>
      <c r="N866" s="69">
        <f t="shared" si="70"/>
        <v>1.5714694685999999</v>
      </c>
      <c r="O866" s="66"/>
      <c r="P866" s="71">
        <f t="shared" si="67"/>
        <v>0</v>
      </c>
      <c r="Q866" s="132"/>
      <c r="R866" s="71">
        <f t="shared" si="68"/>
        <v>2.7017784979166661</v>
      </c>
      <c r="S866" s="64"/>
    </row>
    <row r="867" spans="1:19">
      <c r="A867" s="64" t="s">
        <v>626</v>
      </c>
      <c r="B867" s="65" t="s">
        <v>1175</v>
      </c>
      <c r="C867" s="65" t="s">
        <v>1176</v>
      </c>
      <c r="D867" s="64" t="s">
        <v>1177</v>
      </c>
      <c r="E867" s="65" t="s">
        <v>1059</v>
      </c>
      <c r="F867" s="64" t="s">
        <v>26</v>
      </c>
      <c r="G867" s="65" t="s">
        <v>20</v>
      </c>
      <c r="H867" s="65" t="s">
        <v>928</v>
      </c>
      <c r="I867" s="65">
        <v>201502</v>
      </c>
      <c r="J867" s="66">
        <v>-174.68</v>
      </c>
      <c r="K867" s="72">
        <f t="shared" si="69"/>
        <v>42675</v>
      </c>
      <c r="L867" s="67">
        <f t="shared" si="66"/>
        <v>6</v>
      </c>
      <c r="M867" s="68">
        <v>1.4833299999999999E-3</v>
      </c>
      <c r="N867" s="69">
        <f t="shared" si="70"/>
        <v>-1.5546485064</v>
      </c>
      <c r="O867" s="66"/>
      <c r="P867" s="71">
        <f t="shared" si="67"/>
        <v>0</v>
      </c>
      <c r="Q867" s="132"/>
      <c r="R867" s="71">
        <f t="shared" si="68"/>
        <v>-2.6728587416666665</v>
      </c>
      <c r="S867" s="64"/>
    </row>
    <row r="868" spans="1:19">
      <c r="A868" s="64" t="s">
        <v>626</v>
      </c>
      <c r="B868" s="65" t="s">
        <v>1178</v>
      </c>
      <c r="C868" s="65" t="s">
        <v>1179</v>
      </c>
      <c r="D868" s="64" t="s">
        <v>1180</v>
      </c>
      <c r="E868" s="65" t="s">
        <v>260</v>
      </c>
      <c r="F868" s="64" t="s">
        <v>26</v>
      </c>
      <c r="G868" s="65" t="s">
        <v>20</v>
      </c>
      <c r="H868" s="65" t="s">
        <v>928</v>
      </c>
      <c r="I868" s="65">
        <v>201502</v>
      </c>
      <c r="J868" s="66">
        <v>-17.309999999999999</v>
      </c>
      <c r="K868" s="72">
        <f t="shared" si="69"/>
        <v>42675</v>
      </c>
      <c r="L868" s="67">
        <f t="shared" si="66"/>
        <v>6</v>
      </c>
      <c r="M868" s="68">
        <v>1.4833299999999999E-3</v>
      </c>
      <c r="N868" s="69">
        <f t="shared" si="70"/>
        <v>-0.1540586538</v>
      </c>
      <c r="O868" s="66"/>
      <c r="P868" s="71">
        <f t="shared" si="67"/>
        <v>0</v>
      </c>
      <c r="Q868" s="132"/>
      <c r="R868" s="71">
        <f t="shared" si="68"/>
        <v>-0.26486824374999995</v>
      </c>
      <c r="S868" s="64"/>
    </row>
    <row r="869" spans="1:19">
      <c r="A869" s="64" t="s">
        <v>626</v>
      </c>
      <c r="B869" s="65" t="s">
        <v>1268</v>
      </c>
      <c r="C869" s="65" t="s">
        <v>1269</v>
      </c>
      <c r="D869" s="64" t="s">
        <v>1270</v>
      </c>
      <c r="E869" s="65" t="s">
        <v>260</v>
      </c>
      <c r="F869" s="64" t="s">
        <v>26</v>
      </c>
      <c r="G869" s="65" t="s">
        <v>20</v>
      </c>
      <c r="H869" s="65" t="s">
        <v>928</v>
      </c>
      <c r="I869" s="65">
        <v>201502</v>
      </c>
      <c r="J869" s="66">
        <v>30154.54</v>
      </c>
      <c r="K869" s="72">
        <f t="shared" si="69"/>
        <v>42675</v>
      </c>
      <c r="L869" s="67">
        <f t="shared" si="66"/>
        <v>6</v>
      </c>
      <c r="M869" s="68">
        <v>1.4833299999999999E-3</v>
      </c>
      <c r="N869" s="69">
        <f t="shared" si="70"/>
        <v>268.37480290920001</v>
      </c>
      <c r="O869" s="66"/>
      <c r="P869" s="71">
        <f t="shared" si="67"/>
        <v>0</v>
      </c>
      <c r="Q869" s="132"/>
      <c r="R869" s="71">
        <f t="shared" si="68"/>
        <v>461.40843737083333</v>
      </c>
      <c r="S869" s="64"/>
    </row>
    <row r="870" spans="1:19">
      <c r="A870" s="64" t="s">
        <v>626</v>
      </c>
      <c r="B870" s="65" t="s">
        <v>1215</v>
      </c>
      <c r="C870" s="65" t="s">
        <v>1216</v>
      </c>
      <c r="D870" s="64" t="s">
        <v>1217</v>
      </c>
      <c r="E870" s="65" t="s">
        <v>102</v>
      </c>
      <c r="F870" s="64" t="s">
        <v>19</v>
      </c>
      <c r="G870" s="65" t="s">
        <v>20</v>
      </c>
      <c r="H870" s="65" t="s">
        <v>928</v>
      </c>
      <c r="I870" s="65">
        <v>201502</v>
      </c>
      <c r="J870" s="66">
        <v>2749.93</v>
      </c>
      <c r="K870" s="72">
        <f t="shared" si="69"/>
        <v>42675</v>
      </c>
      <c r="L870" s="67">
        <f t="shared" si="66"/>
        <v>6</v>
      </c>
      <c r="M870" s="68">
        <v>1.4833299999999999E-3</v>
      </c>
      <c r="N870" s="69">
        <f t="shared" si="70"/>
        <v>24.474322001399997</v>
      </c>
      <c r="O870" s="66"/>
      <c r="P870" s="71">
        <f t="shared" si="67"/>
        <v>0</v>
      </c>
      <c r="Q870" s="132"/>
      <c r="R870" s="71">
        <f t="shared" si="68"/>
        <v>42.077939314583325</v>
      </c>
      <c r="S870" s="64"/>
    </row>
    <row r="871" spans="1:19">
      <c r="A871" s="64" t="s">
        <v>626</v>
      </c>
      <c r="B871" s="65" t="s">
        <v>1271</v>
      </c>
      <c r="C871" s="65" t="s">
        <v>1272</v>
      </c>
      <c r="D871" s="64" t="s">
        <v>1273</v>
      </c>
      <c r="E871" s="65" t="s">
        <v>75</v>
      </c>
      <c r="F871" s="64" t="s">
        <v>26</v>
      </c>
      <c r="G871" s="65" t="s">
        <v>20</v>
      </c>
      <c r="H871" s="65" t="s">
        <v>928</v>
      </c>
      <c r="I871" s="65">
        <v>201502</v>
      </c>
      <c r="J871" s="66">
        <v>19363.54</v>
      </c>
      <c r="K871" s="72">
        <f t="shared" si="69"/>
        <v>42675</v>
      </c>
      <c r="L871" s="67">
        <f t="shared" si="66"/>
        <v>6</v>
      </c>
      <c r="M871" s="68">
        <v>1.4833299999999999E-3</v>
      </c>
      <c r="N871" s="69">
        <f t="shared" si="70"/>
        <v>172.33511872920002</v>
      </c>
      <c r="O871" s="66"/>
      <c r="P871" s="71">
        <f t="shared" si="67"/>
        <v>0</v>
      </c>
      <c r="Q871" s="132"/>
      <c r="R871" s="71">
        <f t="shared" si="68"/>
        <v>296.29040049583335</v>
      </c>
      <c r="S871" s="64"/>
    </row>
    <row r="872" spans="1:19">
      <c r="A872" s="64" t="s">
        <v>626</v>
      </c>
      <c r="B872" s="65" t="s">
        <v>1218</v>
      </c>
      <c r="C872" s="65" t="s">
        <v>1219</v>
      </c>
      <c r="D872" s="64" t="s">
        <v>1220</v>
      </c>
      <c r="E872" s="65" t="s">
        <v>809</v>
      </c>
      <c r="F872" s="64" t="s">
        <v>26</v>
      </c>
      <c r="G872" s="65" t="s">
        <v>20</v>
      </c>
      <c r="H872" s="65" t="s">
        <v>928</v>
      </c>
      <c r="I872" s="65">
        <v>201502</v>
      </c>
      <c r="J872" s="66">
        <v>8630.08</v>
      </c>
      <c r="K872" s="72">
        <f t="shared" si="69"/>
        <v>42675</v>
      </c>
      <c r="L872" s="67">
        <f t="shared" si="66"/>
        <v>6</v>
      </c>
      <c r="M872" s="68">
        <v>1.4833299999999999E-3</v>
      </c>
      <c r="N872" s="69">
        <f t="shared" si="70"/>
        <v>76.807539398399996</v>
      </c>
      <c r="O872" s="66"/>
      <c r="P872" s="71">
        <f t="shared" si="67"/>
        <v>0</v>
      </c>
      <c r="Q872" s="132"/>
      <c r="R872" s="71">
        <f t="shared" si="68"/>
        <v>132.05280953333332</v>
      </c>
      <c r="S872" s="64"/>
    </row>
    <row r="873" spans="1:19">
      <c r="A873" s="64" t="s">
        <v>626</v>
      </c>
      <c r="B873" s="65" t="s">
        <v>1181</v>
      </c>
      <c r="C873" s="65" t="s">
        <v>1182</v>
      </c>
      <c r="D873" s="64" t="s">
        <v>1183</v>
      </c>
      <c r="E873" s="65" t="s">
        <v>18</v>
      </c>
      <c r="F873" s="64" t="s">
        <v>19</v>
      </c>
      <c r="G873" s="65" t="s">
        <v>20</v>
      </c>
      <c r="H873" s="65" t="s">
        <v>928</v>
      </c>
      <c r="I873" s="65">
        <v>201502</v>
      </c>
      <c r="J873" s="66">
        <v>0</v>
      </c>
      <c r="K873" s="72">
        <f t="shared" si="69"/>
        <v>42675</v>
      </c>
      <c r="L873" s="67">
        <f t="shared" si="66"/>
        <v>6</v>
      </c>
      <c r="M873" s="68">
        <v>1.4833299999999999E-3</v>
      </c>
      <c r="N873" s="69">
        <f t="shared" si="70"/>
        <v>0</v>
      </c>
      <c r="O873" s="66"/>
      <c r="P873" s="71">
        <f t="shared" si="67"/>
        <v>0</v>
      </c>
      <c r="Q873" s="132"/>
      <c r="R873" s="71">
        <f t="shared" si="68"/>
        <v>0</v>
      </c>
      <c r="S873" s="64"/>
    </row>
    <row r="874" spans="1:19">
      <c r="A874" s="64" t="s">
        <v>626</v>
      </c>
      <c r="B874" s="65" t="s">
        <v>1274</v>
      </c>
      <c r="C874" s="65" t="s">
        <v>1275</v>
      </c>
      <c r="D874" s="64" t="s">
        <v>1276</v>
      </c>
      <c r="E874" s="65" t="s">
        <v>164</v>
      </c>
      <c r="F874" s="64" t="s">
        <v>165</v>
      </c>
      <c r="G874" s="65" t="s">
        <v>20</v>
      </c>
      <c r="H874" s="65" t="s">
        <v>928</v>
      </c>
      <c r="I874" s="65">
        <v>201502</v>
      </c>
      <c r="J874" s="66">
        <v>111629.67</v>
      </c>
      <c r="K874" s="72">
        <f t="shared" si="69"/>
        <v>42675</v>
      </c>
      <c r="L874" s="67">
        <f t="shared" si="66"/>
        <v>6</v>
      </c>
      <c r="M874" s="68">
        <v>1.4833299999999999E-3</v>
      </c>
      <c r="N874" s="69">
        <f t="shared" si="70"/>
        <v>993.50183040659999</v>
      </c>
      <c r="O874" s="66"/>
      <c r="P874" s="71">
        <f t="shared" si="67"/>
        <v>0</v>
      </c>
      <c r="Q874" s="132"/>
      <c r="R874" s="71">
        <f t="shared" si="68"/>
        <v>1708.0967442687499</v>
      </c>
      <c r="S874" s="64"/>
    </row>
    <row r="875" spans="1:19">
      <c r="A875" s="64" t="s">
        <v>21</v>
      </c>
      <c r="B875" s="65" t="s">
        <v>1221</v>
      </c>
      <c r="C875" s="65" t="s">
        <v>1222</v>
      </c>
      <c r="D875" s="64" t="s">
        <v>1223</v>
      </c>
      <c r="E875" s="65" t="s">
        <v>360</v>
      </c>
      <c r="F875" s="64" t="s">
        <v>19</v>
      </c>
      <c r="G875" s="65" t="s">
        <v>20</v>
      </c>
      <c r="H875" s="65" t="s">
        <v>928</v>
      </c>
      <c r="I875" s="65">
        <v>201502</v>
      </c>
      <c r="J875" s="66">
        <v>9463.41</v>
      </c>
      <c r="K875" s="72">
        <f t="shared" si="69"/>
        <v>42675</v>
      </c>
      <c r="L875" s="67">
        <f t="shared" si="66"/>
        <v>6</v>
      </c>
      <c r="M875" s="68">
        <v>1.4833299999999999E-3</v>
      </c>
      <c r="N875" s="69">
        <f t="shared" si="70"/>
        <v>84.2241597318</v>
      </c>
      <c r="O875" s="66"/>
      <c r="P875" s="71">
        <f t="shared" si="67"/>
        <v>0</v>
      </c>
      <c r="Q875" s="132"/>
      <c r="R875" s="71">
        <f t="shared" si="68"/>
        <v>144.80397380624999</v>
      </c>
      <c r="S875" s="64"/>
    </row>
    <row r="876" spans="1:19">
      <c r="A876" s="64" t="s">
        <v>626</v>
      </c>
      <c r="B876" s="65" t="s">
        <v>1184</v>
      </c>
      <c r="C876" s="65" t="s">
        <v>1185</v>
      </c>
      <c r="D876" s="64" t="s">
        <v>1186</v>
      </c>
      <c r="E876" s="65" t="s">
        <v>471</v>
      </c>
      <c r="F876" s="64" t="s">
        <v>165</v>
      </c>
      <c r="G876" s="65" t="s">
        <v>20</v>
      </c>
      <c r="H876" s="65" t="s">
        <v>928</v>
      </c>
      <c r="I876" s="65">
        <v>201502</v>
      </c>
      <c r="J876" s="66">
        <v>5567.08</v>
      </c>
      <c r="K876" s="72">
        <f t="shared" si="69"/>
        <v>42675</v>
      </c>
      <c r="L876" s="67">
        <f t="shared" si="66"/>
        <v>6</v>
      </c>
      <c r="M876" s="68">
        <v>1.4833299999999999E-3</v>
      </c>
      <c r="N876" s="69">
        <f t="shared" si="70"/>
        <v>49.546900658399998</v>
      </c>
      <c r="O876" s="66"/>
      <c r="P876" s="71">
        <f t="shared" si="67"/>
        <v>0</v>
      </c>
      <c r="Q876" s="132"/>
      <c r="R876" s="71">
        <f t="shared" si="68"/>
        <v>85.184442658333325</v>
      </c>
      <c r="S876" s="64"/>
    </row>
    <row r="877" spans="1:19">
      <c r="A877" s="64" t="s">
        <v>626</v>
      </c>
      <c r="B877" s="65" t="s">
        <v>1277</v>
      </c>
      <c r="C877" s="65" t="s">
        <v>1278</v>
      </c>
      <c r="D877" s="64" t="s">
        <v>1279</v>
      </c>
      <c r="E877" s="65" t="s">
        <v>471</v>
      </c>
      <c r="F877" s="64" t="s">
        <v>165</v>
      </c>
      <c r="G877" s="65" t="s">
        <v>20</v>
      </c>
      <c r="H877" s="65" t="s">
        <v>928</v>
      </c>
      <c r="I877" s="65">
        <v>201502</v>
      </c>
      <c r="J877" s="66">
        <v>196544.7</v>
      </c>
      <c r="K877" s="72">
        <f t="shared" si="69"/>
        <v>42675</v>
      </c>
      <c r="L877" s="67">
        <f t="shared" si="66"/>
        <v>6</v>
      </c>
      <c r="M877" s="68">
        <v>1.4833299999999999E-3</v>
      </c>
      <c r="N877" s="69">
        <f t="shared" si="70"/>
        <v>1749.2438991060001</v>
      </c>
      <c r="O877" s="66"/>
      <c r="P877" s="71">
        <f t="shared" si="67"/>
        <v>0</v>
      </c>
      <c r="Q877" s="132"/>
      <c r="R877" s="71">
        <f t="shared" si="68"/>
        <v>3007.4205376874997</v>
      </c>
      <c r="S877" s="64"/>
    </row>
    <row r="878" spans="1:19">
      <c r="A878" s="64" t="s">
        <v>626</v>
      </c>
      <c r="B878" s="65" t="s">
        <v>1224</v>
      </c>
      <c r="C878" s="65" t="s">
        <v>1225</v>
      </c>
      <c r="D878" s="64" t="s">
        <v>1226</v>
      </c>
      <c r="E878" s="65" t="s">
        <v>164</v>
      </c>
      <c r="F878" s="64" t="s">
        <v>165</v>
      </c>
      <c r="G878" s="65" t="s">
        <v>20</v>
      </c>
      <c r="H878" s="65" t="s">
        <v>928</v>
      </c>
      <c r="I878" s="65">
        <v>201502</v>
      </c>
      <c r="J878" s="66">
        <v>703.59</v>
      </c>
      <c r="K878" s="72">
        <f t="shared" si="69"/>
        <v>42675</v>
      </c>
      <c r="L878" s="67">
        <f t="shared" si="66"/>
        <v>6</v>
      </c>
      <c r="M878" s="68">
        <v>1.4833299999999999E-3</v>
      </c>
      <c r="N878" s="69">
        <f t="shared" si="70"/>
        <v>6.2619369281999999</v>
      </c>
      <c r="O878" s="66"/>
      <c r="P878" s="71">
        <f t="shared" si="67"/>
        <v>0</v>
      </c>
      <c r="Q878" s="132"/>
      <c r="R878" s="71">
        <f t="shared" si="68"/>
        <v>10.765953068749999</v>
      </c>
      <c r="S878" s="64"/>
    </row>
    <row r="879" spans="1:19">
      <c r="A879" s="64" t="s">
        <v>626</v>
      </c>
      <c r="B879" s="65" t="s">
        <v>1227</v>
      </c>
      <c r="C879" s="65" t="s">
        <v>1228</v>
      </c>
      <c r="D879" s="64" t="s">
        <v>1229</v>
      </c>
      <c r="E879" s="65" t="s">
        <v>280</v>
      </c>
      <c r="F879" s="64" t="s">
        <v>26</v>
      </c>
      <c r="G879" s="65" t="s">
        <v>20</v>
      </c>
      <c r="H879" s="65" t="s">
        <v>928</v>
      </c>
      <c r="I879" s="65">
        <v>201502</v>
      </c>
      <c r="J879" s="66">
        <v>-3184.31</v>
      </c>
      <c r="K879" s="72">
        <f t="shared" si="69"/>
        <v>42675</v>
      </c>
      <c r="L879" s="67">
        <f t="shared" si="66"/>
        <v>6</v>
      </c>
      <c r="M879" s="68">
        <v>1.4833299999999999E-3</v>
      </c>
      <c r="N879" s="69">
        <f t="shared" si="70"/>
        <v>-28.340295313799999</v>
      </c>
      <c r="O879" s="66"/>
      <c r="P879" s="71">
        <f t="shared" si="67"/>
        <v>0</v>
      </c>
      <c r="Q879" s="132"/>
      <c r="R879" s="71">
        <f t="shared" si="68"/>
        <v>-48.724586785416662</v>
      </c>
      <c r="S879" s="64"/>
    </row>
    <row r="880" spans="1:19">
      <c r="A880" s="64" t="s">
        <v>21</v>
      </c>
      <c r="B880" s="65" t="s">
        <v>1230</v>
      </c>
      <c r="C880" s="65" t="s">
        <v>1231</v>
      </c>
      <c r="D880" s="64" t="s">
        <v>1232</v>
      </c>
      <c r="E880" s="65" t="s">
        <v>63</v>
      </c>
      <c r="F880" s="64" t="s">
        <v>19</v>
      </c>
      <c r="G880" s="65" t="s">
        <v>20</v>
      </c>
      <c r="H880" s="65" t="s">
        <v>928</v>
      </c>
      <c r="I880" s="65">
        <v>201502</v>
      </c>
      <c r="J880" s="66">
        <v>-46.66</v>
      </c>
      <c r="K880" s="72">
        <f t="shared" si="69"/>
        <v>42675</v>
      </c>
      <c r="L880" s="67">
        <f t="shared" si="66"/>
        <v>6</v>
      </c>
      <c r="M880" s="68">
        <v>1.4833299999999999E-3</v>
      </c>
      <c r="N880" s="69">
        <f t="shared" si="70"/>
        <v>-0.41527306679999998</v>
      </c>
      <c r="O880" s="66"/>
      <c r="P880" s="71">
        <f t="shared" si="67"/>
        <v>0</v>
      </c>
      <c r="Q880" s="132"/>
      <c r="R880" s="71">
        <f t="shared" si="68"/>
        <v>-0.71396604583333323</v>
      </c>
      <c r="S880" s="64"/>
    </row>
    <row r="881" spans="1:19">
      <c r="A881" s="64" t="s">
        <v>626</v>
      </c>
      <c r="B881" s="65" t="s">
        <v>1280</v>
      </c>
      <c r="C881" s="65" t="s">
        <v>1281</v>
      </c>
      <c r="D881" s="64" t="s">
        <v>1282</v>
      </c>
      <c r="E881" s="65" t="s">
        <v>164</v>
      </c>
      <c r="F881" s="64" t="s">
        <v>165</v>
      </c>
      <c r="G881" s="65" t="s">
        <v>20</v>
      </c>
      <c r="H881" s="65" t="s">
        <v>928</v>
      </c>
      <c r="I881" s="65">
        <v>201502</v>
      </c>
      <c r="J881" s="66">
        <v>18792.990000000002</v>
      </c>
      <c r="K881" s="72">
        <f t="shared" si="69"/>
        <v>42675</v>
      </c>
      <c r="L881" s="67">
        <f t="shared" si="66"/>
        <v>6</v>
      </c>
      <c r="M881" s="68">
        <v>1.4833299999999999E-3</v>
      </c>
      <c r="N881" s="69">
        <f t="shared" si="70"/>
        <v>167.25723514020001</v>
      </c>
      <c r="O881" s="66"/>
      <c r="P881" s="71">
        <f t="shared" si="67"/>
        <v>0</v>
      </c>
      <c r="Q881" s="132"/>
      <c r="R881" s="71">
        <f t="shared" si="68"/>
        <v>287.56015344374998</v>
      </c>
      <c r="S881" s="64"/>
    </row>
    <row r="882" spans="1:19">
      <c r="A882" s="64" t="s">
        <v>21</v>
      </c>
      <c r="B882" s="65" t="s">
        <v>1233</v>
      </c>
      <c r="C882" s="65" t="s">
        <v>1234</v>
      </c>
      <c r="D882" s="64" t="s">
        <v>1235</v>
      </c>
      <c r="E882" s="65" t="s">
        <v>172</v>
      </c>
      <c r="F882" s="64" t="s">
        <v>173</v>
      </c>
      <c r="G882" s="65" t="s">
        <v>20</v>
      </c>
      <c r="H882" s="65" t="s">
        <v>928</v>
      </c>
      <c r="I882" s="65">
        <v>201502</v>
      </c>
      <c r="J882" s="66">
        <v>-1314.05</v>
      </c>
      <c r="K882" s="72">
        <f t="shared" si="69"/>
        <v>42675</v>
      </c>
      <c r="L882" s="67">
        <f t="shared" si="66"/>
        <v>6</v>
      </c>
      <c r="M882" s="68">
        <v>1.4833299999999999E-3</v>
      </c>
      <c r="N882" s="69">
        <f t="shared" si="70"/>
        <v>-11.695018719</v>
      </c>
      <c r="O882" s="66"/>
      <c r="P882" s="71">
        <f t="shared" si="67"/>
        <v>0</v>
      </c>
      <c r="Q882" s="132"/>
      <c r="R882" s="71">
        <f t="shared" si="68"/>
        <v>-20.106881322916664</v>
      </c>
      <c r="S882" s="64"/>
    </row>
    <row r="883" spans="1:19">
      <c r="A883" s="64" t="s">
        <v>626</v>
      </c>
      <c r="B883" s="65" t="s">
        <v>1283</v>
      </c>
      <c r="C883" s="65" t="s">
        <v>1284</v>
      </c>
      <c r="D883" s="64" t="s">
        <v>1285</v>
      </c>
      <c r="E883" s="65" t="s">
        <v>809</v>
      </c>
      <c r="F883" s="64" t="s">
        <v>26</v>
      </c>
      <c r="G883" s="65" t="s">
        <v>20</v>
      </c>
      <c r="H883" s="65" t="s">
        <v>928</v>
      </c>
      <c r="I883" s="65">
        <v>201502</v>
      </c>
      <c r="J883" s="66">
        <v>9861.58</v>
      </c>
      <c r="K883" s="72">
        <f t="shared" si="69"/>
        <v>42675</v>
      </c>
      <c r="L883" s="67">
        <f t="shared" si="66"/>
        <v>6</v>
      </c>
      <c r="M883" s="68">
        <v>1.4833299999999999E-3</v>
      </c>
      <c r="N883" s="69">
        <f t="shared" si="70"/>
        <v>87.767864768400003</v>
      </c>
      <c r="O883" s="66"/>
      <c r="P883" s="71">
        <f t="shared" si="67"/>
        <v>0</v>
      </c>
      <c r="Q883" s="132"/>
      <c r="R883" s="71">
        <f t="shared" si="68"/>
        <v>150.89655547083331</v>
      </c>
      <c r="S883" s="64"/>
    </row>
    <row r="884" spans="1:19">
      <c r="A884" s="64" t="s">
        <v>21</v>
      </c>
      <c r="B884" s="65" t="s">
        <v>84</v>
      </c>
      <c r="C884" s="65" t="s">
        <v>85</v>
      </c>
      <c r="D884" s="64" t="s">
        <v>86</v>
      </c>
      <c r="E884" s="65" t="s">
        <v>87</v>
      </c>
      <c r="F884" s="64" t="s">
        <v>88</v>
      </c>
      <c r="G884" s="65" t="s">
        <v>20</v>
      </c>
      <c r="H884" s="65" t="s">
        <v>929</v>
      </c>
      <c r="I884" s="65">
        <v>201502</v>
      </c>
      <c r="J884" s="66">
        <v>-179.96</v>
      </c>
      <c r="K884" s="72">
        <f t="shared" si="69"/>
        <v>42675</v>
      </c>
      <c r="L884" s="67">
        <f t="shared" ref="L884:L922" si="71">((YEAR($L$1)-YEAR(K884))*12+MONTH($L$1)-MONTH(K884))</f>
        <v>6</v>
      </c>
      <c r="M884" s="68">
        <v>1.4833299999999999E-3</v>
      </c>
      <c r="N884" s="69">
        <f t="shared" si="70"/>
        <v>-1.6016404008</v>
      </c>
      <c r="O884" s="66"/>
      <c r="P884" s="71">
        <f t="shared" si="67"/>
        <v>0</v>
      </c>
      <c r="Q884" s="132"/>
      <c r="R884" s="71">
        <f t="shared" si="68"/>
        <v>-2.7536504416666667</v>
      </c>
      <c r="S884" s="64"/>
    </row>
    <row r="885" spans="1:19">
      <c r="A885" s="64" t="s">
        <v>21</v>
      </c>
      <c r="B885" s="65" t="s">
        <v>1286</v>
      </c>
      <c r="C885" s="65" t="s">
        <v>1287</v>
      </c>
      <c r="D885" s="64" t="s">
        <v>1288</v>
      </c>
      <c r="E885" s="65" t="s">
        <v>93</v>
      </c>
      <c r="F885" s="64" t="s">
        <v>88</v>
      </c>
      <c r="G885" s="65" t="s">
        <v>20</v>
      </c>
      <c r="H885" s="65" t="s">
        <v>929</v>
      </c>
      <c r="I885" s="65">
        <v>201502</v>
      </c>
      <c r="J885" s="66">
        <v>137127.51</v>
      </c>
      <c r="K885" s="72">
        <f t="shared" si="69"/>
        <v>42675</v>
      </c>
      <c r="L885" s="67">
        <f t="shared" si="71"/>
        <v>6</v>
      </c>
      <c r="M885" s="68">
        <v>1.4833299999999999E-3</v>
      </c>
      <c r="N885" s="69">
        <f t="shared" si="70"/>
        <v>1220.4320964498002</v>
      </c>
      <c r="O885" s="66"/>
      <c r="P885" s="71">
        <f t="shared" ref="P885:P922" si="72">$P$627*0.5*J885*$U$12</f>
        <v>0</v>
      </c>
      <c r="Q885" s="132"/>
      <c r="R885" s="71">
        <f t="shared" ref="R885:R922" si="73">$R$627*0.5*J885*$U$12</f>
        <v>2098.2508806187498</v>
      </c>
      <c r="S885" s="64"/>
    </row>
    <row r="886" spans="1:19">
      <c r="A886" s="64" t="s">
        <v>626</v>
      </c>
      <c r="B886" s="65" t="s">
        <v>741</v>
      </c>
      <c r="C886" s="65" t="s">
        <v>742</v>
      </c>
      <c r="D886" s="64" t="s">
        <v>743</v>
      </c>
      <c r="E886" s="65" t="s">
        <v>415</v>
      </c>
      <c r="F886" s="64" t="s">
        <v>88</v>
      </c>
      <c r="G886" s="65" t="s">
        <v>20</v>
      </c>
      <c r="H886" s="65" t="s">
        <v>929</v>
      </c>
      <c r="I886" s="65">
        <v>201502</v>
      </c>
      <c r="J886" s="66">
        <v>-23.99</v>
      </c>
      <c r="K886" s="72">
        <f t="shared" ref="K886:K922" si="74">+K885</f>
        <v>42675</v>
      </c>
      <c r="L886" s="67">
        <f t="shared" si="71"/>
        <v>6</v>
      </c>
      <c r="M886" s="68">
        <v>1.4833299999999999E-3</v>
      </c>
      <c r="N886" s="69">
        <f t="shared" si="70"/>
        <v>-0.2135105202</v>
      </c>
      <c r="O886" s="66"/>
      <c r="P886" s="71">
        <f t="shared" si="72"/>
        <v>0</v>
      </c>
      <c r="Q886" s="132"/>
      <c r="R886" s="71">
        <f t="shared" si="73"/>
        <v>-0.36708198541666659</v>
      </c>
      <c r="S886" s="64"/>
    </row>
    <row r="887" spans="1:19">
      <c r="A887" s="64" t="s">
        <v>21</v>
      </c>
      <c r="B887" s="65" t="s">
        <v>1072</v>
      </c>
      <c r="C887" s="65" t="s">
        <v>1073</v>
      </c>
      <c r="D887" s="64" t="s">
        <v>1074</v>
      </c>
      <c r="E887" s="65" t="s">
        <v>857</v>
      </c>
      <c r="F887" s="64" t="s">
        <v>88</v>
      </c>
      <c r="G887" s="65" t="s">
        <v>20</v>
      </c>
      <c r="H887" s="65" t="s">
        <v>929</v>
      </c>
      <c r="I887" s="65">
        <v>201502</v>
      </c>
      <c r="J887" s="66">
        <v>-1278.56</v>
      </c>
      <c r="K887" s="72">
        <f t="shared" si="74"/>
        <v>42675</v>
      </c>
      <c r="L887" s="67">
        <f t="shared" si="71"/>
        <v>6</v>
      </c>
      <c r="M887" s="68">
        <v>1.4833299999999999E-3</v>
      </c>
      <c r="N887" s="69">
        <f t="shared" si="70"/>
        <v>-11.3791584288</v>
      </c>
      <c r="O887" s="66"/>
      <c r="P887" s="71">
        <f t="shared" si="72"/>
        <v>0</v>
      </c>
      <c r="Q887" s="132"/>
      <c r="R887" s="71">
        <f t="shared" si="73"/>
        <v>-19.563832566666662</v>
      </c>
      <c r="S887" s="64"/>
    </row>
    <row r="888" spans="1:19">
      <c r="A888" s="64" t="s">
        <v>21</v>
      </c>
      <c r="B888" s="65" t="s">
        <v>449</v>
      </c>
      <c r="C888" s="65" t="s">
        <v>450</v>
      </c>
      <c r="D888" s="64" t="s">
        <v>451</v>
      </c>
      <c r="E888" s="65" t="s">
        <v>452</v>
      </c>
      <c r="F888" s="64" t="s">
        <v>398</v>
      </c>
      <c r="G888" s="65" t="s">
        <v>20</v>
      </c>
      <c r="H888" s="65" t="s">
        <v>929</v>
      </c>
      <c r="I888" s="65">
        <v>201502</v>
      </c>
      <c r="J888" s="66">
        <v>-125.25</v>
      </c>
      <c r="K888" s="72">
        <f t="shared" si="74"/>
        <v>42675</v>
      </c>
      <c r="L888" s="67">
        <f t="shared" si="71"/>
        <v>6</v>
      </c>
      <c r="M888" s="68">
        <v>1.4833299999999999E-3</v>
      </c>
      <c r="N888" s="69">
        <f t="shared" si="70"/>
        <v>-1.1147224950000001</v>
      </c>
      <c r="O888" s="66"/>
      <c r="P888" s="71">
        <f t="shared" si="72"/>
        <v>0</v>
      </c>
      <c r="Q888" s="132"/>
      <c r="R888" s="71">
        <f t="shared" si="73"/>
        <v>-1.9165076562499996</v>
      </c>
      <c r="S888" s="64"/>
    </row>
    <row r="889" spans="1:19">
      <c r="A889" s="64" t="s">
        <v>127</v>
      </c>
      <c r="B889" s="65" t="s">
        <v>1032</v>
      </c>
      <c r="C889" s="65" t="s">
        <v>1033</v>
      </c>
      <c r="D889" s="64" t="s">
        <v>1034</v>
      </c>
      <c r="E889" s="65" t="s">
        <v>209</v>
      </c>
      <c r="F889" s="64" t="s">
        <v>88</v>
      </c>
      <c r="G889" s="65" t="s">
        <v>20</v>
      </c>
      <c r="H889" s="65" t="s">
        <v>929</v>
      </c>
      <c r="I889" s="65">
        <v>201502</v>
      </c>
      <c r="J889" s="66">
        <v>-38.49</v>
      </c>
      <c r="K889" s="72">
        <f t="shared" si="74"/>
        <v>42675</v>
      </c>
      <c r="L889" s="67">
        <f t="shared" si="71"/>
        <v>6</v>
      </c>
      <c r="M889" s="68">
        <v>2.3833299999999999E-3</v>
      </c>
      <c r="N889" s="69">
        <f t="shared" si="70"/>
        <v>-0.55040623020000001</v>
      </c>
      <c r="O889" s="66"/>
      <c r="P889" s="71">
        <f t="shared" si="72"/>
        <v>0</v>
      </c>
      <c r="Q889" s="132"/>
      <c r="R889" s="71">
        <f t="shared" si="73"/>
        <v>-0.58895313125000004</v>
      </c>
      <c r="S889" s="64"/>
    </row>
    <row r="890" spans="1:19">
      <c r="A890" s="64" t="s">
        <v>626</v>
      </c>
      <c r="B890" s="65" t="s">
        <v>630</v>
      </c>
      <c r="C890" s="65" t="s">
        <v>631</v>
      </c>
      <c r="D890" s="64" t="s">
        <v>632</v>
      </c>
      <c r="E890" s="65" t="s">
        <v>613</v>
      </c>
      <c r="F890" s="64" t="s">
        <v>398</v>
      </c>
      <c r="G890" s="65" t="s">
        <v>20</v>
      </c>
      <c r="H890" s="65" t="s">
        <v>929</v>
      </c>
      <c r="I890" s="65">
        <v>201502</v>
      </c>
      <c r="J890" s="66">
        <v>479.37</v>
      </c>
      <c r="K890" s="72">
        <f t="shared" si="74"/>
        <v>42675</v>
      </c>
      <c r="L890" s="67">
        <f t="shared" si="71"/>
        <v>6</v>
      </c>
      <c r="M890" s="68">
        <v>1.4833299999999999E-3</v>
      </c>
      <c r="N890" s="69">
        <f t="shared" si="70"/>
        <v>4.2663834125999998</v>
      </c>
      <c r="O890" s="66"/>
      <c r="P890" s="71">
        <f t="shared" si="72"/>
        <v>0</v>
      </c>
      <c r="Q890" s="132"/>
      <c r="R890" s="71">
        <f t="shared" si="73"/>
        <v>7.3350600812499991</v>
      </c>
      <c r="S890" s="64"/>
    </row>
    <row r="891" spans="1:19">
      <c r="A891" s="64" t="s">
        <v>21</v>
      </c>
      <c r="B891" s="65" t="s">
        <v>938</v>
      </c>
      <c r="C891" s="65" t="s">
        <v>939</v>
      </c>
      <c r="D891" s="64" t="s">
        <v>940</v>
      </c>
      <c r="E891" s="65" t="s">
        <v>209</v>
      </c>
      <c r="F891" s="64" t="s">
        <v>88</v>
      </c>
      <c r="G891" s="65" t="s">
        <v>20</v>
      </c>
      <c r="H891" s="65" t="s">
        <v>929</v>
      </c>
      <c r="I891" s="65">
        <v>201502</v>
      </c>
      <c r="J891" s="66">
        <v>-0.65</v>
      </c>
      <c r="K891" s="72">
        <f t="shared" si="74"/>
        <v>42675</v>
      </c>
      <c r="L891" s="67">
        <f t="shared" si="71"/>
        <v>6</v>
      </c>
      <c r="M891" s="68">
        <v>1.4833299999999999E-3</v>
      </c>
      <c r="N891" s="69">
        <f t="shared" si="70"/>
        <v>-5.7849870000000001E-3</v>
      </c>
      <c r="O891" s="66"/>
      <c r="P891" s="71">
        <f t="shared" si="72"/>
        <v>0</v>
      </c>
      <c r="Q891" s="132"/>
      <c r="R891" s="71">
        <f t="shared" si="73"/>
        <v>-9.9459479166666663E-3</v>
      </c>
      <c r="S891" s="64"/>
    </row>
    <row r="892" spans="1:19">
      <c r="A892" s="64" t="s">
        <v>626</v>
      </c>
      <c r="B892" s="65" t="s">
        <v>938</v>
      </c>
      <c r="C892" s="65" t="s">
        <v>939</v>
      </c>
      <c r="D892" s="64" t="s">
        <v>940</v>
      </c>
      <c r="E892" s="65" t="s">
        <v>209</v>
      </c>
      <c r="F892" s="64" t="s">
        <v>88</v>
      </c>
      <c r="G892" s="65" t="s">
        <v>20</v>
      </c>
      <c r="H892" s="65" t="s">
        <v>929</v>
      </c>
      <c r="I892" s="65">
        <v>201502</v>
      </c>
      <c r="J892" s="66">
        <v>-47.83</v>
      </c>
      <c r="K892" s="72">
        <f t="shared" si="74"/>
        <v>42675</v>
      </c>
      <c r="L892" s="67">
        <f t="shared" si="71"/>
        <v>6</v>
      </c>
      <c r="M892" s="68">
        <v>1.4833299999999999E-3</v>
      </c>
      <c r="N892" s="69">
        <f t="shared" si="70"/>
        <v>-0.42568604339999999</v>
      </c>
      <c r="O892" s="66"/>
      <c r="P892" s="71">
        <f t="shared" si="72"/>
        <v>0</v>
      </c>
      <c r="Q892" s="132"/>
      <c r="R892" s="71">
        <f t="shared" si="73"/>
        <v>-0.73186875208333324</v>
      </c>
      <c r="S892" s="64"/>
    </row>
    <row r="893" spans="1:19">
      <c r="A893" s="64" t="s">
        <v>21</v>
      </c>
      <c r="B893" s="65" t="s">
        <v>1118</v>
      </c>
      <c r="C893" s="65" t="s">
        <v>1119</v>
      </c>
      <c r="D893" s="64" t="s">
        <v>1120</v>
      </c>
      <c r="E893" s="65" t="s">
        <v>93</v>
      </c>
      <c r="F893" s="64" t="s">
        <v>88</v>
      </c>
      <c r="G893" s="65" t="s">
        <v>20</v>
      </c>
      <c r="H893" s="65" t="s">
        <v>929</v>
      </c>
      <c r="I893" s="65">
        <v>201502</v>
      </c>
      <c r="J893" s="66">
        <v>-5.35</v>
      </c>
      <c r="K893" s="72">
        <f t="shared" si="74"/>
        <v>42675</v>
      </c>
      <c r="L893" s="67">
        <f t="shared" si="71"/>
        <v>6</v>
      </c>
      <c r="M893" s="68">
        <v>1.4833299999999999E-3</v>
      </c>
      <c r="N893" s="69">
        <f t="shared" si="70"/>
        <v>-4.7614892999999998E-2</v>
      </c>
      <c r="O893" s="66"/>
      <c r="P893" s="71">
        <f t="shared" si="72"/>
        <v>0</v>
      </c>
      <c r="Q893" s="132"/>
      <c r="R893" s="71">
        <f t="shared" si="73"/>
        <v>-8.1862802083333325E-2</v>
      </c>
      <c r="S893" s="64"/>
    </row>
    <row r="894" spans="1:19">
      <c r="A894" s="64" t="s">
        <v>21</v>
      </c>
      <c r="B894" s="65" t="s">
        <v>1124</v>
      </c>
      <c r="C894" s="65" t="s">
        <v>1125</v>
      </c>
      <c r="D894" s="64" t="s">
        <v>1126</v>
      </c>
      <c r="E894" s="65" t="s">
        <v>87</v>
      </c>
      <c r="F894" s="64" t="s">
        <v>88</v>
      </c>
      <c r="G894" s="65" t="s">
        <v>20</v>
      </c>
      <c r="H894" s="65" t="s">
        <v>929</v>
      </c>
      <c r="I894" s="65">
        <v>201502</v>
      </c>
      <c r="J894" s="66">
        <v>-124.48</v>
      </c>
      <c r="K894" s="72">
        <f t="shared" si="74"/>
        <v>42675</v>
      </c>
      <c r="L894" s="67">
        <f t="shared" si="71"/>
        <v>6</v>
      </c>
      <c r="M894" s="68">
        <v>1.4833299999999999E-3</v>
      </c>
      <c r="N894" s="69">
        <f t="shared" si="70"/>
        <v>-1.1078695104</v>
      </c>
      <c r="O894" s="66"/>
      <c r="P894" s="71">
        <f t="shared" si="72"/>
        <v>0</v>
      </c>
      <c r="Q894" s="132"/>
      <c r="R894" s="71">
        <f t="shared" si="73"/>
        <v>-1.9047255333333333</v>
      </c>
      <c r="S894" s="64"/>
    </row>
    <row r="895" spans="1:19">
      <c r="A895" s="64" t="s">
        <v>21</v>
      </c>
      <c r="B895" s="65" t="s">
        <v>1127</v>
      </c>
      <c r="C895" s="65" t="s">
        <v>1128</v>
      </c>
      <c r="D895" s="64" t="s">
        <v>1129</v>
      </c>
      <c r="E895" s="65" t="s">
        <v>87</v>
      </c>
      <c r="F895" s="64" t="s">
        <v>88</v>
      </c>
      <c r="G895" s="65" t="s">
        <v>20</v>
      </c>
      <c r="H895" s="65" t="s">
        <v>929</v>
      </c>
      <c r="I895" s="65">
        <v>201502</v>
      </c>
      <c r="J895" s="66">
        <v>-4653.87</v>
      </c>
      <c r="K895" s="72">
        <f t="shared" si="74"/>
        <v>42675</v>
      </c>
      <c r="L895" s="67">
        <f t="shared" si="71"/>
        <v>6</v>
      </c>
      <c r="M895" s="68">
        <v>1.4833299999999999E-3</v>
      </c>
      <c r="N895" s="69">
        <f t="shared" si="70"/>
        <v>-41.419349922599999</v>
      </c>
      <c r="O895" s="66"/>
      <c r="P895" s="71">
        <f t="shared" si="72"/>
        <v>0</v>
      </c>
      <c r="Q895" s="132"/>
      <c r="R895" s="71">
        <f t="shared" si="73"/>
        <v>-71.21099789374999</v>
      </c>
      <c r="S895" s="64"/>
    </row>
    <row r="896" spans="1:19">
      <c r="A896" s="64" t="s">
        <v>21</v>
      </c>
      <c r="B896" s="65" t="s">
        <v>870</v>
      </c>
      <c r="C896" s="65" t="s">
        <v>871</v>
      </c>
      <c r="D896" s="64" t="s">
        <v>872</v>
      </c>
      <c r="E896" s="65" t="s">
        <v>873</v>
      </c>
      <c r="F896" s="64" t="s">
        <v>874</v>
      </c>
      <c r="G896" s="65" t="s">
        <v>20</v>
      </c>
      <c r="H896" s="65" t="s">
        <v>929</v>
      </c>
      <c r="I896" s="65">
        <v>201502</v>
      </c>
      <c r="J896" s="66">
        <v>-13.32</v>
      </c>
      <c r="K896" s="72">
        <f t="shared" si="74"/>
        <v>42675</v>
      </c>
      <c r="L896" s="67">
        <f t="shared" si="71"/>
        <v>6</v>
      </c>
      <c r="M896" s="68">
        <v>1.4833299999999999E-3</v>
      </c>
      <c r="N896" s="69">
        <f t="shared" si="70"/>
        <v>-0.1185477336</v>
      </c>
      <c r="O896" s="66"/>
      <c r="P896" s="71">
        <f t="shared" si="72"/>
        <v>0</v>
      </c>
      <c r="Q896" s="132"/>
      <c r="R896" s="71">
        <f t="shared" si="73"/>
        <v>-0.20381542499999999</v>
      </c>
      <c r="S896" s="64"/>
    </row>
    <row r="897" spans="1:19">
      <c r="A897" s="64" t="s">
        <v>626</v>
      </c>
      <c r="B897" s="65" t="s">
        <v>848</v>
      </c>
      <c r="C897" s="65" t="s">
        <v>849</v>
      </c>
      <c r="D897" s="64" t="s">
        <v>850</v>
      </c>
      <c r="E897" s="65" t="s">
        <v>93</v>
      </c>
      <c r="F897" s="64" t="s">
        <v>88</v>
      </c>
      <c r="G897" s="65" t="s">
        <v>20</v>
      </c>
      <c r="H897" s="65" t="s">
        <v>929</v>
      </c>
      <c r="I897" s="65">
        <v>201502</v>
      </c>
      <c r="J897" s="66">
        <v>54.07</v>
      </c>
      <c r="K897" s="72">
        <f t="shared" si="74"/>
        <v>42675</v>
      </c>
      <c r="L897" s="67">
        <f t="shared" si="71"/>
        <v>6</v>
      </c>
      <c r="M897" s="68">
        <v>1.4833299999999999E-3</v>
      </c>
      <c r="N897" s="69">
        <f t="shared" si="70"/>
        <v>0.48122191860000002</v>
      </c>
      <c r="O897" s="66"/>
      <c r="P897" s="71">
        <f t="shared" si="72"/>
        <v>0</v>
      </c>
      <c r="Q897" s="132"/>
      <c r="R897" s="71">
        <f t="shared" si="73"/>
        <v>0.82734985208333334</v>
      </c>
      <c r="S897" s="64"/>
    </row>
    <row r="898" spans="1:19">
      <c r="A898" s="64" t="s">
        <v>626</v>
      </c>
      <c r="B898" s="65" t="s">
        <v>1136</v>
      </c>
      <c r="C898" s="65" t="s">
        <v>1137</v>
      </c>
      <c r="D898" s="64" t="s">
        <v>1138</v>
      </c>
      <c r="E898" s="65" t="s">
        <v>962</v>
      </c>
      <c r="F898" s="64" t="s">
        <v>88</v>
      </c>
      <c r="G898" s="65" t="s">
        <v>20</v>
      </c>
      <c r="H898" s="65" t="s">
        <v>929</v>
      </c>
      <c r="I898" s="65">
        <v>201502</v>
      </c>
      <c r="J898" s="66">
        <v>9930.83</v>
      </c>
      <c r="K898" s="72">
        <f t="shared" si="74"/>
        <v>42675</v>
      </c>
      <c r="L898" s="67">
        <f t="shared" si="71"/>
        <v>6</v>
      </c>
      <c r="M898" s="68">
        <v>1.4833299999999999E-3</v>
      </c>
      <c r="N898" s="69">
        <f t="shared" si="70"/>
        <v>88.384188383400001</v>
      </c>
      <c r="O898" s="66"/>
      <c r="P898" s="71">
        <f t="shared" si="72"/>
        <v>0</v>
      </c>
      <c r="Q898" s="132"/>
      <c r="R898" s="71">
        <f t="shared" si="73"/>
        <v>151.95618146041664</v>
      </c>
      <c r="S898" s="64"/>
    </row>
    <row r="899" spans="1:19">
      <c r="A899" s="64" t="s">
        <v>626</v>
      </c>
      <c r="B899" s="65" t="s">
        <v>1088</v>
      </c>
      <c r="C899" s="65" t="s">
        <v>1089</v>
      </c>
      <c r="D899" s="64" t="s">
        <v>1090</v>
      </c>
      <c r="E899" s="65" t="s">
        <v>415</v>
      </c>
      <c r="F899" s="64" t="s">
        <v>88</v>
      </c>
      <c r="G899" s="65" t="s">
        <v>20</v>
      </c>
      <c r="H899" s="65" t="s">
        <v>929</v>
      </c>
      <c r="I899" s="65">
        <v>201502</v>
      </c>
      <c r="J899" s="66">
        <v>2559.34</v>
      </c>
      <c r="K899" s="72">
        <f t="shared" si="74"/>
        <v>42675</v>
      </c>
      <c r="L899" s="67">
        <f t="shared" si="71"/>
        <v>6</v>
      </c>
      <c r="M899" s="68">
        <v>1.4833299999999999E-3</v>
      </c>
      <c r="N899" s="69">
        <f t="shared" si="70"/>
        <v>22.7780748132</v>
      </c>
      <c r="O899" s="66"/>
      <c r="P899" s="71">
        <f t="shared" si="72"/>
        <v>0</v>
      </c>
      <c r="Q899" s="132"/>
      <c r="R899" s="71">
        <f t="shared" si="73"/>
        <v>39.161634370833333</v>
      </c>
      <c r="S899" s="64"/>
    </row>
    <row r="900" spans="1:19">
      <c r="A900" s="64" t="s">
        <v>21</v>
      </c>
      <c r="B900" s="65" t="s">
        <v>1145</v>
      </c>
      <c r="C900" s="65" t="s">
        <v>1146</v>
      </c>
      <c r="D900" s="64" t="s">
        <v>1147</v>
      </c>
      <c r="E900" s="65" t="s">
        <v>962</v>
      </c>
      <c r="F900" s="64" t="s">
        <v>88</v>
      </c>
      <c r="G900" s="65" t="s">
        <v>20</v>
      </c>
      <c r="H900" s="65" t="s">
        <v>929</v>
      </c>
      <c r="I900" s="65">
        <v>201502</v>
      </c>
      <c r="J900" s="66">
        <v>3353.87</v>
      </c>
      <c r="K900" s="72">
        <f t="shared" si="74"/>
        <v>42675</v>
      </c>
      <c r="L900" s="67">
        <f t="shared" si="71"/>
        <v>6</v>
      </c>
      <c r="M900" s="68">
        <v>1.4833299999999999E-3</v>
      </c>
      <c r="N900" s="69">
        <f t="shared" si="70"/>
        <v>29.8493759226</v>
      </c>
      <c r="O900" s="66"/>
      <c r="P900" s="71">
        <f t="shared" si="72"/>
        <v>0</v>
      </c>
      <c r="Q900" s="132"/>
      <c r="R900" s="71">
        <f t="shared" si="73"/>
        <v>51.319102060416661</v>
      </c>
      <c r="S900" s="64"/>
    </row>
    <row r="901" spans="1:19">
      <c r="A901" s="64" t="s">
        <v>626</v>
      </c>
      <c r="B901" s="65" t="s">
        <v>1091</v>
      </c>
      <c r="C901" s="65" t="s">
        <v>1092</v>
      </c>
      <c r="D901" s="64" t="s">
        <v>1093</v>
      </c>
      <c r="E901" s="65" t="s">
        <v>962</v>
      </c>
      <c r="F901" s="64" t="s">
        <v>88</v>
      </c>
      <c r="G901" s="65" t="s">
        <v>20</v>
      </c>
      <c r="H901" s="65" t="s">
        <v>929</v>
      </c>
      <c r="I901" s="65">
        <v>201502</v>
      </c>
      <c r="J901" s="66">
        <v>-1192.06</v>
      </c>
      <c r="K901" s="72">
        <f t="shared" si="74"/>
        <v>42675</v>
      </c>
      <c r="L901" s="67">
        <f t="shared" si="71"/>
        <v>6</v>
      </c>
      <c r="M901" s="68">
        <v>1.4833299999999999E-3</v>
      </c>
      <c r="N901" s="69">
        <f t="shared" si="70"/>
        <v>-10.6093101588</v>
      </c>
      <c r="O901" s="66"/>
      <c r="P901" s="71">
        <f t="shared" si="72"/>
        <v>0</v>
      </c>
      <c r="Q901" s="132"/>
      <c r="R901" s="71">
        <f t="shared" si="73"/>
        <v>-18.24025642083333</v>
      </c>
      <c r="S901" s="64"/>
    </row>
    <row r="902" spans="1:19">
      <c r="A902" s="64" t="s">
        <v>21</v>
      </c>
      <c r="B902" s="65" t="s">
        <v>1289</v>
      </c>
      <c r="C902" s="65" t="s">
        <v>1290</v>
      </c>
      <c r="D902" s="64" t="s">
        <v>1291</v>
      </c>
      <c r="E902" s="65" t="s">
        <v>209</v>
      </c>
      <c r="F902" s="64" t="s">
        <v>88</v>
      </c>
      <c r="G902" s="65" t="s">
        <v>20</v>
      </c>
      <c r="H902" s="65" t="s">
        <v>929</v>
      </c>
      <c r="I902" s="65">
        <v>201502</v>
      </c>
      <c r="J902" s="66">
        <v>5271.89</v>
      </c>
      <c r="K902" s="72">
        <f t="shared" si="74"/>
        <v>42675</v>
      </c>
      <c r="L902" s="67">
        <f t="shared" si="71"/>
        <v>6</v>
      </c>
      <c r="M902" s="68">
        <v>1.4833299999999999E-3</v>
      </c>
      <c r="N902" s="69">
        <f t="shared" si="70"/>
        <v>46.919715562200004</v>
      </c>
      <c r="O902" s="66"/>
      <c r="P902" s="71">
        <f t="shared" si="72"/>
        <v>0</v>
      </c>
      <c r="Q902" s="132"/>
      <c r="R902" s="71">
        <f t="shared" si="73"/>
        <v>80.667605172916666</v>
      </c>
      <c r="S902" s="64"/>
    </row>
    <row r="903" spans="1:19">
      <c r="A903" s="64" t="s">
        <v>626</v>
      </c>
      <c r="B903" s="65" t="s">
        <v>1094</v>
      </c>
      <c r="C903" s="65" t="s">
        <v>1095</v>
      </c>
      <c r="D903" s="64" t="s">
        <v>1096</v>
      </c>
      <c r="E903" s="65" t="s">
        <v>452</v>
      </c>
      <c r="F903" s="64" t="s">
        <v>398</v>
      </c>
      <c r="G903" s="65" t="s">
        <v>20</v>
      </c>
      <c r="H903" s="65" t="s">
        <v>929</v>
      </c>
      <c r="I903" s="65">
        <v>201502</v>
      </c>
      <c r="J903" s="66">
        <v>2.68</v>
      </c>
      <c r="K903" s="72">
        <f t="shared" si="74"/>
        <v>42675</v>
      </c>
      <c r="L903" s="67">
        <f t="shared" si="71"/>
        <v>6</v>
      </c>
      <c r="M903" s="68">
        <v>1.4833299999999999E-3</v>
      </c>
      <c r="N903" s="69">
        <f t="shared" si="70"/>
        <v>2.3851946400000001E-2</v>
      </c>
      <c r="O903" s="66"/>
      <c r="P903" s="71">
        <f t="shared" si="72"/>
        <v>0</v>
      </c>
      <c r="Q903" s="132"/>
      <c r="R903" s="71">
        <f t="shared" si="73"/>
        <v>4.1007908333333336E-2</v>
      </c>
      <c r="S903" s="64"/>
    </row>
    <row r="904" spans="1:19">
      <c r="A904" s="64" t="s">
        <v>626</v>
      </c>
      <c r="B904" s="65" t="s">
        <v>1148</v>
      </c>
      <c r="C904" s="65" t="s">
        <v>1149</v>
      </c>
      <c r="D904" s="64" t="s">
        <v>1150</v>
      </c>
      <c r="E904" s="65" t="s">
        <v>93</v>
      </c>
      <c r="F904" s="64" t="s">
        <v>88</v>
      </c>
      <c r="G904" s="65" t="s">
        <v>20</v>
      </c>
      <c r="H904" s="65" t="s">
        <v>929</v>
      </c>
      <c r="I904" s="65">
        <v>201502</v>
      </c>
      <c r="J904" s="66">
        <v>-331.76</v>
      </c>
      <c r="K904" s="72">
        <f t="shared" si="74"/>
        <v>42675</v>
      </c>
      <c r="L904" s="67">
        <f t="shared" si="71"/>
        <v>6</v>
      </c>
      <c r="M904" s="68">
        <v>1.4833299999999999E-3</v>
      </c>
      <c r="N904" s="69">
        <f t="shared" si="70"/>
        <v>-2.9526573647999999</v>
      </c>
      <c r="O904" s="66"/>
      <c r="P904" s="71">
        <f t="shared" si="72"/>
        <v>0</v>
      </c>
      <c r="Q904" s="132"/>
      <c r="R904" s="71">
        <f t="shared" si="73"/>
        <v>-5.0764118166666661</v>
      </c>
      <c r="S904" s="64"/>
    </row>
    <row r="905" spans="1:19">
      <c r="A905" s="64" t="s">
        <v>21</v>
      </c>
      <c r="B905" s="65" t="s">
        <v>966</v>
      </c>
      <c r="C905" s="65" t="s">
        <v>967</v>
      </c>
      <c r="D905" s="64" t="s">
        <v>968</v>
      </c>
      <c r="E905" s="65" t="s">
        <v>209</v>
      </c>
      <c r="F905" s="64" t="s">
        <v>88</v>
      </c>
      <c r="G905" s="65" t="s">
        <v>20</v>
      </c>
      <c r="H905" s="65" t="s">
        <v>929</v>
      </c>
      <c r="I905" s="65">
        <v>201502</v>
      </c>
      <c r="J905" s="66">
        <v>-6.95</v>
      </c>
      <c r="K905" s="72">
        <f t="shared" si="74"/>
        <v>42675</v>
      </c>
      <c r="L905" s="67">
        <f t="shared" si="71"/>
        <v>6</v>
      </c>
      <c r="M905" s="68">
        <v>1.4833299999999999E-3</v>
      </c>
      <c r="N905" s="69">
        <f t="shared" si="70"/>
        <v>-6.1854861000000004E-2</v>
      </c>
      <c r="O905" s="66"/>
      <c r="P905" s="71">
        <f t="shared" si="72"/>
        <v>0</v>
      </c>
      <c r="Q905" s="132"/>
      <c r="R905" s="71">
        <f t="shared" si="73"/>
        <v>-0.10634513541666667</v>
      </c>
      <c r="S905" s="64"/>
    </row>
    <row r="906" spans="1:19">
      <c r="A906" s="64" t="s">
        <v>21</v>
      </c>
      <c r="B906" s="65" t="s">
        <v>882</v>
      </c>
      <c r="C906" s="65" t="s">
        <v>883</v>
      </c>
      <c r="D906" s="64" t="s">
        <v>884</v>
      </c>
      <c r="E906" s="65" t="s">
        <v>87</v>
      </c>
      <c r="F906" s="64" t="s">
        <v>88</v>
      </c>
      <c r="G906" s="65" t="s">
        <v>20</v>
      </c>
      <c r="H906" s="65" t="s">
        <v>929</v>
      </c>
      <c r="I906" s="65">
        <v>201502</v>
      </c>
      <c r="J906" s="66">
        <v>-7.49</v>
      </c>
      <c r="K906" s="72">
        <f t="shared" si="74"/>
        <v>42675</v>
      </c>
      <c r="L906" s="67">
        <f t="shared" si="71"/>
        <v>6</v>
      </c>
      <c r="M906" s="68">
        <v>1.4833299999999999E-3</v>
      </c>
      <c r="N906" s="69">
        <f t="shared" si="70"/>
        <v>-6.6660850199999996E-2</v>
      </c>
      <c r="O906" s="66"/>
      <c r="P906" s="71">
        <f t="shared" si="72"/>
        <v>0</v>
      </c>
      <c r="Q906" s="132"/>
      <c r="R906" s="71">
        <f t="shared" si="73"/>
        <v>-0.11460792291666667</v>
      </c>
      <c r="S906" s="64"/>
    </row>
    <row r="907" spans="1:19">
      <c r="A907" s="64" t="s">
        <v>626</v>
      </c>
      <c r="B907" s="65" t="s">
        <v>975</v>
      </c>
      <c r="C907" s="65" t="s">
        <v>976</v>
      </c>
      <c r="D907" s="64" t="s">
        <v>977</v>
      </c>
      <c r="E907" s="65" t="s">
        <v>87</v>
      </c>
      <c r="F907" s="64" t="s">
        <v>88</v>
      </c>
      <c r="G907" s="65" t="s">
        <v>20</v>
      </c>
      <c r="H907" s="65" t="s">
        <v>929</v>
      </c>
      <c r="I907" s="65">
        <v>201502</v>
      </c>
      <c r="J907" s="66">
        <v>-6.34</v>
      </c>
      <c r="K907" s="72">
        <f t="shared" si="74"/>
        <v>42675</v>
      </c>
      <c r="L907" s="67">
        <f t="shared" si="71"/>
        <v>6</v>
      </c>
      <c r="M907" s="68">
        <v>1.4833299999999999E-3</v>
      </c>
      <c r="N907" s="69">
        <f t="shared" si="70"/>
        <v>-5.6425873199999997E-2</v>
      </c>
      <c r="O907" s="66"/>
      <c r="P907" s="71">
        <f t="shared" si="72"/>
        <v>0</v>
      </c>
      <c r="Q907" s="132"/>
      <c r="R907" s="71">
        <f t="shared" si="73"/>
        <v>-9.7011245833333329E-2</v>
      </c>
      <c r="S907" s="64"/>
    </row>
    <row r="908" spans="1:19">
      <c r="A908" s="64" t="s">
        <v>626</v>
      </c>
      <c r="B908" s="65" t="s">
        <v>885</v>
      </c>
      <c r="C908" s="65" t="s">
        <v>886</v>
      </c>
      <c r="D908" s="64" t="s">
        <v>887</v>
      </c>
      <c r="E908" s="65" t="s">
        <v>93</v>
      </c>
      <c r="F908" s="64" t="s">
        <v>88</v>
      </c>
      <c r="G908" s="65" t="s">
        <v>20</v>
      </c>
      <c r="H908" s="65" t="s">
        <v>929</v>
      </c>
      <c r="I908" s="65">
        <v>201502</v>
      </c>
      <c r="J908" s="66">
        <v>155.1</v>
      </c>
      <c r="K908" s="72">
        <f t="shared" si="74"/>
        <v>42675</v>
      </c>
      <c r="L908" s="67">
        <f t="shared" si="71"/>
        <v>6</v>
      </c>
      <c r="M908" s="68">
        <v>1.4833299999999999E-3</v>
      </c>
      <c r="N908" s="69">
        <f t="shared" si="70"/>
        <v>1.380386898</v>
      </c>
      <c r="O908" s="66"/>
      <c r="P908" s="71">
        <f t="shared" si="72"/>
        <v>0</v>
      </c>
      <c r="Q908" s="132"/>
      <c r="R908" s="71">
        <f t="shared" si="73"/>
        <v>2.3732561874999996</v>
      </c>
      <c r="S908" s="64"/>
    </row>
    <row r="909" spans="1:19">
      <c r="A909" s="64" t="s">
        <v>626</v>
      </c>
      <c r="B909" s="65" t="s">
        <v>1097</v>
      </c>
      <c r="C909" s="65" t="s">
        <v>1098</v>
      </c>
      <c r="D909" s="64" t="s">
        <v>1099</v>
      </c>
      <c r="E909" s="65" t="s">
        <v>452</v>
      </c>
      <c r="F909" s="64" t="s">
        <v>398</v>
      </c>
      <c r="G909" s="65" t="s">
        <v>20</v>
      </c>
      <c r="H909" s="65" t="s">
        <v>929</v>
      </c>
      <c r="I909" s="65">
        <v>201502</v>
      </c>
      <c r="J909" s="66">
        <v>-143.03</v>
      </c>
      <c r="K909" s="72">
        <f t="shared" si="74"/>
        <v>42675</v>
      </c>
      <c r="L909" s="67">
        <f t="shared" si="71"/>
        <v>6</v>
      </c>
      <c r="M909" s="68">
        <v>1.4833299999999999E-3</v>
      </c>
      <c r="N909" s="69">
        <f t="shared" si="70"/>
        <v>-1.2729641394</v>
      </c>
      <c r="O909" s="66"/>
      <c r="P909" s="71">
        <f t="shared" si="72"/>
        <v>0</v>
      </c>
      <c r="Q909" s="132"/>
      <c r="R909" s="71">
        <f t="shared" si="73"/>
        <v>-2.1885675854166662</v>
      </c>
      <c r="S909" s="64"/>
    </row>
    <row r="910" spans="1:19">
      <c r="A910" s="64" t="s">
        <v>21</v>
      </c>
      <c r="B910" s="65" t="s">
        <v>1100</v>
      </c>
      <c r="C910" s="65" t="s">
        <v>1101</v>
      </c>
      <c r="D910" s="64" t="s">
        <v>1102</v>
      </c>
      <c r="E910" s="65" t="s">
        <v>397</v>
      </c>
      <c r="F910" s="64" t="s">
        <v>398</v>
      </c>
      <c r="G910" s="65" t="s">
        <v>20</v>
      </c>
      <c r="H910" s="65" t="s">
        <v>929</v>
      </c>
      <c r="I910" s="65">
        <v>201502</v>
      </c>
      <c r="J910" s="66">
        <v>30896.42</v>
      </c>
      <c r="K910" s="72">
        <f t="shared" si="74"/>
        <v>42675</v>
      </c>
      <c r="L910" s="67">
        <f t="shared" si="71"/>
        <v>6</v>
      </c>
      <c r="M910" s="68">
        <v>1.4833299999999999E-3</v>
      </c>
      <c r="N910" s="69">
        <f t="shared" si="70"/>
        <v>274.9775200716</v>
      </c>
      <c r="O910" s="66"/>
      <c r="P910" s="71">
        <f t="shared" si="72"/>
        <v>0</v>
      </c>
      <c r="Q910" s="132"/>
      <c r="R910" s="71">
        <f t="shared" si="73"/>
        <v>472.76028327916657</v>
      </c>
      <c r="S910" s="64"/>
    </row>
    <row r="911" spans="1:19">
      <c r="A911" s="64" t="s">
        <v>626</v>
      </c>
      <c r="B911" s="65" t="s">
        <v>1100</v>
      </c>
      <c r="C911" s="65" t="s">
        <v>1101</v>
      </c>
      <c r="D911" s="64" t="s">
        <v>1102</v>
      </c>
      <c r="E911" s="65" t="s">
        <v>397</v>
      </c>
      <c r="F911" s="64" t="s">
        <v>398</v>
      </c>
      <c r="G911" s="65" t="s">
        <v>20</v>
      </c>
      <c r="H911" s="65" t="s">
        <v>929</v>
      </c>
      <c r="I911" s="65">
        <v>201502</v>
      </c>
      <c r="J911" s="66">
        <v>-31285.119999999999</v>
      </c>
      <c r="K911" s="72">
        <f t="shared" si="74"/>
        <v>42675</v>
      </c>
      <c r="L911" s="67">
        <f t="shared" si="71"/>
        <v>6</v>
      </c>
      <c r="M911" s="68">
        <v>1.4833299999999999E-3</v>
      </c>
      <c r="N911" s="69">
        <f t="shared" si="70"/>
        <v>-278.43694229760001</v>
      </c>
      <c r="O911" s="66"/>
      <c r="P911" s="71">
        <f t="shared" si="72"/>
        <v>0</v>
      </c>
      <c r="Q911" s="132"/>
      <c r="R911" s="71">
        <f t="shared" si="73"/>
        <v>-478.7079601333333</v>
      </c>
      <c r="S911" s="64"/>
    </row>
    <row r="912" spans="1:19">
      <c r="A912" s="64" t="s">
        <v>626</v>
      </c>
      <c r="B912" s="65" t="s">
        <v>1103</v>
      </c>
      <c r="C912" s="65" t="s">
        <v>1104</v>
      </c>
      <c r="D912" s="64" t="s">
        <v>1105</v>
      </c>
      <c r="E912" s="65" t="s">
        <v>87</v>
      </c>
      <c r="F912" s="64" t="s">
        <v>88</v>
      </c>
      <c r="G912" s="65" t="s">
        <v>20</v>
      </c>
      <c r="H912" s="65" t="s">
        <v>929</v>
      </c>
      <c r="I912" s="65">
        <v>201502</v>
      </c>
      <c r="J912" s="66">
        <v>-312.37</v>
      </c>
      <c r="K912" s="72">
        <f t="shared" si="74"/>
        <v>42675</v>
      </c>
      <c r="L912" s="67">
        <f t="shared" si="71"/>
        <v>6</v>
      </c>
      <c r="M912" s="68">
        <v>1.4833299999999999E-3</v>
      </c>
      <c r="N912" s="69">
        <f t="shared" si="70"/>
        <v>-2.7800867525999999</v>
      </c>
      <c r="O912" s="66"/>
      <c r="P912" s="71">
        <f t="shared" si="72"/>
        <v>0</v>
      </c>
      <c r="Q912" s="132"/>
      <c r="R912" s="71">
        <f t="shared" si="73"/>
        <v>-4.7797165395833332</v>
      </c>
      <c r="S912" s="64"/>
    </row>
    <row r="913" spans="1:19">
      <c r="A913" s="64" t="s">
        <v>626</v>
      </c>
      <c r="B913" s="65" t="s">
        <v>1292</v>
      </c>
      <c r="C913" s="65" t="s">
        <v>1293</v>
      </c>
      <c r="D913" s="64" t="s">
        <v>1294</v>
      </c>
      <c r="E913" s="65" t="s">
        <v>93</v>
      </c>
      <c r="F913" s="64" t="s">
        <v>88</v>
      </c>
      <c r="G913" s="65" t="s">
        <v>20</v>
      </c>
      <c r="H913" s="65" t="s">
        <v>929</v>
      </c>
      <c r="I913" s="65">
        <v>201502</v>
      </c>
      <c r="J913" s="66">
        <v>40121.800000000003</v>
      </c>
      <c r="K913" s="72">
        <f t="shared" si="74"/>
        <v>42675</v>
      </c>
      <c r="L913" s="67">
        <f t="shared" si="71"/>
        <v>6</v>
      </c>
      <c r="M913" s="68">
        <v>1.4833299999999999E-3</v>
      </c>
      <c r="N913" s="69">
        <f t="shared" si="70"/>
        <v>357.08321756400005</v>
      </c>
      <c r="O913" s="66"/>
      <c r="P913" s="71">
        <f t="shared" si="72"/>
        <v>0</v>
      </c>
      <c r="Q913" s="132"/>
      <c r="R913" s="71">
        <f t="shared" si="73"/>
        <v>613.92205095833333</v>
      </c>
      <c r="S913" s="64"/>
    </row>
    <row r="914" spans="1:19">
      <c r="A914" s="64" t="s">
        <v>21</v>
      </c>
      <c r="B914" s="65" t="s">
        <v>1154</v>
      </c>
      <c r="C914" s="65" t="s">
        <v>1155</v>
      </c>
      <c r="D914" s="64" t="s">
        <v>1156</v>
      </c>
      <c r="E914" s="65" t="s">
        <v>397</v>
      </c>
      <c r="F914" s="64" t="s">
        <v>398</v>
      </c>
      <c r="G914" s="65" t="s">
        <v>20</v>
      </c>
      <c r="H914" s="65" t="s">
        <v>929</v>
      </c>
      <c r="I914" s="65">
        <v>201502</v>
      </c>
      <c r="J914" s="66">
        <v>-209.24</v>
      </c>
      <c r="K914" s="72">
        <f t="shared" si="74"/>
        <v>42675</v>
      </c>
      <c r="L914" s="67">
        <f t="shared" si="71"/>
        <v>6</v>
      </c>
      <c r="M914" s="68">
        <v>1.4833299999999999E-3</v>
      </c>
      <c r="N914" s="69">
        <f t="shared" si="70"/>
        <v>-1.8622318152000001</v>
      </c>
      <c r="O914" s="66"/>
      <c r="P914" s="71">
        <f t="shared" si="72"/>
        <v>0</v>
      </c>
      <c r="Q914" s="132"/>
      <c r="R914" s="71">
        <f t="shared" si="73"/>
        <v>-3.2016771416666665</v>
      </c>
      <c r="S914" s="64"/>
    </row>
    <row r="915" spans="1:19">
      <c r="A915" s="64" t="s">
        <v>626</v>
      </c>
      <c r="B915" s="65" t="s">
        <v>1236</v>
      </c>
      <c r="C915" s="65" t="s">
        <v>1237</v>
      </c>
      <c r="D915" s="64" t="s">
        <v>1238</v>
      </c>
      <c r="E915" s="65" t="s">
        <v>93</v>
      </c>
      <c r="F915" s="64" t="s">
        <v>88</v>
      </c>
      <c r="G915" s="65" t="s">
        <v>20</v>
      </c>
      <c r="H915" s="65" t="s">
        <v>929</v>
      </c>
      <c r="I915" s="65">
        <v>201502</v>
      </c>
      <c r="J915" s="66">
        <v>34.21</v>
      </c>
      <c r="K915" s="72">
        <f t="shared" si="74"/>
        <v>42675</v>
      </c>
      <c r="L915" s="67">
        <f t="shared" si="71"/>
        <v>6</v>
      </c>
      <c r="M915" s="68">
        <v>1.4833299999999999E-3</v>
      </c>
      <c r="N915" s="69">
        <f t="shared" si="70"/>
        <v>0.3044683158</v>
      </c>
      <c r="O915" s="66"/>
      <c r="P915" s="71">
        <f t="shared" si="72"/>
        <v>0</v>
      </c>
      <c r="Q915" s="132"/>
      <c r="R915" s="71">
        <f t="shared" si="73"/>
        <v>0.52346288958333331</v>
      </c>
      <c r="S915" s="64"/>
    </row>
    <row r="916" spans="1:19">
      <c r="A916" s="64" t="s">
        <v>626</v>
      </c>
      <c r="B916" s="65" t="s">
        <v>1295</v>
      </c>
      <c r="C916" s="65" t="s">
        <v>1296</v>
      </c>
      <c r="D916" s="64" t="s">
        <v>1297</v>
      </c>
      <c r="E916" s="65" t="s">
        <v>87</v>
      </c>
      <c r="F916" s="64" t="s">
        <v>88</v>
      </c>
      <c r="G916" s="65" t="s">
        <v>20</v>
      </c>
      <c r="H916" s="65" t="s">
        <v>929</v>
      </c>
      <c r="I916" s="65">
        <v>201502</v>
      </c>
      <c r="J916" s="66">
        <v>73950.03</v>
      </c>
      <c r="K916" s="72">
        <f t="shared" si="74"/>
        <v>42675</v>
      </c>
      <c r="L916" s="67">
        <f t="shared" si="71"/>
        <v>6</v>
      </c>
      <c r="M916" s="68">
        <v>1.4833299999999999E-3</v>
      </c>
      <c r="N916" s="69">
        <f t="shared" si="70"/>
        <v>658.15378799940004</v>
      </c>
      <c r="O916" s="66"/>
      <c r="P916" s="71">
        <f t="shared" si="72"/>
        <v>0</v>
      </c>
      <c r="Q916" s="132"/>
      <c r="R916" s="71">
        <f t="shared" si="73"/>
        <v>1131.5433027937497</v>
      </c>
      <c r="S916" s="64"/>
    </row>
    <row r="917" spans="1:19">
      <c r="A917" s="64" t="s">
        <v>626</v>
      </c>
      <c r="B917" s="65" t="s">
        <v>1239</v>
      </c>
      <c r="C917" s="65" t="s">
        <v>1240</v>
      </c>
      <c r="D917" s="64" t="s">
        <v>1241</v>
      </c>
      <c r="E917" s="65" t="s">
        <v>415</v>
      </c>
      <c r="F917" s="64" t="s">
        <v>88</v>
      </c>
      <c r="G917" s="65" t="s">
        <v>20</v>
      </c>
      <c r="H917" s="65" t="s">
        <v>929</v>
      </c>
      <c r="I917" s="65">
        <v>201502</v>
      </c>
      <c r="J917" s="66">
        <v>-5634.68</v>
      </c>
      <c r="K917" s="72">
        <f t="shared" si="74"/>
        <v>42675</v>
      </c>
      <c r="L917" s="67">
        <f t="shared" si="71"/>
        <v>6</v>
      </c>
      <c r="M917" s="68">
        <v>1.4833299999999999E-3</v>
      </c>
      <c r="N917" s="69">
        <f t="shared" si="70"/>
        <v>-50.148539306400004</v>
      </c>
      <c r="O917" s="66"/>
      <c r="P917" s="71">
        <f t="shared" si="72"/>
        <v>0</v>
      </c>
      <c r="Q917" s="132"/>
      <c r="R917" s="71">
        <f t="shared" si="73"/>
        <v>-86.21882124166666</v>
      </c>
      <c r="S917" s="64"/>
    </row>
    <row r="918" spans="1:19">
      <c r="A918" s="64" t="s">
        <v>626</v>
      </c>
      <c r="B918" s="65" t="s">
        <v>1298</v>
      </c>
      <c r="C918" s="65" t="s">
        <v>1299</v>
      </c>
      <c r="D918" s="64" t="s">
        <v>1300</v>
      </c>
      <c r="E918" s="65" t="s">
        <v>93</v>
      </c>
      <c r="F918" s="64" t="s">
        <v>88</v>
      </c>
      <c r="G918" s="65" t="s">
        <v>20</v>
      </c>
      <c r="H918" s="65" t="s">
        <v>929</v>
      </c>
      <c r="I918" s="65">
        <v>201502</v>
      </c>
      <c r="J918" s="66">
        <v>4513.7700000000004</v>
      </c>
      <c r="K918" s="72">
        <f t="shared" si="74"/>
        <v>42675</v>
      </c>
      <c r="L918" s="67">
        <f t="shared" si="71"/>
        <v>6</v>
      </c>
      <c r="M918" s="68">
        <v>1.4833299999999999E-3</v>
      </c>
      <c r="N918" s="69">
        <f t="shared" si="70"/>
        <v>40.172462724600003</v>
      </c>
      <c r="O918" s="66"/>
      <c r="P918" s="71">
        <f t="shared" si="72"/>
        <v>0</v>
      </c>
      <c r="Q918" s="132"/>
      <c r="R918" s="71">
        <f t="shared" si="73"/>
        <v>69.067263581250003</v>
      </c>
      <c r="S918" s="64"/>
    </row>
    <row r="919" spans="1:19">
      <c r="A919" s="64" t="s">
        <v>127</v>
      </c>
      <c r="B919" s="65" t="s">
        <v>1242</v>
      </c>
      <c r="C919" s="65" t="s">
        <v>1243</v>
      </c>
      <c r="D919" s="64" t="s">
        <v>1244</v>
      </c>
      <c r="E919" s="65" t="s">
        <v>131</v>
      </c>
      <c r="F919" s="64" t="s">
        <v>132</v>
      </c>
      <c r="G919" s="65" t="s">
        <v>20</v>
      </c>
      <c r="H919" s="65" t="s">
        <v>935</v>
      </c>
      <c r="I919" s="65">
        <v>201502</v>
      </c>
      <c r="J919" s="66">
        <v>-268.13</v>
      </c>
      <c r="K919" s="72">
        <f t="shared" si="74"/>
        <v>42675</v>
      </c>
      <c r="L919" s="67">
        <f t="shared" si="71"/>
        <v>6</v>
      </c>
      <c r="M919" s="68">
        <v>2.3833299999999999E-3</v>
      </c>
      <c r="N919" s="69">
        <f t="shared" si="70"/>
        <v>-3.8342536373999998</v>
      </c>
      <c r="O919" s="66"/>
      <c r="P919" s="71">
        <f t="shared" si="72"/>
        <v>0</v>
      </c>
      <c r="Q919" s="132"/>
      <c r="R919" s="71">
        <f t="shared" si="73"/>
        <v>-4.102780022916666</v>
      </c>
      <c r="S919" s="64"/>
    </row>
    <row r="920" spans="1:19">
      <c r="A920" s="64" t="s">
        <v>127</v>
      </c>
      <c r="B920" s="65" t="s">
        <v>388</v>
      </c>
      <c r="C920" s="65" t="s">
        <v>389</v>
      </c>
      <c r="D920" s="64" t="s">
        <v>390</v>
      </c>
      <c r="E920" s="65" t="s">
        <v>131</v>
      </c>
      <c r="F920" s="64" t="s">
        <v>132</v>
      </c>
      <c r="G920" s="65" t="s">
        <v>20</v>
      </c>
      <c r="H920" s="65" t="s">
        <v>935</v>
      </c>
      <c r="I920" s="65">
        <v>201502</v>
      </c>
      <c r="J920" s="66">
        <v>-299.17</v>
      </c>
      <c r="K920" s="72">
        <f t="shared" si="74"/>
        <v>42675</v>
      </c>
      <c r="L920" s="67">
        <f t="shared" si="71"/>
        <v>6</v>
      </c>
      <c r="M920" s="68">
        <v>2.3833299999999999E-3</v>
      </c>
      <c r="N920" s="69">
        <f t="shared" si="70"/>
        <v>-4.2781250166000007</v>
      </c>
      <c r="O920" s="66"/>
      <c r="P920" s="71">
        <f t="shared" si="72"/>
        <v>0</v>
      </c>
      <c r="Q920" s="132"/>
      <c r="R920" s="71">
        <f t="shared" si="73"/>
        <v>-4.5777372895833333</v>
      </c>
      <c r="S920" s="64"/>
    </row>
    <row r="921" spans="1:19">
      <c r="A921" s="64" t="s">
        <v>127</v>
      </c>
      <c r="B921" s="65" t="s">
        <v>1130</v>
      </c>
      <c r="C921" s="65" t="s">
        <v>1131</v>
      </c>
      <c r="D921" s="64" t="s">
        <v>1132</v>
      </c>
      <c r="E921" s="65" t="s">
        <v>131</v>
      </c>
      <c r="F921" s="64" t="s">
        <v>132</v>
      </c>
      <c r="G921" s="65" t="s">
        <v>20</v>
      </c>
      <c r="H921" s="65" t="s">
        <v>935</v>
      </c>
      <c r="I921" s="65">
        <v>201502</v>
      </c>
      <c r="J921" s="66">
        <v>-383.4</v>
      </c>
      <c r="K921" s="72">
        <f t="shared" si="74"/>
        <v>42675</v>
      </c>
      <c r="L921" s="67">
        <f t="shared" si="71"/>
        <v>6</v>
      </c>
      <c r="M921" s="68">
        <v>2.3833299999999999E-3</v>
      </c>
      <c r="N921" s="69">
        <f t="shared" si="70"/>
        <v>-5.4826123319999995</v>
      </c>
      <c r="O921" s="66"/>
      <c r="P921" s="71">
        <f t="shared" si="72"/>
        <v>0</v>
      </c>
      <c r="Q921" s="132"/>
      <c r="R921" s="71">
        <f t="shared" si="73"/>
        <v>-5.8665791249999986</v>
      </c>
      <c r="S921" s="64"/>
    </row>
    <row r="922" spans="1:19">
      <c r="A922" s="64" t="s">
        <v>29</v>
      </c>
      <c r="B922" s="65" t="s">
        <v>1060</v>
      </c>
      <c r="C922" s="65" t="s">
        <v>1061</v>
      </c>
      <c r="D922" s="64" t="s">
        <v>1062</v>
      </c>
      <c r="E922" s="65" t="s">
        <v>834</v>
      </c>
      <c r="F922" s="64" t="s">
        <v>835</v>
      </c>
      <c r="G922" s="65" t="s">
        <v>20</v>
      </c>
      <c r="H922" s="65" t="s">
        <v>937</v>
      </c>
      <c r="I922" s="65">
        <v>201502</v>
      </c>
      <c r="J922" s="66">
        <v>0</v>
      </c>
      <c r="K922" s="72">
        <f t="shared" si="74"/>
        <v>42675</v>
      </c>
      <c r="L922" s="67">
        <f t="shared" si="71"/>
        <v>6</v>
      </c>
      <c r="M922" s="68">
        <v>2.23333E-3</v>
      </c>
      <c r="N922" s="69">
        <f t="shared" si="70"/>
        <v>0</v>
      </c>
      <c r="O922" s="66"/>
      <c r="P922" s="71">
        <f t="shared" si="72"/>
        <v>0</v>
      </c>
      <c r="Q922" s="132"/>
      <c r="R922" s="71">
        <f t="shared" si="73"/>
        <v>0</v>
      </c>
      <c r="S922" s="64"/>
    </row>
    <row r="923" spans="1:19" ht="15" customHeight="1">
      <c r="A923" s="64"/>
      <c r="B923" s="65"/>
      <c r="C923" s="65"/>
      <c r="D923" s="64"/>
      <c r="E923" s="65"/>
      <c r="F923" s="64"/>
      <c r="G923" s="65"/>
      <c r="H923" s="65"/>
      <c r="I923" s="65"/>
      <c r="J923" s="66"/>
      <c r="K923" s="72"/>
      <c r="L923" s="67"/>
      <c r="M923" s="68"/>
      <c r="N923" s="69"/>
      <c r="O923" s="66"/>
      <c r="P923" s="71"/>
      <c r="Q923" s="132"/>
      <c r="R923" s="132"/>
      <c r="S923" s="64"/>
    </row>
    <row r="924" spans="1:19" ht="15" customHeight="1">
      <c r="A924" s="64"/>
      <c r="B924" s="65"/>
      <c r="C924" s="65"/>
      <c r="D924" s="64"/>
      <c r="E924" s="65"/>
      <c r="F924" s="64"/>
      <c r="G924" s="65"/>
      <c r="H924" s="65"/>
      <c r="I924" s="65"/>
      <c r="J924" s="66">
        <f>SUM(J5:J923)</f>
        <v>22339923.680000018</v>
      </c>
      <c r="K924" s="72"/>
      <c r="L924" s="67"/>
      <c r="M924" s="68"/>
      <c r="N924" s="66">
        <f>SUM(N5:N923)</f>
        <v>219072.21798640408</v>
      </c>
      <c r="O924" s="66"/>
      <c r="P924" s="71">
        <f>SUM(P5:P299,P301:P626,P628:P922)</f>
        <v>0</v>
      </c>
      <c r="Q924" s="132"/>
      <c r="R924" s="71">
        <f>SUM(R5:R299,R301:R626,R628:R922)</f>
        <v>338390.58833332465</v>
      </c>
      <c r="S924" s="64"/>
    </row>
    <row r="925" spans="1:19" ht="15" customHeight="1">
      <c r="A925" s="64"/>
      <c r="B925" s="65"/>
      <c r="C925" s="65"/>
      <c r="D925" s="64"/>
      <c r="E925" s="65"/>
      <c r="F925" s="64"/>
      <c r="G925" s="65"/>
      <c r="H925" s="65"/>
      <c r="I925" s="65"/>
      <c r="J925" s="66"/>
      <c r="K925" s="72"/>
      <c r="L925" s="67"/>
      <c r="M925" s="68"/>
      <c r="N925" s="69"/>
      <c r="O925" s="66"/>
      <c r="P925" s="71"/>
      <c r="Q925" s="132"/>
      <c r="R925" s="132"/>
      <c r="S925" s="64"/>
    </row>
    <row r="926" spans="1:19" ht="15" customHeight="1">
      <c r="A926" s="64"/>
      <c r="B926" s="65"/>
      <c r="C926" s="65"/>
      <c r="D926" s="64"/>
      <c r="E926" s="65"/>
      <c r="F926" s="64"/>
      <c r="G926" s="65"/>
      <c r="H926" s="65"/>
      <c r="I926" s="65"/>
      <c r="J926" s="66"/>
      <c r="K926" s="72"/>
      <c r="L926" s="67"/>
      <c r="M926" s="68"/>
      <c r="N926" s="69"/>
      <c r="O926" s="66"/>
      <c r="P926" s="71"/>
      <c r="Q926" s="132"/>
      <c r="R926" s="132"/>
      <c r="S926" s="64"/>
    </row>
    <row r="927" spans="1:19" ht="15" customHeight="1">
      <c r="A927" s="64"/>
      <c r="B927" s="65"/>
      <c r="C927" s="65"/>
      <c r="D927" s="64"/>
      <c r="E927" s="65"/>
      <c r="F927" s="64"/>
      <c r="G927" s="65"/>
      <c r="H927" s="65"/>
      <c r="I927" s="65"/>
      <c r="J927" s="66"/>
      <c r="K927" s="72"/>
      <c r="L927" s="67"/>
      <c r="M927" s="68"/>
      <c r="N927" s="69"/>
      <c r="O927" s="66"/>
      <c r="P927" s="71"/>
      <c r="Q927" s="132"/>
      <c r="R927" s="132"/>
      <c r="S927" s="64"/>
    </row>
    <row r="930" spans="7:10">
      <c r="G930" s="52" t="s">
        <v>1301</v>
      </c>
      <c r="J930" s="54">
        <f>+J924-J931</f>
        <v>17454962.01000002</v>
      </c>
    </row>
    <row r="931" spans="7:10">
      <c r="G931" s="52" t="s">
        <v>1302</v>
      </c>
      <c r="J931" s="54">
        <f>SUM(J628:J922)</f>
        <v>4884961.669999999</v>
      </c>
    </row>
    <row r="933" spans="7:10">
      <c r="J933" s="54">
        <f>+J930+J931</f>
        <v>22339923.680000018</v>
      </c>
    </row>
  </sheetData>
  <mergeCells count="12">
    <mergeCell ref="K4:N4"/>
    <mergeCell ref="V6:X6"/>
    <mergeCell ref="Q1:R1"/>
    <mergeCell ref="Q2:Q3"/>
    <mergeCell ref="R2:R3"/>
    <mergeCell ref="K1:K3"/>
    <mergeCell ref="M1:M3"/>
    <mergeCell ref="N1:N3"/>
    <mergeCell ref="O1:P1"/>
    <mergeCell ref="L2:L3"/>
    <mergeCell ref="O2:O3"/>
    <mergeCell ref="P2:P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1430"/>
  <sheetViews>
    <sheetView topLeftCell="G1" zoomScale="85" zoomScaleNormal="85" workbookViewId="0">
      <pane ySplit="4" topLeftCell="A1340" activePane="bottomLeft" state="frozen"/>
      <selection activeCell="AA1752" sqref="AA1752"/>
      <selection pane="bottomLeft" activeCell="P1373" sqref="P1373"/>
    </sheetView>
  </sheetViews>
  <sheetFormatPr defaultColWidth="9.140625" defaultRowHeight="15"/>
  <cols>
    <col min="1" max="1" width="37" style="53" customWidth="1"/>
    <col min="2" max="2" width="17.28515625" style="52" customWidth="1"/>
    <col min="3" max="3" width="13.85546875" style="52" customWidth="1"/>
    <col min="4" max="4" width="34.5703125" style="53" customWidth="1"/>
    <col min="5" max="5" width="8.7109375" style="52" customWidth="1"/>
    <col min="6" max="6" width="36.7109375" style="53" bestFit="1" customWidth="1"/>
    <col min="7" max="8" width="14.140625" style="52" customWidth="1"/>
    <col min="9" max="9" width="9.28515625" style="52" customWidth="1"/>
    <col min="10" max="18" width="14.7109375" style="54" customWidth="1"/>
    <col min="19" max="16384" width="9.140625" style="53"/>
  </cols>
  <sheetData>
    <row r="1" spans="1:23">
      <c r="A1" s="51" t="s">
        <v>0</v>
      </c>
      <c r="K1" s="447" t="s">
        <v>1</v>
      </c>
      <c r="L1" s="55">
        <v>42856</v>
      </c>
      <c r="M1" s="450" t="s">
        <v>2</v>
      </c>
      <c r="N1" s="450" t="s">
        <v>2455</v>
      </c>
      <c r="O1" s="441">
        <v>2016</v>
      </c>
      <c r="P1" s="442"/>
      <c r="Q1" s="441">
        <v>2017</v>
      </c>
      <c r="R1" s="442"/>
    </row>
    <row r="2" spans="1:23">
      <c r="A2" s="51" t="s">
        <v>2429</v>
      </c>
      <c r="K2" s="448"/>
      <c r="L2" s="453" t="s">
        <v>3</v>
      </c>
      <c r="M2" s="451"/>
      <c r="N2" s="451"/>
      <c r="O2" s="443" t="s">
        <v>4</v>
      </c>
      <c r="P2" s="445" t="s">
        <v>5</v>
      </c>
      <c r="Q2" s="443" t="s">
        <v>4</v>
      </c>
      <c r="R2" s="445" t="s">
        <v>5</v>
      </c>
    </row>
    <row r="3" spans="1:23" ht="15.75" thickBot="1">
      <c r="K3" s="449"/>
      <c r="L3" s="454"/>
      <c r="M3" s="452"/>
      <c r="N3" s="452"/>
      <c r="O3" s="444"/>
      <c r="P3" s="446"/>
      <c r="Q3" s="444"/>
      <c r="R3" s="446"/>
    </row>
    <row r="4" spans="1:23" s="63" customFormat="1" ht="35.25" customHeight="1">
      <c r="A4" s="56" t="s">
        <v>6</v>
      </c>
      <c r="B4" s="57" t="s">
        <v>7</v>
      </c>
      <c r="C4" s="57" t="s">
        <v>8</v>
      </c>
      <c r="D4" s="56" t="s">
        <v>9</v>
      </c>
      <c r="E4" s="57" t="s">
        <v>10</v>
      </c>
      <c r="F4" s="56" t="s">
        <v>11</v>
      </c>
      <c r="G4" s="58" t="s">
        <v>12</v>
      </c>
      <c r="H4" s="58"/>
      <c r="I4" s="57" t="s">
        <v>1</v>
      </c>
      <c r="J4" s="59" t="s">
        <v>13</v>
      </c>
      <c r="K4" s="436"/>
      <c r="L4" s="437"/>
      <c r="M4" s="437"/>
      <c r="N4" s="437"/>
      <c r="O4" s="60"/>
      <c r="P4" s="61">
        <v>0</v>
      </c>
      <c r="Q4" s="128"/>
      <c r="R4" s="128">
        <v>6.6769999999999996E-2</v>
      </c>
    </row>
    <row r="5" spans="1:23">
      <c r="A5" s="102" t="s">
        <v>21</v>
      </c>
      <c r="B5" s="103" t="s">
        <v>84</v>
      </c>
      <c r="C5" s="103" t="s">
        <v>85</v>
      </c>
      <c r="D5" s="102" t="s">
        <v>86</v>
      </c>
      <c r="E5" s="103" t="s">
        <v>87</v>
      </c>
      <c r="F5" s="102" t="s">
        <v>88</v>
      </c>
      <c r="G5" s="103" t="s">
        <v>20</v>
      </c>
      <c r="I5" s="103">
        <v>201503</v>
      </c>
      <c r="J5" s="104">
        <v>88.29</v>
      </c>
      <c r="K5" s="72">
        <v>42675</v>
      </c>
      <c r="L5" s="67">
        <f t="shared" ref="L5:L68" si="0">((YEAR($L$1)-YEAR(K5))*12+MONTH($L$1)-MONTH(K5))</f>
        <v>6</v>
      </c>
      <c r="M5" s="105">
        <v>1.4833299999999999E-3</v>
      </c>
      <c r="N5" s="104">
        <f t="shared" ref="N5:N68" si="1">M5*L5*J5</f>
        <v>0.78577923420000007</v>
      </c>
      <c r="O5" s="70"/>
      <c r="P5" s="71">
        <f>($P$4*0.5*J5*$T$12)</f>
        <v>0</v>
      </c>
      <c r="Q5" s="132"/>
      <c r="R5" s="71">
        <f>($R$4*0.5*J5*$T$12)</f>
        <v>1.3509657562499999</v>
      </c>
    </row>
    <row r="6" spans="1:23">
      <c r="A6" s="102" t="s">
        <v>21</v>
      </c>
      <c r="B6" s="103" t="s">
        <v>1286</v>
      </c>
      <c r="C6" s="103" t="s">
        <v>1287</v>
      </c>
      <c r="D6" s="102" t="s">
        <v>1288</v>
      </c>
      <c r="E6" s="103" t="s">
        <v>93</v>
      </c>
      <c r="F6" s="102" t="s">
        <v>88</v>
      </c>
      <c r="G6" s="103" t="s">
        <v>20</v>
      </c>
      <c r="I6" s="103">
        <v>201503</v>
      </c>
      <c r="J6" s="104">
        <v>1652.09</v>
      </c>
      <c r="K6" s="72">
        <f>+K5</f>
        <v>42675</v>
      </c>
      <c r="L6" s="67">
        <f t="shared" si="0"/>
        <v>6</v>
      </c>
      <c r="M6" s="105">
        <v>1.4833299999999999E-3</v>
      </c>
      <c r="N6" s="104">
        <f t="shared" si="1"/>
        <v>14.703567958199999</v>
      </c>
      <c r="O6" s="66"/>
      <c r="P6" s="71">
        <f t="shared" ref="P6:P69" si="2">($P$4*0.5*J6*$T$12)</f>
        <v>0</v>
      </c>
      <c r="Q6" s="132"/>
      <c r="R6" s="71">
        <f t="shared" ref="R6:R69" si="3">($R$4*0.5*J6*$T$12)</f>
        <v>25.279386297916663</v>
      </c>
      <c r="T6" s="73" t="s">
        <v>27</v>
      </c>
      <c r="U6" s="438" t="s">
        <v>28</v>
      </c>
      <c r="V6" s="439"/>
      <c r="W6" s="440"/>
    </row>
    <row r="7" spans="1:23">
      <c r="A7" s="106" t="s">
        <v>21</v>
      </c>
      <c r="B7" s="103" t="s">
        <v>1112</v>
      </c>
      <c r="C7" s="103" t="s">
        <v>1113</v>
      </c>
      <c r="D7" s="102" t="s">
        <v>1114</v>
      </c>
      <c r="E7" s="103" t="s">
        <v>260</v>
      </c>
      <c r="F7" s="102" t="s">
        <v>26</v>
      </c>
      <c r="G7" s="103" t="s">
        <v>20</v>
      </c>
      <c r="I7" s="103">
        <v>201503</v>
      </c>
      <c r="J7" s="104">
        <v>-5.35</v>
      </c>
      <c r="K7" s="72">
        <f t="shared" ref="K7:K70" si="4">+K6</f>
        <v>42675</v>
      </c>
      <c r="L7" s="67">
        <f t="shared" si="0"/>
        <v>6</v>
      </c>
      <c r="M7" s="105">
        <v>1.4833299999999999E-3</v>
      </c>
      <c r="N7" s="104">
        <f t="shared" si="1"/>
        <v>-4.7614892999999998E-2</v>
      </c>
      <c r="O7" s="66"/>
      <c r="P7" s="71">
        <f t="shared" si="2"/>
        <v>0</v>
      </c>
      <c r="Q7" s="132"/>
      <c r="R7" s="71">
        <f t="shared" si="3"/>
        <v>-8.1862802083333325E-2</v>
      </c>
      <c r="T7" s="74">
        <f>12/12</f>
        <v>1</v>
      </c>
      <c r="U7" s="75"/>
      <c r="V7" s="76" t="s">
        <v>35</v>
      </c>
      <c r="W7" s="77" t="s">
        <v>36</v>
      </c>
    </row>
    <row r="8" spans="1:23">
      <c r="A8" s="102" t="s">
        <v>21</v>
      </c>
      <c r="B8" s="103" t="s">
        <v>177</v>
      </c>
      <c r="C8" s="103" t="s">
        <v>178</v>
      </c>
      <c r="D8" s="102" t="s">
        <v>179</v>
      </c>
      <c r="E8" s="103" t="s">
        <v>172</v>
      </c>
      <c r="F8" s="102" t="s">
        <v>173</v>
      </c>
      <c r="G8" s="103" t="s">
        <v>20</v>
      </c>
      <c r="I8" s="103">
        <v>201503</v>
      </c>
      <c r="J8" s="104">
        <v>3.72</v>
      </c>
      <c r="K8" s="72">
        <f t="shared" si="4"/>
        <v>42675</v>
      </c>
      <c r="L8" s="67">
        <f t="shared" si="0"/>
        <v>6</v>
      </c>
      <c r="M8" s="105">
        <v>1.4833299999999999E-3</v>
      </c>
      <c r="N8" s="104">
        <f t="shared" si="1"/>
        <v>3.3107925600000004E-2</v>
      </c>
      <c r="O8" s="66"/>
      <c r="P8" s="71">
        <f t="shared" si="2"/>
        <v>0</v>
      </c>
      <c r="Q8" s="132"/>
      <c r="R8" s="71">
        <f t="shared" si="3"/>
        <v>5.6921424999999998E-2</v>
      </c>
      <c r="T8" s="78">
        <f>1.5/12</f>
        <v>0.125</v>
      </c>
      <c r="U8" s="79" t="s">
        <v>42</v>
      </c>
      <c r="V8" s="80">
        <v>0.05</v>
      </c>
      <c r="W8" s="81">
        <v>3.7499999999999999E-2</v>
      </c>
    </row>
    <row r="9" spans="1:23">
      <c r="A9" s="102" t="s">
        <v>21</v>
      </c>
      <c r="B9" s="103" t="s">
        <v>1072</v>
      </c>
      <c r="C9" s="103" t="s">
        <v>1073</v>
      </c>
      <c r="D9" s="102" t="s">
        <v>1074</v>
      </c>
      <c r="E9" s="103" t="s">
        <v>857</v>
      </c>
      <c r="F9" s="102" t="s">
        <v>88</v>
      </c>
      <c r="G9" s="103" t="s">
        <v>20</v>
      </c>
      <c r="I9" s="103">
        <v>201503</v>
      </c>
      <c r="J9" s="104">
        <v>31540.42</v>
      </c>
      <c r="K9" s="72">
        <f t="shared" si="4"/>
        <v>42675</v>
      </c>
      <c r="L9" s="67">
        <f t="shared" si="0"/>
        <v>6</v>
      </c>
      <c r="M9" s="105">
        <v>1.4833299999999999E-3</v>
      </c>
      <c r="N9" s="104">
        <f t="shared" si="1"/>
        <v>280.70910719159997</v>
      </c>
      <c r="O9" s="66"/>
      <c r="P9" s="71">
        <f t="shared" si="2"/>
        <v>0</v>
      </c>
      <c r="Q9" s="132"/>
      <c r="R9" s="71">
        <f t="shared" si="3"/>
        <v>482.61442244583321</v>
      </c>
      <c r="T9" s="78">
        <f>7.5/12</f>
        <v>0.625</v>
      </c>
      <c r="U9" s="79" t="s">
        <v>47</v>
      </c>
      <c r="V9" s="80">
        <v>9.5000000000000001E-2</v>
      </c>
      <c r="W9" s="81">
        <v>7.2190000000000004E-2</v>
      </c>
    </row>
    <row r="10" spans="1:23">
      <c r="A10" s="102" t="s">
        <v>21</v>
      </c>
      <c r="B10" s="103" t="s">
        <v>449</v>
      </c>
      <c r="C10" s="103" t="s">
        <v>450</v>
      </c>
      <c r="D10" s="102" t="s">
        <v>451</v>
      </c>
      <c r="E10" s="103" t="s">
        <v>452</v>
      </c>
      <c r="F10" s="102" t="s">
        <v>398</v>
      </c>
      <c r="G10" s="103" t="s">
        <v>20</v>
      </c>
      <c r="I10" s="103">
        <v>201503</v>
      </c>
      <c r="J10" s="104">
        <v>24.44</v>
      </c>
      <c r="K10" s="72">
        <f t="shared" si="4"/>
        <v>42675</v>
      </c>
      <c r="L10" s="67">
        <f t="shared" si="0"/>
        <v>6</v>
      </c>
      <c r="M10" s="105">
        <v>1.4833299999999999E-3</v>
      </c>
      <c r="N10" s="104">
        <f t="shared" si="1"/>
        <v>0.21751551120000001</v>
      </c>
      <c r="O10" s="66"/>
      <c r="P10" s="71">
        <f t="shared" si="2"/>
        <v>0</v>
      </c>
      <c r="Q10" s="132"/>
      <c r="R10" s="71">
        <f t="shared" si="3"/>
        <v>0.37396764166666668</v>
      </c>
      <c r="T10" s="78"/>
      <c r="U10" s="79" t="s">
        <v>53</v>
      </c>
      <c r="V10" s="80">
        <v>8.5500000000000007E-2</v>
      </c>
      <c r="W10" s="81">
        <v>6.6769999999999996E-2</v>
      </c>
    </row>
    <row r="11" spans="1:23">
      <c r="A11" s="102" t="s">
        <v>21</v>
      </c>
      <c r="B11" s="103" t="s">
        <v>230</v>
      </c>
      <c r="C11" s="103" t="s">
        <v>231</v>
      </c>
      <c r="D11" s="102" t="s">
        <v>232</v>
      </c>
      <c r="E11" s="103" t="s">
        <v>164</v>
      </c>
      <c r="F11" s="102" t="s">
        <v>165</v>
      </c>
      <c r="G11" s="103" t="s">
        <v>20</v>
      </c>
      <c r="I11" s="103">
        <v>201503</v>
      </c>
      <c r="J11" s="104">
        <v>2.89</v>
      </c>
      <c r="K11" s="72">
        <f t="shared" si="4"/>
        <v>42675</v>
      </c>
      <c r="L11" s="67">
        <f t="shared" si="0"/>
        <v>6</v>
      </c>
      <c r="M11" s="105">
        <v>1.4833299999999999E-3</v>
      </c>
      <c r="N11" s="104">
        <f t="shared" si="1"/>
        <v>2.5720942200000003E-2</v>
      </c>
      <c r="O11" s="66"/>
      <c r="P11" s="71">
        <f t="shared" si="2"/>
        <v>0</v>
      </c>
      <c r="Q11" s="132"/>
      <c r="R11" s="71">
        <f t="shared" si="3"/>
        <v>4.4221214583333335E-2</v>
      </c>
      <c r="T11" s="78">
        <f>6/12</f>
        <v>0.5</v>
      </c>
      <c r="U11" s="79" t="s">
        <v>59</v>
      </c>
      <c r="V11" s="80">
        <v>7.6999999999999999E-2</v>
      </c>
      <c r="W11" s="81">
        <v>6.1769999999999999E-2</v>
      </c>
    </row>
    <row r="12" spans="1:23">
      <c r="A12" s="102" t="s">
        <v>21</v>
      </c>
      <c r="B12" s="103" t="s">
        <v>261</v>
      </c>
      <c r="C12" s="103" t="s">
        <v>262</v>
      </c>
      <c r="D12" s="102" t="s">
        <v>263</v>
      </c>
      <c r="E12" s="103" t="s">
        <v>75</v>
      </c>
      <c r="F12" s="102" t="s">
        <v>26</v>
      </c>
      <c r="G12" s="103" t="s">
        <v>20</v>
      </c>
      <c r="I12" s="103">
        <v>201503</v>
      </c>
      <c r="J12" s="104">
        <v>-58.42</v>
      </c>
      <c r="K12" s="72">
        <f t="shared" si="4"/>
        <v>42675</v>
      </c>
      <c r="L12" s="67">
        <f t="shared" si="0"/>
        <v>6</v>
      </c>
      <c r="M12" s="105">
        <v>1.4833299999999999E-3</v>
      </c>
      <c r="N12" s="104">
        <f t="shared" si="1"/>
        <v>-0.51993683160000004</v>
      </c>
      <c r="O12" s="66"/>
      <c r="P12" s="71">
        <f t="shared" si="2"/>
        <v>0</v>
      </c>
      <c r="Q12" s="132"/>
      <c r="R12" s="71">
        <f t="shared" si="3"/>
        <v>-0.89391119583333323</v>
      </c>
      <c r="T12" s="78">
        <f>5.5/12</f>
        <v>0.45833333333333331</v>
      </c>
      <c r="U12" s="82"/>
      <c r="V12" s="83"/>
      <c r="W12" s="84"/>
    </row>
    <row r="13" spans="1:23">
      <c r="A13" s="102" t="s">
        <v>21</v>
      </c>
      <c r="B13" s="103" t="s">
        <v>264</v>
      </c>
      <c r="C13" s="103" t="s">
        <v>265</v>
      </c>
      <c r="D13" s="102" t="s">
        <v>266</v>
      </c>
      <c r="E13" s="103" t="s">
        <v>172</v>
      </c>
      <c r="F13" s="102" t="s">
        <v>173</v>
      </c>
      <c r="G13" s="103" t="s">
        <v>20</v>
      </c>
      <c r="I13" s="103">
        <v>201503</v>
      </c>
      <c r="J13" s="104">
        <v>-140.24</v>
      </c>
      <c r="K13" s="72">
        <f t="shared" si="4"/>
        <v>42675</v>
      </c>
      <c r="L13" s="67">
        <f t="shared" si="0"/>
        <v>6</v>
      </c>
      <c r="M13" s="105">
        <v>1.4833299999999999E-3</v>
      </c>
      <c r="N13" s="104">
        <f t="shared" si="1"/>
        <v>-1.2481331952000001</v>
      </c>
      <c r="O13" s="66"/>
      <c r="P13" s="71">
        <f t="shared" si="2"/>
        <v>0</v>
      </c>
      <c r="Q13" s="132"/>
      <c r="R13" s="71">
        <f t="shared" si="3"/>
        <v>-2.1458765166666667</v>
      </c>
    </row>
    <row r="14" spans="1:23">
      <c r="A14" s="102" t="s">
        <v>21</v>
      </c>
      <c r="B14" s="103" t="s">
        <v>938</v>
      </c>
      <c r="C14" s="103" t="s">
        <v>939</v>
      </c>
      <c r="D14" s="102" t="s">
        <v>940</v>
      </c>
      <c r="E14" s="103" t="s">
        <v>209</v>
      </c>
      <c r="F14" s="102" t="s">
        <v>88</v>
      </c>
      <c r="G14" s="103" t="s">
        <v>20</v>
      </c>
      <c r="I14" s="103">
        <v>201503</v>
      </c>
      <c r="J14" s="104">
        <v>0.31</v>
      </c>
      <c r="K14" s="72">
        <f t="shared" si="4"/>
        <v>42675</v>
      </c>
      <c r="L14" s="67">
        <f t="shared" si="0"/>
        <v>6</v>
      </c>
      <c r="M14" s="105">
        <v>1.4833299999999999E-3</v>
      </c>
      <c r="N14" s="104">
        <f t="shared" si="1"/>
        <v>2.7589937999999998E-3</v>
      </c>
      <c r="O14" s="66"/>
      <c r="P14" s="71">
        <f t="shared" si="2"/>
        <v>0</v>
      </c>
      <c r="Q14" s="132"/>
      <c r="R14" s="71">
        <f t="shared" si="3"/>
        <v>4.7434520833333329E-3</v>
      </c>
    </row>
    <row r="15" spans="1:23">
      <c r="A15" s="102" t="s">
        <v>21</v>
      </c>
      <c r="B15" s="103" t="s">
        <v>794</v>
      </c>
      <c r="C15" s="103" t="s">
        <v>795</v>
      </c>
      <c r="D15" s="102" t="s">
        <v>796</v>
      </c>
      <c r="E15" s="103" t="s">
        <v>172</v>
      </c>
      <c r="F15" s="102" t="s">
        <v>173</v>
      </c>
      <c r="G15" s="103" t="s">
        <v>20</v>
      </c>
      <c r="I15" s="103">
        <v>201503</v>
      </c>
      <c r="J15" s="104">
        <v>-9.2200000000000006</v>
      </c>
      <c r="K15" s="72">
        <f t="shared" si="4"/>
        <v>42675</v>
      </c>
      <c r="L15" s="67">
        <f t="shared" si="0"/>
        <v>6</v>
      </c>
      <c r="M15" s="105">
        <v>1.4833299999999999E-3</v>
      </c>
      <c r="N15" s="104">
        <f t="shared" si="1"/>
        <v>-8.20578156E-2</v>
      </c>
      <c r="O15" s="66"/>
      <c r="P15" s="71">
        <f t="shared" si="2"/>
        <v>0</v>
      </c>
      <c r="Q15" s="132"/>
      <c r="R15" s="71">
        <f t="shared" si="3"/>
        <v>-0.14107944583333334</v>
      </c>
    </row>
    <row r="16" spans="1:23">
      <c r="A16" s="102" t="s">
        <v>21</v>
      </c>
      <c r="B16" s="103" t="s">
        <v>1118</v>
      </c>
      <c r="C16" s="103" t="s">
        <v>1119</v>
      </c>
      <c r="D16" s="102" t="s">
        <v>1120</v>
      </c>
      <c r="E16" s="103" t="s">
        <v>93</v>
      </c>
      <c r="F16" s="102" t="s">
        <v>88</v>
      </c>
      <c r="G16" s="103" t="s">
        <v>20</v>
      </c>
      <c r="I16" s="103">
        <v>201503</v>
      </c>
      <c r="J16" s="104">
        <v>2.67</v>
      </c>
      <c r="K16" s="72">
        <f t="shared" si="4"/>
        <v>42675</v>
      </c>
      <c r="L16" s="67">
        <f t="shared" si="0"/>
        <v>6</v>
      </c>
      <c r="M16" s="105">
        <v>1.4833299999999999E-3</v>
      </c>
      <c r="N16" s="104">
        <f t="shared" si="1"/>
        <v>2.3762946600000001E-2</v>
      </c>
      <c r="O16" s="66"/>
      <c r="P16" s="71">
        <f t="shared" si="2"/>
        <v>0</v>
      </c>
      <c r="Q16" s="132"/>
      <c r="R16" s="71">
        <f t="shared" si="3"/>
        <v>4.0854893749999996E-2</v>
      </c>
    </row>
    <row r="17" spans="1:23">
      <c r="A17" s="102" t="s">
        <v>21</v>
      </c>
      <c r="B17" s="103" t="s">
        <v>1250</v>
      </c>
      <c r="C17" s="103" t="s">
        <v>1251</v>
      </c>
      <c r="D17" s="102" t="s">
        <v>1252</v>
      </c>
      <c r="E17" s="103" t="s">
        <v>260</v>
      </c>
      <c r="F17" s="102" t="s">
        <v>26</v>
      </c>
      <c r="G17" s="103" t="s">
        <v>20</v>
      </c>
      <c r="I17" s="103">
        <v>201503</v>
      </c>
      <c r="J17" s="104">
        <v>4979.99</v>
      </c>
      <c r="K17" s="72">
        <f t="shared" si="4"/>
        <v>42675</v>
      </c>
      <c r="L17" s="67">
        <f t="shared" si="0"/>
        <v>6</v>
      </c>
      <c r="M17" s="105">
        <v>1.4833299999999999E-3</v>
      </c>
      <c r="N17" s="104">
        <f t="shared" si="1"/>
        <v>44.321811400199998</v>
      </c>
      <c r="O17" s="66"/>
      <c r="P17" s="71">
        <f t="shared" si="2"/>
        <v>0</v>
      </c>
      <c r="Q17" s="132"/>
      <c r="R17" s="71">
        <f t="shared" si="3"/>
        <v>76.201109485416652</v>
      </c>
      <c r="W17" s="53">
        <f>0.0366*1652.09*0.5-2.49</f>
        <v>27.743246999999997</v>
      </c>
    </row>
    <row r="18" spans="1:23">
      <c r="A18" s="102" t="s">
        <v>21</v>
      </c>
      <c r="B18" s="103" t="s">
        <v>494</v>
      </c>
      <c r="C18" s="103" t="s">
        <v>495</v>
      </c>
      <c r="D18" s="102" t="s">
        <v>496</v>
      </c>
      <c r="E18" s="103" t="s">
        <v>497</v>
      </c>
      <c r="F18" s="102" t="s">
        <v>26</v>
      </c>
      <c r="G18" s="103" t="s">
        <v>20</v>
      </c>
      <c r="I18" s="103">
        <v>201503</v>
      </c>
      <c r="J18" s="104">
        <v>67.349999999999994</v>
      </c>
      <c r="K18" s="72">
        <f t="shared" si="4"/>
        <v>42675</v>
      </c>
      <c r="L18" s="67">
        <f t="shared" si="0"/>
        <v>6</v>
      </c>
      <c r="M18" s="105">
        <v>1.4833299999999999E-3</v>
      </c>
      <c r="N18" s="104">
        <f t="shared" si="1"/>
        <v>0.59941365299999994</v>
      </c>
      <c r="O18" s="66"/>
      <c r="P18" s="71">
        <f t="shared" si="2"/>
        <v>0</v>
      </c>
      <c r="Q18" s="132"/>
      <c r="R18" s="71">
        <f t="shared" si="3"/>
        <v>1.0305532187499997</v>
      </c>
    </row>
    <row r="19" spans="1:23">
      <c r="A19" s="102" t="s">
        <v>21</v>
      </c>
      <c r="B19" s="103" t="s">
        <v>1121</v>
      </c>
      <c r="C19" s="103" t="s">
        <v>1122</v>
      </c>
      <c r="D19" s="102" t="s">
        <v>1123</v>
      </c>
      <c r="E19" s="103" t="s">
        <v>497</v>
      </c>
      <c r="F19" s="102" t="s">
        <v>26</v>
      </c>
      <c r="G19" s="103" t="s">
        <v>20</v>
      </c>
      <c r="I19" s="103">
        <v>201503</v>
      </c>
      <c r="J19" s="104">
        <v>-60.67</v>
      </c>
      <c r="K19" s="72">
        <f t="shared" si="4"/>
        <v>42675</v>
      </c>
      <c r="L19" s="67">
        <f t="shared" si="0"/>
        <v>6</v>
      </c>
      <c r="M19" s="105">
        <v>1.4833299999999999E-3</v>
      </c>
      <c r="N19" s="104">
        <f t="shared" si="1"/>
        <v>-0.53996178660000005</v>
      </c>
      <c r="O19" s="66"/>
      <c r="P19" s="71">
        <f t="shared" si="2"/>
        <v>0</v>
      </c>
      <c r="Q19" s="132"/>
      <c r="R19" s="71">
        <f t="shared" si="3"/>
        <v>-0.9283394770833332</v>
      </c>
    </row>
    <row r="20" spans="1:23">
      <c r="A20" s="102" t="s">
        <v>21</v>
      </c>
      <c r="B20" s="103" t="s">
        <v>678</v>
      </c>
      <c r="C20" s="103" t="s">
        <v>679</v>
      </c>
      <c r="D20" s="102" t="s">
        <v>680</v>
      </c>
      <c r="E20" s="103" t="s">
        <v>75</v>
      </c>
      <c r="F20" s="102" t="s">
        <v>26</v>
      </c>
      <c r="G20" s="103" t="s">
        <v>20</v>
      </c>
      <c r="I20" s="103">
        <v>201503</v>
      </c>
      <c r="J20" s="104">
        <v>-211.19</v>
      </c>
      <c r="K20" s="72">
        <f t="shared" si="4"/>
        <v>42675</v>
      </c>
      <c r="L20" s="67">
        <f t="shared" si="0"/>
        <v>6</v>
      </c>
      <c r="M20" s="105">
        <v>1.4833299999999999E-3</v>
      </c>
      <c r="N20" s="104">
        <f t="shared" si="1"/>
        <v>-1.8795867762</v>
      </c>
      <c r="O20" s="66"/>
      <c r="P20" s="71">
        <f t="shared" si="2"/>
        <v>0</v>
      </c>
      <c r="Q20" s="132"/>
      <c r="R20" s="71">
        <f t="shared" si="3"/>
        <v>-3.2315149854166663</v>
      </c>
    </row>
    <row r="21" spans="1:23">
      <c r="A21" s="102" t="s">
        <v>21</v>
      </c>
      <c r="B21" s="103" t="s">
        <v>1124</v>
      </c>
      <c r="C21" s="103" t="s">
        <v>1125</v>
      </c>
      <c r="D21" s="102" t="s">
        <v>1126</v>
      </c>
      <c r="E21" s="103" t="s">
        <v>87</v>
      </c>
      <c r="F21" s="102" t="s">
        <v>88</v>
      </c>
      <c r="G21" s="103" t="s">
        <v>20</v>
      </c>
      <c r="I21" s="103">
        <v>201503</v>
      </c>
      <c r="J21" s="104">
        <v>-2403.4499999999998</v>
      </c>
      <c r="K21" s="72">
        <f t="shared" si="4"/>
        <v>42675</v>
      </c>
      <c r="L21" s="67">
        <f t="shared" si="0"/>
        <v>6</v>
      </c>
      <c r="M21" s="105">
        <v>1.4833299999999999E-3</v>
      </c>
      <c r="N21" s="104">
        <f t="shared" si="1"/>
        <v>-21.390656930999999</v>
      </c>
      <c r="O21" s="66"/>
      <c r="P21" s="71">
        <f t="shared" si="2"/>
        <v>0</v>
      </c>
      <c r="Q21" s="132"/>
      <c r="R21" s="71">
        <f t="shared" si="3"/>
        <v>-36.776290031249999</v>
      </c>
    </row>
    <row r="22" spans="1:23">
      <c r="A22" s="102" t="s">
        <v>21</v>
      </c>
      <c r="B22" s="103" t="s">
        <v>1127</v>
      </c>
      <c r="C22" s="103" t="s">
        <v>1128</v>
      </c>
      <c r="D22" s="102" t="s">
        <v>1129</v>
      </c>
      <c r="E22" s="103" t="s">
        <v>87</v>
      </c>
      <c r="F22" s="102" t="s">
        <v>88</v>
      </c>
      <c r="G22" s="103" t="s">
        <v>20</v>
      </c>
      <c r="I22" s="103">
        <v>201503</v>
      </c>
      <c r="J22" s="104">
        <v>-4556.46</v>
      </c>
      <c r="K22" s="72">
        <f t="shared" si="4"/>
        <v>42675</v>
      </c>
      <c r="L22" s="67">
        <f t="shared" si="0"/>
        <v>6</v>
      </c>
      <c r="M22" s="105">
        <v>1.4833299999999999E-3</v>
      </c>
      <c r="N22" s="104">
        <f t="shared" si="1"/>
        <v>-40.552402870800002</v>
      </c>
      <c r="O22" s="66"/>
      <c r="P22" s="71">
        <f t="shared" si="2"/>
        <v>0</v>
      </c>
      <c r="Q22" s="132"/>
      <c r="R22" s="71">
        <f t="shared" si="3"/>
        <v>-69.720482837499986</v>
      </c>
    </row>
    <row r="23" spans="1:23">
      <c r="A23" s="102" t="s">
        <v>21</v>
      </c>
      <c r="B23" s="103" t="s">
        <v>870</v>
      </c>
      <c r="C23" s="103" t="s">
        <v>871</v>
      </c>
      <c r="D23" s="102" t="s">
        <v>872</v>
      </c>
      <c r="E23" s="103" t="s">
        <v>873</v>
      </c>
      <c r="F23" s="102" t="s">
        <v>874</v>
      </c>
      <c r="G23" s="103" t="s">
        <v>20</v>
      </c>
      <c r="I23" s="103">
        <v>201503</v>
      </c>
      <c r="J23" s="104">
        <v>6.58</v>
      </c>
      <c r="K23" s="72">
        <f t="shared" si="4"/>
        <v>42675</v>
      </c>
      <c r="L23" s="67">
        <f t="shared" si="0"/>
        <v>6</v>
      </c>
      <c r="M23" s="105">
        <v>1.4833299999999999E-3</v>
      </c>
      <c r="N23" s="104">
        <f t="shared" si="1"/>
        <v>5.8561868400000001E-2</v>
      </c>
      <c r="O23" s="66"/>
      <c r="P23" s="71">
        <f t="shared" si="2"/>
        <v>0</v>
      </c>
      <c r="Q23" s="132"/>
      <c r="R23" s="71">
        <f t="shared" si="3"/>
        <v>0.10068359583333332</v>
      </c>
    </row>
    <row r="24" spans="1:23">
      <c r="A24" s="102" t="s">
        <v>21</v>
      </c>
      <c r="B24" s="103" t="s">
        <v>888</v>
      </c>
      <c r="C24" s="103" t="s">
        <v>889</v>
      </c>
      <c r="D24" s="102" t="s">
        <v>890</v>
      </c>
      <c r="E24" s="103" t="s">
        <v>280</v>
      </c>
      <c r="F24" s="102" t="s">
        <v>26</v>
      </c>
      <c r="G24" s="103" t="s">
        <v>20</v>
      </c>
      <c r="I24" s="103">
        <v>201503</v>
      </c>
      <c r="J24" s="104">
        <v>6.95</v>
      </c>
      <c r="K24" s="72">
        <f t="shared" si="4"/>
        <v>42675</v>
      </c>
      <c r="L24" s="67">
        <f t="shared" si="0"/>
        <v>6</v>
      </c>
      <c r="M24" s="105">
        <v>1.4833299999999999E-3</v>
      </c>
      <c r="N24" s="104">
        <f t="shared" si="1"/>
        <v>6.1854861000000004E-2</v>
      </c>
      <c r="O24" s="66"/>
      <c r="P24" s="71">
        <f t="shared" si="2"/>
        <v>0</v>
      </c>
      <c r="Q24" s="132"/>
      <c r="R24" s="71">
        <f t="shared" si="3"/>
        <v>0.10634513541666667</v>
      </c>
    </row>
    <row r="25" spans="1:23">
      <c r="A25" s="102" t="s">
        <v>21</v>
      </c>
      <c r="B25" s="103" t="s">
        <v>1191</v>
      </c>
      <c r="C25" s="103" t="s">
        <v>1192</v>
      </c>
      <c r="D25" s="102" t="s">
        <v>1193</v>
      </c>
      <c r="E25" s="103" t="s">
        <v>402</v>
      </c>
      <c r="F25" s="102" t="s">
        <v>19</v>
      </c>
      <c r="G25" s="103" t="s">
        <v>20</v>
      </c>
      <c r="I25" s="103">
        <v>201503</v>
      </c>
      <c r="J25" s="104">
        <v>1877.41</v>
      </c>
      <c r="K25" s="72">
        <f t="shared" si="4"/>
        <v>42675</v>
      </c>
      <c r="L25" s="67">
        <f t="shared" si="0"/>
        <v>6</v>
      </c>
      <c r="M25" s="105">
        <v>1.4833299999999999E-3</v>
      </c>
      <c r="N25" s="104">
        <f t="shared" si="1"/>
        <v>16.708911451800002</v>
      </c>
      <c r="O25" s="66"/>
      <c r="P25" s="71">
        <f t="shared" si="2"/>
        <v>0</v>
      </c>
      <c r="Q25" s="132"/>
      <c r="R25" s="71">
        <f t="shared" si="3"/>
        <v>28.727110889583333</v>
      </c>
    </row>
    <row r="26" spans="1:23">
      <c r="A26" s="102" t="s">
        <v>21</v>
      </c>
      <c r="B26" s="103" t="s">
        <v>953</v>
      </c>
      <c r="C26" s="103" t="s">
        <v>954</v>
      </c>
      <c r="D26" s="102" t="s">
        <v>955</v>
      </c>
      <c r="E26" s="103" t="s">
        <v>531</v>
      </c>
      <c r="F26" s="102" t="s">
        <v>26</v>
      </c>
      <c r="G26" s="103" t="s">
        <v>20</v>
      </c>
      <c r="I26" s="103">
        <v>201503</v>
      </c>
      <c r="J26" s="104">
        <v>1.38</v>
      </c>
      <c r="K26" s="72">
        <f t="shared" si="4"/>
        <v>42675</v>
      </c>
      <c r="L26" s="67">
        <f t="shared" si="0"/>
        <v>6</v>
      </c>
      <c r="M26" s="105">
        <v>1.4833299999999999E-3</v>
      </c>
      <c r="N26" s="104">
        <f t="shared" si="1"/>
        <v>1.2281972399999999E-2</v>
      </c>
      <c r="O26" s="66"/>
      <c r="P26" s="71">
        <f t="shared" si="2"/>
        <v>0</v>
      </c>
      <c r="Q26" s="132"/>
      <c r="R26" s="71">
        <f t="shared" si="3"/>
        <v>2.1116012499999996E-2</v>
      </c>
    </row>
    <row r="27" spans="1:23">
      <c r="A27" s="102" t="s">
        <v>21</v>
      </c>
      <c r="B27" s="103" t="s">
        <v>1145</v>
      </c>
      <c r="C27" s="103" t="s">
        <v>1146</v>
      </c>
      <c r="D27" s="102" t="s">
        <v>1147</v>
      </c>
      <c r="E27" s="103" t="s">
        <v>962</v>
      </c>
      <c r="F27" s="102" t="s">
        <v>88</v>
      </c>
      <c r="G27" s="103" t="s">
        <v>20</v>
      </c>
      <c r="I27" s="103">
        <v>201503</v>
      </c>
      <c r="J27" s="104">
        <v>287.77999999999997</v>
      </c>
      <c r="K27" s="72">
        <f t="shared" si="4"/>
        <v>42675</v>
      </c>
      <c r="L27" s="67">
        <f t="shared" si="0"/>
        <v>6</v>
      </c>
      <c r="M27" s="105">
        <v>1.4833299999999999E-3</v>
      </c>
      <c r="N27" s="104">
        <f t="shared" si="1"/>
        <v>2.5612362443999999</v>
      </c>
      <c r="O27" s="66"/>
      <c r="P27" s="71">
        <f t="shared" si="2"/>
        <v>0</v>
      </c>
      <c r="Q27" s="132"/>
      <c r="R27" s="71">
        <f t="shared" si="3"/>
        <v>4.4034536791666659</v>
      </c>
    </row>
    <row r="28" spans="1:23">
      <c r="A28" s="102" t="s">
        <v>21</v>
      </c>
      <c r="B28" s="103" t="s">
        <v>1289</v>
      </c>
      <c r="C28" s="103" t="s">
        <v>1290</v>
      </c>
      <c r="D28" s="102" t="s">
        <v>1291</v>
      </c>
      <c r="E28" s="103" t="s">
        <v>209</v>
      </c>
      <c r="F28" s="102" t="s">
        <v>88</v>
      </c>
      <c r="G28" s="103" t="s">
        <v>20</v>
      </c>
      <c r="I28" s="103">
        <v>201503</v>
      </c>
      <c r="J28" s="104">
        <v>16.739999999999998</v>
      </c>
      <c r="K28" s="72">
        <f t="shared" si="4"/>
        <v>42675</v>
      </c>
      <c r="L28" s="67">
        <f t="shared" si="0"/>
        <v>6</v>
      </c>
      <c r="M28" s="105">
        <v>1.4833299999999999E-3</v>
      </c>
      <c r="N28" s="104">
        <f t="shared" si="1"/>
        <v>0.14898566519999998</v>
      </c>
      <c r="O28" s="66"/>
      <c r="P28" s="71">
        <f t="shared" si="2"/>
        <v>0</v>
      </c>
      <c r="Q28" s="132"/>
      <c r="R28" s="71">
        <f t="shared" si="3"/>
        <v>0.25614641249999992</v>
      </c>
    </row>
    <row r="29" spans="1:23">
      <c r="A29" s="102" t="s">
        <v>21</v>
      </c>
      <c r="B29" s="103" t="s">
        <v>876</v>
      </c>
      <c r="C29" s="103" t="s">
        <v>877</v>
      </c>
      <c r="D29" s="102" t="s">
        <v>878</v>
      </c>
      <c r="E29" s="103" t="s">
        <v>93</v>
      </c>
      <c r="F29" s="102" t="s">
        <v>88</v>
      </c>
      <c r="G29" s="103" t="s">
        <v>20</v>
      </c>
      <c r="I29" s="103">
        <v>201503</v>
      </c>
      <c r="J29" s="104">
        <v>88.97</v>
      </c>
      <c r="K29" s="72">
        <f t="shared" si="4"/>
        <v>42675</v>
      </c>
      <c r="L29" s="67">
        <f t="shared" si="0"/>
        <v>6</v>
      </c>
      <c r="M29" s="105">
        <v>1.4833299999999999E-3</v>
      </c>
      <c r="N29" s="104">
        <f t="shared" si="1"/>
        <v>0.7918312206</v>
      </c>
      <c r="O29" s="66"/>
      <c r="P29" s="71">
        <f t="shared" si="2"/>
        <v>0</v>
      </c>
      <c r="Q29" s="132"/>
      <c r="R29" s="71">
        <f t="shared" si="3"/>
        <v>1.3613707479166663</v>
      </c>
    </row>
    <row r="30" spans="1:23">
      <c r="A30" s="102" t="s">
        <v>21</v>
      </c>
      <c r="B30" s="103" t="s">
        <v>966</v>
      </c>
      <c r="C30" s="103" t="s">
        <v>967</v>
      </c>
      <c r="D30" s="102" t="s">
        <v>968</v>
      </c>
      <c r="E30" s="103" t="s">
        <v>209</v>
      </c>
      <c r="F30" s="102" t="s">
        <v>88</v>
      </c>
      <c r="G30" s="103" t="s">
        <v>20</v>
      </c>
      <c r="I30" s="103">
        <v>201503</v>
      </c>
      <c r="J30" s="104">
        <v>10.19</v>
      </c>
      <c r="K30" s="72">
        <f t="shared" si="4"/>
        <v>42675</v>
      </c>
      <c r="L30" s="67">
        <f t="shared" si="0"/>
        <v>6</v>
      </c>
      <c r="M30" s="105">
        <v>1.4833299999999999E-3</v>
      </c>
      <c r="N30" s="104">
        <f t="shared" si="1"/>
        <v>9.0690796199999993E-2</v>
      </c>
      <c r="O30" s="66"/>
      <c r="P30" s="71">
        <f t="shared" si="2"/>
        <v>0</v>
      </c>
      <c r="Q30" s="132"/>
      <c r="R30" s="71">
        <f t="shared" si="3"/>
        <v>0.15592186041666664</v>
      </c>
    </row>
    <row r="31" spans="1:23">
      <c r="A31" s="106" t="s">
        <v>21</v>
      </c>
      <c r="B31" s="103" t="s">
        <v>882</v>
      </c>
      <c r="C31" s="103" t="s">
        <v>883</v>
      </c>
      <c r="D31" s="102" t="s">
        <v>884</v>
      </c>
      <c r="E31" s="103" t="s">
        <v>87</v>
      </c>
      <c r="F31" s="102" t="s">
        <v>88</v>
      </c>
      <c r="G31" s="103" t="s">
        <v>20</v>
      </c>
      <c r="I31" s="103">
        <v>201503</v>
      </c>
      <c r="J31" s="104">
        <v>61.26</v>
      </c>
      <c r="K31" s="72">
        <f t="shared" si="4"/>
        <v>42675</v>
      </c>
      <c r="L31" s="67">
        <f t="shared" si="0"/>
        <v>6</v>
      </c>
      <c r="M31" s="105">
        <v>1.4833299999999999E-3</v>
      </c>
      <c r="N31" s="104">
        <f t="shared" si="1"/>
        <v>0.54521277479999997</v>
      </c>
      <c r="O31" s="66"/>
      <c r="P31" s="71">
        <f t="shared" si="2"/>
        <v>0</v>
      </c>
      <c r="Q31" s="132"/>
      <c r="R31" s="71">
        <f t="shared" si="3"/>
        <v>0.93736733749999979</v>
      </c>
    </row>
    <row r="32" spans="1:23">
      <c r="A32" s="102" t="s">
        <v>21</v>
      </c>
      <c r="B32" s="103" t="s">
        <v>1303</v>
      </c>
      <c r="C32" s="103" t="s">
        <v>1304</v>
      </c>
      <c r="D32" s="102" t="s">
        <v>1305</v>
      </c>
      <c r="E32" s="103" t="s">
        <v>18</v>
      </c>
      <c r="F32" s="102" t="s">
        <v>19</v>
      </c>
      <c r="G32" s="103" t="s">
        <v>20</v>
      </c>
      <c r="I32" s="103">
        <v>201503</v>
      </c>
      <c r="J32" s="104">
        <v>9172.36</v>
      </c>
      <c r="K32" s="72">
        <f t="shared" si="4"/>
        <v>42675</v>
      </c>
      <c r="L32" s="67">
        <f t="shared" si="0"/>
        <v>6</v>
      </c>
      <c r="M32" s="105">
        <v>1.4833299999999999E-3</v>
      </c>
      <c r="N32" s="104">
        <f t="shared" si="1"/>
        <v>81.633820552800003</v>
      </c>
      <c r="O32" s="66"/>
      <c r="P32" s="71">
        <f t="shared" si="2"/>
        <v>0</v>
      </c>
      <c r="Q32" s="132"/>
      <c r="R32" s="71">
        <f t="shared" si="3"/>
        <v>140.35048435833332</v>
      </c>
    </row>
    <row r="33" spans="1:18">
      <c r="A33" s="102" t="s">
        <v>21</v>
      </c>
      <c r="B33" s="103" t="s">
        <v>1100</v>
      </c>
      <c r="C33" s="103" t="s">
        <v>1101</v>
      </c>
      <c r="D33" s="102" t="s">
        <v>1102</v>
      </c>
      <c r="E33" s="103" t="s">
        <v>397</v>
      </c>
      <c r="F33" s="102" t="s">
        <v>398</v>
      </c>
      <c r="G33" s="103" t="s">
        <v>20</v>
      </c>
      <c r="I33" s="103">
        <v>201503</v>
      </c>
      <c r="J33" s="104">
        <v>52.01</v>
      </c>
      <c r="K33" s="72">
        <f t="shared" si="4"/>
        <v>42675</v>
      </c>
      <c r="L33" s="67">
        <f t="shared" si="0"/>
        <v>6</v>
      </c>
      <c r="M33" s="105">
        <v>1.4833299999999999E-3</v>
      </c>
      <c r="N33" s="104">
        <f t="shared" si="1"/>
        <v>0.46288795979999997</v>
      </c>
      <c r="O33" s="66"/>
      <c r="P33" s="71">
        <f t="shared" si="2"/>
        <v>0</v>
      </c>
      <c r="Q33" s="132"/>
      <c r="R33" s="71">
        <f t="shared" si="3"/>
        <v>0.79582884791666653</v>
      </c>
    </row>
    <row r="34" spans="1:18">
      <c r="A34" s="102" t="s">
        <v>21</v>
      </c>
      <c r="B34" s="103" t="s">
        <v>894</v>
      </c>
      <c r="C34" s="103" t="s">
        <v>895</v>
      </c>
      <c r="D34" s="102" t="s">
        <v>896</v>
      </c>
      <c r="E34" s="103" t="s">
        <v>280</v>
      </c>
      <c r="F34" s="102" t="s">
        <v>26</v>
      </c>
      <c r="G34" s="103" t="s">
        <v>20</v>
      </c>
      <c r="I34" s="103">
        <v>201503</v>
      </c>
      <c r="J34" s="104">
        <v>1.79</v>
      </c>
      <c r="K34" s="72">
        <f t="shared" si="4"/>
        <v>42675</v>
      </c>
      <c r="L34" s="67">
        <f t="shared" si="0"/>
        <v>6</v>
      </c>
      <c r="M34" s="105">
        <v>1.4833299999999999E-3</v>
      </c>
      <c r="N34" s="104">
        <f t="shared" si="1"/>
        <v>1.5930964200000002E-2</v>
      </c>
      <c r="O34" s="66"/>
      <c r="P34" s="71">
        <f t="shared" si="2"/>
        <v>0</v>
      </c>
      <c r="Q34" s="132"/>
      <c r="R34" s="71">
        <f t="shared" si="3"/>
        <v>2.7389610416666665E-2</v>
      </c>
    </row>
    <row r="35" spans="1:18">
      <c r="A35" s="106" t="s">
        <v>21</v>
      </c>
      <c r="B35" s="103" t="s">
        <v>1259</v>
      </c>
      <c r="C35" s="103" t="s">
        <v>1260</v>
      </c>
      <c r="D35" s="102" t="s">
        <v>1261</v>
      </c>
      <c r="E35" s="103" t="s">
        <v>756</v>
      </c>
      <c r="F35" s="102" t="s">
        <v>757</v>
      </c>
      <c r="G35" s="103" t="s">
        <v>20</v>
      </c>
      <c r="I35" s="103">
        <v>201503</v>
      </c>
      <c r="J35" s="104">
        <v>4129.46</v>
      </c>
      <c r="K35" s="72">
        <f t="shared" si="4"/>
        <v>42675</v>
      </c>
      <c r="L35" s="67">
        <f t="shared" si="0"/>
        <v>6</v>
      </c>
      <c r="M35" s="105">
        <v>1.4833299999999999E-3</v>
      </c>
      <c r="N35" s="104">
        <f t="shared" si="1"/>
        <v>36.752111410799998</v>
      </c>
      <c r="O35" s="66"/>
      <c r="P35" s="71">
        <f t="shared" si="2"/>
        <v>0</v>
      </c>
      <c r="Q35" s="132"/>
      <c r="R35" s="71">
        <f t="shared" si="3"/>
        <v>63.186760129166657</v>
      </c>
    </row>
    <row r="36" spans="1:18">
      <c r="A36" s="106" t="s">
        <v>21</v>
      </c>
      <c r="B36" s="103" t="s">
        <v>1306</v>
      </c>
      <c r="C36" s="103" t="s">
        <v>1307</v>
      </c>
      <c r="D36" s="102" t="s">
        <v>1308</v>
      </c>
      <c r="E36" s="103" t="s">
        <v>18</v>
      </c>
      <c r="F36" s="102" t="s">
        <v>19</v>
      </c>
      <c r="G36" s="103" t="s">
        <v>20</v>
      </c>
      <c r="I36" s="103">
        <v>201503</v>
      </c>
      <c r="J36" s="104">
        <v>144794.51</v>
      </c>
      <c r="K36" s="72">
        <f t="shared" si="4"/>
        <v>42675</v>
      </c>
      <c r="L36" s="67">
        <f t="shared" si="0"/>
        <v>6</v>
      </c>
      <c r="M36" s="105">
        <v>1.4833299999999999E-3</v>
      </c>
      <c r="N36" s="104">
        <f t="shared" si="1"/>
        <v>1288.6682431098002</v>
      </c>
      <c r="O36" s="66"/>
      <c r="P36" s="71">
        <f t="shared" si="2"/>
        <v>0</v>
      </c>
      <c r="Q36" s="132"/>
      <c r="R36" s="71">
        <f t="shared" si="3"/>
        <v>2215.5671616604168</v>
      </c>
    </row>
    <row r="37" spans="1:18">
      <c r="A37" s="102" t="s">
        <v>21</v>
      </c>
      <c r="B37" s="103" t="s">
        <v>1262</v>
      </c>
      <c r="C37" s="103" t="s">
        <v>1263</v>
      </c>
      <c r="D37" s="102" t="s">
        <v>1264</v>
      </c>
      <c r="E37" s="103" t="s">
        <v>172</v>
      </c>
      <c r="F37" s="102" t="s">
        <v>173</v>
      </c>
      <c r="G37" s="103" t="s">
        <v>20</v>
      </c>
      <c r="I37" s="103">
        <v>201503</v>
      </c>
      <c r="J37" s="104">
        <v>24.56</v>
      </c>
      <c r="K37" s="72">
        <f t="shared" si="4"/>
        <v>42675</v>
      </c>
      <c r="L37" s="67">
        <f t="shared" si="0"/>
        <v>6</v>
      </c>
      <c r="M37" s="105">
        <v>1.4833299999999999E-3</v>
      </c>
      <c r="N37" s="104">
        <f t="shared" si="1"/>
        <v>0.21858350879999999</v>
      </c>
      <c r="O37" s="66"/>
      <c r="P37" s="71">
        <f t="shared" si="2"/>
        <v>0</v>
      </c>
      <c r="Q37" s="132"/>
      <c r="R37" s="71">
        <f t="shared" si="3"/>
        <v>0.37580381666666657</v>
      </c>
    </row>
    <row r="38" spans="1:18">
      <c r="A38" s="102" t="s">
        <v>21</v>
      </c>
      <c r="B38" s="103" t="s">
        <v>1151</v>
      </c>
      <c r="C38" s="103" t="s">
        <v>1152</v>
      </c>
      <c r="D38" s="102" t="s">
        <v>1153</v>
      </c>
      <c r="E38" s="103" t="s">
        <v>70</v>
      </c>
      <c r="F38" s="102" t="s">
        <v>71</v>
      </c>
      <c r="G38" s="103" t="s">
        <v>20</v>
      </c>
      <c r="I38" s="103">
        <v>201503</v>
      </c>
      <c r="J38" s="104">
        <v>7299.5</v>
      </c>
      <c r="K38" s="72">
        <f t="shared" si="4"/>
        <v>42675</v>
      </c>
      <c r="L38" s="67">
        <f t="shared" si="0"/>
        <v>6</v>
      </c>
      <c r="M38" s="105">
        <v>1.4833299999999999E-3</v>
      </c>
      <c r="N38" s="104">
        <f t="shared" si="1"/>
        <v>64.96540401</v>
      </c>
      <c r="O38" s="66"/>
      <c r="P38" s="71">
        <f t="shared" si="2"/>
        <v>0</v>
      </c>
      <c r="Q38" s="132"/>
      <c r="R38" s="71">
        <f t="shared" si="3"/>
        <v>111.69299510416666</v>
      </c>
    </row>
    <row r="39" spans="1:18">
      <c r="A39" s="102" t="s">
        <v>21</v>
      </c>
      <c r="B39" s="103" t="s">
        <v>1265</v>
      </c>
      <c r="C39" s="103" t="s">
        <v>1266</v>
      </c>
      <c r="D39" s="102" t="s">
        <v>1267</v>
      </c>
      <c r="E39" s="103" t="s">
        <v>172</v>
      </c>
      <c r="F39" s="102" t="s">
        <v>173</v>
      </c>
      <c r="G39" s="103" t="s">
        <v>20</v>
      </c>
      <c r="I39" s="103">
        <v>201503</v>
      </c>
      <c r="J39" s="104">
        <v>-20.350000000000001</v>
      </c>
      <c r="K39" s="72">
        <f t="shared" si="4"/>
        <v>42675</v>
      </c>
      <c r="L39" s="67">
        <f t="shared" si="0"/>
        <v>6</v>
      </c>
      <c r="M39" s="105">
        <v>1.4833299999999999E-3</v>
      </c>
      <c r="N39" s="104">
        <f t="shared" si="1"/>
        <v>-0.18111459300000002</v>
      </c>
      <c r="O39" s="66"/>
      <c r="P39" s="71">
        <f t="shared" si="2"/>
        <v>0</v>
      </c>
      <c r="Q39" s="132"/>
      <c r="R39" s="71">
        <f t="shared" si="3"/>
        <v>-0.31138467708333334</v>
      </c>
    </row>
    <row r="40" spans="1:18">
      <c r="A40" s="102" t="s">
        <v>21</v>
      </c>
      <c r="B40" s="103" t="s">
        <v>1154</v>
      </c>
      <c r="C40" s="103" t="s">
        <v>1155</v>
      </c>
      <c r="D40" s="102" t="s">
        <v>1156</v>
      </c>
      <c r="E40" s="103" t="s">
        <v>397</v>
      </c>
      <c r="F40" s="102" t="s">
        <v>398</v>
      </c>
      <c r="G40" s="103" t="s">
        <v>20</v>
      </c>
      <c r="I40" s="103">
        <v>201503</v>
      </c>
      <c r="J40" s="104">
        <v>442.35</v>
      </c>
      <c r="K40" s="72">
        <f t="shared" si="4"/>
        <v>42675</v>
      </c>
      <c r="L40" s="67">
        <f t="shared" si="0"/>
        <v>6</v>
      </c>
      <c r="M40" s="105">
        <v>1.4833299999999999E-3</v>
      </c>
      <c r="N40" s="104">
        <f t="shared" si="1"/>
        <v>3.9369061530000002</v>
      </c>
      <c r="O40" s="66"/>
      <c r="P40" s="71">
        <f t="shared" si="2"/>
        <v>0</v>
      </c>
      <c r="Q40" s="132"/>
      <c r="R40" s="71">
        <f t="shared" si="3"/>
        <v>6.7686000937499999</v>
      </c>
    </row>
    <row r="41" spans="1:18">
      <c r="A41" s="102" t="s">
        <v>21</v>
      </c>
      <c r="B41" s="103" t="s">
        <v>1221</v>
      </c>
      <c r="C41" s="103" t="s">
        <v>1222</v>
      </c>
      <c r="D41" s="102" t="s">
        <v>1223</v>
      </c>
      <c r="E41" s="103" t="s">
        <v>360</v>
      </c>
      <c r="F41" s="102" t="s">
        <v>19</v>
      </c>
      <c r="G41" s="103" t="s">
        <v>20</v>
      </c>
      <c r="I41" s="103">
        <v>201503</v>
      </c>
      <c r="J41" s="104">
        <v>1096.78</v>
      </c>
      <c r="K41" s="72">
        <f t="shared" si="4"/>
        <v>42675</v>
      </c>
      <c r="L41" s="67">
        <f t="shared" si="0"/>
        <v>6</v>
      </c>
      <c r="M41" s="105">
        <v>1.4833299999999999E-3</v>
      </c>
      <c r="N41" s="104">
        <f t="shared" si="1"/>
        <v>9.7613200643999996</v>
      </c>
      <c r="O41" s="66"/>
      <c r="P41" s="71">
        <f t="shared" si="2"/>
        <v>0</v>
      </c>
      <c r="Q41" s="132"/>
      <c r="R41" s="71">
        <f t="shared" si="3"/>
        <v>16.782333470833329</v>
      </c>
    </row>
    <row r="42" spans="1:18">
      <c r="A42" s="102" t="s">
        <v>21</v>
      </c>
      <c r="B42" s="103" t="s">
        <v>1309</v>
      </c>
      <c r="C42" s="103" t="s">
        <v>1310</v>
      </c>
      <c r="D42" s="102" t="s">
        <v>1311</v>
      </c>
      <c r="E42" s="103" t="s">
        <v>79</v>
      </c>
      <c r="F42" s="102" t="s">
        <v>26</v>
      </c>
      <c r="G42" s="103" t="s">
        <v>20</v>
      </c>
      <c r="I42" s="103">
        <v>201503</v>
      </c>
      <c r="J42" s="104">
        <v>12960.09</v>
      </c>
      <c r="K42" s="72">
        <f t="shared" si="4"/>
        <v>42675</v>
      </c>
      <c r="L42" s="67">
        <f t="shared" si="0"/>
        <v>6</v>
      </c>
      <c r="M42" s="105">
        <v>1.4833299999999999E-3</v>
      </c>
      <c r="N42" s="104">
        <f t="shared" si="1"/>
        <v>115.3445417982</v>
      </c>
      <c r="O42" s="66"/>
      <c r="P42" s="71">
        <f t="shared" si="2"/>
        <v>0</v>
      </c>
      <c r="Q42" s="132"/>
      <c r="R42" s="71">
        <f t="shared" si="3"/>
        <v>198.30827713124998</v>
      </c>
    </row>
    <row r="43" spans="1:18">
      <c r="A43" s="102" t="s">
        <v>21</v>
      </c>
      <c r="B43" s="103" t="s">
        <v>1230</v>
      </c>
      <c r="C43" s="103" t="s">
        <v>1231</v>
      </c>
      <c r="D43" s="102" t="s">
        <v>1232</v>
      </c>
      <c r="E43" s="103" t="s">
        <v>63</v>
      </c>
      <c r="F43" s="102" t="s">
        <v>19</v>
      </c>
      <c r="G43" s="103" t="s">
        <v>20</v>
      </c>
      <c r="I43" s="103">
        <v>201503</v>
      </c>
      <c r="J43" s="104">
        <v>-4.34</v>
      </c>
      <c r="K43" s="72">
        <f t="shared" si="4"/>
        <v>42675</v>
      </c>
      <c r="L43" s="67">
        <f t="shared" si="0"/>
        <v>6</v>
      </c>
      <c r="M43" s="105">
        <v>1.4833299999999999E-3</v>
      </c>
      <c r="N43" s="104">
        <f t="shared" si="1"/>
        <v>-3.8625913200000001E-2</v>
      </c>
      <c r="O43" s="66"/>
      <c r="P43" s="71">
        <f t="shared" si="2"/>
        <v>0</v>
      </c>
      <c r="Q43" s="132"/>
      <c r="R43" s="71">
        <f t="shared" si="3"/>
        <v>-6.6408329166666655E-2</v>
      </c>
    </row>
    <row r="44" spans="1:18">
      <c r="A44" s="102" t="s">
        <v>21</v>
      </c>
      <c r="B44" s="103" t="s">
        <v>1233</v>
      </c>
      <c r="C44" s="103" t="s">
        <v>1234</v>
      </c>
      <c r="D44" s="102" t="s">
        <v>1235</v>
      </c>
      <c r="E44" s="103" t="s">
        <v>172</v>
      </c>
      <c r="F44" s="102" t="s">
        <v>173</v>
      </c>
      <c r="G44" s="103" t="s">
        <v>20</v>
      </c>
      <c r="I44" s="103">
        <v>201503</v>
      </c>
      <c r="J44" s="104">
        <v>10.64</v>
      </c>
      <c r="K44" s="72">
        <f t="shared" si="4"/>
        <v>42675</v>
      </c>
      <c r="L44" s="67">
        <f t="shared" si="0"/>
        <v>6</v>
      </c>
      <c r="M44" s="105">
        <v>1.4833299999999999E-3</v>
      </c>
      <c r="N44" s="104">
        <f t="shared" si="1"/>
        <v>9.4695787200000006E-2</v>
      </c>
      <c r="O44" s="66"/>
      <c r="P44" s="71">
        <f t="shared" si="2"/>
        <v>0</v>
      </c>
      <c r="Q44" s="132"/>
      <c r="R44" s="71">
        <f t="shared" si="3"/>
        <v>0.16280751666666665</v>
      </c>
    </row>
    <row r="45" spans="1:18">
      <c r="A45" s="102" t="s">
        <v>133</v>
      </c>
      <c r="B45" s="103" t="s">
        <v>1312</v>
      </c>
      <c r="C45" s="103" t="s">
        <v>1313</v>
      </c>
      <c r="D45" s="102" t="s">
        <v>1314</v>
      </c>
      <c r="E45" s="103" t="s">
        <v>137</v>
      </c>
      <c r="F45" s="102" t="s">
        <v>138</v>
      </c>
      <c r="G45" s="103" t="s">
        <v>20</v>
      </c>
      <c r="I45" s="103">
        <v>201503</v>
      </c>
      <c r="J45" s="104">
        <v>81207.210000000006</v>
      </c>
      <c r="K45" s="72">
        <f t="shared" si="4"/>
        <v>42675</v>
      </c>
      <c r="L45" s="67">
        <f t="shared" si="0"/>
        <v>6</v>
      </c>
      <c r="M45" s="105">
        <v>1.4833299999999999E-3</v>
      </c>
      <c r="N45" s="104">
        <f t="shared" si="1"/>
        <v>722.74254485580002</v>
      </c>
      <c r="O45" s="66"/>
      <c r="P45" s="71">
        <f t="shared" si="2"/>
        <v>0</v>
      </c>
      <c r="Q45" s="132"/>
      <c r="R45" s="71">
        <f t="shared" si="3"/>
        <v>1242.5887401812499</v>
      </c>
    </row>
    <row r="46" spans="1:18">
      <c r="A46" s="102" t="s">
        <v>554</v>
      </c>
      <c r="B46" s="103" t="s">
        <v>116</v>
      </c>
      <c r="C46" s="103" t="s">
        <v>117</v>
      </c>
      <c r="D46" s="102" t="s">
        <v>118</v>
      </c>
      <c r="E46" s="103" t="s">
        <v>119</v>
      </c>
      <c r="F46" s="102" t="s">
        <v>120</v>
      </c>
      <c r="G46" s="103" t="s">
        <v>20</v>
      </c>
      <c r="I46" s="103">
        <v>201503</v>
      </c>
      <c r="J46" s="104">
        <v>45732.78</v>
      </c>
      <c r="K46" s="72">
        <f t="shared" si="4"/>
        <v>42675</v>
      </c>
      <c r="L46" s="67">
        <f t="shared" si="0"/>
        <v>6</v>
      </c>
      <c r="M46" s="105">
        <v>1.4833299999999999E-3</v>
      </c>
      <c r="N46" s="104">
        <f t="shared" si="1"/>
        <v>407.0208273444</v>
      </c>
      <c r="O46" s="66"/>
      <c r="P46" s="71">
        <f t="shared" si="2"/>
        <v>0</v>
      </c>
      <c r="Q46" s="132"/>
      <c r="R46" s="71">
        <f t="shared" si="3"/>
        <v>699.77822763749998</v>
      </c>
    </row>
    <row r="47" spans="1:18">
      <c r="A47" s="102" t="s">
        <v>626</v>
      </c>
      <c r="B47" s="103" t="s">
        <v>1063</v>
      </c>
      <c r="C47" s="103" t="s">
        <v>1064</v>
      </c>
      <c r="D47" s="102" t="s">
        <v>1065</v>
      </c>
      <c r="E47" s="103" t="s">
        <v>497</v>
      </c>
      <c r="F47" s="102" t="s">
        <v>26</v>
      </c>
      <c r="G47" s="103" t="s">
        <v>20</v>
      </c>
      <c r="I47" s="103">
        <v>201503</v>
      </c>
      <c r="J47" s="104">
        <v>842.46</v>
      </c>
      <c r="K47" s="72">
        <f t="shared" si="4"/>
        <v>42675</v>
      </c>
      <c r="L47" s="67">
        <f t="shared" si="0"/>
        <v>6</v>
      </c>
      <c r="M47" s="105">
        <v>1.4833299999999999E-3</v>
      </c>
      <c r="N47" s="104">
        <f t="shared" si="1"/>
        <v>7.4978771507999999</v>
      </c>
      <c r="O47" s="66"/>
      <c r="P47" s="71">
        <f t="shared" si="2"/>
        <v>0</v>
      </c>
      <c r="Q47" s="132"/>
      <c r="R47" s="71">
        <f t="shared" si="3"/>
        <v>12.8908665875</v>
      </c>
    </row>
    <row r="48" spans="1:18">
      <c r="A48" s="102" t="s">
        <v>626</v>
      </c>
      <c r="B48" s="103" t="s">
        <v>1066</v>
      </c>
      <c r="C48" s="103" t="s">
        <v>1067</v>
      </c>
      <c r="D48" s="102" t="s">
        <v>1068</v>
      </c>
      <c r="E48" s="103" t="s">
        <v>75</v>
      </c>
      <c r="F48" s="102" t="s">
        <v>26</v>
      </c>
      <c r="G48" s="103" t="s">
        <v>20</v>
      </c>
      <c r="I48" s="103">
        <v>201503</v>
      </c>
      <c r="J48" s="104">
        <v>-1262.51</v>
      </c>
      <c r="K48" s="72">
        <f t="shared" si="4"/>
        <v>42675</v>
      </c>
      <c r="L48" s="67">
        <f t="shared" si="0"/>
        <v>6</v>
      </c>
      <c r="M48" s="105">
        <v>1.4833299999999999E-3</v>
      </c>
      <c r="N48" s="104">
        <f t="shared" si="1"/>
        <v>-11.236313749800001</v>
      </c>
      <c r="O48" s="66"/>
      <c r="P48" s="71">
        <f t="shared" si="2"/>
        <v>0</v>
      </c>
      <c r="Q48" s="132"/>
      <c r="R48" s="71">
        <f t="shared" si="3"/>
        <v>-19.318244160416665</v>
      </c>
    </row>
    <row r="49" spans="1:18">
      <c r="A49" s="102" t="s">
        <v>626</v>
      </c>
      <c r="B49" s="103" t="s">
        <v>1069</v>
      </c>
      <c r="C49" s="103" t="s">
        <v>1070</v>
      </c>
      <c r="D49" s="102" t="s">
        <v>1071</v>
      </c>
      <c r="E49" s="103" t="s">
        <v>260</v>
      </c>
      <c r="F49" s="102" t="s">
        <v>26</v>
      </c>
      <c r="G49" s="103" t="s">
        <v>20</v>
      </c>
      <c r="I49" s="103">
        <v>201503</v>
      </c>
      <c r="J49" s="104">
        <v>-7.05</v>
      </c>
      <c r="K49" s="72">
        <f t="shared" si="4"/>
        <v>42675</v>
      </c>
      <c r="L49" s="67">
        <f t="shared" si="0"/>
        <v>6</v>
      </c>
      <c r="M49" s="105">
        <v>1.4833299999999999E-3</v>
      </c>
      <c r="N49" s="104">
        <f t="shared" si="1"/>
        <v>-6.2744859E-2</v>
      </c>
      <c r="O49" s="66"/>
      <c r="P49" s="71">
        <f t="shared" si="2"/>
        <v>0</v>
      </c>
      <c r="Q49" s="132"/>
      <c r="R49" s="71">
        <f t="shared" si="3"/>
        <v>-0.10787528124999998</v>
      </c>
    </row>
    <row r="50" spans="1:18">
      <c r="A50" s="102" t="s">
        <v>626</v>
      </c>
      <c r="B50" s="103" t="s">
        <v>741</v>
      </c>
      <c r="C50" s="103" t="s">
        <v>742</v>
      </c>
      <c r="D50" s="102" t="s">
        <v>743</v>
      </c>
      <c r="E50" s="103" t="s">
        <v>415</v>
      </c>
      <c r="F50" s="102" t="s">
        <v>88</v>
      </c>
      <c r="G50" s="103" t="s">
        <v>20</v>
      </c>
      <c r="I50" s="103">
        <v>201503</v>
      </c>
      <c r="J50" s="104">
        <v>11.76</v>
      </c>
      <c r="K50" s="72">
        <f t="shared" si="4"/>
        <v>42675</v>
      </c>
      <c r="L50" s="67">
        <f t="shared" si="0"/>
        <v>6</v>
      </c>
      <c r="M50" s="105">
        <v>1.4833299999999999E-3</v>
      </c>
      <c r="N50" s="104">
        <f t="shared" si="1"/>
        <v>0.1046637648</v>
      </c>
      <c r="O50" s="66"/>
      <c r="P50" s="71">
        <f t="shared" si="2"/>
        <v>0</v>
      </c>
      <c r="Q50" s="132"/>
      <c r="R50" s="71">
        <f t="shared" si="3"/>
        <v>0.17994514999999997</v>
      </c>
    </row>
    <row r="51" spans="1:18">
      <c r="A51" s="102" t="s">
        <v>626</v>
      </c>
      <c r="B51" s="103" t="s">
        <v>700</v>
      </c>
      <c r="C51" s="103" t="s">
        <v>701</v>
      </c>
      <c r="D51" s="102" t="s">
        <v>702</v>
      </c>
      <c r="E51" s="103" t="s">
        <v>25</v>
      </c>
      <c r="F51" s="102" t="s">
        <v>26</v>
      </c>
      <c r="G51" s="103" t="s">
        <v>20</v>
      </c>
      <c r="I51" s="103">
        <v>201503</v>
      </c>
      <c r="J51" s="104">
        <v>0.54</v>
      </c>
      <c r="K51" s="72">
        <f t="shared" si="4"/>
        <v>42675</v>
      </c>
      <c r="L51" s="67">
        <f t="shared" si="0"/>
        <v>6</v>
      </c>
      <c r="M51" s="105">
        <v>1.4833299999999999E-3</v>
      </c>
      <c r="N51" s="104">
        <f t="shared" si="1"/>
        <v>4.8059892000000002E-3</v>
      </c>
      <c r="O51" s="66"/>
      <c r="P51" s="71">
        <f t="shared" si="2"/>
        <v>0</v>
      </c>
      <c r="Q51" s="132"/>
      <c r="R51" s="71">
        <f t="shared" si="3"/>
        <v>8.2627874999999986E-3</v>
      </c>
    </row>
    <row r="52" spans="1:18">
      <c r="A52" s="102" t="s">
        <v>626</v>
      </c>
      <c r="B52" s="103" t="s">
        <v>750</v>
      </c>
      <c r="C52" s="103" t="s">
        <v>751</v>
      </c>
      <c r="D52" s="102" t="s">
        <v>752</v>
      </c>
      <c r="E52" s="103" t="s">
        <v>164</v>
      </c>
      <c r="F52" s="102" t="s">
        <v>165</v>
      </c>
      <c r="G52" s="103" t="s">
        <v>20</v>
      </c>
      <c r="I52" s="103">
        <v>201503</v>
      </c>
      <c r="J52" s="104">
        <v>-43.29</v>
      </c>
      <c r="K52" s="72">
        <f t="shared" si="4"/>
        <v>42675</v>
      </c>
      <c r="L52" s="67">
        <f t="shared" si="0"/>
        <v>6</v>
      </c>
      <c r="M52" s="105">
        <v>1.4833299999999999E-3</v>
      </c>
      <c r="N52" s="104">
        <f t="shared" si="1"/>
        <v>-0.38528013420000001</v>
      </c>
      <c r="O52" s="66"/>
      <c r="P52" s="71">
        <f t="shared" si="2"/>
        <v>0</v>
      </c>
      <c r="Q52" s="132"/>
      <c r="R52" s="71">
        <f t="shared" si="3"/>
        <v>-0.66240013124999986</v>
      </c>
    </row>
    <row r="53" spans="1:18">
      <c r="A53" s="102" t="s">
        <v>626</v>
      </c>
      <c r="B53" s="103" t="s">
        <v>465</v>
      </c>
      <c r="C53" s="103" t="s">
        <v>466</v>
      </c>
      <c r="D53" s="102" t="s">
        <v>467</v>
      </c>
      <c r="E53" s="103" t="s">
        <v>75</v>
      </c>
      <c r="F53" s="102" t="s">
        <v>26</v>
      </c>
      <c r="G53" s="103" t="s">
        <v>20</v>
      </c>
      <c r="I53" s="103">
        <v>201503</v>
      </c>
      <c r="J53" s="104">
        <v>4.58</v>
      </c>
      <c r="K53" s="72">
        <f t="shared" si="4"/>
        <v>42675</v>
      </c>
      <c r="L53" s="67">
        <f t="shared" si="0"/>
        <v>6</v>
      </c>
      <c r="M53" s="105">
        <v>1.4833299999999999E-3</v>
      </c>
      <c r="N53" s="104">
        <f t="shared" si="1"/>
        <v>4.0761908399999998E-2</v>
      </c>
      <c r="O53" s="66"/>
      <c r="P53" s="71">
        <f t="shared" si="2"/>
        <v>0</v>
      </c>
      <c r="Q53" s="132"/>
      <c r="R53" s="71">
        <f t="shared" si="3"/>
        <v>7.008067916666666E-2</v>
      </c>
    </row>
    <row r="54" spans="1:18">
      <c r="A54" s="102" t="s">
        <v>626</v>
      </c>
      <c r="B54" s="103" t="s">
        <v>1076</v>
      </c>
      <c r="C54" s="103" t="s">
        <v>1077</v>
      </c>
      <c r="D54" s="102" t="s">
        <v>1078</v>
      </c>
      <c r="E54" s="103" t="s">
        <v>75</v>
      </c>
      <c r="F54" s="102" t="s">
        <v>26</v>
      </c>
      <c r="G54" s="103" t="s">
        <v>20</v>
      </c>
      <c r="I54" s="103">
        <v>201503</v>
      </c>
      <c r="J54" s="104">
        <v>21.39</v>
      </c>
      <c r="K54" s="72">
        <f t="shared" si="4"/>
        <v>42675</v>
      </c>
      <c r="L54" s="67">
        <f t="shared" si="0"/>
        <v>6</v>
      </c>
      <c r="M54" s="105">
        <v>1.4833299999999999E-3</v>
      </c>
      <c r="N54" s="104">
        <f t="shared" si="1"/>
        <v>0.1903705722</v>
      </c>
      <c r="O54" s="66"/>
      <c r="P54" s="71">
        <f t="shared" si="2"/>
        <v>0</v>
      </c>
      <c r="Q54" s="132"/>
      <c r="R54" s="71">
        <f t="shared" si="3"/>
        <v>0.32729819374999997</v>
      </c>
    </row>
    <row r="55" spans="1:18">
      <c r="A55" s="102" t="s">
        <v>626</v>
      </c>
      <c r="B55" s="103" t="s">
        <v>630</v>
      </c>
      <c r="C55" s="103" t="s">
        <v>631</v>
      </c>
      <c r="D55" s="102" t="s">
        <v>632</v>
      </c>
      <c r="E55" s="103" t="s">
        <v>613</v>
      </c>
      <c r="F55" s="102" t="s">
        <v>398</v>
      </c>
      <c r="G55" s="103" t="s">
        <v>20</v>
      </c>
      <c r="I55" s="103">
        <v>201503</v>
      </c>
      <c r="J55" s="104">
        <v>-5.26</v>
      </c>
      <c r="K55" s="72">
        <f t="shared" si="4"/>
        <v>42675</v>
      </c>
      <c r="L55" s="67">
        <f t="shared" si="0"/>
        <v>6</v>
      </c>
      <c r="M55" s="105">
        <v>1.4833299999999999E-3</v>
      </c>
      <c r="N55" s="104">
        <f t="shared" si="1"/>
        <v>-4.6813894799999999E-2</v>
      </c>
      <c r="O55" s="66"/>
      <c r="P55" s="71">
        <f t="shared" si="2"/>
        <v>0</v>
      </c>
      <c r="Q55" s="132"/>
      <c r="R55" s="71">
        <f t="shared" si="3"/>
        <v>-8.0485670833333328E-2</v>
      </c>
    </row>
    <row r="56" spans="1:18">
      <c r="A56" s="102" t="s">
        <v>626</v>
      </c>
      <c r="B56" s="103" t="s">
        <v>938</v>
      </c>
      <c r="C56" s="103" t="s">
        <v>939</v>
      </c>
      <c r="D56" s="102" t="s">
        <v>940</v>
      </c>
      <c r="E56" s="103" t="s">
        <v>209</v>
      </c>
      <c r="F56" s="102" t="s">
        <v>88</v>
      </c>
      <c r="G56" s="103" t="s">
        <v>20</v>
      </c>
      <c r="I56" s="103">
        <v>201503</v>
      </c>
      <c r="J56" s="104">
        <v>23.45</v>
      </c>
      <c r="K56" s="72">
        <f t="shared" si="4"/>
        <v>42675</v>
      </c>
      <c r="L56" s="67">
        <f t="shared" si="0"/>
        <v>6</v>
      </c>
      <c r="M56" s="105">
        <v>1.4833299999999999E-3</v>
      </c>
      <c r="N56" s="104">
        <f t="shared" si="1"/>
        <v>0.208704531</v>
      </c>
      <c r="O56" s="66"/>
      <c r="P56" s="71">
        <f t="shared" si="2"/>
        <v>0</v>
      </c>
      <c r="Q56" s="132"/>
      <c r="R56" s="71">
        <f t="shared" si="3"/>
        <v>0.35881919791666661</v>
      </c>
    </row>
    <row r="57" spans="1:18">
      <c r="A57" s="102" t="s">
        <v>626</v>
      </c>
      <c r="B57" s="103" t="s">
        <v>1082</v>
      </c>
      <c r="C57" s="103" t="s">
        <v>1083</v>
      </c>
      <c r="D57" s="102" t="s">
        <v>1084</v>
      </c>
      <c r="E57" s="103" t="s">
        <v>75</v>
      </c>
      <c r="F57" s="102" t="s">
        <v>26</v>
      </c>
      <c r="G57" s="103" t="s">
        <v>20</v>
      </c>
      <c r="I57" s="103">
        <v>201503</v>
      </c>
      <c r="J57" s="104">
        <v>-3491.9</v>
      </c>
      <c r="K57" s="72">
        <f t="shared" si="4"/>
        <v>42675</v>
      </c>
      <c r="L57" s="67">
        <f t="shared" si="0"/>
        <v>6</v>
      </c>
      <c r="M57" s="105">
        <v>1.4833299999999999E-3</v>
      </c>
      <c r="N57" s="104">
        <f t="shared" si="1"/>
        <v>-31.077840162000001</v>
      </c>
      <c r="O57" s="66"/>
      <c r="P57" s="71">
        <f t="shared" si="2"/>
        <v>0</v>
      </c>
      <c r="Q57" s="132"/>
      <c r="R57" s="71">
        <f t="shared" si="3"/>
        <v>-53.431162354166659</v>
      </c>
    </row>
    <row r="58" spans="1:18">
      <c r="A58" s="102" t="s">
        <v>626</v>
      </c>
      <c r="B58" s="103" t="s">
        <v>1188</v>
      </c>
      <c r="C58" s="103" t="s">
        <v>1189</v>
      </c>
      <c r="D58" s="102" t="s">
        <v>1190</v>
      </c>
      <c r="E58" s="103" t="s">
        <v>75</v>
      </c>
      <c r="F58" s="102" t="s">
        <v>26</v>
      </c>
      <c r="G58" s="103" t="s">
        <v>20</v>
      </c>
      <c r="I58" s="103">
        <v>201503</v>
      </c>
      <c r="J58" s="104">
        <v>-1033.9000000000001</v>
      </c>
      <c r="K58" s="72">
        <f t="shared" si="4"/>
        <v>42675</v>
      </c>
      <c r="L58" s="67">
        <f t="shared" si="0"/>
        <v>6</v>
      </c>
      <c r="M58" s="105">
        <v>1.4833299999999999E-3</v>
      </c>
      <c r="N58" s="104">
        <f t="shared" si="1"/>
        <v>-9.201689322</v>
      </c>
      <c r="O58" s="66"/>
      <c r="P58" s="71">
        <f t="shared" si="2"/>
        <v>0</v>
      </c>
      <c r="Q58" s="132"/>
      <c r="R58" s="71">
        <f t="shared" si="3"/>
        <v>-15.820177770833332</v>
      </c>
    </row>
    <row r="59" spans="1:18">
      <c r="A59" s="102" t="s">
        <v>626</v>
      </c>
      <c r="B59" s="103" t="s">
        <v>1085</v>
      </c>
      <c r="C59" s="103" t="s">
        <v>1086</v>
      </c>
      <c r="D59" s="102" t="s">
        <v>1087</v>
      </c>
      <c r="E59" s="103" t="s">
        <v>75</v>
      </c>
      <c r="F59" s="102" t="s">
        <v>26</v>
      </c>
      <c r="G59" s="103" t="s">
        <v>20</v>
      </c>
      <c r="I59" s="103">
        <v>201503</v>
      </c>
      <c r="J59" s="104">
        <v>39.159999999999997</v>
      </c>
      <c r="K59" s="72">
        <f t="shared" si="4"/>
        <v>42675</v>
      </c>
      <c r="L59" s="67">
        <f t="shared" si="0"/>
        <v>6</v>
      </c>
      <c r="M59" s="105">
        <v>1.4833299999999999E-3</v>
      </c>
      <c r="N59" s="104">
        <f t="shared" si="1"/>
        <v>0.34852321679999998</v>
      </c>
      <c r="O59" s="66"/>
      <c r="P59" s="71">
        <f t="shared" si="2"/>
        <v>0</v>
      </c>
      <c r="Q59" s="132"/>
      <c r="R59" s="71">
        <f t="shared" si="3"/>
        <v>0.59920510833333329</v>
      </c>
    </row>
    <row r="60" spans="1:18">
      <c r="A60" s="102" t="s">
        <v>626</v>
      </c>
      <c r="B60" s="103" t="s">
        <v>944</v>
      </c>
      <c r="C60" s="103" t="s">
        <v>945</v>
      </c>
      <c r="D60" s="102" t="s">
        <v>946</v>
      </c>
      <c r="E60" s="103" t="s">
        <v>164</v>
      </c>
      <c r="F60" s="102" t="s">
        <v>165</v>
      </c>
      <c r="G60" s="103" t="s">
        <v>20</v>
      </c>
      <c r="I60" s="103">
        <v>201503</v>
      </c>
      <c r="J60" s="104">
        <v>46.39</v>
      </c>
      <c r="K60" s="72">
        <f t="shared" si="4"/>
        <v>42675</v>
      </c>
      <c r="L60" s="67">
        <f t="shared" si="0"/>
        <v>6</v>
      </c>
      <c r="M60" s="105">
        <v>1.4833299999999999E-3</v>
      </c>
      <c r="N60" s="104">
        <f t="shared" si="1"/>
        <v>0.41287007219999999</v>
      </c>
      <c r="O60" s="66"/>
      <c r="P60" s="71">
        <f t="shared" si="2"/>
        <v>0</v>
      </c>
      <c r="Q60" s="132"/>
      <c r="R60" s="71">
        <f t="shared" si="3"/>
        <v>0.7098346520833333</v>
      </c>
    </row>
    <row r="61" spans="1:18">
      <c r="A61" s="102" t="s">
        <v>626</v>
      </c>
      <c r="B61" s="103" t="s">
        <v>1253</v>
      </c>
      <c r="C61" s="103" t="s">
        <v>1254</v>
      </c>
      <c r="D61" s="102" t="s">
        <v>1255</v>
      </c>
      <c r="E61" s="103" t="s">
        <v>25</v>
      </c>
      <c r="F61" s="102" t="s">
        <v>26</v>
      </c>
      <c r="G61" s="103" t="s">
        <v>20</v>
      </c>
      <c r="I61" s="103">
        <v>201503</v>
      </c>
      <c r="J61" s="104">
        <v>893.81</v>
      </c>
      <c r="K61" s="72">
        <f t="shared" si="4"/>
        <v>42675</v>
      </c>
      <c r="L61" s="67">
        <f t="shared" si="0"/>
        <v>6</v>
      </c>
      <c r="M61" s="105">
        <v>1.4833299999999999E-3</v>
      </c>
      <c r="N61" s="104">
        <f t="shared" si="1"/>
        <v>7.9548911237999995</v>
      </c>
      <c r="O61" s="66"/>
      <c r="P61" s="71">
        <f t="shared" si="2"/>
        <v>0</v>
      </c>
      <c r="Q61" s="132"/>
      <c r="R61" s="71">
        <f t="shared" si="3"/>
        <v>13.676596472916664</v>
      </c>
    </row>
    <row r="62" spans="1:18">
      <c r="A62" s="102" t="s">
        <v>626</v>
      </c>
      <c r="B62" s="103" t="s">
        <v>1038</v>
      </c>
      <c r="C62" s="103" t="s">
        <v>1039</v>
      </c>
      <c r="D62" s="102" t="s">
        <v>1040</v>
      </c>
      <c r="E62" s="103" t="s">
        <v>75</v>
      </c>
      <c r="F62" s="102" t="s">
        <v>26</v>
      </c>
      <c r="G62" s="103" t="s">
        <v>20</v>
      </c>
      <c r="I62" s="103">
        <v>201503</v>
      </c>
      <c r="J62" s="104">
        <v>28.99</v>
      </c>
      <c r="K62" s="72">
        <f t="shared" si="4"/>
        <v>42675</v>
      </c>
      <c r="L62" s="67">
        <f t="shared" si="0"/>
        <v>6</v>
      </c>
      <c r="M62" s="105">
        <v>1.4833299999999999E-3</v>
      </c>
      <c r="N62" s="104">
        <f t="shared" si="1"/>
        <v>0.25801042019999998</v>
      </c>
      <c r="O62" s="66"/>
      <c r="P62" s="71">
        <f t="shared" si="2"/>
        <v>0</v>
      </c>
      <c r="Q62" s="132"/>
      <c r="R62" s="71">
        <f t="shared" si="3"/>
        <v>0.44358927708333323</v>
      </c>
    </row>
    <row r="63" spans="1:18">
      <c r="A63" s="102" t="s">
        <v>626</v>
      </c>
      <c r="B63" s="103" t="s">
        <v>947</v>
      </c>
      <c r="C63" s="103" t="s">
        <v>948</v>
      </c>
      <c r="D63" s="102" t="s">
        <v>949</v>
      </c>
      <c r="E63" s="103" t="s">
        <v>75</v>
      </c>
      <c r="F63" s="102" t="s">
        <v>26</v>
      </c>
      <c r="G63" s="103" t="s">
        <v>20</v>
      </c>
      <c r="I63" s="103">
        <v>201503</v>
      </c>
      <c r="J63" s="104">
        <v>0.81</v>
      </c>
      <c r="K63" s="72">
        <f t="shared" si="4"/>
        <v>42675</v>
      </c>
      <c r="L63" s="67">
        <f t="shared" si="0"/>
        <v>6</v>
      </c>
      <c r="M63" s="105">
        <v>1.4833299999999999E-3</v>
      </c>
      <c r="N63" s="104">
        <f t="shared" si="1"/>
        <v>7.2089838000000007E-3</v>
      </c>
      <c r="O63" s="66"/>
      <c r="P63" s="71">
        <f t="shared" si="2"/>
        <v>0</v>
      </c>
      <c r="Q63" s="132"/>
      <c r="R63" s="71">
        <f t="shared" si="3"/>
        <v>1.2394181249999999E-2</v>
      </c>
    </row>
    <row r="64" spans="1:18">
      <c r="A64" s="102" t="s">
        <v>626</v>
      </c>
      <c r="B64" s="103" t="s">
        <v>1041</v>
      </c>
      <c r="C64" s="103" t="s">
        <v>1042</v>
      </c>
      <c r="D64" s="102" t="s">
        <v>1043</v>
      </c>
      <c r="E64" s="103" t="s">
        <v>75</v>
      </c>
      <c r="F64" s="102" t="s">
        <v>26</v>
      </c>
      <c r="G64" s="103" t="s">
        <v>20</v>
      </c>
      <c r="I64" s="103">
        <v>201503</v>
      </c>
      <c r="J64" s="104">
        <v>42.58</v>
      </c>
      <c r="K64" s="72">
        <f t="shared" si="4"/>
        <v>42675</v>
      </c>
      <c r="L64" s="67">
        <f t="shared" si="0"/>
        <v>6</v>
      </c>
      <c r="M64" s="105">
        <v>1.4833299999999999E-3</v>
      </c>
      <c r="N64" s="104">
        <f t="shared" si="1"/>
        <v>0.3789611484</v>
      </c>
      <c r="O64" s="66"/>
      <c r="P64" s="71">
        <f t="shared" si="2"/>
        <v>0</v>
      </c>
      <c r="Q64" s="132"/>
      <c r="R64" s="71">
        <f t="shared" si="3"/>
        <v>0.65153609583333327</v>
      </c>
    </row>
    <row r="65" spans="1:18">
      <c r="A65" s="102" t="s">
        <v>626</v>
      </c>
      <c r="B65" s="103" t="s">
        <v>1194</v>
      </c>
      <c r="C65" s="103" t="s">
        <v>1195</v>
      </c>
      <c r="D65" s="102" t="s">
        <v>1196</v>
      </c>
      <c r="E65" s="103" t="s">
        <v>75</v>
      </c>
      <c r="F65" s="102" t="s">
        <v>26</v>
      </c>
      <c r="G65" s="103" t="s">
        <v>20</v>
      </c>
      <c r="I65" s="103">
        <v>201503</v>
      </c>
      <c r="J65" s="104">
        <v>203.21</v>
      </c>
      <c r="K65" s="72">
        <f t="shared" si="4"/>
        <v>42675</v>
      </c>
      <c r="L65" s="67">
        <f t="shared" si="0"/>
        <v>6</v>
      </c>
      <c r="M65" s="105">
        <v>1.4833299999999999E-3</v>
      </c>
      <c r="N65" s="104">
        <f t="shared" si="1"/>
        <v>1.8085649358</v>
      </c>
      <c r="O65" s="66"/>
      <c r="P65" s="71">
        <f t="shared" si="2"/>
        <v>0</v>
      </c>
      <c r="Q65" s="132"/>
      <c r="R65" s="71">
        <f t="shared" si="3"/>
        <v>3.1094093479166665</v>
      </c>
    </row>
    <row r="66" spans="1:18">
      <c r="A66" s="102" t="s">
        <v>626</v>
      </c>
      <c r="B66" s="103" t="s">
        <v>1133</v>
      </c>
      <c r="C66" s="103" t="s">
        <v>1134</v>
      </c>
      <c r="D66" s="102" t="s">
        <v>1135</v>
      </c>
      <c r="E66" s="103" t="s">
        <v>471</v>
      </c>
      <c r="F66" s="102" t="s">
        <v>165</v>
      </c>
      <c r="G66" s="103" t="s">
        <v>20</v>
      </c>
      <c r="I66" s="103">
        <v>201503</v>
      </c>
      <c r="J66" s="104">
        <v>14.33</v>
      </c>
      <c r="K66" s="72">
        <f t="shared" si="4"/>
        <v>42675</v>
      </c>
      <c r="L66" s="67">
        <f t="shared" si="0"/>
        <v>6</v>
      </c>
      <c r="M66" s="105">
        <v>1.4833299999999999E-3</v>
      </c>
      <c r="N66" s="104">
        <f t="shared" si="1"/>
        <v>0.1275367134</v>
      </c>
      <c r="O66" s="66"/>
      <c r="P66" s="71">
        <f t="shared" si="2"/>
        <v>0</v>
      </c>
      <c r="Q66" s="132"/>
      <c r="R66" s="71">
        <f t="shared" si="3"/>
        <v>0.21926989791666665</v>
      </c>
    </row>
    <row r="67" spans="1:18">
      <c r="A67" s="102" t="s">
        <v>626</v>
      </c>
      <c r="B67" s="103" t="s">
        <v>848</v>
      </c>
      <c r="C67" s="103" t="s">
        <v>849</v>
      </c>
      <c r="D67" s="102" t="s">
        <v>850</v>
      </c>
      <c r="E67" s="103" t="s">
        <v>93</v>
      </c>
      <c r="F67" s="102" t="s">
        <v>88</v>
      </c>
      <c r="G67" s="103" t="s">
        <v>20</v>
      </c>
      <c r="I67" s="103">
        <v>201503</v>
      </c>
      <c r="J67" s="104">
        <v>-26.78</v>
      </c>
      <c r="K67" s="72">
        <f t="shared" si="4"/>
        <v>42675</v>
      </c>
      <c r="L67" s="67">
        <f t="shared" si="0"/>
        <v>6</v>
      </c>
      <c r="M67" s="105">
        <v>1.4833299999999999E-3</v>
      </c>
      <c r="N67" s="104">
        <f t="shared" si="1"/>
        <v>-0.23834146440000001</v>
      </c>
      <c r="O67" s="66"/>
      <c r="P67" s="71">
        <f t="shared" si="2"/>
        <v>0</v>
      </c>
      <c r="Q67" s="132"/>
      <c r="R67" s="71">
        <f t="shared" si="3"/>
        <v>-0.40977305416666665</v>
      </c>
    </row>
    <row r="68" spans="1:18">
      <c r="A68" s="102" t="s">
        <v>626</v>
      </c>
      <c r="B68" s="103" t="s">
        <v>1136</v>
      </c>
      <c r="C68" s="103" t="s">
        <v>1137</v>
      </c>
      <c r="D68" s="102" t="s">
        <v>1138</v>
      </c>
      <c r="E68" s="103" t="s">
        <v>962</v>
      </c>
      <c r="F68" s="102" t="s">
        <v>88</v>
      </c>
      <c r="G68" s="103" t="s">
        <v>20</v>
      </c>
      <c r="I68" s="103">
        <v>201503</v>
      </c>
      <c r="J68" s="104">
        <v>-77.709999999999994</v>
      </c>
      <c r="K68" s="72">
        <f t="shared" si="4"/>
        <v>42675</v>
      </c>
      <c r="L68" s="67">
        <f t="shared" si="0"/>
        <v>6</v>
      </c>
      <c r="M68" s="105">
        <v>1.4833299999999999E-3</v>
      </c>
      <c r="N68" s="104">
        <f t="shared" si="1"/>
        <v>-0.69161744579999995</v>
      </c>
      <c r="O68" s="66"/>
      <c r="P68" s="71">
        <f t="shared" si="2"/>
        <v>0</v>
      </c>
      <c r="Q68" s="132"/>
      <c r="R68" s="71">
        <f t="shared" si="3"/>
        <v>-1.1890763270833331</v>
      </c>
    </row>
    <row r="69" spans="1:18">
      <c r="A69" s="102" t="s">
        <v>626</v>
      </c>
      <c r="B69" s="103" t="s">
        <v>1197</v>
      </c>
      <c r="C69" s="103" t="s">
        <v>1198</v>
      </c>
      <c r="D69" s="102" t="s">
        <v>1199</v>
      </c>
      <c r="E69" s="103" t="s">
        <v>18</v>
      </c>
      <c r="F69" s="102" t="s">
        <v>19</v>
      </c>
      <c r="G69" s="103" t="s">
        <v>20</v>
      </c>
      <c r="I69" s="103">
        <v>201503</v>
      </c>
      <c r="J69" s="104">
        <v>1158.74</v>
      </c>
      <c r="K69" s="72">
        <f t="shared" si="4"/>
        <v>42675</v>
      </c>
      <c r="L69" s="67">
        <f t="shared" ref="L69:L132" si="5">((YEAR($L$1)-YEAR(K69))*12+MONTH($L$1)-MONTH(K69))</f>
        <v>6</v>
      </c>
      <c r="M69" s="105">
        <v>1.4833299999999999E-3</v>
      </c>
      <c r="N69" s="104">
        <f t="shared" ref="N69:N132" si="6">M69*L69*J69</f>
        <v>10.3127628252</v>
      </c>
      <c r="O69" s="66"/>
      <c r="P69" s="71">
        <f t="shared" si="2"/>
        <v>0</v>
      </c>
      <c r="Q69" s="132"/>
      <c r="R69" s="71">
        <f t="shared" si="3"/>
        <v>17.730411829166663</v>
      </c>
    </row>
    <row r="70" spans="1:18">
      <c r="A70" s="102" t="s">
        <v>626</v>
      </c>
      <c r="B70" s="103" t="s">
        <v>1256</v>
      </c>
      <c r="C70" s="103" t="s">
        <v>1257</v>
      </c>
      <c r="D70" s="102" t="s">
        <v>1258</v>
      </c>
      <c r="E70" s="103" t="s">
        <v>75</v>
      </c>
      <c r="F70" s="102" t="s">
        <v>26</v>
      </c>
      <c r="G70" s="103" t="s">
        <v>20</v>
      </c>
      <c r="I70" s="103">
        <v>201503</v>
      </c>
      <c r="J70" s="104">
        <v>7325.08</v>
      </c>
      <c r="K70" s="72">
        <f t="shared" si="4"/>
        <v>42675</v>
      </c>
      <c r="L70" s="67">
        <f t="shared" si="5"/>
        <v>6</v>
      </c>
      <c r="M70" s="105">
        <v>1.4833299999999999E-3</v>
      </c>
      <c r="N70" s="104">
        <f t="shared" si="6"/>
        <v>65.193065498400003</v>
      </c>
      <c r="O70" s="66"/>
      <c r="P70" s="71">
        <f t="shared" ref="P70:P133" si="7">($P$4*0.5*J70*$T$12)</f>
        <v>0</v>
      </c>
      <c r="Q70" s="132"/>
      <c r="R70" s="71">
        <f t="shared" ref="R70:R133" si="8">($R$4*0.5*J70*$T$12)</f>
        <v>112.08440640833332</v>
      </c>
    </row>
    <row r="71" spans="1:18">
      <c r="A71" s="102" t="s">
        <v>626</v>
      </c>
      <c r="B71" s="103" t="s">
        <v>1139</v>
      </c>
      <c r="C71" s="103" t="s">
        <v>1140</v>
      </c>
      <c r="D71" s="102" t="s">
        <v>1141</v>
      </c>
      <c r="E71" s="103" t="s">
        <v>280</v>
      </c>
      <c r="F71" s="102" t="s">
        <v>26</v>
      </c>
      <c r="G71" s="103" t="s">
        <v>20</v>
      </c>
      <c r="I71" s="103">
        <v>201503</v>
      </c>
      <c r="J71" s="104">
        <v>230.11</v>
      </c>
      <c r="K71" s="72">
        <f t="shared" ref="K71:K134" si="9">+K70</f>
        <v>42675</v>
      </c>
      <c r="L71" s="67">
        <f t="shared" si="5"/>
        <v>6</v>
      </c>
      <c r="M71" s="105">
        <v>1.4833299999999999E-3</v>
      </c>
      <c r="N71" s="104">
        <f t="shared" si="6"/>
        <v>2.0479743978</v>
      </c>
      <c r="O71" s="66"/>
      <c r="P71" s="71">
        <f t="shared" si="7"/>
        <v>0</v>
      </c>
      <c r="Q71" s="132"/>
      <c r="R71" s="71">
        <f t="shared" si="8"/>
        <v>3.5210185770833333</v>
      </c>
    </row>
    <row r="72" spans="1:18">
      <c r="A72" s="102" t="s">
        <v>626</v>
      </c>
      <c r="B72" s="103" t="s">
        <v>1200</v>
      </c>
      <c r="C72" s="103" t="s">
        <v>1201</v>
      </c>
      <c r="D72" s="102" t="s">
        <v>1202</v>
      </c>
      <c r="E72" s="103" t="s">
        <v>75</v>
      </c>
      <c r="F72" s="102" t="s">
        <v>26</v>
      </c>
      <c r="G72" s="103" t="s">
        <v>20</v>
      </c>
      <c r="I72" s="103">
        <v>201503</v>
      </c>
      <c r="J72" s="104">
        <v>3495.77</v>
      </c>
      <c r="K72" s="72">
        <f t="shared" si="9"/>
        <v>42675</v>
      </c>
      <c r="L72" s="67">
        <f t="shared" si="5"/>
        <v>6</v>
      </c>
      <c r="M72" s="105">
        <v>1.4833299999999999E-3</v>
      </c>
      <c r="N72" s="104">
        <f t="shared" si="6"/>
        <v>31.112283084600001</v>
      </c>
      <c r="O72" s="66"/>
      <c r="P72" s="71">
        <f t="shared" si="7"/>
        <v>0</v>
      </c>
      <c r="Q72" s="132"/>
      <c r="R72" s="71">
        <f t="shared" si="8"/>
        <v>53.490378997916658</v>
      </c>
    </row>
    <row r="73" spans="1:18">
      <c r="A73" s="102" t="s">
        <v>626</v>
      </c>
      <c r="B73" s="103" t="s">
        <v>1142</v>
      </c>
      <c r="C73" s="103" t="s">
        <v>1143</v>
      </c>
      <c r="D73" s="102" t="s">
        <v>1144</v>
      </c>
      <c r="E73" s="103" t="s">
        <v>164</v>
      </c>
      <c r="F73" s="102" t="s">
        <v>165</v>
      </c>
      <c r="G73" s="103" t="s">
        <v>20</v>
      </c>
      <c r="I73" s="103">
        <v>201503</v>
      </c>
      <c r="J73" s="104">
        <v>4108.78</v>
      </c>
      <c r="K73" s="72">
        <f t="shared" si="9"/>
        <v>42675</v>
      </c>
      <c r="L73" s="67">
        <f t="shared" si="5"/>
        <v>6</v>
      </c>
      <c r="M73" s="105">
        <v>1.4833299999999999E-3</v>
      </c>
      <c r="N73" s="104">
        <f t="shared" si="6"/>
        <v>36.568059824399995</v>
      </c>
      <c r="O73" s="66"/>
      <c r="P73" s="71">
        <f t="shared" si="7"/>
        <v>0</v>
      </c>
      <c r="Q73" s="132"/>
      <c r="R73" s="71">
        <f t="shared" si="8"/>
        <v>62.870325970833321</v>
      </c>
    </row>
    <row r="74" spans="1:18">
      <c r="A74" s="102" t="s">
        <v>626</v>
      </c>
      <c r="B74" s="103" t="s">
        <v>909</v>
      </c>
      <c r="C74" s="103" t="s">
        <v>910</v>
      </c>
      <c r="D74" s="102" t="s">
        <v>911</v>
      </c>
      <c r="E74" s="103" t="s">
        <v>79</v>
      </c>
      <c r="F74" s="102" t="s">
        <v>26</v>
      </c>
      <c r="G74" s="103" t="s">
        <v>20</v>
      </c>
      <c r="I74" s="103">
        <v>201503</v>
      </c>
      <c r="J74" s="104">
        <v>-19.07</v>
      </c>
      <c r="K74" s="72">
        <f t="shared" si="9"/>
        <v>42675</v>
      </c>
      <c r="L74" s="67">
        <f t="shared" si="5"/>
        <v>6</v>
      </c>
      <c r="M74" s="105">
        <v>1.4833299999999999E-3</v>
      </c>
      <c r="N74" s="104">
        <f t="shared" si="6"/>
        <v>-0.16972261860000001</v>
      </c>
      <c r="O74" s="66"/>
      <c r="P74" s="71">
        <f t="shared" si="7"/>
        <v>0</v>
      </c>
      <c r="Q74" s="132"/>
      <c r="R74" s="71">
        <f t="shared" si="8"/>
        <v>-0.29179881041666667</v>
      </c>
    </row>
    <row r="75" spans="1:18">
      <c r="A75" s="102" t="s">
        <v>626</v>
      </c>
      <c r="B75" s="103" t="s">
        <v>1315</v>
      </c>
      <c r="C75" s="103" t="s">
        <v>1316</v>
      </c>
      <c r="D75" s="102" t="s">
        <v>1317</v>
      </c>
      <c r="E75" s="103" t="s">
        <v>497</v>
      </c>
      <c r="F75" s="102" t="s">
        <v>26</v>
      </c>
      <c r="G75" s="103" t="s">
        <v>20</v>
      </c>
      <c r="I75" s="103">
        <v>201503</v>
      </c>
      <c r="J75" s="104">
        <v>114778.3</v>
      </c>
      <c r="K75" s="72">
        <f t="shared" si="9"/>
        <v>42675</v>
      </c>
      <c r="L75" s="67">
        <f t="shared" si="5"/>
        <v>6</v>
      </c>
      <c r="M75" s="105">
        <v>1.4833299999999999E-3</v>
      </c>
      <c r="N75" s="104">
        <f t="shared" si="6"/>
        <v>1021.524574434</v>
      </c>
      <c r="O75" s="66"/>
      <c r="P75" s="71">
        <f t="shared" si="7"/>
        <v>0</v>
      </c>
      <c r="Q75" s="132"/>
      <c r="R75" s="71">
        <f t="shared" si="8"/>
        <v>1756.2753750208333</v>
      </c>
    </row>
    <row r="76" spans="1:18">
      <c r="A76" s="102" t="s">
        <v>626</v>
      </c>
      <c r="B76" s="103" t="s">
        <v>1203</v>
      </c>
      <c r="C76" s="103" t="s">
        <v>1204</v>
      </c>
      <c r="D76" s="102" t="s">
        <v>1205</v>
      </c>
      <c r="E76" s="103" t="s">
        <v>260</v>
      </c>
      <c r="F76" s="102" t="s">
        <v>26</v>
      </c>
      <c r="G76" s="103" t="s">
        <v>20</v>
      </c>
      <c r="I76" s="103">
        <v>201503</v>
      </c>
      <c r="J76" s="104">
        <v>97.62</v>
      </c>
      <c r="K76" s="72">
        <f t="shared" si="9"/>
        <v>42675</v>
      </c>
      <c r="L76" s="67">
        <f t="shared" si="5"/>
        <v>6</v>
      </c>
      <c r="M76" s="105">
        <v>1.4833299999999999E-3</v>
      </c>
      <c r="N76" s="104">
        <f t="shared" si="6"/>
        <v>0.86881604760000009</v>
      </c>
      <c r="O76" s="66"/>
      <c r="P76" s="71">
        <f t="shared" si="7"/>
        <v>0</v>
      </c>
      <c r="Q76" s="132"/>
      <c r="R76" s="71">
        <f t="shared" si="8"/>
        <v>1.4937283625</v>
      </c>
    </row>
    <row r="77" spans="1:18">
      <c r="A77" s="102" t="s">
        <v>626</v>
      </c>
      <c r="B77" s="103" t="s">
        <v>1088</v>
      </c>
      <c r="C77" s="103" t="s">
        <v>1089</v>
      </c>
      <c r="D77" s="102" t="s">
        <v>1090</v>
      </c>
      <c r="E77" s="103" t="s">
        <v>415</v>
      </c>
      <c r="F77" s="102" t="s">
        <v>88</v>
      </c>
      <c r="G77" s="103" t="s">
        <v>20</v>
      </c>
      <c r="I77" s="103">
        <v>201503</v>
      </c>
      <c r="J77" s="104">
        <v>-1244.3800000000001</v>
      </c>
      <c r="K77" s="72">
        <f t="shared" si="9"/>
        <v>42675</v>
      </c>
      <c r="L77" s="67">
        <f t="shared" si="5"/>
        <v>6</v>
      </c>
      <c r="M77" s="105">
        <v>1.4833299999999999E-3</v>
      </c>
      <c r="N77" s="104">
        <f t="shared" si="6"/>
        <v>-11.074957112400002</v>
      </c>
      <c r="O77" s="66"/>
      <c r="P77" s="71">
        <f t="shared" si="7"/>
        <v>0</v>
      </c>
      <c r="Q77" s="132"/>
      <c r="R77" s="71">
        <f t="shared" si="8"/>
        <v>-19.040828720833332</v>
      </c>
    </row>
    <row r="78" spans="1:18">
      <c r="A78" s="102" t="s">
        <v>626</v>
      </c>
      <c r="B78" s="103" t="s">
        <v>1091</v>
      </c>
      <c r="C78" s="103" t="s">
        <v>1092</v>
      </c>
      <c r="D78" s="102" t="s">
        <v>1093</v>
      </c>
      <c r="E78" s="103" t="s">
        <v>962</v>
      </c>
      <c r="F78" s="102" t="s">
        <v>88</v>
      </c>
      <c r="G78" s="103" t="s">
        <v>20</v>
      </c>
      <c r="I78" s="103">
        <v>201503</v>
      </c>
      <c r="J78" s="104">
        <v>275.04000000000002</v>
      </c>
      <c r="K78" s="72">
        <f t="shared" si="9"/>
        <v>42675</v>
      </c>
      <c r="L78" s="67">
        <f t="shared" si="5"/>
        <v>6</v>
      </c>
      <c r="M78" s="105">
        <v>1.4833299999999999E-3</v>
      </c>
      <c r="N78" s="104">
        <f t="shared" si="6"/>
        <v>2.4478504992000003</v>
      </c>
      <c r="O78" s="66"/>
      <c r="P78" s="71">
        <f t="shared" si="7"/>
        <v>0</v>
      </c>
      <c r="Q78" s="132"/>
      <c r="R78" s="71">
        <f t="shared" si="8"/>
        <v>4.2085131000000002</v>
      </c>
    </row>
    <row r="79" spans="1:18">
      <c r="A79" s="102" t="s">
        <v>626</v>
      </c>
      <c r="B79" s="103" t="s">
        <v>1094</v>
      </c>
      <c r="C79" s="103" t="s">
        <v>1095</v>
      </c>
      <c r="D79" s="102" t="s">
        <v>1096</v>
      </c>
      <c r="E79" s="103" t="s">
        <v>452</v>
      </c>
      <c r="F79" s="102" t="s">
        <v>398</v>
      </c>
      <c r="G79" s="103" t="s">
        <v>20</v>
      </c>
      <c r="I79" s="103">
        <v>201503</v>
      </c>
      <c r="J79" s="104">
        <v>1.55</v>
      </c>
      <c r="K79" s="72">
        <f t="shared" si="9"/>
        <v>42675</v>
      </c>
      <c r="L79" s="67">
        <f t="shared" si="5"/>
        <v>6</v>
      </c>
      <c r="M79" s="105">
        <v>1.4833299999999999E-3</v>
      </c>
      <c r="N79" s="104">
        <f t="shared" si="6"/>
        <v>1.3794969000000001E-2</v>
      </c>
      <c r="O79" s="66"/>
      <c r="P79" s="71">
        <f t="shared" si="7"/>
        <v>0</v>
      </c>
      <c r="Q79" s="132"/>
      <c r="R79" s="71">
        <f t="shared" si="8"/>
        <v>2.3717260416666667E-2</v>
      </c>
    </row>
    <row r="80" spans="1:18">
      <c r="A80" s="102" t="s">
        <v>626</v>
      </c>
      <c r="B80" s="103" t="s">
        <v>1148</v>
      </c>
      <c r="C80" s="103" t="s">
        <v>1149</v>
      </c>
      <c r="D80" s="102" t="s">
        <v>1150</v>
      </c>
      <c r="E80" s="103" t="s">
        <v>93</v>
      </c>
      <c r="F80" s="102" t="s">
        <v>88</v>
      </c>
      <c r="G80" s="103" t="s">
        <v>20</v>
      </c>
      <c r="I80" s="103">
        <v>201503</v>
      </c>
      <c r="J80" s="104">
        <v>13.7</v>
      </c>
      <c r="K80" s="72">
        <f t="shared" si="9"/>
        <v>42675</v>
      </c>
      <c r="L80" s="67">
        <f t="shared" si="5"/>
        <v>6</v>
      </c>
      <c r="M80" s="105">
        <v>1.4833299999999999E-3</v>
      </c>
      <c r="N80" s="104">
        <f t="shared" si="6"/>
        <v>0.12192972599999999</v>
      </c>
      <c r="O80" s="66"/>
      <c r="P80" s="71">
        <f t="shared" si="7"/>
        <v>0</v>
      </c>
      <c r="Q80" s="132"/>
      <c r="R80" s="71">
        <f t="shared" si="8"/>
        <v>0.20962997916666665</v>
      </c>
    </row>
    <row r="81" spans="1:18">
      <c r="A81" s="102" t="s">
        <v>626</v>
      </c>
      <c r="B81" s="103" t="s">
        <v>963</v>
      </c>
      <c r="C81" s="103" t="s">
        <v>964</v>
      </c>
      <c r="D81" s="102" t="s">
        <v>965</v>
      </c>
      <c r="E81" s="103" t="s">
        <v>164</v>
      </c>
      <c r="F81" s="102" t="s">
        <v>165</v>
      </c>
      <c r="G81" s="103" t="s">
        <v>20</v>
      </c>
      <c r="I81" s="103">
        <v>201503</v>
      </c>
      <c r="J81" s="104">
        <v>119.19</v>
      </c>
      <c r="K81" s="72">
        <f t="shared" si="9"/>
        <v>42675</v>
      </c>
      <c r="L81" s="67">
        <f t="shared" si="5"/>
        <v>6</v>
      </c>
      <c r="M81" s="105">
        <v>1.4833299999999999E-3</v>
      </c>
      <c r="N81" s="104">
        <f t="shared" si="6"/>
        <v>1.0607886162</v>
      </c>
      <c r="O81" s="66"/>
      <c r="P81" s="71">
        <f t="shared" si="7"/>
        <v>0</v>
      </c>
      <c r="Q81" s="132"/>
      <c r="R81" s="71">
        <f t="shared" si="8"/>
        <v>1.8237808187499998</v>
      </c>
    </row>
    <row r="82" spans="1:18">
      <c r="A82" s="106" t="s">
        <v>626</v>
      </c>
      <c r="B82" s="103" t="s">
        <v>1206</v>
      </c>
      <c r="C82" s="103" t="s">
        <v>1207</v>
      </c>
      <c r="D82" s="102" t="s">
        <v>1208</v>
      </c>
      <c r="E82" s="103" t="s">
        <v>280</v>
      </c>
      <c r="F82" s="102" t="s">
        <v>26</v>
      </c>
      <c r="G82" s="103" t="s">
        <v>20</v>
      </c>
      <c r="I82" s="103">
        <v>201503</v>
      </c>
      <c r="J82" s="104">
        <v>25.22</v>
      </c>
      <c r="K82" s="72">
        <f t="shared" si="9"/>
        <v>42675</v>
      </c>
      <c r="L82" s="67">
        <f t="shared" si="5"/>
        <v>6</v>
      </c>
      <c r="M82" s="105">
        <v>1.4833299999999999E-3</v>
      </c>
      <c r="N82" s="104">
        <f t="shared" si="6"/>
        <v>0.2244574956</v>
      </c>
      <c r="O82" s="66"/>
      <c r="P82" s="71">
        <f t="shared" si="7"/>
        <v>0</v>
      </c>
      <c r="Q82" s="132"/>
      <c r="R82" s="71">
        <f t="shared" si="8"/>
        <v>0.3859027791666666</v>
      </c>
    </row>
    <row r="83" spans="1:18">
      <c r="A83" s="102" t="s">
        <v>626</v>
      </c>
      <c r="B83" s="103" t="s">
        <v>1044</v>
      </c>
      <c r="C83" s="103" t="s">
        <v>1045</v>
      </c>
      <c r="D83" s="102" t="s">
        <v>1046</v>
      </c>
      <c r="E83" s="103" t="s">
        <v>164</v>
      </c>
      <c r="F83" s="102" t="s">
        <v>165</v>
      </c>
      <c r="G83" s="103" t="s">
        <v>20</v>
      </c>
      <c r="I83" s="103">
        <v>201503</v>
      </c>
      <c r="J83" s="104">
        <v>-816.8</v>
      </c>
      <c r="K83" s="72">
        <f t="shared" si="9"/>
        <v>42675</v>
      </c>
      <c r="L83" s="67">
        <f t="shared" si="5"/>
        <v>6</v>
      </c>
      <c r="M83" s="105">
        <v>1.4833299999999999E-3</v>
      </c>
      <c r="N83" s="104">
        <f t="shared" si="6"/>
        <v>-7.2695036639999993</v>
      </c>
      <c r="O83" s="66"/>
      <c r="P83" s="71">
        <f t="shared" si="7"/>
        <v>0</v>
      </c>
      <c r="Q83" s="132"/>
      <c r="R83" s="71">
        <f t="shared" si="8"/>
        <v>-12.498231166666665</v>
      </c>
    </row>
    <row r="84" spans="1:18">
      <c r="A84" s="106" t="s">
        <v>626</v>
      </c>
      <c r="B84" s="103" t="s">
        <v>969</v>
      </c>
      <c r="C84" s="103" t="s">
        <v>970</v>
      </c>
      <c r="D84" s="102" t="s">
        <v>971</v>
      </c>
      <c r="E84" s="103" t="s">
        <v>164</v>
      </c>
      <c r="F84" s="102" t="s">
        <v>165</v>
      </c>
      <c r="G84" s="103" t="s">
        <v>20</v>
      </c>
      <c r="I84" s="103">
        <v>201503</v>
      </c>
      <c r="J84" s="104">
        <v>98.35</v>
      </c>
      <c r="K84" s="72">
        <f t="shared" si="9"/>
        <v>42675</v>
      </c>
      <c r="L84" s="67">
        <f t="shared" si="5"/>
        <v>6</v>
      </c>
      <c r="M84" s="105">
        <v>1.4833299999999999E-3</v>
      </c>
      <c r="N84" s="104">
        <f t="shared" si="6"/>
        <v>0.87531303299999996</v>
      </c>
      <c r="O84" s="66"/>
      <c r="P84" s="71">
        <f t="shared" si="7"/>
        <v>0</v>
      </c>
      <c r="Q84" s="132"/>
      <c r="R84" s="71">
        <f t="shared" si="8"/>
        <v>1.504898427083333</v>
      </c>
    </row>
    <row r="85" spans="1:18">
      <c r="A85" s="106" t="s">
        <v>626</v>
      </c>
      <c r="B85" s="103" t="s">
        <v>975</v>
      </c>
      <c r="C85" s="103" t="s">
        <v>976</v>
      </c>
      <c r="D85" s="102" t="s">
        <v>977</v>
      </c>
      <c r="E85" s="103" t="s">
        <v>87</v>
      </c>
      <c r="F85" s="102" t="s">
        <v>88</v>
      </c>
      <c r="G85" s="103" t="s">
        <v>20</v>
      </c>
      <c r="I85" s="103">
        <v>201503</v>
      </c>
      <c r="J85" s="104">
        <v>-1.64</v>
      </c>
      <c r="K85" s="72">
        <f t="shared" si="9"/>
        <v>42675</v>
      </c>
      <c r="L85" s="67">
        <f t="shared" si="5"/>
        <v>6</v>
      </c>
      <c r="M85" s="105">
        <v>1.4833299999999999E-3</v>
      </c>
      <c r="N85" s="104">
        <f t="shared" si="6"/>
        <v>-1.4595967199999999E-2</v>
      </c>
      <c r="O85" s="66"/>
      <c r="P85" s="71">
        <f t="shared" si="7"/>
        <v>0</v>
      </c>
      <c r="Q85" s="132"/>
      <c r="R85" s="71">
        <f t="shared" si="8"/>
        <v>-2.5094391666666663E-2</v>
      </c>
    </row>
    <row r="86" spans="1:18">
      <c r="A86" s="102" t="s">
        <v>626</v>
      </c>
      <c r="B86" s="103" t="s">
        <v>885</v>
      </c>
      <c r="C86" s="103" t="s">
        <v>886</v>
      </c>
      <c r="D86" s="102" t="s">
        <v>887</v>
      </c>
      <c r="E86" s="103" t="s">
        <v>93</v>
      </c>
      <c r="F86" s="102" t="s">
        <v>88</v>
      </c>
      <c r="G86" s="103" t="s">
        <v>20</v>
      </c>
      <c r="I86" s="103">
        <v>201503</v>
      </c>
      <c r="J86" s="104">
        <v>-77.099999999999994</v>
      </c>
      <c r="K86" s="72">
        <f t="shared" si="9"/>
        <v>42675</v>
      </c>
      <c r="L86" s="67">
        <f t="shared" si="5"/>
        <v>6</v>
      </c>
      <c r="M86" s="105">
        <v>1.4833299999999999E-3</v>
      </c>
      <c r="N86" s="104">
        <f t="shared" si="6"/>
        <v>-0.68618845799999995</v>
      </c>
      <c r="O86" s="66"/>
      <c r="P86" s="71">
        <f t="shared" si="7"/>
        <v>0</v>
      </c>
      <c r="Q86" s="132"/>
      <c r="R86" s="71">
        <f t="shared" si="8"/>
        <v>-1.1797424374999999</v>
      </c>
    </row>
    <row r="87" spans="1:18">
      <c r="A87" s="102" t="s">
        <v>626</v>
      </c>
      <c r="B87" s="103" t="s">
        <v>1097</v>
      </c>
      <c r="C87" s="103" t="s">
        <v>1098</v>
      </c>
      <c r="D87" s="102" t="s">
        <v>1099</v>
      </c>
      <c r="E87" s="103" t="s">
        <v>452</v>
      </c>
      <c r="F87" s="102" t="s">
        <v>398</v>
      </c>
      <c r="G87" s="103" t="s">
        <v>20</v>
      </c>
      <c r="I87" s="103">
        <v>201503</v>
      </c>
      <c r="J87" s="104">
        <v>42.14</v>
      </c>
      <c r="K87" s="72">
        <f t="shared" si="9"/>
        <v>42675</v>
      </c>
      <c r="L87" s="67">
        <f t="shared" si="5"/>
        <v>6</v>
      </c>
      <c r="M87" s="105">
        <v>1.4833299999999999E-3</v>
      </c>
      <c r="N87" s="104">
        <f t="shared" si="6"/>
        <v>0.37504515720000003</v>
      </c>
      <c r="O87" s="66"/>
      <c r="P87" s="71">
        <f t="shared" si="7"/>
        <v>0</v>
      </c>
      <c r="Q87" s="132"/>
      <c r="R87" s="71">
        <f t="shared" si="8"/>
        <v>0.64480345416666662</v>
      </c>
    </row>
    <row r="88" spans="1:18">
      <c r="A88" s="102" t="s">
        <v>626</v>
      </c>
      <c r="B88" s="103" t="s">
        <v>1100</v>
      </c>
      <c r="C88" s="103" t="s">
        <v>1101</v>
      </c>
      <c r="D88" s="102" t="s">
        <v>1102</v>
      </c>
      <c r="E88" s="103" t="s">
        <v>397</v>
      </c>
      <c r="F88" s="102" t="s">
        <v>398</v>
      </c>
      <c r="G88" s="103" t="s">
        <v>20</v>
      </c>
      <c r="I88" s="103">
        <v>201503</v>
      </c>
      <c r="J88" s="104">
        <v>11.36</v>
      </c>
      <c r="K88" s="72">
        <f t="shared" si="9"/>
        <v>42675</v>
      </c>
      <c r="L88" s="67">
        <f t="shared" si="5"/>
        <v>6</v>
      </c>
      <c r="M88" s="105">
        <v>1.4833299999999999E-3</v>
      </c>
      <c r="N88" s="104">
        <f t="shared" si="6"/>
        <v>0.10110377279999999</v>
      </c>
      <c r="O88" s="66"/>
      <c r="P88" s="71">
        <f t="shared" si="7"/>
        <v>0</v>
      </c>
      <c r="Q88" s="132"/>
      <c r="R88" s="71">
        <f t="shared" si="8"/>
        <v>0.17382456666666665</v>
      </c>
    </row>
    <row r="89" spans="1:18">
      <c r="A89" s="102" t="s">
        <v>626</v>
      </c>
      <c r="B89" s="103" t="s">
        <v>912</v>
      </c>
      <c r="C89" s="103" t="s">
        <v>913</v>
      </c>
      <c r="D89" s="102" t="s">
        <v>914</v>
      </c>
      <c r="E89" s="103" t="s">
        <v>164</v>
      </c>
      <c r="F89" s="102" t="s">
        <v>165</v>
      </c>
      <c r="G89" s="103" t="s">
        <v>20</v>
      </c>
      <c r="I89" s="103">
        <v>201503</v>
      </c>
      <c r="J89" s="104">
        <v>16.88</v>
      </c>
      <c r="K89" s="72">
        <f t="shared" si="9"/>
        <v>42675</v>
      </c>
      <c r="L89" s="67">
        <f t="shared" si="5"/>
        <v>6</v>
      </c>
      <c r="M89" s="105">
        <v>1.4833299999999999E-3</v>
      </c>
      <c r="N89" s="104">
        <f t="shared" si="6"/>
        <v>0.15023166239999999</v>
      </c>
      <c r="O89" s="66"/>
      <c r="P89" s="71">
        <f t="shared" si="7"/>
        <v>0</v>
      </c>
      <c r="Q89" s="132"/>
      <c r="R89" s="71">
        <f t="shared" si="8"/>
        <v>0.25828861666666658</v>
      </c>
    </row>
    <row r="90" spans="1:18">
      <c r="A90" s="106" t="s">
        <v>626</v>
      </c>
      <c r="B90" s="103" t="s">
        <v>919</v>
      </c>
      <c r="C90" s="103" t="s">
        <v>920</v>
      </c>
      <c r="D90" s="102" t="s">
        <v>921</v>
      </c>
      <c r="E90" s="103" t="s">
        <v>164</v>
      </c>
      <c r="F90" s="102" t="s">
        <v>165</v>
      </c>
      <c r="G90" s="103" t="s">
        <v>20</v>
      </c>
      <c r="I90" s="103">
        <v>201503</v>
      </c>
      <c r="J90" s="104">
        <v>6.02</v>
      </c>
      <c r="K90" s="72">
        <f t="shared" si="9"/>
        <v>42675</v>
      </c>
      <c r="L90" s="67">
        <f t="shared" si="5"/>
        <v>6</v>
      </c>
      <c r="M90" s="105">
        <v>1.4833299999999999E-3</v>
      </c>
      <c r="N90" s="104">
        <f t="shared" si="6"/>
        <v>5.3577879599999996E-2</v>
      </c>
      <c r="O90" s="66"/>
      <c r="P90" s="71">
        <f t="shared" si="7"/>
        <v>0</v>
      </c>
      <c r="Q90" s="132"/>
      <c r="R90" s="71">
        <f t="shared" si="8"/>
        <v>9.211477916666666E-2</v>
      </c>
    </row>
    <row r="91" spans="1:18">
      <c r="A91" s="106" t="s">
        <v>626</v>
      </c>
      <c r="B91" s="103" t="s">
        <v>1047</v>
      </c>
      <c r="C91" s="103" t="s">
        <v>1048</v>
      </c>
      <c r="D91" s="102" t="s">
        <v>1049</v>
      </c>
      <c r="E91" s="103" t="s">
        <v>164</v>
      </c>
      <c r="F91" s="102" t="s">
        <v>165</v>
      </c>
      <c r="G91" s="103" t="s">
        <v>20</v>
      </c>
      <c r="I91" s="103">
        <v>201503</v>
      </c>
      <c r="J91" s="104">
        <v>399.64</v>
      </c>
      <c r="K91" s="72">
        <f t="shared" si="9"/>
        <v>42675</v>
      </c>
      <c r="L91" s="67">
        <f t="shared" si="5"/>
        <v>6</v>
      </c>
      <c r="M91" s="105">
        <v>1.4833299999999999E-3</v>
      </c>
      <c r="N91" s="104">
        <f t="shared" si="6"/>
        <v>3.5567880071999998</v>
      </c>
      <c r="O91" s="66"/>
      <c r="P91" s="71">
        <f t="shared" si="7"/>
        <v>0</v>
      </c>
      <c r="Q91" s="132"/>
      <c r="R91" s="71">
        <f t="shared" si="8"/>
        <v>6.1150748083333326</v>
      </c>
    </row>
    <row r="92" spans="1:18">
      <c r="A92" s="102" t="s">
        <v>626</v>
      </c>
      <c r="B92" s="103" t="s">
        <v>1103</v>
      </c>
      <c r="C92" s="103" t="s">
        <v>1104</v>
      </c>
      <c r="D92" s="102" t="s">
        <v>1105</v>
      </c>
      <c r="E92" s="103" t="s">
        <v>87</v>
      </c>
      <c r="F92" s="102" t="s">
        <v>88</v>
      </c>
      <c r="G92" s="103" t="s">
        <v>20</v>
      </c>
      <c r="I92" s="103">
        <v>201503</v>
      </c>
      <c r="J92" s="104">
        <v>31.96</v>
      </c>
      <c r="K92" s="72">
        <f t="shared" si="9"/>
        <v>42675</v>
      </c>
      <c r="L92" s="67">
        <f t="shared" si="5"/>
        <v>6</v>
      </c>
      <c r="M92" s="105">
        <v>1.4833299999999999E-3</v>
      </c>
      <c r="N92" s="104">
        <f t="shared" si="6"/>
        <v>0.28444336079999999</v>
      </c>
      <c r="O92" s="66"/>
      <c r="P92" s="71">
        <f t="shared" si="7"/>
        <v>0</v>
      </c>
      <c r="Q92" s="132"/>
      <c r="R92" s="71">
        <f t="shared" si="8"/>
        <v>0.48903460833333334</v>
      </c>
    </row>
    <row r="93" spans="1:18">
      <c r="A93" s="102" t="s">
        <v>626</v>
      </c>
      <c r="B93" s="103" t="s">
        <v>1106</v>
      </c>
      <c r="C93" s="103" t="s">
        <v>1107</v>
      </c>
      <c r="D93" s="102" t="s">
        <v>1108</v>
      </c>
      <c r="E93" s="103" t="s">
        <v>18</v>
      </c>
      <c r="F93" s="102" t="s">
        <v>19</v>
      </c>
      <c r="G93" s="103" t="s">
        <v>20</v>
      </c>
      <c r="I93" s="103">
        <v>201503</v>
      </c>
      <c r="J93" s="104">
        <v>14.34</v>
      </c>
      <c r="K93" s="72">
        <f t="shared" si="9"/>
        <v>42675</v>
      </c>
      <c r="L93" s="67">
        <f t="shared" si="5"/>
        <v>6</v>
      </c>
      <c r="M93" s="105">
        <v>1.4833299999999999E-3</v>
      </c>
      <c r="N93" s="104">
        <f t="shared" si="6"/>
        <v>0.12762571319999999</v>
      </c>
      <c r="O93" s="66"/>
      <c r="P93" s="71">
        <f t="shared" si="7"/>
        <v>0</v>
      </c>
      <c r="Q93" s="132"/>
      <c r="R93" s="71">
        <f t="shared" si="8"/>
        <v>0.21942291249999998</v>
      </c>
    </row>
    <row r="94" spans="1:18">
      <c r="A94" s="102" t="s">
        <v>626</v>
      </c>
      <c r="B94" s="103" t="s">
        <v>1109</v>
      </c>
      <c r="C94" s="103" t="s">
        <v>1110</v>
      </c>
      <c r="D94" s="102" t="s">
        <v>1111</v>
      </c>
      <c r="E94" s="103" t="s">
        <v>260</v>
      </c>
      <c r="F94" s="102" t="s">
        <v>26</v>
      </c>
      <c r="G94" s="103" t="s">
        <v>20</v>
      </c>
      <c r="I94" s="103">
        <v>201503</v>
      </c>
      <c r="J94" s="104">
        <v>21.23</v>
      </c>
      <c r="K94" s="72">
        <f t="shared" si="9"/>
        <v>42675</v>
      </c>
      <c r="L94" s="67">
        <f t="shared" si="5"/>
        <v>6</v>
      </c>
      <c r="M94" s="105">
        <v>1.4833299999999999E-3</v>
      </c>
      <c r="N94" s="104">
        <f t="shared" si="6"/>
        <v>0.18894657540000001</v>
      </c>
      <c r="O94" s="86"/>
      <c r="P94" s="71">
        <f t="shared" si="7"/>
        <v>0</v>
      </c>
      <c r="Q94" s="132"/>
      <c r="R94" s="71">
        <f t="shared" si="8"/>
        <v>0.32484996041666664</v>
      </c>
    </row>
    <row r="95" spans="1:18">
      <c r="A95" s="102" t="s">
        <v>626</v>
      </c>
      <c r="B95" s="103" t="s">
        <v>1050</v>
      </c>
      <c r="C95" s="103" t="s">
        <v>1051</v>
      </c>
      <c r="D95" s="102" t="s">
        <v>1052</v>
      </c>
      <c r="E95" s="103" t="s">
        <v>164</v>
      </c>
      <c r="F95" s="102" t="s">
        <v>165</v>
      </c>
      <c r="G95" s="103" t="s">
        <v>20</v>
      </c>
      <c r="I95" s="103">
        <v>201503</v>
      </c>
      <c r="J95" s="104">
        <v>413.54</v>
      </c>
      <c r="K95" s="72">
        <f t="shared" si="9"/>
        <v>42675</v>
      </c>
      <c r="L95" s="67">
        <f t="shared" si="5"/>
        <v>6</v>
      </c>
      <c r="M95" s="105">
        <v>1.4833299999999999E-3</v>
      </c>
      <c r="N95" s="104">
        <f t="shared" si="6"/>
        <v>3.6804977292000003</v>
      </c>
      <c r="O95" s="66"/>
      <c r="P95" s="71">
        <f t="shared" si="7"/>
        <v>0</v>
      </c>
      <c r="Q95" s="132"/>
      <c r="R95" s="71">
        <f t="shared" si="8"/>
        <v>6.3277650791666664</v>
      </c>
    </row>
    <row r="96" spans="1:18">
      <c r="A96" s="102" t="s">
        <v>626</v>
      </c>
      <c r="B96" s="103" t="s">
        <v>1209</v>
      </c>
      <c r="C96" s="103" t="s">
        <v>1210</v>
      </c>
      <c r="D96" s="102" t="s">
        <v>1211</v>
      </c>
      <c r="E96" s="103" t="s">
        <v>79</v>
      </c>
      <c r="F96" s="102" t="s">
        <v>26</v>
      </c>
      <c r="G96" s="103" t="s">
        <v>20</v>
      </c>
      <c r="I96" s="103">
        <v>201503</v>
      </c>
      <c r="J96" s="104">
        <v>881.38</v>
      </c>
      <c r="K96" s="72">
        <f t="shared" si="9"/>
        <v>42675</v>
      </c>
      <c r="L96" s="67">
        <f t="shared" si="5"/>
        <v>6</v>
      </c>
      <c r="M96" s="105">
        <v>1.4833299999999999E-3</v>
      </c>
      <c r="N96" s="104">
        <f t="shared" si="6"/>
        <v>7.8442643723999996</v>
      </c>
      <c r="O96" s="66"/>
      <c r="P96" s="71">
        <f t="shared" si="7"/>
        <v>0</v>
      </c>
      <c r="Q96" s="132"/>
      <c r="R96" s="71">
        <f t="shared" si="8"/>
        <v>13.486399345833332</v>
      </c>
    </row>
    <row r="97" spans="1:18">
      <c r="A97" s="102" t="s">
        <v>626</v>
      </c>
      <c r="B97" s="103" t="s">
        <v>981</v>
      </c>
      <c r="C97" s="103" t="s">
        <v>982</v>
      </c>
      <c r="D97" s="102" t="s">
        <v>983</v>
      </c>
      <c r="E97" s="103" t="s">
        <v>531</v>
      </c>
      <c r="F97" s="102" t="s">
        <v>26</v>
      </c>
      <c r="G97" s="103" t="s">
        <v>20</v>
      </c>
      <c r="I97" s="103">
        <v>201503</v>
      </c>
      <c r="J97" s="104">
        <v>-155.15</v>
      </c>
      <c r="K97" s="72">
        <f t="shared" si="9"/>
        <v>42675</v>
      </c>
      <c r="L97" s="67">
        <f t="shared" si="5"/>
        <v>6</v>
      </c>
      <c r="M97" s="105">
        <v>1.4833299999999999E-3</v>
      </c>
      <c r="N97" s="104">
        <f t="shared" si="6"/>
        <v>-1.380831897</v>
      </c>
      <c r="O97" s="66"/>
      <c r="P97" s="71">
        <f t="shared" si="7"/>
        <v>0</v>
      </c>
      <c r="Q97" s="132"/>
      <c r="R97" s="71">
        <f t="shared" si="8"/>
        <v>-2.3740212604166664</v>
      </c>
    </row>
    <row r="98" spans="1:18">
      <c r="A98" s="102" t="s">
        <v>626</v>
      </c>
      <c r="B98" s="103" t="s">
        <v>1292</v>
      </c>
      <c r="C98" s="103" t="s">
        <v>1293</v>
      </c>
      <c r="D98" s="102" t="s">
        <v>1294</v>
      </c>
      <c r="E98" s="103" t="s">
        <v>93</v>
      </c>
      <c r="F98" s="102" t="s">
        <v>88</v>
      </c>
      <c r="G98" s="103" t="s">
        <v>20</v>
      </c>
      <c r="I98" s="103">
        <v>201503</v>
      </c>
      <c r="J98" s="104">
        <v>-519.15</v>
      </c>
      <c r="K98" s="72">
        <f t="shared" si="9"/>
        <v>42675</v>
      </c>
      <c r="L98" s="67">
        <f t="shared" si="5"/>
        <v>6</v>
      </c>
      <c r="M98" s="105">
        <v>1.4833299999999999E-3</v>
      </c>
      <c r="N98" s="104">
        <f t="shared" si="6"/>
        <v>-4.6204246169999994</v>
      </c>
      <c r="O98" s="66"/>
      <c r="P98" s="71">
        <f t="shared" si="7"/>
        <v>0</v>
      </c>
      <c r="Q98" s="132"/>
      <c r="R98" s="71">
        <f t="shared" si="8"/>
        <v>-7.9437520937499979</v>
      </c>
    </row>
    <row r="99" spans="1:18">
      <c r="A99" s="102" t="s">
        <v>626</v>
      </c>
      <c r="B99" s="103" t="s">
        <v>1053</v>
      </c>
      <c r="C99" s="103" t="s">
        <v>1054</v>
      </c>
      <c r="D99" s="102" t="s">
        <v>1055</v>
      </c>
      <c r="E99" s="103" t="s">
        <v>160</v>
      </c>
      <c r="F99" s="102" t="s">
        <v>19</v>
      </c>
      <c r="G99" s="103" t="s">
        <v>20</v>
      </c>
      <c r="I99" s="103">
        <v>201503</v>
      </c>
      <c r="J99" s="104">
        <v>8.36</v>
      </c>
      <c r="K99" s="72">
        <f t="shared" si="9"/>
        <v>42675</v>
      </c>
      <c r="L99" s="67">
        <f t="shared" si="5"/>
        <v>6</v>
      </c>
      <c r="M99" s="105">
        <v>1.4833299999999999E-3</v>
      </c>
      <c r="N99" s="104">
        <f t="shared" si="6"/>
        <v>7.44038328E-2</v>
      </c>
      <c r="O99" s="66"/>
      <c r="P99" s="71">
        <f t="shared" si="7"/>
        <v>0</v>
      </c>
      <c r="Q99" s="132"/>
      <c r="R99" s="71">
        <f t="shared" si="8"/>
        <v>0.12792019166666665</v>
      </c>
    </row>
    <row r="100" spans="1:18">
      <c r="A100" s="102" t="s">
        <v>626</v>
      </c>
      <c r="B100" s="103" t="s">
        <v>1056</v>
      </c>
      <c r="C100" s="103" t="s">
        <v>1057</v>
      </c>
      <c r="D100" s="102" t="s">
        <v>1058</v>
      </c>
      <c r="E100" s="103" t="s">
        <v>1059</v>
      </c>
      <c r="F100" s="102" t="s">
        <v>26</v>
      </c>
      <c r="G100" s="103" t="s">
        <v>20</v>
      </c>
      <c r="I100" s="103">
        <v>201503</v>
      </c>
      <c r="J100" s="104">
        <v>398.85</v>
      </c>
      <c r="K100" s="72">
        <f t="shared" si="9"/>
        <v>42675</v>
      </c>
      <c r="L100" s="67">
        <f t="shared" si="5"/>
        <v>6</v>
      </c>
      <c r="M100" s="105">
        <v>1.4833299999999999E-3</v>
      </c>
      <c r="N100" s="104">
        <f t="shared" si="6"/>
        <v>3.5497570230000002</v>
      </c>
      <c r="O100" s="66"/>
      <c r="P100" s="71">
        <f t="shared" si="7"/>
        <v>0</v>
      </c>
      <c r="Q100" s="132"/>
      <c r="R100" s="71">
        <f t="shared" si="8"/>
        <v>6.1029866562499997</v>
      </c>
    </row>
    <row r="101" spans="1:18">
      <c r="A101" s="102" t="s">
        <v>626</v>
      </c>
      <c r="B101" s="103" t="s">
        <v>1163</v>
      </c>
      <c r="C101" s="103" t="s">
        <v>1164</v>
      </c>
      <c r="D101" s="102" t="s">
        <v>1165</v>
      </c>
      <c r="E101" s="103" t="s">
        <v>75</v>
      </c>
      <c r="F101" s="102" t="s">
        <v>26</v>
      </c>
      <c r="G101" s="103" t="s">
        <v>20</v>
      </c>
      <c r="I101" s="103">
        <v>201503</v>
      </c>
      <c r="J101" s="104">
        <v>82.01</v>
      </c>
      <c r="K101" s="72">
        <f t="shared" si="9"/>
        <v>42675</v>
      </c>
      <c r="L101" s="67">
        <f t="shared" si="5"/>
        <v>6</v>
      </c>
      <c r="M101" s="105">
        <v>1.4833299999999999E-3</v>
      </c>
      <c r="N101" s="104">
        <f t="shared" si="6"/>
        <v>0.72988735980000008</v>
      </c>
      <c r="O101" s="66"/>
      <c r="P101" s="71">
        <f t="shared" si="7"/>
        <v>0</v>
      </c>
      <c r="Q101" s="132"/>
      <c r="R101" s="71">
        <f t="shared" si="8"/>
        <v>1.2548725979166666</v>
      </c>
    </row>
    <row r="102" spans="1:18">
      <c r="A102" s="102" t="s">
        <v>626</v>
      </c>
      <c r="B102" s="103" t="s">
        <v>1166</v>
      </c>
      <c r="C102" s="103" t="s">
        <v>1167</v>
      </c>
      <c r="D102" s="102" t="s">
        <v>1168</v>
      </c>
      <c r="E102" s="103" t="s">
        <v>75</v>
      </c>
      <c r="F102" s="102" t="s">
        <v>26</v>
      </c>
      <c r="G102" s="103" t="s">
        <v>20</v>
      </c>
      <c r="I102" s="103">
        <v>201503</v>
      </c>
      <c r="J102" s="104">
        <v>21.96</v>
      </c>
      <c r="K102" s="72">
        <f t="shared" si="9"/>
        <v>42675</v>
      </c>
      <c r="L102" s="67">
        <f t="shared" si="5"/>
        <v>6</v>
      </c>
      <c r="M102" s="105">
        <v>1.4833299999999999E-3</v>
      </c>
      <c r="N102" s="104">
        <f t="shared" si="6"/>
        <v>0.1954435608</v>
      </c>
      <c r="O102" s="66"/>
      <c r="P102" s="71">
        <f t="shared" si="7"/>
        <v>0</v>
      </c>
      <c r="Q102" s="132"/>
      <c r="R102" s="71">
        <f t="shared" si="8"/>
        <v>0.336020025</v>
      </c>
    </row>
    <row r="103" spans="1:18">
      <c r="A103" s="102" t="s">
        <v>626</v>
      </c>
      <c r="B103" s="103" t="s">
        <v>1169</v>
      </c>
      <c r="C103" s="103" t="s">
        <v>1170</v>
      </c>
      <c r="D103" s="102" t="s">
        <v>1171</v>
      </c>
      <c r="E103" s="103" t="s">
        <v>164</v>
      </c>
      <c r="F103" s="102" t="s">
        <v>165</v>
      </c>
      <c r="G103" s="103" t="s">
        <v>20</v>
      </c>
      <c r="I103" s="103">
        <v>201503</v>
      </c>
      <c r="J103" s="104">
        <v>744.92</v>
      </c>
      <c r="K103" s="72">
        <f t="shared" si="9"/>
        <v>42675</v>
      </c>
      <c r="L103" s="67">
        <f t="shared" si="5"/>
        <v>6</v>
      </c>
      <c r="M103" s="105">
        <v>1.4833299999999999E-3</v>
      </c>
      <c r="N103" s="104">
        <f t="shared" si="6"/>
        <v>6.6297731015999997</v>
      </c>
      <c r="O103" s="66"/>
      <c r="P103" s="71">
        <f t="shared" si="7"/>
        <v>0</v>
      </c>
      <c r="Q103" s="132"/>
      <c r="R103" s="71">
        <f t="shared" si="8"/>
        <v>11.398362341666665</v>
      </c>
    </row>
    <row r="104" spans="1:18">
      <c r="A104" s="102" t="s">
        <v>626</v>
      </c>
      <c r="B104" s="103" t="s">
        <v>1172</v>
      </c>
      <c r="C104" s="103" t="s">
        <v>1173</v>
      </c>
      <c r="D104" s="102" t="s">
        <v>1174</v>
      </c>
      <c r="E104" s="103" t="s">
        <v>156</v>
      </c>
      <c r="F104" s="102" t="s">
        <v>26</v>
      </c>
      <c r="G104" s="103" t="s">
        <v>20</v>
      </c>
      <c r="I104" s="103">
        <v>201503</v>
      </c>
      <c r="J104" s="104">
        <v>77.19</v>
      </c>
      <c r="K104" s="72">
        <f t="shared" si="9"/>
        <v>42675</v>
      </c>
      <c r="L104" s="67">
        <f t="shared" si="5"/>
        <v>6</v>
      </c>
      <c r="M104" s="105">
        <v>1.4833299999999999E-3</v>
      </c>
      <c r="N104" s="104">
        <f t="shared" si="6"/>
        <v>0.68698945619999996</v>
      </c>
      <c r="O104" s="66"/>
      <c r="P104" s="71">
        <f t="shared" si="7"/>
        <v>0</v>
      </c>
      <c r="Q104" s="132"/>
      <c r="R104" s="71">
        <f t="shared" si="8"/>
        <v>1.1811195687499998</v>
      </c>
    </row>
    <row r="105" spans="1:18">
      <c r="A105" s="102" t="s">
        <v>626</v>
      </c>
      <c r="B105" s="103" t="s">
        <v>1318</v>
      </c>
      <c r="C105" s="103" t="s">
        <v>1319</v>
      </c>
      <c r="D105" s="102" t="s">
        <v>1320</v>
      </c>
      <c r="E105" s="103" t="s">
        <v>1059</v>
      </c>
      <c r="F105" s="102" t="s">
        <v>26</v>
      </c>
      <c r="G105" s="103" t="s">
        <v>20</v>
      </c>
      <c r="I105" s="103">
        <v>201503</v>
      </c>
      <c r="J105" s="104">
        <v>20573.189999999999</v>
      </c>
      <c r="K105" s="72">
        <f t="shared" si="9"/>
        <v>42675</v>
      </c>
      <c r="L105" s="67">
        <f t="shared" si="5"/>
        <v>6</v>
      </c>
      <c r="M105" s="105">
        <v>1.4833299999999999E-3</v>
      </c>
      <c r="N105" s="104">
        <f t="shared" si="6"/>
        <v>183.10097953619999</v>
      </c>
      <c r="O105" s="66"/>
      <c r="P105" s="71">
        <f t="shared" si="7"/>
        <v>0</v>
      </c>
      <c r="Q105" s="132"/>
      <c r="R105" s="71">
        <f t="shared" si="8"/>
        <v>314.79980956874994</v>
      </c>
    </row>
    <row r="106" spans="1:18">
      <c r="A106" s="102" t="s">
        <v>626</v>
      </c>
      <c r="B106" s="103" t="s">
        <v>1212</v>
      </c>
      <c r="C106" s="103" t="s">
        <v>1213</v>
      </c>
      <c r="D106" s="102" t="s">
        <v>1214</v>
      </c>
      <c r="E106" s="103" t="s">
        <v>260</v>
      </c>
      <c r="F106" s="102" t="s">
        <v>26</v>
      </c>
      <c r="G106" s="103" t="s">
        <v>20</v>
      </c>
      <c r="I106" s="103">
        <v>201503</v>
      </c>
      <c r="J106" s="104">
        <v>130.69999999999999</v>
      </c>
      <c r="K106" s="72">
        <f t="shared" si="9"/>
        <v>42675</v>
      </c>
      <c r="L106" s="67">
        <f t="shared" si="5"/>
        <v>6</v>
      </c>
      <c r="M106" s="105">
        <v>1.4833299999999999E-3</v>
      </c>
      <c r="N106" s="104">
        <f t="shared" si="6"/>
        <v>1.163227386</v>
      </c>
      <c r="O106" s="66"/>
      <c r="P106" s="71">
        <f t="shared" si="7"/>
        <v>0</v>
      </c>
      <c r="Q106" s="132"/>
      <c r="R106" s="71">
        <f t="shared" si="8"/>
        <v>1.9999006041666663</v>
      </c>
    </row>
    <row r="107" spans="1:18">
      <c r="A107" s="102" t="s">
        <v>626</v>
      </c>
      <c r="B107" s="103" t="s">
        <v>1175</v>
      </c>
      <c r="C107" s="103" t="s">
        <v>1176</v>
      </c>
      <c r="D107" s="102" t="s">
        <v>1177</v>
      </c>
      <c r="E107" s="103" t="s">
        <v>1059</v>
      </c>
      <c r="F107" s="102" t="s">
        <v>26</v>
      </c>
      <c r="G107" s="103" t="s">
        <v>20</v>
      </c>
      <c r="I107" s="103">
        <v>201503</v>
      </c>
      <c r="J107" s="104">
        <v>215.68</v>
      </c>
      <c r="K107" s="72">
        <f t="shared" si="9"/>
        <v>42675</v>
      </c>
      <c r="L107" s="67">
        <f t="shared" si="5"/>
        <v>6</v>
      </c>
      <c r="M107" s="105">
        <v>1.4833299999999999E-3</v>
      </c>
      <c r="N107" s="104">
        <f t="shared" si="6"/>
        <v>1.9195476864000001</v>
      </c>
      <c r="O107" s="66"/>
      <c r="P107" s="71">
        <f t="shared" si="7"/>
        <v>0</v>
      </c>
      <c r="Q107" s="132"/>
      <c r="R107" s="71">
        <f t="shared" si="8"/>
        <v>3.3002185333333331</v>
      </c>
    </row>
    <row r="108" spans="1:18">
      <c r="A108" s="102" t="s">
        <v>626</v>
      </c>
      <c r="B108" s="103" t="s">
        <v>1178</v>
      </c>
      <c r="C108" s="103" t="s">
        <v>1179</v>
      </c>
      <c r="D108" s="102" t="s">
        <v>1180</v>
      </c>
      <c r="E108" s="103" t="s">
        <v>260</v>
      </c>
      <c r="F108" s="102" t="s">
        <v>26</v>
      </c>
      <c r="G108" s="103" t="s">
        <v>20</v>
      </c>
      <c r="I108" s="103">
        <v>201503</v>
      </c>
      <c r="J108" s="104">
        <v>24.99</v>
      </c>
      <c r="K108" s="72">
        <f t="shared" si="9"/>
        <v>42675</v>
      </c>
      <c r="L108" s="67">
        <f t="shared" si="5"/>
        <v>6</v>
      </c>
      <c r="M108" s="105">
        <v>1.4833299999999999E-3</v>
      </c>
      <c r="N108" s="104">
        <f t="shared" si="6"/>
        <v>0.2224105002</v>
      </c>
      <c r="O108" s="66"/>
      <c r="P108" s="71">
        <f t="shared" si="7"/>
        <v>0</v>
      </c>
      <c r="Q108" s="132"/>
      <c r="R108" s="71">
        <f t="shared" si="8"/>
        <v>0.38238344374999994</v>
      </c>
    </row>
    <row r="109" spans="1:18">
      <c r="A109" s="102" t="s">
        <v>626</v>
      </c>
      <c r="B109" s="103" t="s">
        <v>1268</v>
      </c>
      <c r="C109" s="103" t="s">
        <v>1269</v>
      </c>
      <c r="D109" s="102" t="s">
        <v>1270</v>
      </c>
      <c r="E109" s="103" t="s">
        <v>260</v>
      </c>
      <c r="F109" s="102" t="s">
        <v>26</v>
      </c>
      <c r="G109" s="103" t="s">
        <v>20</v>
      </c>
      <c r="I109" s="103">
        <v>201503</v>
      </c>
      <c r="J109" s="104">
        <v>-4384.49</v>
      </c>
      <c r="K109" s="72">
        <f t="shared" si="9"/>
        <v>42675</v>
      </c>
      <c r="L109" s="67">
        <f t="shared" si="5"/>
        <v>6</v>
      </c>
      <c r="M109" s="105">
        <v>1.4833299999999999E-3</v>
      </c>
      <c r="N109" s="104">
        <f t="shared" si="6"/>
        <v>-39.0218733102</v>
      </c>
      <c r="O109" s="66"/>
      <c r="P109" s="71">
        <f t="shared" si="7"/>
        <v>0</v>
      </c>
      <c r="Q109" s="132"/>
      <c r="R109" s="71">
        <f t="shared" si="8"/>
        <v>-67.089091047916654</v>
      </c>
    </row>
    <row r="110" spans="1:18">
      <c r="A110" s="102" t="s">
        <v>626</v>
      </c>
      <c r="B110" s="103" t="s">
        <v>1215</v>
      </c>
      <c r="C110" s="103" t="s">
        <v>1216</v>
      </c>
      <c r="D110" s="102" t="s">
        <v>1217</v>
      </c>
      <c r="E110" s="103" t="s">
        <v>102</v>
      </c>
      <c r="F110" s="102" t="s">
        <v>19</v>
      </c>
      <c r="G110" s="103" t="s">
        <v>20</v>
      </c>
      <c r="I110" s="103">
        <v>201503</v>
      </c>
      <c r="J110" s="104">
        <v>380.69</v>
      </c>
      <c r="K110" s="72">
        <f t="shared" si="9"/>
        <v>42675</v>
      </c>
      <c r="L110" s="67">
        <f t="shared" si="5"/>
        <v>6</v>
      </c>
      <c r="M110" s="105">
        <v>1.4833299999999999E-3</v>
      </c>
      <c r="N110" s="104">
        <f t="shared" si="6"/>
        <v>3.3881333861999998</v>
      </c>
      <c r="O110" s="66"/>
      <c r="P110" s="71">
        <f t="shared" si="7"/>
        <v>0</v>
      </c>
      <c r="Q110" s="132"/>
      <c r="R110" s="71">
        <f t="shared" si="8"/>
        <v>5.8251121729166666</v>
      </c>
    </row>
    <row r="111" spans="1:18">
      <c r="A111" s="102" t="s">
        <v>626</v>
      </c>
      <c r="B111" s="103" t="s">
        <v>1321</v>
      </c>
      <c r="C111" s="103" t="s">
        <v>1322</v>
      </c>
      <c r="D111" s="102" t="s">
        <v>1323</v>
      </c>
      <c r="E111" s="103" t="s">
        <v>613</v>
      </c>
      <c r="F111" s="102" t="s">
        <v>398</v>
      </c>
      <c r="G111" s="103" t="s">
        <v>20</v>
      </c>
      <c r="I111" s="103">
        <v>201503</v>
      </c>
      <c r="J111" s="104">
        <v>196812.06</v>
      </c>
      <c r="K111" s="72">
        <f t="shared" si="9"/>
        <v>42675</v>
      </c>
      <c r="L111" s="67">
        <f t="shared" si="5"/>
        <v>6</v>
      </c>
      <c r="M111" s="105">
        <v>1.4833299999999999E-3</v>
      </c>
      <c r="N111" s="104">
        <f t="shared" si="6"/>
        <v>1751.6233977587999</v>
      </c>
      <c r="O111" s="66"/>
      <c r="P111" s="71">
        <f t="shared" si="7"/>
        <v>0</v>
      </c>
      <c r="Q111" s="132"/>
      <c r="R111" s="71">
        <f t="shared" si="8"/>
        <v>3011.5115355874996</v>
      </c>
    </row>
    <row r="112" spans="1:18">
      <c r="A112" s="102" t="s">
        <v>626</v>
      </c>
      <c r="B112" s="103" t="s">
        <v>1236</v>
      </c>
      <c r="C112" s="103" t="s">
        <v>1237</v>
      </c>
      <c r="D112" s="102" t="s">
        <v>1238</v>
      </c>
      <c r="E112" s="103" t="s">
        <v>93</v>
      </c>
      <c r="F112" s="102" t="s">
        <v>88</v>
      </c>
      <c r="G112" s="103" t="s">
        <v>20</v>
      </c>
      <c r="I112" s="103">
        <v>201503</v>
      </c>
      <c r="J112" s="104">
        <v>21.92</v>
      </c>
      <c r="K112" s="72">
        <f t="shared" si="9"/>
        <v>42675</v>
      </c>
      <c r="L112" s="67">
        <f t="shared" si="5"/>
        <v>6</v>
      </c>
      <c r="M112" s="105">
        <v>1.4833299999999999E-3</v>
      </c>
      <c r="N112" s="104">
        <f t="shared" si="6"/>
        <v>0.19508756160000001</v>
      </c>
      <c r="O112" s="66"/>
      <c r="P112" s="71">
        <f t="shared" si="7"/>
        <v>0</v>
      </c>
      <c r="Q112" s="132"/>
      <c r="R112" s="71">
        <f t="shared" si="8"/>
        <v>0.33540796666666667</v>
      </c>
    </row>
    <row r="113" spans="1:18">
      <c r="A113" s="102" t="s">
        <v>626</v>
      </c>
      <c r="B113" s="103" t="s">
        <v>1271</v>
      </c>
      <c r="C113" s="103" t="s">
        <v>1272</v>
      </c>
      <c r="D113" s="102" t="s">
        <v>1273</v>
      </c>
      <c r="E113" s="103" t="s">
        <v>75</v>
      </c>
      <c r="F113" s="102" t="s">
        <v>26</v>
      </c>
      <c r="G113" s="103" t="s">
        <v>20</v>
      </c>
      <c r="I113" s="103">
        <v>201503</v>
      </c>
      <c r="J113" s="104">
        <v>-702.97</v>
      </c>
      <c r="K113" s="72">
        <f t="shared" si="9"/>
        <v>42675</v>
      </c>
      <c r="L113" s="67">
        <f t="shared" si="5"/>
        <v>6</v>
      </c>
      <c r="M113" s="105">
        <v>1.4833299999999999E-3</v>
      </c>
      <c r="N113" s="104">
        <f t="shared" si="6"/>
        <v>-6.2564189406000006</v>
      </c>
      <c r="O113" s="66"/>
      <c r="P113" s="71">
        <f t="shared" si="7"/>
        <v>0</v>
      </c>
      <c r="Q113" s="132"/>
      <c r="R113" s="71">
        <f t="shared" si="8"/>
        <v>-10.756466164583331</v>
      </c>
    </row>
    <row r="114" spans="1:18">
      <c r="A114" s="102" t="s">
        <v>626</v>
      </c>
      <c r="B114" s="103" t="s">
        <v>1218</v>
      </c>
      <c r="C114" s="103" t="s">
        <v>1219</v>
      </c>
      <c r="D114" s="102" t="s">
        <v>1220</v>
      </c>
      <c r="E114" s="103" t="s">
        <v>809</v>
      </c>
      <c r="F114" s="102" t="s">
        <v>26</v>
      </c>
      <c r="G114" s="103" t="s">
        <v>20</v>
      </c>
      <c r="I114" s="103">
        <v>201503</v>
      </c>
      <c r="J114" s="104">
        <v>-1671.83</v>
      </c>
      <c r="K114" s="72">
        <f t="shared" si="9"/>
        <v>42675</v>
      </c>
      <c r="L114" s="67">
        <f t="shared" si="5"/>
        <v>6</v>
      </c>
      <c r="M114" s="105">
        <v>1.4833299999999999E-3</v>
      </c>
      <c r="N114" s="104">
        <f t="shared" si="6"/>
        <v>-14.879253563399999</v>
      </c>
      <c r="O114" s="66"/>
      <c r="P114" s="71">
        <f t="shared" si="7"/>
        <v>0</v>
      </c>
      <c r="Q114" s="132"/>
      <c r="R114" s="71">
        <f t="shared" si="8"/>
        <v>-25.581437085416663</v>
      </c>
    </row>
    <row r="115" spans="1:18">
      <c r="A115" s="102" t="s">
        <v>626</v>
      </c>
      <c r="B115" s="103" t="s">
        <v>1324</v>
      </c>
      <c r="C115" s="103" t="s">
        <v>1325</v>
      </c>
      <c r="D115" s="102" t="s">
        <v>1326</v>
      </c>
      <c r="E115" s="103" t="s">
        <v>142</v>
      </c>
      <c r="F115" s="102" t="s">
        <v>143</v>
      </c>
      <c r="G115" s="103" t="s">
        <v>20</v>
      </c>
      <c r="I115" s="103">
        <v>201503</v>
      </c>
      <c r="J115" s="104">
        <v>278.48</v>
      </c>
      <c r="K115" s="72">
        <f t="shared" si="9"/>
        <v>42675</v>
      </c>
      <c r="L115" s="67">
        <f t="shared" si="5"/>
        <v>6</v>
      </c>
      <c r="M115" s="105">
        <v>1.4833299999999999E-3</v>
      </c>
      <c r="N115" s="104">
        <f t="shared" si="6"/>
        <v>2.4784664304000001</v>
      </c>
      <c r="O115" s="66"/>
      <c r="P115" s="71">
        <f t="shared" si="7"/>
        <v>0</v>
      </c>
      <c r="Q115" s="132"/>
      <c r="R115" s="71">
        <f t="shared" si="8"/>
        <v>4.2611501166666663</v>
      </c>
    </row>
    <row r="116" spans="1:18">
      <c r="A116" s="102" t="s">
        <v>626</v>
      </c>
      <c r="B116" s="103" t="s">
        <v>1274</v>
      </c>
      <c r="C116" s="103" t="s">
        <v>1275</v>
      </c>
      <c r="D116" s="102" t="s">
        <v>1276</v>
      </c>
      <c r="E116" s="103" t="s">
        <v>164</v>
      </c>
      <c r="F116" s="102" t="s">
        <v>165</v>
      </c>
      <c r="G116" s="103" t="s">
        <v>20</v>
      </c>
      <c r="I116" s="103">
        <v>201503</v>
      </c>
      <c r="J116" s="104">
        <v>38689.699999999997</v>
      </c>
      <c r="K116" s="72">
        <f t="shared" si="9"/>
        <v>42675</v>
      </c>
      <c r="L116" s="67">
        <f t="shared" si="5"/>
        <v>6</v>
      </c>
      <c r="M116" s="105">
        <v>1.4833299999999999E-3</v>
      </c>
      <c r="N116" s="104">
        <f t="shared" si="6"/>
        <v>344.33755620599999</v>
      </c>
      <c r="O116" s="66"/>
      <c r="P116" s="71">
        <f t="shared" si="7"/>
        <v>0</v>
      </c>
      <c r="Q116" s="132"/>
      <c r="R116" s="71">
        <f t="shared" si="8"/>
        <v>592.00883247916659</v>
      </c>
    </row>
    <row r="117" spans="1:18">
      <c r="A117" s="102" t="s">
        <v>626</v>
      </c>
      <c r="B117" s="103" t="s">
        <v>1327</v>
      </c>
      <c r="C117" s="103" t="s">
        <v>1328</v>
      </c>
      <c r="D117" s="102" t="s">
        <v>1329</v>
      </c>
      <c r="E117" s="103" t="s">
        <v>75</v>
      </c>
      <c r="F117" s="102" t="s">
        <v>26</v>
      </c>
      <c r="G117" s="103" t="s">
        <v>20</v>
      </c>
      <c r="I117" s="103">
        <v>201503</v>
      </c>
      <c r="J117" s="104">
        <v>62143.47</v>
      </c>
      <c r="K117" s="72">
        <f t="shared" si="9"/>
        <v>42675</v>
      </c>
      <c r="L117" s="67">
        <f t="shared" si="5"/>
        <v>6</v>
      </c>
      <c r="M117" s="105">
        <v>1.4833299999999999E-3</v>
      </c>
      <c r="N117" s="104">
        <f t="shared" si="6"/>
        <v>553.07564013060005</v>
      </c>
      <c r="O117" s="66"/>
      <c r="P117" s="71">
        <f t="shared" si="7"/>
        <v>0</v>
      </c>
      <c r="Q117" s="132"/>
      <c r="R117" s="71">
        <f t="shared" si="8"/>
        <v>950.88571689374987</v>
      </c>
    </row>
    <row r="118" spans="1:18">
      <c r="A118" s="102" t="s">
        <v>626</v>
      </c>
      <c r="B118" s="103" t="s">
        <v>1184</v>
      </c>
      <c r="C118" s="103" t="s">
        <v>1185</v>
      </c>
      <c r="D118" s="102" t="s">
        <v>1186</v>
      </c>
      <c r="E118" s="103" t="s">
        <v>471</v>
      </c>
      <c r="F118" s="102" t="s">
        <v>165</v>
      </c>
      <c r="G118" s="103" t="s">
        <v>20</v>
      </c>
      <c r="I118" s="103">
        <v>201503</v>
      </c>
      <c r="J118" s="104">
        <v>-2</v>
      </c>
      <c r="K118" s="72">
        <f t="shared" si="9"/>
        <v>42675</v>
      </c>
      <c r="L118" s="67">
        <f t="shared" si="5"/>
        <v>6</v>
      </c>
      <c r="M118" s="105">
        <v>1.4833299999999999E-3</v>
      </c>
      <c r="N118" s="104">
        <f t="shared" si="6"/>
        <v>-1.779996E-2</v>
      </c>
      <c r="O118" s="66"/>
      <c r="P118" s="71">
        <f t="shared" si="7"/>
        <v>0</v>
      </c>
      <c r="Q118" s="132"/>
      <c r="R118" s="71">
        <f t="shared" si="8"/>
        <v>-3.0602916666666664E-2</v>
      </c>
    </row>
    <row r="119" spans="1:18">
      <c r="A119" s="102" t="s">
        <v>626</v>
      </c>
      <c r="B119" s="103" t="s">
        <v>1295</v>
      </c>
      <c r="C119" s="103" t="s">
        <v>1296</v>
      </c>
      <c r="D119" s="102" t="s">
        <v>1297</v>
      </c>
      <c r="E119" s="103" t="s">
        <v>87</v>
      </c>
      <c r="F119" s="102" t="s">
        <v>88</v>
      </c>
      <c r="G119" s="103" t="s">
        <v>20</v>
      </c>
      <c r="I119" s="103">
        <v>201503</v>
      </c>
      <c r="J119" s="104">
        <v>13400.38</v>
      </c>
      <c r="K119" s="72">
        <f t="shared" si="9"/>
        <v>42675</v>
      </c>
      <c r="L119" s="67">
        <f t="shared" si="5"/>
        <v>6</v>
      </c>
      <c r="M119" s="105">
        <v>1.4833299999999999E-3</v>
      </c>
      <c r="N119" s="104">
        <f t="shared" si="6"/>
        <v>119.26311399239999</v>
      </c>
      <c r="O119" s="66"/>
      <c r="P119" s="71">
        <f t="shared" si="7"/>
        <v>0</v>
      </c>
      <c r="Q119" s="132"/>
      <c r="R119" s="71">
        <f t="shared" si="8"/>
        <v>205.0453562208333</v>
      </c>
    </row>
    <row r="120" spans="1:18">
      <c r="A120" s="102" t="s">
        <v>626</v>
      </c>
      <c r="B120" s="103" t="s">
        <v>1277</v>
      </c>
      <c r="C120" s="103" t="s">
        <v>1278</v>
      </c>
      <c r="D120" s="102" t="s">
        <v>1279</v>
      </c>
      <c r="E120" s="103" t="s">
        <v>471</v>
      </c>
      <c r="F120" s="102" t="s">
        <v>165</v>
      </c>
      <c r="G120" s="103" t="s">
        <v>20</v>
      </c>
      <c r="I120" s="103">
        <v>201503</v>
      </c>
      <c r="J120" s="104">
        <v>49318.97</v>
      </c>
      <c r="K120" s="72">
        <f t="shared" si="9"/>
        <v>42675</v>
      </c>
      <c r="L120" s="67">
        <f t="shared" si="5"/>
        <v>6</v>
      </c>
      <c r="M120" s="105">
        <v>1.4833299999999999E-3</v>
      </c>
      <c r="N120" s="104">
        <f t="shared" si="6"/>
        <v>438.9378466206</v>
      </c>
      <c r="O120" s="66"/>
      <c r="P120" s="71">
        <f t="shared" si="7"/>
        <v>0</v>
      </c>
      <c r="Q120" s="132"/>
      <c r="R120" s="71">
        <f t="shared" si="8"/>
        <v>754.6521644979166</v>
      </c>
    </row>
    <row r="121" spans="1:18">
      <c r="A121" s="102" t="s">
        <v>626</v>
      </c>
      <c r="B121" s="103" t="s">
        <v>1224</v>
      </c>
      <c r="C121" s="103" t="s">
        <v>1225</v>
      </c>
      <c r="D121" s="102" t="s">
        <v>1226</v>
      </c>
      <c r="E121" s="103" t="s">
        <v>164</v>
      </c>
      <c r="F121" s="102" t="s">
        <v>165</v>
      </c>
      <c r="G121" s="103" t="s">
        <v>20</v>
      </c>
      <c r="I121" s="103">
        <v>201503</v>
      </c>
      <c r="J121" s="104">
        <v>195.14</v>
      </c>
      <c r="K121" s="72">
        <f t="shared" si="9"/>
        <v>42675</v>
      </c>
      <c r="L121" s="67">
        <f t="shared" si="5"/>
        <v>6</v>
      </c>
      <c r="M121" s="105">
        <v>1.4833299999999999E-3</v>
      </c>
      <c r="N121" s="104">
        <f t="shared" si="6"/>
        <v>1.7367420971999998</v>
      </c>
      <c r="O121" s="66"/>
      <c r="P121" s="71">
        <f t="shared" si="7"/>
        <v>0</v>
      </c>
      <c r="Q121" s="132"/>
      <c r="R121" s="71">
        <f t="shared" si="8"/>
        <v>2.9859265791666663</v>
      </c>
    </row>
    <row r="122" spans="1:18">
      <c r="A122" s="102" t="s">
        <v>626</v>
      </c>
      <c r="B122" s="103" t="s">
        <v>1227</v>
      </c>
      <c r="C122" s="103" t="s">
        <v>1228</v>
      </c>
      <c r="D122" s="102" t="s">
        <v>1229</v>
      </c>
      <c r="E122" s="103" t="s">
        <v>280</v>
      </c>
      <c r="F122" s="102" t="s">
        <v>26</v>
      </c>
      <c r="G122" s="103" t="s">
        <v>20</v>
      </c>
      <c r="I122" s="103">
        <v>201503</v>
      </c>
      <c r="J122" s="104">
        <v>-72.989999999999995</v>
      </c>
      <c r="K122" s="72">
        <f t="shared" si="9"/>
        <v>42675</v>
      </c>
      <c r="L122" s="67">
        <f t="shared" si="5"/>
        <v>6</v>
      </c>
      <c r="M122" s="105">
        <v>1.4833299999999999E-3</v>
      </c>
      <c r="N122" s="104">
        <f t="shared" si="6"/>
        <v>-0.64960954019999995</v>
      </c>
      <c r="O122" s="66"/>
      <c r="P122" s="71">
        <f t="shared" si="7"/>
        <v>0</v>
      </c>
      <c r="Q122" s="132"/>
      <c r="R122" s="71">
        <f t="shared" si="8"/>
        <v>-1.11685344375</v>
      </c>
    </row>
    <row r="123" spans="1:18">
      <c r="A123" s="102" t="s">
        <v>626</v>
      </c>
      <c r="B123" s="103" t="s">
        <v>1330</v>
      </c>
      <c r="C123" s="103" t="s">
        <v>1331</v>
      </c>
      <c r="D123" s="102" t="s">
        <v>1332</v>
      </c>
      <c r="E123" s="103" t="s">
        <v>102</v>
      </c>
      <c r="F123" s="102" t="s">
        <v>19</v>
      </c>
      <c r="G123" s="103" t="s">
        <v>20</v>
      </c>
      <c r="I123" s="103">
        <v>201503</v>
      </c>
      <c r="J123" s="104">
        <v>14576.15</v>
      </c>
      <c r="K123" s="72">
        <f t="shared" si="9"/>
        <v>42675</v>
      </c>
      <c r="L123" s="67">
        <f t="shared" si="5"/>
        <v>6</v>
      </c>
      <c r="M123" s="105">
        <v>1.4833299999999999E-3</v>
      </c>
      <c r="N123" s="104">
        <f t="shared" si="6"/>
        <v>129.72744347700001</v>
      </c>
      <c r="O123" s="66"/>
      <c r="P123" s="71">
        <f t="shared" si="7"/>
        <v>0</v>
      </c>
      <c r="Q123" s="132"/>
      <c r="R123" s="71">
        <f t="shared" si="8"/>
        <v>223.03635188541662</v>
      </c>
    </row>
    <row r="124" spans="1:18">
      <c r="A124" s="102" t="s">
        <v>626</v>
      </c>
      <c r="B124" s="103" t="s">
        <v>1239</v>
      </c>
      <c r="C124" s="103" t="s">
        <v>1240</v>
      </c>
      <c r="D124" s="102" t="s">
        <v>1241</v>
      </c>
      <c r="E124" s="103" t="s">
        <v>415</v>
      </c>
      <c r="F124" s="102" t="s">
        <v>88</v>
      </c>
      <c r="G124" s="103" t="s">
        <v>20</v>
      </c>
      <c r="I124" s="103">
        <v>201503</v>
      </c>
      <c r="J124" s="104">
        <v>441.29</v>
      </c>
      <c r="K124" s="72">
        <f t="shared" si="9"/>
        <v>42675</v>
      </c>
      <c r="L124" s="67">
        <f t="shared" si="5"/>
        <v>6</v>
      </c>
      <c r="M124" s="105">
        <v>1.4833299999999999E-3</v>
      </c>
      <c r="N124" s="104">
        <f t="shared" si="6"/>
        <v>3.9274721742000001</v>
      </c>
      <c r="O124" s="66"/>
      <c r="P124" s="71">
        <f t="shared" si="7"/>
        <v>0</v>
      </c>
      <c r="Q124" s="132"/>
      <c r="R124" s="71">
        <f t="shared" si="8"/>
        <v>6.7523805479166663</v>
      </c>
    </row>
    <row r="125" spans="1:18">
      <c r="A125" s="102" t="s">
        <v>626</v>
      </c>
      <c r="B125" s="103" t="s">
        <v>1280</v>
      </c>
      <c r="C125" s="103" t="s">
        <v>1281</v>
      </c>
      <c r="D125" s="102" t="s">
        <v>1282</v>
      </c>
      <c r="E125" s="103" t="s">
        <v>164</v>
      </c>
      <c r="F125" s="102" t="s">
        <v>165</v>
      </c>
      <c r="G125" s="103" t="s">
        <v>20</v>
      </c>
      <c r="I125" s="103">
        <v>201503</v>
      </c>
      <c r="J125" s="104">
        <v>3097.26</v>
      </c>
      <c r="K125" s="72">
        <f t="shared" si="9"/>
        <v>42675</v>
      </c>
      <c r="L125" s="67">
        <f t="shared" si="5"/>
        <v>6</v>
      </c>
      <c r="M125" s="105">
        <v>1.4833299999999999E-3</v>
      </c>
      <c r="N125" s="104">
        <f t="shared" si="6"/>
        <v>27.565552054800001</v>
      </c>
      <c r="O125" s="66"/>
      <c r="P125" s="71">
        <f t="shared" si="7"/>
        <v>0</v>
      </c>
      <c r="Q125" s="132"/>
      <c r="R125" s="71">
        <f t="shared" si="8"/>
        <v>47.392594837499999</v>
      </c>
    </row>
    <row r="126" spans="1:18">
      <c r="A126" s="102" t="s">
        <v>626</v>
      </c>
      <c r="B126" s="103" t="s">
        <v>1333</v>
      </c>
      <c r="C126" s="103" t="s">
        <v>1334</v>
      </c>
      <c r="D126" s="102" t="s">
        <v>1335</v>
      </c>
      <c r="E126" s="103" t="s">
        <v>164</v>
      </c>
      <c r="F126" s="102" t="s">
        <v>165</v>
      </c>
      <c r="G126" s="103" t="s">
        <v>20</v>
      </c>
      <c r="I126" s="103">
        <v>201503</v>
      </c>
      <c r="J126" s="104">
        <v>40104.720000000001</v>
      </c>
      <c r="K126" s="72">
        <f t="shared" si="9"/>
        <v>42675</v>
      </c>
      <c r="L126" s="67">
        <f t="shared" si="5"/>
        <v>6</v>
      </c>
      <c r="M126" s="105">
        <v>1.4833299999999999E-3</v>
      </c>
      <c r="N126" s="104">
        <f t="shared" si="6"/>
        <v>356.9312059056</v>
      </c>
      <c r="O126" s="66"/>
      <c r="P126" s="71">
        <f t="shared" si="7"/>
        <v>0</v>
      </c>
      <c r="Q126" s="132"/>
      <c r="R126" s="71">
        <f t="shared" si="8"/>
        <v>613.66070204999994</v>
      </c>
    </row>
    <row r="127" spans="1:18">
      <c r="A127" s="102" t="s">
        <v>626</v>
      </c>
      <c r="B127" s="103" t="s">
        <v>1298</v>
      </c>
      <c r="C127" s="103" t="s">
        <v>1299</v>
      </c>
      <c r="D127" s="102" t="s">
        <v>1300</v>
      </c>
      <c r="E127" s="103" t="s">
        <v>93</v>
      </c>
      <c r="F127" s="102" t="s">
        <v>88</v>
      </c>
      <c r="G127" s="103" t="s">
        <v>20</v>
      </c>
      <c r="I127" s="103">
        <v>201503</v>
      </c>
      <c r="J127" s="104">
        <v>1554.03</v>
      </c>
      <c r="K127" s="72">
        <f t="shared" si="9"/>
        <v>42675</v>
      </c>
      <c r="L127" s="67">
        <f t="shared" si="5"/>
        <v>6</v>
      </c>
      <c r="M127" s="105">
        <v>1.4833299999999999E-3</v>
      </c>
      <c r="N127" s="104">
        <f t="shared" si="6"/>
        <v>13.8308359194</v>
      </c>
      <c r="O127" s="66"/>
      <c r="P127" s="71">
        <f t="shared" si="7"/>
        <v>0</v>
      </c>
      <c r="Q127" s="132"/>
      <c r="R127" s="71">
        <f t="shared" si="8"/>
        <v>23.778925293749996</v>
      </c>
    </row>
    <row r="128" spans="1:18">
      <c r="A128" s="102" t="s">
        <v>626</v>
      </c>
      <c r="B128" s="103" t="s">
        <v>1336</v>
      </c>
      <c r="C128" s="103" t="s">
        <v>1337</v>
      </c>
      <c r="D128" s="102" t="s">
        <v>1338</v>
      </c>
      <c r="E128" s="103" t="s">
        <v>75</v>
      </c>
      <c r="F128" s="102" t="s">
        <v>26</v>
      </c>
      <c r="G128" s="103" t="s">
        <v>20</v>
      </c>
      <c r="I128" s="103">
        <v>201503</v>
      </c>
      <c r="J128" s="104">
        <v>35032.74</v>
      </c>
      <c r="K128" s="72">
        <f t="shared" si="9"/>
        <v>42675</v>
      </c>
      <c r="L128" s="67">
        <f t="shared" si="5"/>
        <v>6</v>
      </c>
      <c r="M128" s="105">
        <v>1.4833299999999999E-3</v>
      </c>
      <c r="N128" s="104">
        <f t="shared" si="6"/>
        <v>311.79068534519996</v>
      </c>
      <c r="O128" s="66"/>
      <c r="P128" s="71">
        <f t="shared" si="7"/>
        <v>0</v>
      </c>
      <c r="Q128" s="132"/>
      <c r="R128" s="71">
        <f t="shared" si="8"/>
        <v>536.05201141249995</v>
      </c>
    </row>
    <row r="129" spans="1:18">
      <c r="A129" s="102" t="s">
        <v>626</v>
      </c>
      <c r="B129" s="103" t="s">
        <v>1339</v>
      </c>
      <c r="C129" s="103" t="s">
        <v>1340</v>
      </c>
      <c r="D129" s="102" t="s">
        <v>1341</v>
      </c>
      <c r="E129" s="103" t="s">
        <v>360</v>
      </c>
      <c r="F129" s="102" t="s">
        <v>19</v>
      </c>
      <c r="G129" s="103" t="s">
        <v>20</v>
      </c>
      <c r="I129" s="103">
        <v>201503</v>
      </c>
      <c r="J129" s="104">
        <v>19133.900000000001</v>
      </c>
      <c r="K129" s="72">
        <f t="shared" si="9"/>
        <v>42675</v>
      </c>
      <c r="L129" s="67">
        <f t="shared" si="5"/>
        <v>6</v>
      </c>
      <c r="M129" s="105">
        <v>1.4833299999999999E-3</v>
      </c>
      <c r="N129" s="104">
        <f t="shared" si="6"/>
        <v>170.291327322</v>
      </c>
      <c r="O129" s="66"/>
      <c r="P129" s="71">
        <f t="shared" si="7"/>
        <v>0</v>
      </c>
      <c r="Q129" s="132"/>
      <c r="R129" s="71">
        <f t="shared" si="8"/>
        <v>292.77657360416663</v>
      </c>
    </row>
    <row r="130" spans="1:18">
      <c r="A130" s="102" t="s">
        <v>626</v>
      </c>
      <c r="B130" s="103" t="s">
        <v>1283</v>
      </c>
      <c r="C130" s="103" t="s">
        <v>1284</v>
      </c>
      <c r="D130" s="102" t="s">
        <v>1285</v>
      </c>
      <c r="E130" s="103" t="s">
        <v>809</v>
      </c>
      <c r="F130" s="102" t="s">
        <v>26</v>
      </c>
      <c r="G130" s="103" t="s">
        <v>20</v>
      </c>
      <c r="I130" s="103">
        <v>201503</v>
      </c>
      <c r="J130" s="104">
        <v>8240.15</v>
      </c>
      <c r="K130" s="72">
        <f t="shared" si="9"/>
        <v>42675</v>
      </c>
      <c r="L130" s="67">
        <f t="shared" si="5"/>
        <v>6</v>
      </c>
      <c r="M130" s="105">
        <v>1.4833299999999999E-3</v>
      </c>
      <c r="N130" s="104">
        <f t="shared" si="6"/>
        <v>73.337170196999992</v>
      </c>
      <c r="O130" s="66"/>
      <c r="P130" s="71">
        <f t="shared" si="7"/>
        <v>0</v>
      </c>
      <c r="Q130" s="132"/>
      <c r="R130" s="71">
        <f t="shared" si="8"/>
        <v>126.08631188541663</v>
      </c>
    </row>
    <row r="131" spans="1:18">
      <c r="A131" s="102" t="s">
        <v>626</v>
      </c>
      <c r="B131" s="103" t="s">
        <v>1342</v>
      </c>
      <c r="C131" s="103" t="s">
        <v>1343</v>
      </c>
      <c r="D131" s="102" t="s">
        <v>1344</v>
      </c>
      <c r="E131" s="103" t="s">
        <v>164</v>
      </c>
      <c r="F131" s="102" t="s">
        <v>165</v>
      </c>
      <c r="G131" s="103" t="s">
        <v>20</v>
      </c>
      <c r="I131" s="103">
        <v>201503</v>
      </c>
      <c r="J131" s="104">
        <v>87107.71</v>
      </c>
      <c r="K131" s="72">
        <f t="shared" si="9"/>
        <v>42675</v>
      </c>
      <c r="L131" s="67">
        <f t="shared" si="5"/>
        <v>6</v>
      </c>
      <c r="M131" s="105">
        <v>1.4833299999999999E-3</v>
      </c>
      <c r="N131" s="104">
        <f t="shared" si="6"/>
        <v>775.25687684580009</v>
      </c>
      <c r="O131" s="66"/>
      <c r="P131" s="71">
        <f t="shared" si="7"/>
        <v>0</v>
      </c>
      <c r="Q131" s="132"/>
      <c r="R131" s="71">
        <f t="shared" si="8"/>
        <v>1332.8749950770832</v>
      </c>
    </row>
    <row r="132" spans="1:18">
      <c r="A132" s="102" t="s">
        <v>626</v>
      </c>
      <c r="B132" s="103" t="s">
        <v>1345</v>
      </c>
      <c r="C132" s="103" t="s">
        <v>1346</v>
      </c>
      <c r="D132" s="102" t="s">
        <v>1347</v>
      </c>
      <c r="E132" s="103" t="s">
        <v>87</v>
      </c>
      <c r="F132" s="102" t="s">
        <v>88</v>
      </c>
      <c r="G132" s="103" t="s">
        <v>20</v>
      </c>
      <c r="I132" s="103">
        <v>201503</v>
      </c>
      <c r="J132" s="104">
        <v>69063.570000000007</v>
      </c>
      <c r="K132" s="72">
        <f t="shared" si="9"/>
        <v>42675</v>
      </c>
      <c r="L132" s="67">
        <f t="shared" si="5"/>
        <v>6</v>
      </c>
      <c r="M132" s="105">
        <v>1.4833299999999999E-3</v>
      </c>
      <c r="N132" s="104">
        <f t="shared" si="6"/>
        <v>614.66439172860009</v>
      </c>
      <c r="O132" s="66"/>
      <c r="P132" s="71">
        <f t="shared" si="7"/>
        <v>0</v>
      </c>
      <c r="Q132" s="132"/>
      <c r="R132" s="71">
        <f t="shared" si="8"/>
        <v>1056.7733387062499</v>
      </c>
    </row>
    <row r="133" spans="1:18">
      <c r="A133" s="102" t="s">
        <v>626</v>
      </c>
      <c r="B133" s="103" t="s">
        <v>1348</v>
      </c>
      <c r="C133" s="103" t="s">
        <v>1349</v>
      </c>
      <c r="D133" s="102" t="s">
        <v>1350</v>
      </c>
      <c r="E133" s="103" t="s">
        <v>209</v>
      </c>
      <c r="F133" s="102" t="s">
        <v>88</v>
      </c>
      <c r="G133" s="103" t="s">
        <v>20</v>
      </c>
      <c r="I133" s="103">
        <v>201503</v>
      </c>
      <c r="J133" s="104">
        <v>39344.07</v>
      </c>
      <c r="K133" s="72">
        <f t="shared" si="9"/>
        <v>42675</v>
      </c>
      <c r="L133" s="67">
        <f t="shared" ref="L133:L196" si="10">((YEAR($L$1)-YEAR(K133))*12+MONTH($L$1)-MONTH(K133))</f>
        <v>6</v>
      </c>
      <c r="M133" s="105">
        <v>1.4833299999999999E-3</v>
      </c>
      <c r="N133" s="104">
        <f t="shared" ref="N133:N196" si="11">M133*L133*J133</f>
        <v>350.16143611860002</v>
      </c>
      <c r="O133" s="66"/>
      <c r="P133" s="71">
        <f t="shared" si="7"/>
        <v>0</v>
      </c>
      <c r="Q133" s="132"/>
      <c r="R133" s="71">
        <f t="shared" si="8"/>
        <v>602.02164776874997</v>
      </c>
    </row>
    <row r="134" spans="1:18">
      <c r="A134" s="102" t="s">
        <v>626</v>
      </c>
      <c r="B134" s="103" t="s">
        <v>1351</v>
      </c>
      <c r="C134" s="103" t="s">
        <v>1352</v>
      </c>
      <c r="D134" s="102" t="s">
        <v>1353</v>
      </c>
      <c r="E134" s="103" t="s">
        <v>809</v>
      </c>
      <c r="F134" s="102" t="s">
        <v>26</v>
      </c>
      <c r="G134" s="103" t="s">
        <v>20</v>
      </c>
      <c r="I134" s="103">
        <v>201503</v>
      </c>
      <c r="J134" s="104">
        <v>11924.71</v>
      </c>
      <c r="K134" s="72">
        <f t="shared" si="9"/>
        <v>42675</v>
      </c>
      <c r="L134" s="67">
        <f t="shared" si="10"/>
        <v>6</v>
      </c>
      <c r="M134" s="105">
        <v>1.4833299999999999E-3</v>
      </c>
      <c r="N134" s="104">
        <f t="shared" si="11"/>
        <v>106.1296805058</v>
      </c>
      <c r="O134" s="66"/>
      <c r="P134" s="71">
        <f t="shared" ref="P134:P197" si="12">($P$4*0.5*J134*$T$12)</f>
        <v>0</v>
      </c>
      <c r="Q134" s="132"/>
      <c r="R134" s="71">
        <f t="shared" ref="R134:R197" si="13">($R$4*0.5*J134*$T$12)</f>
        <v>182.4654532020833</v>
      </c>
    </row>
    <row r="135" spans="1:18">
      <c r="A135" s="106" t="s">
        <v>127</v>
      </c>
      <c r="B135" s="103" t="s">
        <v>1242</v>
      </c>
      <c r="C135" s="103" t="s">
        <v>1243</v>
      </c>
      <c r="D135" s="102" t="s">
        <v>1244</v>
      </c>
      <c r="E135" s="103" t="s">
        <v>131</v>
      </c>
      <c r="F135" s="102" t="s">
        <v>132</v>
      </c>
      <c r="G135" s="103" t="s">
        <v>20</v>
      </c>
      <c r="I135" s="103">
        <v>201503</v>
      </c>
      <c r="J135" s="104">
        <v>8138.02</v>
      </c>
      <c r="K135" s="72">
        <f t="shared" ref="K135:K198" si="14">+K134</f>
        <v>42675</v>
      </c>
      <c r="L135" s="67">
        <f t="shared" si="10"/>
        <v>6</v>
      </c>
      <c r="M135" s="105">
        <v>2.3833299999999999E-3</v>
      </c>
      <c r="N135" s="104">
        <f t="shared" si="11"/>
        <v>116.3735232396</v>
      </c>
      <c r="O135" s="66"/>
      <c r="P135" s="71">
        <f t="shared" si="12"/>
        <v>0</v>
      </c>
      <c r="Q135" s="132"/>
      <c r="R135" s="71">
        <f t="shared" si="13"/>
        <v>124.52357394583332</v>
      </c>
    </row>
    <row r="136" spans="1:18">
      <c r="A136" s="102" t="s">
        <v>127</v>
      </c>
      <c r="B136" s="103" t="s">
        <v>388</v>
      </c>
      <c r="C136" s="103" t="s">
        <v>389</v>
      </c>
      <c r="D136" s="102" t="s">
        <v>390</v>
      </c>
      <c r="E136" s="103" t="s">
        <v>131</v>
      </c>
      <c r="F136" s="102" t="s">
        <v>132</v>
      </c>
      <c r="G136" s="103" t="s">
        <v>20</v>
      </c>
      <c r="I136" s="103">
        <v>201503</v>
      </c>
      <c r="J136" s="104">
        <v>-5.0999999999999996</v>
      </c>
      <c r="K136" s="72">
        <f t="shared" si="14"/>
        <v>42675</v>
      </c>
      <c r="L136" s="67">
        <f t="shared" si="10"/>
        <v>6</v>
      </c>
      <c r="M136" s="105">
        <v>2.3833299999999999E-3</v>
      </c>
      <c r="N136" s="104">
        <f t="shared" si="11"/>
        <v>-7.2929897999999993E-2</v>
      </c>
      <c r="O136" s="66"/>
      <c r="P136" s="71">
        <f t="shared" si="12"/>
        <v>0</v>
      </c>
      <c r="Q136" s="132"/>
      <c r="R136" s="71">
        <f t="shared" si="13"/>
        <v>-7.8037437499999987E-2</v>
      </c>
    </row>
    <row r="137" spans="1:18">
      <c r="A137" s="102" t="s">
        <v>127</v>
      </c>
      <c r="B137" s="103" t="s">
        <v>1032</v>
      </c>
      <c r="C137" s="103" t="s">
        <v>1033</v>
      </c>
      <c r="D137" s="102" t="s">
        <v>1034</v>
      </c>
      <c r="E137" s="103" t="s">
        <v>209</v>
      </c>
      <c r="F137" s="102" t="s">
        <v>88</v>
      </c>
      <c r="G137" s="103" t="s">
        <v>20</v>
      </c>
      <c r="I137" s="103">
        <v>201503</v>
      </c>
      <c r="J137" s="104">
        <v>38.29</v>
      </c>
      <c r="K137" s="72">
        <f t="shared" si="14"/>
        <v>42675</v>
      </c>
      <c r="L137" s="67">
        <f t="shared" si="10"/>
        <v>6</v>
      </c>
      <c r="M137" s="105">
        <v>2.3833299999999999E-3</v>
      </c>
      <c r="N137" s="104">
        <f t="shared" si="11"/>
        <v>0.54754623420000004</v>
      </c>
      <c r="O137" s="66"/>
      <c r="P137" s="71">
        <f t="shared" si="12"/>
        <v>0</v>
      </c>
      <c r="Q137" s="132"/>
      <c r="R137" s="71">
        <f t="shared" si="13"/>
        <v>0.58589283958333327</v>
      </c>
    </row>
    <row r="138" spans="1:18">
      <c r="A138" s="102" t="s">
        <v>127</v>
      </c>
      <c r="B138" s="103" t="s">
        <v>1130</v>
      </c>
      <c r="C138" s="103" t="s">
        <v>1131</v>
      </c>
      <c r="D138" s="102" t="s">
        <v>1132</v>
      </c>
      <c r="E138" s="103" t="s">
        <v>131</v>
      </c>
      <c r="F138" s="102" t="s">
        <v>132</v>
      </c>
      <c r="G138" s="103" t="s">
        <v>20</v>
      </c>
      <c r="I138" s="103">
        <v>201503</v>
      </c>
      <c r="J138" s="104">
        <v>4.8099999999999996</v>
      </c>
      <c r="K138" s="72">
        <f t="shared" si="14"/>
        <v>42675</v>
      </c>
      <c r="L138" s="67">
        <f t="shared" si="10"/>
        <v>6</v>
      </c>
      <c r="M138" s="105">
        <v>2.3833299999999999E-3</v>
      </c>
      <c r="N138" s="104">
        <f t="shared" si="11"/>
        <v>6.8782903799999989E-2</v>
      </c>
      <c r="O138" s="66"/>
      <c r="P138" s="71">
        <f t="shared" si="12"/>
        <v>0</v>
      </c>
      <c r="Q138" s="132"/>
      <c r="R138" s="71">
        <f t="shared" si="13"/>
        <v>7.3600014583333317E-2</v>
      </c>
    </row>
    <row r="139" spans="1:18">
      <c r="A139" s="106" t="s">
        <v>29</v>
      </c>
      <c r="B139" s="103" t="s">
        <v>30</v>
      </c>
      <c r="C139" s="103" t="s">
        <v>31</v>
      </c>
      <c r="D139" s="102" t="s">
        <v>32</v>
      </c>
      <c r="E139" s="103" t="s">
        <v>33</v>
      </c>
      <c r="F139" s="102" t="s">
        <v>34</v>
      </c>
      <c r="G139" s="103" t="s">
        <v>20</v>
      </c>
      <c r="I139" s="103">
        <v>201503</v>
      </c>
      <c r="J139" s="104">
        <v>147127.29999999999</v>
      </c>
      <c r="K139" s="72">
        <f t="shared" si="14"/>
        <v>42675</v>
      </c>
      <c r="L139" s="67">
        <f t="shared" si="10"/>
        <v>6</v>
      </c>
      <c r="M139" s="105">
        <v>2.23333E-3</v>
      </c>
      <c r="N139" s="104">
        <f t="shared" si="11"/>
        <v>1971.5028774539996</v>
      </c>
      <c r="O139" s="66"/>
      <c r="P139" s="71">
        <f t="shared" si="12"/>
        <v>0</v>
      </c>
      <c r="Q139" s="132"/>
      <c r="R139" s="71">
        <f t="shared" si="13"/>
        <v>2251.2622506458329</v>
      </c>
    </row>
    <row r="140" spans="1:18">
      <c r="A140" s="106" t="s">
        <v>29</v>
      </c>
      <c r="B140" s="103" t="s">
        <v>37</v>
      </c>
      <c r="C140" s="103" t="s">
        <v>38</v>
      </c>
      <c r="D140" s="102" t="s">
        <v>39</v>
      </c>
      <c r="E140" s="103" t="s">
        <v>40</v>
      </c>
      <c r="F140" s="102" t="s">
        <v>41</v>
      </c>
      <c r="G140" s="103" t="s">
        <v>20</v>
      </c>
      <c r="I140" s="103">
        <v>201503</v>
      </c>
      <c r="J140" s="104">
        <v>46819.9</v>
      </c>
      <c r="K140" s="72">
        <f t="shared" si="14"/>
        <v>42675</v>
      </c>
      <c r="L140" s="67">
        <f t="shared" si="10"/>
        <v>6</v>
      </c>
      <c r="M140" s="105">
        <v>2.23333E-3</v>
      </c>
      <c r="N140" s="104">
        <f t="shared" si="11"/>
        <v>627.38572360199998</v>
      </c>
      <c r="O140" s="66"/>
      <c r="P140" s="71">
        <f t="shared" si="12"/>
        <v>0</v>
      </c>
      <c r="Q140" s="132"/>
      <c r="R140" s="71">
        <f t="shared" si="13"/>
        <v>716.4127490208333</v>
      </c>
    </row>
    <row r="141" spans="1:18">
      <c r="A141" s="106" t="s">
        <v>29</v>
      </c>
      <c r="B141" s="103" t="s">
        <v>48</v>
      </c>
      <c r="C141" s="103" t="s">
        <v>49</v>
      </c>
      <c r="D141" s="102" t="s">
        <v>50</v>
      </c>
      <c r="E141" s="103" t="s">
        <v>51</v>
      </c>
      <c r="F141" s="102" t="s">
        <v>52</v>
      </c>
      <c r="G141" s="103" t="s">
        <v>20</v>
      </c>
      <c r="I141" s="103">
        <v>201503</v>
      </c>
      <c r="J141" s="104">
        <v>15141.65</v>
      </c>
      <c r="K141" s="72">
        <f t="shared" si="14"/>
        <v>42675</v>
      </c>
      <c r="L141" s="67">
        <f t="shared" si="10"/>
        <v>6</v>
      </c>
      <c r="M141" s="105">
        <v>2.23333E-3</v>
      </c>
      <c r="N141" s="104">
        <f t="shared" si="11"/>
        <v>202.89780716699997</v>
      </c>
      <c r="O141" s="66"/>
      <c r="P141" s="71">
        <f t="shared" si="12"/>
        <v>0</v>
      </c>
      <c r="Q141" s="132"/>
      <c r="R141" s="71">
        <f t="shared" si="13"/>
        <v>231.68932657291666</v>
      </c>
    </row>
    <row r="142" spans="1:18">
      <c r="A142" s="106" t="s">
        <v>29</v>
      </c>
      <c r="B142" s="103" t="s">
        <v>1024</v>
      </c>
      <c r="C142" s="103" t="s">
        <v>1025</v>
      </c>
      <c r="D142" s="102" t="s">
        <v>1026</v>
      </c>
      <c r="E142" s="103" t="s">
        <v>1027</v>
      </c>
      <c r="F142" s="102" t="s">
        <v>1028</v>
      </c>
      <c r="G142" s="103" t="s">
        <v>20</v>
      </c>
      <c r="I142" s="103">
        <v>201503</v>
      </c>
      <c r="J142" s="104">
        <v>0.41</v>
      </c>
      <c r="K142" s="72">
        <f t="shared" si="14"/>
        <v>42675</v>
      </c>
      <c r="L142" s="67">
        <f t="shared" si="10"/>
        <v>6</v>
      </c>
      <c r="M142" s="105">
        <v>2.23333E-3</v>
      </c>
      <c r="N142" s="104">
        <f t="shared" si="11"/>
        <v>5.4939917999999996E-3</v>
      </c>
      <c r="O142" s="66"/>
      <c r="P142" s="71">
        <f t="shared" si="12"/>
        <v>0</v>
      </c>
      <c r="Q142" s="132"/>
      <c r="R142" s="71">
        <f t="shared" si="13"/>
        <v>6.2735979166666659E-3</v>
      </c>
    </row>
    <row r="143" spans="1:18">
      <c r="A143" s="106" t="s">
        <v>29</v>
      </c>
      <c r="B143" s="103" t="s">
        <v>1245</v>
      </c>
      <c r="C143" s="103" t="s">
        <v>1246</v>
      </c>
      <c r="D143" s="102" t="s">
        <v>1026</v>
      </c>
      <c r="E143" s="103" t="s">
        <v>1027</v>
      </c>
      <c r="F143" s="102" t="s">
        <v>1028</v>
      </c>
      <c r="G143" s="103" t="s">
        <v>20</v>
      </c>
      <c r="I143" s="103">
        <v>201503</v>
      </c>
      <c r="J143" s="104">
        <v>-658.85</v>
      </c>
      <c r="K143" s="72">
        <f t="shared" si="14"/>
        <v>42675</v>
      </c>
      <c r="L143" s="67">
        <f t="shared" si="10"/>
        <v>6</v>
      </c>
      <c r="M143" s="105">
        <v>2.23333E-3</v>
      </c>
      <c r="N143" s="104">
        <f t="shared" si="11"/>
        <v>-8.8285768229999988</v>
      </c>
      <c r="O143" s="66"/>
      <c r="P143" s="71">
        <f t="shared" si="12"/>
        <v>0</v>
      </c>
      <c r="Q143" s="132"/>
      <c r="R143" s="71">
        <f t="shared" si="13"/>
        <v>-10.081365822916666</v>
      </c>
    </row>
    <row r="144" spans="1:18">
      <c r="A144" s="106" t="s">
        <v>29</v>
      </c>
      <c r="B144" s="103" t="s">
        <v>103</v>
      </c>
      <c r="C144" s="103" t="s">
        <v>104</v>
      </c>
      <c r="D144" s="102" t="s">
        <v>105</v>
      </c>
      <c r="E144" s="103" t="s">
        <v>106</v>
      </c>
      <c r="F144" s="102" t="s">
        <v>34</v>
      </c>
      <c r="G144" s="103" t="s">
        <v>20</v>
      </c>
      <c r="I144" s="103">
        <v>201503</v>
      </c>
      <c r="J144" s="104">
        <v>-5169.93</v>
      </c>
      <c r="K144" s="72">
        <f t="shared" si="14"/>
        <v>42675</v>
      </c>
      <c r="L144" s="67">
        <f t="shared" si="10"/>
        <v>6</v>
      </c>
      <c r="M144" s="105">
        <v>2.23333E-3</v>
      </c>
      <c r="N144" s="104">
        <f t="shared" si="11"/>
        <v>-69.276958601399997</v>
      </c>
      <c r="O144" s="66"/>
      <c r="P144" s="71">
        <f t="shared" si="12"/>
        <v>0</v>
      </c>
      <c r="Q144" s="132"/>
      <c r="R144" s="71">
        <f t="shared" si="13"/>
        <v>-79.107468481249995</v>
      </c>
    </row>
    <row r="145" spans="1:18">
      <c r="A145" s="106" t="s">
        <v>29</v>
      </c>
      <c r="B145" s="103" t="s">
        <v>107</v>
      </c>
      <c r="C145" s="103" t="s">
        <v>108</v>
      </c>
      <c r="D145" s="102" t="s">
        <v>109</v>
      </c>
      <c r="E145" s="103" t="s">
        <v>110</v>
      </c>
      <c r="F145" s="102" t="s">
        <v>52</v>
      </c>
      <c r="G145" s="103" t="s">
        <v>20</v>
      </c>
      <c r="I145" s="103">
        <v>201503</v>
      </c>
      <c r="J145" s="104">
        <v>35820.730000000003</v>
      </c>
      <c r="K145" s="72">
        <f t="shared" si="14"/>
        <v>42675</v>
      </c>
      <c r="L145" s="67">
        <f t="shared" si="10"/>
        <v>6</v>
      </c>
      <c r="M145" s="105">
        <v>2.23333E-3</v>
      </c>
      <c r="N145" s="104">
        <f t="shared" si="11"/>
        <v>479.99706558539998</v>
      </c>
      <c r="O145" s="66"/>
      <c r="P145" s="71">
        <f t="shared" si="12"/>
        <v>0</v>
      </c>
      <c r="Q145" s="132"/>
      <c r="R145" s="71">
        <f t="shared" si="13"/>
        <v>548.10940756458331</v>
      </c>
    </row>
    <row r="146" spans="1:18">
      <c r="A146" s="106" t="s">
        <v>29</v>
      </c>
      <c r="B146" s="103" t="s">
        <v>555</v>
      </c>
      <c r="C146" s="103" t="s">
        <v>556</v>
      </c>
      <c r="D146" s="102" t="s">
        <v>45</v>
      </c>
      <c r="E146" s="103" t="s">
        <v>557</v>
      </c>
      <c r="F146" s="102" t="s">
        <v>41</v>
      </c>
      <c r="G146" s="103" t="s">
        <v>20</v>
      </c>
      <c r="I146" s="103">
        <v>201503</v>
      </c>
      <c r="J146" s="104">
        <v>-9.75</v>
      </c>
      <c r="K146" s="72">
        <f t="shared" si="14"/>
        <v>42675</v>
      </c>
      <c r="L146" s="67">
        <f t="shared" si="10"/>
        <v>6</v>
      </c>
      <c r="M146" s="105">
        <v>2.23333E-3</v>
      </c>
      <c r="N146" s="104">
        <f t="shared" si="11"/>
        <v>-0.13064980499999998</v>
      </c>
      <c r="O146" s="66"/>
      <c r="P146" s="71">
        <f t="shared" si="12"/>
        <v>0</v>
      </c>
      <c r="Q146" s="132"/>
      <c r="R146" s="71">
        <f t="shared" si="13"/>
        <v>-0.14918921874999999</v>
      </c>
    </row>
    <row r="147" spans="1:18">
      <c r="A147" s="106" t="s">
        <v>29</v>
      </c>
      <c r="B147" s="103" t="s">
        <v>121</v>
      </c>
      <c r="C147" s="103" t="s">
        <v>122</v>
      </c>
      <c r="D147" s="102" t="s">
        <v>50</v>
      </c>
      <c r="E147" s="103" t="s">
        <v>123</v>
      </c>
      <c r="F147" s="102" t="s">
        <v>52</v>
      </c>
      <c r="G147" s="103" t="s">
        <v>20</v>
      </c>
      <c r="I147" s="103">
        <v>201503</v>
      </c>
      <c r="J147" s="104">
        <v>-20.51</v>
      </c>
      <c r="K147" s="72">
        <f t="shared" si="14"/>
        <v>42675</v>
      </c>
      <c r="L147" s="67">
        <f t="shared" si="10"/>
        <v>6</v>
      </c>
      <c r="M147" s="105">
        <v>2.23333E-3</v>
      </c>
      <c r="N147" s="104">
        <f t="shared" si="11"/>
        <v>-0.2748335898</v>
      </c>
      <c r="O147" s="66"/>
      <c r="P147" s="71">
        <f t="shared" si="12"/>
        <v>0</v>
      </c>
      <c r="Q147" s="132"/>
      <c r="R147" s="71">
        <f t="shared" si="13"/>
        <v>-0.31383291041666667</v>
      </c>
    </row>
    <row r="148" spans="1:18">
      <c r="A148" s="106" t="s">
        <v>29</v>
      </c>
      <c r="B148" s="103" t="s">
        <v>124</v>
      </c>
      <c r="C148" s="103" t="s">
        <v>125</v>
      </c>
      <c r="D148" s="102" t="s">
        <v>50</v>
      </c>
      <c r="E148" s="103" t="s">
        <v>126</v>
      </c>
      <c r="F148" s="102" t="s">
        <v>52</v>
      </c>
      <c r="G148" s="103" t="s">
        <v>20</v>
      </c>
      <c r="I148" s="103">
        <v>201503</v>
      </c>
      <c r="J148" s="104">
        <v>-132.4</v>
      </c>
      <c r="K148" s="72">
        <f t="shared" si="14"/>
        <v>42675</v>
      </c>
      <c r="L148" s="67">
        <f t="shared" si="10"/>
        <v>6</v>
      </c>
      <c r="M148" s="105">
        <v>2.23333E-3</v>
      </c>
      <c r="N148" s="104">
        <f t="shared" si="11"/>
        <v>-1.774157352</v>
      </c>
      <c r="O148" s="66"/>
      <c r="P148" s="71">
        <f t="shared" si="12"/>
        <v>0</v>
      </c>
      <c r="Q148" s="132"/>
      <c r="R148" s="71">
        <f t="shared" si="13"/>
        <v>-2.0259130833333332</v>
      </c>
    </row>
    <row r="149" spans="1:18">
      <c r="A149" s="106" t="s">
        <v>29</v>
      </c>
      <c r="B149" s="103" t="s">
        <v>1247</v>
      </c>
      <c r="C149" s="103" t="s">
        <v>1248</v>
      </c>
      <c r="D149" s="102" t="s">
        <v>708</v>
      </c>
      <c r="E149" s="103" t="s">
        <v>1249</v>
      </c>
      <c r="F149" s="102" t="s">
        <v>710</v>
      </c>
      <c r="G149" s="103" t="s">
        <v>20</v>
      </c>
      <c r="I149" s="103">
        <v>201503</v>
      </c>
      <c r="J149" s="104">
        <v>-32.69</v>
      </c>
      <c r="K149" s="72">
        <f t="shared" si="14"/>
        <v>42675</v>
      </c>
      <c r="L149" s="67">
        <f t="shared" si="10"/>
        <v>6</v>
      </c>
      <c r="M149" s="105">
        <v>2.23333E-3</v>
      </c>
      <c r="N149" s="104">
        <f t="shared" si="11"/>
        <v>-0.43804534619999991</v>
      </c>
      <c r="O149" s="66"/>
      <c r="P149" s="71">
        <f t="shared" si="12"/>
        <v>0</v>
      </c>
      <c r="Q149" s="132"/>
      <c r="R149" s="71">
        <f t="shared" si="13"/>
        <v>-0.50020467291666659</v>
      </c>
    </row>
    <row r="150" spans="1:18">
      <c r="A150" s="106" t="s">
        <v>29</v>
      </c>
      <c r="B150" s="103" t="s">
        <v>183</v>
      </c>
      <c r="C150" s="103" t="s">
        <v>184</v>
      </c>
      <c r="D150" s="102" t="s">
        <v>45</v>
      </c>
      <c r="E150" s="103" t="s">
        <v>185</v>
      </c>
      <c r="F150" s="102" t="s">
        <v>41</v>
      </c>
      <c r="G150" s="103" t="s">
        <v>20</v>
      </c>
      <c r="I150" s="103">
        <v>201503</v>
      </c>
      <c r="J150" s="104">
        <v>877.21</v>
      </c>
      <c r="K150" s="72">
        <f t="shared" si="14"/>
        <v>42675</v>
      </c>
      <c r="L150" s="67">
        <f t="shared" si="10"/>
        <v>6</v>
      </c>
      <c r="M150" s="105">
        <v>2.23333E-3</v>
      </c>
      <c r="N150" s="104">
        <f t="shared" si="11"/>
        <v>11.7545964558</v>
      </c>
      <c r="O150" s="66"/>
      <c r="P150" s="71">
        <f t="shared" si="12"/>
        <v>0</v>
      </c>
      <c r="Q150" s="132"/>
      <c r="R150" s="71">
        <f t="shared" si="13"/>
        <v>13.422592264583331</v>
      </c>
    </row>
    <row r="151" spans="1:18">
      <c r="A151" s="106" t="s">
        <v>29</v>
      </c>
      <c r="B151" s="103" t="s">
        <v>186</v>
      </c>
      <c r="C151" s="103" t="s">
        <v>187</v>
      </c>
      <c r="D151" s="102" t="s">
        <v>188</v>
      </c>
      <c r="E151" s="103" t="s">
        <v>189</v>
      </c>
      <c r="F151" s="102" t="s">
        <v>190</v>
      </c>
      <c r="G151" s="103" t="s">
        <v>20</v>
      </c>
      <c r="I151" s="103">
        <v>201503</v>
      </c>
      <c r="J151" s="104">
        <v>7155.06</v>
      </c>
      <c r="K151" s="72">
        <f t="shared" si="14"/>
        <v>42675</v>
      </c>
      <c r="L151" s="67">
        <f t="shared" si="10"/>
        <v>6</v>
      </c>
      <c r="M151" s="105">
        <v>2.23333E-3</v>
      </c>
      <c r="N151" s="104">
        <f t="shared" si="11"/>
        <v>95.877660898800002</v>
      </c>
      <c r="O151" s="66"/>
      <c r="P151" s="71">
        <f t="shared" si="12"/>
        <v>0</v>
      </c>
      <c r="Q151" s="132"/>
      <c r="R151" s="71">
        <f t="shared" si="13"/>
        <v>109.48285246249999</v>
      </c>
    </row>
    <row r="152" spans="1:18">
      <c r="A152" s="106" t="s">
        <v>29</v>
      </c>
      <c r="B152" s="103" t="s">
        <v>191</v>
      </c>
      <c r="C152" s="103" t="s">
        <v>192</v>
      </c>
      <c r="D152" s="102" t="s">
        <v>193</v>
      </c>
      <c r="E152" s="103" t="s">
        <v>194</v>
      </c>
      <c r="F152" s="102" t="s">
        <v>115</v>
      </c>
      <c r="G152" s="103" t="s">
        <v>20</v>
      </c>
      <c r="I152" s="103">
        <v>201503</v>
      </c>
      <c r="J152" s="104">
        <v>968.67</v>
      </c>
      <c r="K152" s="72">
        <f t="shared" si="14"/>
        <v>42675</v>
      </c>
      <c r="L152" s="67">
        <f t="shared" si="10"/>
        <v>6</v>
      </c>
      <c r="M152" s="105">
        <v>2.23333E-3</v>
      </c>
      <c r="N152" s="104">
        <f t="shared" si="11"/>
        <v>12.980158626599998</v>
      </c>
      <c r="O152" s="66"/>
      <c r="P152" s="71">
        <f t="shared" si="12"/>
        <v>0</v>
      </c>
      <c r="Q152" s="132"/>
      <c r="R152" s="71">
        <f t="shared" si="13"/>
        <v>14.822063643749997</v>
      </c>
    </row>
    <row r="153" spans="1:18">
      <c r="A153" s="106" t="s">
        <v>29</v>
      </c>
      <c r="B153" s="103" t="s">
        <v>195</v>
      </c>
      <c r="C153" s="103" t="s">
        <v>196</v>
      </c>
      <c r="D153" s="102" t="s">
        <v>197</v>
      </c>
      <c r="E153" s="103" t="s">
        <v>198</v>
      </c>
      <c r="F153" s="102" t="s">
        <v>199</v>
      </c>
      <c r="G153" s="103" t="s">
        <v>20</v>
      </c>
      <c r="I153" s="103">
        <v>201503</v>
      </c>
      <c r="J153" s="104">
        <v>136865.60999999999</v>
      </c>
      <c r="K153" s="72">
        <f t="shared" si="14"/>
        <v>42675</v>
      </c>
      <c r="L153" s="67">
        <f t="shared" si="10"/>
        <v>6</v>
      </c>
      <c r="M153" s="105">
        <v>2.23333E-3</v>
      </c>
      <c r="N153" s="104">
        <f t="shared" si="11"/>
        <v>1833.9964366877996</v>
      </c>
      <c r="O153" s="66"/>
      <c r="P153" s="71">
        <f t="shared" si="12"/>
        <v>0</v>
      </c>
      <c r="Q153" s="132"/>
      <c r="R153" s="71">
        <f t="shared" si="13"/>
        <v>2094.2434286812495</v>
      </c>
    </row>
    <row r="154" spans="1:18">
      <c r="A154" s="106" t="s">
        <v>29</v>
      </c>
      <c r="B154" s="103" t="s">
        <v>200</v>
      </c>
      <c r="C154" s="103" t="s">
        <v>201</v>
      </c>
      <c r="D154" s="102" t="s">
        <v>197</v>
      </c>
      <c r="E154" s="103" t="s">
        <v>202</v>
      </c>
      <c r="F154" s="102" t="s">
        <v>199</v>
      </c>
      <c r="G154" s="103" t="s">
        <v>20</v>
      </c>
      <c r="I154" s="103">
        <v>201503</v>
      </c>
      <c r="J154" s="104">
        <v>34785.86</v>
      </c>
      <c r="K154" s="72">
        <f t="shared" si="14"/>
        <v>42675</v>
      </c>
      <c r="L154" s="67">
        <f t="shared" si="10"/>
        <v>6</v>
      </c>
      <c r="M154" s="105">
        <v>2.23333E-3</v>
      </c>
      <c r="N154" s="104">
        <f t="shared" si="11"/>
        <v>466.12982828279996</v>
      </c>
      <c r="O154" s="66"/>
      <c r="P154" s="71">
        <f t="shared" si="12"/>
        <v>0</v>
      </c>
      <c r="Q154" s="132"/>
      <c r="R154" s="71">
        <f t="shared" si="13"/>
        <v>532.27438737916668</v>
      </c>
    </row>
    <row r="155" spans="1:18">
      <c r="A155" s="106" t="s">
        <v>29</v>
      </c>
      <c r="B155" s="103" t="s">
        <v>481</v>
      </c>
      <c r="C155" s="103" t="s">
        <v>482</v>
      </c>
      <c r="D155" s="102" t="s">
        <v>483</v>
      </c>
      <c r="E155" s="103" t="s">
        <v>484</v>
      </c>
      <c r="F155" s="102" t="s">
        <v>190</v>
      </c>
      <c r="G155" s="103" t="s">
        <v>20</v>
      </c>
      <c r="I155" s="103">
        <v>201503</v>
      </c>
      <c r="J155" s="104">
        <v>-16.329999999999998</v>
      </c>
      <c r="K155" s="72">
        <f t="shared" si="14"/>
        <v>42675</v>
      </c>
      <c r="L155" s="67">
        <f t="shared" si="10"/>
        <v>6</v>
      </c>
      <c r="M155" s="105">
        <v>2.23333E-3</v>
      </c>
      <c r="N155" s="104">
        <f t="shared" si="11"/>
        <v>-0.21882167339999997</v>
      </c>
      <c r="O155" s="66"/>
      <c r="P155" s="71">
        <f t="shared" si="12"/>
        <v>0</v>
      </c>
      <c r="Q155" s="132"/>
      <c r="R155" s="71">
        <f t="shared" si="13"/>
        <v>-0.2498728145833333</v>
      </c>
    </row>
    <row r="156" spans="1:18">
      <c r="A156" s="106" t="s">
        <v>29</v>
      </c>
      <c r="B156" s="103" t="s">
        <v>236</v>
      </c>
      <c r="C156" s="103" t="s">
        <v>237</v>
      </c>
      <c r="D156" s="102" t="s">
        <v>188</v>
      </c>
      <c r="E156" s="103" t="s">
        <v>238</v>
      </c>
      <c r="F156" s="102" t="s">
        <v>190</v>
      </c>
      <c r="G156" s="103" t="s">
        <v>20</v>
      </c>
      <c r="I156" s="103">
        <v>201503</v>
      </c>
      <c r="J156" s="104">
        <v>95452.36</v>
      </c>
      <c r="K156" s="72">
        <f t="shared" si="14"/>
        <v>42675</v>
      </c>
      <c r="L156" s="67">
        <f t="shared" si="10"/>
        <v>6</v>
      </c>
      <c r="M156" s="105">
        <v>2.23333E-3</v>
      </c>
      <c r="N156" s="104">
        <f t="shared" si="11"/>
        <v>1279.0597149527998</v>
      </c>
      <c r="O156" s="66"/>
      <c r="P156" s="71">
        <f t="shared" si="12"/>
        <v>0</v>
      </c>
      <c r="Q156" s="132"/>
      <c r="R156" s="71">
        <f t="shared" si="13"/>
        <v>1460.5603093583331</v>
      </c>
    </row>
    <row r="157" spans="1:18">
      <c r="A157" s="106" t="s">
        <v>29</v>
      </c>
      <c r="B157" s="103" t="s">
        <v>239</v>
      </c>
      <c r="C157" s="103" t="s">
        <v>240</v>
      </c>
      <c r="D157" s="102" t="s">
        <v>197</v>
      </c>
      <c r="E157" s="103" t="s">
        <v>241</v>
      </c>
      <c r="F157" s="102" t="s">
        <v>199</v>
      </c>
      <c r="G157" s="103" t="s">
        <v>20</v>
      </c>
      <c r="I157" s="103">
        <v>201503</v>
      </c>
      <c r="J157" s="104">
        <v>21744.47</v>
      </c>
      <c r="K157" s="72">
        <f t="shared" si="14"/>
        <v>42675</v>
      </c>
      <c r="L157" s="67">
        <f t="shared" si="10"/>
        <v>6</v>
      </c>
      <c r="M157" s="105">
        <v>2.23333E-3</v>
      </c>
      <c r="N157" s="104">
        <f t="shared" si="11"/>
        <v>291.37546311059998</v>
      </c>
      <c r="O157" s="66"/>
      <c r="P157" s="71">
        <f t="shared" si="12"/>
        <v>0</v>
      </c>
      <c r="Q157" s="132"/>
      <c r="R157" s="71">
        <f t="shared" si="13"/>
        <v>332.7221016854167</v>
      </c>
    </row>
    <row r="158" spans="1:18">
      <c r="A158" s="106" t="s">
        <v>29</v>
      </c>
      <c r="B158" s="103" t="s">
        <v>1115</v>
      </c>
      <c r="C158" s="103" t="s">
        <v>1116</v>
      </c>
      <c r="D158" s="102" t="s">
        <v>1026</v>
      </c>
      <c r="E158" s="103" t="s">
        <v>1117</v>
      </c>
      <c r="F158" s="102" t="s">
        <v>1028</v>
      </c>
      <c r="G158" s="103" t="s">
        <v>20</v>
      </c>
      <c r="I158" s="103">
        <v>201503</v>
      </c>
      <c r="J158" s="104">
        <v>-27.25</v>
      </c>
      <c r="K158" s="72">
        <f t="shared" si="14"/>
        <v>42675</v>
      </c>
      <c r="L158" s="67">
        <f t="shared" si="10"/>
        <v>6</v>
      </c>
      <c r="M158" s="105">
        <v>2.23333E-3</v>
      </c>
      <c r="N158" s="104">
        <f t="shared" si="11"/>
        <v>-0.36514945499999996</v>
      </c>
      <c r="O158" s="66"/>
      <c r="P158" s="71">
        <f t="shared" si="12"/>
        <v>0</v>
      </c>
      <c r="Q158" s="132"/>
      <c r="R158" s="71">
        <f t="shared" si="13"/>
        <v>-0.4169647395833333</v>
      </c>
    </row>
    <row r="159" spans="1:18">
      <c r="A159" s="106" t="s">
        <v>29</v>
      </c>
      <c r="B159" s="103" t="s">
        <v>267</v>
      </c>
      <c r="C159" s="103" t="s">
        <v>268</v>
      </c>
      <c r="D159" s="102" t="s">
        <v>269</v>
      </c>
      <c r="E159" s="103" t="s">
        <v>270</v>
      </c>
      <c r="F159" s="102" t="s">
        <v>115</v>
      </c>
      <c r="G159" s="103" t="s">
        <v>20</v>
      </c>
      <c r="I159" s="103">
        <v>201503</v>
      </c>
      <c r="J159" s="104">
        <v>129905.04</v>
      </c>
      <c r="K159" s="72">
        <f t="shared" si="14"/>
        <v>42675</v>
      </c>
      <c r="L159" s="67">
        <f t="shared" si="10"/>
        <v>6</v>
      </c>
      <c r="M159" s="105">
        <v>2.23333E-3</v>
      </c>
      <c r="N159" s="104">
        <f t="shared" si="11"/>
        <v>1740.7249378991999</v>
      </c>
      <c r="O159" s="66"/>
      <c r="P159" s="71">
        <f t="shared" si="12"/>
        <v>0</v>
      </c>
      <c r="Q159" s="132"/>
      <c r="R159" s="71">
        <f t="shared" si="13"/>
        <v>1987.7365568499995</v>
      </c>
    </row>
    <row r="160" spans="1:18">
      <c r="A160" s="106" t="s">
        <v>29</v>
      </c>
      <c r="B160" s="103" t="s">
        <v>271</v>
      </c>
      <c r="C160" s="103" t="s">
        <v>272</v>
      </c>
      <c r="D160" s="102" t="s">
        <v>197</v>
      </c>
      <c r="E160" s="103" t="s">
        <v>273</v>
      </c>
      <c r="F160" s="102" t="s">
        <v>199</v>
      </c>
      <c r="G160" s="103" t="s">
        <v>20</v>
      </c>
      <c r="I160" s="103">
        <v>201503</v>
      </c>
      <c r="J160" s="104">
        <v>6639.06</v>
      </c>
      <c r="K160" s="72">
        <f t="shared" si="14"/>
        <v>42675</v>
      </c>
      <c r="L160" s="67">
        <f t="shared" si="10"/>
        <v>6</v>
      </c>
      <c r="M160" s="105">
        <v>2.23333E-3</v>
      </c>
      <c r="N160" s="104">
        <f t="shared" si="11"/>
        <v>88.963271218800003</v>
      </c>
      <c r="O160" s="66"/>
      <c r="P160" s="71">
        <f t="shared" si="12"/>
        <v>0</v>
      </c>
      <c r="Q160" s="132"/>
      <c r="R160" s="71">
        <f t="shared" si="13"/>
        <v>101.58729996249998</v>
      </c>
    </row>
    <row r="161" spans="1:18">
      <c r="A161" s="106" t="s">
        <v>29</v>
      </c>
      <c r="B161" s="103" t="s">
        <v>836</v>
      </c>
      <c r="C161" s="103" t="s">
        <v>837</v>
      </c>
      <c r="D161" s="102" t="s">
        <v>327</v>
      </c>
      <c r="E161" s="103" t="s">
        <v>838</v>
      </c>
      <c r="F161" s="102" t="s">
        <v>58</v>
      </c>
      <c r="G161" s="103" t="s">
        <v>20</v>
      </c>
      <c r="I161" s="103">
        <v>201503</v>
      </c>
      <c r="J161" s="104">
        <v>-3.13</v>
      </c>
      <c r="K161" s="72">
        <f t="shared" si="14"/>
        <v>42675</v>
      </c>
      <c r="L161" s="67">
        <f t="shared" si="10"/>
        <v>6</v>
      </c>
      <c r="M161" s="105">
        <v>2.23333E-3</v>
      </c>
      <c r="N161" s="104">
        <f t="shared" si="11"/>
        <v>-4.1941937399999997E-2</v>
      </c>
      <c r="O161" s="66"/>
      <c r="P161" s="71">
        <f t="shared" si="12"/>
        <v>0</v>
      </c>
      <c r="Q161" s="132"/>
      <c r="R161" s="71">
        <f t="shared" si="13"/>
        <v>-4.7893564583333326E-2</v>
      </c>
    </row>
    <row r="162" spans="1:18">
      <c r="A162" s="106" t="s">
        <v>29</v>
      </c>
      <c r="B162" s="103" t="s">
        <v>292</v>
      </c>
      <c r="C162" s="103" t="s">
        <v>293</v>
      </c>
      <c r="D162" s="102" t="s">
        <v>197</v>
      </c>
      <c r="E162" s="103" t="s">
        <v>294</v>
      </c>
      <c r="F162" s="102" t="s">
        <v>199</v>
      </c>
      <c r="G162" s="103" t="s">
        <v>20</v>
      </c>
      <c r="I162" s="103">
        <v>201503</v>
      </c>
      <c r="J162" s="104">
        <v>40446.22</v>
      </c>
      <c r="K162" s="72">
        <f t="shared" si="14"/>
        <v>42675</v>
      </c>
      <c r="L162" s="67">
        <f t="shared" si="10"/>
        <v>6</v>
      </c>
      <c r="M162" s="105">
        <v>2.23333E-3</v>
      </c>
      <c r="N162" s="104">
        <f t="shared" si="11"/>
        <v>541.9785390756</v>
      </c>
      <c r="O162" s="66"/>
      <c r="P162" s="71">
        <f t="shared" si="12"/>
        <v>0</v>
      </c>
      <c r="Q162" s="132"/>
      <c r="R162" s="71">
        <f t="shared" si="13"/>
        <v>618.88615007083331</v>
      </c>
    </row>
    <row r="163" spans="1:18">
      <c r="A163" s="106" t="s">
        <v>29</v>
      </c>
      <c r="B163" s="103" t="s">
        <v>318</v>
      </c>
      <c r="C163" s="103" t="s">
        <v>319</v>
      </c>
      <c r="D163" s="102" t="s">
        <v>105</v>
      </c>
      <c r="E163" s="103" t="s">
        <v>320</v>
      </c>
      <c r="F163" s="102" t="s">
        <v>34</v>
      </c>
      <c r="G163" s="103" t="s">
        <v>20</v>
      </c>
      <c r="I163" s="103">
        <v>201503</v>
      </c>
      <c r="J163" s="104">
        <v>-113.01</v>
      </c>
      <c r="K163" s="72">
        <f t="shared" si="14"/>
        <v>42675</v>
      </c>
      <c r="L163" s="67">
        <f t="shared" si="10"/>
        <v>6</v>
      </c>
      <c r="M163" s="105">
        <v>2.23333E-3</v>
      </c>
      <c r="N163" s="104">
        <f t="shared" si="11"/>
        <v>-1.5143317398</v>
      </c>
      <c r="O163" s="66"/>
      <c r="P163" s="71">
        <f t="shared" si="12"/>
        <v>0</v>
      </c>
      <c r="Q163" s="132"/>
      <c r="R163" s="71">
        <f t="shared" si="13"/>
        <v>-1.7292178062499999</v>
      </c>
    </row>
    <row r="164" spans="1:18">
      <c r="A164" s="106" t="s">
        <v>29</v>
      </c>
      <c r="B164" s="103" t="s">
        <v>321</v>
      </c>
      <c r="C164" s="103" t="s">
        <v>322</v>
      </c>
      <c r="D164" s="102" t="s">
        <v>323</v>
      </c>
      <c r="E164" s="103" t="s">
        <v>324</v>
      </c>
      <c r="F164" s="102" t="s">
        <v>52</v>
      </c>
      <c r="G164" s="103" t="s">
        <v>20</v>
      </c>
      <c r="I164" s="103">
        <v>201503</v>
      </c>
      <c r="J164" s="104">
        <v>-1234.1199999999999</v>
      </c>
      <c r="K164" s="72">
        <f t="shared" si="14"/>
        <v>42675</v>
      </c>
      <c r="L164" s="67">
        <f t="shared" si="10"/>
        <v>6</v>
      </c>
      <c r="M164" s="105">
        <v>2.23333E-3</v>
      </c>
      <c r="N164" s="104">
        <f t="shared" si="11"/>
        <v>-16.537183317599997</v>
      </c>
      <c r="O164" s="66"/>
      <c r="P164" s="71">
        <f t="shared" si="12"/>
        <v>0</v>
      </c>
      <c r="Q164" s="132"/>
      <c r="R164" s="71">
        <f t="shared" si="13"/>
        <v>-18.88383575833333</v>
      </c>
    </row>
    <row r="165" spans="1:18">
      <c r="A165" s="106" t="s">
        <v>29</v>
      </c>
      <c r="B165" s="103" t="s">
        <v>419</v>
      </c>
      <c r="C165" s="103" t="s">
        <v>420</v>
      </c>
      <c r="D165" s="102" t="s">
        <v>50</v>
      </c>
      <c r="E165" s="103" t="s">
        <v>421</v>
      </c>
      <c r="F165" s="102" t="s">
        <v>52</v>
      </c>
      <c r="G165" s="103" t="s">
        <v>20</v>
      </c>
      <c r="I165" s="103">
        <v>201503</v>
      </c>
      <c r="J165" s="104">
        <v>-1509.97</v>
      </c>
      <c r="K165" s="72">
        <f t="shared" si="14"/>
        <v>42675</v>
      </c>
      <c r="L165" s="67">
        <f t="shared" si="10"/>
        <v>6</v>
      </c>
      <c r="M165" s="105">
        <v>2.23333E-3</v>
      </c>
      <c r="N165" s="104">
        <f t="shared" si="11"/>
        <v>-20.233567800599999</v>
      </c>
      <c r="O165" s="66"/>
      <c r="P165" s="71">
        <f t="shared" si="12"/>
        <v>0</v>
      </c>
      <c r="Q165" s="132"/>
      <c r="R165" s="71">
        <f t="shared" si="13"/>
        <v>-23.104743039583333</v>
      </c>
    </row>
    <row r="166" spans="1:18">
      <c r="A166" s="106" t="s">
        <v>29</v>
      </c>
      <c r="B166" s="103" t="s">
        <v>839</v>
      </c>
      <c r="C166" s="103" t="s">
        <v>840</v>
      </c>
      <c r="D166" s="102" t="s">
        <v>50</v>
      </c>
      <c r="E166" s="103" t="s">
        <v>841</v>
      </c>
      <c r="F166" s="102" t="s">
        <v>52</v>
      </c>
      <c r="G166" s="103" t="s">
        <v>20</v>
      </c>
      <c r="I166" s="103">
        <v>201503</v>
      </c>
      <c r="J166" s="104">
        <v>143.07</v>
      </c>
      <c r="K166" s="72">
        <f t="shared" si="14"/>
        <v>42675</v>
      </c>
      <c r="L166" s="67">
        <f t="shared" si="10"/>
        <v>6</v>
      </c>
      <c r="M166" s="105">
        <v>2.23333E-3</v>
      </c>
      <c r="N166" s="104">
        <f t="shared" si="11"/>
        <v>1.9171351385999997</v>
      </c>
      <c r="O166" s="66"/>
      <c r="P166" s="71">
        <f t="shared" si="12"/>
        <v>0</v>
      </c>
      <c r="Q166" s="132"/>
      <c r="R166" s="71">
        <f t="shared" si="13"/>
        <v>2.1891796437499997</v>
      </c>
    </row>
    <row r="167" spans="1:18">
      <c r="A167" s="106" t="s">
        <v>29</v>
      </c>
      <c r="B167" s="103" t="s">
        <v>325</v>
      </c>
      <c r="C167" s="103" t="s">
        <v>326</v>
      </c>
      <c r="D167" s="102" t="s">
        <v>327</v>
      </c>
      <c r="E167" s="103" t="s">
        <v>328</v>
      </c>
      <c r="F167" s="102" t="s">
        <v>58</v>
      </c>
      <c r="G167" s="103" t="s">
        <v>20</v>
      </c>
      <c r="I167" s="103">
        <v>201503</v>
      </c>
      <c r="J167" s="104">
        <v>21720.63</v>
      </c>
      <c r="K167" s="72">
        <f t="shared" si="14"/>
        <v>42675</v>
      </c>
      <c r="L167" s="67">
        <f t="shared" si="10"/>
        <v>6</v>
      </c>
      <c r="M167" s="105">
        <v>2.23333E-3</v>
      </c>
      <c r="N167" s="104">
        <f t="shared" si="11"/>
        <v>291.05600758739996</v>
      </c>
      <c r="O167" s="66"/>
      <c r="P167" s="71">
        <f t="shared" si="12"/>
        <v>0</v>
      </c>
      <c r="Q167" s="132"/>
      <c r="R167" s="71">
        <f t="shared" si="13"/>
        <v>332.35731491874998</v>
      </c>
    </row>
    <row r="168" spans="1:18">
      <c r="A168" s="102" t="s">
        <v>990</v>
      </c>
      <c r="B168" s="103" t="s">
        <v>991</v>
      </c>
      <c r="C168" s="103" t="s">
        <v>992</v>
      </c>
      <c r="D168" s="102" t="s">
        <v>993</v>
      </c>
      <c r="E168" s="103" t="s">
        <v>994</v>
      </c>
      <c r="F168" s="102" t="s">
        <v>995</v>
      </c>
      <c r="G168" s="103" t="s">
        <v>20</v>
      </c>
      <c r="I168" s="103">
        <v>201503</v>
      </c>
      <c r="J168" s="104">
        <v>2025.03</v>
      </c>
      <c r="K168" s="72">
        <f t="shared" si="14"/>
        <v>42675</v>
      </c>
      <c r="L168" s="67">
        <f t="shared" si="10"/>
        <v>6</v>
      </c>
      <c r="M168" s="105">
        <v>2.0333333000000001E-3</v>
      </c>
      <c r="N168" s="104">
        <f t="shared" si="11"/>
        <v>24.705365594993999</v>
      </c>
      <c r="O168" s="66"/>
      <c r="P168" s="71">
        <f t="shared" si="12"/>
        <v>0</v>
      </c>
      <c r="Q168" s="132"/>
      <c r="R168" s="71">
        <f t="shared" si="13"/>
        <v>30.985912168749998</v>
      </c>
    </row>
    <row r="169" spans="1:18">
      <c r="A169" s="102" t="s">
        <v>990</v>
      </c>
      <c r="B169" s="103" t="s">
        <v>996</v>
      </c>
      <c r="C169" s="103" t="s">
        <v>997</v>
      </c>
      <c r="D169" s="102" t="s">
        <v>998</v>
      </c>
      <c r="E169" s="103" t="s">
        <v>999</v>
      </c>
      <c r="F169" s="102" t="s">
        <v>995</v>
      </c>
      <c r="G169" s="103" t="s">
        <v>20</v>
      </c>
      <c r="I169" s="103">
        <v>201503</v>
      </c>
      <c r="J169" s="104">
        <v>763.94</v>
      </c>
      <c r="K169" s="72">
        <f t="shared" si="14"/>
        <v>42675</v>
      </c>
      <c r="L169" s="67">
        <f t="shared" si="10"/>
        <v>6</v>
      </c>
      <c r="M169" s="105">
        <v>2.0333333000000001E-3</v>
      </c>
      <c r="N169" s="104">
        <f t="shared" si="11"/>
        <v>9.320067847212</v>
      </c>
      <c r="O169" s="66"/>
      <c r="P169" s="71">
        <f t="shared" si="12"/>
        <v>0</v>
      </c>
      <c r="Q169" s="132"/>
      <c r="R169" s="71">
        <f t="shared" si="13"/>
        <v>11.689396079166666</v>
      </c>
    </row>
    <row r="170" spans="1:18">
      <c r="A170" s="102" t="s">
        <v>990</v>
      </c>
      <c r="B170" s="103" t="s">
        <v>1000</v>
      </c>
      <c r="C170" s="103" t="s">
        <v>1001</v>
      </c>
      <c r="D170" s="102" t="s">
        <v>998</v>
      </c>
      <c r="E170" s="103" t="s">
        <v>1002</v>
      </c>
      <c r="F170" s="102" t="s">
        <v>995</v>
      </c>
      <c r="G170" s="103" t="s">
        <v>20</v>
      </c>
      <c r="I170" s="103">
        <v>201503</v>
      </c>
      <c r="J170" s="104">
        <v>27709.97</v>
      </c>
      <c r="K170" s="72">
        <f t="shared" si="14"/>
        <v>42675</v>
      </c>
      <c r="L170" s="67">
        <f t="shared" si="10"/>
        <v>6</v>
      </c>
      <c r="M170" s="105">
        <v>2.0333333000000001E-3</v>
      </c>
      <c r="N170" s="104">
        <f t="shared" si="11"/>
        <v>338.061628458006</v>
      </c>
      <c r="O170" s="66"/>
      <c r="P170" s="71">
        <f t="shared" si="12"/>
        <v>0</v>
      </c>
      <c r="Q170" s="132"/>
      <c r="R170" s="71">
        <f t="shared" si="13"/>
        <v>424.00295137291664</v>
      </c>
    </row>
    <row r="171" spans="1:18">
      <c r="A171" s="102" t="s">
        <v>990</v>
      </c>
      <c r="B171" s="103" t="s">
        <v>1003</v>
      </c>
      <c r="C171" s="103" t="s">
        <v>1004</v>
      </c>
      <c r="D171" s="102" t="s">
        <v>1005</v>
      </c>
      <c r="E171" s="103" t="s">
        <v>1006</v>
      </c>
      <c r="F171" s="102" t="s">
        <v>995</v>
      </c>
      <c r="G171" s="103" t="s">
        <v>20</v>
      </c>
      <c r="I171" s="103">
        <v>201503</v>
      </c>
      <c r="J171" s="104">
        <v>24854.42</v>
      </c>
      <c r="K171" s="72">
        <f t="shared" si="14"/>
        <v>42675</v>
      </c>
      <c r="L171" s="67">
        <f t="shared" si="10"/>
        <v>6</v>
      </c>
      <c r="M171" s="105">
        <v>2.0333333000000001E-3</v>
      </c>
      <c r="N171" s="104">
        <f t="shared" si="11"/>
        <v>303.22391902911596</v>
      </c>
      <c r="O171" s="66"/>
      <c r="P171" s="71">
        <f t="shared" si="12"/>
        <v>0</v>
      </c>
      <c r="Q171" s="132"/>
      <c r="R171" s="71">
        <f t="shared" si="13"/>
        <v>380.30887202916659</v>
      </c>
    </row>
    <row r="172" spans="1:18">
      <c r="A172" s="102" t="s">
        <v>990</v>
      </c>
      <c r="B172" s="103" t="s">
        <v>1010</v>
      </c>
      <c r="C172" s="103" t="s">
        <v>1011</v>
      </c>
      <c r="D172" s="102" t="s">
        <v>1012</v>
      </c>
      <c r="E172" s="103" t="s">
        <v>1013</v>
      </c>
      <c r="F172" s="102" t="s">
        <v>995</v>
      </c>
      <c r="G172" s="103" t="s">
        <v>20</v>
      </c>
      <c r="I172" s="103">
        <v>201503</v>
      </c>
      <c r="J172" s="104">
        <v>5713.74</v>
      </c>
      <c r="K172" s="72">
        <f t="shared" si="14"/>
        <v>42675</v>
      </c>
      <c r="L172" s="67">
        <f t="shared" si="10"/>
        <v>6</v>
      </c>
      <c r="M172" s="105">
        <v>2.0333333000000001E-3</v>
      </c>
      <c r="N172" s="104">
        <f t="shared" si="11"/>
        <v>69.707626857251995</v>
      </c>
      <c r="O172" s="66"/>
      <c r="P172" s="71">
        <f t="shared" si="12"/>
        <v>0</v>
      </c>
      <c r="Q172" s="132"/>
      <c r="R172" s="71">
        <f t="shared" si="13"/>
        <v>87.428554537499991</v>
      </c>
    </row>
    <row r="173" spans="1:18">
      <c r="A173" s="102" t="s">
        <v>990</v>
      </c>
      <c r="B173" s="103" t="s">
        <v>1017</v>
      </c>
      <c r="C173" s="103" t="s">
        <v>1018</v>
      </c>
      <c r="D173" s="102" t="s">
        <v>993</v>
      </c>
      <c r="E173" s="103" t="s">
        <v>1019</v>
      </c>
      <c r="F173" s="102" t="s">
        <v>995</v>
      </c>
      <c r="G173" s="103" t="s">
        <v>20</v>
      </c>
      <c r="I173" s="103">
        <v>201503</v>
      </c>
      <c r="J173" s="104">
        <v>126.96</v>
      </c>
      <c r="K173" s="72">
        <f t="shared" si="14"/>
        <v>42675</v>
      </c>
      <c r="L173" s="67">
        <f t="shared" si="10"/>
        <v>6</v>
      </c>
      <c r="M173" s="105">
        <v>2.0333333000000001E-3</v>
      </c>
      <c r="N173" s="104">
        <f t="shared" si="11"/>
        <v>1.548911974608</v>
      </c>
      <c r="O173" s="66"/>
      <c r="P173" s="71">
        <f t="shared" si="12"/>
        <v>0</v>
      </c>
      <c r="Q173" s="132"/>
      <c r="R173" s="71">
        <f t="shared" si="13"/>
        <v>1.9426731499999996</v>
      </c>
    </row>
    <row r="174" spans="1:18">
      <c r="A174" s="102" t="s">
        <v>990</v>
      </c>
      <c r="B174" s="103" t="s">
        <v>1020</v>
      </c>
      <c r="C174" s="103" t="s">
        <v>1021</v>
      </c>
      <c r="D174" s="102" t="s">
        <v>998</v>
      </c>
      <c r="E174" s="103" t="s">
        <v>1022</v>
      </c>
      <c r="F174" s="102" t="s">
        <v>995</v>
      </c>
      <c r="G174" s="103" t="s">
        <v>20</v>
      </c>
      <c r="I174" s="103">
        <v>201503</v>
      </c>
      <c r="J174" s="104">
        <v>666.54</v>
      </c>
      <c r="K174" s="72">
        <f t="shared" si="14"/>
        <v>42675</v>
      </c>
      <c r="L174" s="67">
        <f t="shared" si="10"/>
        <v>6</v>
      </c>
      <c r="M174" s="105">
        <v>2.0333333000000001E-3</v>
      </c>
      <c r="N174" s="104">
        <f t="shared" si="11"/>
        <v>8.1317878666919992</v>
      </c>
      <c r="O174" s="66"/>
      <c r="P174" s="71">
        <f t="shared" si="12"/>
        <v>0</v>
      </c>
      <c r="Q174" s="132"/>
      <c r="R174" s="71">
        <f t="shared" si="13"/>
        <v>10.199034037499999</v>
      </c>
    </row>
    <row r="175" spans="1:18">
      <c r="A175" s="102" t="s">
        <v>21</v>
      </c>
      <c r="B175" s="103" t="s">
        <v>84</v>
      </c>
      <c r="C175" s="103" t="s">
        <v>85</v>
      </c>
      <c r="D175" s="102" t="s">
        <v>86</v>
      </c>
      <c r="E175" s="103" t="s">
        <v>87</v>
      </c>
      <c r="F175" s="102" t="s">
        <v>88</v>
      </c>
      <c r="G175" s="103" t="s">
        <v>20</v>
      </c>
      <c r="I175" s="103">
        <v>201504</v>
      </c>
      <c r="J175" s="104">
        <v>-310.69</v>
      </c>
      <c r="K175" s="72">
        <f>+K174</f>
        <v>42675</v>
      </c>
      <c r="L175" s="67">
        <f t="shared" si="10"/>
        <v>6</v>
      </c>
      <c r="M175" s="105">
        <v>1.4833299999999999E-3</v>
      </c>
      <c r="N175" s="104">
        <f t="shared" si="11"/>
        <v>-2.7651347862</v>
      </c>
      <c r="O175" s="66"/>
      <c r="P175" s="71">
        <f t="shared" si="12"/>
        <v>0</v>
      </c>
      <c r="Q175" s="132"/>
      <c r="R175" s="71">
        <f t="shared" si="13"/>
        <v>-4.7540100895833328</v>
      </c>
    </row>
    <row r="176" spans="1:18">
      <c r="A176" s="106" t="s">
        <v>21</v>
      </c>
      <c r="B176" s="103" t="s">
        <v>1286</v>
      </c>
      <c r="C176" s="103" t="s">
        <v>1287</v>
      </c>
      <c r="D176" s="102" t="s">
        <v>1288</v>
      </c>
      <c r="E176" s="103" t="s">
        <v>93</v>
      </c>
      <c r="F176" s="102" t="s">
        <v>88</v>
      </c>
      <c r="G176" s="103" t="s">
        <v>20</v>
      </c>
      <c r="I176" s="103">
        <v>201504</v>
      </c>
      <c r="J176" s="104">
        <v>1039.6600000000001</v>
      </c>
      <c r="K176" s="72">
        <f t="shared" si="14"/>
        <v>42675</v>
      </c>
      <c r="L176" s="67">
        <f t="shared" si="10"/>
        <v>6</v>
      </c>
      <c r="M176" s="105">
        <v>1.4833299999999999E-3</v>
      </c>
      <c r="N176" s="104">
        <f t="shared" si="11"/>
        <v>9.2529532068000009</v>
      </c>
      <c r="O176" s="66"/>
      <c r="P176" s="71">
        <f t="shared" si="12"/>
        <v>0</v>
      </c>
      <c r="Q176" s="132"/>
      <c r="R176" s="71">
        <f t="shared" si="13"/>
        <v>15.908314170833334</v>
      </c>
    </row>
    <row r="177" spans="1:18">
      <c r="A177" s="106" t="s">
        <v>21</v>
      </c>
      <c r="B177" s="103" t="s">
        <v>1112</v>
      </c>
      <c r="C177" s="103" t="s">
        <v>1113</v>
      </c>
      <c r="D177" s="102" t="s">
        <v>1114</v>
      </c>
      <c r="E177" s="103" t="s">
        <v>260</v>
      </c>
      <c r="F177" s="102" t="s">
        <v>26</v>
      </c>
      <c r="G177" s="103" t="s">
        <v>20</v>
      </c>
      <c r="I177" s="103">
        <v>201504</v>
      </c>
      <c r="J177" s="104">
        <v>18.73</v>
      </c>
      <c r="K177" s="72">
        <f t="shared" si="14"/>
        <v>42675</v>
      </c>
      <c r="L177" s="67">
        <f t="shared" si="10"/>
        <v>6</v>
      </c>
      <c r="M177" s="105">
        <v>1.4833299999999999E-3</v>
      </c>
      <c r="N177" s="104">
        <f t="shared" si="11"/>
        <v>0.16669662539999999</v>
      </c>
      <c r="O177" s="66"/>
      <c r="P177" s="71">
        <f t="shared" si="12"/>
        <v>0</v>
      </c>
      <c r="Q177" s="132"/>
      <c r="R177" s="71">
        <f t="shared" si="13"/>
        <v>0.28659631458333334</v>
      </c>
    </row>
    <row r="178" spans="1:18">
      <c r="A178" s="102" t="s">
        <v>21</v>
      </c>
      <c r="B178" s="103" t="s">
        <v>177</v>
      </c>
      <c r="C178" s="103" t="s">
        <v>178</v>
      </c>
      <c r="D178" s="102" t="s">
        <v>179</v>
      </c>
      <c r="E178" s="103" t="s">
        <v>172</v>
      </c>
      <c r="F178" s="102" t="s">
        <v>173</v>
      </c>
      <c r="G178" s="103" t="s">
        <v>20</v>
      </c>
      <c r="I178" s="103">
        <v>201504</v>
      </c>
      <c r="J178" s="104">
        <v>-62.1</v>
      </c>
      <c r="K178" s="72">
        <f t="shared" si="14"/>
        <v>42675</v>
      </c>
      <c r="L178" s="67">
        <f t="shared" si="10"/>
        <v>6</v>
      </c>
      <c r="M178" s="105">
        <v>1.4833299999999999E-3</v>
      </c>
      <c r="N178" s="104">
        <f t="shared" si="11"/>
        <v>-0.55268875800000006</v>
      </c>
      <c r="O178" s="66"/>
      <c r="P178" s="71">
        <f t="shared" si="12"/>
        <v>0</v>
      </c>
      <c r="Q178" s="132"/>
      <c r="R178" s="71">
        <f t="shared" si="13"/>
        <v>-0.95022056249999987</v>
      </c>
    </row>
    <row r="179" spans="1:18">
      <c r="A179" s="102" t="s">
        <v>21</v>
      </c>
      <c r="B179" s="103" t="s">
        <v>1072</v>
      </c>
      <c r="C179" s="103" t="s">
        <v>1073</v>
      </c>
      <c r="D179" s="102" t="s">
        <v>1074</v>
      </c>
      <c r="E179" s="103" t="s">
        <v>857</v>
      </c>
      <c r="F179" s="102" t="s">
        <v>88</v>
      </c>
      <c r="G179" s="103" t="s">
        <v>20</v>
      </c>
      <c r="I179" s="103">
        <v>201504</v>
      </c>
      <c r="J179" s="104">
        <v>-4428.6899999999996</v>
      </c>
      <c r="K179" s="72">
        <f t="shared" si="14"/>
        <v>42675</v>
      </c>
      <c r="L179" s="67">
        <f t="shared" si="10"/>
        <v>6</v>
      </c>
      <c r="M179" s="105">
        <v>1.4833299999999999E-3</v>
      </c>
      <c r="N179" s="104">
        <f t="shared" si="11"/>
        <v>-39.415252426199999</v>
      </c>
      <c r="O179" s="66"/>
      <c r="P179" s="71">
        <f t="shared" si="12"/>
        <v>0</v>
      </c>
      <c r="Q179" s="132"/>
      <c r="R179" s="71">
        <f t="shared" si="13"/>
        <v>-67.765415506249994</v>
      </c>
    </row>
    <row r="180" spans="1:18">
      <c r="A180" s="102" t="s">
        <v>21</v>
      </c>
      <c r="B180" s="103" t="s">
        <v>449</v>
      </c>
      <c r="C180" s="103" t="s">
        <v>450</v>
      </c>
      <c r="D180" s="102" t="s">
        <v>451</v>
      </c>
      <c r="E180" s="103" t="s">
        <v>452</v>
      </c>
      <c r="F180" s="102" t="s">
        <v>398</v>
      </c>
      <c r="G180" s="103" t="s">
        <v>20</v>
      </c>
      <c r="I180" s="103">
        <v>201504</v>
      </c>
      <c r="J180" s="104">
        <v>-209.78</v>
      </c>
      <c r="K180" s="72">
        <f t="shared" si="14"/>
        <v>42675</v>
      </c>
      <c r="L180" s="67">
        <f t="shared" si="10"/>
        <v>6</v>
      </c>
      <c r="M180" s="105">
        <v>1.4833299999999999E-3</v>
      </c>
      <c r="N180" s="104">
        <f t="shared" si="11"/>
        <v>-1.8670378044</v>
      </c>
      <c r="O180" s="66"/>
      <c r="P180" s="71">
        <f t="shared" si="12"/>
        <v>0</v>
      </c>
      <c r="Q180" s="132"/>
      <c r="R180" s="71">
        <f t="shared" si="13"/>
        <v>-3.2099399291666662</v>
      </c>
    </row>
    <row r="181" spans="1:18">
      <c r="A181" s="106" t="s">
        <v>21</v>
      </c>
      <c r="B181" s="103" t="s">
        <v>230</v>
      </c>
      <c r="C181" s="103" t="s">
        <v>231</v>
      </c>
      <c r="D181" s="102" t="s">
        <v>232</v>
      </c>
      <c r="E181" s="103" t="s">
        <v>164</v>
      </c>
      <c r="F181" s="102" t="s">
        <v>165</v>
      </c>
      <c r="G181" s="103" t="s">
        <v>20</v>
      </c>
      <c r="I181" s="103">
        <v>201504</v>
      </c>
      <c r="J181" s="104">
        <v>-5.84</v>
      </c>
      <c r="K181" s="72">
        <f t="shared" si="14"/>
        <v>42675</v>
      </c>
      <c r="L181" s="67">
        <f t="shared" si="10"/>
        <v>6</v>
      </c>
      <c r="M181" s="105">
        <v>1.4833299999999999E-3</v>
      </c>
      <c r="N181" s="104">
        <f t="shared" si="11"/>
        <v>-5.1975883199999996E-2</v>
      </c>
      <c r="O181" s="66"/>
      <c r="P181" s="71">
        <f t="shared" si="12"/>
        <v>0</v>
      </c>
      <c r="Q181" s="132"/>
      <c r="R181" s="71">
        <f t="shared" si="13"/>
        <v>-8.9360516666666653E-2</v>
      </c>
    </row>
    <row r="182" spans="1:18">
      <c r="A182" s="102" t="s">
        <v>21</v>
      </c>
      <c r="B182" s="103" t="s">
        <v>261</v>
      </c>
      <c r="C182" s="103" t="s">
        <v>262</v>
      </c>
      <c r="D182" s="102" t="s">
        <v>263</v>
      </c>
      <c r="E182" s="103" t="s">
        <v>75</v>
      </c>
      <c r="F182" s="102" t="s">
        <v>26</v>
      </c>
      <c r="G182" s="103" t="s">
        <v>20</v>
      </c>
      <c r="I182" s="103">
        <v>201504</v>
      </c>
      <c r="J182" s="104">
        <v>-53047.05</v>
      </c>
      <c r="K182" s="72">
        <f t="shared" si="14"/>
        <v>42675</v>
      </c>
      <c r="L182" s="67">
        <f t="shared" si="10"/>
        <v>6</v>
      </c>
      <c r="M182" s="105">
        <v>1.4833299999999999E-3</v>
      </c>
      <c r="N182" s="104">
        <f t="shared" si="11"/>
        <v>-472.11768405900006</v>
      </c>
      <c r="O182" s="66"/>
      <c r="P182" s="71">
        <f t="shared" si="12"/>
        <v>0</v>
      </c>
      <c r="Q182" s="132"/>
      <c r="R182" s="71">
        <f t="shared" si="13"/>
        <v>-811.69722528124987</v>
      </c>
    </row>
    <row r="183" spans="1:18">
      <c r="A183" s="102" t="s">
        <v>21</v>
      </c>
      <c r="B183" s="103" t="s">
        <v>264</v>
      </c>
      <c r="C183" s="103" t="s">
        <v>265</v>
      </c>
      <c r="D183" s="102" t="s">
        <v>266</v>
      </c>
      <c r="E183" s="103" t="s">
        <v>172</v>
      </c>
      <c r="F183" s="102" t="s">
        <v>173</v>
      </c>
      <c r="G183" s="103" t="s">
        <v>20</v>
      </c>
      <c r="I183" s="103">
        <v>201504</v>
      </c>
      <c r="J183" s="104">
        <v>1639.45</v>
      </c>
      <c r="K183" s="72">
        <f t="shared" si="14"/>
        <v>42675</v>
      </c>
      <c r="L183" s="67">
        <f t="shared" si="10"/>
        <v>6</v>
      </c>
      <c r="M183" s="105">
        <v>1.4833299999999999E-3</v>
      </c>
      <c r="N183" s="104">
        <f t="shared" si="11"/>
        <v>14.591072211</v>
      </c>
      <c r="O183" s="66"/>
      <c r="P183" s="71">
        <f t="shared" si="12"/>
        <v>0</v>
      </c>
      <c r="Q183" s="132"/>
      <c r="R183" s="71">
        <f t="shared" si="13"/>
        <v>25.085975864583332</v>
      </c>
    </row>
    <row r="184" spans="1:18">
      <c r="A184" s="102" t="s">
        <v>21</v>
      </c>
      <c r="B184" s="103" t="s">
        <v>938</v>
      </c>
      <c r="C184" s="103" t="s">
        <v>939</v>
      </c>
      <c r="D184" s="102" t="s">
        <v>940</v>
      </c>
      <c r="E184" s="103" t="s">
        <v>209</v>
      </c>
      <c r="F184" s="102" t="s">
        <v>88</v>
      </c>
      <c r="G184" s="103" t="s">
        <v>20</v>
      </c>
      <c r="I184" s="103">
        <v>201504</v>
      </c>
      <c r="J184" s="104">
        <v>-1.08</v>
      </c>
      <c r="K184" s="72">
        <f t="shared" si="14"/>
        <v>42675</v>
      </c>
      <c r="L184" s="67">
        <f t="shared" si="10"/>
        <v>6</v>
      </c>
      <c r="M184" s="105">
        <v>1.4833299999999999E-3</v>
      </c>
      <c r="N184" s="104">
        <f t="shared" si="11"/>
        <v>-9.6119784000000003E-3</v>
      </c>
      <c r="O184" s="66"/>
      <c r="P184" s="71">
        <f t="shared" si="12"/>
        <v>0</v>
      </c>
      <c r="Q184" s="132"/>
      <c r="R184" s="71">
        <f t="shared" si="13"/>
        <v>-1.6525574999999997E-2</v>
      </c>
    </row>
    <row r="185" spans="1:18">
      <c r="A185" s="102" t="s">
        <v>21</v>
      </c>
      <c r="B185" s="103" t="s">
        <v>794</v>
      </c>
      <c r="C185" s="103" t="s">
        <v>795</v>
      </c>
      <c r="D185" s="102" t="s">
        <v>796</v>
      </c>
      <c r="E185" s="103" t="s">
        <v>172</v>
      </c>
      <c r="F185" s="102" t="s">
        <v>173</v>
      </c>
      <c r="G185" s="103" t="s">
        <v>20</v>
      </c>
      <c r="I185" s="103">
        <v>201504</v>
      </c>
      <c r="J185" s="104">
        <v>32.520000000000003</v>
      </c>
      <c r="K185" s="72">
        <f t="shared" si="14"/>
        <v>42675</v>
      </c>
      <c r="L185" s="67">
        <f t="shared" si="10"/>
        <v>6</v>
      </c>
      <c r="M185" s="105">
        <v>1.4833299999999999E-3</v>
      </c>
      <c r="N185" s="104">
        <f t="shared" si="11"/>
        <v>0.28942734960000005</v>
      </c>
      <c r="O185" s="66"/>
      <c r="P185" s="71">
        <f t="shared" si="12"/>
        <v>0</v>
      </c>
      <c r="Q185" s="132"/>
      <c r="R185" s="71">
        <f t="shared" si="13"/>
        <v>0.49760342500000004</v>
      </c>
    </row>
    <row r="186" spans="1:18">
      <c r="A186" s="102" t="s">
        <v>21</v>
      </c>
      <c r="B186" s="103" t="s">
        <v>1118</v>
      </c>
      <c r="C186" s="103" t="s">
        <v>1119</v>
      </c>
      <c r="D186" s="102" t="s">
        <v>1120</v>
      </c>
      <c r="E186" s="103" t="s">
        <v>93</v>
      </c>
      <c r="F186" s="102" t="s">
        <v>88</v>
      </c>
      <c r="G186" s="103" t="s">
        <v>20</v>
      </c>
      <c r="I186" s="103">
        <v>201504</v>
      </c>
      <c r="J186" s="104">
        <v>-9.1999999999999993</v>
      </c>
      <c r="K186" s="72">
        <f t="shared" si="14"/>
        <v>42675</v>
      </c>
      <c r="L186" s="67">
        <f t="shared" si="10"/>
        <v>6</v>
      </c>
      <c r="M186" s="105">
        <v>1.4833299999999999E-3</v>
      </c>
      <c r="N186" s="104">
        <f t="shared" si="11"/>
        <v>-8.1879815999999994E-2</v>
      </c>
      <c r="O186" s="66"/>
      <c r="P186" s="71">
        <f t="shared" si="12"/>
        <v>0</v>
      </c>
      <c r="Q186" s="132"/>
      <c r="R186" s="71">
        <f t="shared" si="13"/>
        <v>-0.14077341666666665</v>
      </c>
    </row>
    <row r="187" spans="1:18">
      <c r="A187" s="102" t="s">
        <v>21</v>
      </c>
      <c r="B187" s="103" t="s">
        <v>1250</v>
      </c>
      <c r="C187" s="103" t="s">
        <v>1251</v>
      </c>
      <c r="D187" s="102" t="s">
        <v>1252</v>
      </c>
      <c r="E187" s="103" t="s">
        <v>260</v>
      </c>
      <c r="F187" s="102" t="s">
        <v>26</v>
      </c>
      <c r="G187" s="103" t="s">
        <v>20</v>
      </c>
      <c r="I187" s="103">
        <v>201504</v>
      </c>
      <c r="J187" s="104">
        <v>-2364.37</v>
      </c>
      <c r="K187" s="72">
        <f t="shared" si="14"/>
        <v>42675</v>
      </c>
      <c r="L187" s="67">
        <f t="shared" si="10"/>
        <v>6</v>
      </c>
      <c r="M187" s="105">
        <v>1.4833299999999999E-3</v>
      </c>
      <c r="N187" s="104">
        <f t="shared" si="11"/>
        <v>-21.042845712599998</v>
      </c>
      <c r="O187" s="66"/>
      <c r="P187" s="71">
        <f t="shared" si="12"/>
        <v>0</v>
      </c>
      <c r="Q187" s="132"/>
      <c r="R187" s="71">
        <f t="shared" si="13"/>
        <v>-36.178309039583326</v>
      </c>
    </row>
    <row r="188" spans="1:18">
      <c r="A188" s="102" t="s">
        <v>21</v>
      </c>
      <c r="B188" s="103" t="s">
        <v>494</v>
      </c>
      <c r="C188" s="103" t="s">
        <v>495</v>
      </c>
      <c r="D188" s="102" t="s">
        <v>496</v>
      </c>
      <c r="E188" s="103" t="s">
        <v>497</v>
      </c>
      <c r="F188" s="102" t="s">
        <v>26</v>
      </c>
      <c r="G188" s="103" t="s">
        <v>20</v>
      </c>
      <c r="I188" s="103">
        <v>201504</v>
      </c>
      <c r="J188" s="104">
        <v>-236.83</v>
      </c>
      <c r="K188" s="72">
        <f t="shared" si="14"/>
        <v>42675</v>
      </c>
      <c r="L188" s="67">
        <f t="shared" si="10"/>
        <v>6</v>
      </c>
      <c r="M188" s="105">
        <v>1.4833299999999999E-3</v>
      </c>
      <c r="N188" s="104">
        <f t="shared" si="11"/>
        <v>-2.1077822634000003</v>
      </c>
      <c r="O188" s="66"/>
      <c r="P188" s="71">
        <f t="shared" si="12"/>
        <v>0</v>
      </c>
      <c r="Q188" s="132"/>
      <c r="R188" s="71">
        <f t="shared" si="13"/>
        <v>-3.6238443770833335</v>
      </c>
    </row>
    <row r="189" spans="1:18">
      <c r="A189" s="102" t="s">
        <v>21</v>
      </c>
      <c r="B189" s="103" t="s">
        <v>1121</v>
      </c>
      <c r="C189" s="103" t="s">
        <v>1122</v>
      </c>
      <c r="D189" s="102" t="s">
        <v>1123</v>
      </c>
      <c r="E189" s="103" t="s">
        <v>497</v>
      </c>
      <c r="F189" s="102" t="s">
        <v>26</v>
      </c>
      <c r="G189" s="103" t="s">
        <v>20</v>
      </c>
      <c r="I189" s="103">
        <v>201504</v>
      </c>
      <c r="J189" s="104">
        <v>14051.81</v>
      </c>
      <c r="K189" s="72">
        <f t="shared" si="14"/>
        <v>42675</v>
      </c>
      <c r="L189" s="67">
        <f t="shared" si="10"/>
        <v>6</v>
      </c>
      <c r="M189" s="105">
        <v>1.4833299999999999E-3</v>
      </c>
      <c r="N189" s="104">
        <f t="shared" si="11"/>
        <v>125.06082796379999</v>
      </c>
      <c r="O189" s="66"/>
      <c r="P189" s="71">
        <f t="shared" si="12"/>
        <v>0</v>
      </c>
      <c r="Q189" s="132"/>
      <c r="R189" s="71">
        <f t="shared" si="13"/>
        <v>215.01318522291663</v>
      </c>
    </row>
    <row r="190" spans="1:18">
      <c r="A190" s="102" t="s">
        <v>21</v>
      </c>
      <c r="B190" s="103" t="s">
        <v>678</v>
      </c>
      <c r="C190" s="103" t="s">
        <v>679</v>
      </c>
      <c r="D190" s="102" t="s">
        <v>680</v>
      </c>
      <c r="E190" s="103" t="s">
        <v>75</v>
      </c>
      <c r="F190" s="102" t="s">
        <v>26</v>
      </c>
      <c r="G190" s="103" t="s">
        <v>20</v>
      </c>
      <c r="I190" s="103">
        <v>201504</v>
      </c>
      <c r="J190" s="104">
        <v>-150.71</v>
      </c>
      <c r="K190" s="72">
        <f t="shared" si="14"/>
        <v>42675</v>
      </c>
      <c r="L190" s="67">
        <f t="shared" si="10"/>
        <v>6</v>
      </c>
      <c r="M190" s="105">
        <v>1.4833299999999999E-3</v>
      </c>
      <c r="N190" s="104">
        <f t="shared" si="11"/>
        <v>-1.3413159858000001</v>
      </c>
      <c r="O190" s="66"/>
      <c r="P190" s="71">
        <f t="shared" si="12"/>
        <v>0</v>
      </c>
      <c r="Q190" s="132"/>
      <c r="R190" s="71">
        <f t="shared" si="13"/>
        <v>-2.3060827854166663</v>
      </c>
    </row>
    <row r="191" spans="1:18">
      <c r="A191" s="102" t="s">
        <v>21</v>
      </c>
      <c r="B191" s="103" t="s">
        <v>1124</v>
      </c>
      <c r="C191" s="103" t="s">
        <v>1125</v>
      </c>
      <c r="D191" s="102" t="s">
        <v>1126</v>
      </c>
      <c r="E191" s="103" t="s">
        <v>87</v>
      </c>
      <c r="F191" s="102" t="s">
        <v>88</v>
      </c>
      <c r="G191" s="103" t="s">
        <v>20</v>
      </c>
      <c r="I191" s="103">
        <v>201504</v>
      </c>
      <c r="J191" s="104">
        <v>-170.79</v>
      </c>
      <c r="K191" s="72">
        <f t="shared" si="14"/>
        <v>42675</v>
      </c>
      <c r="L191" s="67">
        <f t="shared" si="10"/>
        <v>6</v>
      </c>
      <c r="M191" s="105">
        <v>1.4833299999999999E-3</v>
      </c>
      <c r="N191" s="104">
        <f t="shared" si="11"/>
        <v>-1.5200275841999999</v>
      </c>
      <c r="O191" s="66"/>
      <c r="P191" s="71">
        <f t="shared" si="12"/>
        <v>0</v>
      </c>
      <c r="Q191" s="132"/>
      <c r="R191" s="71">
        <f t="shared" si="13"/>
        <v>-2.6133360687499998</v>
      </c>
    </row>
    <row r="192" spans="1:18">
      <c r="A192" s="102" t="s">
        <v>21</v>
      </c>
      <c r="B192" s="103" t="s">
        <v>1127</v>
      </c>
      <c r="C192" s="103" t="s">
        <v>1128</v>
      </c>
      <c r="D192" s="102" t="s">
        <v>1129</v>
      </c>
      <c r="E192" s="103" t="s">
        <v>87</v>
      </c>
      <c r="F192" s="102" t="s">
        <v>88</v>
      </c>
      <c r="G192" s="103" t="s">
        <v>20</v>
      </c>
      <c r="I192" s="103">
        <v>201504</v>
      </c>
      <c r="J192" s="104">
        <v>12890.68</v>
      </c>
      <c r="K192" s="72">
        <f t="shared" si="14"/>
        <v>42675</v>
      </c>
      <c r="L192" s="67">
        <f t="shared" si="10"/>
        <v>6</v>
      </c>
      <c r="M192" s="105">
        <v>1.4833299999999999E-3</v>
      </c>
      <c r="N192" s="104">
        <f t="shared" si="11"/>
        <v>114.7267941864</v>
      </c>
      <c r="O192" s="66"/>
      <c r="P192" s="71">
        <f t="shared" si="12"/>
        <v>0</v>
      </c>
      <c r="Q192" s="132"/>
      <c r="R192" s="71">
        <f t="shared" si="13"/>
        <v>197.24620290833332</v>
      </c>
    </row>
    <row r="193" spans="1:18">
      <c r="A193" s="102" t="s">
        <v>21</v>
      </c>
      <c r="B193" s="103" t="s">
        <v>870</v>
      </c>
      <c r="C193" s="103" t="s">
        <v>871</v>
      </c>
      <c r="D193" s="102" t="s">
        <v>872</v>
      </c>
      <c r="E193" s="103" t="s">
        <v>873</v>
      </c>
      <c r="F193" s="102" t="s">
        <v>874</v>
      </c>
      <c r="G193" s="103" t="s">
        <v>20</v>
      </c>
      <c r="I193" s="103">
        <v>201504</v>
      </c>
      <c r="J193" s="104">
        <v>-22.98</v>
      </c>
      <c r="K193" s="72">
        <f t="shared" si="14"/>
        <v>42675</v>
      </c>
      <c r="L193" s="67">
        <f t="shared" si="10"/>
        <v>6</v>
      </c>
      <c r="M193" s="105">
        <v>1.4833299999999999E-3</v>
      </c>
      <c r="N193" s="104">
        <f t="shared" si="11"/>
        <v>-0.20452154040000001</v>
      </c>
      <c r="O193" s="66"/>
      <c r="P193" s="71">
        <f t="shared" si="12"/>
        <v>0</v>
      </c>
      <c r="Q193" s="132"/>
      <c r="R193" s="71">
        <f t="shared" si="13"/>
        <v>-0.35162751250000002</v>
      </c>
    </row>
    <row r="194" spans="1:18">
      <c r="A194" s="102" t="s">
        <v>21</v>
      </c>
      <c r="B194" s="103" t="s">
        <v>888</v>
      </c>
      <c r="C194" s="103" t="s">
        <v>889</v>
      </c>
      <c r="D194" s="102" t="s">
        <v>890</v>
      </c>
      <c r="E194" s="103" t="s">
        <v>280</v>
      </c>
      <c r="F194" s="102" t="s">
        <v>26</v>
      </c>
      <c r="G194" s="103" t="s">
        <v>20</v>
      </c>
      <c r="I194" s="103">
        <v>201504</v>
      </c>
      <c r="J194" s="104">
        <v>-24.25</v>
      </c>
      <c r="K194" s="72">
        <f t="shared" si="14"/>
        <v>42675</v>
      </c>
      <c r="L194" s="67">
        <f t="shared" si="10"/>
        <v>6</v>
      </c>
      <c r="M194" s="105">
        <v>1.4833299999999999E-3</v>
      </c>
      <c r="N194" s="104">
        <f t="shared" si="11"/>
        <v>-0.21582451499999999</v>
      </c>
      <c r="O194" s="66"/>
      <c r="P194" s="71">
        <f t="shared" si="12"/>
        <v>0</v>
      </c>
      <c r="Q194" s="132"/>
      <c r="R194" s="71">
        <f t="shared" si="13"/>
        <v>-0.3710603645833333</v>
      </c>
    </row>
    <row r="195" spans="1:18">
      <c r="A195" s="102" t="s">
        <v>21</v>
      </c>
      <c r="B195" s="103" t="s">
        <v>1191</v>
      </c>
      <c r="C195" s="103" t="s">
        <v>1192</v>
      </c>
      <c r="D195" s="102" t="s">
        <v>1193</v>
      </c>
      <c r="E195" s="103" t="s">
        <v>402</v>
      </c>
      <c r="F195" s="102" t="s">
        <v>19</v>
      </c>
      <c r="G195" s="103" t="s">
        <v>20</v>
      </c>
      <c r="I195" s="103">
        <v>201504</v>
      </c>
      <c r="J195" s="104">
        <v>-2283.23</v>
      </c>
      <c r="K195" s="72">
        <f t="shared" si="14"/>
        <v>42675</v>
      </c>
      <c r="L195" s="67">
        <f t="shared" si="10"/>
        <v>6</v>
      </c>
      <c r="M195" s="105">
        <v>1.4833299999999999E-3</v>
      </c>
      <c r="N195" s="104">
        <f t="shared" si="11"/>
        <v>-20.320701335399999</v>
      </c>
      <c r="O195" s="66"/>
      <c r="P195" s="71">
        <f t="shared" si="12"/>
        <v>0</v>
      </c>
      <c r="Q195" s="132"/>
      <c r="R195" s="71">
        <f t="shared" si="13"/>
        <v>-34.936748710416666</v>
      </c>
    </row>
    <row r="196" spans="1:18">
      <c r="A196" s="102" t="s">
        <v>21</v>
      </c>
      <c r="B196" s="103" t="s">
        <v>953</v>
      </c>
      <c r="C196" s="103" t="s">
        <v>954</v>
      </c>
      <c r="D196" s="102" t="s">
        <v>955</v>
      </c>
      <c r="E196" s="103" t="s">
        <v>531</v>
      </c>
      <c r="F196" s="102" t="s">
        <v>26</v>
      </c>
      <c r="G196" s="103" t="s">
        <v>20</v>
      </c>
      <c r="I196" s="103">
        <v>201504</v>
      </c>
      <c r="J196" s="104">
        <v>-3.63</v>
      </c>
      <c r="K196" s="72">
        <f t="shared" si="14"/>
        <v>42675</v>
      </c>
      <c r="L196" s="67">
        <f t="shared" si="10"/>
        <v>6</v>
      </c>
      <c r="M196" s="105">
        <v>1.4833299999999999E-3</v>
      </c>
      <c r="N196" s="104">
        <f t="shared" si="11"/>
        <v>-3.2306927399999998E-2</v>
      </c>
      <c r="O196" s="66"/>
      <c r="P196" s="71">
        <f t="shared" si="12"/>
        <v>0</v>
      </c>
      <c r="Q196" s="132"/>
      <c r="R196" s="71">
        <f t="shared" si="13"/>
        <v>-5.5544293749999994E-2</v>
      </c>
    </row>
    <row r="197" spans="1:18">
      <c r="A197" s="102" t="s">
        <v>21</v>
      </c>
      <c r="B197" s="103" t="s">
        <v>1145</v>
      </c>
      <c r="C197" s="103" t="s">
        <v>1146</v>
      </c>
      <c r="D197" s="102" t="s">
        <v>1147</v>
      </c>
      <c r="E197" s="103" t="s">
        <v>962</v>
      </c>
      <c r="F197" s="102" t="s">
        <v>88</v>
      </c>
      <c r="G197" s="103" t="s">
        <v>20</v>
      </c>
      <c r="I197" s="103">
        <v>201504</v>
      </c>
      <c r="J197" s="104">
        <v>-837.48</v>
      </c>
      <c r="K197" s="72">
        <f t="shared" si="14"/>
        <v>42675</v>
      </c>
      <c r="L197" s="67">
        <f t="shared" ref="L197:L260" si="15">((YEAR($L$1)-YEAR(K197))*12+MONTH($L$1)-MONTH(K197))</f>
        <v>6</v>
      </c>
      <c r="M197" s="105">
        <v>1.4833299999999999E-3</v>
      </c>
      <c r="N197" s="104">
        <f t="shared" ref="N197:N260" si="16">M197*L197*J197</f>
        <v>-7.4535552504</v>
      </c>
      <c r="O197" s="66"/>
      <c r="P197" s="71">
        <f t="shared" si="12"/>
        <v>0</v>
      </c>
      <c r="Q197" s="132"/>
      <c r="R197" s="71">
        <f t="shared" si="13"/>
        <v>-12.814665324999998</v>
      </c>
    </row>
    <row r="198" spans="1:18">
      <c r="A198" s="106" t="s">
        <v>21</v>
      </c>
      <c r="B198" s="103" t="s">
        <v>966</v>
      </c>
      <c r="C198" s="103" t="s">
        <v>967</v>
      </c>
      <c r="D198" s="102" t="s">
        <v>968</v>
      </c>
      <c r="E198" s="103" t="s">
        <v>209</v>
      </c>
      <c r="F198" s="102" t="s">
        <v>88</v>
      </c>
      <c r="G198" s="103" t="s">
        <v>20</v>
      </c>
      <c r="I198" s="103">
        <v>201504</v>
      </c>
      <c r="J198" s="104">
        <v>-11.96</v>
      </c>
      <c r="K198" s="72">
        <f t="shared" si="14"/>
        <v>42675</v>
      </c>
      <c r="L198" s="67">
        <f t="shared" si="15"/>
        <v>6</v>
      </c>
      <c r="M198" s="105">
        <v>1.4833299999999999E-3</v>
      </c>
      <c r="N198" s="104">
        <f t="shared" si="16"/>
        <v>-0.10644376080000001</v>
      </c>
      <c r="O198" s="66"/>
      <c r="P198" s="71">
        <f t="shared" ref="P198:P261" si="17">($P$4*0.5*J198*$T$12)</f>
        <v>0</v>
      </c>
      <c r="Q198" s="132"/>
      <c r="R198" s="71">
        <f t="shared" ref="R198:R261" si="18">($R$4*0.5*J198*$T$12)</f>
        <v>-0.18300544166666666</v>
      </c>
    </row>
    <row r="199" spans="1:18">
      <c r="A199" s="102" t="s">
        <v>21</v>
      </c>
      <c r="B199" s="103" t="s">
        <v>882</v>
      </c>
      <c r="C199" s="103" t="s">
        <v>883</v>
      </c>
      <c r="D199" s="102" t="s">
        <v>884</v>
      </c>
      <c r="E199" s="103" t="s">
        <v>87</v>
      </c>
      <c r="F199" s="102" t="s">
        <v>88</v>
      </c>
      <c r="G199" s="103" t="s">
        <v>20</v>
      </c>
      <c r="I199" s="103">
        <v>201504</v>
      </c>
      <c r="J199" s="104">
        <v>-12.92</v>
      </c>
      <c r="K199" s="72">
        <f t="shared" ref="K199:K262" si="19">+K198</f>
        <v>42675</v>
      </c>
      <c r="L199" s="67">
        <f t="shared" si="15"/>
        <v>6</v>
      </c>
      <c r="M199" s="105">
        <v>1.4833299999999999E-3</v>
      </c>
      <c r="N199" s="104">
        <f t="shared" si="16"/>
        <v>-0.1149877416</v>
      </c>
      <c r="O199" s="66"/>
      <c r="P199" s="71">
        <f t="shared" si="17"/>
        <v>0</v>
      </c>
      <c r="Q199" s="132"/>
      <c r="R199" s="71">
        <f t="shared" si="18"/>
        <v>-0.19769484166666662</v>
      </c>
    </row>
    <row r="200" spans="1:18">
      <c r="A200" s="102" t="s">
        <v>21</v>
      </c>
      <c r="B200" s="103" t="s">
        <v>1303</v>
      </c>
      <c r="C200" s="103" t="s">
        <v>1304</v>
      </c>
      <c r="D200" s="102" t="s">
        <v>1305</v>
      </c>
      <c r="E200" s="103" t="s">
        <v>18</v>
      </c>
      <c r="F200" s="102" t="s">
        <v>19</v>
      </c>
      <c r="G200" s="103" t="s">
        <v>20</v>
      </c>
      <c r="I200" s="103">
        <v>201504</v>
      </c>
      <c r="J200" s="104">
        <v>1520.14</v>
      </c>
      <c r="K200" s="72">
        <f t="shared" si="19"/>
        <v>42675</v>
      </c>
      <c r="L200" s="67">
        <f t="shared" si="15"/>
        <v>6</v>
      </c>
      <c r="M200" s="105">
        <v>1.4833299999999999E-3</v>
      </c>
      <c r="N200" s="104">
        <f t="shared" si="16"/>
        <v>13.5292155972</v>
      </c>
      <c r="O200" s="66"/>
      <c r="P200" s="71">
        <f t="shared" si="17"/>
        <v>0</v>
      </c>
      <c r="Q200" s="132"/>
      <c r="R200" s="71">
        <f t="shared" si="18"/>
        <v>23.260358870833333</v>
      </c>
    </row>
    <row r="201" spans="1:18">
      <c r="A201" s="102" t="s">
        <v>21</v>
      </c>
      <c r="B201" s="103" t="s">
        <v>1100</v>
      </c>
      <c r="C201" s="103" t="s">
        <v>1101</v>
      </c>
      <c r="D201" s="102" t="s">
        <v>1102</v>
      </c>
      <c r="E201" s="103" t="s">
        <v>397</v>
      </c>
      <c r="F201" s="102" t="s">
        <v>398</v>
      </c>
      <c r="G201" s="103" t="s">
        <v>20</v>
      </c>
      <c r="I201" s="103">
        <v>201504</v>
      </c>
      <c r="J201" s="104">
        <v>-547.22</v>
      </c>
      <c r="K201" s="72">
        <f t="shared" si="19"/>
        <v>42675</v>
      </c>
      <c r="L201" s="67">
        <f t="shared" si="15"/>
        <v>6</v>
      </c>
      <c r="M201" s="105">
        <v>1.4833299999999999E-3</v>
      </c>
      <c r="N201" s="104">
        <f t="shared" si="16"/>
        <v>-4.8702470556000002</v>
      </c>
      <c r="O201" s="66"/>
      <c r="P201" s="71">
        <f t="shared" si="17"/>
        <v>0</v>
      </c>
      <c r="Q201" s="132"/>
      <c r="R201" s="71">
        <f t="shared" si="18"/>
        <v>-8.3732640291666662</v>
      </c>
    </row>
    <row r="202" spans="1:18">
      <c r="A202" s="102" t="s">
        <v>21</v>
      </c>
      <c r="B202" s="103" t="s">
        <v>894</v>
      </c>
      <c r="C202" s="103" t="s">
        <v>895</v>
      </c>
      <c r="D202" s="102" t="s">
        <v>896</v>
      </c>
      <c r="E202" s="103" t="s">
        <v>280</v>
      </c>
      <c r="F202" s="102" t="s">
        <v>26</v>
      </c>
      <c r="G202" s="103" t="s">
        <v>20</v>
      </c>
      <c r="I202" s="103">
        <v>201504</v>
      </c>
      <c r="J202" s="104">
        <v>-6.3</v>
      </c>
      <c r="K202" s="72">
        <f t="shared" si="19"/>
        <v>42675</v>
      </c>
      <c r="L202" s="67">
        <f t="shared" si="15"/>
        <v>6</v>
      </c>
      <c r="M202" s="105">
        <v>1.4833299999999999E-3</v>
      </c>
      <c r="N202" s="104">
        <f t="shared" si="16"/>
        <v>-5.6069873999999999E-2</v>
      </c>
      <c r="O202" s="66"/>
      <c r="P202" s="71">
        <f t="shared" si="17"/>
        <v>0</v>
      </c>
      <c r="Q202" s="132"/>
      <c r="R202" s="71">
        <f t="shared" si="18"/>
        <v>-9.6399187499999983E-2</v>
      </c>
    </row>
    <row r="203" spans="1:18">
      <c r="A203" s="106" t="s">
        <v>21</v>
      </c>
      <c r="B203" s="103" t="s">
        <v>1259</v>
      </c>
      <c r="C203" s="103" t="s">
        <v>1260</v>
      </c>
      <c r="D203" s="102" t="s">
        <v>1261</v>
      </c>
      <c r="E203" s="103" t="s">
        <v>756</v>
      </c>
      <c r="F203" s="102" t="s">
        <v>757</v>
      </c>
      <c r="G203" s="103" t="s">
        <v>20</v>
      </c>
      <c r="I203" s="103">
        <v>201504</v>
      </c>
      <c r="J203" s="104">
        <v>-325.8</v>
      </c>
      <c r="K203" s="72">
        <f t="shared" si="19"/>
        <v>42675</v>
      </c>
      <c r="L203" s="67">
        <f t="shared" si="15"/>
        <v>6</v>
      </c>
      <c r="M203" s="105">
        <v>1.4833299999999999E-3</v>
      </c>
      <c r="N203" s="104">
        <f t="shared" si="16"/>
        <v>-2.8996134840000001</v>
      </c>
      <c r="O203" s="66"/>
      <c r="P203" s="71">
        <f t="shared" si="17"/>
        <v>0</v>
      </c>
      <c r="Q203" s="132"/>
      <c r="R203" s="71">
        <f t="shared" si="18"/>
        <v>-4.9852151249999999</v>
      </c>
    </row>
    <row r="204" spans="1:18">
      <c r="A204" s="106" t="s">
        <v>21</v>
      </c>
      <c r="B204" s="103" t="s">
        <v>1306</v>
      </c>
      <c r="C204" s="103" t="s">
        <v>1307</v>
      </c>
      <c r="D204" s="102" t="s">
        <v>1308</v>
      </c>
      <c r="E204" s="103" t="s">
        <v>18</v>
      </c>
      <c r="F204" s="102" t="s">
        <v>19</v>
      </c>
      <c r="G204" s="103" t="s">
        <v>20</v>
      </c>
      <c r="I204" s="103">
        <v>201504</v>
      </c>
      <c r="J204" s="104">
        <v>-1392.16</v>
      </c>
      <c r="K204" s="72">
        <f t="shared" si="19"/>
        <v>42675</v>
      </c>
      <c r="L204" s="67">
        <f t="shared" si="15"/>
        <v>6</v>
      </c>
      <c r="M204" s="105">
        <v>1.4833299999999999E-3</v>
      </c>
      <c r="N204" s="104">
        <f t="shared" si="16"/>
        <v>-12.3901961568</v>
      </c>
      <c r="O204" s="66"/>
      <c r="P204" s="71">
        <f t="shared" si="17"/>
        <v>0</v>
      </c>
      <c r="Q204" s="132"/>
      <c r="R204" s="71">
        <f t="shared" si="18"/>
        <v>-21.302078233333333</v>
      </c>
    </row>
    <row r="205" spans="1:18">
      <c r="A205" s="102" t="s">
        <v>21</v>
      </c>
      <c r="B205" s="103" t="s">
        <v>1262</v>
      </c>
      <c r="C205" s="103" t="s">
        <v>1263</v>
      </c>
      <c r="D205" s="102" t="s">
        <v>1264</v>
      </c>
      <c r="E205" s="103" t="s">
        <v>172</v>
      </c>
      <c r="F205" s="102" t="s">
        <v>173</v>
      </c>
      <c r="G205" s="103" t="s">
        <v>20</v>
      </c>
      <c r="I205" s="103">
        <v>201504</v>
      </c>
      <c r="J205" s="104">
        <v>-508.08</v>
      </c>
      <c r="K205" s="72">
        <f t="shared" si="19"/>
        <v>42675</v>
      </c>
      <c r="L205" s="67">
        <f t="shared" si="15"/>
        <v>6</v>
      </c>
      <c r="M205" s="105">
        <v>1.4833299999999999E-3</v>
      </c>
      <c r="N205" s="104">
        <f t="shared" si="16"/>
        <v>-4.5219018383999998</v>
      </c>
      <c r="O205" s="66"/>
      <c r="P205" s="71">
        <f t="shared" si="17"/>
        <v>0</v>
      </c>
      <c r="Q205" s="132"/>
      <c r="R205" s="71">
        <f t="shared" si="18"/>
        <v>-7.7743649499999998</v>
      </c>
    </row>
    <row r="206" spans="1:18">
      <c r="A206" s="102" t="s">
        <v>21</v>
      </c>
      <c r="B206" s="103" t="s">
        <v>1151</v>
      </c>
      <c r="C206" s="103" t="s">
        <v>1152</v>
      </c>
      <c r="D206" s="102" t="s">
        <v>1153</v>
      </c>
      <c r="E206" s="103" t="s">
        <v>70</v>
      </c>
      <c r="F206" s="102" t="s">
        <v>71</v>
      </c>
      <c r="G206" s="103" t="s">
        <v>20</v>
      </c>
      <c r="I206" s="103">
        <v>201504</v>
      </c>
      <c r="J206" s="104">
        <v>-824.8</v>
      </c>
      <c r="K206" s="72">
        <f t="shared" si="19"/>
        <v>42675</v>
      </c>
      <c r="L206" s="67">
        <f t="shared" si="15"/>
        <v>6</v>
      </c>
      <c r="M206" s="105">
        <v>1.4833299999999999E-3</v>
      </c>
      <c r="N206" s="104">
        <f t="shared" si="16"/>
        <v>-7.3407035039999995</v>
      </c>
      <c r="O206" s="66"/>
      <c r="P206" s="71">
        <f t="shared" si="17"/>
        <v>0</v>
      </c>
      <c r="Q206" s="132"/>
      <c r="R206" s="71">
        <f t="shared" si="18"/>
        <v>-12.620642833333331</v>
      </c>
    </row>
    <row r="207" spans="1:18">
      <c r="A207" s="102" t="s">
        <v>21</v>
      </c>
      <c r="B207" s="103" t="s">
        <v>1265</v>
      </c>
      <c r="C207" s="103" t="s">
        <v>1266</v>
      </c>
      <c r="D207" s="102" t="s">
        <v>1267</v>
      </c>
      <c r="E207" s="103" t="s">
        <v>172</v>
      </c>
      <c r="F207" s="102" t="s">
        <v>173</v>
      </c>
      <c r="G207" s="103" t="s">
        <v>20</v>
      </c>
      <c r="I207" s="103">
        <v>201504</v>
      </c>
      <c r="J207" s="104">
        <v>460.12</v>
      </c>
      <c r="K207" s="72">
        <f t="shared" si="19"/>
        <v>42675</v>
      </c>
      <c r="L207" s="67">
        <f t="shared" si="15"/>
        <v>6</v>
      </c>
      <c r="M207" s="105">
        <v>1.4833299999999999E-3</v>
      </c>
      <c r="N207" s="104">
        <f t="shared" si="16"/>
        <v>4.0950587976000001</v>
      </c>
      <c r="O207" s="66"/>
      <c r="P207" s="71">
        <f t="shared" si="17"/>
        <v>0</v>
      </c>
      <c r="Q207" s="132"/>
      <c r="R207" s="71">
        <f t="shared" si="18"/>
        <v>7.040507008333333</v>
      </c>
    </row>
    <row r="208" spans="1:18">
      <c r="A208" s="102" t="s">
        <v>21</v>
      </c>
      <c r="B208" s="103" t="s">
        <v>1154</v>
      </c>
      <c r="C208" s="103" t="s">
        <v>1155</v>
      </c>
      <c r="D208" s="102" t="s">
        <v>1156</v>
      </c>
      <c r="E208" s="103" t="s">
        <v>397</v>
      </c>
      <c r="F208" s="102" t="s">
        <v>398</v>
      </c>
      <c r="G208" s="103" t="s">
        <v>20</v>
      </c>
      <c r="I208" s="103">
        <v>201504</v>
      </c>
      <c r="J208" s="104">
        <v>-1864.3</v>
      </c>
      <c r="K208" s="72">
        <f t="shared" si="19"/>
        <v>42675</v>
      </c>
      <c r="L208" s="67">
        <f t="shared" si="15"/>
        <v>6</v>
      </c>
      <c r="M208" s="105">
        <v>1.4833299999999999E-3</v>
      </c>
      <c r="N208" s="104">
        <f t="shared" si="16"/>
        <v>-16.592232714000001</v>
      </c>
      <c r="O208" s="66"/>
      <c r="P208" s="71">
        <f t="shared" si="17"/>
        <v>0</v>
      </c>
      <c r="Q208" s="132"/>
      <c r="R208" s="71">
        <f t="shared" si="18"/>
        <v>-28.526508770833331</v>
      </c>
    </row>
    <row r="209" spans="1:18">
      <c r="A209" s="102" t="s">
        <v>21</v>
      </c>
      <c r="B209" s="103" t="s">
        <v>1221</v>
      </c>
      <c r="C209" s="103" t="s">
        <v>1222</v>
      </c>
      <c r="D209" s="102" t="s">
        <v>1223</v>
      </c>
      <c r="E209" s="103" t="s">
        <v>360</v>
      </c>
      <c r="F209" s="102" t="s">
        <v>19</v>
      </c>
      <c r="G209" s="103" t="s">
        <v>20</v>
      </c>
      <c r="I209" s="103">
        <v>201504</v>
      </c>
      <c r="J209" s="104">
        <v>-561.91999999999996</v>
      </c>
      <c r="K209" s="72">
        <f t="shared" si="19"/>
        <v>42675</v>
      </c>
      <c r="L209" s="67">
        <f t="shared" si="15"/>
        <v>6</v>
      </c>
      <c r="M209" s="105">
        <v>1.4833299999999999E-3</v>
      </c>
      <c r="N209" s="104">
        <f t="shared" si="16"/>
        <v>-5.0010767615999994</v>
      </c>
      <c r="O209" s="66"/>
      <c r="P209" s="71">
        <f t="shared" si="17"/>
        <v>0</v>
      </c>
      <c r="Q209" s="132"/>
      <c r="R209" s="71">
        <f t="shared" si="18"/>
        <v>-8.5981954666666649</v>
      </c>
    </row>
    <row r="210" spans="1:18">
      <c r="A210" s="102" t="s">
        <v>21</v>
      </c>
      <c r="B210" s="103" t="s">
        <v>1309</v>
      </c>
      <c r="C210" s="103" t="s">
        <v>1310</v>
      </c>
      <c r="D210" s="102" t="s">
        <v>1311</v>
      </c>
      <c r="E210" s="103" t="s">
        <v>79</v>
      </c>
      <c r="F210" s="102" t="s">
        <v>26</v>
      </c>
      <c r="G210" s="103" t="s">
        <v>20</v>
      </c>
      <c r="I210" s="103">
        <v>201504</v>
      </c>
      <c r="J210" s="104">
        <v>1811.24</v>
      </c>
      <c r="K210" s="72">
        <f t="shared" si="19"/>
        <v>42675</v>
      </c>
      <c r="L210" s="67">
        <f t="shared" si="15"/>
        <v>6</v>
      </c>
      <c r="M210" s="105">
        <v>1.4833299999999999E-3</v>
      </c>
      <c r="N210" s="104">
        <f t="shared" si="16"/>
        <v>16.1199997752</v>
      </c>
      <c r="O210" s="66"/>
      <c r="P210" s="71">
        <f t="shared" si="17"/>
        <v>0</v>
      </c>
      <c r="Q210" s="132"/>
      <c r="R210" s="71">
        <f t="shared" si="18"/>
        <v>27.714613391666663</v>
      </c>
    </row>
    <row r="211" spans="1:18">
      <c r="A211" s="102" t="s">
        <v>21</v>
      </c>
      <c r="B211" s="103" t="s">
        <v>1230</v>
      </c>
      <c r="C211" s="103" t="s">
        <v>1231</v>
      </c>
      <c r="D211" s="102" t="s">
        <v>1232</v>
      </c>
      <c r="E211" s="103" t="s">
        <v>63</v>
      </c>
      <c r="F211" s="102" t="s">
        <v>19</v>
      </c>
      <c r="G211" s="103" t="s">
        <v>20</v>
      </c>
      <c r="I211" s="103">
        <v>201504</v>
      </c>
      <c r="J211" s="104">
        <v>-64.78</v>
      </c>
      <c r="K211" s="72">
        <f t="shared" si="19"/>
        <v>42675</v>
      </c>
      <c r="L211" s="67">
        <f t="shared" si="15"/>
        <v>6</v>
      </c>
      <c r="M211" s="105">
        <v>1.4833299999999999E-3</v>
      </c>
      <c r="N211" s="104">
        <f t="shared" si="16"/>
        <v>-0.57654070440000005</v>
      </c>
      <c r="O211" s="66"/>
      <c r="P211" s="71">
        <f t="shared" si="17"/>
        <v>0</v>
      </c>
      <c r="Q211" s="132"/>
      <c r="R211" s="71">
        <f t="shared" si="18"/>
        <v>-0.99122847083333321</v>
      </c>
    </row>
    <row r="212" spans="1:18">
      <c r="A212" s="102" t="s">
        <v>21</v>
      </c>
      <c r="B212" s="103" t="s">
        <v>1233</v>
      </c>
      <c r="C212" s="103" t="s">
        <v>1234</v>
      </c>
      <c r="D212" s="102" t="s">
        <v>1235</v>
      </c>
      <c r="E212" s="103" t="s">
        <v>172</v>
      </c>
      <c r="F212" s="102" t="s">
        <v>173</v>
      </c>
      <c r="G212" s="103" t="s">
        <v>20</v>
      </c>
      <c r="I212" s="103">
        <v>201504</v>
      </c>
      <c r="J212" s="104">
        <v>-256.70999999999998</v>
      </c>
      <c r="K212" s="72">
        <f t="shared" si="19"/>
        <v>42675</v>
      </c>
      <c r="L212" s="67">
        <f t="shared" si="15"/>
        <v>6</v>
      </c>
      <c r="M212" s="105">
        <v>1.4833299999999999E-3</v>
      </c>
      <c r="N212" s="104">
        <f t="shared" si="16"/>
        <v>-2.2847138657999997</v>
      </c>
      <c r="O212" s="66"/>
      <c r="P212" s="71">
        <f t="shared" si="17"/>
        <v>0</v>
      </c>
      <c r="Q212" s="132"/>
      <c r="R212" s="71">
        <f t="shared" si="18"/>
        <v>-3.9280373687499996</v>
      </c>
    </row>
    <row r="213" spans="1:18">
      <c r="A213" s="102" t="s">
        <v>21</v>
      </c>
      <c r="B213" s="103" t="s">
        <v>1354</v>
      </c>
      <c r="C213" s="103" t="s">
        <v>1355</v>
      </c>
      <c r="D213" s="102" t="s">
        <v>1356</v>
      </c>
      <c r="E213" s="103" t="s">
        <v>75</v>
      </c>
      <c r="F213" s="102" t="s">
        <v>26</v>
      </c>
      <c r="G213" s="103" t="s">
        <v>20</v>
      </c>
      <c r="I213" s="103">
        <v>201504</v>
      </c>
      <c r="J213" s="104">
        <v>28840.66</v>
      </c>
      <c r="K213" s="72">
        <f t="shared" si="19"/>
        <v>42675</v>
      </c>
      <c r="L213" s="67">
        <f t="shared" si="15"/>
        <v>6</v>
      </c>
      <c r="M213" s="105">
        <v>1.4833299999999999E-3</v>
      </c>
      <c r="N213" s="104">
        <f t="shared" si="16"/>
        <v>256.68129718680001</v>
      </c>
      <c r="O213" s="66"/>
      <c r="P213" s="71">
        <f t="shared" si="17"/>
        <v>0</v>
      </c>
      <c r="Q213" s="132"/>
      <c r="R213" s="71">
        <f t="shared" si="18"/>
        <v>441.30415729583331</v>
      </c>
    </row>
    <row r="214" spans="1:18">
      <c r="A214" s="102" t="s">
        <v>133</v>
      </c>
      <c r="B214" s="103" t="s">
        <v>1312</v>
      </c>
      <c r="C214" s="103" t="s">
        <v>1313</v>
      </c>
      <c r="D214" s="102" t="s">
        <v>1314</v>
      </c>
      <c r="E214" s="103" t="s">
        <v>137</v>
      </c>
      <c r="F214" s="102" t="s">
        <v>138</v>
      </c>
      <c r="G214" s="103" t="s">
        <v>20</v>
      </c>
      <c r="I214" s="103">
        <v>201504</v>
      </c>
      <c r="J214" s="104">
        <v>81994</v>
      </c>
      <c r="K214" s="72">
        <f t="shared" si="19"/>
        <v>42675</v>
      </c>
      <c r="L214" s="67">
        <f t="shared" si="15"/>
        <v>6</v>
      </c>
      <c r="M214" s="105">
        <v>1.4833299999999999E-3</v>
      </c>
      <c r="N214" s="104">
        <f t="shared" si="16"/>
        <v>729.74496011999997</v>
      </c>
      <c r="O214" s="66"/>
      <c r="P214" s="71">
        <f t="shared" si="17"/>
        <v>0</v>
      </c>
      <c r="Q214" s="132"/>
      <c r="R214" s="71">
        <f t="shared" si="18"/>
        <v>1254.6277745833333</v>
      </c>
    </row>
    <row r="215" spans="1:18">
      <c r="A215" s="102" t="s">
        <v>554</v>
      </c>
      <c r="B215" s="103" t="s">
        <v>116</v>
      </c>
      <c r="C215" s="103" t="s">
        <v>117</v>
      </c>
      <c r="D215" s="102" t="s">
        <v>118</v>
      </c>
      <c r="E215" s="103" t="s">
        <v>119</v>
      </c>
      <c r="F215" s="102" t="s">
        <v>120</v>
      </c>
      <c r="G215" s="103" t="s">
        <v>20</v>
      </c>
      <c r="I215" s="103">
        <v>201504</v>
      </c>
      <c r="J215" s="104">
        <v>85698.32</v>
      </c>
      <c r="K215" s="72">
        <f t="shared" si="19"/>
        <v>42675</v>
      </c>
      <c r="L215" s="67">
        <f t="shared" si="15"/>
        <v>6</v>
      </c>
      <c r="M215" s="105">
        <v>1.4833299999999999E-3</v>
      </c>
      <c r="N215" s="104">
        <f t="shared" si="16"/>
        <v>762.71333403360006</v>
      </c>
      <c r="O215" s="66"/>
      <c r="P215" s="71">
        <f t="shared" si="17"/>
        <v>0</v>
      </c>
      <c r="Q215" s="132"/>
      <c r="R215" s="71">
        <f t="shared" si="18"/>
        <v>1311.3092727166666</v>
      </c>
    </row>
    <row r="216" spans="1:18">
      <c r="A216" s="102" t="s">
        <v>626</v>
      </c>
      <c r="B216" s="103" t="s">
        <v>1063</v>
      </c>
      <c r="C216" s="103" t="s">
        <v>1064</v>
      </c>
      <c r="D216" s="102" t="s">
        <v>1065</v>
      </c>
      <c r="E216" s="103" t="s">
        <v>497</v>
      </c>
      <c r="F216" s="102" t="s">
        <v>26</v>
      </c>
      <c r="G216" s="103" t="s">
        <v>20</v>
      </c>
      <c r="I216" s="103">
        <v>201504</v>
      </c>
      <c r="J216" s="104">
        <v>-248.07</v>
      </c>
      <c r="K216" s="72">
        <f t="shared" si="19"/>
        <v>42675</v>
      </c>
      <c r="L216" s="67">
        <f t="shared" si="15"/>
        <v>6</v>
      </c>
      <c r="M216" s="105">
        <v>1.4833299999999999E-3</v>
      </c>
      <c r="N216" s="104">
        <f t="shared" si="16"/>
        <v>-2.2078180386000001</v>
      </c>
      <c r="O216" s="66"/>
      <c r="P216" s="71">
        <f t="shared" si="17"/>
        <v>0</v>
      </c>
      <c r="Q216" s="132"/>
      <c r="R216" s="71">
        <f t="shared" si="18"/>
        <v>-3.7958327687499995</v>
      </c>
    </row>
    <row r="217" spans="1:18">
      <c r="A217" s="102" t="s">
        <v>626</v>
      </c>
      <c r="B217" s="103" t="s">
        <v>1066</v>
      </c>
      <c r="C217" s="103" t="s">
        <v>1067</v>
      </c>
      <c r="D217" s="102" t="s">
        <v>1068</v>
      </c>
      <c r="E217" s="103" t="s">
        <v>75</v>
      </c>
      <c r="F217" s="102" t="s">
        <v>26</v>
      </c>
      <c r="G217" s="103" t="s">
        <v>20</v>
      </c>
      <c r="I217" s="103">
        <v>201504</v>
      </c>
      <c r="J217" s="104">
        <v>-897.65</v>
      </c>
      <c r="K217" s="72">
        <f t="shared" si="19"/>
        <v>42675</v>
      </c>
      <c r="L217" s="67">
        <f t="shared" si="15"/>
        <v>6</v>
      </c>
      <c r="M217" s="105">
        <v>1.4833299999999999E-3</v>
      </c>
      <c r="N217" s="104">
        <f t="shared" si="16"/>
        <v>-7.9890670469999998</v>
      </c>
      <c r="O217" s="66"/>
      <c r="P217" s="71">
        <f t="shared" si="17"/>
        <v>0</v>
      </c>
      <c r="Q217" s="132"/>
      <c r="R217" s="71">
        <f t="shared" si="18"/>
        <v>-13.735354072916664</v>
      </c>
    </row>
    <row r="218" spans="1:18">
      <c r="A218" s="102" t="s">
        <v>626</v>
      </c>
      <c r="B218" s="103" t="s">
        <v>1069</v>
      </c>
      <c r="C218" s="103" t="s">
        <v>1070</v>
      </c>
      <c r="D218" s="102" t="s">
        <v>1071</v>
      </c>
      <c r="E218" s="103" t="s">
        <v>260</v>
      </c>
      <c r="F218" s="102" t="s">
        <v>26</v>
      </c>
      <c r="G218" s="103" t="s">
        <v>20</v>
      </c>
      <c r="I218" s="103">
        <v>201504</v>
      </c>
      <c r="J218" s="104">
        <v>2190.2399999999998</v>
      </c>
      <c r="K218" s="72">
        <f t="shared" si="19"/>
        <v>42675</v>
      </c>
      <c r="L218" s="67">
        <f t="shared" si="15"/>
        <v>6</v>
      </c>
      <c r="M218" s="105">
        <v>1.4833299999999999E-3</v>
      </c>
      <c r="N218" s="104">
        <f t="shared" si="16"/>
        <v>19.493092195199999</v>
      </c>
      <c r="O218" s="66"/>
      <c r="P218" s="71">
        <f t="shared" si="17"/>
        <v>0</v>
      </c>
      <c r="Q218" s="132"/>
      <c r="R218" s="71">
        <f t="shared" si="18"/>
        <v>33.513866099999994</v>
      </c>
    </row>
    <row r="219" spans="1:18">
      <c r="A219" s="102" t="s">
        <v>626</v>
      </c>
      <c r="B219" s="103" t="s">
        <v>741</v>
      </c>
      <c r="C219" s="103" t="s">
        <v>742</v>
      </c>
      <c r="D219" s="102" t="s">
        <v>743</v>
      </c>
      <c r="E219" s="103" t="s">
        <v>415</v>
      </c>
      <c r="F219" s="102" t="s">
        <v>88</v>
      </c>
      <c r="G219" s="103" t="s">
        <v>20</v>
      </c>
      <c r="I219" s="103">
        <v>201504</v>
      </c>
      <c r="J219" s="104">
        <v>-41.4</v>
      </c>
      <c r="K219" s="72">
        <f t="shared" si="19"/>
        <v>42675</v>
      </c>
      <c r="L219" s="67">
        <f t="shared" si="15"/>
        <v>6</v>
      </c>
      <c r="M219" s="105">
        <v>1.4833299999999999E-3</v>
      </c>
      <c r="N219" s="104">
        <f t="shared" si="16"/>
        <v>-0.368459172</v>
      </c>
      <c r="O219" s="66"/>
      <c r="P219" s="71">
        <f t="shared" si="17"/>
        <v>0</v>
      </c>
      <c r="Q219" s="132"/>
      <c r="R219" s="71">
        <f t="shared" si="18"/>
        <v>-0.63348037499999987</v>
      </c>
    </row>
    <row r="220" spans="1:18">
      <c r="A220" s="102" t="s">
        <v>626</v>
      </c>
      <c r="B220" s="103" t="s">
        <v>700</v>
      </c>
      <c r="C220" s="103" t="s">
        <v>701</v>
      </c>
      <c r="D220" s="102" t="s">
        <v>702</v>
      </c>
      <c r="E220" s="103" t="s">
        <v>25</v>
      </c>
      <c r="F220" s="102" t="s">
        <v>26</v>
      </c>
      <c r="G220" s="103" t="s">
        <v>20</v>
      </c>
      <c r="I220" s="103">
        <v>201504</v>
      </c>
      <c r="J220" s="104">
        <v>-1.89</v>
      </c>
      <c r="K220" s="72">
        <f t="shared" si="19"/>
        <v>42675</v>
      </c>
      <c r="L220" s="67">
        <f t="shared" si="15"/>
        <v>6</v>
      </c>
      <c r="M220" s="105">
        <v>1.4833299999999999E-3</v>
      </c>
      <c r="N220" s="104">
        <f t="shared" si="16"/>
        <v>-1.6820962199999998E-2</v>
      </c>
      <c r="O220" s="66"/>
      <c r="P220" s="71">
        <f t="shared" si="17"/>
        <v>0</v>
      </c>
      <c r="Q220" s="132"/>
      <c r="R220" s="71">
        <f t="shared" si="18"/>
        <v>-2.8919756249999994E-2</v>
      </c>
    </row>
    <row r="221" spans="1:18">
      <c r="A221" s="102" t="s">
        <v>626</v>
      </c>
      <c r="B221" s="103" t="s">
        <v>750</v>
      </c>
      <c r="C221" s="103" t="s">
        <v>751</v>
      </c>
      <c r="D221" s="102" t="s">
        <v>752</v>
      </c>
      <c r="E221" s="103" t="s">
        <v>164</v>
      </c>
      <c r="F221" s="102" t="s">
        <v>165</v>
      </c>
      <c r="G221" s="103" t="s">
        <v>20</v>
      </c>
      <c r="I221" s="103">
        <v>201504</v>
      </c>
      <c r="J221" s="104">
        <v>152.31</v>
      </c>
      <c r="K221" s="72">
        <f t="shared" si="19"/>
        <v>42675</v>
      </c>
      <c r="L221" s="67">
        <f t="shared" si="15"/>
        <v>6</v>
      </c>
      <c r="M221" s="105">
        <v>1.4833299999999999E-3</v>
      </c>
      <c r="N221" s="104">
        <f t="shared" si="16"/>
        <v>1.3555559537999999</v>
      </c>
      <c r="O221" s="66"/>
      <c r="P221" s="71">
        <f t="shared" si="17"/>
        <v>0</v>
      </c>
      <c r="Q221" s="132"/>
      <c r="R221" s="71">
        <f t="shared" si="18"/>
        <v>2.3305651187500001</v>
      </c>
    </row>
    <row r="222" spans="1:18">
      <c r="A222" s="102" t="s">
        <v>626</v>
      </c>
      <c r="B222" s="103" t="s">
        <v>465</v>
      </c>
      <c r="C222" s="103" t="s">
        <v>466</v>
      </c>
      <c r="D222" s="102" t="s">
        <v>467</v>
      </c>
      <c r="E222" s="103" t="s">
        <v>75</v>
      </c>
      <c r="F222" s="102" t="s">
        <v>26</v>
      </c>
      <c r="G222" s="103" t="s">
        <v>20</v>
      </c>
      <c r="I222" s="103">
        <v>201504</v>
      </c>
      <c r="J222" s="104">
        <v>-16.059999999999999</v>
      </c>
      <c r="K222" s="72">
        <f t="shared" si="19"/>
        <v>42675</v>
      </c>
      <c r="L222" s="67">
        <f t="shared" si="15"/>
        <v>6</v>
      </c>
      <c r="M222" s="105">
        <v>1.4833299999999999E-3</v>
      </c>
      <c r="N222" s="104">
        <f t="shared" si="16"/>
        <v>-0.14293367879999999</v>
      </c>
      <c r="O222" s="66"/>
      <c r="P222" s="71">
        <f t="shared" si="17"/>
        <v>0</v>
      </c>
      <c r="Q222" s="132"/>
      <c r="R222" s="71">
        <f t="shared" si="18"/>
        <v>-0.24574142083333328</v>
      </c>
    </row>
    <row r="223" spans="1:18">
      <c r="A223" s="102" t="s">
        <v>626</v>
      </c>
      <c r="B223" s="103" t="s">
        <v>1076</v>
      </c>
      <c r="C223" s="103" t="s">
        <v>1077</v>
      </c>
      <c r="D223" s="102" t="s">
        <v>1078</v>
      </c>
      <c r="E223" s="103" t="s">
        <v>75</v>
      </c>
      <c r="F223" s="102" t="s">
        <v>26</v>
      </c>
      <c r="G223" s="103" t="s">
        <v>20</v>
      </c>
      <c r="I223" s="103">
        <v>201504</v>
      </c>
      <c r="J223" s="104">
        <v>-75.31</v>
      </c>
      <c r="K223" s="72">
        <f t="shared" si="19"/>
        <v>42675</v>
      </c>
      <c r="L223" s="67">
        <f t="shared" si="15"/>
        <v>6</v>
      </c>
      <c r="M223" s="105">
        <v>1.4833299999999999E-3</v>
      </c>
      <c r="N223" s="104">
        <f t="shared" si="16"/>
        <v>-0.67025749379999999</v>
      </c>
      <c r="O223" s="66"/>
      <c r="P223" s="71">
        <f t="shared" si="17"/>
        <v>0</v>
      </c>
      <c r="Q223" s="132"/>
      <c r="R223" s="71">
        <f t="shared" si="18"/>
        <v>-1.1523528270833334</v>
      </c>
    </row>
    <row r="224" spans="1:18">
      <c r="A224" s="102" t="s">
        <v>626</v>
      </c>
      <c r="B224" s="103" t="s">
        <v>630</v>
      </c>
      <c r="C224" s="103" t="s">
        <v>631</v>
      </c>
      <c r="D224" s="102" t="s">
        <v>632</v>
      </c>
      <c r="E224" s="103" t="s">
        <v>613</v>
      </c>
      <c r="F224" s="102" t="s">
        <v>398</v>
      </c>
      <c r="G224" s="103" t="s">
        <v>20</v>
      </c>
      <c r="I224" s="103">
        <v>201504</v>
      </c>
      <c r="J224" s="104">
        <v>-69.430000000000007</v>
      </c>
      <c r="K224" s="72">
        <f t="shared" si="19"/>
        <v>42675</v>
      </c>
      <c r="L224" s="67">
        <f t="shared" si="15"/>
        <v>6</v>
      </c>
      <c r="M224" s="105">
        <v>1.4833299999999999E-3</v>
      </c>
      <c r="N224" s="104">
        <f t="shared" si="16"/>
        <v>-0.61792561140000002</v>
      </c>
      <c r="O224" s="66"/>
      <c r="P224" s="71">
        <f t="shared" si="17"/>
        <v>0</v>
      </c>
      <c r="Q224" s="132"/>
      <c r="R224" s="71">
        <f t="shared" si="18"/>
        <v>-1.0623802520833334</v>
      </c>
    </row>
    <row r="225" spans="1:18">
      <c r="A225" s="102" t="s">
        <v>626</v>
      </c>
      <c r="B225" s="103" t="s">
        <v>938</v>
      </c>
      <c r="C225" s="103" t="s">
        <v>939</v>
      </c>
      <c r="D225" s="102" t="s">
        <v>940</v>
      </c>
      <c r="E225" s="103" t="s">
        <v>209</v>
      </c>
      <c r="F225" s="102" t="s">
        <v>88</v>
      </c>
      <c r="G225" s="103" t="s">
        <v>20</v>
      </c>
      <c r="I225" s="103">
        <v>201504</v>
      </c>
      <c r="J225" s="104">
        <v>-82.56</v>
      </c>
      <c r="K225" s="72">
        <f t="shared" si="19"/>
        <v>42675</v>
      </c>
      <c r="L225" s="67">
        <f t="shared" si="15"/>
        <v>6</v>
      </c>
      <c r="M225" s="105">
        <v>1.4833299999999999E-3</v>
      </c>
      <c r="N225" s="104">
        <f t="shared" si="16"/>
        <v>-0.73478234880000004</v>
      </c>
      <c r="O225" s="66"/>
      <c r="P225" s="71">
        <f t="shared" si="17"/>
        <v>0</v>
      </c>
      <c r="Q225" s="132"/>
      <c r="R225" s="71">
        <f t="shared" si="18"/>
        <v>-1.2632884</v>
      </c>
    </row>
    <row r="226" spans="1:18">
      <c r="A226" s="102" t="s">
        <v>626</v>
      </c>
      <c r="B226" s="103" t="s">
        <v>1082</v>
      </c>
      <c r="C226" s="103" t="s">
        <v>1083</v>
      </c>
      <c r="D226" s="102" t="s">
        <v>1084</v>
      </c>
      <c r="E226" s="103" t="s">
        <v>75</v>
      </c>
      <c r="F226" s="102" t="s">
        <v>26</v>
      </c>
      <c r="G226" s="103" t="s">
        <v>20</v>
      </c>
      <c r="I226" s="103">
        <v>201504</v>
      </c>
      <c r="J226" s="104">
        <v>-730.09</v>
      </c>
      <c r="K226" s="72">
        <f t="shared" si="19"/>
        <v>42675</v>
      </c>
      <c r="L226" s="67">
        <f t="shared" si="15"/>
        <v>6</v>
      </c>
      <c r="M226" s="105">
        <v>1.4833299999999999E-3</v>
      </c>
      <c r="N226" s="104">
        <f t="shared" si="16"/>
        <v>-6.4977863982000006</v>
      </c>
      <c r="O226" s="66"/>
      <c r="P226" s="71">
        <f t="shared" si="17"/>
        <v>0</v>
      </c>
      <c r="Q226" s="132"/>
      <c r="R226" s="71">
        <f t="shared" si="18"/>
        <v>-11.171441714583333</v>
      </c>
    </row>
    <row r="227" spans="1:18">
      <c r="A227" s="102" t="s">
        <v>626</v>
      </c>
      <c r="B227" s="103" t="s">
        <v>1188</v>
      </c>
      <c r="C227" s="103" t="s">
        <v>1189</v>
      </c>
      <c r="D227" s="102" t="s">
        <v>1190</v>
      </c>
      <c r="E227" s="103" t="s">
        <v>75</v>
      </c>
      <c r="F227" s="102" t="s">
        <v>26</v>
      </c>
      <c r="G227" s="103" t="s">
        <v>20</v>
      </c>
      <c r="I227" s="103">
        <v>201504</v>
      </c>
      <c r="J227" s="104">
        <v>-873</v>
      </c>
      <c r="K227" s="72">
        <f t="shared" si="19"/>
        <v>42675</v>
      </c>
      <c r="L227" s="67">
        <f t="shared" si="15"/>
        <v>6</v>
      </c>
      <c r="M227" s="105">
        <v>1.4833299999999999E-3</v>
      </c>
      <c r="N227" s="104">
        <f t="shared" si="16"/>
        <v>-7.7696825399999998</v>
      </c>
      <c r="O227" s="66"/>
      <c r="P227" s="71">
        <f t="shared" si="17"/>
        <v>0</v>
      </c>
      <c r="Q227" s="132"/>
      <c r="R227" s="71">
        <f t="shared" si="18"/>
        <v>-13.358173124999999</v>
      </c>
    </row>
    <row r="228" spans="1:18">
      <c r="A228" s="102" t="s">
        <v>626</v>
      </c>
      <c r="B228" s="103" t="s">
        <v>1085</v>
      </c>
      <c r="C228" s="103" t="s">
        <v>1086</v>
      </c>
      <c r="D228" s="102" t="s">
        <v>1087</v>
      </c>
      <c r="E228" s="103" t="s">
        <v>75</v>
      </c>
      <c r="F228" s="102" t="s">
        <v>26</v>
      </c>
      <c r="G228" s="103" t="s">
        <v>20</v>
      </c>
      <c r="I228" s="103">
        <v>201504</v>
      </c>
      <c r="J228" s="104">
        <v>-61.66</v>
      </c>
      <c r="K228" s="72">
        <f t="shared" si="19"/>
        <v>42675</v>
      </c>
      <c r="L228" s="67">
        <f t="shared" si="15"/>
        <v>6</v>
      </c>
      <c r="M228" s="105">
        <v>1.4833299999999999E-3</v>
      </c>
      <c r="N228" s="104">
        <f t="shared" si="16"/>
        <v>-0.54877276679999998</v>
      </c>
      <c r="O228" s="66"/>
      <c r="P228" s="71">
        <f t="shared" si="17"/>
        <v>0</v>
      </c>
      <c r="Q228" s="132"/>
      <c r="R228" s="71">
        <f t="shared" si="18"/>
        <v>-0.94348792083333322</v>
      </c>
    </row>
    <row r="229" spans="1:18">
      <c r="A229" s="102" t="s">
        <v>626</v>
      </c>
      <c r="B229" s="103" t="s">
        <v>944</v>
      </c>
      <c r="C229" s="103" t="s">
        <v>945</v>
      </c>
      <c r="D229" s="102" t="s">
        <v>946</v>
      </c>
      <c r="E229" s="103" t="s">
        <v>164</v>
      </c>
      <c r="F229" s="102" t="s">
        <v>165</v>
      </c>
      <c r="G229" s="103" t="s">
        <v>20</v>
      </c>
      <c r="I229" s="103">
        <v>201504</v>
      </c>
      <c r="J229" s="104">
        <v>-173.59</v>
      </c>
      <c r="K229" s="72">
        <f t="shared" si="19"/>
        <v>42675</v>
      </c>
      <c r="L229" s="67">
        <f t="shared" si="15"/>
        <v>6</v>
      </c>
      <c r="M229" s="105">
        <v>1.4833299999999999E-3</v>
      </c>
      <c r="N229" s="104">
        <f t="shared" si="16"/>
        <v>-1.5449475282</v>
      </c>
      <c r="O229" s="66"/>
      <c r="P229" s="71">
        <f t="shared" si="17"/>
        <v>0</v>
      </c>
      <c r="Q229" s="132"/>
      <c r="R229" s="71">
        <f t="shared" si="18"/>
        <v>-2.656180152083333</v>
      </c>
    </row>
    <row r="230" spans="1:18">
      <c r="A230" s="102" t="s">
        <v>626</v>
      </c>
      <c r="B230" s="103" t="s">
        <v>1253</v>
      </c>
      <c r="C230" s="103" t="s">
        <v>1254</v>
      </c>
      <c r="D230" s="102" t="s">
        <v>1255</v>
      </c>
      <c r="E230" s="103" t="s">
        <v>25</v>
      </c>
      <c r="F230" s="102" t="s">
        <v>26</v>
      </c>
      <c r="G230" s="103" t="s">
        <v>20</v>
      </c>
      <c r="I230" s="103">
        <v>201504</v>
      </c>
      <c r="J230" s="104">
        <v>-4554.8500000000004</v>
      </c>
      <c r="K230" s="72">
        <f t="shared" si="19"/>
        <v>42675</v>
      </c>
      <c r="L230" s="67">
        <f t="shared" si="15"/>
        <v>6</v>
      </c>
      <c r="M230" s="105">
        <v>1.4833299999999999E-3</v>
      </c>
      <c r="N230" s="104">
        <f t="shared" si="16"/>
        <v>-40.538073903000004</v>
      </c>
      <c r="O230" s="66"/>
      <c r="P230" s="71">
        <f t="shared" si="17"/>
        <v>0</v>
      </c>
      <c r="Q230" s="132"/>
      <c r="R230" s="71">
        <f t="shared" si="18"/>
        <v>-69.695847489583329</v>
      </c>
    </row>
    <row r="231" spans="1:18">
      <c r="A231" s="102" t="s">
        <v>626</v>
      </c>
      <c r="B231" s="103" t="s">
        <v>1038</v>
      </c>
      <c r="C231" s="103" t="s">
        <v>1039</v>
      </c>
      <c r="D231" s="102" t="s">
        <v>1040</v>
      </c>
      <c r="E231" s="103" t="s">
        <v>75</v>
      </c>
      <c r="F231" s="102" t="s">
        <v>26</v>
      </c>
      <c r="G231" s="103" t="s">
        <v>20</v>
      </c>
      <c r="I231" s="103">
        <v>201504</v>
      </c>
      <c r="J231" s="104">
        <v>-91.22</v>
      </c>
      <c r="K231" s="72">
        <f t="shared" si="19"/>
        <v>42675</v>
      </c>
      <c r="L231" s="67">
        <f t="shared" si="15"/>
        <v>6</v>
      </c>
      <c r="M231" s="105">
        <v>1.4833299999999999E-3</v>
      </c>
      <c r="N231" s="104">
        <f t="shared" si="16"/>
        <v>-0.81185617560000001</v>
      </c>
      <c r="O231" s="66"/>
      <c r="P231" s="71">
        <f t="shared" si="17"/>
        <v>0</v>
      </c>
      <c r="Q231" s="132"/>
      <c r="R231" s="71">
        <f t="shared" si="18"/>
        <v>-1.3957990291666664</v>
      </c>
    </row>
    <row r="232" spans="1:18">
      <c r="A232" s="102" t="s">
        <v>626</v>
      </c>
      <c r="B232" s="103" t="s">
        <v>947</v>
      </c>
      <c r="C232" s="103" t="s">
        <v>948</v>
      </c>
      <c r="D232" s="102" t="s">
        <v>949</v>
      </c>
      <c r="E232" s="103" t="s">
        <v>75</v>
      </c>
      <c r="F232" s="102" t="s">
        <v>26</v>
      </c>
      <c r="G232" s="103" t="s">
        <v>20</v>
      </c>
      <c r="I232" s="103">
        <v>201504</v>
      </c>
      <c r="J232" s="104">
        <v>-2.98</v>
      </c>
      <c r="K232" s="72">
        <f t="shared" si="19"/>
        <v>42675</v>
      </c>
      <c r="L232" s="67">
        <f t="shared" si="15"/>
        <v>6</v>
      </c>
      <c r="M232" s="105">
        <v>1.4833299999999999E-3</v>
      </c>
      <c r="N232" s="104">
        <f t="shared" si="16"/>
        <v>-2.6521940399999999E-2</v>
      </c>
      <c r="O232" s="66"/>
      <c r="P232" s="71">
        <f t="shared" si="17"/>
        <v>0</v>
      </c>
      <c r="Q232" s="132"/>
      <c r="R232" s="71">
        <f t="shared" si="18"/>
        <v>-4.5598345833333324E-2</v>
      </c>
    </row>
    <row r="233" spans="1:18">
      <c r="A233" s="102" t="s">
        <v>626</v>
      </c>
      <c r="B233" s="103" t="s">
        <v>1041</v>
      </c>
      <c r="C233" s="103" t="s">
        <v>1042</v>
      </c>
      <c r="D233" s="102" t="s">
        <v>1043</v>
      </c>
      <c r="E233" s="103" t="s">
        <v>75</v>
      </c>
      <c r="F233" s="102" t="s">
        <v>26</v>
      </c>
      <c r="G233" s="103" t="s">
        <v>20</v>
      </c>
      <c r="I233" s="103">
        <v>201504</v>
      </c>
      <c r="J233" s="104">
        <v>-125.79</v>
      </c>
      <c r="K233" s="72">
        <f t="shared" si="19"/>
        <v>42675</v>
      </c>
      <c r="L233" s="67">
        <f t="shared" si="15"/>
        <v>6</v>
      </c>
      <c r="M233" s="105">
        <v>1.4833299999999999E-3</v>
      </c>
      <c r="N233" s="104">
        <f t="shared" si="16"/>
        <v>-1.1195284842</v>
      </c>
      <c r="O233" s="66"/>
      <c r="P233" s="71">
        <f t="shared" si="17"/>
        <v>0</v>
      </c>
      <c r="Q233" s="132"/>
      <c r="R233" s="71">
        <f t="shared" si="18"/>
        <v>-1.9247704437499999</v>
      </c>
    </row>
    <row r="234" spans="1:18">
      <c r="A234" s="102" t="s">
        <v>626</v>
      </c>
      <c r="B234" s="103" t="s">
        <v>1194</v>
      </c>
      <c r="C234" s="103" t="s">
        <v>1195</v>
      </c>
      <c r="D234" s="102" t="s">
        <v>1196</v>
      </c>
      <c r="E234" s="103" t="s">
        <v>75</v>
      </c>
      <c r="F234" s="102" t="s">
        <v>26</v>
      </c>
      <c r="G234" s="103" t="s">
        <v>20</v>
      </c>
      <c r="I234" s="103">
        <v>201504</v>
      </c>
      <c r="J234" s="104">
        <v>-1975.51</v>
      </c>
      <c r="K234" s="72">
        <f t="shared" si="19"/>
        <v>42675</v>
      </c>
      <c r="L234" s="67">
        <f t="shared" si="15"/>
        <v>6</v>
      </c>
      <c r="M234" s="105">
        <v>1.4833299999999999E-3</v>
      </c>
      <c r="N234" s="104">
        <f t="shared" si="16"/>
        <v>-17.581999489800001</v>
      </c>
      <c r="O234" s="66"/>
      <c r="P234" s="71">
        <f t="shared" si="17"/>
        <v>0</v>
      </c>
      <c r="Q234" s="132"/>
      <c r="R234" s="71">
        <f t="shared" si="18"/>
        <v>-30.228183952083334</v>
      </c>
    </row>
    <row r="235" spans="1:18">
      <c r="A235" s="102" t="s">
        <v>626</v>
      </c>
      <c r="B235" s="103" t="s">
        <v>1133</v>
      </c>
      <c r="C235" s="103" t="s">
        <v>1134</v>
      </c>
      <c r="D235" s="102" t="s">
        <v>1135</v>
      </c>
      <c r="E235" s="103" t="s">
        <v>471</v>
      </c>
      <c r="F235" s="102" t="s">
        <v>165</v>
      </c>
      <c r="G235" s="103" t="s">
        <v>20</v>
      </c>
      <c r="I235" s="103">
        <v>201504</v>
      </c>
      <c r="J235" s="104">
        <v>1850.21</v>
      </c>
      <c r="K235" s="72">
        <f t="shared" si="19"/>
        <v>42675</v>
      </c>
      <c r="L235" s="67">
        <f t="shared" si="15"/>
        <v>6</v>
      </c>
      <c r="M235" s="105">
        <v>1.4833299999999999E-3</v>
      </c>
      <c r="N235" s="104">
        <f t="shared" si="16"/>
        <v>16.4668319958</v>
      </c>
      <c r="O235" s="66"/>
      <c r="P235" s="71">
        <f t="shared" si="17"/>
        <v>0</v>
      </c>
      <c r="Q235" s="132"/>
      <c r="R235" s="71">
        <f t="shared" si="18"/>
        <v>28.310911222916662</v>
      </c>
    </row>
    <row r="236" spans="1:18">
      <c r="A236" s="102" t="s">
        <v>626</v>
      </c>
      <c r="B236" s="103" t="s">
        <v>848</v>
      </c>
      <c r="C236" s="103" t="s">
        <v>849</v>
      </c>
      <c r="D236" s="102" t="s">
        <v>850</v>
      </c>
      <c r="E236" s="103" t="s">
        <v>93</v>
      </c>
      <c r="F236" s="102" t="s">
        <v>88</v>
      </c>
      <c r="G236" s="103" t="s">
        <v>20</v>
      </c>
      <c r="I236" s="103">
        <v>201504</v>
      </c>
      <c r="J236" s="104">
        <v>93.47</v>
      </c>
      <c r="K236" s="72">
        <f t="shared" si="19"/>
        <v>42675</v>
      </c>
      <c r="L236" s="67">
        <f t="shared" si="15"/>
        <v>6</v>
      </c>
      <c r="M236" s="105">
        <v>1.4833299999999999E-3</v>
      </c>
      <c r="N236" s="104">
        <f t="shared" si="16"/>
        <v>0.83188113060000002</v>
      </c>
      <c r="O236" s="66"/>
      <c r="P236" s="71">
        <f t="shared" si="17"/>
        <v>0</v>
      </c>
      <c r="Q236" s="132"/>
      <c r="R236" s="71">
        <f t="shared" si="18"/>
        <v>1.4302273104166665</v>
      </c>
    </row>
    <row r="237" spans="1:18">
      <c r="A237" s="102" t="s">
        <v>626</v>
      </c>
      <c r="B237" s="103" t="s">
        <v>1136</v>
      </c>
      <c r="C237" s="103" t="s">
        <v>1137</v>
      </c>
      <c r="D237" s="102" t="s">
        <v>1138</v>
      </c>
      <c r="E237" s="103" t="s">
        <v>962</v>
      </c>
      <c r="F237" s="102" t="s">
        <v>88</v>
      </c>
      <c r="G237" s="103" t="s">
        <v>20</v>
      </c>
      <c r="I237" s="103">
        <v>201504</v>
      </c>
      <c r="J237" s="104">
        <v>-5501.81</v>
      </c>
      <c r="K237" s="72">
        <f t="shared" si="19"/>
        <v>42675</v>
      </c>
      <c r="L237" s="67">
        <f t="shared" si="15"/>
        <v>6</v>
      </c>
      <c r="M237" s="105">
        <v>1.4833299999999999E-3</v>
      </c>
      <c r="N237" s="104">
        <f t="shared" si="16"/>
        <v>-48.965998963800004</v>
      </c>
      <c r="O237" s="66"/>
      <c r="P237" s="71">
        <f t="shared" si="17"/>
        <v>0</v>
      </c>
      <c r="Q237" s="132"/>
      <c r="R237" s="71">
        <f t="shared" si="18"/>
        <v>-84.185716472916667</v>
      </c>
    </row>
    <row r="238" spans="1:18">
      <c r="A238" s="102" t="s">
        <v>626</v>
      </c>
      <c r="B238" s="103" t="s">
        <v>1197</v>
      </c>
      <c r="C238" s="103" t="s">
        <v>1198</v>
      </c>
      <c r="D238" s="102" t="s">
        <v>1199</v>
      </c>
      <c r="E238" s="103" t="s">
        <v>18</v>
      </c>
      <c r="F238" s="102" t="s">
        <v>19</v>
      </c>
      <c r="G238" s="103" t="s">
        <v>20</v>
      </c>
      <c r="I238" s="103">
        <v>201504</v>
      </c>
      <c r="J238" s="104">
        <v>-330.59</v>
      </c>
      <c r="K238" s="72">
        <f t="shared" si="19"/>
        <v>42675</v>
      </c>
      <c r="L238" s="67">
        <f t="shared" si="15"/>
        <v>6</v>
      </c>
      <c r="M238" s="105">
        <v>1.4833299999999999E-3</v>
      </c>
      <c r="N238" s="104">
        <f t="shared" si="16"/>
        <v>-2.9422443881999998</v>
      </c>
      <c r="O238" s="66"/>
      <c r="P238" s="71">
        <f t="shared" si="17"/>
        <v>0</v>
      </c>
      <c r="Q238" s="132"/>
      <c r="R238" s="71">
        <f t="shared" si="18"/>
        <v>-5.058509110416666</v>
      </c>
    </row>
    <row r="239" spans="1:18">
      <c r="A239" s="102" t="s">
        <v>626</v>
      </c>
      <c r="B239" s="103" t="s">
        <v>1256</v>
      </c>
      <c r="C239" s="103" t="s">
        <v>1257</v>
      </c>
      <c r="D239" s="102" t="s">
        <v>1258</v>
      </c>
      <c r="E239" s="103" t="s">
        <v>75</v>
      </c>
      <c r="F239" s="102" t="s">
        <v>26</v>
      </c>
      <c r="G239" s="103" t="s">
        <v>20</v>
      </c>
      <c r="I239" s="103">
        <v>201504</v>
      </c>
      <c r="J239" s="104">
        <v>-4080.83</v>
      </c>
      <c r="K239" s="72">
        <f t="shared" si="19"/>
        <v>42675</v>
      </c>
      <c r="L239" s="67">
        <f t="shared" si="15"/>
        <v>6</v>
      </c>
      <c r="M239" s="105">
        <v>1.4833299999999999E-3</v>
      </c>
      <c r="N239" s="104">
        <f t="shared" si="16"/>
        <v>-36.3193053834</v>
      </c>
      <c r="O239" s="66"/>
      <c r="P239" s="71">
        <f t="shared" si="17"/>
        <v>0</v>
      </c>
      <c r="Q239" s="132"/>
      <c r="R239" s="71">
        <f t="shared" si="18"/>
        <v>-62.442650210416666</v>
      </c>
    </row>
    <row r="240" spans="1:18">
      <c r="A240" s="102" t="s">
        <v>626</v>
      </c>
      <c r="B240" s="103" t="s">
        <v>1139</v>
      </c>
      <c r="C240" s="103" t="s">
        <v>1140</v>
      </c>
      <c r="D240" s="102" t="s">
        <v>1141</v>
      </c>
      <c r="E240" s="103" t="s">
        <v>280</v>
      </c>
      <c r="F240" s="102" t="s">
        <v>26</v>
      </c>
      <c r="G240" s="103" t="s">
        <v>20</v>
      </c>
      <c r="I240" s="103">
        <v>201504</v>
      </c>
      <c r="J240" s="104">
        <v>-1705.14</v>
      </c>
      <c r="K240" s="72">
        <f t="shared" si="19"/>
        <v>42675</v>
      </c>
      <c r="L240" s="67">
        <f t="shared" si="15"/>
        <v>6</v>
      </c>
      <c r="M240" s="105">
        <v>1.4833299999999999E-3</v>
      </c>
      <c r="N240" s="104">
        <f t="shared" si="16"/>
        <v>-15.175711897200001</v>
      </c>
      <c r="O240" s="66"/>
      <c r="P240" s="71">
        <f t="shared" si="17"/>
        <v>0</v>
      </c>
      <c r="Q240" s="132"/>
      <c r="R240" s="71">
        <f t="shared" si="18"/>
        <v>-26.091128662499997</v>
      </c>
    </row>
    <row r="241" spans="1:18">
      <c r="A241" s="102" t="s">
        <v>626</v>
      </c>
      <c r="B241" s="103" t="s">
        <v>1200</v>
      </c>
      <c r="C241" s="103" t="s">
        <v>1201</v>
      </c>
      <c r="D241" s="102" t="s">
        <v>1202</v>
      </c>
      <c r="E241" s="103" t="s">
        <v>75</v>
      </c>
      <c r="F241" s="102" t="s">
        <v>26</v>
      </c>
      <c r="G241" s="103" t="s">
        <v>20</v>
      </c>
      <c r="I241" s="103">
        <v>201504</v>
      </c>
      <c r="J241" s="104">
        <v>-5734.87</v>
      </c>
      <c r="K241" s="72">
        <f t="shared" si="19"/>
        <v>42675</v>
      </c>
      <c r="L241" s="67">
        <f t="shared" si="15"/>
        <v>6</v>
      </c>
      <c r="M241" s="105">
        <v>1.4833299999999999E-3</v>
      </c>
      <c r="N241" s="104">
        <f t="shared" si="16"/>
        <v>-51.040228302599999</v>
      </c>
      <c r="O241" s="66"/>
      <c r="P241" s="71">
        <f t="shared" si="17"/>
        <v>0</v>
      </c>
      <c r="Q241" s="132"/>
      <c r="R241" s="71">
        <f t="shared" si="18"/>
        <v>-87.75187435208332</v>
      </c>
    </row>
    <row r="242" spans="1:18">
      <c r="A242" s="102" t="s">
        <v>626</v>
      </c>
      <c r="B242" s="103" t="s">
        <v>1142</v>
      </c>
      <c r="C242" s="103" t="s">
        <v>1143</v>
      </c>
      <c r="D242" s="102" t="s">
        <v>1144</v>
      </c>
      <c r="E242" s="103" t="s">
        <v>164</v>
      </c>
      <c r="F242" s="102" t="s">
        <v>165</v>
      </c>
      <c r="G242" s="103" t="s">
        <v>20</v>
      </c>
      <c r="I242" s="103">
        <v>201504</v>
      </c>
      <c r="J242" s="104">
        <v>-6808.21</v>
      </c>
      <c r="K242" s="72">
        <f t="shared" si="19"/>
        <v>42675</v>
      </c>
      <c r="L242" s="67">
        <f t="shared" si="15"/>
        <v>6</v>
      </c>
      <c r="M242" s="105">
        <v>1.4833299999999999E-3</v>
      </c>
      <c r="N242" s="104">
        <f t="shared" si="16"/>
        <v>-60.592932835799999</v>
      </c>
      <c r="O242" s="66"/>
      <c r="P242" s="71">
        <f t="shared" si="17"/>
        <v>0</v>
      </c>
      <c r="Q242" s="132"/>
      <c r="R242" s="71">
        <f t="shared" si="18"/>
        <v>-104.17554163958333</v>
      </c>
    </row>
    <row r="243" spans="1:18">
      <c r="A243" s="102" t="s">
        <v>626</v>
      </c>
      <c r="B243" s="103" t="s">
        <v>909</v>
      </c>
      <c r="C243" s="103" t="s">
        <v>910</v>
      </c>
      <c r="D243" s="102" t="s">
        <v>911</v>
      </c>
      <c r="E243" s="103" t="s">
        <v>79</v>
      </c>
      <c r="F243" s="102" t="s">
        <v>26</v>
      </c>
      <c r="G243" s="103" t="s">
        <v>20</v>
      </c>
      <c r="I243" s="103">
        <v>201504</v>
      </c>
      <c r="J243" s="104">
        <v>37.54</v>
      </c>
      <c r="K243" s="72">
        <f t="shared" si="19"/>
        <v>42675</v>
      </c>
      <c r="L243" s="67">
        <f t="shared" si="15"/>
        <v>6</v>
      </c>
      <c r="M243" s="105">
        <v>1.4833299999999999E-3</v>
      </c>
      <c r="N243" s="104">
        <f t="shared" si="16"/>
        <v>0.33410524920000001</v>
      </c>
      <c r="O243" s="66"/>
      <c r="P243" s="71">
        <f t="shared" si="17"/>
        <v>0</v>
      </c>
      <c r="Q243" s="132"/>
      <c r="R243" s="71">
        <f t="shared" si="18"/>
        <v>0.57441674583333324</v>
      </c>
    </row>
    <row r="244" spans="1:18">
      <c r="A244" s="102" t="s">
        <v>626</v>
      </c>
      <c r="B244" s="103" t="s">
        <v>1315</v>
      </c>
      <c r="C244" s="103" t="s">
        <v>1316</v>
      </c>
      <c r="D244" s="102" t="s">
        <v>1317</v>
      </c>
      <c r="E244" s="103" t="s">
        <v>497</v>
      </c>
      <c r="F244" s="102" t="s">
        <v>26</v>
      </c>
      <c r="G244" s="103" t="s">
        <v>20</v>
      </c>
      <c r="I244" s="103">
        <v>201504</v>
      </c>
      <c r="J244" s="104">
        <v>-3171.51</v>
      </c>
      <c r="K244" s="72">
        <f t="shared" si="19"/>
        <v>42675</v>
      </c>
      <c r="L244" s="67">
        <f t="shared" si="15"/>
        <v>6</v>
      </c>
      <c r="M244" s="105">
        <v>1.4833299999999999E-3</v>
      </c>
      <c r="N244" s="104">
        <f t="shared" si="16"/>
        <v>-28.226375569800002</v>
      </c>
      <c r="O244" s="66"/>
      <c r="P244" s="71">
        <f t="shared" si="17"/>
        <v>0</v>
      </c>
      <c r="Q244" s="132"/>
      <c r="R244" s="71">
        <f t="shared" si="18"/>
        <v>-48.528728118750003</v>
      </c>
    </row>
    <row r="245" spans="1:18">
      <c r="A245" s="102" t="s">
        <v>626</v>
      </c>
      <c r="B245" s="103" t="s">
        <v>1203</v>
      </c>
      <c r="C245" s="103" t="s">
        <v>1204</v>
      </c>
      <c r="D245" s="102" t="s">
        <v>1205</v>
      </c>
      <c r="E245" s="103" t="s">
        <v>260</v>
      </c>
      <c r="F245" s="102" t="s">
        <v>26</v>
      </c>
      <c r="G245" s="103" t="s">
        <v>20</v>
      </c>
      <c r="I245" s="103">
        <v>201504</v>
      </c>
      <c r="J245" s="104">
        <v>-628.79999999999995</v>
      </c>
      <c r="K245" s="72">
        <f t="shared" si="19"/>
        <v>42675</v>
      </c>
      <c r="L245" s="67">
        <f t="shared" si="15"/>
        <v>6</v>
      </c>
      <c r="M245" s="105">
        <v>1.4833299999999999E-3</v>
      </c>
      <c r="N245" s="104">
        <f t="shared" si="16"/>
        <v>-5.5963074239999999</v>
      </c>
      <c r="O245" s="66"/>
      <c r="P245" s="71">
        <f t="shared" si="17"/>
        <v>0</v>
      </c>
      <c r="Q245" s="132"/>
      <c r="R245" s="71">
        <f t="shared" si="18"/>
        <v>-9.6215569999999992</v>
      </c>
    </row>
    <row r="246" spans="1:18">
      <c r="A246" s="102" t="s">
        <v>626</v>
      </c>
      <c r="B246" s="103" t="s">
        <v>1088</v>
      </c>
      <c r="C246" s="103" t="s">
        <v>1089</v>
      </c>
      <c r="D246" s="102" t="s">
        <v>1090</v>
      </c>
      <c r="E246" s="103" t="s">
        <v>415</v>
      </c>
      <c r="F246" s="102" t="s">
        <v>88</v>
      </c>
      <c r="G246" s="103" t="s">
        <v>20</v>
      </c>
      <c r="I246" s="103">
        <v>201504</v>
      </c>
      <c r="J246" s="104">
        <v>-1698.69</v>
      </c>
      <c r="K246" s="72">
        <f t="shared" si="19"/>
        <v>42675</v>
      </c>
      <c r="L246" s="67">
        <f t="shared" si="15"/>
        <v>6</v>
      </c>
      <c r="M246" s="105">
        <v>1.4833299999999999E-3</v>
      </c>
      <c r="N246" s="104">
        <f t="shared" si="16"/>
        <v>-15.1183070262</v>
      </c>
      <c r="O246" s="66"/>
      <c r="P246" s="71">
        <f t="shared" si="17"/>
        <v>0</v>
      </c>
      <c r="Q246" s="132"/>
      <c r="R246" s="71">
        <f t="shared" si="18"/>
        <v>-25.99243425625</v>
      </c>
    </row>
    <row r="247" spans="1:18">
      <c r="A247" s="102" t="s">
        <v>626</v>
      </c>
      <c r="B247" s="103" t="s">
        <v>1091</v>
      </c>
      <c r="C247" s="103" t="s">
        <v>1092</v>
      </c>
      <c r="D247" s="102" t="s">
        <v>1093</v>
      </c>
      <c r="E247" s="103" t="s">
        <v>962</v>
      </c>
      <c r="F247" s="102" t="s">
        <v>88</v>
      </c>
      <c r="G247" s="103" t="s">
        <v>20</v>
      </c>
      <c r="I247" s="103">
        <v>201504</v>
      </c>
      <c r="J247" s="104">
        <v>-2306.17</v>
      </c>
      <c r="K247" s="72">
        <f t="shared" si="19"/>
        <v>42675</v>
      </c>
      <c r="L247" s="67">
        <f t="shared" si="15"/>
        <v>6</v>
      </c>
      <c r="M247" s="105">
        <v>1.4833299999999999E-3</v>
      </c>
      <c r="N247" s="104">
        <f t="shared" si="16"/>
        <v>-20.524866876600001</v>
      </c>
      <c r="O247" s="66"/>
      <c r="P247" s="71">
        <f t="shared" si="17"/>
        <v>0</v>
      </c>
      <c r="Q247" s="132"/>
      <c r="R247" s="71">
        <f t="shared" si="18"/>
        <v>-35.287764164583329</v>
      </c>
    </row>
    <row r="248" spans="1:18">
      <c r="A248" s="102" t="s">
        <v>626</v>
      </c>
      <c r="B248" s="103" t="s">
        <v>1094</v>
      </c>
      <c r="C248" s="103" t="s">
        <v>1095</v>
      </c>
      <c r="D248" s="102" t="s">
        <v>1096</v>
      </c>
      <c r="E248" s="103" t="s">
        <v>452</v>
      </c>
      <c r="F248" s="102" t="s">
        <v>398</v>
      </c>
      <c r="G248" s="103" t="s">
        <v>20</v>
      </c>
      <c r="I248" s="103">
        <v>201504</v>
      </c>
      <c r="J248" s="104">
        <v>9.17</v>
      </c>
      <c r="K248" s="72">
        <f t="shared" si="19"/>
        <v>42675</v>
      </c>
      <c r="L248" s="67">
        <f t="shared" si="15"/>
        <v>6</v>
      </c>
      <c r="M248" s="105">
        <v>1.4833299999999999E-3</v>
      </c>
      <c r="N248" s="104">
        <f t="shared" si="16"/>
        <v>8.1612816599999999E-2</v>
      </c>
      <c r="O248" s="66"/>
      <c r="P248" s="71">
        <f t="shared" si="17"/>
        <v>0</v>
      </c>
      <c r="Q248" s="132"/>
      <c r="R248" s="71">
        <f t="shared" si="18"/>
        <v>0.14031437291666665</v>
      </c>
    </row>
    <row r="249" spans="1:18">
      <c r="A249" s="102" t="s">
        <v>626</v>
      </c>
      <c r="B249" s="103" t="s">
        <v>1148</v>
      </c>
      <c r="C249" s="103" t="s">
        <v>1149</v>
      </c>
      <c r="D249" s="102" t="s">
        <v>1150</v>
      </c>
      <c r="E249" s="103" t="s">
        <v>93</v>
      </c>
      <c r="F249" s="102" t="s">
        <v>88</v>
      </c>
      <c r="G249" s="103" t="s">
        <v>20</v>
      </c>
      <c r="I249" s="103">
        <v>201504</v>
      </c>
      <c r="J249" s="104">
        <v>-391.13</v>
      </c>
      <c r="K249" s="72">
        <f t="shared" si="19"/>
        <v>42675</v>
      </c>
      <c r="L249" s="67">
        <f t="shared" si="15"/>
        <v>6</v>
      </c>
      <c r="M249" s="105">
        <v>1.4833299999999999E-3</v>
      </c>
      <c r="N249" s="104">
        <f t="shared" si="16"/>
        <v>-3.4810491774000001</v>
      </c>
      <c r="O249" s="66"/>
      <c r="P249" s="71">
        <f t="shared" si="17"/>
        <v>0</v>
      </c>
      <c r="Q249" s="132"/>
      <c r="R249" s="71">
        <f t="shared" si="18"/>
        <v>-5.984859397916666</v>
      </c>
    </row>
    <row r="250" spans="1:18">
      <c r="A250" s="102" t="s">
        <v>626</v>
      </c>
      <c r="B250" s="103" t="s">
        <v>963</v>
      </c>
      <c r="C250" s="103" t="s">
        <v>964</v>
      </c>
      <c r="D250" s="102" t="s">
        <v>965</v>
      </c>
      <c r="E250" s="103" t="s">
        <v>164</v>
      </c>
      <c r="F250" s="102" t="s">
        <v>165</v>
      </c>
      <c r="G250" s="103" t="s">
        <v>20</v>
      </c>
      <c r="I250" s="103">
        <v>201504</v>
      </c>
      <c r="J250" s="104">
        <v>-109.11</v>
      </c>
      <c r="K250" s="72">
        <f t="shared" si="19"/>
        <v>42675</v>
      </c>
      <c r="L250" s="67">
        <f t="shared" si="15"/>
        <v>6</v>
      </c>
      <c r="M250" s="105">
        <v>1.4833299999999999E-3</v>
      </c>
      <c r="N250" s="104">
        <f t="shared" si="16"/>
        <v>-0.97107681779999999</v>
      </c>
      <c r="O250" s="66"/>
      <c r="P250" s="71">
        <f t="shared" si="17"/>
        <v>0</v>
      </c>
      <c r="Q250" s="132"/>
      <c r="R250" s="71">
        <f t="shared" si="18"/>
        <v>-1.6695421187499999</v>
      </c>
    </row>
    <row r="251" spans="1:18">
      <c r="A251" s="106" t="s">
        <v>626</v>
      </c>
      <c r="B251" s="103" t="s">
        <v>1206</v>
      </c>
      <c r="C251" s="103" t="s">
        <v>1207</v>
      </c>
      <c r="D251" s="102" t="s">
        <v>1208</v>
      </c>
      <c r="E251" s="103" t="s">
        <v>280</v>
      </c>
      <c r="F251" s="102" t="s">
        <v>26</v>
      </c>
      <c r="G251" s="103" t="s">
        <v>20</v>
      </c>
      <c r="I251" s="103">
        <v>201504</v>
      </c>
      <c r="J251" s="104">
        <v>-130.1</v>
      </c>
      <c r="K251" s="72">
        <f t="shared" si="19"/>
        <v>42675</v>
      </c>
      <c r="L251" s="67">
        <f t="shared" si="15"/>
        <v>6</v>
      </c>
      <c r="M251" s="105">
        <v>1.4833299999999999E-3</v>
      </c>
      <c r="N251" s="104">
        <f t="shared" si="16"/>
        <v>-1.157887398</v>
      </c>
      <c r="O251" s="66"/>
      <c r="P251" s="71">
        <f t="shared" si="17"/>
        <v>0</v>
      </c>
      <c r="Q251" s="132"/>
      <c r="R251" s="71">
        <f t="shared" si="18"/>
        <v>-1.9907197291666665</v>
      </c>
    </row>
    <row r="252" spans="1:18">
      <c r="A252" s="102" t="s">
        <v>626</v>
      </c>
      <c r="B252" s="103" t="s">
        <v>1044</v>
      </c>
      <c r="C252" s="103" t="s">
        <v>1045</v>
      </c>
      <c r="D252" s="102" t="s">
        <v>1046</v>
      </c>
      <c r="E252" s="103" t="s">
        <v>164</v>
      </c>
      <c r="F252" s="102" t="s">
        <v>165</v>
      </c>
      <c r="G252" s="103" t="s">
        <v>20</v>
      </c>
      <c r="I252" s="103">
        <v>201504</v>
      </c>
      <c r="J252" s="104">
        <v>-3225.36</v>
      </c>
      <c r="K252" s="72">
        <f t="shared" si="19"/>
        <v>42675</v>
      </c>
      <c r="L252" s="67">
        <f t="shared" si="15"/>
        <v>6</v>
      </c>
      <c r="M252" s="105">
        <v>1.4833299999999999E-3</v>
      </c>
      <c r="N252" s="104">
        <f t="shared" si="16"/>
        <v>-28.7056394928</v>
      </c>
      <c r="O252" s="66"/>
      <c r="P252" s="71">
        <f t="shared" si="17"/>
        <v>0</v>
      </c>
      <c r="Q252" s="132"/>
      <c r="R252" s="71">
        <f t="shared" si="18"/>
        <v>-49.352711649999996</v>
      </c>
    </row>
    <row r="253" spans="1:18">
      <c r="A253" s="102" t="s">
        <v>626</v>
      </c>
      <c r="B253" s="103" t="s">
        <v>969</v>
      </c>
      <c r="C253" s="103" t="s">
        <v>970</v>
      </c>
      <c r="D253" s="102" t="s">
        <v>971</v>
      </c>
      <c r="E253" s="103" t="s">
        <v>164</v>
      </c>
      <c r="F253" s="102" t="s">
        <v>165</v>
      </c>
      <c r="G253" s="103" t="s">
        <v>20</v>
      </c>
      <c r="I253" s="103">
        <v>201504</v>
      </c>
      <c r="J253" s="104">
        <v>-356.49</v>
      </c>
      <c r="K253" s="72">
        <f t="shared" si="19"/>
        <v>42675</v>
      </c>
      <c r="L253" s="67">
        <f t="shared" si="15"/>
        <v>6</v>
      </c>
      <c r="M253" s="105">
        <v>1.4833299999999999E-3</v>
      </c>
      <c r="N253" s="104">
        <f t="shared" si="16"/>
        <v>-3.1727538702000002</v>
      </c>
      <c r="O253" s="66"/>
      <c r="P253" s="71">
        <f t="shared" si="17"/>
        <v>0</v>
      </c>
      <c r="Q253" s="132"/>
      <c r="R253" s="71">
        <f t="shared" si="18"/>
        <v>-5.4548168812500002</v>
      </c>
    </row>
    <row r="254" spans="1:18">
      <c r="A254" s="106" t="s">
        <v>626</v>
      </c>
      <c r="B254" s="103" t="s">
        <v>975</v>
      </c>
      <c r="C254" s="103" t="s">
        <v>976</v>
      </c>
      <c r="D254" s="102" t="s">
        <v>977</v>
      </c>
      <c r="E254" s="103" t="s">
        <v>87</v>
      </c>
      <c r="F254" s="102" t="s">
        <v>88</v>
      </c>
      <c r="G254" s="103" t="s">
        <v>20</v>
      </c>
      <c r="I254" s="103">
        <v>201504</v>
      </c>
      <c r="J254" s="104">
        <v>-7.36</v>
      </c>
      <c r="K254" s="72">
        <f t="shared" si="19"/>
        <v>42675</v>
      </c>
      <c r="L254" s="67">
        <f t="shared" si="15"/>
        <v>6</v>
      </c>
      <c r="M254" s="105">
        <v>1.4833299999999999E-3</v>
      </c>
      <c r="N254" s="104">
        <f t="shared" si="16"/>
        <v>-6.5503852799999998E-2</v>
      </c>
      <c r="O254" s="66"/>
      <c r="P254" s="71">
        <f t="shared" si="17"/>
        <v>0</v>
      </c>
      <c r="Q254" s="132"/>
      <c r="R254" s="71">
        <f t="shared" si="18"/>
        <v>-0.11261873333333333</v>
      </c>
    </row>
    <row r="255" spans="1:18">
      <c r="A255" s="102" t="s">
        <v>626</v>
      </c>
      <c r="B255" s="103" t="s">
        <v>885</v>
      </c>
      <c r="C255" s="103" t="s">
        <v>886</v>
      </c>
      <c r="D255" s="102" t="s">
        <v>887</v>
      </c>
      <c r="E255" s="103" t="s">
        <v>93</v>
      </c>
      <c r="F255" s="102" t="s">
        <v>88</v>
      </c>
      <c r="G255" s="103" t="s">
        <v>20</v>
      </c>
      <c r="I255" s="103">
        <v>201504</v>
      </c>
      <c r="J255" s="104">
        <v>268.31</v>
      </c>
      <c r="K255" s="72">
        <f t="shared" si="19"/>
        <v>42675</v>
      </c>
      <c r="L255" s="67">
        <f t="shared" si="15"/>
        <v>6</v>
      </c>
      <c r="M255" s="105">
        <v>1.4833299999999999E-3</v>
      </c>
      <c r="N255" s="104">
        <f t="shared" si="16"/>
        <v>2.3879536338</v>
      </c>
      <c r="O255" s="66"/>
      <c r="P255" s="71">
        <f t="shared" si="17"/>
        <v>0</v>
      </c>
      <c r="Q255" s="132"/>
      <c r="R255" s="71">
        <f t="shared" si="18"/>
        <v>4.1055342854166668</v>
      </c>
    </row>
    <row r="256" spans="1:18">
      <c r="A256" s="102" t="s">
        <v>626</v>
      </c>
      <c r="B256" s="103" t="s">
        <v>1097</v>
      </c>
      <c r="C256" s="103" t="s">
        <v>1098</v>
      </c>
      <c r="D256" s="102" t="s">
        <v>1099</v>
      </c>
      <c r="E256" s="103" t="s">
        <v>452</v>
      </c>
      <c r="F256" s="102" t="s">
        <v>398</v>
      </c>
      <c r="G256" s="103" t="s">
        <v>20</v>
      </c>
      <c r="I256" s="103">
        <v>201504</v>
      </c>
      <c r="J256" s="104">
        <v>-146.54</v>
      </c>
      <c r="K256" s="72">
        <f t="shared" si="19"/>
        <v>42675</v>
      </c>
      <c r="L256" s="67">
        <f t="shared" si="15"/>
        <v>6</v>
      </c>
      <c r="M256" s="105">
        <v>1.4833299999999999E-3</v>
      </c>
      <c r="N256" s="104">
        <f t="shared" si="16"/>
        <v>-1.3042030692</v>
      </c>
      <c r="O256" s="66"/>
      <c r="P256" s="71">
        <f t="shared" si="17"/>
        <v>0</v>
      </c>
      <c r="Q256" s="132"/>
      <c r="R256" s="71">
        <f t="shared" si="18"/>
        <v>-2.2422757041666666</v>
      </c>
    </row>
    <row r="257" spans="1:18">
      <c r="A257" s="102" t="s">
        <v>626</v>
      </c>
      <c r="B257" s="103" t="s">
        <v>1100</v>
      </c>
      <c r="C257" s="103" t="s">
        <v>1101</v>
      </c>
      <c r="D257" s="102" t="s">
        <v>1102</v>
      </c>
      <c r="E257" s="103" t="s">
        <v>397</v>
      </c>
      <c r="F257" s="102" t="s">
        <v>398</v>
      </c>
      <c r="G257" s="103" t="s">
        <v>20</v>
      </c>
      <c r="I257" s="103">
        <v>201504</v>
      </c>
      <c r="J257" s="104">
        <v>-119.74</v>
      </c>
      <c r="K257" s="72">
        <f t="shared" si="19"/>
        <v>42675</v>
      </c>
      <c r="L257" s="67">
        <f t="shared" si="15"/>
        <v>6</v>
      </c>
      <c r="M257" s="105">
        <v>1.4833299999999999E-3</v>
      </c>
      <c r="N257" s="104">
        <f t="shared" si="16"/>
        <v>-1.0656836052000001</v>
      </c>
      <c r="O257" s="66"/>
      <c r="P257" s="71">
        <f t="shared" si="17"/>
        <v>0</v>
      </c>
      <c r="Q257" s="132"/>
      <c r="R257" s="71">
        <f t="shared" si="18"/>
        <v>-1.8321966208333329</v>
      </c>
    </row>
    <row r="258" spans="1:18">
      <c r="A258" s="102" t="s">
        <v>626</v>
      </c>
      <c r="B258" s="103" t="s">
        <v>912</v>
      </c>
      <c r="C258" s="103" t="s">
        <v>913</v>
      </c>
      <c r="D258" s="102" t="s">
        <v>914</v>
      </c>
      <c r="E258" s="103" t="s">
        <v>164</v>
      </c>
      <c r="F258" s="102" t="s">
        <v>165</v>
      </c>
      <c r="G258" s="103" t="s">
        <v>20</v>
      </c>
      <c r="I258" s="103">
        <v>201504</v>
      </c>
      <c r="J258" s="104">
        <v>-59</v>
      </c>
      <c r="K258" s="72">
        <f t="shared" si="19"/>
        <v>42675</v>
      </c>
      <c r="L258" s="67">
        <f t="shared" si="15"/>
        <v>6</v>
      </c>
      <c r="M258" s="105">
        <v>1.4833299999999999E-3</v>
      </c>
      <c r="N258" s="104">
        <f t="shared" si="16"/>
        <v>-0.52509881999999997</v>
      </c>
      <c r="O258" s="66"/>
      <c r="P258" s="71">
        <f t="shared" si="17"/>
        <v>0</v>
      </c>
      <c r="Q258" s="132"/>
      <c r="R258" s="71">
        <f t="shared" si="18"/>
        <v>-0.90278604166666654</v>
      </c>
    </row>
    <row r="259" spans="1:18">
      <c r="A259" s="102" t="s">
        <v>626</v>
      </c>
      <c r="B259" s="103" t="s">
        <v>919</v>
      </c>
      <c r="C259" s="103" t="s">
        <v>920</v>
      </c>
      <c r="D259" s="102" t="s">
        <v>921</v>
      </c>
      <c r="E259" s="103" t="s">
        <v>164</v>
      </c>
      <c r="F259" s="102" t="s">
        <v>165</v>
      </c>
      <c r="G259" s="103" t="s">
        <v>20</v>
      </c>
      <c r="I259" s="103">
        <v>201504</v>
      </c>
      <c r="J259" s="104">
        <v>-21.03</v>
      </c>
      <c r="K259" s="72">
        <f t="shared" si="19"/>
        <v>42675</v>
      </c>
      <c r="L259" s="67">
        <f t="shared" si="15"/>
        <v>6</v>
      </c>
      <c r="M259" s="105">
        <v>1.4833299999999999E-3</v>
      </c>
      <c r="N259" s="104">
        <f t="shared" si="16"/>
        <v>-0.1871665794</v>
      </c>
      <c r="O259" s="66"/>
      <c r="P259" s="71">
        <f t="shared" si="17"/>
        <v>0</v>
      </c>
      <c r="Q259" s="132"/>
      <c r="R259" s="71">
        <f t="shared" si="18"/>
        <v>-0.32178966874999998</v>
      </c>
    </row>
    <row r="260" spans="1:18">
      <c r="A260" s="106" t="s">
        <v>626</v>
      </c>
      <c r="B260" s="103" t="s">
        <v>1047</v>
      </c>
      <c r="C260" s="103" t="s">
        <v>1048</v>
      </c>
      <c r="D260" s="102" t="s">
        <v>1049</v>
      </c>
      <c r="E260" s="103" t="s">
        <v>164</v>
      </c>
      <c r="F260" s="102" t="s">
        <v>165</v>
      </c>
      <c r="G260" s="103" t="s">
        <v>20</v>
      </c>
      <c r="I260" s="103">
        <v>201504</v>
      </c>
      <c r="J260" s="104">
        <v>-1500.29</v>
      </c>
      <c r="K260" s="72">
        <f t="shared" si="19"/>
        <v>42675</v>
      </c>
      <c r="L260" s="67">
        <f t="shared" si="15"/>
        <v>6</v>
      </c>
      <c r="M260" s="105">
        <v>1.4833299999999999E-3</v>
      </c>
      <c r="N260" s="104">
        <f t="shared" si="16"/>
        <v>-13.3525509942</v>
      </c>
      <c r="O260" s="66"/>
      <c r="P260" s="71">
        <f t="shared" si="17"/>
        <v>0</v>
      </c>
      <c r="Q260" s="132"/>
      <c r="R260" s="71">
        <f t="shared" si="18"/>
        <v>-22.956624922916664</v>
      </c>
    </row>
    <row r="261" spans="1:18">
      <c r="A261" s="102" t="s">
        <v>626</v>
      </c>
      <c r="B261" s="103" t="s">
        <v>1103</v>
      </c>
      <c r="C261" s="103" t="s">
        <v>1104</v>
      </c>
      <c r="D261" s="102" t="s">
        <v>1105</v>
      </c>
      <c r="E261" s="103" t="s">
        <v>87</v>
      </c>
      <c r="F261" s="102" t="s">
        <v>88</v>
      </c>
      <c r="G261" s="103" t="s">
        <v>20</v>
      </c>
      <c r="I261" s="103">
        <v>201504</v>
      </c>
      <c r="J261" s="104">
        <v>-647.12</v>
      </c>
      <c r="K261" s="72">
        <f t="shared" si="19"/>
        <v>42675</v>
      </c>
      <c r="L261" s="67">
        <f t="shared" ref="L261:L324" si="20">((YEAR($L$1)-YEAR(K261))*12+MONTH($L$1)-MONTH(K261))</f>
        <v>6</v>
      </c>
      <c r="M261" s="105">
        <v>1.4833299999999999E-3</v>
      </c>
      <c r="N261" s="104">
        <f t="shared" ref="N261:N324" si="21">M261*L261*J261</f>
        <v>-5.7593550575999997</v>
      </c>
      <c r="O261" s="66"/>
      <c r="P261" s="71">
        <f t="shared" si="17"/>
        <v>0</v>
      </c>
      <c r="Q261" s="132"/>
      <c r="R261" s="71">
        <f t="shared" si="18"/>
        <v>-9.9018797166666666</v>
      </c>
    </row>
    <row r="262" spans="1:18">
      <c r="A262" s="102" t="s">
        <v>626</v>
      </c>
      <c r="B262" s="103" t="s">
        <v>1106</v>
      </c>
      <c r="C262" s="103" t="s">
        <v>1107</v>
      </c>
      <c r="D262" s="102" t="s">
        <v>1108</v>
      </c>
      <c r="E262" s="103" t="s">
        <v>18</v>
      </c>
      <c r="F262" s="102" t="s">
        <v>19</v>
      </c>
      <c r="G262" s="103" t="s">
        <v>20</v>
      </c>
      <c r="I262" s="103">
        <v>201504</v>
      </c>
      <c r="J262" s="104">
        <v>-586.47</v>
      </c>
      <c r="K262" s="72">
        <f t="shared" si="19"/>
        <v>42675</v>
      </c>
      <c r="L262" s="67">
        <f t="shared" si="20"/>
        <v>6</v>
      </c>
      <c r="M262" s="105">
        <v>1.4833299999999999E-3</v>
      </c>
      <c r="N262" s="104">
        <f t="shared" si="21"/>
        <v>-5.2195712706000004</v>
      </c>
      <c r="O262" s="66"/>
      <c r="P262" s="71">
        <f t="shared" ref="P262:P325" si="22">($P$4*0.5*J262*$T$12)</f>
        <v>0</v>
      </c>
      <c r="Q262" s="132"/>
      <c r="R262" s="71">
        <f t="shared" ref="R262:R325" si="23">($R$4*0.5*J262*$T$12)</f>
        <v>-8.97384626875</v>
      </c>
    </row>
    <row r="263" spans="1:18">
      <c r="A263" s="102" t="s">
        <v>626</v>
      </c>
      <c r="B263" s="103" t="s">
        <v>1109</v>
      </c>
      <c r="C263" s="103" t="s">
        <v>1110</v>
      </c>
      <c r="D263" s="102" t="s">
        <v>1111</v>
      </c>
      <c r="E263" s="103" t="s">
        <v>260</v>
      </c>
      <c r="F263" s="102" t="s">
        <v>26</v>
      </c>
      <c r="G263" s="103" t="s">
        <v>20</v>
      </c>
      <c r="I263" s="103">
        <v>201504</v>
      </c>
      <c r="J263" s="104">
        <v>-546.62</v>
      </c>
      <c r="K263" s="72">
        <f t="shared" ref="K263:K326" si="24">+K262</f>
        <v>42675</v>
      </c>
      <c r="L263" s="67">
        <f t="shared" si="20"/>
        <v>6</v>
      </c>
      <c r="M263" s="105">
        <v>1.4833299999999999E-3</v>
      </c>
      <c r="N263" s="104">
        <f t="shared" si="21"/>
        <v>-4.8649070675999999</v>
      </c>
      <c r="O263" s="66"/>
      <c r="P263" s="71">
        <f t="shared" si="22"/>
        <v>0</v>
      </c>
      <c r="Q263" s="132"/>
      <c r="R263" s="71">
        <f t="shared" si="23"/>
        <v>-8.364083154166666</v>
      </c>
    </row>
    <row r="264" spans="1:18">
      <c r="A264" s="102" t="s">
        <v>626</v>
      </c>
      <c r="B264" s="103" t="s">
        <v>1050</v>
      </c>
      <c r="C264" s="103" t="s">
        <v>1051</v>
      </c>
      <c r="D264" s="102" t="s">
        <v>1052</v>
      </c>
      <c r="E264" s="103" t="s">
        <v>164</v>
      </c>
      <c r="F264" s="102" t="s">
        <v>165</v>
      </c>
      <c r="G264" s="103" t="s">
        <v>20</v>
      </c>
      <c r="I264" s="103">
        <v>201504</v>
      </c>
      <c r="J264" s="104">
        <v>-807.43</v>
      </c>
      <c r="K264" s="72">
        <f t="shared" si="24"/>
        <v>42675</v>
      </c>
      <c r="L264" s="67">
        <f t="shared" si="20"/>
        <v>6</v>
      </c>
      <c r="M264" s="105">
        <v>1.4833299999999999E-3</v>
      </c>
      <c r="N264" s="104">
        <f t="shared" si="21"/>
        <v>-7.1861108513999996</v>
      </c>
      <c r="O264" s="66"/>
      <c r="P264" s="71">
        <f t="shared" si="22"/>
        <v>0</v>
      </c>
      <c r="Q264" s="132"/>
      <c r="R264" s="71">
        <f t="shared" si="23"/>
        <v>-12.354856502083331</v>
      </c>
    </row>
    <row r="265" spans="1:18">
      <c r="A265" s="102" t="s">
        <v>626</v>
      </c>
      <c r="B265" s="103" t="s">
        <v>1209</v>
      </c>
      <c r="C265" s="103" t="s">
        <v>1210</v>
      </c>
      <c r="D265" s="102" t="s">
        <v>1211</v>
      </c>
      <c r="E265" s="103" t="s">
        <v>79</v>
      </c>
      <c r="F265" s="102" t="s">
        <v>26</v>
      </c>
      <c r="G265" s="103" t="s">
        <v>20</v>
      </c>
      <c r="I265" s="103">
        <v>201504</v>
      </c>
      <c r="J265" s="104">
        <v>1726.4</v>
      </c>
      <c r="K265" s="72">
        <f t="shared" si="24"/>
        <v>42675</v>
      </c>
      <c r="L265" s="67">
        <f t="shared" si="20"/>
        <v>6</v>
      </c>
      <c r="M265" s="105">
        <v>1.4833299999999999E-3</v>
      </c>
      <c r="N265" s="104">
        <f t="shared" si="21"/>
        <v>15.364925472000001</v>
      </c>
      <c r="O265" s="66"/>
      <c r="P265" s="71">
        <f t="shared" si="22"/>
        <v>0</v>
      </c>
      <c r="Q265" s="132"/>
      <c r="R265" s="71">
        <f t="shared" si="23"/>
        <v>26.416437666666663</v>
      </c>
    </row>
    <row r="266" spans="1:18">
      <c r="A266" s="102" t="s">
        <v>626</v>
      </c>
      <c r="B266" s="103" t="s">
        <v>981</v>
      </c>
      <c r="C266" s="103" t="s">
        <v>982</v>
      </c>
      <c r="D266" s="102" t="s">
        <v>983</v>
      </c>
      <c r="E266" s="103" t="s">
        <v>531</v>
      </c>
      <c r="F266" s="102" t="s">
        <v>26</v>
      </c>
      <c r="G266" s="103" t="s">
        <v>20</v>
      </c>
      <c r="I266" s="103">
        <v>201504</v>
      </c>
      <c r="J266" s="104">
        <v>-1256.1500000000001</v>
      </c>
      <c r="K266" s="72">
        <f t="shared" si="24"/>
        <v>42675</v>
      </c>
      <c r="L266" s="67">
        <f t="shared" si="20"/>
        <v>6</v>
      </c>
      <c r="M266" s="105">
        <v>1.4833299999999999E-3</v>
      </c>
      <c r="N266" s="104">
        <f t="shared" si="21"/>
        <v>-11.179709877000001</v>
      </c>
      <c r="O266" s="66"/>
      <c r="P266" s="71">
        <f t="shared" si="22"/>
        <v>0</v>
      </c>
      <c r="Q266" s="132"/>
      <c r="R266" s="71">
        <f t="shared" si="23"/>
        <v>-19.220926885416667</v>
      </c>
    </row>
    <row r="267" spans="1:18">
      <c r="A267" s="102" t="s">
        <v>626</v>
      </c>
      <c r="B267" s="103" t="s">
        <v>1292</v>
      </c>
      <c r="C267" s="103" t="s">
        <v>1293</v>
      </c>
      <c r="D267" s="102" t="s">
        <v>1294</v>
      </c>
      <c r="E267" s="103" t="s">
        <v>93</v>
      </c>
      <c r="F267" s="102" t="s">
        <v>88</v>
      </c>
      <c r="G267" s="103" t="s">
        <v>20</v>
      </c>
      <c r="I267" s="103">
        <v>201504</v>
      </c>
      <c r="J267" s="104">
        <v>-696.35</v>
      </c>
      <c r="K267" s="72">
        <f t="shared" si="24"/>
        <v>42675</v>
      </c>
      <c r="L267" s="67">
        <f t="shared" si="20"/>
        <v>6</v>
      </c>
      <c r="M267" s="105">
        <v>1.4833299999999999E-3</v>
      </c>
      <c r="N267" s="104">
        <f t="shared" si="21"/>
        <v>-6.1975010730000006</v>
      </c>
      <c r="O267" s="66"/>
      <c r="P267" s="71">
        <f t="shared" si="22"/>
        <v>0</v>
      </c>
      <c r="Q267" s="132"/>
      <c r="R267" s="71">
        <f t="shared" si="23"/>
        <v>-10.655170510416665</v>
      </c>
    </row>
    <row r="268" spans="1:18">
      <c r="A268" s="102" t="s">
        <v>626</v>
      </c>
      <c r="B268" s="103" t="s">
        <v>1053</v>
      </c>
      <c r="C268" s="103" t="s">
        <v>1054</v>
      </c>
      <c r="D268" s="102" t="s">
        <v>1055</v>
      </c>
      <c r="E268" s="103" t="s">
        <v>160</v>
      </c>
      <c r="F268" s="102" t="s">
        <v>19</v>
      </c>
      <c r="G268" s="103" t="s">
        <v>20</v>
      </c>
      <c r="I268" s="103">
        <v>201504</v>
      </c>
      <c r="J268" s="104">
        <v>-33.14</v>
      </c>
      <c r="K268" s="72">
        <f t="shared" si="24"/>
        <v>42675</v>
      </c>
      <c r="L268" s="67">
        <f t="shared" si="20"/>
        <v>6</v>
      </c>
      <c r="M268" s="105">
        <v>1.4833299999999999E-3</v>
      </c>
      <c r="N268" s="104">
        <f t="shared" si="21"/>
        <v>-0.29494533719999999</v>
      </c>
      <c r="O268" s="66"/>
      <c r="P268" s="71">
        <f t="shared" si="22"/>
        <v>0</v>
      </c>
      <c r="Q268" s="132"/>
      <c r="R268" s="71">
        <f t="shared" si="23"/>
        <v>-0.50709032916666663</v>
      </c>
    </row>
    <row r="269" spans="1:18">
      <c r="A269" s="102" t="s">
        <v>626</v>
      </c>
      <c r="B269" s="103" t="s">
        <v>1056</v>
      </c>
      <c r="C269" s="103" t="s">
        <v>1057</v>
      </c>
      <c r="D269" s="102" t="s">
        <v>1058</v>
      </c>
      <c r="E269" s="103" t="s">
        <v>1059</v>
      </c>
      <c r="F269" s="102" t="s">
        <v>26</v>
      </c>
      <c r="G269" s="103" t="s">
        <v>20</v>
      </c>
      <c r="I269" s="103">
        <v>201504</v>
      </c>
      <c r="J269" s="104">
        <v>-440.44</v>
      </c>
      <c r="K269" s="72">
        <f t="shared" si="24"/>
        <v>42675</v>
      </c>
      <c r="L269" s="67">
        <f t="shared" si="20"/>
        <v>6</v>
      </c>
      <c r="M269" s="105">
        <v>1.4833299999999999E-3</v>
      </c>
      <c r="N269" s="104">
        <f t="shared" si="21"/>
        <v>-3.9199071912000001</v>
      </c>
      <c r="O269" s="66"/>
      <c r="P269" s="71">
        <f t="shared" si="22"/>
        <v>0</v>
      </c>
      <c r="Q269" s="132"/>
      <c r="R269" s="71">
        <f t="shared" si="23"/>
        <v>-6.7393743083333328</v>
      </c>
    </row>
    <row r="270" spans="1:18">
      <c r="A270" s="102" t="s">
        <v>626</v>
      </c>
      <c r="B270" s="103" t="s">
        <v>1163</v>
      </c>
      <c r="C270" s="103" t="s">
        <v>1164</v>
      </c>
      <c r="D270" s="102" t="s">
        <v>1165</v>
      </c>
      <c r="E270" s="103" t="s">
        <v>75</v>
      </c>
      <c r="F270" s="102" t="s">
        <v>26</v>
      </c>
      <c r="G270" s="103" t="s">
        <v>20</v>
      </c>
      <c r="I270" s="103">
        <v>201504</v>
      </c>
      <c r="J270" s="104">
        <v>-467.5</v>
      </c>
      <c r="K270" s="72">
        <f t="shared" si="24"/>
        <v>42675</v>
      </c>
      <c r="L270" s="67">
        <f t="shared" si="20"/>
        <v>6</v>
      </c>
      <c r="M270" s="105">
        <v>1.4833299999999999E-3</v>
      </c>
      <c r="N270" s="104">
        <f t="shared" si="21"/>
        <v>-4.1607406500000002</v>
      </c>
      <c r="O270" s="66"/>
      <c r="P270" s="71">
        <f t="shared" si="22"/>
        <v>0</v>
      </c>
      <c r="Q270" s="132"/>
      <c r="R270" s="71">
        <f t="shared" si="23"/>
        <v>-7.1534317708333326</v>
      </c>
    </row>
    <row r="271" spans="1:18">
      <c r="A271" s="102" t="s">
        <v>626</v>
      </c>
      <c r="B271" s="103" t="s">
        <v>1166</v>
      </c>
      <c r="C271" s="103" t="s">
        <v>1167</v>
      </c>
      <c r="D271" s="102" t="s">
        <v>1168</v>
      </c>
      <c r="E271" s="103" t="s">
        <v>75</v>
      </c>
      <c r="F271" s="102" t="s">
        <v>26</v>
      </c>
      <c r="G271" s="103" t="s">
        <v>20</v>
      </c>
      <c r="I271" s="103">
        <v>201504</v>
      </c>
      <c r="J271" s="104">
        <v>-76.7</v>
      </c>
      <c r="K271" s="72">
        <f t="shared" si="24"/>
        <v>42675</v>
      </c>
      <c r="L271" s="67">
        <f t="shared" si="20"/>
        <v>6</v>
      </c>
      <c r="M271" s="105">
        <v>1.4833299999999999E-3</v>
      </c>
      <c r="N271" s="104">
        <f t="shared" si="21"/>
        <v>-0.68262846600000004</v>
      </c>
      <c r="O271" s="66"/>
      <c r="P271" s="71">
        <f t="shared" si="22"/>
        <v>0</v>
      </c>
      <c r="Q271" s="132"/>
      <c r="R271" s="71">
        <f t="shared" si="23"/>
        <v>-1.1736218541666668</v>
      </c>
    </row>
    <row r="272" spans="1:18">
      <c r="A272" s="102" t="s">
        <v>626</v>
      </c>
      <c r="B272" s="103" t="s">
        <v>1169</v>
      </c>
      <c r="C272" s="103" t="s">
        <v>1170</v>
      </c>
      <c r="D272" s="102" t="s">
        <v>1171</v>
      </c>
      <c r="E272" s="103" t="s">
        <v>164</v>
      </c>
      <c r="F272" s="102" t="s">
        <v>165</v>
      </c>
      <c r="G272" s="103" t="s">
        <v>20</v>
      </c>
      <c r="I272" s="103">
        <v>201504</v>
      </c>
      <c r="J272" s="104">
        <v>-1772.9</v>
      </c>
      <c r="K272" s="72">
        <f t="shared" si="24"/>
        <v>42675</v>
      </c>
      <c r="L272" s="67">
        <f t="shared" si="20"/>
        <v>6</v>
      </c>
      <c r="M272" s="105">
        <v>1.4833299999999999E-3</v>
      </c>
      <c r="N272" s="104">
        <f t="shared" si="21"/>
        <v>-15.778774542000001</v>
      </c>
      <c r="O272" s="66"/>
      <c r="P272" s="71">
        <f t="shared" si="22"/>
        <v>0</v>
      </c>
      <c r="Q272" s="132"/>
      <c r="R272" s="71">
        <f t="shared" si="23"/>
        <v>-27.127955479166665</v>
      </c>
    </row>
    <row r="273" spans="1:18">
      <c r="A273" s="102" t="s">
        <v>626</v>
      </c>
      <c r="B273" s="103" t="s">
        <v>1172</v>
      </c>
      <c r="C273" s="103" t="s">
        <v>1173</v>
      </c>
      <c r="D273" s="102" t="s">
        <v>1174</v>
      </c>
      <c r="E273" s="103" t="s">
        <v>156</v>
      </c>
      <c r="F273" s="102" t="s">
        <v>26</v>
      </c>
      <c r="G273" s="103" t="s">
        <v>20</v>
      </c>
      <c r="I273" s="103">
        <v>201504</v>
      </c>
      <c r="J273" s="104">
        <v>-925.59</v>
      </c>
      <c r="K273" s="72">
        <f t="shared" si="24"/>
        <v>42675</v>
      </c>
      <c r="L273" s="67">
        <f t="shared" si="20"/>
        <v>6</v>
      </c>
      <c r="M273" s="105">
        <v>1.4833299999999999E-3</v>
      </c>
      <c r="N273" s="104">
        <f t="shared" si="21"/>
        <v>-8.2377324882000007</v>
      </c>
      <c r="O273" s="66"/>
      <c r="P273" s="71">
        <f t="shared" si="22"/>
        <v>0</v>
      </c>
      <c r="Q273" s="132"/>
      <c r="R273" s="71">
        <f t="shared" si="23"/>
        <v>-14.16287681875</v>
      </c>
    </row>
    <row r="274" spans="1:18">
      <c r="A274" s="102" t="s">
        <v>626</v>
      </c>
      <c r="B274" s="103" t="s">
        <v>1318</v>
      </c>
      <c r="C274" s="103" t="s">
        <v>1319</v>
      </c>
      <c r="D274" s="102" t="s">
        <v>1320</v>
      </c>
      <c r="E274" s="103" t="s">
        <v>1059</v>
      </c>
      <c r="F274" s="102" t="s">
        <v>26</v>
      </c>
      <c r="G274" s="103" t="s">
        <v>20</v>
      </c>
      <c r="I274" s="103">
        <v>201504</v>
      </c>
      <c r="J274" s="104">
        <v>-7760.32</v>
      </c>
      <c r="K274" s="72">
        <f t="shared" si="24"/>
        <v>42675</v>
      </c>
      <c r="L274" s="67">
        <f t="shared" si="20"/>
        <v>6</v>
      </c>
      <c r="M274" s="105">
        <v>1.4833299999999999E-3</v>
      </c>
      <c r="N274" s="104">
        <f t="shared" si="21"/>
        <v>-69.066692793599998</v>
      </c>
      <c r="O274" s="66"/>
      <c r="P274" s="71">
        <f t="shared" si="22"/>
        <v>0</v>
      </c>
      <c r="Q274" s="132"/>
      <c r="R274" s="71">
        <f t="shared" si="23"/>
        <v>-118.74421313333332</v>
      </c>
    </row>
    <row r="275" spans="1:18">
      <c r="A275" s="102" t="s">
        <v>626</v>
      </c>
      <c r="B275" s="103" t="s">
        <v>1212</v>
      </c>
      <c r="C275" s="103" t="s">
        <v>1213</v>
      </c>
      <c r="D275" s="102" t="s">
        <v>1214</v>
      </c>
      <c r="E275" s="103" t="s">
        <v>260</v>
      </c>
      <c r="F275" s="102" t="s">
        <v>26</v>
      </c>
      <c r="G275" s="103" t="s">
        <v>20</v>
      </c>
      <c r="I275" s="103">
        <v>201504</v>
      </c>
      <c r="J275" s="104">
        <v>-767.09</v>
      </c>
      <c r="K275" s="72">
        <f t="shared" si="24"/>
        <v>42675</v>
      </c>
      <c r="L275" s="67">
        <f t="shared" si="20"/>
        <v>6</v>
      </c>
      <c r="M275" s="105">
        <v>1.4833299999999999E-3</v>
      </c>
      <c r="N275" s="104">
        <f t="shared" si="21"/>
        <v>-6.8270856582000006</v>
      </c>
      <c r="O275" s="66"/>
      <c r="P275" s="71">
        <f t="shared" si="22"/>
        <v>0</v>
      </c>
      <c r="Q275" s="132"/>
      <c r="R275" s="71">
        <f t="shared" si="23"/>
        <v>-11.737595672916667</v>
      </c>
    </row>
    <row r="276" spans="1:18">
      <c r="A276" s="102" t="s">
        <v>626</v>
      </c>
      <c r="B276" s="103" t="s">
        <v>1175</v>
      </c>
      <c r="C276" s="103" t="s">
        <v>1176</v>
      </c>
      <c r="D276" s="102" t="s">
        <v>1177</v>
      </c>
      <c r="E276" s="103" t="s">
        <v>1059</v>
      </c>
      <c r="F276" s="102" t="s">
        <v>26</v>
      </c>
      <c r="G276" s="103" t="s">
        <v>20</v>
      </c>
      <c r="I276" s="103">
        <v>201504</v>
      </c>
      <c r="J276" s="104">
        <v>-322.27999999999997</v>
      </c>
      <c r="K276" s="72">
        <f t="shared" si="24"/>
        <v>42675</v>
      </c>
      <c r="L276" s="67">
        <f t="shared" si="20"/>
        <v>6</v>
      </c>
      <c r="M276" s="105">
        <v>1.4833299999999999E-3</v>
      </c>
      <c r="N276" s="104">
        <f t="shared" si="21"/>
        <v>-2.8682855543999999</v>
      </c>
      <c r="O276" s="66"/>
      <c r="P276" s="71">
        <f t="shared" si="22"/>
        <v>0</v>
      </c>
      <c r="Q276" s="132"/>
      <c r="R276" s="71">
        <f t="shared" si="23"/>
        <v>-4.9313539916666658</v>
      </c>
    </row>
    <row r="277" spans="1:18">
      <c r="A277" s="102" t="s">
        <v>626</v>
      </c>
      <c r="B277" s="103" t="s">
        <v>1178</v>
      </c>
      <c r="C277" s="103" t="s">
        <v>1179</v>
      </c>
      <c r="D277" s="102" t="s">
        <v>1180</v>
      </c>
      <c r="E277" s="103" t="s">
        <v>260</v>
      </c>
      <c r="F277" s="102" t="s">
        <v>26</v>
      </c>
      <c r="G277" s="103" t="s">
        <v>20</v>
      </c>
      <c r="I277" s="103">
        <v>201504</v>
      </c>
      <c r="J277" s="104">
        <v>-221.98</v>
      </c>
      <c r="K277" s="72">
        <f t="shared" si="24"/>
        <v>42675</v>
      </c>
      <c r="L277" s="67">
        <f t="shared" si="20"/>
        <v>6</v>
      </c>
      <c r="M277" s="105">
        <v>1.4833299999999999E-3</v>
      </c>
      <c r="N277" s="104">
        <f t="shared" si="21"/>
        <v>-1.9756175603999999</v>
      </c>
      <c r="O277" s="66"/>
      <c r="P277" s="71">
        <f t="shared" si="22"/>
        <v>0</v>
      </c>
      <c r="Q277" s="132"/>
      <c r="R277" s="71">
        <f t="shared" si="23"/>
        <v>-3.396617720833333</v>
      </c>
    </row>
    <row r="278" spans="1:18">
      <c r="A278" s="102" t="s">
        <v>626</v>
      </c>
      <c r="B278" s="103" t="s">
        <v>1268</v>
      </c>
      <c r="C278" s="103" t="s">
        <v>1269</v>
      </c>
      <c r="D278" s="102" t="s">
        <v>1270</v>
      </c>
      <c r="E278" s="103" t="s">
        <v>260</v>
      </c>
      <c r="F278" s="102" t="s">
        <v>26</v>
      </c>
      <c r="G278" s="103" t="s">
        <v>20</v>
      </c>
      <c r="I278" s="103">
        <v>201504</v>
      </c>
      <c r="J278" s="104">
        <v>-913.39</v>
      </c>
      <c r="K278" s="72">
        <f t="shared" si="24"/>
        <v>42675</v>
      </c>
      <c r="L278" s="67">
        <f t="shared" si="20"/>
        <v>6</v>
      </c>
      <c r="M278" s="105">
        <v>1.4833299999999999E-3</v>
      </c>
      <c r="N278" s="104">
        <f t="shared" si="21"/>
        <v>-8.1291527321999997</v>
      </c>
      <c r="O278" s="66"/>
      <c r="P278" s="71">
        <f t="shared" si="22"/>
        <v>0</v>
      </c>
      <c r="Q278" s="132"/>
      <c r="R278" s="71">
        <f t="shared" si="23"/>
        <v>-13.976199027083331</v>
      </c>
    </row>
    <row r="279" spans="1:18">
      <c r="A279" s="102" t="s">
        <v>626</v>
      </c>
      <c r="B279" s="103" t="s">
        <v>1215</v>
      </c>
      <c r="C279" s="103" t="s">
        <v>1216</v>
      </c>
      <c r="D279" s="102" t="s">
        <v>1217</v>
      </c>
      <c r="E279" s="103" t="s">
        <v>102</v>
      </c>
      <c r="F279" s="102" t="s">
        <v>19</v>
      </c>
      <c r="G279" s="103" t="s">
        <v>20</v>
      </c>
      <c r="I279" s="103">
        <v>201504</v>
      </c>
      <c r="J279" s="104">
        <v>-150.41999999999999</v>
      </c>
      <c r="K279" s="72">
        <f t="shared" si="24"/>
        <v>42675</v>
      </c>
      <c r="L279" s="67">
        <f t="shared" si="20"/>
        <v>6</v>
      </c>
      <c r="M279" s="105">
        <v>1.4833299999999999E-3</v>
      </c>
      <c r="N279" s="104">
        <f t="shared" si="21"/>
        <v>-1.3387349916</v>
      </c>
      <c r="O279" s="66"/>
      <c r="P279" s="71">
        <f t="shared" si="22"/>
        <v>0</v>
      </c>
      <c r="Q279" s="132"/>
      <c r="R279" s="71">
        <f t="shared" si="23"/>
        <v>-2.3016453624999995</v>
      </c>
    </row>
    <row r="280" spans="1:18">
      <c r="A280" s="102" t="s">
        <v>626</v>
      </c>
      <c r="B280" s="103" t="s">
        <v>1321</v>
      </c>
      <c r="C280" s="103" t="s">
        <v>1322</v>
      </c>
      <c r="D280" s="102" t="s">
        <v>1323</v>
      </c>
      <c r="E280" s="103" t="s">
        <v>613</v>
      </c>
      <c r="F280" s="102" t="s">
        <v>398</v>
      </c>
      <c r="G280" s="103" t="s">
        <v>20</v>
      </c>
      <c r="I280" s="103">
        <v>201504</v>
      </c>
      <c r="J280" s="104">
        <v>124.84</v>
      </c>
      <c r="K280" s="72">
        <f t="shared" si="24"/>
        <v>42675</v>
      </c>
      <c r="L280" s="67">
        <f t="shared" si="20"/>
        <v>6</v>
      </c>
      <c r="M280" s="105">
        <v>1.4833299999999999E-3</v>
      </c>
      <c r="N280" s="104">
        <f t="shared" si="21"/>
        <v>1.1110735032000001</v>
      </c>
      <c r="O280" s="66"/>
      <c r="P280" s="71">
        <f t="shared" si="22"/>
        <v>0</v>
      </c>
      <c r="Q280" s="132"/>
      <c r="R280" s="71">
        <f t="shared" si="23"/>
        <v>1.9102340583333333</v>
      </c>
    </row>
    <row r="281" spans="1:18">
      <c r="A281" s="102" t="s">
        <v>626</v>
      </c>
      <c r="B281" s="103" t="s">
        <v>1236</v>
      </c>
      <c r="C281" s="103" t="s">
        <v>1237</v>
      </c>
      <c r="D281" s="102" t="s">
        <v>1238</v>
      </c>
      <c r="E281" s="103" t="s">
        <v>93</v>
      </c>
      <c r="F281" s="102" t="s">
        <v>88</v>
      </c>
      <c r="G281" s="103" t="s">
        <v>20</v>
      </c>
      <c r="I281" s="103">
        <v>201504</v>
      </c>
      <c r="J281" s="104">
        <v>-231.38</v>
      </c>
      <c r="K281" s="72">
        <f t="shared" si="24"/>
        <v>42675</v>
      </c>
      <c r="L281" s="67">
        <f t="shared" si="20"/>
        <v>6</v>
      </c>
      <c r="M281" s="105">
        <v>1.4833299999999999E-3</v>
      </c>
      <c r="N281" s="104">
        <f t="shared" si="21"/>
        <v>-2.0592773724</v>
      </c>
      <c r="O281" s="66"/>
      <c r="P281" s="71">
        <f t="shared" si="22"/>
        <v>0</v>
      </c>
      <c r="Q281" s="132"/>
      <c r="R281" s="71">
        <f t="shared" si="23"/>
        <v>-3.5404514291666662</v>
      </c>
    </row>
    <row r="282" spans="1:18">
      <c r="A282" s="102" t="s">
        <v>626</v>
      </c>
      <c r="B282" s="103" t="s">
        <v>1271</v>
      </c>
      <c r="C282" s="103" t="s">
        <v>1272</v>
      </c>
      <c r="D282" s="102" t="s">
        <v>1273</v>
      </c>
      <c r="E282" s="103" t="s">
        <v>75</v>
      </c>
      <c r="F282" s="102" t="s">
        <v>26</v>
      </c>
      <c r="G282" s="103" t="s">
        <v>20</v>
      </c>
      <c r="I282" s="103">
        <v>201504</v>
      </c>
      <c r="J282" s="104">
        <v>13045.55</v>
      </c>
      <c r="K282" s="72">
        <f t="shared" si="24"/>
        <v>42675</v>
      </c>
      <c r="L282" s="67">
        <f t="shared" si="20"/>
        <v>6</v>
      </c>
      <c r="M282" s="105">
        <v>1.4833299999999999E-3</v>
      </c>
      <c r="N282" s="104">
        <f t="shared" si="21"/>
        <v>116.10513408899999</v>
      </c>
      <c r="O282" s="66"/>
      <c r="P282" s="71">
        <f t="shared" si="22"/>
        <v>0</v>
      </c>
      <c r="Q282" s="132"/>
      <c r="R282" s="71">
        <f t="shared" si="23"/>
        <v>199.61593976041664</v>
      </c>
    </row>
    <row r="283" spans="1:18">
      <c r="A283" s="102" t="s">
        <v>626</v>
      </c>
      <c r="B283" s="103" t="s">
        <v>1218</v>
      </c>
      <c r="C283" s="103" t="s">
        <v>1219</v>
      </c>
      <c r="D283" s="102" t="s">
        <v>1220</v>
      </c>
      <c r="E283" s="103" t="s">
        <v>809</v>
      </c>
      <c r="F283" s="102" t="s">
        <v>26</v>
      </c>
      <c r="G283" s="103" t="s">
        <v>20</v>
      </c>
      <c r="I283" s="103">
        <v>201504</v>
      </c>
      <c r="J283" s="104">
        <v>-448.81</v>
      </c>
      <c r="K283" s="72">
        <f t="shared" si="24"/>
        <v>42675</v>
      </c>
      <c r="L283" s="67">
        <f t="shared" si="20"/>
        <v>6</v>
      </c>
      <c r="M283" s="105">
        <v>1.4833299999999999E-3</v>
      </c>
      <c r="N283" s="104">
        <f t="shared" si="21"/>
        <v>-3.9944000237999999</v>
      </c>
      <c r="O283" s="66"/>
      <c r="P283" s="71">
        <f t="shared" si="22"/>
        <v>0</v>
      </c>
      <c r="Q283" s="132"/>
      <c r="R283" s="71">
        <f t="shared" si="23"/>
        <v>-6.8674475145833327</v>
      </c>
    </row>
    <row r="284" spans="1:18">
      <c r="A284" s="102" t="s">
        <v>626</v>
      </c>
      <c r="B284" s="103" t="s">
        <v>1324</v>
      </c>
      <c r="C284" s="103" t="s">
        <v>1325</v>
      </c>
      <c r="D284" s="102" t="s">
        <v>1326</v>
      </c>
      <c r="E284" s="103" t="s">
        <v>142</v>
      </c>
      <c r="F284" s="102" t="s">
        <v>143</v>
      </c>
      <c r="G284" s="103" t="s">
        <v>20</v>
      </c>
      <c r="I284" s="103">
        <v>201504</v>
      </c>
      <c r="J284" s="104">
        <v>-1289.52</v>
      </c>
      <c r="K284" s="72">
        <f t="shared" si="24"/>
        <v>42675</v>
      </c>
      <c r="L284" s="67">
        <f t="shared" si="20"/>
        <v>6</v>
      </c>
      <c r="M284" s="105">
        <v>1.4833299999999999E-3</v>
      </c>
      <c r="N284" s="104">
        <f t="shared" si="21"/>
        <v>-11.476702209599999</v>
      </c>
      <c r="O284" s="66"/>
      <c r="P284" s="71">
        <f t="shared" si="22"/>
        <v>0</v>
      </c>
      <c r="Q284" s="132"/>
      <c r="R284" s="71">
        <f t="shared" si="23"/>
        <v>-19.731536549999998</v>
      </c>
    </row>
    <row r="285" spans="1:18">
      <c r="A285" s="102" t="s">
        <v>626</v>
      </c>
      <c r="B285" s="103" t="s">
        <v>1274</v>
      </c>
      <c r="C285" s="103" t="s">
        <v>1275</v>
      </c>
      <c r="D285" s="102" t="s">
        <v>1276</v>
      </c>
      <c r="E285" s="103" t="s">
        <v>164</v>
      </c>
      <c r="F285" s="102" t="s">
        <v>165</v>
      </c>
      <c r="G285" s="103" t="s">
        <v>20</v>
      </c>
      <c r="I285" s="103">
        <v>201504</v>
      </c>
      <c r="J285" s="104">
        <v>18376.02</v>
      </c>
      <c r="K285" s="72">
        <f t="shared" si="24"/>
        <v>42675</v>
      </c>
      <c r="L285" s="67">
        <f t="shared" si="20"/>
        <v>6</v>
      </c>
      <c r="M285" s="105">
        <v>1.4833299999999999E-3</v>
      </c>
      <c r="N285" s="104">
        <f t="shared" si="21"/>
        <v>163.54621047960001</v>
      </c>
      <c r="O285" s="66"/>
      <c r="P285" s="71">
        <f t="shared" si="22"/>
        <v>0</v>
      </c>
      <c r="Q285" s="132"/>
      <c r="R285" s="71">
        <f t="shared" si="23"/>
        <v>281.1799043625</v>
      </c>
    </row>
    <row r="286" spans="1:18">
      <c r="A286" s="102" t="s">
        <v>626</v>
      </c>
      <c r="B286" s="103" t="s">
        <v>1357</v>
      </c>
      <c r="C286" s="103" t="s">
        <v>1358</v>
      </c>
      <c r="D286" s="102" t="s">
        <v>1359</v>
      </c>
      <c r="E286" s="103" t="s">
        <v>75</v>
      </c>
      <c r="F286" s="102" t="s">
        <v>26</v>
      </c>
      <c r="G286" s="103" t="s">
        <v>20</v>
      </c>
      <c r="I286" s="103">
        <v>201504</v>
      </c>
      <c r="J286" s="104">
        <v>72974.350000000006</v>
      </c>
      <c r="K286" s="72">
        <f t="shared" si="24"/>
        <v>42675</v>
      </c>
      <c r="L286" s="67">
        <f t="shared" si="20"/>
        <v>6</v>
      </c>
      <c r="M286" s="105">
        <v>1.4833299999999999E-3</v>
      </c>
      <c r="N286" s="104">
        <f t="shared" si="21"/>
        <v>649.4702555130001</v>
      </c>
      <c r="O286" s="66"/>
      <c r="P286" s="71">
        <f t="shared" si="22"/>
        <v>0</v>
      </c>
      <c r="Q286" s="132"/>
      <c r="R286" s="71">
        <f t="shared" si="23"/>
        <v>1116.6139759270834</v>
      </c>
    </row>
    <row r="287" spans="1:18">
      <c r="A287" s="102" t="s">
        <v>626</v>
      </c>
      <c r="B287" s="103" t="s">
        <v>1360</v>
      </c>
      <c r="C287" s="103" t="s">
        <v>1361</v>
      </c>
      <c r="D287" s="102" t="s">
        <v>1362</v>
      </c>
      <c r="E287" s="103" t="s">
        <v>75</v>
      </c>
      <c r="F287" s="102" t="s">
        <v>26</v>
      </c>
      <c r="G287" s="103" t="s">
        <v>20</v>
      </c>
      <c r="I287" s="103">
        <v>201504</v>
      </c>
      <c r="J287" s="104">
        <v>241629.63</v>
      </c>
      <c r="K287" s="72">
        <f t="shared" si="24"/>
        <v>42675</v>
      </c>
      <c r="L287" s="67">
        <f t="shared" si="20"/>
        <v>6</v>
      </c>
      <c r="M287" s="105">
        <v>1.4833299999999999E-3</v>
      </c>
      <c r="N287" s="104">
        <f t="shared" si="21"/>
        <v>2150.4988744073999</v>
      </c>
      <c r="O287" s="66"/>
      <c r="P287" s="71">
        <f t="shared" si="22"/>
        <v>0</v>
      </c>
      <c r="Q287" s="132"/>
      <c r="R287" s="71">
        <f t="shared" si="23"/>
        <v>3697.2857155437496</v>
      </c>
    </row>
    <row r="288" spans="1:18">
      <c r="A288" s="102" t="s">
        <v>626</v>
      </c>
      <c r="B288" s="103" t="s">
        <v>1327</v>
      </c>
      <c r="C288" s="103" t="s">
        <v>1328</v>
      </c>
      <c r="D288" s="102" t="s">
        <v>1329</v>
      </c>
      <c r="E288" s="103" t="s">
        <v>75</v>
      </c>
      <c r="F288" s="102" t="s">
        <v>26</v>
      </c>
      <c r="G288" s="103" t="s">
        <v>20</v>
      </c>
      <c r="I288" s="103">
        <v>201504</v>
      </c>
      <c r="J288" s="104">
        <v>837.05</v>
      </c>
      <c r="K288" s="72">
        <f t="shared" si="24"/>
        <v>42675</v>
      </c>
      <c r="L288" s="67">
        <f t="shared" si="20"/>
        <v>6</v>
      </c>
      <c r="M288" s="105">
        <v>1.4833299999999999E-3</v>
      </c>
      <c r="N288" s="104">
        <f t="shared" si="21"/>
        <v>7.4497282589999996</v>
      </c>
      <c r="O288" s="66"/>
      <c r="P288" s="71">
        <f t="shared" si="22"/>
        <v>0</v>
      </c>
      <c r="Q288" s="132"/>
      <c r="R288" s="71">
        <f t="shared" si="23"/>
        <v>12.808085697916665</v>
      </c>
    </row>
    <row r="289" spans="1:18">
      <c r="A289" s="102" t="s">
        <v>626</v>
      </c>
      <c r="B289" s="103" t="s">
        <v>1184</v>
      </c>
      <c r="C289" s="103" t="s">
        <v>1185</v>
      </c>
      <c r="D289" s="102" t="s">
        <v>1186</v>
      </c>
      <c r="E289" s="103" t="s">
        <v>471</v>
      </c>
      <c r="F289" s="102" t="s">
        <v>165</v>
      </c>
      <c r="G289" s="103" t="s">
        <v>20</v>
      </c>
      <c r="I289" s="103">
        <v>201504</v>
      </c>
      <c r="J289" s="104">
        <v>-543.52</v>
      </c>
      <c r="K289" s="72">
        <f t="shared" si="24"/>
        <v>42675</v>
      </c>
      <c r="L289" s="67">
        <f t="shared" si="20"/>
        <v>6</v>
      </c>
      <c r="M289" s="105">
        <v>1.4833299999999999E-3</v>
      </c>
      <c r="N289" s="104">
        <f t="shared" si="21"/>
        <v>-4.8373171295999997</v>
      </c>
      <c r="O289" s="66"/>
      <c r="P289" s="71">
        <f t="shared" si="22"/>
        <v>0</v>
      </c>
      <c r="Q289" s="132"/>
      <c r="R289" s="71">
        <f t="shared" si="23"/>
        <v>-8.3166486333333332</v>
      </c>
    </row>
    <row r="290" spans="1:18">
      <c r="A290" s="102" t="s">
        <v>626</v>
      </c>
      <c r="B290" s="103" t="s">
        <v>1295</v>
      </c>
      <c r="C290" s="103" t="s">
        <v>1296</v>
      </c>
      <c r="D290" s="102" t="s">
        <v>1297</v>
      </c>
      <c r="E290" s="103" t="s">
        <v>87</v>
      </c>
      <c r="F290" s="102" t="s">
        <v>88</v>
      </c>
      <c r="G290" s="103" t="s">
        <v>20</v>
      </c>
      <c r="I290" s="103">
        <v>201504</v>
      </c>
      <c r="J290" s="104">
        <v>-2817.84</v>
      </c>
      <c r="K290" s="72">
        <f t="shared" si="24"/>
        <v>42675</v>
      </c>
      <c r="L290" s="67">
        <f t="shared" si="20"/>
        <v>6</v>
      </c>
      <c r="M290" s="105">
        <v>1.4833299999999999E-3</v>
      </c>
      <c r="N290" s="104">
        <f t="shared" si="21"/>
        <v>-25.078719643200003</v>
      </c>
      <c r="O290" s="66"/>
      <c r="P290" s="71">
        <f t="shared" si="22"/>
        <v>0</v>
      </c>
      <c r="Q290" s="132"/>
      <c r="R290" s="71">
        <f t="shared" si="23"/>
        <v>-43.11706135</v>
      </c>
    </row>
    <row r="291" spans="1:18">
      <c r="A291" s="102" t="s">
        <v>626</v>
      </c>
      <c r="B291" s="103" t="s">
        <v>1277</v>
      </c>
      <c r="C291" s="103" t="s">
        <v>1278</v>
      </c>
      <c r="D291" s="102" t="s">
        <v>1279</v>
      </c>
      <c r="E291" s="103" t="s">
        <v>471</v>
      </c>
      <c r="F291" s="102" t="s">
        <v>165</v>
      </c>
      <c r="G291" s="103" t="s">
        <v>20</v>
      </c>
      <c r="I291" s="103">
        <v>201504</v>
      </c>
      <c r="J291" s="104">
        <v>97.17</v>
      </c>
      <c r="K291" s="72">
        <f t="shared" si="24"/>
        <v>42675</v>
      </c>
      <c r="L291" s="67">
        <f t="shared" si="20"/>
        <v>6</v>
      </c>
      <c r="M291" s="105">
        <v>1.4833299999999999E-3</v>
      </c>
      <c r="N291" s="104">
        <f t="shared" si="21"/>
        <v>0.86481105660000002</v>
      </c>
      <c r="O291" s="66"/>
      <c r="P291" s="71">
        <f t="shared" si="22"/>
        <v>0</v>
      </c>
      <c r="Q291" s="132"/>
      <c r="R291" s="71">
        <f t="shared" si="23"/>
        <v>1.4868427062499998</v>
      </c>
    </row>
    <row r="292" spans="1:18">
      <c r="A292" s="102" t="s">
        <v>626</v>
      </c>
      <c r="B292" s="103" t="s">
        <v>1224</v>
      </c>
      <c r="C292" s="103" t="s">
        <v>1225</v>
      </c>
      <c r="D292" s="102" t="s">
        <v>1226</v>
      </c>
      <c r="E292" s="103" t="s">
        <v>164</v>
      </c>
      <c r="F292" s="102" t="s">
        <v>165</v>
      </c>
      <c r="G292" s="103" t="s">
        <v>20</v>
      </c>
      <c r="I292" s="103">
        <v>201504</v>
      </c>
      <c r="J292" s="104">
        <v>-1355.94</v>
      </c>
      <c r="K292" s="72">
        <f t="shared" si="24"/>
        <v>42675</v>
      </c>
      <c r="L292" s="67">
        <f t="shared" si="20"/>
        <v>6</v>
      </c>
      <c r="M292" s="105">
        <v>1.4833299999999999E-3</v>
      </c>
      <c r="N292" s="104">
        <f t="shared" si="21"/>
        <v>-12.0678388812</v>
      </c>
      <c r="O292" s="66"/>
      <c r="P292" s="71">
        <f t="shared" si="22"/>
        <v>0</v>
      </c>
      <c r="Q292" s="132"/>
      <c r="R292" s="71">
        <f t="shared" si="23"/>
        <v>-20.747859412499999</v>
      </c>
    </row>
    <row r="293" spans="1:18">
      <c r="A293" s="102" t="s">
        <v>626</v>
      </c>
      <c r="B293" s="103" t="s">
        <v>1227</v>
      </c>
      <c r="C293" s="103" t="s">
        <v>1228</v>
      </c>
      <c r="D293" s="102" t="s">
        <v>1229</v>
      </c>
      <c r="E293" s="103" t="s">
        <v>280</v>
      </c>
      <c r="F293" s="102" t="s">
        <v>26</v>
      </c>
      <c r="G293" s="103" t="s">
        <v>20</v>
      </c>
      <c r="I293" s="103">
        <v>201504</v>
      </c>
      <c r="J293" s="104">
        <v>-721</v>
      </c>
      <c r="K293" s="72">
        <f t="shared" si="24"/>
        <v>42675</v>
      </c>
      <c r="L293" s="67">
        <f t="shared" si="20"/>
        <v>6</v>
      </c>
      <c r="M293" s="105">
        <v>1.4833299999999999E-3</v>
      </c>
      <c r="N293" s="104">
        <f t="shared" si="21"/>
        <v>-6.4168855799999998</v>
      </c>
      <c r="O293" s="66"/>
      <c r="P293" s="71">
        <f t="shared" si="22"/>
        <v>0</v>
      </c>
      <c r="Q293" s="132"/>
      <c r="R293" s="71">
        <f t="shared" si="23"/>
        <v>-11.032351458333332</v>
      </c>
    </row>
    <row r="294" spans="1:18">
      <c r="A294" s="102" t="s">
        <v>626</v>
      </c>
      <c r="B294" s="103" t="s">
        <v>1330</v>
      </c>
      <c r="C294" s="103" t="s">
        <v>1331</v>
      </c>
      <c r="D294" s="102" t="s">
        <v>1332</v>
      </c>
      <c r="E294" s="103" t="s">
        <v>102</v>
      </c>
      <c r="F294" s="102" t="s">
        <v>19</v>
      </c>
      <c r="G294" s="103" t="s">
        <v>20</v>
      </c>
      <c r="I294" s="103">
        <v>201504</v>
      </c>
      <c r="J294" s="104">
        <v>-340.27</v>
      </c>
      <c r="K294" s="72">
        <f t="shared" si="24"/>
        <v>42675</v>
      </c>
      <c r="L294" s="67">
        <f t="shared" si="20"/>
        <v>6</v>
      </c>
      <c r="M294" s="105">
        <v>1.4833299999999999E-3</v>
      </c>
      <c r="N294" s="104">
        <f t="shared" si="21"/>
        <v>-3.0283961946</v>
      </c>
      <c r="O294" s="66"/>
      <c r="P294" s="71">
        <f t="shared" si="22"/>
        <v>0</v>
      </c>
      <c r="Q294" s="132"/>
      <c r="R294" s="71">
        <f t="shared" si="23"/>
        <v>-5.2066272270833327</v>
      </c>
    </row>
    <row r="295" spans="1:18">
      <c r="A295" s="102" t="s">
        <v>626</v>
      </c>
      <c r="B295" s="103" t="s">
        <v>1239</v>
      </c>
      <c r="C295" s="103" t="s">
        <v>1240</v>
      </c>
      <c r="D295" s="102" t="s">
        <v>1241</v>
      </c>
      <c r="E295" s="103" t="s">
        <v>415</v>
      </c>
      <c r="F295" s="102" t="s">
        <v>88</v>
      </c>
      <c r="G295" s="103" t="s">
        <v>20</v>
      </c>
      <c r="I295" s="103">
        <v>201504</v>
      </c>
      <c r="J295" s="104">
        <v>-438.54</v>
      </c>
      <c r="K295" s="72">
        <f t="shared" si="24"/>
        <v>42675</v>
      </c>
      <c r="L295" s="67">
        <f t="shared" si="20"/>
        <v>6</v>
      </c>
      <c r="M295" s="105">
        <v>1.4833299999999999E-3</v>
      </c>
      <c r="N295" s="104">
        <f t="shared" si="21"/>
        <v>-3.9029972292000004</v>
      </c>
      <c r="O295" s="66"/>
      <c r="P295" s="71">
        <f t="shared" si="22"/>
        <v>0</v>
      </c>
      <c r="Q295" s="132"/>
      <c r="R295" s="71">
        <f t="shared" si="23"/>
        <v>-6.7103015374999995</v>
      </c>
    </row>
    <row r="296" spans="1:18">
      <c r="A296" s="102" t="s">
        <v>626</v>
      </c>
      <c r="B296" s="103" t="s">
        <v>1363</v>
      </c>
      <c r="C296" s="103" t="s">
        <v>1364</v>
      </c>
      <c r="D296" s="102" t="s">
        <v>1365</v>
      </c>
      <c r="E296" s="103" t="s">
        <v>497</v>
      </c>
      <c r="F296" s="102" t="s">
        <v>26</v>
      </c>
      <c r="G296" s="103" t="s">
        <v>20</v>
      </c>
      <c r="I296" s="103">
        <v>201504</v>
      </c>
      <c r="J296" s="104">
        <v>4441.1000000000004</v>
      </c>
      <c r="K296" s="72">
        <f t="shared" si="24"/>
        <v>42675</v>
      </c>
      <c r="L296" s="67">
        <f t="shared" si="20"/>
        <v>6</v>
      </c>
      <c r="M296" s="105">
        <v>1.4833299999999999E-3</v>
      </c>
      <c r="N296" s="104">
        <f t="shared" si="21"/>
        <v>39.525701178000006</v>
      </c>
      <c r="O296" s="66"/>
      <c r="P296" s="71">
        <f t="shared" si="22"/>
        <v>0</v>
      </c>
      <c r="Q296" s="132"/>
      <c r="R296" s="71">
        <f t="shared" si="23"/>
        <v>67.955306604166665</v>
      </c>
    </row>
    <row r="297" spans="1:18">
      <c r="A297" s="102" t="s">
        <v>626</v>
      </c>
      <c r="B297" s="103" t="s">
        <v>1280</v>
      </c>
      <c r="C297" s="103" t="s">
        <v>1281</v>
      </c>
      <c r="D297" s="102" t="s">
        <v>1282</v>
      </c>
      <c r="E297" s="103" t="s">
        <v>164</v>
      </c>
      <c r="F297" s="102" t="s">
        <v>165</v>
      </c>
      <c r="G297" s="103" t="s">
        <v>20</v>
      </c>
      <c r="I297" s="103">
        <v>201504</v>
      </c>
      <c r="J297" s="104">
        <v>868.78</v>
      </c>
      <c r="K297" s="72">
        <f t="shared" si="24"/>
        <v>42675</v>
      </c>
      <c r="L297" s="67">
        <f t="shared" si="20"/>
        <v>6</v>
      </c>
      <c r="M297" s="105">
        <v>1.4833299999999999E-3</v>
      </c>
      <c r="N297" s="104">
        <f t="shared" si="21"/>
        <v>7.7321246243999999</v>
      </c>
      <c r="O297" s="66"/>
      <c r="P297" s="71">
        <f t="shared" si="22"/>
        <v>0</v>
      </c>
      <c r="Q297" s="132"/>
      <c r="R297" s="71">
        <f t="shared" si="23"/>
        <v>13.293600970833332</v>
      </c>
    </row>
    <row r="298" spans="1:18">
      <c r="A298" s="102" t="s">
        <v>626</v>
      </c>
      <c r="B298" s="103" t="s">
        <v>1333</v>
      </c>
      <c r="C298" s="103" t="s">
        <v>1334</v>
      </c>
      <c r="D298" s="102" t="s">
        <v>1335</v>
      </c>
      <c r="E298" s="103" t="s">
        <v>164</v>
      </c>
      <c r="F298" s="102" t="s">
        <v>165</v>
      </c>
      <c r="G298" s="103" t="s">
        <v>20</v>
      </c>
      <c r="I298" s="103">
        <v>201504</v>
      </c>
      <c r="J298" s="104">
        <v>3007.08</v>
      </c>
      <c r="K298" s="72">
        <f t="shared" si="24"/>
        <v>42675</v>
      </c>
      <c r="L298" s="67">
        <f t="shared" si="20"/>
        <v>6</v>
      </c>
      <c r="M298" s="105">
        <v>1.4833299999999999E-3</v>
      </c>
      <c r="N298" s="104">
        <f t="shared" si="21"/>
        <v>26.762951858400001</v>
      </c>
      <c r="O298" s="66"/>
      <c r="P298" s="71">
        <f t="shared" si="22"/>
        <v>0</v>
      </c>
      <c r="Q298" s="132"/>
      <c r="R298" s="71">
        <f t="shared" si="23"/>
        <v>46.012709324999996</v>
      </c>
    </row>
    <row r="299" spans="1:18">
      <c r="A299" s="102" t="s">
        <v>626</v>
      </c>
      <c r="B299" s="103" t="s">
        <v>1298</v>
      </c>
      <c r="C299" s="103" t="s">
        <v>1299</v>
      </c>
      <c r="D299" s="102" t="s">
        <v>1300</v>
      </c>
      <c r="E299" s="103" t="s">
        <v>93</v>
      </c>
      <c r="F299" s="102" t="s">
        <v>88</v>
      </c>
      <c r="G299" s="103" t="s">
        <v>20</v>
      </c>
      <c r="I299" s="103">
        <v>201504</v>
      </c>
      <c r="J299" s="104">
        <v>-154.18</v>
      </c>
      <c r="K299" s="72">
        <f t="shared" si="24"/>
        <v>42675</v>
      </c>
      <c r="L299" s="67">
        <f t="shared" si="20"/>
        <v>6</v>
      </c>
      <c r="M299" s="105">
        <v>1.4833299999999999E-3</v>
      </c>
      <c r="N299" s="104">
        <f t="shared" si="21"/>
        <v>-1.3721989164000001</v>
      </c>
      <c r="O299" s="66"/>
      <c r="P299" s="71">
        <f t="shared" si="22"/>
        <v>0</v>
      </c>
      <c r="Q299" s="132"/>
      <c r="R299" s="71">
        <f t="shared" si="23"/>
        <v>-2.3591788458333331</v>
      </c>
    </row>
    <row r="300" spans="1:18">
      <c r="A300" s="102" t="s">
        <v>626</v>
      </c>
      <c r="B300" s="103" t="s">
        <v>1336</v>
      </c>
      <c r="C300" s="103" t="s">
        <v>1337</v>
      </c>
      <c r="D300" s="102" t="s">
        <v>1338</v>
      </c>
      <c r="E300" s="103" t="s">
        <v>75</v>
      </c>
      <c r="F300" s="102" t="s">
        <v>26</v>
      </c>
      <c r="G300" s="103" t="s">
        <v>20</v>
      </c>
      <c r="I300" s="103">
        <v>201504</v>
      </c>
      <c r="J300" s="104">
        <v>5792.58</v>
      </c>
      <c r="K300" s="72">
        <f t="shared" si="24"/>
        <v>42675</v>
      </c>
      <c r="L300" s="67">
        <f t="shared" si="20"/>
        <v>6</v>
      </c>
      <c r="M300" s="105">
        <v>1.4833299999999999E-3</v>
      </c>
      <c r="N300" s="104">
        <f t="shared" si="21"/>
        <v>51.553846148399998</v>
      </c>
      <c r="O300" s="66"/>
      <c r="P300" s="71">
        <f t="shared" si="22"/>
        <v>0</v>
      </c>
      <c r="Q300" s="132"/>
      <c r="R300" s="71">
        <f t="shared" si="23"/>
        <v>88.6349215125</v>
      </c>
    </row>
    <row r="301" spans="1:18">
      <c r="A301" s="102" t="s">
        <v>626</v>
      </c>
      <c r="B301" s="103" t="s">
        <v>1366</v>
      </c>
      <c r="C301" s="103" t="s">
        <v>1367</v>
      </c>
      <c r="D301" s="102" t="s">
        <v>1368</v>
      </c>
      <c r="E301" s="103" t="s">
        <v>209</v>
      </c>
      <c r="F301" s="102" t="s">
        <v>88</v>
      </c>
      <c r="G301" s="103" t="s">
        <v>20</v>
      </c>
      <c r="I301" s="103">
        <v>201504</v>
      </c>
      <c r="J301" s="104">
        <v>13426.03</v>
      </c>
      <c r="K301" s="72">
        <f t="shared" si="24"/>
        <v>42675</v>
      </c>
      <c r="L301" s="67">
        <f t="shared" si="20"/>
        <v>6</v>
      </c>
      <c r="M301" s="105">
        <v>1.4833299999999999E-3</v>
      </c>
      <c r="N301" s="104">
        <f t="shared" si="21"/>
        <v>119.4913984794</v>
      </c>
      <c r="O301" s="66"/>
      <c r="P301" s="71">
        <f t="shared" si="22"/>
        <v>0</v>
      </c>
      <c r="Q301" s="132"/>
      <c r="R301" s="71">
        <f t="shared" si="23"/>
        <v>205.43783862708332</v>
      </c>
    </row>
    <row r="302" spans="1:18">
      <c r="A302" s="102" t="s">
        <v>626</v>
      </c>
      <c r="B302" s="103" t="s">
        <v>1339</v>
      </c>
      <c r="C302" s="103" t="s">
        <v>1340</v>
      </c>
      <c r="D302" s="102" t="s">
        <v>1341</v>
      </c>
      <c r="E302" s="103" t="s">
        <v>360</v>
      </c>
      <c r="F302" s="102" t="s">
        <v>19</v>
      </c>
      <c r="G302" s="103" t="s">
        <v>20</v>
      </c>
      <c r="I302" s="103">
        <v>201504</v>
      </c>
      <c r="J302" s="104">
        <v>3931.88</v>
      </c>
      <c r="K302" s="72">
        <f t="shared" si="24"/>
        <v>42675</v>
      </c>
      <c r="L302" s="67">
        <f t="shared" si="20"/>
        <v>6</v>
      </c>
      <c r="M302" s="105">
        <v>1.4833299999999999E-3</v>
      </c>
      <c r="N302" s="104">
        <f t="shared" si="21"/>
        <v>34.993653362400003</v>
      </c>
      <c r="O302" s="66"/>
      <c r="P302" s="71">
        <f t="shared" si="22"/>
        <v>0</v>
      </c>
      <c r="Q302" s="132"/>
      <c r="R302" s="71">
        <f t="shared" si="23"/>
        <v>60.163497991666659</v>
      </c>
    </row>
    <row r="303" spans="1:18">
      <c r="A303" s="102" t="s">
        <v>626</v>
      </c>
      <c r="B303" s="103" t="s">
        <v>1283</v>
      </c>
      <c r="C303" s="103" t="s">
        <v>1284</v>
      </c>
      <c r="D303" s="102" t="s">
        <v>1285</v>
      </c>
      <c r="E303" s="103" t="s">
        <v>809</v>
      </c>
      <c r="F303" s="102" t="s">
        <v>26</v>
      </c>
      <c r="G303" s="103" t="s">
        <v>20</v>
      </c>
      <c r="I303" s="103">
        <v>201504</v>
      </c>
      <c r="J303" s="104">
        <v>1738.17</v>
      </c>
      <c r="K303" s="72">
        <f t="shared" si="24"/>
        <v>42675</v>
      </c>
      <c r="L303" s="67">
        <f t="shared" si="20"/>
        <v>6</v>
      </c>
      <c r="M303" s="105">
        <v>1.4833299999999999E-3</v>
      </c>
      <c r="N303" s="104">
        <f t="shared" si="21"/>
        <v>15.4696782366</v>
      </c>
      <c r="O303" s="66"/>
      <c r="P303" s="71">
        <f t="shared" si="22"/>
        <v>0</v>
      </c>
      <c r="Q303" s="132"/>
      <c r="R303" s="71">
        <f t="shared" si="23"/>
        <v>26.596535831249998</v>
      </c>
    </row>
    <row r="304" spans="1:18">
      <c r="A304" s="102" t="s">
        <v>626</v>
      </c>
      <c r="B304" s="103" t="s">
        <v>1342</v>
      </c>
      <c r="C304" s="103" t="s">
        <v>1343</v>
      </c>
      <c r="D304" s="102" t="s">
        <v>1344</v>
      </c>
      <c r="E304" s="103" t="s">
        <v>164</v>
      </c>
      <c r="F304" s="102" t="s">
        <v>165</v>
      </c>
      <c r="G304" s="103" t="s">
        <v>20</v>
      </c>
      <c r="I304" s="103">
        <v>201504</v>
      </c>
      <c r="J304" s="104">
        <v>45074.45</v>
      </c>
      <c r="K304" s="72">
        <f t="shared" si="24"/>
        <v>42675</v>
      </c>
      <c r="L304" s="67">
        <f t="shared" si="20"/>
        <v>6</v>
      </c>
      <c r="M304" s="105">
        <v>1.4833299999999999E-3</v>
      </c>
      <c r="N304" s="104">
        <f t="shared" si="21"/>
        <v>401.16170351099998</v>
      </c>
      <c r="O304" s="66"/>
      <c r="P304" s="71">
        <f t="shared" si="22"/>
        <v>0</v>
      </c>
      <c r="Q304" s="132"/>
      <c r="R304" s="71">
        <f t="shared" si="23"/>
        <v>689.70481857291657</v>
      </c>
    </row>
    <row r="305" spans="1:18">
      <c r="A305" s="102" t="s">
        <v>626</v>
      </c>
      <c r="B305" s="103" t="s">
        <v>1345</v>
      </c>
      <c r="C305" s="103" t="s">
        <v>1346</v>
      </c>
      <c r="D305" s="102" t="s">
        <v>1347</v>
      </c>
      <c r="E305" s="103" t="s">
        <v>87</v>
      </c>
      <c r="F305" s="102" t="s">
        <v>88</v>
      </c>
      <c r="G305" s="103" t="s">
        <v>20</v>
      </c>
      <c r="I305" s="103">
        <v>201504</v>
      </c>
      <c r="J305" s="104">
        <v>-298.33</v>
      </c>
      <c r="K305" s="72">
        <f t="shared" si="24"/>
        <v>42675</v>
      </c>
      <c r="L305" s="67">
        <f t="shared" si="20"/>
        <v>6</v>
      </c>
      <c r="M305" s="105">
        <v>1.4833299999999999E-3</v>
      </c>
      <c r="N305" s="104">
        <f t="shared" si="21"/>
        <v>-2.6551310334</v>
      </c>
      <c r="O305" s="66"/>
      <c r="P305" s="71">
        <f t="shared" si="22"/>
        <v>0</v>
      </c>
      <c r="Q305" s="132"/>
      <c r="R305" s="71">
        <f t="shared" si="23"/>
        <v>-4.5648840645833326</v>
      </c>
    </row>
    <row r="306" spans="1:18">
      <c r="A306" s="102" t="s">
        <v>626</v>
      </c>
      <c r="B306" s="103" t="s">
        <v>1348</v>
      </c>
      <c r="C306" s="103" t="s">
        <v>1349</v>
      </c>
      <c r="D306" s="102" t="s">
        <v>1350</v>
      </c>
      <c r="E306" s="103" t="s">
        <v>209</v>
      </c>
      <c r="F306" s="102" t="s">
        <v>88</v>
      </c>
      <c r="G306" s="103" t="s">
        <v>20</v>
      </c>
      <c r="I306" s="103">
        <v>201504</v>
      </c>
      <c r="J306" s="104">
        <v>4999.3500000000004</v>
      </c>
      <c r="K306" s="72">
        <f t="shared" si="24"/>
        <v>42675</v>
      </c>
      <c r="L306" s="67">
        <f t="shared" si="20"/>
        <v>6</v>
      </c>
      <c r="M306" s="105">
        <v>1.4833299999999999E-3</v>
      </c>
      <c r="N306" s="104">
        <f t="shared" si="21"/>
        <v>44.494115013000005</v>
      </c>
      <c r="O306" s="66"/>
      <c r="P306" s="71">
        <f t="shared" si="22"/>
        <v>0</v>
      </c>
      <c r="Q306" s="132"/>
      <c r="R306" s="71">
        <f t="shared" si="23"/>
        <v>76.497345718749997</v>
      </c>
    </row>
    <row r="307" spans="1:18">
      <c r="A307" s="102" t="s">
        <v>626</v>
      </c>
      <c r="B307" s="103" t="s">
        <v>1369</v>
      </c>
      <c r="C307" s="103" t="s">
        <v>1370</v>
      </c>
      <c r="D307" s="102" t="s">
        <v>1371</v>
      </c>
      <c r="E307" s="103" t="s">
        <v>809</v>
      </c>
      <c r="F307" s="102" t="s">
        <v>26</v>
      </c>
      <c r="G307" s="103" t="s">
        <v>20</v>
      </c>
      <c r="I307" s="103">
        <v>201504</v>
      </c>
      <c r="J307" s="104">
        <v>12357.92</v>
      </c>
      <c r="K307" s="72">
        <f t="shared" si="24"/>
        <v>42675</v>
      </c>
      <c r="L307" s="67">
        <f t="shared" si="20"/>
        <v>6</v>
      </c>
      <c r="M307" s="105">
        <v>1.4833299999999999E-3</v>
      </c>
      <c r="N307" s="104">
        <f t="shared" si="21"/>
        <v>109.9852408416</v>
      </c>
      <c r="O307" s="66"/>
      <c r="P307" s="71">
        <f t="shared" si="22"/>
        <v>0</v>
      </c>
      <c r="Q307" s="132"/>
      <c r="R307" s="71">
        <f t="shared" si="23"/>
        <v>189.09419796666666</v>
      </c>
    </row>
    <row r="308" spans="1:18">
      <c r="A308" s="102" t="s">
        <v>626</v>
      </c>
      <c r="B308" s="103" t="s">
        <v>1372</v>
      </c>
      <c r="C308" s="103" t="s">
        <v>1373</v>
      </c>
      <c r="D308" s="102" t="s">
        <v>1374</v>
      </c>
      <c r="E308" s="103" t="s">
        <v>497</v>
      </c>
      <c r="F308" s="102" t="s">
        <v>26</v>
      </c>
      <c r="G308" s="103" t="s">
        <v>20</v>
      </c>
      <c r="I308" s="103">
        <v>201504</v>
      </c>
      <c r="J308" s="104">
        <v>8992.94</v>
      </c>
      <c r="K308" s="72">
        <f t="shared" si="24"/>
        <v>42675</v>
      </c>
      <c r="L308" s="67">
        <f t="shared" si="20"/>
        <v>6</v>
      </c>
      <c r="M308" s="105">
        <v>1.4833299999999999E-3</v>
      </c>
      <c r="N308" s="104">
        <f t="shared" si="21"/>
        <v>80.036986141200003</v>
      </c>
      <c r="O308" s="66"/>
      <c r="P308" s="71">
        <f t="shared" si="22"/>
        <v>0</v>
      </c>
      <c r="Q308" s="132"/>
      <c r="R308" s="71">
        <f t="shared" si="23"/>
        <v>137.60509670416667</v>
      </c>
    </row>
    <row r="309" spans="1:18">
      <c r="A309" s="102" t="s">
        <v>626</v>
      </c>
      <c r="B309" s="103" t="s">
        <v>1351</v>
      </c>
      <c r="C309" s="103" t="s">
        <v>1352</v>
      </c>
      <c r="D309" s="102" t="s">
        <v>1353</v>
      </c>
      <c r="E309" s="103" t="s">
        <v>809</v>
      </c>
      <c r="F309" s="102" t="s">
        <v>26</v>
      </c>
      <c r="G309" s="103" t="s">
        <v>20</v>
      </c>
      <c r="I309" s="103">
        <v>201504</v>
      </c>
      <c r="J309" s="104">
        <v>-2584.65</v>
      </c>
      <c r="K309" s="72">
        <f t="shared" si="24"/>
        <v>42675</v>
      </c>
      <c r="L309" s="67">
        <f t="shared" si="20"/>
        <v>6</v>
      </c>
      <c r="M309" s="105">
        <v>1.4833299999999999E-3</v>
      </c>
      <c r="N309" s="104">
        <f t="shared" si="21"/>
        <v>-23.003333307000002</v>
      </c>
      <c r="O309" s="66"/>
      <c r="P309" s="71">
        <f t="shared" si="22"/>
        <v>0</v>
      </c>
      <c r="Q309" s="132"/>
      <c r="R309" s="71">
        <f t="shared" si="23"/>
        <v>-39.548914281249999</v>
      </c>
    </row>
    <row r="310" spans="1:18">
      <c r="A310" s="102" t="s">
        <v>626</v>
      </c>
      <c r="B310" s="103" t="s">
        <v>1375</v>
      </c>
      <c r="C310" s="103" t="s">
        <v>1376</v>
      </c>
      <c r="D310" s="102" t="s">
        <v>1374</v>
      </c>
      <c r="E310" s="103" t="s">
        <v>497</v>
      </c>
      <c r="F310" s="102" t="s">
        <v>26</v>
      </c>
      <c r="G310" s="103" t="s">
        <v>20</v>
      </c>
      <c r="I310" s="103">
        <v>201504</v>
      </c>
      <c r="J310" s="104">
        <v>51103.05</v>
      </c>
      <c r="K310" s="72">
        <f t="shared" si="24"/>
        <v>42675</v>
      </c>
      <c r="L310" s="67">
        <f t="shared" si="20"/>
        <v>6</v>
      </c>
      <c r="M310" s="105">
        <v>1.4833299999999999E-3</v>
      </c>
      <c r="N310" s="104">
        <f t="shared" si="21"/>
        <v>454.81612293900002</v>
      </c>
      <c r="O310" s="66"/>
      <c r="P310" s="71">
        <f t="shared" si="22"/>
        <v>0</v>
      </c>
      <c r="Q310" s="132"/>
      <c r="R310" s="71">
        <f t="shared" si="23"/>
        <v>781.95119028124998</v>
      </c>
    </row>
    <row r="311" spans="1:18">
      <c r="A311" s="102" t="s">
        <v>626</v>
      </c>
      <c r="B311" s="103" t="s">
        <v>1377</v>
      </c>
      <c r="C311" s="103" t="s">
        <v>1378</v>
      </c>
      <c r="D311" s="102" t="s">
        <v>1379</v>
      </c>
      <c r="E311" s="103" t="s">
        <v>1059</v>
      </c>
      <c r="F311" s="102" t="s">
        <v>26</v>
      </c>
      <c r="G311" s="103" t="s">
        <v>20</v>
      </c>
      <c r="I311" s="103">
        <v>201504</v>
      </c>
      <c r="J311" s="104">
        <v>2009.73</v>
      </c>
      <c r="K311" s="72">
        <f t="shared" si="24"/>
        <v>42675</v>
      </c>
      <c r="L311" s="67">
        <f t="shared" si="20"/>
        <v>6</v>
      </c>
      <c r="M311" s="105">
        <v>1.4833299999999999E-3</v>
      </c>
      <c r="N311" s="104">
        <f t="shared" si="21"/>
        <v>17.886556805400001</v>
      </c>
      <c r="O311" s="66"/>
      <c r="P311" s="71">
        <f t="shared" si="22"/>
        <v>0</v>
      </c>
      <c r="Q311" s="132"/>
      <c r="R311" s="71">
        <f t="shared" si="23"/>
        <v>30.751799856249999</v>
      </c>
    </row>
    <row r="312" spans="1:18">
      <c r="A312" s="102" t="s">
        <v>626</v>
      </c>
      <c r="B312" s="103" t="s">
        <v>1380</v>
      </c>
      <c r="C312" s="103" t="s">
        <v>1381</v>
      </c>
      <c r="D312" s="102" t="s">
        <v>1382</v>
      </c>
      <c r="E312" s="103" t="s">
        <v>809</v>
      </c>
      <c r="F312" s="102" t="s">
        <v>26</v>
      </c>
      <c r="G312" s="103" t="s">
        <v>20</v>
      </c>
      <c r="I312" s="103">
        <v>201504</v>
      </c>
      <c r="J312" s="104">
        <v>44663.35</v>
      </c>
      <c r="K312" s="72">
        <f t="shared" si="24"/>
        <v>42675</v>
      </c>
      <c r="L312" s="67">
        <f t="shared" si="20"/>
        <v>6</v>
      </c>
      <c r="M312" s="105">
        <v>1.4833299999999999E-3</v>
      </c>
      <c r="N312" s="104">
        <f t="shared" si="21"/>
        <v>397.50292173299999</v>
      </c>
      <c r="O312" s="66"/>
      <c r="P312" s="71">
        <f t="shared" si="22"/>
        <v>0</v>
      </c>
      <c r="Q312" s="132"/>
      <c r="R312" s="71">
        <f t="shared" si="23"/>
        <v>683.41438905208327</v>
      </c>
    </row>
    <row r="313" spans="1:18">
      <c r="A313" s="102" t="s">
        <v>626</v>
      </c>
      <c r="B313" s="103" t="s">
        <v>1383</v>
      </c>
      <c r="C313" s="103" t="s">
        <v>1384</v>
      </c>
      <c r="D313" s="102" t="s">
        <v>1385</v>
      </c>
      <c r="E313" s="103" t="s">
        <v>809</v>
      </c>
      <c r="F313" s="102" t="s">
        <v>26</v>
      </c>
      <c r="G313" s="103" t="s">
        <v>20</v>
      </c>
      <c r="I313" s="103">
        <v>201504</v>
      </c>
      <c r="J313" s="104">
        <v>4273.07</v>
      </c>
      <c r="K313" s="72">
        <f t="shared" si="24"/>
        <v>42675</v>
      </c>
      <c r="L313" s="67">
        <f t="shared" si="20"/>
        <v>6</v>
      </c>
      <c r="M313" s="105">
        <v>1.4833299999999999E-3</v>
      </c>
      <c r="N313" s="104">
        <f t="shared" si="21"/>
        <v>38.030237538599998</v>
      </c>
      <c r="O313" s="66"/>
      <c r="P313" s="71">
        <f t="shared" si="22"/>
        <v>0</v>
      </c>
      <c r="Q313" s="132"/>
      <c r="R313" s="71">
        <f t="shared" si="23"/>
        <v>65.384202560416654</v>
      </c>
    </row>
    <row r="314" spans="1:18">
      <c r="A314" s="102" t="s">
        <v>626</v>
      </c>
      <c r="B314" s="103" t="s">
        <v>1386</v>
      </c>
      <c r="C314" s="103" t="s">
        <v>1387</v>
      </c>
      <c r="D314" s="102" t="s">
        <v>1388</v>
      </c>
      <c r="E314" s="103" t="s">
        <v>164</v>
      </c>
      <c r="F314" s="102" t="s">
        <v>165</v>
      </c>
      <c r="G314" s="103" t="s">
        <v>20</v>
      </c>
      <c r="I314" s="103">
        <v>201504</v>
      </c>
      <c r="J314" s="104">
        <v>22501.11</v>
      </c>
      <c r="K314" s="72">
        <f t="shared" si="24"/>
        <v>42675</v>
      </c>
      <c r="L314" s="67">
        <f t="shared" si="20"/>
        <v>6</v>
      </c>
      <c r="M314" s="105">
        <v>1.4833299999999999E-3</v>
      </c>
      <c r="N314" s="104">
        <f t="shared" si="21"/>
        <v>200.25942897780001</v>
      </c>
      <c r="O314" s="66"/>
      <c r="P314" s="71">
        <f t="shared" si="22"/>
        <v>0</v>
      </c>
      <c r="Q314" s="132"/>
      <c r="R314" s="71">
        <f t="shared" si="23"/>
        <v>344.29979711874995</v>
      </c>
    </row>
    <row r="315" spans="1:18">
      <c r="A315" s="102" t="s">
        <v>626</v>
      </c>
      <c r="B315" s="103" t="s">
        <v>1389</v>
      </c>
      <c r="C315" s="103" t="s">
        <v>1390</v>
      </c>
      <c r="D315" s="102" t="s">
        <v>1391</v>
      </c>
      <c r="E315" s="103" t="s">
        <v>280</v>
      </c>
      <c r="F315" s="102" t="s">
        <v>26</v>
      </c>
      <c r="G315" s="103" t="s">
        <v>20</v>
      </c>
      <c r="I315" s="103">
        <v>201504</v>
      </c>
      <c r="J315" s="104">
        <v>4597.5600000000004</v>
      </c>
      <c r="K315" s="72">
        <f t="shared" si="24"/>
        <v>42675</v>
      </c>
      <c r="L315" s="67">
        <f t="shared" si="20"/>
        <v>6</v>
      </c>
      <c r="M315" s="105">
        <v>1.4833299999999999E-3</v>
      </c>
      <c r="N315" s="104">
        <f t="shared" si="21"/>
        <v>40.918192048800002</v>
      </c>
      <c r="O315" s="66"/>
      <c r="P315" s="71">
        <f t="shared" si="22"/>
        <v>0</v>
      </c>
      <c r="Q315" s="132"/>
      <c r="R315" s="71">
        <f t="shared" si="23"/>
        <v>70.349372774999992</v>
      </c>
    </row>
    <row r="316" spans="1:18">
      <c r="A316" s="106" t="s">
        <v>127</v>
      </c>
      <c r="B316" s="103" t="s">
        <v>1242</v>
      </c>
      <c r="C316" s="103" t="s">
        <v>1243</v>
      </c>
      <c r="D316" s="102" t="s">
        <v>1244</v>
      </c>
      <c r="E316" s="103" t="s">
        <v>131</v>
      </c>
      <c r="F316" s="102" t="s">
        <v>132</v>
      </c>
      <c r="G316" s="103" t="s">
        <v>20</v>
      </c>
      <c r="I316" s="103">
        <v>201504</v>
      </c>
      <c r="J316" s="104">
        <v>-588.04999999999995</v>
      </c>
      <c r="K316" s="72">
        <f t="shared" si="24"/>
        <v>42675</v>
      </c>
      <c r="L316" s="67">
        <f t="shared" si="20"/>
        <v>6</v>
      </c>
      <c r="M316" s="105">
        <v>2.3833299999999999E-3</v>
      </c>
      <c r="N316" s="104">
        <f t="shared" si="21"/>
        <v>-8.4091032390000002</v>
      </c>
      <c r="O316" s="66"/>
      <c r="P316" s="71">
        <f t="shared" si="22"/>
        <v>0</v>
      </c>
      <c r="Q316" s="132"/>
      <c r="R316" s="71">
        <f t="shared" si="23"/>
        <v>-8.9980225729166659</v>
      </c>
    </row>
    <row r="317" spans="1:18">
      <c r="A317" s="102" t="s">
        <v>127</v>
      </c>
      <c r="B317" s="103" t="s">
        <v>388</v>
      </c>
      <c r="C317" s="103" t="s">
        <v>389</v>
      </c>
      <c r="D317" s="102" t="s">
        <v>390</v>
      </c>
      <c r="E317" s="103" t="s">
        <v>131</v>
      </c>
      <c r="F317" s="102" t="s">
        <v>132</v>
      </c>
      <c r="G317" s="103" t="s">
        <v>20</v>
      </c>
      <c r="I317" s="103">
        <v>201504</v>
      </c>
      <c r="J317" s="104">
        <v>-29.91</v>
      </c>
      <c r="K317" s="72">
        <f t="shared" si="24"/>
        <v>42675</v>
      </c>
      <c r="L317" s="67">
        <f t="shared" si="20"/>
        <v>6</v>
      </c>
      <c r="M317" s="105">
        <v>2.3833299999999999E-3</v>
      </c>
      <c r="N317" s="104">
        <f t="shared" si="21"/>
        <v>-0.42771240180000003</v>
      </c>
      <c r="O317" s="66"/>
      <c r="P317" s="71">
        <f t="shared" si="22"/>
        <v>0</v>
      </c>
      <c r="Q317" s="132"/>
      <c r="R317" s="71">
        <f t="shared" si="23"/>
        <v>-0.45766661874999998</v>
      </c>
    </row>
    <row r="318" spans="1:18">
      <c r="A318" s="102" t="s">
        <v>127</v>
      </c>
      <c r="B318" s="103" t="s">
        <v>1032</v>
      </c>
      <c r="C318" s="103" t="s">
        <v>1033</v>
      </c>
      <c r="D318" s="102" t="s">
        <v>1034</v>
      </c>
      <c r="E318" s="103" t="s">
        <v>209</v>
      </c>
      <c r="F318" s="102" t="s">
        <v>88</v>
      </c>
      <c r="G318" s="103" t="s">
        <v>20</v>
      </c>
      <c r="I318" s="103">
        <v>201504</v>
      </c>
      <c r="J318" s="104">
        <v>-69.849999999999994</v>
      </c>
      <c r="K318" s="72">
        <f t="shared" si="24"/>
        <v>42675</v>
      </c>
      <c r="L318" s="67">
        <f t="shared" si="20"/>
        <v>6</v>
      </c>
      <c r="M318" s="105">
        <v>2.3833299999999999E-3</v>
      </c>
      <c r="N318" s="104">
        <f t="shared" si="21"/>
        <v>-0.99885360299999992</v>
      </c>
      <c r="O318" s="66"/>
      <c r="P318" s="71">
        <f t="shared" si="22"/>
        <v>0</v>
      </c>
      <c r="Q318" s="132"/>
      <c r="R318" s="71">
        <f t="shared" si="23"/>
        <v>-1.0688068645833331</v>
      </c>
    </row>
    <row r="319" spans="1:18">
      <c r="A319" s="102" t="s">
        <v>127</v>
      </c>
      <c r="B319" s="103" t="s">
        <v>1130</v>
      </c>
      <c r="C319" s="103" t="s">
        <v>1131</v>
      </c>
      <c r="D319" s="102" t="s">
        <v>1132</v>
      </c>
      <c r="E319" s="103" t="s">
        <v>131</v>
      </c>
      <c r="F319" s="102" t="s">
        <v>132</v>
      </c>
      <c r="G319" s="103" t="s">
        <v>20</v>
      </c>
      <c r="I319" s="103">
        <v>201504</v>
      </c>
      <c r="J319" s="104">
        <v>-13.13</v>
      </c>
      <c r="K319" s="72">
        <f t="shared" si="24"/>
        <v>42675</v>
      </c>
      <c r="L319" s="67">
        <f t="shared" si="20"/>
        <v>6</v>
      </c>
      <c r="M319" s="105">
        <v>2.3833299999999999E-3</v>
      </c>
      <c r="N319" s="104">
        <f t="shared" si="21"/>
        <v>-0.18775873740000001</v>
      </c>
      <c r="O319" s="66"/>
      <c r="P319" s="71">
        <f t="shared" si="22"/>
        <v>0</v>
      </c>
      <c r="Q319" s="132"/>
      <c r="R319" s="71">
        <f t="shared" si="23"/>
        <v>-0.20090814791666667</v>
      </c>
    </row>
    <row r="320" spans="1:18">
      <c r="A320" s="106" t="s">
        <v>29</v>
      </c>
      <c r="B320" s="103" t="s">
        <v>30</v>
      </c>
      <c r="C320" s="103" t="s">
        <v>31</v>
      </c>
      <c r="D320" s="102" t="s">
        <v>32</v>
      </c>
      <c r="E320" s="103" t="s">
        <v>33</v>
      </c>
      <c r="F320" s="102" t="s">
        <v>34</v>
      </c>
      <c r="G320" s="103" t="s">
        <v>20</v>
      </c>
      <c r="I320" s="103">
        <v>201504</v>
      </c>
      <c r="J320" s="104">
        <v>108115.58</v>
      </c>
      <c r="K320" s="72">
        <f t="shared" si="24"/>
        <v>42675</v>
      </c>
      <c r="L320" s="67">
        <f t="shared" si="20"/>
        <v>6</v>
      </c>
      <c r="M320" s="105">
        <v>2.23333E-3</v>
      </c>
      <c r="N320" s="104">
        <f t="shared" si="21"/>
        <v>1448.7466096884</v>
      </c>
      <c r="O320" s="66"/>
      <c r="P320" s="71">
        <f t="shared" si="22"/>
        <v>0</v>
      </c>
      <c r="Q320" s="132"/>
      <c r="R320" s="71">
        <f t="shared" si="23"/>
        <v>1654.3260425541664</v>
      </c>
    </row>
    <row r="321" spans="1:18">
      <c r="A321" s="106" t="s">
        <v>29</v>
      </c>
      <c r="B321" s="103" t="s">
        <v>37</v>
      </c>
      <c r="C321" s="103" t="s">
        <v>38</v>
      </c>
      <c r="D321" s="102" t="s">
        <v>39</v>
      </c>
      <c r="E321" s="103" t="s">
        <v>40</v>
      </c>
      <c r="F321" s="102" t="s">
        <v>41</v>
      </c>
      <c r="G321" s="103" t="s">
        <v>20</v>
      </c>
      <c r="I321" s="103">
        <v>201504</v>
      </c>
      <c r="J321" s="104">
        <v>122546.6</v>
      </c>
      <c r="K321" s="72">
        <f t="shared" si="24"/>
        <v>42675</v>
      </c>
      <c r="L321" s="67">
        <f t="shared" si="20"/>
        <v>6</v>
      </c>
      <c r="M321" s="105">
        <v>2.23333E-3</v>
      </c>
      <c r="N321" s="104">
        <f t="shared" si="21"/>
        <v>1642.1219890679999</v>
      </c>
      <c r="O321" s="66"/>
      <c r="P321" s="71">
        <f t="shared" si="22"/>
        <v>0</v>
      </c>
      <c r="Q321" s="132"/>
      <c r="R321" s="71">
        <f t="shared" si="23"/>
        <v>1875.1416937916665</v>
      </c>
    </row>
    <row r="322" spans="1:18">
      <c r="A322" s="106" t="s">
        <v>29</v>
      </c>
      <c r="B322" s="103" t="s">
        <v>48</v>
      </c>
      <c r="C322" s="103" t="s">
        <v>49</v>
      </c>
      <c r="D322" s="102" t="s">
        <v>50</v>
      </c>
      <c r="E322" s="103" t="s">
        <v>51</v>
      </c>
      <c r="F322" s="102" t="s">
        <v>52</v>
      </c>
      <c r="G322" s="103" t="s">
        <v>20</v>
      </c>
      <c r="I322" s="103">
        <v>201504</v>
      </c>
      <c r="J322" s="104">
        <v>-12423.27</v>
      </c>
      <c r="K322" s="72">
        <f t="shared" si="24"/>
        <v>42675</v>
      </c>
      <c r="L322" s="67">
        <f t="shared" si="20"/>
        <v>6</v>
      </c>
      <c r="M322" s="105">
        <v>2.23333E-3</v>
      </c>
      <c r="N322" s="104">
        <f t="shared" si="21"/>
        <v>-166.47156953459998</v>
      </c>
      <c r="O322" s="66"/>
      <c r="P322" s="71">
        <f t="shared" si="22"/>
        <v>0</v>
      </c>
      <c r="Q322" s="132"/>
      <c r="R322" s="71">
        <f t="shared" si="23"/>
        <v>-190.09414826874999</v>
      </c>
    </row>
    <row r="323" spans="1:18">
      <c r="A323" s="106" t="s">
        <v>29</v>
      </c>
      <c r="B323" s="103" t="s">
        <v>1024</v>
      </c>
      <c r="C323" s="103" t="s">
        <v>1025</v>
      </c>
      <c r="D323" s="102" t="s">
        <v>1026</v>
      </c>
      <c r="E323" s="103" t="s">
        <v>1027</v>
      </c>
      <c r="F323" s="102" t="s">
        <v>1028</v>
      </c>
      <c r="G323" s="103" t="s">
        <v>20</v>
      </c>
      <c r="I323" s="103">
        <v>201504</v>
      </c>
      <c r="J323" s="104">
        <v>-1.48</v>
      </c>
      <c r="K323" s="72">
        <f t="shared" si="24"/>
        <v>42675</v>
      </c>
      <c r="L323" s="67">
        <f t="shared" si="20"/>
        <v>6</v>
      </c>
      <c r="M323" s="105">
        <v>2.23333E-3</v>
      </c>
      <c r="N323" s="104">
        <f t="shared" si="21"/>
        <v>-1.9831970399999999E-2</v>
      </c>
      <c r="O323" s="66"/>
      <c r="P323" s="71">
        <f t="shared" si="22"/>
        <v>0</v>
      </c>
      <c r="Q323" s="132"/>
      <c r="R323" s="71">
        <f t="shared" si="23"/>
        <v>-2.2646158333333329E-2</v>
      </c>
    </row>
    <row r="324" spans="1:18">
      <c r="A324" s="106" t="s">
        <v>29</v>
      </c>
      <c r="B324" s="103" t="s">
        <v>1245</v>
      </c>
      <c r="C324" s="103" t="s">
        <v>1246</v>
      </c>
      <c r="D324" s="102" t="s">
        <v>1026</v>
      </c>
      <c r="E324" s="103" t="s">
        <v>1027</v>
      </c>
      <c r="F324" s="102" t="s">
        <v>1028</v>
      </c>
      <c r="G324" s="103" t="s">
        <v>20</v>
      </c>
      <c r="I324" s="103">
        <v>201504</v>
      </c>
      <c r="J324" s="104">
        <v>-72.3</v>
      </c>
      <c r="K324" s="72">
        <f t="shared" si="24"/>
        <v>42675</v>
      </c>
      <c r="L324" s="67">
        <f t="shared" si="20"/>
        <v>6</v>
      </c>
      <c r="M324" s="105">
        <v>2.23333E-3</v>
      </c>
      <c r="N324" s="104">
        <f t="shared" si="21"/>
        <v>-0.96881855399999983</v>
      </c>
      <c r="O324" s="66"/>
      <c r="P324" s="71">
        <f t="shared" si="22"/>
        <v>0</v>
      </c>
      <c r="Q324" s="132"/>
      <c r="R324" s="71">
        <f t="shared" si="23"/>
        <v>-1.1062954374999998</v>
      </c>
    </row>
    <row r="325" spans="1:18">
      <c r="A325" s="106" t="s">
        <v>29</v>
      </c>
      <c r="B325" s="103" t="s">
        <v>103</v>
      </c>
      <c r="C325" s="103" t="s">
        <v>104</v>
      </c>
      <c r="D325" s="102" t="s">
        <v>105</v>
      </c>
      <c r="E325" s="103" t="s">
        <v>106</v>
      </c>
      <c r="F325" s="102" t="s">
        <v>34</v>
      </c>
      <c r="G325" s="103" t="s">
        <v>20</v>
      </c>
      <c r="I325" s="103">
        <v>201504</v>
      </c>
      <c r="J325" s="104">
        <v>-1127.8</v>
      </c>
      <c r="K325" s="72">
        <f t="shared" si="24"/>
        <v>42675</v>
      </c>
      <c r="L325" s="67">
        <f t="shared" ref="L325:L388" si="25">((YEAR($L$1)-YEAR(K325))*12+MONTH($L$1)-MONTH(K325))</f>
        <v>6</v>
      </c>
      <c r="M325" s="105">
        <v>2.23333E-3</v>
      </c>
      <c r="N325" s="104">
        <f t="shared" ref="N325:N388" si="26">M325*L325*J325</f>
        <v>-15.112497443999999</v>
      </c>
      <c r="O325" s="66"/>
      <c r="P325" s="71">
        <f t="shared" si="22"/>
        <v>0</v>
      </c>
      <c r="Q325" s="132"/>
      <c r="R325" s="71">
        <f t="shared" si="23"/>
        <v>-17.256984708333331</v>
      </c>
    </row>
    <row r="326" spans="1:18">
      <c r="A326" s="106" t="s">
        <v>29</v>
      </c>
      <c r="B326" s="103" t="s">
        <v>107</v>
      </c>
      <c r="C326" s="103" t="s">
        <v>108</v>
      </c>
      <c r="D326" s="102" t="s">
        <v>109</v>
      </c>
      <c r="E326" s="103" t="s">
        <v>110</v>
      </c>
      <c r="F326" s="102" t="s">
        <v>52</v>
      </c>
      <c r="G326" s="103" t="s">
        <v>20</v>
      </c>
      <c r="I326" s="103">
        <v>201504</v>
      </c>
      <c r="J326" s="104">
        <v>15318.4</v>
      </c>
      <c r="K326" s="72">
        <f t="shared" si="24"/>
        <v>42675</v>
      </c>
      <c r="L326" s="67">
        <f t="shared" si="25"/>
        <v>6</v>
      </c>
      <c r="M326" s="105">
        <v>2.23333E-3</v>
      </c>
      <c r="N326" s="104">
        <f t="shared" si="26"/>
        <v>205.26625363199997</v>
      </c>
      <c r="O326" s="66"/>
      <c r="P326" s="71">
        <f t="shared" ref="P326:P389" si="27">($P$4*0.5*J326*$T$12)</f>
        <v>0</v>
      </c>
      <c r="Q326" s="132"/>
      <c r="R326" s="71">
        <f t="shared" ref="R326:R389" si="28">($R$4*0.5*J326*$T$12)</f>
        <v>234.3938593333333</v>
      </c>
    </row>
    <row r="327" spans="1:18">
      <c r="A327" s="106" t="s">
        <v>29</v>
      </c>
      <c r="B327" s="103" t="s">
        <v>111</v>
      </c>
      <c r="C327" s="103" t="s">
        <v>112</v>
      </c>
      <c r="D327" s="102" t="s">
        <v>113</v>
      </c>
      <c r="E327" s="103" t="s">
        <v>114</v>
      </c>
      <c r="F327" s="102" t="s">
        <v>115</v>
      </c>
      <c r="G327" s="103" t="s">
        <v>20</v>
      </c>
      <c r="I327" s="103">
        <v>201504</v>
      </c>
      <c r="J327" s="104">
        <v>767.91</v>
      </c>
      <c r="K327" s="72">
        <f t="shared" ref="K327:K390" si="29">+K326</f>
        <v>42675</v>
      </c>
      <c r="L327" s="67">
        <f t="shared" si="25"/>
        <v>6</v>
      </c>
      <c r="M327" s="105">
        <v>2.23333E-3</v>
      </c>
      <c r="N327" s="104">
        <f t="shared" si="26"/>
        <v>10.289978641799999</v>
      </c>
      <c r="O327" s="66"/>
      <c r="P327" s="71">
        <f t="shared" si="27"/>
        <v>0</v>
      </c>
      <c r="Q327" s="132"/>
      <c r="R327" s="71">
        <f t="shared" si="28"/>
        <v>11.750142868749998</v>
      </c>
    </row>
    <row r="328" spans="1:18">
      <c r="A328" s="106" t="s">
        <v>29</v>
      </c>
      <c r="B328" s="103" t="s">
        <v>555</v>
      </c>
      <c r="C328" s="103" t="s">
        <v>556</v>
      </c>
      <c r="D328" s="102" t="s">
        <v>45</v>
      </c>
      <c r="E328" s="103" t="s">
        <v>557</v>
      </c>
      <c r="F328" s="102" t="s">
        <v>41</v>
      </c>
      <c r="G328" s="103" t="s">
        <v>20</v>
      </c>
      <c r="I328" s="103">
        <v>201504</v>
      </c>
      <c r="J328" s="104">
        <v>636.16999999999996</v>
      </c>
      <c r="K328" s="72">
        <f t="shared" si="29"/>
        <v>42675</v>
      </c>
      <c r="L328" s="67">
        <f t="shared" si="25"/>
        <v>6</v>
      </c>
      <c r="M328" s="105">
        <v>2.23333E-3</v>
      </c>
      <c r="N328" s="104">
        <f t="shared" si="26"/>
        <v>8.5246652765999986</v>
      </c>
      <c r="O328" s="66"/>
      <c r="P328" s="71">
        <f t="shared" si="27"/>
        <v>0</v>
      </c>
      <c r="Q328" s="132"/>
      <c r="R328" s="71">
        <f t="shared" si="28"/>
        <v>9.7343287479166651</v>
      </c>
    </row>
    <row r="329" spans="1:18">
      <c r="A329" s="106" t="s">
        <v>29</v>
      </c>
      <c r="B329" s="103" t="s">
        <v>121</v>
      </c>
      <c r="C329" s="103" t="s">
        <v>122</v>
      </c>
      <c r="D329" s="102" t="s">
        <v>50</v>
      </c>
      <c r="E329" s="103" t="s">
        <v>123</v>
      </c>
      <c r="F329" s="102" t="s">
        <v>52</v>
      </c>
      <c r="G329" s="103" t="s">
        <v>20</v>
      </c>
      <c r="I329" s="103">
        <v>201504</v>
      </c>
      <c r="J329" s="104">
        <v>-44.36</v>
      </c>
      <c r="K329" s="72">
        <f t="shared" si="29"/>
        <v>42675</v>
      </c>
      <c r="L329" s="67">
        <f t="shared" si="25"/>
        <v>6</v>
      </c>
      <c r="M329" s="105">
        <v>2.23333E-3</v>
      </c>
      <c r="N329" s="104">
        <f t="shared" si="26"/>
        <v>-0.59442311279999993</v>
      </c>
      <c r="O329" s="66"/>
      <c r="P329" s="71">
        <f t="shared" si="27"/>
        <v>0</v>
      </c>
      <c r="Q329" s="132"/>
      <c r="R329" s="71">
        <f t="shared" si="28"/>
        <v>-0.67877269166666665</v>
      </c>
    </row>
    <row r="330" spans="1:18">
      <c r="A330" s="106" t="s">
        <v>29</v>
      </c>
      <c r="B330" s="103" t="s">
        <v>124</v>
      </c>
      <c r="C330" s="103" t="s">
        <v>125</v>
      </c>
      <c r="D330" s="102" t="s">
        <v>50</v>
      </c>
      <c r="E330" s="103" t="s">
        <v>126</v>
      </c>
      <c r="F330" s="102" t="s">
        <v>52</v>
      </c>
      <c r="G330" s="103" t="s">
        <v>20</v>
      </c>
      <c r="I330" s="103">
        <v>201504</v>
      </c>
      <c r="J330" s="104">
        <v>-670.95</v>
      </c>
      <c r="K330" s="72">
        <f t="shared" si="29"/>
        <v>42675</v>
      </c>
      <c r="L330" s="67">
        <f t="shared" si="25"/>
        <v>6</v>
      </c>
      <c r="M330" s="105">
        <v>2.23333E-3</v>
      </c>
      <c r="N330" s="104">
        <f t="shared" si="26"/>
        <v>-8.9907165809999992</v>
      </c>
      <c r="O330" s="66"/>
      <c r="P330" s="71">
        <f t="shared" si="27"/>
        <v>0</v>
      </c>
      <c r="Q330" s="132"/>
      <c r="R330" s="71">
        <f t="shared" si="28"/>
        <v>-10.26651346875</v>
      </c>
    </row>
    <row r="331" spans="1:18">
      <c r="A331" s="106" t="s">
        <v>29</v>
      </c>
      <c r="B331" s="103" t="s">
        <v>1247</v>
      </c>
      <c r="C331" s="103" t="s">
        <v>1248</v>
      </c>
      <c r="D331" s="102" t="s">
        <v>708</v>
      </c>
      <c r="E331" s="103" t="s">
        <v>1249</v>
      </c>
      <c r="F331" s="102" t="s">
        <v>710</v>
      </c>
      <c r="G331" s="103" t="s">
        <v>20</v>
      </c>
      <c r="I331" s="103">
        <v>201504</v>
      </c>
      <c r="J331" s="104">
        <v>-6083.49</v>
      </c>
      <c r="K331" s="72">
        <f t="shared" si="29"/>
        <v>42675</v>
      </c>
      <c r="L331" s="67">
        <f t="shared" si="25"/>
        <v>6</v>
      </c>
      <c r="M331" s="105">
        <v>2.23333E-3</v>
      </c>
      <c r="N331" s="104">
        <f t="shared" si="26"/>
        <v>-81.51864433019999</v>
      </c>
      <c r="O331" s="66"/>
      <c r="P331" s="71">
        <f t="shared" si="27"/>
        <v>0</v>
      </c>
      <c r="Q331" s="132"/>
      <c r="R331" s="71">
        <f t="shared" si="28"/>
        <v>-93.086268756249993</v>
      </c>
    </row>
    <row r="332" spans="1:18">
      <c r="A332" s="106" t="s">
        <v>29</v>
      </c>
      <c r="B332" s="103" t="s">
        <v>183</v>
      </c>
      <c r="C332" s="103" t="s">
        <v>184</v>
      </c>
      <c r="D332" s="102" t="s">
        <v>45</v>
      </c>
      <c r="E332" s="103" t="s">
        <v>185</v>
      </c>
      <c r="F332" s="102" t="s">
        <v>41</v>
      </c>
      <c r="G332" s="103" t="s">
        <v>20</v>
      </c>
      <c r="I332" s="103">
        <v>201504</v>
      </c>
      <c r="J332" s="104">
        <v>1417.28</v>
      </c>
      <c r="K332" s="72">
        <f t="shared" si="29"/>
        <v>42675</v>
      </c>
      <c r="L332" s="67">
        <f t="shared" si="25"/>
        <v>6</v>
      </c>
      <c r="M332" s="105">
        <v>2.23333E-3</v>
      </c>
      <c r="N332" s="104">
        <f t="shared" si="26"/>
        <v>18.991523654399998</v>
      </c>
      <c r="O332" s="66"/>
      <c r="P332" s="71">
        <f t="shared" si="27"/>
        <v>0</v>
      </c>
      <c r="Q332" s="132"/>
      <c r="R332" s="71">
        <f t="shared" si="28"/>
        <v>21.686450866666664</v>
      </c>
    </row>
    <row r="333" spans="1:18">
      <c r="A333" s="106" t="s">
        <v>29</v>
      </c>
      <c r="B333" s="103" t="s">
        <v>186</v>
      </c>
      <c r="C333" s="103" t="s">
        <v>187</v>
      </c>
      <c r="D333" s="102" t="s">
        <v>188</v>
      </c>
      <c r="E333" s="103" t="s">
        <v>189</v>
      </c>
      <c r="F333" s="102" t="s">
        <v>190</v>
      </c>
      <c r="G333" s="103" t="s">
        <v>20</v>
      </c>
      <c r="I333" s="103">
        <v>201504</v>
      </c>
      <c r="J333" s="104">
        <v>7536</v>
      </c>
      <c r="K333" s="72">
        <f t="shared" si="29"/>
        <v>42675</v>
      </c>
      <c r="L333" s="67">
        <f t="shared" si="25"/>
        <v>6</v>
      </c>
      <c r="M333" s="105">
        <v>2.23333E-3</v>
      </c>
      <c r="N333" s="104">
        <f t="shared" si="26"/>
        <v>100.98224927999999</v>
      </c>
      <c r="O333" s="66"/>
      <c r="P333" s="71">
        <f t="shared" si="27"/>
        <v>0</v>
      </c>
      <c r="Q333" s="132"/>
      <c r="R333" s="71">
        <f t="shared" si="28"/>
        <v>115.31179</v>
      </c>
    </row>
    <row r="334" spans="1:18">
      <c r="A334" s="106" t="s">
        <v>29</v>
      </c>
      <c r="B334" s="103" t="s">
        <v>191</v>
      </c>
      <c r="C334" s="103" t="s">
        <v>192</v>
      </c>
      <c r="D334" s="102" t="s">
        <v>193</v>
      </c>
      <c r="E334" s="103" t="s">
        <v>194</v>
      </c>
      <c r="F334" s="102" t="s">
        <v>115</v>
      </c>
      <c r="G334" s="103" t="s">
        <v>20</v>
      </c>
      <c r="I334" s="103">
        <v>201504</v>
      </c>
      <c r="J334" s="104">
        <v>25525.37</v>
      </c>
      <c r="K334" s="72">
        <f t="shared" si="29"/>
        <v>42675</v>
      </c>
      <c r="L334" s="67">
        <f t="shared" si="25"/>
        <v>6</v>
      </c>
      <c r="M334" s="105">
        <v>2.23333E-3</v>
      </c>
      <c r="N334" s="104">
        <f t="shared" si="26"/>
        <v>342.03944749259995</v>
      </c>
      <c r="O334" s="66"/>
      <c r="P334" s="71">
        <f t="shared" si="27"/>
        <v>0</v>
      </c>
      <c r="Q334" s="132"/>
      <c r="R334" s="71">
        <f t="shared" si="28"/>
        <v>390.57538549791661</v>
      </c>
    </row>
    <row r="335" spans="1:18">
      <c r="A335" s="106" t="s">
        <v>29</v>
      </c>
      <c r="B335" s="103" t="s">
        <v>195</v>
      </c>
      <c r="C335" s="103" t="s">
        <v>196</v>
      </c>
      <c r="D335" s="102" t="s">
        <v>197</v>
      </c>
      <c r="E335" s="103" t="s">
        <v>198</v>
      </c>
      <c r="F335" s="102" t="s">
        <v>199</v>
      </c>
      <c r="G335" s="103" t="s">
        <v>20</v>
      </c>
      <c r="I335" s="103">
        <v>201504</v>
      </c>
      <c r="J335" s="104">
        <v>124184</v>
      </c>
      <c r="K335" s="72">
        <f t="shared" si="29"/>
        <v>42675</v>
      </c>
      <c r="L335" s="67">
        <f t="shared" si="25"/>
        <v>6</v>
      </c>
      <c r="M335" s="105">
        <v>2.23333E-3</v>
      </c>
      <c r="N335" s="104">
        <f t="shared" si="26"/>
        <v>1664.0631163199998</v>
      </c>
      <c r="O335" s="66"/>
      <c r="P335" s="71">
        <f t="shared" si="27"/>
        <v>0</v>
      </c>
      <c r="Q335" s="132"/>
      <c r="R335" s="71">
        <f t="shared" si="28"/>
        <v>1900.1963016666662</v>
      </c>
    </row>
    <row r="336" spans="1:18">
      <c r="A336" s="106" t="s">
        <v>29</v>
      </c>
      <c r="B336" s="103" t="s">
        <v>200</v>
      </c>
      <c r="C336" s="103" t="s">
        <v>201</v>
      </c>
      <c r="D336" s="102" t="s">
        <v>197</v>
      </c>
      <c r="E336" s="103" t="s">
        <v>202</v>
      </c>
      <c r="F336" s="102" t="s">
        <v>199</v>
      </c>
      <c r="G336" s="103" t="s">
        <v>20</v>
      </c>
      <c r="I336" s="103">
        <v>201504</v>
      </c>
      <c r="J336" s="104">
        <v>23380.39</v>
      </c>
      <c r="K336" s="72">
        <f t="shared" si="29"/>
        <v>42675</v>
      </c>
      <c r="L336" s="67">
        <f t="shared" si="25"/>
        <v>6</v>
      </c>
      <c r="M336" s="105">
        <v>2.23333E-3</v>
      </c>
      <c r="N336" s="104">
        <f t="shared" si="26"/>
        <v>313.29675839219999</v>
      </c>
      <c r="O336" s="66"/>
      <c r="P336" s="71">
        <f t="shared" si="27"/>
        <v>0</v>
      </c>
      <c r="Q336" s="132"/>
      <c r="R336" s="71">
        <f t="shared" si="28"/>
        <v>357.75406340208332</v>
      </c>
    </row>
    <row r="337" spans="1:18">
      <c r="A337" s="106" t="s">
        <v>29</v>
      </c>
      <c r="B337" s="103" t="s">
        <v>481</v>
      </c>
      <c r="C337" s="103" t="s">
        <v>482</v>
      </c>
      <c r="D337" s="102" t="s">
        <v>483</v>
      </c>
      <c r="E337" s="103" t="s">
        <v>484</v>
      </c>
      <c r="F337" s="102" t="s">
        <v>190</v>
      </c>
      <c r="G337" s="103" t="s">
        <v>20</v>
      </c>
      <c r="I337" s="103">
        <v>201504</v>
      </c>
      <c r="J337" s="104">
        <v>296.33999999999997</v>
      </c>
      <c r="K337" s="72">
        <f t="shared" si="29"/>
        <v>42675</v>
      </c>
      <c r="L337" s="67">
        <f t="shared" si="25"/>
        <v>6</v>
      </c>
      <c r="M337" s="105">
        <v>2.23333E-3</v>
      </c>
      <c r="N337" s="104">
        <f t="shared" si="26"/>
        <v>3.9709500731999992</v>
      </c>
      <c r="O337" s="66"/>
      <c r="P337" s="71">
        <f t="shared" si="27"/>
        <v>0</v>
      </c>
      <c r="Q337" s="132"/>
      <c r="R337" s="71">
        <f t="shared" si="28"/>
        <v>4.5344341624999993</v>
      </c>
    </row>
    <row r="338" spans="1:18">
      <c r="A338" s="106" t="s">
        <v>29</v>
      </c>
      <c r="B338" s="103" t="s">
        <v>236</v>
      </c>
      <c r="C338" s="103" t="s">
        <v>237</v>
      </c>
      <c r="D338" s="102" t="s">
        <v>188</v>
      </c>
      <c r="E338" s="103" t="s">
        <v>238</v>
      </c>
      <c r="F338" s="102" t="s">
        <v>190</v>
      </c>
      <c r="G338" s="103" t="s">
        <v>20</v>
      </c>
      <c r="I338" s="103">
        <v>201504</v>
      </c>
      <c r="J338" s="104">
        <v>105392.4</v>
      </c>
      <c r="K338" s="72">
        <f t="shared" si="29"/>
        <v>42675</v>
      </c>
      <c r="L338" s="67">
        <f t="shared" si="25"/>
        <v>6</v>
      </c>
      <c r="M338" s="105">
        <v>2.23333E-3</v>
      </c>
      <c r="N338" s="104">
        <f t="shared" si="26"/>
        <v>1412.2560521519997</v>
      </c>
      <c r="O338" s="66"/>
      <c r="P338" s="71">
        <f t="shared" si="27"/>
        <v>0</v>
      </c>
      <c r="Q338" s="132"/>
      <c r="R338" s="71">
        <f t="shared" si="28"/>
        <v>1612.6574172499998</v>
      </c>
    </row>
    <row r="339" spans="1:18">
      <c r="A339" s="106" t="s">
        <v>29</v>
      </c>
      <c r="B339" s="103" t="s">
        <v>239</v>
      </c>
      <c r="C339" s="103" t="s">
        <v>240</v>
      </c>
      <c r="D339" s="102" t="s">
        <v>197</v>
      </c>
      <c r="E339" s="103" t="s">
        <v>241</v>
      </c>
      <c r="F339" s="102" t="s">
        <v>199</v>
      </c>
      <c r="G339" s="103" t="s">
        <v>20</v>
      </c>
      <c r="I339" s="103">
        <v>201504</v>
      </c>
      <c r="J339" s="104">
        <v>40389.870000000003</v>
      </c>
      <c r="K339" s="72">
        <f t="shared" si="29"/>
        <v>42675</v>
      </c>
      <c r="L339" s="67">
        <f t="shared" si="25"/>
        <v>6</v>
      </c>
      <c r="M339" s="105">
        <v>2.23333E-3</v>
      </c>
      <c r="N339" s="104">
        <f t="shared" si="26"/>
        <v>541.22345020260002</v>
      </c>
      <c r="O339" s="66"/>
      <c r="P339" s="71">
        <f t="shared" si="27"/>
        <v>0</v>
      </c>
      <c r="Q339" s="132"/>
      <c r="R339" s="71">
        <f t="shared" si="28"/>
        <v>618.02391289374998</v>
      </c>
    </row>
    <row r="340" spans="1:18">
      <c r="A340" s="106" t="s">
        <v>29</v>
      </c>
      <c r="B340" s="103" t="s">
        <v>706</v>
      </c>
      <c r="C340" s="103" t="s">
        <v>707</v>
      </c>
      <c r="D340" s="102" t="s">
        <v>708</v>
      </c>
      <c r="E340" s="103" t="s">
        <v>709</v>
      </c>
      <c r="F340" s="102" t="s">
        <v>710</v>
      </c>
      <c r="G340" s="103" t="s">
        <v>20</v>
      </c>
      <c r="I340" s="103">
        <v>201504</v>
      </c>
      <c r="J340" s="104">
        <v>62415.86</v>
      </c>
      <c r="K340" s="72">
        <f t="shared" si="29"/>
        <v>42675</v>
      </c>
      <c r="L340" s="67">
        <f t="shared" si="25"/>
        <v>6</v>
      </c>
      <c r="M340" s="105">
        <v>2.23333E-3</v>
      </c>
      <c r="N340" s="104">
        <f t="shared" si="26"/>
        <v>836.37127568279993</v>
      </c>
      <c r="O340" s="66"/>
      <c r="P340" s="71">
        <f t="shared" si="27"/>
        <v>0</v>
      </c>
      <c r="Q340" s="132"/>
      <c r="R340" s="71">
        <f t="shared" si="28"/>
        <v>955.05368112916653</v>
      </c>
    </row>
    <row r="341" spans="1:18">
      <c r="A341" s="106" t="s">
        <v>29</v>
      </c>
      <c r="B341" s="103" t="s">
        <v>267</v>
      </c>
      <c r="C341" s="103" t="s">
        <v>268</v>
      </c>
      <c r="D341" s="102" t="s">
        <v>269</v>
      </c>
      <c r="E341" s="103" t="s">
        <v>270</v>
      </c>
      <c r="F341" s="102" t="s">
        <v>115</v>
      </c>
      <c r="G341" s="103" t="s">
        <v>20</v>
      </c>
      <c r="I341" s="103">
        <v>201504</v>
      </c>
      <c r="J341" s="104">
        <v>171648.08</v>
      </c>
      <c r="K341" s="72">
        <f t="shared" si="29"/>
        <v>42675</v>
      </c>
      <c r="L341" s="67">
        <f t="shared" si="25"/>
        <v>6</v>
      </c>
      <c r="M341" s="105">
        <v>2.23333E-3</v>
      </c>
      <c r="N341" s="104">
        <f t="shared" si="26"/>
        <v>2300.0808390383995</v>
      </c>
      <c r="O341" s="66"/>
      <c r="P341" s="71">
        <f t="shared" si="27"/>
        <v>0</v>
      </c>
      <c r="Q341" s="132"/>
      <c r="R341" s="71">
        <f t="shared" si="28"/>
        <v>2626.4659441166664</v>
      </c>
    </row>
    <row r="342" spans="1:18">
      <c r="A342" s="106" t="s">
        <v>29</v>
      </c>
      <c r="B342" s="103" t="s">
        <v>271</v>
      </c>
      <c r="C342" s="103" t="s">
        <v>272</v>
      </c>
      <c r="D342" s="102" t="s">
        <v>197</v>
      </c>
      <c r="E342" s="103" t="s">
        <v>273</v>
      </c>
      <c r="F342" s="102" t="s">
        <v>199</v>
      </c>
      <c r="G342" s="103" t="s">
        <v>20</v>
      </c>
      <c r="I342" s="103">
        <v>201504</v>
      </c>
      <c r="J342" s="104">
        <v>9952.39</v>
      </c>
      <c r="K342" s="72">
        <f t="shared" si="29"/>
        <v>42675</v>
      </c>
      <c r="L342" s="67">
        <f t="shared" si="25"/>
        <v>6</v>
      </c>
      <c r="M342" s="105">
        <v>2.23333E-3</v>
      </c>
      <c r="N342" s="104">
        <f t="shared" si="26"/>
        <v>133.36182695219998</v>
      </c>
      <c r="O342" s="66"/>
      <c r="P342" s="71">
        <f t="shared" si="27"/>
        <v>0</v>
      </c>
      <c r="Q342" s="132"/>
      <c r="R342" s="71">
        <f t="shared" si="28"/>
        <v>152.28608090208331</v>
      </c>
    </row>
    <row r="343" spans="1:18">
      <c r="A343" s="106" t="s">
        <v>29</v>
      </c>
      <c r="B343" s="103" t="s">
        <v>836</v>
      </c>
      <c r="C343" s="103" t="s">
        <v>837</v>
      </c>
      <c r="D343" s="102" t="s">
        <v>327</v>
      </c>
      <c r="E343" s="103" t="s">
        <v>838</v>
      </c>
      <c r="F343" s="102" t="s">
        <v>58</v>
      </c>
      <c r="G343" s="103" t="s">
        <v>20</v>
      </c>
      <c r="I343" s="103">
        <v>201504</v>
      </c>
      <c r="J343" s="104">
        <v>10.99</v>
      </c>
      <c r="K343" s="72">
        <f t="shared" si="29"/>
        <v>42675</v>
      </c>
      <c r="L343" s="67">
        <f t="shared" si="25"/>
        <v>6</v>
      </c>
      <c r="M343" s="105">
        <v>2.23333E-3</v>
      </c>
      <c r="N343" s="104">
        <f t="shared" si="26"/>
        <v>0.1472657802</v>
      </c>
      <c r="O343" s="66"/>
      <c r="P343" s="71">
        <f t="shared" si="27"/>
        <v>0</v>
      </c>
      <c r="Q343" s="132"/>
      <c r="R343" s="71">
        <f t="shared" si="28"/>
        <v>0.16816302708333333</v>
      </c>
    </row>
    <row r="344" spans="1:18">
      <c r="A344" s="106" t="s">
        <v>29</v>
      </c>
      <c r="B344" s="103" t="s">
        <v>292</v>
      </c>
      <c r="C344" s="103" t="s">
        <v>293</v>
      </c>
      <c r="D344" s="102" t="s">
        <v>197</v>
      </c>
      <c r="E344" s="103" t="s">
        <v>294</v>
      </c>
      <c r="F344" s="102" t="s">
        <v>199</v>
      </c>
      <c r="G344" s="103" t="s">
        <v>20</v>
      </c>
      <c r="I344" s="103">
        <v>201504</v>
      </c>
      <c r="J344" s="104">
        <v>7477.46</v>
      </c>
      <c r="K344" s="72">
        <f t="shared" si="29"/>
        <v>42675</v>
      </c>
      <c r="L344" s="67">
        <f t="shared" si="25"/>
        <v>6</v>
      </c>
      <c r="M344" s="105">
        <v>2.23333E-3</v>
      </c>
      <c r="N344" s="104">
        <f t="shared" si="26"/>
        <v>100.1978144508</v>
      </c>
      <c r="O344" s="66"/>
      <c r="P344" s="71">
        <f t="shared" si="27"/>
        <v>0</v>
      </c>
      <c r="Q344" s="132"/>
      <c r="R344" s="71">
        <f t="shared" si="28"/>
        <v>114.41604262916665</v>
      </c>
    </row>
    <row r="345" spans="1:18">
      <c r="A345" s="106" t="s">
        <v>29</v>
      </c>
      <c r="B345" s="103" t="s">
        <v>318</v>
      </c>
      <c r="C345" s="103" t="s">
        <v>319</v>
      </c>
      <c r="D345" s="102" t="s">
        <v>105</v>
      </c>
      <c r="E345" s="103" t="s">
        <v>320</v>
      </c>
      <c r="F345" s="102" t="s">
        <v>34</v>
      </c>
      <c r="G345" s="103" t="s">
        <v>20</v>
      </c>
      <c r="I345" s="103">
        <v>201504</v>
      </c>
      <c r="J345" s="104">
        <v>-786.1</v>
      </c>
      <c r="K345" s="72">
        <f t="shared" si="29"/>
        <v>42675</v>
      </c>
      <c r="L345" s="67">
        <f t="shared" si="25"/>
        <v>6</v>
      </c>
      <c r="M345" s="105">
        <v>2.23333E-3</v>
      </c>
      <c r="N345" s="104">
        <f t="shared" si="26"/>
        <v>-10.533724277999999</v>
      </c>
      <c r="O345" s="66"/>
      <c r="P345" s="71">
        <f t="shared" si="27"/>
        <v>0</v>
      </c>
      <c r="Q345" s="132"/>
      <c r="R345" s="71">
        <f t="shared" si="28"/>
        <v>-12.028476395833332</v>
      </c>
    </row>
    <row r="346" spans="1:18">
      <c r="A346" s="106" t="s">
        <v>29</v>
      </c>
      <c r="B346" s="103" t="s">
        <v>321</v>
      </c>
      <c r="C346" s="103" t="s">
        <v>322</v>
      </c>
      <c r="D346" s="102" t="s">
        <v>323</v>
      </c>
      <c r="E346" s="103" t="s">
        <v>324</v>
      </c>
      <c r="F346" s="102" t="s">
        <v>52</v>
      </c>
      <c r="G346" s="103" t="s">
        <v>20</v>
      </c>
      <c r="I346" s="103">
        <v>201504</v>
      </c>
      <c r="J346" s="104">
        <v>-818.52</v>
      </c>
      <c r="K346" s="72">
        <f t="shared" si="29"/>
        <v>42675</v>
      </c>
      <c r="L346" s="67">
        <f t="shared" si="25"/>
        <v>6</v>
      </c>
      <c r="M346" s="105">
        <v>2.23333E-3</v>
      </c>
      <c r="N346" s="104">
        <f t="shared" si="26"/>
        <v>-10.968151629599999</v>
      </c>
      <c r="O346" s="66"/>
      <c r="P346" s="71">
        <f t="shared" si="27"/>
        <v>0</v>
      </c>
      <c r="Q346" s="132"/>
      <c r="R346" s="71">
        <f t="shared" si="28"/>
        <v>-12.524549674999999</v>
      </c>
    </row>
    <row r="347" spans="1:18">
      <c r="A347" s="106" t="s">
        <v>29</v>
      </c>
      <c r="B347" s="103" t="s">
        <v>419</v>
      </c>
      <c r="C347" s="103" t="s">
        <v>420</v>
      </c>
      <c r="D347" s="102" t="s">
        <v>50</v>
      </c>
      <c r="E347" s="103" t="s">
        <v>421</v>
      </c>
      <c r="F347" s="102" t="s">
        <v>52</v>
      </c>
      <c r="G347" s="103" t="s">
        <v>20</v>
      </c>
      <c r="I347" s="103">
        <v>201504</v>
      </c>
      <c r="J347" s="104">
        <v>14575.55</v>
      </c>
      <c r="K347" s="72">
        <f t="shared" si="29"/>
        <v>42675</v>
      </c>
      <c r="L347" s="67">
        <f t="shared" si="25"/>
        <v>6</v>
      </c>
      <c r="M347" s="105">
        <v>2.23333E-3</v>
      </c>
      <c r="N347" s="104">
        <f t="shared" si="26"/>
        <v>195.31207848899999</v>
      </c>
      <c r="O347" s="66"/>
      <c r="P347" s="71">
        <f t="shared" si="27"/>
        <v>0</v>
      </c>
      <c r="Q347" s="132"/>
      <c r="R347" s="71">
        <f t="shared" si="28"/>
        <v>223.02717101041665</v>
      </c>
    </row>
    <row r="348" spans="1:18">
      <c r="A348" s="106" t="s">
        <v>29</v>
      </c>
      <c r="B348" s="103" t="s">
        <v>839</v>
      </c>
      <c r="C348" s="103" t="s">
        <v>840</v>
      </c>
      <c r="D348" s="102" t="s">
        <v>50</v>
      </c>
      <c r="E348" s="103" t="s">
        <v>841</v>
      </c>
      <c r="F348" s="102" t="s">
        <v>52</v>
      </c>
      <c r="G348" s="103" t="s">
        <v>20</v>
      </c>
      <c r="I348" s="103">
        <v>201504</v>
      </c>
      <c r="J348" s="104">
        <v>-3.02</v>
      </c>
      <c r="K348" s="72">
        <f t="shared" si="29"/>
        <v>42675</v>
      </c>
      <c r="L348" s="67">
        <f t="shared" si="25"/>
        <v>6</v>
      </c>
      <c r="M348" s="105">
        <v>2.23333E-3</v>
      </c>
      <c r="N348" s="104">
        <f t="shared" si="26"/>
        <v>-4.0467939599999996E-2</v>
      </c>
      <c r="O348" s="66"/>
      <c r="P348" s="71">
        <f t="shared" si="27"/>
        <v>0</v>
      </c>
      <c r="Q348" s="132"/>
      <c r="R348" s="71">
        <f t="shared" si="28"/>
        <v>-4.6210404166666663E-2</v>
      </c>
    </row>
    <row r="349" spans="1:18">
      <c r="A349" s="106" t="s">
        <v>29</v>
      </c>
      <c r="B349" s="103" t="s">
        <v>325</v>
      </c>
      <c r="C349" s="103" t="s">
        <v>326</v>
      </c>
      <c r="D349" s="102" t="s">
        <v>327</v>
      </c>
      <c r="E349" s="103" t="s">
        <v>328</v>
      </c>
      <c r="F349" s="102" t="s">
        <v>58</v>
      </c>
      <c r="G349" s="103" t="s">
        <v>20</v>
      </c>
      <c r="I349" s="103">
        <v>201504</v>
      </c>
      <c r="J349" s="104">
        <v>-43.93</v>
      </c>
      <c r="K349" s="72">
        <f t="shared" si="29"/>
        <v>42675</v>
      </c>
      <c r="L349" s="67">
        <f t="shared" si="25"/>
        <v>6</v>
      </c>
      <c r="M349" s="105">
        <v>2.23333E-3</v>
      </c>
      <c r="N349" s="104">
        <f t="shared" si="26"/>
        <v>-0.58866112139999993</v>
      </c>
      <c r="O349" s="66"/>
      <c r="P349" s="71">
        <f t="shared" si="27"/>
        <v>0</v>
      </c>
      <c r="Q349" s="132"/>
      <c r="R349" s="71">
        <f t="shared" si="28"/>
        <v>-0.67219306458333317</v>
      </c>
    </row>
    <row r="350" spans="1:18">
      <c r="A350" s="106" t="s">
        <v>29</v>
      </c>
      <c r="B350" s="103" t="s">
        <v>1392</v>
      </c>
      <c r="C350" s="103" t="s">
        <v>1393</v>
      </c>
      <c r="D350" s="102" t="s">
        <v>1394</v>
      </c>
      <c r="E350" s="103" t="s">
        <v>834</v>
      </c>
      <c r="F350" s="102" t="s">
        <v>835</v>
      </c>
      <c r="G350" s="103" t="s">
        <v>20</v>
      </c>
      <c r="I350" s="103">
        <v>201504</v>
      </c>
      <c r="J350" s="104">
        <v>469.16</v>
      </c>
      <c r="K350" s="72">
        <f t="shared" si="29"/>
        <v>42675</v>
      </c>
      <c r="L350" s="67">
        <f t="shared" si="25"/>
        <v>6</v>
      </c>
      <c r="M350" s="105">
        <v>2.23333E-3</v>
      </c>
      <c r="N350" s="104">
        <f t="shared" si="26"/>
        <v>6.2867346167999996</v>
      </c>
      <c r="O350" s="66"/>
      <c r="P350" s="71">
        <f t="shared" si="27"/>
        <v>0</v>
      </c>
      <c r="Q350" s="132"/>
      <c r="R350" s="71">
        <f t="shared" si="28"/>
        <v>7.1788321916666664</v>
      </c>
    </row>
    <row r="351" spans="1:18">
      <c r="A351" s="102" t="s">
        <v>990</v>
      </c>
      <c r="B351" s="103" t="s">
        <v>991</v>
      </c>
      <c r="C351" s="103" t="s">
        <v>992</v>
      </c>
      <c r="D351" s="102" t="s">
        <v>993</v>
      </c>
      <c r="E351" s="103" t="s">
        <v>994</v>
      </c>
      <c r="F351" s="102" t="s">
        <v>995</v>
      </c>
      <c r="G351" s="103" t="s">
        <v>20</v>
      </c>
      <c r="I351" s="103">
        <v>201504</v>
      </c>
      <c r="J351" s="104">
        <v>1517.09</v>
      </c>
      <c r="K351" s="72">
        <f t="shared" si="29"/>
        <v>42675</v>
      </c>
      <c r="L351" s="67">
        <f t="shared" si="25"/>
        <v>6</v>
      </c>
      <c r="M351" s="105">
        <v>2.0333333000000001E-3</v>
      </c>
      <c r="N351" s="104">
        <f t="shared" si="26"/>
        <v>18.508497696581998</v>
      </c>
      <c r="O351" s="66"/>
      <c r="P351" s="71">
        <f t="shared" si="27"/>
        <v>0</v>
      </c>
      <c r="Q351" s="132"/>
      <c r="R351" s="71">
        <f t="shared" si="28"/>
        <v>23.213689422916666</v>
      </c>
    </row>
    <row r="352" spans="1:18">
      <c r="A352" s="102" t="s">
        <v>990</v>
      </c>
      <c r="B352" s="103" t="s">
        <v>996</v>
      </c>
      <c r="C352" s="103" t="s">
        <v>997</v>
      </c>
      <c r="D352" s="102" t="s">
        <v>998</v>
      </c>
      <c r="E352" s="103" t="s">
        <v>999</v>
      </c>
      <c r="F352" s="102" t="s">
        <v>995</v>
      </c>
      <c r="G352" s="103" t="s">
        <v>20</v>
      </c>
      <c r="I352" s="103">
        <v>201504</v>
      </c>
      <c r="J352" s="104">
        <v>-47.21</v>
      </c>
      <c r="K352" s="72">
        <f t="shared" si="29"/>
        <v>42675</v>
      </c>
      <c r="L352" s="67">
        <f t="shared" si="25"/>
        <v>6</v>
      </c>
      <c r="M352" s="105">
        <v>2.0333333000000001E-3</v>
      </c>
      <c r="N352" s="104">
        <f t="shared" si="26"/>
        <v>-0.57596199055800001</v>
      </c>
      <c r="O352" s="66"/>
      <c r="P352" s="71">
        <f t="shared" si="27"/>
        <v>0</v>
      </c>
      <c r="Q352" s="132"/>
      <c r="R352" s="71">
        <f t="shared" si="28"/>
        <v>-0.7223818479166666</v>
      </c>
    </row>
    <row r="353" spans="1:18">
      <c r="A353" s="102" t="s">
        <v>990</v>
      </c>
      <c r="B353" s="103" t="s">
        <v>1000</v>
      </c>
      <c r="C353" s="103" t="s">
        <v>1001</v>
      </c>
      <c r="D353" s="102" t="s">
        <v>998</v>
      </c>
      <c r="E353" s="103" t="s">
        <v>1002</v>
      </c>
      <c r="F353" s="102" t="s">
        <v>995</v>
      </c>
      <c r="G353" s="103" t="s">
        <v>20</v>
      </c>
      <c r="I353" s="103">
        <v>201504</v>
      </c>
      <c r="J353" s="104">
        <v>37476.04</v>
      </c>
      <c r="K353" s="72">
        <f t="shared" si="29"/>
        <v>42675</v>
      </c>
      <c r="L353" s="67">
        <f t="shared" si="25"/>
        <v>6</v>
      </c>
      <c r="M353" s="105">
        <v>2.0333333000000001E-3</v>
      </c>
      <c r="N353" s="104">
        <f t="shared" si="26"/>
        <v>457.20768050479199</v>
      </c>
      <c r="O353" s="66"/>
      <c r="P353" s="71">
        <f t="shared" si="27"/>
        <v>0</v>
      </c>
      <c r="Q353" s="132"/>
      <c r="R353" s="71">
        <f t="shared" si="28"/>
        <v>573.43806455833328</v>
      </c>
    </row>
    <row r="354" spans="1:18">
      <c r="A354" s="102" t="s">
        <v>990</v>
      </c>
      <c r="B354" s="103" t="s">
        <v>1003</v>
      </c>
      <c r="C354" s="103" t="s">
        <v>1004</v>
      </c>
      <c r="D354" s="102" t="s">
        <v>1005</v>
      </c>
      <c r="E354" s="103" t="s">
        <v>1006</v>
      </c>
      <c r="F354" s="102" t="s">
        <v>995</v>
      </c>
      <c r="G354" s="103" t="s">
        <v>20</v>
      </c>
      <c r="I354" s="103">
        <v>201504</v>
      </c>
      <c r="J354" s="104">
        <v>42627.38</v>
      </c>
      <c r="K354" s="72">
        <f t="shared" si="29"/>
        <v>42675</v>
      </c>
      <c r="L354" s="67">
        <f t="shared" si="25"/>
        <v>6</v>
      </c>
      <c r="M354" s="105">
        <v>2.0333333000000001E-3</v>
      </c>
      <c r="N354" s="104">
        <f t="shared" si="26"/>
        <v>520.05402747452399</v>
      </c>
      <c r="O354" s="66"/>
      <c r="P354" s="71">
        <f t="shared" si="27"/>
        <v>0</v>
      </c>
      <c r="Q354" s="132"/>
      <c r="R354" s="71">
        <f t="shared" si="28"/>
        <v>652.26107892916662</v>
      </c>
    </row>
    <row r="355" spans="1:18">
      <c r="A355" s="102" t="s">
        <v>990</v>
      </c>
      <c r="B355" s="103" t="s">
        <v>1010</v>
      </c>
      <c r="C355" s="103" t="s">
        <v>1011</v>
      </c>
      <c r="D355" s="102" t="s">
        <v>1012</v>
      </c>
      <c r="E355" s="103" t="s">
        <v>1013</v>
      </c>
      <c r="F355" s="102" t="s">
        <v>995</v>
      </c>
      <c r="G355" s="103" t="s">
        <v>20</v>
      </c>
      <c r="I355" s="103">
        <v>201504</v>
      </c>
      <c r="J355" s="104">
        <v>1096.73</v>
      </c>
      <c r="K355" s="72">
        <f t="shared" si="29"/>
        <v>42675</v>
      </c>
      <c r="L355" s="67">
        <f t="shared" si="25"/>
        <v>6</v>
      </c>
      <c r="M355" s="105">
        <v>2.0333333000000001E-3</v>
      </c>
      <c r="N355" s="104">
        <f t="shared" si="26"/>
        <v>13.380105780654</v>
      </c>
      <c r="O355" s="66"/>
      <c r="P355" s="71">
        <f t="shared" si="27"/>
        <v>0</v>
      </c>
      <c r="Q355" s="132"/>
      <c r="R355" s="71">
        <f t="shared" si="28"/>
        <v>16.781568397916665</v>
      </c>
    </row>
    <row r="356" spans="1:18">
      <c r="A356" s="102" t="s">
        <v>990</v>
      </c>
      <c r="B356" s="103" t="s">
        <v>1017</v>
      </c>
      <c r="C356" s="103" t="s">
        <v>1018</v>
      </c>
      <c r="D356" s="102" t="s">
        <v>993</v>
      </c>
      <c r="E356" s="103" t="s">
        <v>1019</v>
      </c>
      <c r="F356" s="102" t="s">
        <v>995</v>
      </c>
      <c r="G356" s="103" t="s">
        <v>20</v>
      </c>
      <c r="I356" s="103">
        <v>201504</v>
      </c>
      <c r="J356" s="104">
        <v>449.24</v>
      </c>
      <c r="K356" s="72">
        <f t="shared" si="29"/>
        <v>42675</v>
      </c>
      <c r="L356" s="67">
        <f t="shared" si="25"/>
        <v>6</v>
      </c>
      <c r="M356" s="105">
        <v>2.0333333000000001E-3</v>
      </c>
      <c r="N356" s="104">
        <f t="shared" si="26"/>
        <v>5.4807279101519999</v>
      </c>
      <c r="O356" s="66"/>
      <c r="P356" s="71">
        <f t="shared" si="27"/>
        <v>0</v>
      </c>
      <c r="Q356" s="132"/>
      <c r="R356" s="71">
        <f t="shared" si="28"/>
        <v>6.8740271416666667</v>
      </c>
    </row>
    <row r="357" spans="1:18">
      <c r="A357" s="102" t="s">
        <v>990</v>
      </c>
      <c r="B357" s="103" t="s">
        <v>1020</v>
      </c>
      <c r="C357" s="103" t="s">
        <v>1021</v>
      </c>
      <c r="D357" s="102" t="s">
        <v>998</v>
      </c>
      <c r="E357" s="103" t="s">
        <v>1022</v>
      </c>
      <c r="F357" s="102" t="s">
        <v>995</v>
      </c>
      <c r="G357" s="103" t="s">
        <v>20</v>
      </c>
      <c r="I357" s="103">
        <v>201504</v>
      </c>
      <c r="J357" s="104">
        <v>2451.6999999999998</v>
      </c>
      <c r="K357" s="72">
        <f t="shared" si="29"/>
        <v>42675</v>
      </c>
      <c r="L357" s="67">
        <f t="shared" si="25"/>
        <v>6</v>
      </c>
      <c r="M357" s="105">
        <v>2.0333333000000001E-3</v>
      </c>
      <c r="N357" s="104">
        <f t="shared" si="26"/>
        <v>29.910739509659997</v>
      </c>
      <c r="O357" s="66"/>
      <c r="P357" s="71">
        <f t="shared" si="27"/>
        <v>0</v>
      </c>
      <c r="Q357" s="132"/>
      <c r="R357" s="71">
        <f t="shared" si="28"/>
        <v>37.514585395833322</v>
      </c>
    </row>
    <row r="358" spans="1:18">
      <c r="A358" s="102" t="s">
        <v>21</v>
      </c>
      <c r="B358" s="103" t="s">
        <v>930</v>
      </c>
      <c r="C358" s="103" t="s">
        <v>931</v>
      </c>
      <c r="D358" s="102" t="s">
        <v>932</v>
      </c>
      <c r="E358" s="103" t="s">
        <v>93</v>
      </c>
      <c r="F358" s="102" t="s">
        <v>88</v>
      </c>
      <c r="G358" s="103" t="s">
        <v>20</v>
      </c>
      <c r="I358" s="103">
        <v>201505</v>
      </c>
      <c r="J358" s="104">
        <v>-24407.95</v>
      </c>
      <c r="K358" s="72">
        <f>+K357</f>
        <v>42675</v>
      </c>
      <c r="L358" s="67">
        <f t="shared" si="25"/>
        <v>6</v>
      </c>
      <c r="M358" s="105">
        <v>1.4833299999999999E-3</v>
      </c>
      <c r="N358" s="104">
        <f t="shared" si="26"/>
        <v>-217.230266841</v>
      </c>
      <c r="O358" s="66"/>
      <c r="P358" s="71">
        <f t="shared" si="27"/>
        <v>0</v>
      </c>
      <c r="Q358" s="132"/>
      <c r="R358" s="71">
        <f t="shared" si="28"/>
        <v>-373.47722992708327</v>
      </c>
    </row>
    <row r="359" spans="1:18">
      <c r="A359" s="102" t="s">
        <v>21</v>
      </c>
      <c r="B359" s="103" t="s">
        <v>84</v>
      </c>
      <c r="C359" s="103" t="s">
        <v>85</v>
      </c>
      <c r="D359" s="102" t="s">
        <v>86</v>
      </c>
      <c r="E359" s="103" t="s">
        <v>87</v>
      </c>
      <c r="F359" s="102" t="s">
        <v>88</v>
      </c>
      <c r="G359" s="103" t="s">
        <v>20</v>
      </c>
      <c r="I359" s="103">
        <v>201505</v>
      </c>
      <c r="J359" s="104">
        <v>-111.02</v>
      </c>
      <c r="K359" s="72">
        <f t="shared" si="29"/>
        <v>42675</v>
      </c>
      <c r="L359" s="67">
        <f t="shared" si="25"/>
        <v>6</v>
      </c>
      <c r="M359" s="105">
        <v>1.4833299999999999E-3</v>
      </c>
      <c r="N359" s="104">
        <f t="shared" si="26"/>
        <v>-0.98807577959999993</v>
      </c>
      <c r="O359" s="66"/>
      <c r="P359" s="71">
        <f t="shared" si="27"/>
        <v>0</v>
      </c>
      <c r="Q359" s="132"/>
      <c r="R359" s="71">
        <f t="shared" si="28"/>
        <v>-1.6987679041666663</v>
      </c>
    </row>
    <row r="360" spans="1:18">
      <c r="A360" s="106" t="s">
        <v>21</v>
      </c>
      <c r="B360" s="103" t="s">
        <v>1286</v>
      </c>
      <c r="C360" s="103" t="s">
        <v>1287</v>
      </c>
      <c r="D360" s="102" t="s">
        <v>1288</v>
      </c>
      <c r="E360" s="103" t="s">
        <v>93</v>
      </c>
      <c r="F360" s="102" t="s">
        <v>88</v>
      </c>
      <c r="G360" s="103" t="s">
        <v>20</v>
      </c>
      <c r="I360" s="103">
        <v>201505</v>
      </c>
      <c r="J360" s="104">
        <v>-574.83000000000004</v>
      </c>
      <c r="K360" s="72">
        <f t="shared" si="29"/>
        <v>42675</v>
      </c>
      <c r="L360" s="67">
        <f t="shared" si="25"/>
        <v>6</v>
      </c>
      <c r="M360" s="105">
        <v>1.4833299999999999E-3</v>
      </c>
      <c r="N360" s="104">
        <f t="shared" si="26"/>
        <v>-5.1159755034000005</v>
      </c>
      <c r="O360" s="66"/>
      <c r="P360" s="71">
        <f t="shared" si="27"/>
        <v>0</v>
      </c>
      <c r="Q360" s="132"/>
      <c r="R360" s="71">
        <f t="shared" si="28"/>
        <v>-8.7957372937500011</v>
      </c>
    </row>
    <row r="361" spans="1:18">
      <c r="A361" s="102" t="s">
        <v>21</v>
      </c>
      <c r="B361" s="103" t="s">
        <v>845</v>
      </c>
      <c r="C361" s="103" t="s">
        <v>846</v>
      </c>
      <c r="D361" s="102" t="s">
        <v>847</v>
      </c>
      <c r="E361" s="103" t="s">
        <v>87</v>
      </c>
      <c r="F361" s="102" t="s">
        <v>88</v>
      </c>
      <c r="G361" s="103" t="s">
        <v>20</v>
      </c>
      <c r="I361" s="103">
        <v>201505</v>
      </c>
      <c r="J361" s="104">
        <v>-166617.54</v>
      </c>
      <c r="K361" s="72">
        <f t="shared" si="29"/>
        <v>42675</v>
      </c>
      <c r="L361" s="67">
        <f t="shared" si="25"/>
        <v>6</v>
      </c>
      <c r="M361" s="105">
        <v>1.4833299999999999E-3</v>
      </c>
      <c r="N361" s="104">
        <f t="shared" si="26"/>
        <v>-1482.8927736492001</v>
      </c>
      <c r="O361" s="66"/>
      <c r="P361" s="71">
        <f t="shared" si="27"/>
        <v>0</v>
      </c>
      <c r="Q361" s="132"/>
      <c r="R361" s="71">
        <f t="shared" si="28"/>
        <v>-2549.4913459125</v>
      </c>
    </row>
    <row r="362" spans="1:18">
      <c r="A362" s="106" t="s">
        <v>21</v>
      </c>
      <c r="B362" s="103" t="s">
        <v>1112</v>
      </c>
      <c r="C362" s="103" t="s">
        <v>1113</v>
      </c>
      <c r="D362" s="102" t="s">
        <v>1114</v>
      </c>
      <c r="E362" s="103" t="s">
        <v>260</v>
      </c>
      <c r="F362" s="102" t="s">
        <v>26</v>
      </c>
      <c r="G362" s="103" t="s">
        <v>20</v>
      </c>
      <c r="I362" s="103">
        <v>201505</v>
      </c>
      <c r="J362" s="104">
        <v>-8234.35</v>
      </c>
      <c r="K362" s="72">
        <f t="shared" si="29"/>
        <v>42675</v>
      </c>
      <c r="L362" s="67">
        <f t="shared" si="25"/>
        <v>6</v>
      </c>
      <c r="M362" s="105">
        <v>1.4833299999999999E-3</v>
      </c>
      <c r="N362" s="104">
        <f t="shared" si="26"/>
        <v>-73.285550313000002</v>
      </c>
      <c r="O362" s="66"/>
      <c r="P362" s="71">
        <f t="shared" si="27"/>
        <v>0</v>
      </c>
      <c r="Q362" s="132"/>
      <c r="R362" s="71">
        <f t="shared" si="28"/>
        <v>-125.99756342708331</v>
      </c>
    </row>
    <row r="363" spans="1:18">
      <c r="A363" s="102" t="s">
        <v>21</v>
      </c>
      <c r="B363" s="103" t="s">
        <v>177</v>
      </c>
      <c r="C363" s="103" t="s">
        <v>178</v>
      </c>
      <c r="D363" s="102" t="s">
        <v>179</v>
      </c>
      <c r="E363" s="103" t="s">
        <v>172</v>
      </c>
      <c r="F363" s="102" t="s">
        <v>173</v>
      </c>
      <c r="G363" s="103" t="s">
        <v>20</v>
      </c>
      <c r="I363" s="103">
        <v>201505</v>
      </c>
      <c r="J363" s="104">
        <v>-21.76</v>
      </c>
      <c r="K363" s="72">
        <f t="shared" si="29"/>
        <v>42675</v>
      </c>
      <c r="L363" s="67">
        <f t="shared" si="25"/>
        <v>6</v>
      </c>
      <c r="M363" s="105">
        <v>1.4833299999999999E-3</v>
      </c>
      <c r="N363" s="104">
        <f t="shared" si="26"/>
        <v>-0.19366356480000002</v>
      </c>
      <c r="O363" s="66"/>
      <c r="P363" s="71">
        <f t="shared" si="27"/>
        <v>0</v>
      </c>
      <c r="Q363" s="132"/>
      <c r="R363" s="71">
        <f t="shared" si="28"/>
        <v>-0.33295973333333334</v>
      </c>
    </row>
    <row r="364" spans="1:18">
      <c r="A364" s="102" t="s">
        <v>21</v>
      </c>
      <c r="B364" s="103" t="s">
        <v>1072</v>
      </c>
      <c r="C364" s="103" t="s">
        <v>1073</v>
      </c>
      <c r="D364" s="102" t="s">
        <v>1074</v>
      </c>
      <c r="E364" s="103" t="s">
        <v>857</v>
      </c>
      <c r="F364" s="102" t="s">
        <v>88</v>
      </c>
      <c r="G364" s="103" t="s">
        <v>20</v>
      </c>
      <c r="I364" s="103">
        <v>201505</v>
      </c>
      <c r="J364" s="104">
        <v>-1551.62</v>
      </c>
      <c r="K364" s="72">
        <f t="shared" si="29"/>
        <v>42675</v>
      </c>
      <c r="L364" s="67">
        <f t="shared" si="25"/>
        <v>6</v>
      </c>
      <c r="M364" s="105">
        <v>1.4833299999999999E-3</v>
      </c>
      <c r="N364" s="104">
        <f t="shared" si="26"/>
        <v>-13.809386967599998</v>
      </c>
      <c r="O364" s="66"/>
      <c r="P364" s="71">
        <f t="shared" si="27"/>
        <v>0</v>
      </c>
      <c r="Q364" s="132"/>
      <c r="R364" s="71">
        <f t="shared" si="28"/>
        <v>-23.742048779166662</v>
      </c>
    </row>
    <row r="365" spans="1:18">
      <c r="A365" s="102" t="s">
        <v>21</v>
      </c>
      <c r="B365" s="103" t="s">
        <v>449</v>
      </c>
      <c r="C365" s="103" t="s">
        <v>450</v>
      </c>
      <c r="D365" s="102" t="s">
        <v>451</v>
      </c>
      <c r="E365" s="103" t="s">
        <v>452</v>
      </c>
      <c r="F365" s="102" t="s">
        <v>398</v>
      </c>
      <c r="G365" s="103" t="s">
        <v>20</v>
      </c>
      <c r="I365" s="103">
        <v>201505</v>
      </c>
      <c r="J365" s="104">
        <v>-73.209999999999994</v>
      </c>
      <c r="K365" s="72">
        <f t="shared" si="29"/>
        <v>42675</v>
      </c>
      <c r="L365" s="67">
        <f t="shared" si="25"/>
        <v>6</v>
      </c>
      <c r="M365" s="105">
        <v>1.4833299999999999E-3</v>
      </c>
      <c r="N365" s="104">
        <f t="shared" si="26"/>
        <v>-0.65156753579999993</v>
      </c>
      <c r="O365" s="66"/>
      <c r="P365" s="71">
        <f t="shared" si="27"/>
        <v>0</v>
      </c>
      <c r="Q365" s="132"/>
      <c r="R365" s="71">
        <f t="shared" si="28"/>
        <v>-1.1202197645833332</v>
      </c>
    </row>
    <row r="366" spans="1:18">
      <c r="A366" s="102" t="s">
        <v>21</v>
      </c>
      <c r="B366" s="103" t="s">
        <v>230</v>
      </c>
      <c r="C366" s="103" t="s">
        <v>231</v>
      </c>
      <c r="D366" s="102" t="s">
        <v>232</v>
      </c>
      <c r="E366" s="103" t="s">
        <v>164</v>
      </c>
      <c r="F366" s="102" t="s">
        <v>165</v>
      </c>
      <c r="G366" s="103" t="s">
        <v>20</v>
      </c>
      <c r="I366" s="103">
        <v>201505</v>
      </c>
      <c r="J366" s="104">
        <v>-3.84</v>
      </c>
      <c r="K366" s="72">
        <f t="shared" si="29"/>
        <v>42675</v>
      </c>
      <c r="L366" s="67">
        <f t="shared" si="25"/>
        <v>6</v>
      </c>
      <c r="M366" s="105">
        <v>1.4833299999999999E-3</v>
      </c>
      <c r="N366" s="104">
        <f t="shared" si="26"/>
        <v>-3.41759232E-2</v>
      </c>
      <c r="O366" s="66"/>
      <c r="P366" s="71">
        <f t="shared" si="27"/>
        <v>0</v>
      </c>
      <c r="Q366" s="132"/>
      <c r="R366" s="71">
        <f t="shared" si="28"/>
        <v>-5.8757599999999993E-2</v>
      </c>
    </row>
    <row r="367" spans="1:18">
      <c r="A367" s="102" t="s">
        <v>21</v>
      </c>
      <c r="B367" s="103" t="s">
        <v>867</v>
      </c>
      <c r="C367" s="103" t="s">
        <v>868</v>
      </c>
      <c r="D367" s="102" t="s">
        <v>869</v>
      </c>
      <c r="E367" s="103" t="s">
        <v>93</v>
      </c>
      <c r="F367" s="102" t="s">
        <v>88</v>
      </c>
      <c r="G367" s="103" t="s">
        <v>20</v>
      </c>
      <c r="I367" s="103">
        <v>201505</v>
      </c>
      <c r="J367" s="104">
        <v>-95960.81</v>
      </c>
      <c r="K367" s="72">
        <f t="shared" si="29"/>
        <v>42675</v>
      </c>
      <c r="L367" s="67">
        <f t="shared" si="25"/>
        <v>6</v>
      </c>
      <c r="M367" s="105">
        <v>1.4833299999999999E-3</v>
      </c>
      <c r="N367" s="104">
        <f t="shared" si="26"/>
        <v>-854.04928978379996</v>
      </c>
      <c r="O367" s="66"/>
      <c r="P367" s="71">
        <f t="shared" si="27"/>
        <v>0</v>
      </c>
      <c r="Q367" s="132"/>
      <c r="R367" s="71">
        <f t="shared" si="28"/>
        <v>-1468.3403358479163</v>
      </c>
    </row>
    <row r="368" spans="1:18">
      <c r="A368" s="102" t="s">
        <v>21</v>
      </c>
      <c r="B368" s="103" t="s">
        <v>261</v>
      </c>
      <c r="C368" s="103" t="s">
        <v>262</v>
      </c>
      <c r="D368" s="102" t="s">
        <v>263</v>
      </c>
      <c r="E368" s="103" t="s">
        <v>75</v>
      </c>
      <c r="F368" s="102" t="s">
        <v>26</v>
      </c>
      <c r="G368" s="103" t="s">
        <v>20</v>
      </c>
      <c r="I368" s="103">
        <v>201505</v>
      </c>
      <c r="J368" s="104">
        <v>-26.57</v>
      </c>
      <c r="K368" s="72">
        <f t="shared" si="29"/>
        <v>42675</v>
      </c>
      <c r="L368" s="67">
        <f t="shared" si="25"/>
        <v>6</v>
      </c>
      <c r="M368" s="105">
        <v>1.4833299999999999E-3</v>
      </c>
      <c r="N368" s="104">
        <f t="shared" si="26"/>
        <v>-0.23647246860000001</v>
      </c>
      <c r="O368" s="66"/>
      <c r="P368" s="71">
        <f t="shared" si="27"/>
        <v>0</v>
      </c>
      <c r="Q368" s="132"/>
      <c r="R368" s="71">
        <f t="shared" si="28"/>
        <v>-0.4065597479166666</v>
      </c>
    </row>
    <row r="369" spans="1:18">
      <c r="A369" s="102" t="s">
        <v>21</v>
      </c>
      <c r="B369" s="103" t="s">
        <v>264</v>
      </c>
      <c r="C369" s="103" t="s">
        <v>265</v>
      </c>
      <c r="D369" s="102" t="s">
        <v>266</v>
      </c>
      <c r="E369" s="103" t="s">
        <v>172</v>
      </c>
      <c r="F369" s="102" t="s">
        <v>173</v>
      </c>
      <c r="G369" s="103" t="s">
        <v>20</v>
      </c>
      <c r="I369" s="103">
        <v>201505</v>
      </c>
      <c r="J369" s="104">
        <v>973.6</v>
      </c>
      <c r="K369" s="72">
        <f t="shared" si="29"/>
        <v>42675</v>
      </c>
      <c r="L369" s="67">
        <f t="shared" si="25"/>
        <v>6</v>
      </c>
      <c r="M369" s="105">
        <v>1.4833299999999999E-3</v>
      </c>
      <c r="N369" s="104">
        <f t="shared" si="26"/>
        <v>8.6650205279999994</v>
      </c>
      <c r="O369" s="66"/>
      <c r="P369" s="71">
        <f t="shared" si="27"/>
        <v>0</v>
      </c>
      <c r="Q369" s="132"/>
      <c r="R369" s="71">
        <f t="shared" si="28"/>
        <v>14.897499833333333</v>
      </c>
    </row>
    <row r="370" spans="1:18">
      <c r="A370" s="102" t="s">
        <v>21</v>
      </c>
      <c r="B370" s="103" t="s">
        <v>938</v>
      </c>
      <c r="C370" s="103" t="s">
        <v>939</v>
      </c>
      <c r="D370" s="102" t="s">
        <v>940</v>
      </c>
      <c r="E370" s="103" t="s">
        <v>209</v>
      </c>
      <c r="F370" s="102" t="s">
        <v>88</v>
      </c>
      <c r="G370" s="103" t="s">
        <v>20</v>
      </c>
      <c r="I370" s="103">
        <v>201505</v>
      </c>
      <c r="J370" s="104">
        <v>-0.39</v>
      </c>
      <c r="K370" s="72">
        <f t="shared" si="29"/>
        <v>42675</v>
      </c>
      <c r="L370" s="67">
        <f t="shared" si="25"/>
        <v>6</v>
      </c>
      <c r="M370" s="105">
        <v>1.4833299999999999E-3</v>
      </c>
      <c r="N370" s="104">
        <f t="shared" si="26"/>
        <v>-3.4709922000000001E-3</v>
      </c>
      <c r="O370" s="66"/>
      <c r="P370" s="71">
        <f t="shared" si="27"/>
        <v>0</v>
      </c>
      <c r="Q370" s="132"/>
      <c r="R370" s="71">
        <f t="shared" si="28"/>
        <v>-5.9675687499999991E-3</v>
      </c>
    </row>
    <row r="371" spans="1:18">
      <c r="A371" s="102" t="s">
        <v>21</v>
      </c>
      <c r="B371" s="103" t="s">
        <v>794</v>
      </c>
      <c r="C371" s="103" t="s">
        <v>795</v>
      </c>
      <c r="D371" s="102" t="s">
        <v>796</v>
      </c>
      <c r="E371" s="103" t="s">
        <v>172</v>
      </c>
      <c r="F371" s="102" t="s">
        <v>173</v>
      </c>
      <c r="G371" s="103" t="s">
        <v>20</v>
      </c>
      <c r="I371" s="103">
        <v>201505</v>
      </c>
      <c r="J371" s="104">
        <v>11.6</v>
      </c>
      <c r="K371" s="72">
        <f t="shared" si="29"/>
        <v>42675</v>
      </c>
      <c r="L371" s="67">
        <f t="shared" si="25"/>
        <v>6</v>
      </c>
      <c r="M371" s="105">
        <v>1.4833299999999999E-3</v>
      </c>
      <c r="N371" s="104">
        <f t="shared" si="26"/>
        <v>0.103239768</v>
      </c>
      <c r="O371" s="66"/>
      <c r="P371" s="71">
        <f t="shared" si="27"/>
        <v>0</v>
      </c>
      <c r="Q371" s="132"/>
      <c r="R371" s="71">
        <f t="shared" si="28"/>
        <v>0.17749691666666664</v>
      </c>
    </row>
    <row r="372" spans="1:18">
      <c r="A372" s="102" t="s">
        <v>21</v>
      </c>
      <c r="B372" s="103" t="s">
        <v>1118</v>
      </c>
      <c r="C372" s="103" t="s">
        <v>1119</v>
      </c>
      <c r="D372" s="102" t="s">
        <v>1120</v>
      </c>
      <c r="E372" s="103" t="s">
        <v>93</v>
      </c>
      <c r="F372" s="102" t="s">
        <v>88</v>
      </c>
      <c r="G372" s="103" t="s">
        <v>20</v>
      </c>
      <c r="I372" s="103">
        <v>201505</v>
      </c>
      <c r="J372" s="104">
        <v>-77085.710000000006</v>
      </c>
      <c r="K372" s="72">
        <f t="shared" si="29"/>
        <v>42675</v>
      </c>
      <c r="L372" s="67">
        <f t="shared" si="25"/>
        <v>6</v>
      </c>
      <c r="M372" s="105">
        <v>1.4833299999999999E-3</v>
      </c>
      <c r="N372" s="104">
        <f t="shared" si="26"/>
        <v>-686.06127728580009</v>
      </c>
      <c r="O372" s="66"/>
      <c r="P372" s="71">
        <f t="shared" si="27"/>
        <v>0</v>
      </c>
      <c r="Q372" s="132"/>
      <c r="R372" s="71">
        <f t="shared" si="28"/>
        <v>-1179.5237796604167</v>
      </c>
    </row>
    <row r="373" spans="1:18">
      <c r="A373" s="102" t="s">
        <v>21</v>
      </c>
      <c r="B373" s="103" t="s">
        <v>1250</v>
      </c>
      <c r="C373" s="103" t="s">
        <v>1251</v>
      </c>
      <c r="D373" s="102" t="s">
        <v>1252</v>
      </c>
      <c r="E373" s="103" t="s">
        <v>260</v>
      </c>
      <c r="F373" s="102" t="s">
        <v>26</v>
      </c>
      <c r="G373" s="103" t="s">
        <v>20</v>
      </c>
      <c r="I373" s="103">
        <v>201505</v>
      </c>
      <c r="J373" s="104">
        <v>-862.86</v>
      </c>
      <c r="K373" s="72">
        <f t="shared" si="29"/>
        <v>42675</v>
      </c>
      <c r="L373" s="67">
        <f t="shared" si="25"/>
        <v>6</v>
      </c>
      <c r="M373" s="105">
        <v>1.4833299999999999E-3</v>
      </c>
      <c r="N373" s="104">
        <f t="shared" si="26"/>
        <v>-7.6794367428000001</v>
      </c>
      <c r="O373" s="66"/>
      <c r="P373" s="71">
        <f t="shared" si="27"/>
        <v>0</v>
      </c>
      <c r="Q373" s="132"/>
      <c r="R373" s="71">
        <f t="shared" si="28"/>
        <v>-13.203016337499999</v>
      </c>
    </row>
    <row r="374" spans="1:18">
      <c r="A374" s="102" t="s">
        <v>21</v>
      </c>
      <c r="B374" s="103" t="s">
        <v>494</v>
      </c>
      <c r="C374" s="103" t="s">
        <v>495</v>
      </c>
      <c r="D374" s="102" t="s">
        <v>496</v>
      </c>
      <c r="E374" s="103" t="s">
        <v>497</v>
      </c>
      <c r="F374" s="102" t="s">
        <v>26</v>
      </c>
      <c r="G374" s="103" t="s">
        <v>20</v>
      </c>
      <c r="I374" s="103">
        <v>201505</v>
      </c>
      <c r="J374" s="104">
        <v>-84.69</v>
      </c>
      <c r="K374" s="72">
        <f t="shared" si="29"/>
        <v>42675</v>
      </c>
      <c r="L374" s="67">
        <f t="shared" si="25"/>
        <v>6</v>
      </c>
      <c r="M374" s="105">
        <v>1.4833299999999999E-3</v>
      </c>
      <c r="N374" s="104">
        <f t="shared" si="26"/>
        <v>-0.75373930619999996</v>
      </c>
      <c r="O374" s="66"/>
      <c r="P374" s="71">
        <f t="shared" si="27"/>
        <v>0</v>
      </c>
      <c r="Q374" s="132"/>
      <c r="R374" s="71">
        <f t="shared" si="28"/>
        <v>-1.2958805062499998</v>
      </c>
    </row>
    <row r="375" spans="1:18">
      <c r="A375" s="102" t="s">
        <v>21</v>
      </c>
      <c r="B375" s="103" t="s">
        <v>1121</v>
      </c>
      <c r="C375" s="103" t="s">
        <v>1122</v>
      </c>
      <c r="D375" s="102" t="s">
        <v>1123</v>
      </c>
      <c r="E375" s="103" t="s">
        <v>497</v>
      </c>
      <c r="F375" s="102" t="s">
        <v>26</v>
      </c>
      <c r="G375" s="103" t="s">
        <v>20</v>
      </c>
      <c r="I375" s="103">
        <v>201505</v>
      </c>
      <c r="J375" s="104">
        <v>-206213.64</v>
      </c>
      <c r="K375" s="72">
        <f t="shared" si="29"/>
        <v>42675</v>
      </c>
      <c r="L375" s="67">
        <f t="shared" si="25"/>
        <v>6</v>
      </c>
      <c r="M375" s="105">
        <v>1.4833299999999999E-3</v>
      </c>
      <c r="N375" s="104">
        <f t="shared" si="26"/>
        <v>-1835.2972717272</v>
      </c>
      <c r="O375" s="66"/>
      <c r="P375" s="71">
        <f t="shared" si="27"/>
        <v>0</v>
      </c>
      <c r="Q375" s="132"/>
      <c r="R375" s="71">
        <f t="shared" si="28"/>
        <v>-3155.3694202249999</v>
      </c>
    </row>
    <row r="376" spans="1:18">
      <c r="A376" s="102" t="s">
        <v>21</v>
      </c>
      <c r="B376" s="103" t="s">
        <v>678</v>
      </c>
      <c r="C376" s="103" t="s">
        <v>679</v>
      </c>
      <c r="D376" s="102" t="s">
        <v>680</v>
      </c>
      <c r="E376" s="103" t="s">
        <v>75</v>
      </c>
      <c r="F376" s="102" t="s">
        <v>26</v>
      </c>
      <c r="G376" s="103" t="s">
        <v>20</v>
      </c>
      <c r="I376" s="103">
        <v>201505</v>
      </c>
      <c r="J376" s="104">
        <v>-51.86</v>
      </c>
      <c r="K376" s="72">
        <f t="shared" si="29"/>
        <v>42675</v>
      </c>
      <c r="L376" s="67">
        <f t="shared" si="25"/>
        <v>6</v>
      </c>
      <c r="M376" s="105">
        <v>1.4833299999999999E-3</v>
      </c>
      <c r="N376" s="104">
        <f t="shared" si="26"/>
        <v>-0.46155296280000002</v>
      </c>
      <c r="O376" s="66"/>
      <c r="P376" s="71">
        <f t="shared" si="27"/>
        <v>0</v>
      </c>
      <c r="Q376" s="132"/>
      <c r="R376" s="71">
        <f t="shared" si="28"/>
        <v>-0.79353362916666659</v>
      </c>
    </row>
    <row r="377" spans="1:18">
      <c r="A377" s="102" t="s">
        <v>21</v>
      </c>
      <c r="B377" s="103" t="s">
        <v>1124</v>
      </c>
      <c r="C377" s="103" t="s">
        <v>1125</v>
      </c>
      <c r="D377" s="102" t="s">
        <v>1126</v>
      </c>
      <c r="E377" s="103" t="s">
        <v>87</v>
      </c>
      <c r="F377" s="102" t="s">
        <v>88</v>
      </c>
      <c r="G377" s="103" t="s">
        <v>20</v>
      </c>
      <c r="I377" s="103">
        <v>201505</v>
      </c>
      <c r="J377" s="104">
        <v>-11210.41</v>
      </c>
      <c r="K377" s="72">
        <f t="shared" si="29"/>
        <v>42675</v>
      </c>
      <c r="L377" s="67">
        <f t="shared" si="25"/>
        <v>6</v>
      </c>
      <c r="M377" s="105">
        <v>1.4833299999999999E-3</v>
      </c>
      <c r="N377" s="104">
        <f t="shared" si="26"/>
        <v>-99.772424791800006</v>
      </c>
      <c r="O377" s="66"/>
      <c r="P377" s="71">
        <f t="shared" si="27"/>
        <v>0</v>
      </c>
      <c r="Q377" s="132"/>
      <c r="R377" s="71">
        <f t="shared" si="28"/>
        <v>-171.53562151458331</v>
      </c>
    </row>
    <row r="378" spans="1:18">
      <c r="A378" s="102" t="s">
        <v>21</v>
      </c>
      <c r="B378" s="103" t="s">
        <v>1127</v>
      </c>
      <c r="C378" s="103" t="s">
        <v>1128</v>
      </c>
      <c r="D378" s="102" t="s">
        <v>1129</v>
      </c>
      <c r="E378" s="103" t="s">
        <v>87</v>
      </c>
      <c r="F378" s="102" t="s">
        <v>88</v>
      </c>
      <c r="G378" s="103" t="s">
        <v>20</v>
      </c>
      <c r="I378" s="103">
        <v>201505</v>
      </c>
      <c r="J378" s="104">
        <v>-85796.89</v>
      </c>
      <c r="K378" s="72">
        <f t="shared" si="29"/>
        <v>42675</v>
      </c>
      <c r="L378" s="67">
        <f t="shared" si="25"/>
        <v>6</v>
      </c>
      <c r="M378" s="105">
        <v>1.4833299999999999E-3</v>
      </c>
      <c r="N378" s="104">
        <f t="shared" si="26"/>
        <v>-763.59060506219998</v>
      </c>
      <c r="O378" s="66"/>
      <c r="P378" s="71">
        <f t="shared" si="27"/>
        <v>0</v>
      </c>
      <c r="Q378" s="132"/>
      <c r="R378" s="71">
        <f t="shared" si="28"/>
        <v>-1312.8175374645832</v>
      </c>
    </row>
    <row r="379" spans="1:18">
      <c r="A379" s="102" t="s">
        <v>21</v>
      </c>
      <c r="B379" s="103" t="s">
        <v>870</v>
      </c>
      <c r="C379" s="103" t="s">
        <v>871</v>
      </c>
      <c r="D379" s="102" t="s">
        <v>872</v>
      </c>
      <c r="E379" s="103" t="s">
        <v>873</v>
      </c>
      <c r="F379" s="102" t="s">
        <v>874</v>
      </c>
      <c r="G379" s="103" t="s">
        <v>20</v>
      </c>
      <c r="I379" s="103">
        <v>201505</v>
      </c>
      <c r="J379" s="104">
        <v>-7.98</v>
      </c>
      <c r="K379" s="72">
        <f t="shared" si="29"/>
        <v>42675</v>
      </c>
      <c r="L379" s="67">
        <f t="shared" si="25"/>
        <v>6</v>
      </c>
      <c r="M379" s="105">
        <v>1.4833299999999999E-3</v>
      </c>
      <c r="N379" s="104">
        <f t="shared" si="26"/>
        <v>-7.1021840400000008E-2</v>
      </c>
      <c r="O379" s="66"/>
      <c r="P379" s="71">
        <f t="shared" si="27"/>
        <v>0</v>
      </c>
      <c r="Q379" s="132"/>
      <c r="R379" s="71">
        <f t="shared" si="28"/>
        <v>-0.12210563749999999</v>
      </c>
    </row>
    <row r="380" spans="1:18">
      <c r="A380" s="102" t="s">
        <v>21</v>
      </c>
      <c r="B380" s="103" t="s">
        <v>888</v>
      </c>
      <c r="C380" s="103" t="s">
        <v>889</v>
      </c>
      <c r="D380" s="102" t="s">
        <v>890</v>
      </c>
      <c r="E380" s="103" t="s">
        <v>280</v>
      </c>
      <c r="F380" s="102" t="s">
        <v>26</v>
      </c>
      <c r="G380" s="103" t="s">
        <v>20</v>
      </c>
      <c r="I380" s="103">
        <v>201505</v>
      </c>
      <c r="J380" s="104">
        <v>-8.41</v>
      </c>
      <c r="K380" s="72">
        <f t="shared" si="29"/>
        <v>42675</v>
      </c>
      <c r="L380" s="67">
        <f t="shared" si="25"/>
        <v>6</v>
      </c>
      <c r="M380" s="105">
        <v>1.4833299999999999E-3</v>
      </c>
      <c r="N380" s="104">
        <f t="shared" si="26"/>
        <v>-7.4848831800000001E-2</v>
      </c>
      <c r="O380" s="66"/>
      <c r="P380" s="71">
        <f t="shared" si="27"/>
        <v>0</v>
      </c>
      <c r="Q380" s="132"/>
      <c r="R380" s="71">
        <f t="shared" si="28"/>
        <v>-0.12868526458333332</v>
      </c>
    </row>
    <row r="381" spans="1:18">
      <c r="A381" s="102" t="s">
        <v>21</v>
      </c>
      <c r="B381" s="103" t="s">
        <v>1191</v>
      </c>
      <c r="C381" s="103" t="s">
        <v>1192</v>
      </c>
      <c r="D381" s="102" t="s">
        <v>1193</v>
      </c>
      <c r="E381" s="103" t="s">
        <v>402</v>
      </c>
      <c r="F381" s="102" t="s">
        <v>19</v>
      </c>
      <c r="G381" s="103" t="s">
        <v>20</v>
      </c>
      <c r="I381" s="103">
        <v>201505</v>
      </c>
      <c r="J381" s="104">
        <v>0.1</v>
      </c>
      <c r="K381" s="72">
        <f t="shared" si="29"/>
        <v>42675</v>
      </c>
      <c r="L381" s="67">
        <f t="shared" si="25"/>
        <v>6</v>
      </c>
      <c r="M381" s="105">
        <v>1.4833299999999999E-3</v>
      </c>
      <c r="N381" s="104">
        <f t="shared" si="26"/>
        <v>8.8999800000000003E-4</v>
      </c>
      <c r="O381" s="66"/>
      <c r="P381" s="71">
        <f t="shared" si="27"/>
        <v>0</v>
      </c>
      <c r="Q381" s="132"/>
      <c r="R381" s="71">
        <f t="shared" si="28"/>
        <v>1.5301458333333332E-3</v>
      </c>
    </row>
    <row r="382" spans="1:18">
      <c r="A382" s="102" t="s">
        <v>21</v>
      </c>
      <c r="B382" s="103" t="s">
        <v>953</v>
      </c>
      <c r="C382" s="103" t="s">
        <v>954</v>
      </c>
      <c r="D382" s="102" t="s">
        <v>955</v>
      </c>
      <c r="E382" s="103" t="s">
        <v>531</v>
      </c>
      <c r="F382" s="102" t="s">
        <v>26</v>
      </c>
      <c r="G382" s="103" t="s">
        <v>20</v>
      </c>
      <c r="I382" s="103">
        <v>201505</v>
      </c>
      <c r="J382" s="104">
        <v>-1.24</v>
      </c>
      <c r="K382" s="72">
        <f t="shared" si="29"/>
        <v>42675</v>
      </c>
      <c r="L382" s="67">
        <f t="shared" si="25"/>
        <v>6</v>
      </c>
      <c r="M382" s="105">
        <v>1.4833299999999999E-3</v>
      </c>
      <c r="N382" s="104">
        <f t="shared" si="26"/>
        <v>-1.1035975199999999E-2</v>
      </c>
      <c r="O382" s="66"/>
      <c r="P382" s="71">
        <f t="shared" si="27"/>
        <v>0</v>
      </c>
      <c r="Q382" s="132"/>
      <c r="R382" s="71">
        <f t="shared" si="28"/>
        <v>-1.8973808333333331E-2</v>
      </c>
    </row>
    <row r="383" spans="1:18">
      <c r="A383" s="102" t="s">
        <v>21</v>
      </c>
      <c r="B383" s="103" t="s">
        <v>1145</v>
      </c>
      <c r="C383" s="103" t="s">
        <v>1146</v>
      </c>
      <c r="D383" s="102" t="s">
        <v>1147</v>
      </c>
      <c r="E383" s="103" t="s">
        <v>962</v>
      </c>
      <c r="F383" s="102" t="s">
        <v>88</v>
      </c>
      <c r="G383" s="103" t="s">
        <v>20</v>
      </c>
      <c r="I383" s="103">
        <v>201505</v>
      </c>
      <c r="J383" s="104">
        <v>-282.7</v>
      </c>
      <c r="K383" s="72">
        <f t="shared" si="29"/>
        <v>42675</v>
      </c>
      <c r="L383" s="67">
        <f t="shared" si="25"/>
        <v>6</v>
      </c>
      <c r="M383" s="105">
        <v>1.4833299999999999E-3</v>
      </c>
      <c r="N383" s="104">
        <f t="shared" si="26"/>
        <v>-2.516024346</v>
      </c>
      <c r="O383" s="66"/>
      <c r="P383" s="71">
        <f t="shared" si="27"/>
        <v>0</v>
      </c>
      <c r="Q383" s="132"/>
      <c r="R383" s="71">
        <f t="shared" si="28"/>
        <v>-4.3257222708333325</v>
      </c>
    </row>
    <row r="384" spans="1:18">
      <c r="A384" s="106" t="s">
        <v>21</v>
      </c>
      <c r="B384" s="103" t="s">
        <v>966</v>
      </c>
      <c r="C384" s="103" t="s">
        <v>967</v>
      </c>
      <c r="D384" s="102" t="s">
        <v>968</v>
      </c>
      <c r="E384" s="103" t="s">
        <v>209</v>
      </c>
      <c r="F384" s="102" t="s">
        <v>88</v>
      </c>
      <c r="G384" s="103" t="s">
        <v>20</v>
      </c>
      <c r="I384" s="103">
        <v>201505</v>
      </c>
      <c r="J384" s="104">
        <v>-4.1500000000000004</v>
      </c>
      <c r="K384" s="72">
        <f t="shared" si="29"/>
        <v>42675</v>
      </c>
      <c r="L384" s="67">
        <f t="shared" si="25"/>
        <v>6</v>
      </c>
      <c r="M384" s="105">
        <v>1.4833299999999999E-3</v>
      </c>
      <c r="N384" s="104">
        <f t="shared" si="26"/>
        <v>-3.6934917000000005E-2</v>
      </c>
      <c r="O384" s="66"/>
      <c r="P384" s="71">
        <f t="shared" si="27"/>
        <v>0</v>
      </c>
      <c r="Q384" s="132"/>
      <c r="R384" s="71">
        <f t="shared" si="28"/>
        <v>-6.3501052083333329E-2</v>
      </c>
    </row>
    <row r="385" spans="1:18">
      <c r="A385" s="106" t="s">
        <v>21</v>
      </c>
      <c r="B385" s="103" t="s">
        <v>882</v>
      </c>
      <c r="C385" s="103" t="s">
        <v>883</v>
      </c>
      <c r="D385" s="102" t="s">
        <v>884</v>
      </c>
      <c r="E385" s="103" t="s">
        <v>87</v>
      </c>
      <c r="F385" s="102" t="s">
        <v>88</v>
      </c>
      <c r="G385" s="103" t="s">
        <v>20</v>
      </c>
      <c r="I385" s="103">
        <v>201505</v>
      </c>
      <c r="J385" s="104">
        <v>-4.51</v>
      </c>
      <c r="K385" s="72">
        <f t="shared" si="29"/>
        <v>42675</v>
      </c>
      <c r="L385" s="67">
        <f t="shared" si="25"/>
        <v>6</v>
      </c>
      <c r="M385" s="105">
        <v>1.4833299999999999E-3</v>
      </c>
      <c r="N385" s="104">
        <f t="shared" si="26"/>
        <v>-4.0138909799999997E-2</v>
      </c>
      <c r="O385" s="66"/>
      <c r="P385" s="71">
        <f t="shared" si="27"/>
        <v>0</v>
      </c>
      <c r="Q385" s="132"/>
      <c r="R385" s="71">
        <f t="shared" si="28"/>
        <v>-6.9009577083333329E-2</v>
      </c>
    </row>
    <row r="386" spans="1:18">
      <c r="A386" s="102" t="s">
        <v>21</v>
      </c>
      <c r="B386" s="103" t="s">
        <v>1303</v>
      </c>
      <c r="C386" s="103" t="s">
        <v>1304</v>
      </c>
      <c r="D386" s="102" t="s">
        <v>1305</v>
      </c>
      <c r="E386" s="103" t="s">
        <v>18</v>
      </c>
      <c r="F386" s="102" t="s">
        <v>19</v>
      </c>
      <c r="G386" s="103" t="s">
        <v>20</v>
      </c>
      <c r="I386" s="103">
        <v>201505</v>
      </c>
      <c r="J386" s="104">
        <v>-96.85</v>
      </c>
      <c r="K386" s="72">
        <f t="shared" si="29"/>
        <v>42675</v>
      </c>
      <c r="L386" s="67">
        <f t="shared" si="25"/>
        <v>6</v>
      </c>
      <c r="M386" s="105">
        <v>1.4833299999999999E-3</v>
      </c>
      <c r="N386" s="104">
        <f t="shared" si="26"/>
        <v>-0.86196306299999992</v>
      </c>
      <c r="O386" s="66"/>
      <c r="P386" s="71">
        <f t="shared" si="27"/>
        <v>0</v>
      </c>
      <c r="Q386" s="132"/>
      <c r="R386" s="71">
        <f t="shared" si="28"/>
        <v>-1.4819462395833329</v>
      </c>
    </row>
    <row r="387" spans="1:18">
      <c r="A387" s="102" t="s">
        <v>21</v>
      </c>
      <c r="B387" s="103" t="s">
        <v>1097</v>
      </c>
      <c r="C387" s="103" t="s">
        <v>1098</v>
      </c>
      <c r="D387" s="102" t="s">
        <v>1099</v>
      </c>
      <c r="E387" s="103" t="s">
        <v>452</v>
      </c>
      <c r="F387" s="102" t="s">
        <v>398</v>
      </c>
      <c r="G387" s="103" t="s">
        <v>20</v>
      </c>
      <c r="I387" s="103">
        <v>201505</v>
      </c>
      <c r="J387" s="104">
        <v>4879.59</v>
      </c>
      <c r="K387" s="72">
        <f t="shared" si="29"/>
        <v>42675</v>
      </c>
      <c r="L387" s="67">
        <f t="shared" si="25"/>
        <v>6</v>
      </c>
      <c r="M387" s="105">
        <v>1.4833299999999999E-3</v>
      </c>
      <c r="N387" s="104">
        <f t="shared" si="26"/>
        <v>43.4282534082</v>
      </c>
      <c r="O387" s="66"/>
      <c r="P387" s="71">
        <f t="shared" si="27"/>
        <v>0</v>
      </c>
      <c r="Q387" s="132"/>
      <c r="R387" s="71">
        <f t="shared" si="28"/>
        <v>74.664843068750002</v>
      </c>
    </row>
    <row r="388" spans="1:18">
      <c r="A388" s="102" t="s">
        <v>21</v>
      </c>
      <c r="B388" s="103" t="s">
        <v>1100</v>
      </c>
      <c r="C388" s="103" t="s">
        <v>1101</v>
      </c>
      <c r="D388" s="102" t="s">
        <v>1102</v>
      </c>
      <c r="E388" s="103" t="s">
        <v>397</v>
      </c>
      <c r="F388" s="102" t="s">
        <v>398</v>
      </c>
      <c r="G388" s="103" t="s">
        <v>20</v>
      </c>
      <c r="I388" s="103">
        <v>201505</v>
      </c>
      <c r="J388" s="104">
        <v>-186.95</v>
      </c>
      <c r="K388" s="72">
        <f t="shared" si="29"/>
        <v>42675</v>
      </c>
      <c r="L388" s="67">
        <f t="shared" si="25"/>
        <v>6</v>
      </c>
      <c r="M388" s="105">
        <v>1.4833299999999999E-3</v>
      </c>
      <c r="N388" s="104">
        <f t="shared" si="26"/>
        <v>-1.6638512609999998</v>
      </c>
      <c r="O388" s="66"/>
      <c r="P388" s="71">
        <f t="shared" si="27"/>
        <v>0</v>
      </c>
      <c r="Q388" s="132"/>
      <c r="R388" s="71">
        <f t="shared" si="28"/>
        <v>-2.8606076354166663</v>
      </c>
    </row>
    <row r="389" spans="1:18">
      <c r="A389" s="106" t="s">
        <v>21</v>
      </c>
      <c r="B389" s="103" t="s">
        <v>894</v>
      </c>
      <c r="C389" s="103" t="s">
        <v>895</v>
      </c>
      <c r="D389" s="102" t="s">
        <v>896</v>
      </c>
      <c r="E389" s="103" t="s">
        <v>280</v>
      </c>
      <c r="F389" s="102" t="s">
        <v>26</v>
      </c>
      <c r="G389" s="103" t="s">
        <v>20</v>
      </c>
      <c r="I389" s="103">
        <v>201505</v>
      </c>
      <c r="J389" s="104">
        <v>-2.1800000000000002</v>
      </c>
      <c r="K389" s="72">
        <f t="shared" si="29"/>
        <v>42675</v>
      </c>
      <c r="L389" s="67">
        <f t="shared" ref="L389:L452" si="30">((YEAR($L$1)-YEAR(K389))*12+MONTH($L$1)-MONTH(K389))</f>
        <v>6</v>
      </c>
      <c r="M389" s="105">
        <v>1.4833299999999999E-3</v>
      </c>
      <c r="N389" s="104">
        <f t="shared" ref="N389:N452" si="31">M389*L389*J389</f>
        <v>-1.94019564E-2</v>
      </c>
      <c r="O389" s="66"/>
      <c r="P389" s="71">
        <f t="shared" si="27"/>
        <v>0</v>
      </c>
      <c r="Q389" s="132"/>
      <c r="R389" s="71">
        <f t="shared" si="28"/>
        <v>-3.3357179166666667E-2</v>
      </c>
    </row>
    <row r="390" spans="1:18">
      <c r="A390" s="106" t="s">
        <v>21</v>
      </c>
      <c r="B390" s="103" t="s">
        <v>1259</v>
      </c>
      <c r="C390" s="103" t="s">
        <v>1260</v>
      </c>
      <c r="D390" s="102" t="s">
        <v>1261</v>
      </c>
      <c r="E390" s="103" t="s">
        <v>756</v>
      </c>
      <c r="F390" s="102" t="s">
        <v>757</v>
      </c>
      <c r="G390" s="103" t="s">
        <v>20</v>
      </c>
      <c r="I390" s="103">
        <v>201505</v>
      </c>
      <c r="J390" s="104">
        <v>-116.93</v>
      </c>
      <c r="K390" s="72">
        <f t="shared" si="29"/>
        <v>42675</v>
      </c>
      <c r="L390" s="67">
        <f t="shared" si="30"/>
        <v>6</v>
      </c>
      <c r="M390" s="105">
        <v>1.4833299999999999E-3</v>
      </c>
      <c r="N390" s="104">
        <f t="shared" si="31"/>
        <v>-1.0406746614</v>
      </c>
      <c r="O390" s="66"/>
      <c r="P390" s="71">
        <f t="shared" ref="P390:P453" si="32">($P$4*0.5*J390*$T$12)</f>
        <v>0</v>
      </c>
      <c r="Q390" s="132"/>
      <c r="R390" s="71">
        <f t="shared" ref="R390:R453" si="33">($R$4*0.5*J390*$T$12)</f>
        <v>-1.7891995229166666</v>
      </c>
    </row>
    <row r="391" spans="1:18">
      <c r="A391" s="102" t="s">
        <v>21</v>
      </c>
      <c r="B391" s="103" t="s">
        <v>1306</v>
      </c>
      <c r="C391" s="103" t="s">
        <v>1307</v>
      </c>
      <c r="D391" s="102" t="s">
        <v>1308</v>
      </c>
      <c r="E391" s="103" t="s">
        <v>18</v>
      </c>
      <c r="F391" s="102" t="s">
        <v>19</v>
      </c>
      <c r="G391" s="103" t="s">
        <v>20</v>
      </c>
      <c r="I391" s="103">
        <v>201505</v>
      </c>
      <c r="J391" s="104">
        <v>-680.15</v>
      </c>
      <c r="K391" s="72">
        <f t="shared" ref="K391:K454" si="34">+K390</f>
        <v>42675</v>
      </c>
      <c r="L391" s="67">
        <f t="shared" si="30"/>
        <v>6</v>
      </c>
      <c r="M391" s="105">
        <v>1.4833299999999999E-3</v>
      </c>
      <c r="N391" s="104">
        <f t="shared" si="31"/>
        <v>-6.0533213969999995</v>
      </c>
      <c r="O391" s="66"/>
      <c r="P391" s="71">
        <f t="shared" si="32"/>
        <v>0</v>
      </c>
      <c r="Q391" s="132"/>
      <c r="R391" s="71">
        <f t="shared" si="33"/>
        <v>-10.407286885416665</v>
      </c>
    </row>
    <row r="392" spans="1:18">
      <c r="A392" s="102" t="s">
        <v>21</v>
      </c>
      <c r="B392" s="103" t="s">
        <v>1262</v>
      </c>
      <c r="C392" s="103" t="s">
        <v>1263</v>
      </c>
      <c r="D392" s="102" t="s">
        <v>1264</v>
      </c>
      <c r="E392" s="103" t="s">
        <v>172</v>
      </c>
      <c r="F392" s="102" t="s">
        <v>173</v>
      </c>
      <c r="G392" s="103" t="s">
        <v>20</v>
      </c>
      <c r="I392" s="103">
        <v>201505</v>
      </c>
      <c r="J392" s="104">
        <v>-176.78</v>
      </c>
      <c r="K392" s="72">
        <f t="shared" si="34"/>
        <v>42675</v>
      </c>
      <c r="L392" s="67">
        <f t="shared" si="30"/>
        <v>6</v>
      </c>
      <c r="M392" s="105">
        <v>1.4833299999999999E-3</v>
      </c>
      <c r="N392" s="104">
        <f t="shared" si="31"/>
        <v>-1.5733384643999999</v>
      </c>
      <c r="O392" s="66"/>
      <c r="P392" s="71">
        <f t="shared" si="32"/>
        <v>0</v>
      </c>
      <c r="Q392" s="132"/>
      <c r="R392" s="71">
        <f t="shared" si="33"/>
        <v>-2.7049918041666663</v>
      </c>
    </row>
    <row r="393" spans="1:18">
      <c r="A393" s="102" t="s">
        <v>21</v>
      </c>
      <c r="B393" s="103" t="s">
        <v>1151</v>
      </c>
      <c r="C393" s="103" t="s">
        <v>1152</v>
      </c>
      <c r="D393" s="102" t="s">
        <v>1153</v>
      </c>
      <c r="E393" s="103" t="s">
        <v>70</v>
      </c>
      <c r="F393" s="102" t="s">
        <v>71</v>
      </c>
      <c r="G393" s="103" t="s">
        <v>20</v>
      </c>
      <c r="I393" s="103">
        <v>201505</v>
      </c>
      <c r="J393" s="104">
        <v>-288.77</v>
      </c>
      <c r="K393" s="72">
        <f t="shared" si="34"/>
        <v>42675</v>
      </c>
      <c r="L393" s="67">
        <f t="shared" si="30"/>
        <v>6</v>
      </c>
      <c r="M393" s="105">
        <v>1.4833299999999999E-3</v>
      </c>
      <c r="N393" s="104">
        <f t="shared" si="31"/>
        <v>-2.5700472245999997</v>
      </c>
      <c r="O393" s="66"/>
      <c r="P393" s="71">
        <f t="shared" si="32"/>
        <v>0</v>
      </c>
      <c r="Q393" s="132"/>
      <c r="R393" s="71">
        <f t="shared" si="33"/>
        <v>-4.4186021229166661</v>
      </c>
    </row>
    <row r="394" spans="1:18">
      <c r="A394" s="102" t="s">
        <v>21</v>
      </c>
      <c r="B394" s="103" t="s">
        <v>1265</v>
      </c>
      <c r="C394" s="103" t="s">
        <v>1266</v>
      </c>
      <c r="D394" s="102" t="s">
        <v>1267</v>
      </c>
      <c r="E394" s="103" t="s">
        <v>172</v>
      </c>
      <c r="F394" s="102" t="s">
        <v>173</v>
      </c>
      <c r="G394" s="103" t="s">
        <v>20</v>
      </c>
      <c r="I394" s="103">
        <v>201505</v>
      </c>
      <c r="J394" s="104">
        <v>-252.71</v>
      </c>
      <c r="K394" s="72">
        <f t="shared" si="34"/>
        <v>42675</v>
      </c>
      <c r="L394" s="67">
        <f t="shared" si="30"/>
        <v>6</v>
      </c>
      <c r="M394" s="105">
        <v>1.4833299999999999E-3</v>
      </c>
      <c r="N394" s="104">
        <f t="shared" si="31"/>
        <v>-2.2491139458</v>
      </c>
      <c r="O394" s="66"/>
      <c r="P394" s="71">
        <f t="shared" si="32"/>
        <v>0</v>
      </c>
      <c r="Q394" s="132"/>
      <c r="R394" s="71">
        <f t="shared" si="33"/>
        <v>-3.866831535416666</v>
      </c>
    </row>
    <row r="395" spans="1:18">
      <c r="A395" s="102" t="s">
        <v>21</v>
      </c>
      <c r="B395" s="103" t="s">
        <v>1154</v>
      </c>
      <c r="C395" s="103" t="s">
        <v>1155</v>
      </c>
      <c r="D395" s="102" t="s">
        <v>1156</v>
      </c>
      <c r="E395" s="103" t="s">
        <v>397</v>
      </c>
      <c r="F395" s="102" t="s">
        <v>398</v>
      </c>
      <c r="G395" s="103" t="s">
        <v>20</v>
      </c>
      <c r="I395" s="103">
        <v>201505</v>
      </c>
      <c r="J395" s="104">
        <v>-638.74</v>
      </c>
      <c r="K395" s="72">
        <f t="shared" si="34"/>
        <v>42675</v>
      </c>
      <c r="L395" s="67">
        <f t="shared" si="30"/>
        <v>6</v>
      </c>
      <c r="M395" s="105">
        <v>1.4833299999999999E-3</v>
      </c>
      <c r="N395" s="104">
        <f t="shared" si="31"/>
        <v>-5.6847732251999998</v>
      </c>
      <c r="O395" s="66"/>
      <c r="P395" s="71">
        <f t="shared" si="32"/>
        <v>0</v>
      </c>
      <c r="Q395" s="132"/>
      <c r="R395" s="71">
        <f t="shared" si="33"/>
        <v>-9.773653495833333</v>
      </c>
    </row>
    <row r="396" spans="1:18">
      <c r="A396" s="102" t="s">
        <v>21</v>
      </c>
      <c r="B396" s="103" t="s">
        <v>1221</v>
      </c>
      <c r="C396" s="103" t="s">
        <v>1222</v>
      </c>
      <c r="D396" s="102" t="s">
        <v>1223</v>
      </c>
      <c r="E396" s="103" t="s">
        <v>360</v>
      </c>
      <c r="F396" s="102" t="s">
        <v>19</v>
      </c>
      <c r="G396" s="103" t="s">
        <v>20</v>
      </c>
      <c r="I396" s="103">
        <v>201505</v>
      </c>
      <c r="J396" s="104">
        <v>-177.18</v>
      </c>
      <c r="K396" s="72">
        <f t="shared" si="34"/>
        <v>42675</v>
      </c>
      <c r="L396" s="67">
        <f t="shared" si="30"/>
        <v>6</v>
      </c>
      <c r="M396" s="105">
        <v>1.4833299999999999E-3</v>
      </c>
      <c r="N396" s="104">
        <f t="shared" si="31"/>
        <v>-1.5768984564000001</v>
      </c>
      <c r="O396" s="66"/>
      <c r="P396" s="71">
        <f t="shared" si="32"/>
        <v>0</v>
      </c>
      <c r="Q396" s="132"/>
      <c r="R396" s="71">
        <f t="shared" si="33"/>
        <v>-2.7111123875000001</v>
      </c>
    </row>
    <row r="397" spans="1:18">
      <c r="A397" s="102" t="s">
        <v>21</v>
      </c>
      <c r="B397" s="103" t="s">
        <v>1309</v>
      </c>
      <c r="C397" s="103" t="s">
        <v>1310</v>
      </c>
      <c r="D397" s="102" t="s">
        <v>1311</v>
      </c>
      <c r="E397" s="103" t="s">
        <v>79</v>
      </c>
      <c r="F397" s="102" t="s">
        <v>26</v>
      </c>
      <c r="G397" s="103" t="s">
        <v>20</v>
      </c>
      <c r="I397" s="103">
        <v>201505</v>
      </c>
      <c r="J397" s="104">
        <v>-112.87</v>
      </c>
      <c r="K397" s="72">
        <f t="shared" si="34"/>
        <v>42675</v>
      </c>
      <c r="L397" s="67">
        <f t="shared" si="30"/>
        <v>6</v>
      </c>
      <c r="M397" s="105">
        <v>1.4833299999999999E-3</v>
      </c>
      <c r="N397" s="104">
        <f t="shared" si="31"/>
        <v>-1.0045407426000001</v>
      </c>
      <c r="O397" s="66"/>
      <c r="P397" s="71">
        <f t="shared" si="32"/>
        <v>0</v>
      </c>
      <c r="Q397" s="132"/>
      <c r="R397" s="71">
        <f t="shared" si="33"/>
        <v>-1.7270756020833333</v>
      </c>
    </row>
    <row r="398" spans="1:18">
      <c r="A398" s="102" t="s">
        <v>21</v>
      </c>
      <c r="B398" s="103" t="s">
        <v>1230</v>
      </c>
      <c r="C398" s="103" t="s">
        <v>1231</v>
      </c>
      <c r="D398" s="102" t="s">
        <v>1232</v>
      </c>
      <c r="E398" s="103" t="s">
        <v>63</v>
      </c>
      <c r="F398" s="102" t="s">
        <v>19</v>
      </c>
      <c r="G398" s="103" t="s">
        <v>20</v>
      </c>
      <c r="I398" s="103">
        <v>201505</v>
      </c>
      <c r="J398" s="104">
        <v>-54.15</v>
      </c>
      <c r="K398" s="72">
        <f t="shared" si="34"/>
        <v>42675</v>
      </c>
      <c r="L398" s="67">
        <f t="shared" si="30"/>
        <v>6</v>
      </c>
      <c r="M398" s="105">
        <v>1.4833299999999999E-3</v>
      </c>
      <c r="N398" s="104">
        <f t="shared" si="31"/>
        <v>-0.48193391699999999</v>
      </c>
      <c r="O398" s="66"/>
      <c r="P398" s="71">
        <f t="shared" si="32"/>
        <v>0</v>
      </c>
      <c r="Q398" s="132"/>
      <c r="R398" s="71">
        <f t="shared" si="33"/>
        <v>-0.82857396874999989</v>
      </c>
    </row>
    <row r="399" spans="1:18">
      <c r="A399" s="102" t="s">
        <v>21</v>
      </c>
      <c r="B399" s="103" t="s">
        <v>1233</v>
      </c>
      <c r="C399" s="103" t="s">
        <v>1234</v>
      </c>
      <c r="D399" s="102" t="s">
        <v>1235</v>
      </c>
      <c r="E399" s="103" t="s">
        <v>172</v>
      </c>
      <c r="F399" s="102" t="s">
        <v>173</v>
      </c>
      <c r="G399" s="103" t="s">
        <v>20</v>
      </c>
      <c r="I399" s="103">
        <v>201505</v>
      </c>
      <c r="J399" s="104">
        <v>-89.11</v>
      </c>
      <c r="K399" s="72">
        <f t="shared" si="34"/>
        <v>42675</v>
      </c>
      <c r="L399" s="67">
        <f t="shared" si="30"/>
        <v>6</v>
      </c>
      <c r="M399" s="105">
        <v>1.4833299999999999E-3</v>
      </c>
      <c r="N399" s="104">
        <f t="shared" si="31"/>
        <v>-0.79307721779999996</v>
      </c>
      <c r="O399" s="66"/>
      <c r="P399" s="71">
        <f t="shared" si="32"/>
        <v>0</v>
      </c>
      <c r="Q399" s="132"/>
      <c r="R399" s="71">
        <f t="shared" si="33"/>
        <v>-1.3635129520833331</v>
      </c>
    </row>
    <row r="400" spans="1:18">
      <c r="A400" s="102" t="s">
        <v>21</v>
      </c>
      <c r="B400" s="103" t="s">
        <v>1354</v>
      </c>
      <c r="C400" s="103" t="s">
        <v>1355</v>
      </c>
      <c r="D400" s="102" t="s">
        <v>1356</v>
      </c>
      <c r="E400" s="103" t="s">
        <v>75</v>
      </c>
      <c r="F400" s="102" t="s">
        <v>26</v>
      </c>
      <c r="G400" s="103" t="s">
        <v>20</v>
      </c>
      <c r="I400" s="103">
        <v>201505</v>
      </c>
      <c r="J400" s="104">
        <v>3082.79</v>
      </c>
      <c r="K400" s="72">
        <f t="shared" si="34"/>
        <v>42675</v>
      </c>
      <c r="L400" s="67">
        <f t="shared" si="30"/>
        <v>6</v>
      </c>
      <c r="M400" s="105">
        <v>1.4833299999999999E-3</v>
      </c>
      <c r="N400" s="104">
        <f t="shared" si="31"/>
        <v>27.436769344199998</v>
      </c>
      <c r="O400" s="66"/>
      <c r="P400" s="71">
        <f t="shared" si="32"/>
        <v>0</v>
      </c>
      <c r="Q400" s="132"/>
      <c r="R400" s="71">
        <f t="shared" si="33"/>
        <v>47.171182735416657</v>
      </c>
    </row>
    <row r="401" spans="1:18">
      <c r="A401" s="102" t="s">
        <v>21</v>
      </c>
      <c r="B401" s="103" t="s">
        <v>1395</v>
      </c>
      <c r="C401" s="103" t="s">
        <v>1396</v>
      </c>
      <c r="D401" s="102" t="s">
        <v>1397</v>
      </c>
      <c r="E401" s="103" t="s">
        <v>360</v>
      </c>
      <c r="F401" s="102" t="s">
        <v>19</v>
      </c>
      <c r="G401" s="103" t="s">
        <v>20</v>
      </c>
      <c r="I401" s="103">
        <v>201505</v>
      </c>
      <c r="J401" s="104">
        <v>6039</v>
      </c>
      <c r="K401" s="72">
        <f t="shared" si="34"/>
        <v>42675</v>
      </c>
      <c r="L401" s="67">
        <f t="shared" si="30"/>
        <v>6</v>
      </c>
      <c r="M401" s="105">
        <v>1.4833299999999999E-3</v>
      </c>
      <c r="N401" s="104">
        <f t="shared" si="31"/>
        <v>53.74697922</v>
      </c>
      <c r="O401" s="66"/>
      <c r="P401" s="71">
        <f t="shared" si="32"/>
        <v>0</v>
      </c>
      <c r="Q401" s="132"/>
      <c r="R401" s="71">
        <f t="shared" si="33"/>
        <v>92.405506874999986</v>
      </c>
    </row>
    <row r="402" spans="1:18">
      <c r="A402" s="102" t="s">
        <v>21</v>
      </c>
      <c r="B402" s="103" t="s">
        <v>1398</v>
      </c>
      <c r="C402" s="103" t="s">
        <v>1399</v>
      </c>
      <c r="D402" s="102" t="s">
        <v>1223</v>
      </c>
      <c r="E402" s="103" t="s">
        <v>360</v>
      </c>
      <c r="F402" s="102" t="s">
        <v>19</v>
      </c>
      <c r="G402" s="103" t="s">
        <v>20</v>
      </c>
      <c r="I402" s="103">
        <v>201505</v>
      </c>
      <c r="J402" s="104">
        <v>772.7</v>
      </c>
      <c r="K402" s="72">
        <f t="shared" si="34"/>
        <v>42675</v>
      </c>
      <c r="L402" s="67">
        <f t="shared" si="30"/>
        <v>6</v>
      </c>
      <c r="M402" s="105">
        <v>1.4833299999999999E-3</v>
      </c>
      <c r="N402" s="104">
        <f t="shared" si="31"/>
        <v>6.8770145460000007</v>
      </c>
      <c r="O402" s="66"/>
      <c r="P402" s="71">
        <f t="shared" si="32"/>
        <v>0</v>
      </c>
      <c r="Q402" s="132"/>
      <c r="R402" s="71">
        <f t="shared" si="33"/>
        <v>11.823436854166665</v>
      </c>
    </row>
    <row r="403" spans="1:18">
      <c r="A403" s="102" t="s">
        <v>21</v>
      </c>
      <c r="B403" s="103" t="s">
        <v>1400</v>
      </c>
      <c r="C403" s="103" t="s">
        <v>1401</v>
      </c>
      <c r="D403" s="102" t="s">
        <v>1402</v>
      </c>
      <c r="E403" s="103" t="s">
        <v>360</v>
      </c>
      <c r="F403" s="102" t="s">
        <v>19</v>
      </c>
      <c r="G403" s="103" t="s">
        <v>20</v>
      </c>
      <c r="I403" s="103">
        <v>201505</v>
      </c>
      <c r="J403" s="104">
        <v>4977.58</v>
      </c>
      <c r="K403" s="72">
        <f t="shared" si="34"/>
        <v>42675</v>
      </c>
      <c r="L403" s="67">
        <f t="shared" si="30"/>
        <v>6</v>
      </c>
      <c r="M403" s="105">
        <v>1.4833299999999999E-3</v>
      </c>
      <c r="N403" s="104">
        <f t="shared" si="31"/>
        <v>44.300362448400001</v>
      </c>
      <c r="O403" s="66"/>
      <c r="P403" s="71">
        <f t="shared" si="32"/>
        <v>0</v>
      </c>
      <c r="Q403" s="132"/>
      <c r="R403" s="71">
        <f t="shared" si="33"/>
        <v>76.164232970833325</v>
      </c>
    </row>
    <row r="404" spans="1:18">
      <c r="A404" s="102" t="s">
        <v>21</v>
      </c>
      <c r="B404" s="103" t="s">
        <v>1403</v>
      </c>
      <c r="C404" s="103" t="s">
        <v>1404</v>
      </c>
      <c r="D404" s="102" t="s">
        <v>1223</v>
      </c>
      <c r="E404" s="103" t="s">
        <v>360</v>
      </c>
      <c r="F404" s="102" t="s">
        <v>19</v>
      </c>
      <c r="G404" s="103" t="s">
        <v>20</v>
      </c>
      <c r="I404" s="103">
        <v>201505</v>
      </c>
      <c r="J404" s="104">
        <v>4772.05</v>
      </c>
      <c r="K404" s="72">
        <f t="shared" si="34"/>
        <v>42675</v>
      </c>
      <c r="L404" s="67">
        <f t="shared" si="30"/>
        <v>6</v>
      </c>
      <c r="M404" s="105">
        <v>1.4833299999999999E-3</v>
      </c>
      <c r="N404" s="104">
        <f t="shared" si="31"/>
        <v>42.471149559000004</v>
      </c>
      <c r="O404" s="66"/>
      <c r="P404" s="71">
        <f t="shared" si="32"/>
        <v>0</v>
      </c>
      <c r="Q404" s="132"/>
      <c r="R404" s="71">
        <f t="shared" si="33"/>
        <v>73.019324239583327</v>
      </c>
    </row>
    <row r="405" spans="1:18">
      <c r="A405" s="102" t="s">
        <v>21</v>
      </c>
      <c r="B405" s="103" t="s">
        <v>1405</v>
      </c>
      <c r="C405" s="103" t="s">
        <v>1406</v>
      </c>
      <c r="D405" s="102" t="s">
        <v>1407</v>
      </c>
      <c r="E405" s="103" t="s">
        <v>360</v>
      </c>
      <c r="F405" s="102" t="s">
        <v>19</v>
      </c>
      <c r="G405" s="103" t="s">
        <v>20</v>
      </c>
      <c r="I405" s="103">
        <v>201505</v>
      </c>
      <c r="J405" s="104">
        <v>4709.07</v>
      </c>
      <c r="K405" s="72">
        <f t="shared" si="34"/>
        <v>42675</v>
      </c>
      <c r="L405" s="67">
        <f t="shared" si="30"/>
        <v>6</v>
      </c>
      <c r="M405" s="105">
        <v>1.4833299999999999E-3</v>
      </c>
      <c r="N405" s="104">
        <f t="shared" si="31"/>
        <v>41.910628818599996</v>
      </c>
      <c r="O405" s="66"/>
      <c r="P405" s="71">
        <f t="shared" si="32"/>
        <v>0</v>
      </c>
      <c r="Q405" s="132"/>
      <c r="R405" s="71">
        <f t="shared" si="33"/>
        <v>72.055638393749987</v>
      </c>
    </row>
    <row r="406" spans="1:18">
      <c r="A406" s="102" t="s">
        <v>133</v>
      </c>
      <c r="B406" s="103" t="s">
        <v>1312</v>
      </c>
      <c r="C406" s="103" t="s">
        <v>1313</v>
      </c>
      <c r="D406" s="102" t="s">
        <v>1314</v>
      </c>
      <c r="E406" s="103" t="s">
        <v>137</v>
      </c>
      <c r="F406" s="102" t="s">
        <v>138</v>
      </c>
      <c r="G406" s="103" t="s">
        <v>20</v>
      </c>
      <c r="I406" s="103">
        <v>201505</v>
      </c>
      <c r="J406" s="104">
        <v>-995.08</v>
      </c>
      <c r="K406" s="72">
        <f t="shared" si="34"/>
        <v>42675</v>
      </c>
      <c r="L406" s="67">
        <f t="shared" si="30"/>
        <v>6</v>
      </c>
      <c r="M406" s="105">
        <v>1.4833299999999999E-3</v>
      </c>
      <c r="N406" s="104">
        <f t="shared" si="31"/>
        <v>-8.8561920984000011</v>
      </c>
      <c r="O406" s="66"/>
      <c r="P406" s="71">
        <f t="shared" si="32"/>
        <v>0</v>
      </c>
      <c r="Q406" s="132"/>
      <c r="R406" s="71">
        <f t="shared" si="33"/>
        <v>-15.22617515833333</v>
      </c>
    </row>
    <row r="407" spans="1:18">
      <c r="A407" s="102" t="s">
        <v>554</v>
      </c>
      <c r="B407" s="103" t="s">
        <v>116</v>
      </c>
      <c r="C407" s="103" t="s">
        <v>117</v>
      </c>
      <c r="D407" s="102" t="s">
        <v>118</v>
      </c>
      <c r="E407" s="103" t="s">
        <v>119</v>
      </c>
      <c r="F407" s="102" t="s">
        <v>120</v>
      </c>
      <c r="G407" s="103" t="s">
        <v>20</v>
      </c>
      <c r="I407" s="103">
        <v>201505</v>
      </c>
      <c r="J407" s="104">
        <v>191336.66</v>
      </c>
      <c r="K407" s="72">
        <f t="shared" si="34"/>
        <v>42675</v>
      </c>
      <c r="L407" s="67">
        <f t="shared" si="30"/>
        <v>6</v>
      </c>
      <c r="M407" s="105">
        <v>1.4833299999999999E-3</v>
      </c>
      <c r="N407" s="104">
        <f t="shared" si="31"/>
        <v>1702.8924472668</v>
      </c>
      <c r="O407" s="66"/>
      <c r="P407" s="71">
        <f t="shared" si="32"/>
        <v>0</v>
      </c>
      <c r="Q407" s="132"/>
      <c r="R407" s="71">
        <f t="shared" si="33"/>
        <v>2927.7299306291666</v>
      </c>
    </row>
    <row r="408" spans="1:18">
      <c r="A408" s="102" t="s">
        <v>554</v>
      </c>
      <c r="B408" s="103" t="s">
        <v>1408</v>
      </c>
      <c r="C408" s="103" t="s">
        <v>1409</v>
      </c>
      <c r="D408" s="102" t="s">
        <v>1335</v>
      </c>
      <c r="E408" s="103" t="s">
        <v>164</v>
      </c>
      <c r="F408" s="102" t="s">
        <v>165</v>
      </c>
      <c r="G408" s="103" t="s">
        <v>20</v>
      </c>
      <c r="I408" s="103">
        <v>201505</v>
      </c>
      <c r="J408" s="104">
        <v>83470.25</v>
      </c>
      <c r="K408" s="72">
        <f t="shared" si="34"/>
        <v>42675</v>
      </c>
      <c r="L408" s="67">
        <f t="shared" si="30"/>
        <v>6</v>
      </c>
      <c r="M408" s="105">
        <v>1.4833299999999999E-3</v>
      </c>
      <c r="N408" s="104">
        <f t="shared" si="31"/>
        <v>742.88355559499996</v>
      </c>
      <c r="O408" s="66"/>
      <c r="P408" s="71">
        <f t="shared" si="32"/>
        <v>0</v>
      </c>
      <c r="Q408" s="132"/>
      <c r="R408" s="71">
        <f t="shared" si="33"/>
        <v>1277.2165524479165</v>
      </c>
    </row>
    <row r="409" spans="1:18">
      <c r="A409" s="102" t="s">
        <v>626</v>
      </c>
      <c r="B409" s="103" t="s">
        <v>930</v>
      </c>
      <c r="C409" s="103" t="s">
        <v>931</v>
      </c>
      <c r="D409" s="102" t="s">
        <v>932</v>
      </c>
      <c r="E409" s="103" t="s">
        <v>93</v>
      </c>
      <c r="F409" s="102" t="s">
        <v>88</v>
      </c>
      <c r="G409" s="103" t="s">
        <v>20</v>
      </c>
      <c r="I409" s="103">
        <v>201505</v>
      </c>
      <c r="J409" s="104">
        <v>25400.57</v>
      </c>
      <c r="K409" s="72">
        <f t="shared" si="34"/>
        <v>42675</v>
      </c>
      <c r="L409" s="67">
        <f t="shared" si="30"/>
        <v>6</v>
      </c>
      <c r="M409" s="105">
        <v>1.4833299999999999E-3</v>
      </c>
      <c r="N409" s="104">
        <f t="shared" si="31"/>
        <v>226.06456498860001</v>
      </c>
      <c r="O409" s="66"/>
      <c r="P409" s="71">
        <f t="shared" si="32"/>
        <v>0</v>
      </c>
      <c r="Q409" s="132"/>
      <c r="R409" s="71">
        <f t="shared" si="33"/>
        <v>388.66576349791666</v>
      </c>
    </row>
    <row r="410" spans="1:18">
      <c r="A410" s="102" t="s">
        <v>626</v>
      </c>
      <c r="B410" s="103" t="s">
        <v>1063</v>
      </c>
      <c r="C410" s="103" t="s">
        <v>1064</v>
      </c>
      <c r="D410" s="102" t="s">
        <v>1065</v>
      </c>
      <c r="E410" s="103" t="s">
        <v>497</v>
      </c>
      <c r="F410" s="102" t="s">
        <v>26</v>
      </c>
      <c r="G410" s="103" t="s">
        <v>20</v>
      </c>
      <c r="I410" s="103">
        <v>201505</v>
      </c>
      <c r="J410" s="104">
        <v>-82.1</v>
      </c>
      <c r="K410" s="72">
        <f t="shared" si="34"/>
        <v>42675</v>
      </c>
      <c r="L410" s="67">
        <f t="shared" si="30"/>
        <v>6</v>
      </c>
      <c r="M410" s="105">
        <v>1.4833299999999999E-3</v>
      </c>
      <c r="N410" s="104">
        <f t="shared" si="31"/>
        <v>-0.73068835799999998</v>
      </c>
      <c r="O410" s="66"/>
      <c r="P410" s="71">
        <f t="shared" si="32"/>
        <v>0</v>
      </c>
      <c r="Q410" s="132"/>
      <c r="R410" s="71">
        <f t="shared" si="33"/>
        <v>-1.2562497291666666</v>
      </c>
    </row>
    <row r="411" spans="1:18">
      <c r="A411" s="102" t="s">
        <v>626</v>
      </c>
      <c r="B411" s="103" t="s">
        <v>1066</v>
      </c>
      <c r="C411" s="103" t="s">
        <v>1067</v>
      </c>
      <c r="D411" s="102" t="s">
        <v>1068</v>
      </c>
      <c r="E411" s="103" t="s">
        <v>75</v>
      </c>
      <c r="F411" s="102" t="s">
        <v>26</v>
      </c>
      <c r="G411" s="103" t="s">
        <v>20</v>
      </c>
      <c r="I411" s="103">
        <v>201505</v>
      </c>
      <c r="J411" s="104">
        <v>-314.66000000000003</v>
      </c>
      <c r="K411" s="72">
        <f t="shared" si="34"/>
        <v>42675</v>
      </c>
      <c r="L411" s="67">
        <f t="shared" si="30"/>
        <v>6</v>
      </c>
      <c r="M411" s="105">
        <v>1.4833299999999999E-3</v>
      </c>
      <c r="N411" s="104">
        <f t="shared" si="31"/>
        <v>-2.8004677068000001</v>
      </c>
      <c r="O411" s="66"/>
      <c r="P411" s="71">
        <f t="shared" si="32"/>
        <v>0</v>
      </c>
      <c r="Q411" s="132"/>
      <c r="R411" s="71">
        <f t="shared" si="33"/>
        <v>-4.8147568791666666</v>
      </c>
    </row>
    <row r="412" spans="1:18">
      <c r="A412" s="106" t="s">
        <v>626</v>
      </c>
      <c r="B412" s="103" t="s">
        <v>845</v>
      </c>
      <c r="C412" s="103" t="s">
        <v>846</v>
      </c>
      <c r="D412" s="102" t="s">
        <v>847</v>
      </c>
      <c r="E412" s="103" t="s">
        <v>87</v>
      </c>
      <c r="F412" s="102" t="s">
        <v>88</v>
      </c>
      <c r="G412" s="103" t="s">
        <v>20</v>
      </c>
      <c r="I412" s="103">
        <v>201505</v>
      </c>
      <c r="J412" s="104">
        <v>166617.54</v>
      </c>
      <c r="K412" s="72">
        <f t="shared" si="34"/>
        <v>42675</v>
      </c>
      <c r="L412" s="67">
        <f t="shared" si="30"/>
        <v>6</v>
      </c>
      <c r="M412" s="105">
        <v>1.4833299999999999E-3</v>
      </c>
      <c r="N412" s="104">
        <f t="shared" si="31"/>
        <v>1482.8927736492001</v>
      </c>
      <c r="O412" s="66"/>
      <c r="P412" s="71">
        <f t="shared" si="32"/>
        <v>0</v>
      </c>
      <c r="Q412" s="132"/>
      <c r="R412" s="71">
        <f t="shared" si="33"/>
        <v>2549.4913459125</v>
      </c>
    </row>
    <row r="413" spans="1:18">
      <c r="A413" s="102" t="s">
        <v>626</v>
      </c>
      <c r="B413" s="103" t="s">
        <v>1112</v>
      </c>
      <c r="C413" s="103" t="s">
        <v>1113</v>
      </c>
      <c r="D413" s="102" t="s">
        <v>1114</v>
      </c>
      <c r="E413" s="103" t="s">
        <v>260</v>
      </c>
      <c r="F413" s="102" t="s">
        <v>26</v>
      </c>
      <c r="G413" s="103" t="s">
        <v>20</v>
      </c>
      <c r="I413" s="103">
        <v>201505</v>
      </c>
      <c r="J413" s="104">
        <v>8241.01</v>
      </c>
      <c r="K413" s="72">
        <f t="shared" si="34"/>
        <v>42675</v>
      </c>
      <c r="L413" s="67">
        <f t="shared" si="30"/>
        <v>6</v>
      </c>
      <c r="M413" s="105">
        <v>1.4833299999999999E-3</v>
      </c>
      <c r="N413" s="104">
        <f t="shared" si="31"/>
        <v>73.3448241798</v>
      </c>
      <c r="O413" s="66"/>
      <c r="P413" s="71">
        <f t="shared" si="32"/>
        <v>0</v>
      </c>
      <c r="Q413" s="132"/>
      <c r="R413" s="71">
        <f t="shared" si="33"/>
        <v>126.09947113958333</v>
      </c>
    </row>
    <row r="414" spans="1:18">
      <c r="A414" s="102" t="s">
        <v>626</v>
      </c>
      <c r="B414" s="103" t="s">
        <v>1069</v>
      </c>
      <c r="C414" s="103" t="s">
        <v>1070</v>
      </c>
      <c r="D414" s="102" t="s">
        <v>1071</v>
      </c>
      <c r="E414" s="103" t="s">
        <v>260</v>
      </c>
      <c r="F414" s="102" t="s">
        <v>26</v>
      </c>
      <c r="G414" s="103" t="s">
        <v>20</v>
      </c>
      <c r="I414" s="103">
        <v>201505</v>
      </c>
      <c r="J414" s="104">
        <v>-386.27</v>
      </c>
      <c r="K414" s="72">
        <f t="shared" si="34"/>
        <v>42675</v>
      </c>
      <c r="L414" s="67">
        <f t="shared" si="30"/>
        <v>6</v>
      </c>
      <c r="M414" s="105">
        <v>1.4833299999999999E-3</v>
      </c>
      <c r="N414" s="104">
        <f t="shared" si="31"/>
        <v>-3.4377952746</v>
      </c>
      <c r="O414" s="66"/>
      <c r="P414" s="71">
        <f t="shared" si="32"/>
        <v>0</v>
      </c>
      <c r="Q414" s="132"/>
      <c r="R414" s="71">
        <f t="shared" si="33"/>
        <v>-5.9104943104166656</v>
      </c>
    </row>
    <row r="415" spans="1:18">
      <c r="A415" s="102" t="s">
        <v>626</v>
      </c>
      <c r="B415" s="103" t="s">
        <v>741</v>
      </c>
      <c r="C415" s="103" t="s">
        <v>742</v>
      </c>
      <c r="D415" s="102" t="s">
        <v>743</v>
      </c>
      <c r="E415" s="103" t="s">
        <v>415</v>
      </c>
      <c r="F415" s="102" t="s">
        <v>88</v>
      </c>
      <c r="G415" s="103" t="s">
        <v>20</v>
      </c>
      <c r="I415" s="103">
        <v>201505</v>
      </c>
      <c r="J415" s="104">
        <v>-14.8</v>
      </c>
      <c r="K415" s="72">
        <f t="shared" si="34"/>
        <v>42675</v>
      </c>
      <c r="L415" s="67">
        <f t="shared" si="30"/>
        <v>6</v>
      </c>
      <c r="M415" s="105">
        <v>1.4833299999999999E-3</v>
      </c>
      <c r="N415" s="104">
        <f t="shared" si="31"/>
        <v>-0.13171970400000002</v>
      </c>
      <c r="O415" s="66"/>
      <c r="P415" s="71">
        <f t="shared" si="32"/>
        <v>0</v>
      </c>
      <c r="Q415" s="132"/>
      <c r="R415" s="71">
        <f t="shared" si="33"/>
        <v>-0.22646158333333333</v>
      </c>
    </row>
    <row r="416" spans="1:18">
      <c r="A416" s="102" t="s">
        <v>626</v>
      </c>
      <c r="B416" s="103" t="s">
        <v>700</v>
      </c>
      <c r="C416" s="103" t="s">
        <v>701</v>
      </c>
      <c r="D416" s="102" t="s">
        <v>702</v>
      </c>
      <c r="E416" s="103" t="s">
        <v>25</v>
      </c>
      <c r="F416" s="102" t="s">
        <v>26</v>
      </c>
      <c r="G416" s="103" t="s">
        <v>20</v>
      </c>
      <c r="I416" s="103">
        <v>201505</v>
      </c>
      <c r="J416" s="104">
        <v>-0.65</v>
      </c>
      <c r="K416" s="72">
        <f t="shared" si="34"/>
        <v>42675</v>
      </c>
      <c r="L416" s="67">
        <f t="shared" si="30"/>
        <v>6</v>
      </c>
      <c r="M416" s="105">
        <v>1.4833299999999999E-3</v>
      </c>
      <c r="N416" s="104">
        <f t="shared" si="31"/>
        <v>-5.7849870000000001E-3</v>
      </c>
      <c r="O416" s="66"/>
      <c r="P416" s="71">
        <f t="shared" si="32"/>
        <v>0</v>
      </c>
      <c r="Q416" s="132"/>
      <c r="R416" s="71">
        <f t="shared" si="33"/>
        <v>-9.9459479166666663E-3</v>
      </c>
    </row>
    <row r="417" spans="1:18">
      <c r="A417" s="102" t="s">
        <v>626</v>
      </c>
      <c r="B417" s="103" t="s">
        <v>750</v>
      </c>
      <c r="C417" s="103" t="s">
        <v>751</v>
      </c>
      <c r="D417" s="102" t="s">
        <v>752</v>
      </c>
      <c r="E417" s="103" t="s">
        <v>164</v>
      </c>
      <c r="F417" s="102" t="s">
        <v>165</v>
      </c>
      <c r="G417" s="103" t="s">
        <v>20</v>
      </c>
      <c r="I417" s="103">
        <v>201505</v>
      </c>
      <c r="J417" s="104">
        <v>54.42</v>
      </c>
      <c r="K417" s="72">
        <f t="shared" si="34"/>
        <v>42675</v>
      </c>
      <c r="L417" s="67">
        <f t="shared" si="30"/>
        <v>6</v>
      </c>
      <c r="M417" s="105">
        <v>1.4833299999999999E-3</v>
      </c>
      <c r="N417" s="104">
        <f t="shared" si="31"/>
        <v>0.48433691160000003</v>
      </c>
      <c r="O417" s="66"/>
      <c r="P417" s="71">
        <f t="shared" si="32"/>
        <v>0</v>
      </c>
      <c r="Q417" s="132"/>
      <c r="R417" s="71">
        <f t="shared" si="33"/>
        <v>0.83270536249999993</v>
      </c>
    </row>
    <row r="418" spans="1:18">
      <c r="A418" s="102" t="s">
        <v>626</v>
      </c>
      <c r="B418" s="103" t="s">
        <v>465</v>
      </c>
      <c r="C418" s="103" t="s">
        <v>466</v>
      </c>
      <c r="D418" s="102" t="s">
        <v>467</v>
      </c>
      <c r="E418" s="103" t="s">
        <v>75</v>
      </c>
      <c r="F418" s="102" t="s">
        <v>26</v>
      </c>
      <c r="G418" s="103" t="s">
        <v>20</v>
      </c>
      <c r="I418" s="103">
        <v>201505</v>
      </c>
      <c r="J418" s="104">
        <v>-5.74</v>
      </c>
      <c r="K418" s="72">
        <f t="shared" si="34"/>
        <v>42675</v>
      </c>
      <c r="L418" s="67">
        <f t="shared" si="30"/>
        <v>6</v>
      </c>
      <c r="M418" s="105">
        <v>1.4833299999999999E-3</v>
      </c>
      <c r="N418" s="104">
        <f t="shared" si="31"/>
        <v>-5.10858852E-2</v>
      </c>
      <c r="O418" s="66"/>
      <c r="P418" s="71">
        <f t="shared" si="32"/>
        <v>0</v>
      </c>
      <c r="Q418" s="132"/>
      <c r="R418" s="71">
        <f t="shared" si="33"/>
        <v>-8.7830370833333324E-2</v>
      </c>
    </row>
    <row r="419" spans="1:18">
      <c r="A419" s="102" t="s">
        <v>626</v>
      </c>
      <c r="B419" s="103" t="s">
        <v>867</v>
      </c>
      <c r="C419" s="103" t="s">
        <v>868</v>
      </c>
      <c r="D419" s="102" t="s">
        <v>869</v>
      </c>
      <c r="E419" s="103" t="s">
        <v>93</v>
      </c>
      <c r="F419" s="102" t="s">
        <v>88</v>
      </c>
      <c r="G419" s="103" t="s">
        <v>20</v>
      </c>
      <c r="I419" s="103">
        <v>201505</v>
      </c>
      <c r="J419" s="104">
        <v>95960.81</v>
      </c>
      <c r="K419" s="72">
        <f t="shared" si="34"/>
        <v>42675</v>
      </c>
      <c r="L419" s="67">
        <f t="shared" si="30"/>
        <v>6</v>
      </c>
      <c r="M419" s="105">
        <v>1.4833299999999999E-3</v>
      </c>
      <c r="N419" s="104">
        <f t="shared" si="31"/>
        <v>854.04928978379996</v>
      </c>
      <c r="O419" s="66"/>
      <c r="P419" s="71">
        <f t="shared" si="32"/>
        <v>0</v>
      </c>
      <c r="Q419" s="132"/>
      <c r="R419" s="71">
        <f t="shared" si="33"/>
        <v>1468.3403358479163</v>
      </c>
    </row>
    <row r="420" spans="1:18">
      <c r="A420" s="102" t="s">
        <v>626</v>
      </c>
      <c r="B420" s="103" t="s">
        <v>1076</v>
      </c>
      <c r="C420" s="103" t="s">
        <v>1077</v>
      </c>
      <c r="D420" s="102" t="s">
        <v>1078</v>
      </c>
      <c r="E420" s="103" t="s">
        <v>75</v>
      </c>
      <c r="F420" s="102" t="s">
        <v>26</v>
      </c>
      <c r="G420" s="103" t="s">
        <v>20</v>
      </c>
      <c r="I420" s="103">
        <v>201505</v>
      </c>
      <c r="J420" s="104">
        <v>-26.98</v>
      </c>
      <c r="K420" s="72">
        <f t="shared" si="34"/>
        <v>42675</v>
      </c>
      <c r="L420" s="67">
        <f t="shared" si="30"/>
        <v>6</v>
      </c>
      <c r="M420" s="105">
        <v>1.4833299999999999E-3</v>
      </c>
      <c r="N420" s="104">
        <f t="shared" si="31"/>
        <v>-0.24012146040000001</v>
      </c>
      <c r="O420" s="66"/>
      <c r="P420" s="71">
        <f t="shared" si="32"/>
        <v>0</v>
      </c>
      <c r="Q420" s="132"/>
      <c r="R420" s="71">
        <f t="shared" si="33"/>
        <v>-0.41283334583333331</v>
      </c>
    </row>
    <row r="421" spans="1:18">
      <c r="A421" s="102" t="s">
        <v>626</v>
      </c>
      <c r="B421" s="103" t="s">
        <v>630</v>
      </c>
      <c r="C421" s="103" t="s">
        <v>631</v>
      </c>
      <c r="D421" s="102" t="s">
        <v>632</v>
      </c>
      <c r="E421" s="103" t="s">
        <v>613</v>
      </c>
      <c r="F421" s="102" t="s">
        <v>398</v>
      </c>
      <c r="G421" s="103" t="s">
        <v>20</v>
      </c>
      <c r="I421" s="103">
        <v>201505</v>
      </c>
      <c r="J421" s="104">
        <v>-24.32</v>
      </c>
      <c r="K421" s="72">
        <f t="shared" si="34"/>
        <v>42675</v>
      </c>
      <c r="L421" s="67">
        <f t="shared" si="30"/>
        <v>6</v>
      </c>
      <c r="M421" s="105">
        <v>1.4833299999999999E-3</v>
      </c>
      <c r="N421" s="104">
        <f t="shared" si="31"/>
        <v>-0.2164475136</v>
      </c>
      <c r="O421" s="66"/>
      <c r="P421" s="71">
        <f t="shared" si="32"/>
        <v>0</v>
      </c>
      <c r="Q421" s="132"/>
      <c r="R421" s="71">
        <f t="shared" si="33"/>
        <v>-0.37213146666666663</v>
      </c>
    </row>
    <row r="422" spans="1:18">
      <c r="A422" s="102" t="s">
        <v>626</v>
      </c>
      <c r="B422" s="103" t="s">
        <v>938</v>
      </c>
      <c r="C422" s="103" t="s">
        <v>939</v>
      </c>
      <c r="D422" s="102" t="s">
        <v>940</v>
      </c>
      <c r="E422" s="103" t="s">
        <v>209</v>
      </c>
      <c r="F422" s="102" t="s">
        <v>88</v>
      </c>
      <c r="G422" s="103" t="s">
        <v>20</v>
      </c>
      <c r="I422" s="103">
        <v>201505</v>
      </c>
      <c r="J422" s="104">
        <v>-29.47</v>
      </c>
      <c r="K422" s="72">
        <f t="shared" si="34"/>
        <v>42675</v>
      </c>
      <c r="L422" s="67">
        <f t="shared" si="30"/>
        <v>6</v>
      </c>
      <c r="M422" s="105">
        <v>1.4833299999999999E-3</v>
      </c>
      <c r="N422" s="104">
        <f t="shared" si="31"/>
        <v>-0.26228241060000002</v>
      </c>
      <c r="O422" s="66"/>
      <c r="P422" s="71">
        <f t="shared" si="32"/>
        <v>0</v>
      </c>
      <c r="Q422" s="132"/>
      <c r="R422" s="71">
        <f t="shared" si="33"/>
        <v>-0.45093397708333327</v>
      </c>
    </row>
    <row r="423" spans="1:18">
      <c r="A423" s="102" t="s">
        <v>626</v>
      </c>
      <c r="B423" s="103" t="s">
        <v>1118</v>
      </c>
      <c r="C423" s="103" t="s">
        <v>1119</v>
      </c>
      <c r="D423" s="102" t="s">
        <v>1120</v>
      </c>
      <c r="E423" s="103" t="s">
        <v>93</v>
      </c>
      <c r="F423" s="102" t="s">
        <v>88</v>
      </c>
      <c r="G423" s="103" t="s">
        <v>20</v>
      </c>
      <c r="I423" s="103">
        <v>201505</v>
      </c>
      <c r="J423" s="104">
        <v>77082.399999999994</v>
      </c>
      <c r="K423" s="72">
        <f t="shared" si="34"/>
        <v>42675</v>
      </c>
      <c r="L423" s="67">
        <f t="shared" si="30"/>
        <v>6</v>
      </c>
      <c r="M423" s="105">
        <v>1.4833299999999999E-3</v>
      </c>
      <c r="N423" s="104">
        <f t="shared" si="31"/>
        <v>686.03181835199996</v>
      </c>
      <c r="O423" s="66"/>
      <c r="P423" s="71">
        <f t="shared" si="32"/>
        <v>0</v>
      </c>
      <c r="Q423" s="132"/>
      <c r="R423" s="71">
        <f t="shared" si="33"/>
        <v>1179.4731318333331</v>
      </c>
    </row>
    <row r="424" spans="1:18">
      <c r="A424" s="102" t="s">
        <v>626</v>
      </c>
      <c r="B424" s="103" t="s">
        <v>1121</v>
      </c>
      <c r="C424" s="103" t="s">
        <v>1122</v>
      </c>
      <c r="D424" s="102" t="s">
        <v>1123</v>
      </c>
      <c r="E424" s="103" t="s">
        <v>497</v>
      </c>
      <c r="F424" s="102" t="s">
        <v>26</v>
      </c>
      <c r="G424" s="103" t="s">
        <v>20</v>
      </c>
      <c r="I424" s="103">
        <v>201505</v>
      </c>
      <c r="J424" s="104">
        <v>217765.9</v>
      </c>
      <c r="K424" s="72">
        <f t="shared" si="34"/>
        <v>42675</v>
      </c>
      <c r="L424" s="67">
        <f t="shared" si="30"/>
        <v>6</v>
      </c>
      <c r="M424" s="105">
        <v>1.4833299999999999E-3</v>
      </c>
      <c r="N424" s="104">
        <f t="shared" si="31"/>
        <v>1938.112154682</v>
      </c>
      <c r="O424" s="66"/>
      <c r="P424" s="71">
        <f t="shared" si="32"/>
        <v>0</v>
      </c>
      <c r="Q424" s="132"/>
      <c r="R424" s="71">
        <f t="shared" si="33"/>
        <v>3332.1358452708328</v>
      </c>
    </row>
    <row r="425" spans="1:18">
      <c r="A425" s="102" t="s">
        <v>626</v>
      </c>
      <c r="B425" s="103" t="s">
        <v>1124</v>
      </c>
      <c r="C425" s="103" t="s">
        <v>1125</v>
      </c>
      <c r="D425" s="102" t="s">
        <v>1126</v>
      </c>
      <c r="E425" s="103" t="s">
        <v>87</v>
      </c>
      <c r="F425" s="102" t="s">
        <v>88</v>
      </c>
      <c r="G425" s="103" t="s">
        <v>20</v>
      </c>
      <c r="I425" s="103">
        <v>201505</v>
      </c>
      <c r="J425" s="104">
        <v>11150.44</v>
      </c>
      <c r="K425" s="72">
        <f t="shared" si="34"/>
        <v>42675</v>
      </c>
      <c r="L425" s="67">
        <f t="shared" si="30"/>
        <v>6</v>
      </c>
      <c r="M425" s="105">
        <v>1.4833299999999999E-3</v>
      </c>
      <c r="N425" s="104">
        <f t="shared" si="31"/>
        <v>99.238692991200011</v>
      </c>
      <c r="O425" s="66"/>
      <c r="P425" s="71">
        <f t="shared" si="32"/>
        <v>0</v>
      </c>
      <c r="Q425" s="132"/>
      <c r="R425" s="71">
        <f t="shared" si="33"/>
        <v>170.61799305833333</v>
      </c>
    </row>
    <row r="426" spans="1:18">
      <c r="A426" s="102" t="s">
        <v>626</v>
      </c>
      <c r="B426" s="103" t="s">
        <v>1127</v>
      </c>
      <c r="C426" s="103" t="s">
        <v>1128</v>
      </c>
      <c r="D426" s="102" t="s">
        <v>1129</v>
      </c>
      <c r="E426" s="103" t="s">
        <v>87</v>
      </c>
      <c r="F426" s="102" t="s">
        <v>88</v>
      </c>
      <c r="G426" s="103" t="s">
        <v>20</v>
      </c>
      <c r="I426" s="103">
        <v>201505</v>
      </c>
      <c r="J426" s="104">
        <v>82922.77</v>
      </c>
      <c r="K426" s="72">
        <f t="shared" si="34"/>
        <v>42675</v>
      </c>
      <c r="L426" s="67">
        <f t="shared" si="30"/>
        <v>6</v>
      </c>
      <c r="M426" s="105">
        <v>1.4833299999999999E-3</v>
      </c>
      <c r="N426" s="104">
        <f t="shared" si="31"/>
        <v>738.01099454460007</v>
      </c>
      <c r="O426" s="66"/>
      <c r="P426" s="71">
        <f t="shared" si="32"/>
        <v>0</v>
      </c>
      <c r="Q426" s="132"/>
      <c r="R426" s="71">
        <f t="shared" si="33"/>
        <v>1268.8393100395833</v>
      </c>
    </row>
    <row r="427" spans="1:18">
      <c r="A427" s="102" t="s">
        <v>626</v>
      </c>
      <c r="B427" s="103" t="s">
        <v>1082</v>
      </c>
      <c r="C427" s="103" t="s">
        <v>1083</v>
      </c>
      <c r="D427" s="102" t="s">
        <v>1084</v>
      </c>
      <c r="E427" s="103" t="s">
        <v>75</v>
      </c>
      <c r="F427" s="102" t="s">
        <v>26</v>
      </c>
      <c r="G427" s="103" t="s">
        <v>20</v>
      </c>
      <c r="I427" s="103">
        <v>201505</v>
      </c>
      <c r="J427" s="104">
        <v>1391.92</v>
      </c>
      <c r="K427" s="72">
        <f t="shared" si="34"/>
        <v>42675</v>
      </c>
      <c r="L427" s="67">
        <f t="shared" si="30"/>
        <v>6</v>
      </c>
      <c r="M427" s="105">
        <v>1.4833299999999999E-3</v>
      </c>
      <c r="N427" s="104">
        <f t="shared" si="31"/>
        <v>12.3880601616</v>
      </c>
      <c r="O427" s="66"/>
      <c r="P427" s="71">
        <f t="shared" si="32"/>
        <v>0</v>
      </c>
      <c r="Q427" s="132"/>
      <c r="R427" s="71">
        <f t="shared" si="33"/>
        <v>21.298405883333334</v>
      </c>
    </row>
    <row r="428" spans="1:18">
      <c r="A428" s="102" t="s">
        <v>626</v>
      </c>
      <c r="B428" s="103" t="s">
        <v>1188</v>
      </c>
      <c r="C428" s="103" t="s">
        <v>1189</v>
      </c>
      <c r="D428" s="102" t="s">
        <v>1190</v>
      </c>
      <c r="E428" s="103" t="s">
        <v>75</v>
      </c>
      <c r="F428" s="102" t="s">
        <v>26</v>
      </c>
      <c r="G428" s="103" t="s">
        <v>20</v>
      </c>
      <c r="I428" s="103">
        <v>201505</v>
      </c>
      <c r="J428" s="104">
        <v>-290.49</v>
      </c>
      <c r="K428" s="72">
        <f t="shared" si="34"/>
        <v>42675</v>
      </c>
      <c r="L428" s="67">
        <f t="shared" si="30"/>
        <v>6</v>
      </c>
      <c r="M428" s="105">
        <v>1.4833299999999999E-3</v>
      </c>
      <c r="N428" s="104">
        <f t="shared" si="31"/>
        <v>-2.5853551902</v>
      </c>
      <c r="O428" s="66"/>
      <c r="P428" s="71">
        <f t="shared" si="32"/>
        <v>0</v>
      </c>
      <c r="Q428" s="132"/>
      <c r="R428" s="71">
        <f t="shared" si="33"/>
        <v>-4.4449206312499996</v>
      </c>
    </row>
    <row r="429" spans="1:18">
      <c r="A429" s="102" t="s">
        <v>626</v>
      </c>
      <c r="B429" s="103" t="s">
        <v>1085</v>
      </c>
      <c r="C429" s="103" t="s">
        <v>1086</v>
      </c>
      <c r="D429" s="102" t="s">
        <v>1087</v>
      </c>
      <c r="E429" s="103" t="s">
        <v>75</v>
      </c>
      <c r="F429" s="102" t="s">
        <v>26</v>
      </c>
      <c r="G429" s="103" t="s">
        <v>20</v>
      </c>
      <c r="I429" s="103">
        <v>201505</v>
      </c>
      <c r="J429" s="104">
        <v>-13.69</v>
      </c>
      <c r="K429" s="72">
        <f t="shared" si="34"/>
        <v>42675</v>
      </c>
      <c r="L429" s="67">
        <f t="shared" si="30"/>
        <v>6</v>
      </c>
      <c r="M429" s="105">
        <v>1.4833299999999999E-3</v>
      </c>
      <c r="N429" s="104">
        <f t="shared" si="31"/>
        <v>-0.1218407262</v>
      </c>
      <c r="O429" s="66"/>
      <c r="P429" s="71">
        <f t="shared" si="32"/>
        <v>0</v>
      </c>
      <c r="Q429" s="132"/>
      <c r="R429" s="71">
        <f t="shared" si="33"/>
        <v>-0.20947696458333329</v>
      </c>
    </row>
    <row r="430" spans="1:18">
      <c r="A430" s="102" t="s">
        <v>626</v>
      </c>
      <c r="B430" s="103" t="s">
        <v>944</v>
      </c>
      <c r="C430" s="103" t="s">
        <v>945</v>
      </c>
      <c r="D430" s="102" t="s">
        <v>946</v>
      </c>
      <c r="E430" s="103" t="s">
        <v>164</v>
      </c>
      <c r="F430" s="102" t="s">
        <v>165</v>
      </c>
      <c r="G430" s="103" t="s">
        <v>20</v>
      </c>
      <c r="I430" s="103">
        <v>201505</v>
      </c>
      <c r="J430" s="104">
        <v>-54.13</v>
      </c>
      <c r="K430" s="72">
        <f t="shared" si="34"/>
        <v>42675</v>
      </c>
      <c r="L430" s="67">
        <f t="shared" si="30"/>
        <v>6</v>
      </c>
      <c r="M430" s="105">
        <v>1.4833299999999999E-3</v>
      </c>
      <c r="N430" s="104">
        <f t="shared" si="31"/>
        <v>-0.48175591740000001</v>
      </c>
      <c r="O430" s="66"/>
      <c r="P430" s="71">
        <f t="shared" si="32"/>
        <v>0</v>
      </c>
      <c r="Q430" s="132"/>
      <c r="R430" s="71">
        <f t="shared" si="33"/>
        <v>-0.82826793958333333</v>
      </c>
    </row>
    <row r="431" spans="1:18">
      <c r="A431" s="102" t="s">
        <v>626</v>
      </c>
      <c r="B431" s="103" t="s">
        <v>1253</v>
      </c>
      <c r="C431" s="103" t="s">
        <v>1254</v>
      </c>
      <c r="D431" s="102" t="s">
        <v>1255</v>
      </c>
      <c r="E431" s="103" t="s">
        <v>25</v>
      </c>
      <c r="F431" s="102" t="s">
        <v>26</v>
      </c>
      <c r="G431" s="103" t="s">
        <v>20</v>
      </c>
      <c r="I431" s="103">
        <v>201505</v>
      </c>
      <c r="J431" s="104">
        <v>-1795.99</v>
      </c>
      <c r="K431" s="72">
        <f t="shared" si="34"/>
        <v>42675</v>
      </c>
      <c r="L431" s="67">
        <f t="shared" si="30"/>
        <v>6</v>
      </c>
      <c r="M431" s="105">
        <v>1.4833299999999999E-3</v>
      </c>
      <c r="N431" s="104">
        <f t="shared" si="31"/>
        <v>-15.9842750802</v>
      </c>
      <c r="O431" s="66"/>
      <c r="P431" s="71">
        <f t="shared" si="32"/>
        <v>0</v>
      </c>
      <c r="Q431" s="132"/>
      <c r="R431" s="71">
        <f t="shared" si="33"/>
        <v>-27.481266152083329</v>
      </c>
    </row>
    <row r="432" spans="1:18">
      <c r="A432" s="102" t="s">
        <v>626</v>
      </c>
      <c r="B432" s="103" t="s">
        <v>1038</v>
      </c>
      <c r="C432" s="103" t="s">
        <v>1039</v>
      </c>
      <c r="D432" s="102" t="s">
        <v>1040</v>
      </c>
      <c r="E432" s="103" t="s">
        <v>75</v>
      </c>
      <c r="F432" s="102" t="s">
        <v>26</v>
      </c>
      <c r="G432" s="103" t="s">
        <v>20</v>
      </c>
      <c r="I432" s="103">
        <v>201505</v>
      </c>
      <c r="J432" s="104">
        <v>-31.69</v>
      </c>
      <c r="K432" s="72">
        <f t="shared" si="34"/>
        <v>42675</v>
      </c>
      <c r="L432" s="67">
        <f t="shared" si="30"/>
        <v>6</v>
      </c>
      <c r="M432" s="105">
        <v>1.4833299999999999E-3</v>
      </c>
      <c r="N432" s="104">
        <f t="shared" si="31"/>
        <v>-0.2820403662</v>
      </c>
      <c r="O432" s="66"/>
      <c r="P432" s="71">
        <f t="shared" si="32"/>
        <v>0</v>
      </c>
      <c r="Q432" s="132"/>
      <c r="R432" s="71">
        <f t="shared" si="33"/>
        <v>-0.48490321458333324</v>
      </c>
    </row>
    <row r="433" spans="1:18">
      <c r="A433" s="102" t="s">
        <v>626</v>
      </c>
      <c r="B433" s="103" t="s">
        <v>947</v>
      </c>
      <c r="C433" s="103" t="s">
        <v>948</v>
      </c>
      <c r="D433" s="102" t="s">
        <v>949</v>
      </c>
      <c r="E433" s="103" t="s">
        <v>75</v>
      </c>
      <c r="F433" s="102" t="s">
        <v>26</v>
      </c>
      <c r="G433" s="103" t="s">
        <v>20</v>
      </c>
      <c r="I433" s="103">
        <v>201505</v>
      </c>
      <c r="J433" s="104">
        <v>-1.08</v>
      </c>
      <c r="K433" s="72">
        <f t="shared" si="34"/>
        <v>42675</v>
      </c>
      <c r="L433" s="67">
        <f t="shared" si="30"/>
        <v>6</v>
      </c>
      <c r="M433" s="105">
        <v>1.4833299999999999E-3</v>
      </c>
      <c r="N433" s="104">
        <f t="shared" si="31"/>
        <v>-9.6119784000000003E-3</v>
      </c>
      <c r="O433" s="66"/>
      <c r="P433" s="71">
        <f t="shared" si="32"/>
        <v>0</v>
      </c>
      <c r="Q433" s="132"/>
      <c r="R433" s="71">
        <f t="shared" si="33"/>
        <v>-1.6525574999999997E-2</v>
      </c>
    </row>
    <row r="434" spans="1:18">
      <c r="A434" s="102" t="s">
        <v>626</v>
      </c>
      <c r="B434" s="103" t="s">
        <v>1041</v>
      </c>
      <c r="C434" s="103" t="s">
        <v>1042</v>
      </c>
      <c r="D434" s="102" t="s">
        <v>1043</v>
      </c>
      <c r="E434" s="103" t="s">
        <v>75</v>
      </c>
      <c r="F434" s="102" t="s">
        <v>26</v>
      </c>
      <c r="G434" s="103" t="s">
        <v>20</v>
      </c>
      <c r="I434" s="103">
        <v>201505</v>
      </c>
      <c r="J434" s="104">
        <v>-44.05</v>
      </c>
      <c r="K434" s="72">
        <f t="shared" si="34"/>
        <v>42675</v>
      </c>
      <c r="L434" s="67">
        <f t="shared" si="30"/>
        <v>6</v>
      </c>
      <c r="M434" s="105">
        <v>1.4833299999999999E-3</v>
      </c>
      <c r="N434" s="104">
        <f t="shared" si="31"/>
        <v>-0.39204411899999997</v>
      </c>
      <c r="O434" s="66"/>
      <c r="P434" s="71">
        <f t="shared" si="32"/>
        <v>0</v>
      </c>
      <c r="Q434" s="132"/>
      <c r="R434" s="71">
        <f t="shared" si="33"/>
        <v>-0.67402923958333327</v>
      </c>
    </row>
    <row r="435" spans="1:18">
      <c r="A435" s="102" t="s">
        <v>626</v>
      </c>
      <c r="B435" s="103" t="s">
        <v>1194</v>
      </c>
      <c r="C435" s="103" t="s">
        <v>1195</v>
      </c>
      <c r="D435" s="102" t="s">
        <v>1196</v>
      </c>
      <c r="E435" s="103" t="s">
        <v>75</v>
      </c>
      <c r="F435" s="102" t="s">
        <v>26</v>
      </c>
      <c r="G435" s="103" t="s">
        <v>20</v>
      </c>
      <c r="I435" s="103">
        <v>201505</v>
      </c>
      <c r="J435" s="104">
        <v>-661.1</v>
      </c>
      <c r="K435" s="72">
        <f t="shared" si="34"/>
        <v>42675</v>
      </c>
      <c r="L435" s="67">
        <f t="shared" si="30"/>
        <v>6</v>
      </c>
      <c r="M435" s="105">
        <v>1.4833299999999999E-3</v>
      </c>
      <c r="N435" s="104">
        <f t="shared" si="31"/>
        <v>-5.8837767780000005</v>
      </c>
      <c r="O435" s="66"/>
      <c r="P435" s="71">
        <f t="shared" si="32"/>
        <v>0</v>
      </c>
      <c r="Q435" s="132"/>
      <c r="R435" s="71">
        <f t="shared" si="33"/>
        <v>-10.115794104166666</v>
      </c>
    </row>
    <row r="436" spans="1:18">
      <c r="A436" s="102" t="s">
        <v>626</v>
      </c>
      <c r="B436" s="103" t="s">
        <v>1133</v>
      </c>
      <c r="C436" s="103" t="s">
        <v>1134</v>
      </c>
      <c r="D436" s="102" t="s">
        <v>1135</v>
      </c>
      <c r="E436" s="103" t="s">
        <v>471</v>
      </c>
      <c r="F436" s="102" t="s">
        <v>165</v>
      </c>
      <c r="G436" s="103" t="s">
        <v>20</v>
      </c>
      <c r="I436" s="103">
        <v>201505</v>
      </c>
      <c r="J436" s="104">
        <v>-455.79</v>
      </c>
      <c r="K436" s="72">
        <f t="shared" si="34"/>
        <v>42675</v>
      </c>
      <c r="L436" s="67">
        <f t="shared" si="30"/>
        <v>6</v>
      </c>
      <c r="M436" s="105">
        <v>1.4833299999999999E-3</v>
      </c>
      <c r="N436" s="104">
        <f t="shared" si="31"/>
        <v>-4.0565218842000004</v>
      </c>
      <c r="O436" s="66"/>
      <c r="P436" s="71">
        <f t="shared" si="32"/>
        <v>0</v>
      </c>
      <c r="Q436" s="132"/>
      <c r="R436" s="71">
        <f t="shared" si="33"/>
        <v>-6.9742516937500003</v>
      </c>
    </row>
    <row r="437" spans="1:18">
      <c r="A437" s="102" t="s">
        <v>626</v>
      </c>
      <c r="B437" s="103" t="s">
        <v>848</v>
      </c>
      <c r="C437" s="103" t="s">
        <v>849</v>
      </c>
      <c r="D437" s="102" t="s">
        <v>850</v>
      </c>
      <c r="E437" s="103" t="s">
        <v>93</v>
      </c>
      <c r="F437" s="102" t="s">
        <v>88</v>
      </c>
      <c r="G437" s="103" t="s">
        <v>20</v>
      </c>
      <c r="I437" s="103">
        <v>201505</v>
      </c>
      <c r="J437" s="104">
        <v>32.39</v>
      </c>
      <c r="K437" s="72">
        <f t="shared" si="34"/>
        <v>42675</v>
      </c>
      <c r="L437" s="67">
        <f t="shared" si="30"/>
        <v>6</v>
      </c>
      <c r="M437" s="105">
        <v>1.4833299999999999E-3</v>
      </c>
      <c r="N437" s="104">
        <f t="shared" si="31"/>
        <v>0.28827035220000002</v>
      </c>
      <c r="O437" s="66"/>
      <c r="P437" s="71">
        <f t="shared" si="32"/>
        <v>0</v>
      </c>
      <c r="Q437" s="132"/>
      <c r="R437" s="71">
        <f t="shared" si="33"/>
        <v>0.4956142354166666</v>
      </c>
    </row>
    <row r="438" spans="1:18">
      <c r="A438" s="102" t="s">
        <v>626</v>
      </c>
      <c r="B438" s="103" t="s">
        <v>1136</v>
      </c>
      <c r="C438" s="103" t="s">
        <v>1137</v>
      </c>
      <c r="D438" s="102" t="s">
        <v>1138</v>
      </c>
      <c r="E438" s="103" t="s">
        <v>962</v>
      </c>
      <c r="F438" s="102" t="s">
        <v>88</v>
      </c>
      <c r="G438" s="103" t="s">
        <v>20</v>
      </c>
      <c r="I438" s="103">
        <v>201505</v>
      </c>
      <c r="J438" s="104">
        <v>-2446.81</v>
      </c>
      <c r="K438" s="72">
        <f t="shared" si="34"/>
        <v>42675</v>
      </c>
      <c r="L438" s="67">
        <f t="shared" si="30"/>
        <v>6</v>
      </c>
      <c r="M438" s="105">
        <v>1.4833299999999999E-3</v>
      </c>
      <c r="N438" s="104">
        <f t="shared" si="31"/>
        <v>-21.776560063799998</v>
      </c>
      <c r="O438" s="66"/>
      <c r="P438" s="71">
        <f t="shared" si="32"/>
        <v>0</v>
      </c>
      <c r="Q438" s="132"/>
      <c r="R438" s="71">
        <f t="shared" si="33"/>
        <v>-37.439761264583332</v>
      </c>
    </row>
    <row r="439" spans="1:18">
      <c r="A439" s="102" t="s">
        <v>626</v>
      </c>
      <c r="B439" s="103" t="s">
        <v>1197</v>
      </c>
      <c r="C439" s="103" t="s">
        <v>1198</v>
      </c>
      <c r="D439" s="102" t="s">
        <v>1199</v>
      </c>
      <c r="E439" s="103" t="s">
        <v>18</v>
      </c>
      <c r="F439" s="102" t="s">
        <v>19</v>
      </c>
      <c r="G439" s="103" t="s">
        <v>20</v>
      </c>
      <c r="I439" s="103">
        <v>201505</v>
      </c>
      <c r="J439" s="104">
        <v>-111.87</v>
      </c>
      <c r="K439" s="72">
        <f t="shared" si="34"/>
        <v>42675</v>
      </c>
      <c r="L439" s="67">
        <f t="shared" si="30"/>
        <v>6</v>
      </c>
      <c r="M439" s="105">
        <v>1.4833299999999999E-3</v>
      </c>
      <c r="N439" s="104">
        <f t="shared" si="31"/>
        <v>-0.99564076260000001</v>
      </c>
      <c r="O439" s="66"/>
      <c r="P439" s="71">
        <f t="shared" si="32"/>
        <v>0</v>
      </c>
      <c r="Q439" s="132"/>
      <c r="R439" s="71">
        <f t="shared" si="33"/>
        <v>-1.71177414375</v>
      </c>
    </row>
    <row r="440" spans="1:18">
      <c r="A440" s="102" t="s">
        <v>626</v>
      </c>
      <c r="B440" s="103" t="s">
        <v>1256</v>
      </c>
      <c r="C440" s="103" t="s">
        <v>1257</v>
      </c>
      <c r="D440" s="102" t="s">
        <v>1258</v>
      </c>
      <c r="E440" s="103" t="s">
        <v>75</v>
      </c>
      <c r="F440" s="102" t="s">
        <v>26</v>
      </c>
      <c r="G440" s="103" t="s">
        <v>20</v>
      </c>
      <c r="I440" s="103">
        <v>201505</v>
      </c>
      <c r="J440" s="104">
        <v>-999.59</v>
      </c>
      <c r="K440" s="72">
        <f t="shared" si="34"/>
        <v>42675</v>
      </c>
      <c r="L440" s="67">
        <f t="shared" si="30"/>
        <v>6</v>
      </c>
      <c r="M440" s="105">
        <v>1.4833299999999999E-3</v>
      </c>
      <c r="N440" s="104">
        <f t="shared" si="31"/>
        <v>-8.8963310082000007</v>
      </c>
      <c r="O440" s="66"/>
      <c r="P440" s="71">
        <f t="shared" si="32"/>
        <v>0</v>
      </c>
      <c r="Q440" s="132"/>
      <c r="R440" s="71">
        <f t="shared" si="33"/>
        <v>-15.295184735416667</v>
      </c>
    </row>
    <row r="441" spans="1:18">
      <c r="A441" s="102" t="s">
        <v>626</v>
      </c>
      <c r="B441" s="103" t="s">
        <v>1139</v>
      </c>
      <c r="C441" s="103" t="s">
        <v>1140</v>
      </c>
      <c r="D441" s="102" t="s">
        <v>1141</v>
      </c>
      <c r="E441" s="103" t="s">
        <v>280</v>
      </c>
      <c r="F441" s="102" t="s">
        <v>26</v>
      </c>
      <c r="G441" s="103" t="s">
        <v>20</v>
      </c>
      <c r="I441" s="103">
        <v>201505</v>
      </c>
      <c r="J441" s="104">
        <v>-532.84</v>
      </c>
      <c r="K441" s="72">
        <f t="shared" si="34"/>
        <v>42675</v>
      </c>
      <c r="L441" s="67">
        <f t="shared" si="30"/>
        <v>6</v>
      </c>
      <c r="M441" s="105">
        <v>1.4833299999999999E-3</v>
      </c>
      <c r="N441" s="104">
        <f t="shared" si="31"/>
        <v>-4.7422653432000006</v>
      </c>
      <c r="O441" s="66"/>
      <c r="P441" s="71">
        <f t="shared" si="32"/>
        <v>0</v>
      </c>
      <c r="Q441" s="132"/>
      <c r="R441" s="71">
        <f t="shared" si="33"/>
        <v>-8.1532290583333324</v>
      </c>
    </row>
    <row r="442" spans="1:18">
      <c r="A442" s="102" t="s">
        <v>626</v>
      </c>
      <c r="B442" s="103" t="s">
        <v>1410</v>
      </c>
      <c r="C442" s="103" t="s">
        <v>1411</v>
      </c>
      <c r="D442" s="102" t="s">
        <v>1412</v>
      </c>
      <c r="E442" s="103" t="s">
        <v>1413</v>
      </c>
      <c r="F442" s="102" t="s">
        <v>88</v>
      </c>
      <c r="G442" s="103" t="s">
        <v>20</v>
      </c>
      <c r="I442" s="103">
        <v>201505</v>
      </c>
      <c r="J442" s="104">
        <v>4468.5600000000004</v>
      </c>
      <c r="K442" s="72">
        <f t="shared" si="34"/>
        <v>42675</v>
      </c>
      <c r="L442" s="67">
        <f t="shared" si="30"/>
        <v>6</v>
      </c>
      <c r="M442" s="105">
        <v>1.4833299999999999E-3</v>
      </c>
      <c r="N442" s="104">
        <f t="shared" si="31"/>
        <v>39.770094628800003</v>
      </c>
      <c r="O442" s="66"/>
      <c r="P442" s="71">
        <f t="shared" si="32"/>
        <v>0</v>
      </c>
      <c r="Q442" s="132"/>
      <c r="R442" s="71">
        <f t="shared" si="33"/>
        <v>68.375484650000004</v>
      </c>
    </row>
    <row r="443" spans="1:18">
      <c r="A443" s="102" t="s">
        <v>626</v>
      </c>
      <c r="B443" s="103" t="s">
        <v>1200</v>
      </c>
      <c r="C443" s="103" t="s">
        <v>1201</v>
      </c>
      <c r="D443" s="102" t="s">
        <v>1202</v>
      </c>
      <c r="E443" s="103" t="s">
        <v>75</v>
      </c>
      <c r="F443" s="102" t="s">
        <v>26</v>
      </c>
      <c r="G443" s="103" t="s">
        <v>20</v>
      </c>
      <c r="I443" s="103">
        <v>201505</v>
      </c>
      <c r="J443" s="104">
        <v>-2645.22</v>
      </c>
      <c r="K443" s="72">
        <f t="shared" si="34"/>
        <v>42675</v>
      </c>
      <c r="L443" s="67">
        <f t="shared" si="30"/>
        <v>6</v>
      </c>
      <c r="M443" s="105">
        <v>1.4833299999999999E-3</v>
      </c>
      <c r="N443" s="104">
        <f t="shared" si="31"/>
        <v>-23.542405095599999</v>
      </c>
      <c r="O443" s="66"/>
      <c r="P443" s="71">
        <f t="shared" si="32"/>
        <v>0</v>
      </c>
      <c r="Q443" s="132"/>
      <c r="R443" s="71">
        <f t="shared" si="33"/>
        <v>-40.475723612499998</v>
      </c>
    </row>
    <row r="444" spans="1:18">
      <c r="A444" s="102" t="s">
        <v>626</v>
      </c>
      <c r="B444" s="103" t="s">
        <v>1142</v>
      </c>
      <c r="C444" s="103" t="s">
        <v>1143</v>
      </c>
      <c r="D444" s="102" t="s">
        <v>1144</v>
      </c>
      <c r="E444" s="103" t="s">
        <v>164</v>
      </c>
      <c r="F444" s="102" t="s">
        <v>165</v>
      </c>
      <c r="G444" s="103" t="s">
        <v>20</v>
      </c>
      <c r="I444" s="103">
        <v>201505</v>
      </c>
      <c r="J444" s="104">
        <v>274.42</v>
      </c>
      <c r="K444" s="72">
        <f t="shared" si="34"/>
        <v>42675</v>
      </c>
      <c r="L444" s="67">
        <f t="shared" si="30"/>
        <v>6</v>
      </c>
      <c r="M444" s="105">
        <v>1.4833299999999999E-3</v>
      </c>
      <c r="N444" s="104">
        <f t="shared" si="31"/>
        <v>2.4423325116000001</v>
      </c>
      <c r="O444" s="66"/>
      <c r="P444" s="71">
        <f t="shared" si="32"/>
        <v>0</v>
      </c>
      <c r="Q444" s="132"/>
      <c r="R444" s="71">
        <f t="shared" si="33"/>
        <v>4.1990261958333335</v>
      </c>
    </row>
    <row r="445" spans="1:18">
      <c r="A445" s="102" t="s">
        <v>626</v>
      </c>
      <c r="B445" s="103" t="s">
        <v>909</v>
      </c>
      <c r="C445" s="103" t="s">
        <v>910</v>
      </c>
      <c r="D445" s="102" t="s">
        <v>911</v>
      </c>
      <c r="E445" s="103" t="s">
        <v>79</v>
      </c>
      <c r="F445" s="102" t="s">
        <v>26</v>
      </c>
      <c r="G445" s="103" t="s">
        <v>20</v>
      </c>
      <c r="I445" s="103">
        <v>201505</v>
      </c>
      <c r="J445" s="104">
        <v>25.8</v>
      </c>
      <c r="K445" s="72">
        <f t="shared" si="34"/>
        <v>42675</v>
      </c>
      <c r="L445" s="67">
        <f t="shared" si="30"/>
        <v>6</v>
      </c>
      <c r="M445" s="105">
        <v>1.4833299999999999E-3</v>
      </c>
      <c r="N445" s="104">
        <f t="shared" si="31"/>
        <v>0.22961948400000001</v>
      </c>
      <c r="O445" s="66"/>
      <c r="P445" s="71">
        <f t="shared" si="32"/>
        <v>0</v>
      </c>
      <c r="Q445" s="132"/>
      <c r="R445" s="71">
        <f t="shared" si="33"/>
        <v>0.39477762499999997</v>
      </c>
    </row>
    <row r="446" spans="1:18">
      <c r="A446" s="102" t="s">
        <v>626</v>
      </c>
      <c r="B446" s="103" t="s">
        <v>1315</v>
      </c>
      <c r="C446" s="103" t="s">
        <v>1316</v>
      </c>
      <c r="D446" s="102" t="s">
        <v>1317</v>
      </c>
      <c r="E446" s="103" t="s">
        <v>497</v>
      </c>
      <c r="F446" s="102" t="s">
        <v>26</v>
      </c>
      <c r="G446" s="103" t="s">
        <v>20</v>
      </c>
      <c r="I446" s="103">
        <v>201505</v>
      </c>
      <c r="J446" s="104">
        <v>-992.73</v>
      </c>
      <c r="K446" s="72">
        <f t="shared" si="34"/>
        <v>42675</v>
      </c>
      <c r="L446" s="67">
        <f t="shared" si="30"/>
        <v>6</v>
      </c>
      <c r="M446" s="105">
        <v>1.4833299999999999E-3</v>
      </c>
      <c r="N446" s="104">
        <f t="shared" si="31"/>
        <v>-8.835277145400001</v>
      </c>
      <c r="O446" s="66"/>
      <c r="P446" s="71">
        <f t="shared" si="32"/>
        <v>0</v>
      </c>
      <c r="Q446" s="132"/>
      <c r="R446" s="71">
        <f t="shared" si="33"/>
        <v>-15.190216731249999</v>
      </c>
    </row>
    <row r="447" spans="1:18">
      <c r="A447" s="102" t="s">
        <v>626</v>
      </c>
      <c r="B447" s="103" t="s">
        <v>1203</v>
      </c>
      <c r="C447" s="103" t="s">
        <v>1204</v>
      </c>
      <c r="D447" s="102" t="s">
        <v>1205</v>
      </c>
      <c r="E447" s="103" t="s">
        <v>260</v>
      </c>
      <c r="F447" s="102" t="s">
        <v>26</v>
      </c>
      <c r="G447" s="103" t="s">
        <v>20</v>
      </c>
      <c r="I447" s="103">
        <v>201505</v>
      </c>
      <c r="J447" s="104">
        <v>-212.74</v>
      </c>
      <c r="K447" s="72">
        <f t="shared" si="34"/>
        <v>42675</v>
      </c>
      <c r="L447" s="67">
        <f t="shared" si="30"/>
        <v>6</v>
      </c>
      <c r="M447" s="105">
        <v>1.4833299999999999E-3</v>
      </c>
      <c r="N447" s="104">
        <f t="shared" si="31"/>
        <v>-1.8933817452000001</v>
      </c>
      <c r="O447" s="66"/>
      <c r="P447" s="71">
        <f t="shared" si="32"/>
        <v>0</v>
      </c>
      <c r="Q447" s="132"/>
      <c r="R447" s="71">
        <f t="shared" si="33"/>
        <v>-3.2552322458333331</v>
      </c>
    </row>
    <row r="448" spans="1:18">
      <c r="A448" s="102" t="s">
        <v>626</v>
      </c>
      <c r="B448" s="103" t="s">
        <v>1088</v>
      </c>
      <c r="C448" s="103" t="s">
        <v>1089</v>
      </c>
      <c r="D448" s="102" t="s">
        <v>1090</v>
      </c>
      <c r="E448" s="103" t="s">
        <v>415</v>
      </c>
      <c r="F448" s="102" t="s">
        <v>88</v>
      </c>
      <c r="G448" s="103" t="s">
        <v>20</v>
      </c>
      <c r="I448" s="103">
        <v>201505</v>
      </c>
      <c r="J448" s="104">
        <v>-441.92</v>
      </c>
      <c r="K448" s="72">
        <f t="shared" si="34"/>
        <v>42675</v>
      </c>
      <c r="L448" s="67">
        <f t="shared" si="30"/>
        <v>6</v>
      </c>
      <c r="M448" s="105">
        <v>1.4833299999999999E-3</v>
      </c>
      <c r="N448" s="104">
        <f t="shared" si="31"/>
        <v>-3.9330791616000003</v>
      </c>
      <c r="O448" s="66"/>
      <c r="P448" s="71">
        <f t="shared" si="32"/>
        <v>0</v>
      </c>
      <c r="Q448" s="132"/>
      <c r="R448" s="71">
        <f t="shared" si="33"/>
        <v>-6.7620204666666668</v>
      </c>
    </row>
    <row r="449" spans="1:18">
      <c r="A449" s="102" t="s">
        <v>626</v>
      </c>
      <c r="B449" s="103" t="s">
        <v>1091</v>
      </c>
      <c r="C449" s="103" t="s">
        <v>1092</v>
      </c>
      <c r="D449" s="102" t="s">
        <v>1093</v>
      </c>
      <c r="E449" s="103" t="s">
        <v>962</v>
      </c>
      <c r="F449" s="102" t="s">
        <v>88</v>
      </c>
      <c r="G449" s="103" t="s">
        <v>20</v>
      </c>
      <c r="I449" s="103">
        <v>201505</v>
      </c>
      <c r="J449" s="104">
        <v>-689.95</v>
      </c>
      <c r="K449" s="72">
        <f t="shared" si="34"/>
        <v>42675</v>
      </c>
      <c r="L449" s="67">
        <f t="shared" si="30"/>
        <v>6</v>
      </c>
      <c r="M449" s="105">
        <v>1.4833299999999999E-3</v>
      </c>
      <c r="N449" s="104">
        <f t="shared" si="31"/>
        <v>-6.1405412010000004</v>
      </c>
      <c r="O449" s="66"/>
      <c r="P449" s="71">
        <f t="shared" si="32"/>
        <v>0</v>
      </c>
      <c r="Q449" s="132"/>
      <c r="R449" s="71">
        <f t="shared" si="33"/>
        <v>-10.557241177083334</v>
      </c>
    </row>
    <row r="450" spans="1:18">
      <c r="A450" s="102" t="s">
        <v>626</v>
      </c>
      <c r="B450" s="103" t="s">
        <v>1094</v>
      </c>
      <c r="C450" s="103" t="s">
        <v>1095</v>
      </c>
      <c r="D450" s="102" t="s">
        <v>1096</v>
      </c>
      <c r="E450" s="103" t="s">
        <v>452</v>
      </c>
      <c r="F450" s="102" t="s">
        <v>398</v>
      </c>
      <c r="G450" s="103" t="s">
        <v>20</v>
      </c>
      <c r="I450" s="103">
        <v>201505</v>
      </c>
      <c r="J450" s="104">
        <v>422.62</v>
      </c>
      <c r="K450" s="72">
        <f t="shared" si="34"/>
        <v>42675</v>
      </c>
      <c r="L450" s="67">
        <f t="shared" si="30"/>
        <v>6</v>
      </c>
      <c r="M450" s="105">
        <v>1.4833299999999999E-3</v>
      </c>
      <c r="N450" s="104">
        <f t="shared" si="31"/>
        <v>3.7613095476000002</v>
      </c>
      <c r="O450" s="66"/>
      <c r="P450" s="71">
        <f t="shared" si="32"/>
        <v>0</v>
      </c>
      <c r="Q450" s="132"/>
      <c r="R450" s="71">
        <f t="shared" si="33"/>
        <v>6.466702320833333</v>
      </c>
    </row>
    <row r="451" spans="1:18">
      <c r="A451" s="102" t="s">
        <v>626</v>
      </c>
      <c r="B451" s="103" t="s">
        <v>1148</v>
      </c>
      <c r="C451" s="103" t="s">
        <v>1149</v>
      </c>
      <c r="D451" s="102" t="s">
        <v>1150</v>
      </c>
      <c r="E451" s="103" t="s">
        <v>93</v>
      </c>
      <c r="F451" s="102" t="s">
        <v>88</v>
      </c>
      <c r="G451" s="103" t="s">
        <v>20</v>
      </c>
      <c r="I451" s="103">
        <v>201505</v>
      </c>
      <c r="J451" s="104">
        <v>-127.76</v>
      </c>
      <c r="K451" s="72">
        <f t="shared" si="34"/>
        <v>42675</v>
      </c>
      <c r="L451" s="67">
        <f t="shared" si="30"/>
        <v>6</v>
      </c>
      <c r="M451" s="105">
        <v>1.4833299999999999E-3</v>
      </c>
      <c r="N451" s="104">
        <f t="shared" si="31"/>
        <v>-1.1370614448</v>
      </c>
      <c r="O451" s="66"/>
      <c r="P451" s="71">
        <f t="shared" si="32"/>
        <v>0</v>
      </c>
      <c r="Q451" s="132"/>
      <c r="R451" s="71">
        <f t="shared" si="33"/>
        <v>-1.9549143166666665</v>
      </c>
    </row>
    <row r="452" spans="1:18">
      <c r="A452" s="102" t="s">
        <v>626</v>
      </c>
      <c r="B452" s="103" t="s">
        <v>963</v>
      </c>
      <c r="C452" s="103" t="s">
        <v>964</v>
      </c>
      <c r="D452" s="102" t="s">
        <v>965</v>
      </c>
      <c r="E452" s="103" t="s">
        <v>164</v>
      </c>
      <c r="F452" s="102" t="s">
        <v>165</v>
      </c>
      <c r="G452" s="103" t="s">
        <v>20</v>
      </c>
      <c r="I452" s="103">
        <v>201505</v>
      </c>
      <c r="J452" s="104">
        <v>-33.94</v>
      </c>
      <c r="K452" s="72">
        <f t="shared" si="34"/>
        <v>42675</v>
      </c>
      <c r="L452" s="67">
        <f t="shared" si="30"/>
        <v>6</v>
      </c>
      <c r="M452" s="105">
        <v>1.4833299999999999E-3</v>
      </c>
      <c r="N452" s="104">
        <f t="shared" si="31"/>
        <v>-0.30206532119999996</v>
      </c>
      <c r="O452" s="66"/>
      <c r="P452" s="71">
        <f t="shared" si="32"/>
        <v>0</v>
      </c>
      <c r="Q452" s="132"/>
      <c r="R452" s="71">
        <f t="shared" si="33"/>
        <v>-0.51933149583333327</v>
      </c>
    </row>
    <row r="453" spans="1:18">
      <c r="A453" s="106" t="s">
        <v>626</v>
      </c>
      <c r="B453" s="103" t="s">
        <v>1206</v>
      </c>
      <c r="C453" s="103" t="s">
        <v>1207</v>
      </c>
      <c r="D453" s="102" t="s">
        <v>1208</v>
      </c>
      <c r="E453" s="103" t="s">
        <v>280</v>
      </c>
      <c r="F453" s="102" t="s">
        <v>26</v>
      </c>
      <c r="G453" s="103" t="s">
        <v>20</v>
      </c>
      <c r="I453" s="103">
        <v>201505</v>
      </c>
      <c r="J453" s="104">
        <v>1664.07</v>
      </c>
      <c r="K453" s="72">
        <f t="shared" si="34"/>
        <v>42675</v>
      </c>
      <c r="L453" s="67">
        <f t="shared" ref="L453:L516" si="35">((YEAR($L$1)-YEAR(K453))*12+MONTH($L$1)-MONTH(K453))</f>
        <v>6</v>
      </c>
      <c r="M453" s="105">
        <v>1.4833299999999999E-3</v>
      </c>
      <c r="N453" s="104">
        <f t="shared" ref="N453:N516" si="36">M453*L453*J453</f>
        <v>14.8101897186</v>
      </c>
      <c r="O453" s="66"/>
      <c r="P453" s="71">
        <f t="shared" si="32"/>
        <v>0</v>
      </c>
      <c r="Q453" s="132"/>
      <c r="R453" s="71">
        <f t="shared" si="33"/>
        <v>25.462697768749997</v>
      </c>
    </row>
    <row r="454" spans="1:18">
      <c r="A454" s="102" t="s">
        <v>626</v>
      </c>
      <c r="B454" s="103" t="s">
        <v>1044</v>
      </c>
      <c r="C454" s="103" t="s">
        <v>1045</v>
      </c>
      <c r="D454" s="102" t="s">
        <v>1046</v>
      </c>
      <c r="E454" s="103" t="s">
        <v>164</v>
      </c>
      <c r="F454" s="102" t="s">
        <v>165</v>
      </c>
      <c r="G454" s="103" t="s">
        <v>20</v>
      </c>
      <c r="I454" s="103">
        <v>201505</v>
      </c>
      <c r="J454" s="104">
        <v>35.83</v>
      </c>
      <c r="K454" s="72">
        <f t="shared" si="34"/>
        <v>42675</v>
      </c>
      <c r="L454" s="67">
        <f t="shared" si="35"/>
        <v>6</v>
      </c>
      <c r="M454" s="105">
        <v>1.4833299999999999E-3</v>
      </c>
      <c r="N454" s="104">
        <f t="shared" si="36"/>
        <v>0.31888628339999997</v>
      </c>
      <c r="O454" s="66"/>
      <c r="P454" s="71">
        <f t="shared" ref="P454:P517" si="37">($P$4*0.5*J454*$T$12)</f>
        <v>0</v>
      </c>
      <c r="Q454" s="132"/>
      <c r="R454" s="71">
        <f t="shared" ref="R454:R517" si="38">($R$4*0.5*J454*$T$12)</f>
        <v>0.54825125208333325</v>
      </c>
    </row>
    <row r="455" spans="1:18">
      <c r="A455" s="106" t="s">
        <v>626</v>
      </c>
      <c r="B455" s="103" t="s">
        <v>969</v>
      </c>
      <c r="C455" s="103" t="s">
        <v>970</v>
      </c>
      <c r="D455" s="102" t="s">
        <v>971</v>
      </c>
      <c r="E455" s="103" t="s">
        <v>164</v>
      </c>
      <c r="F455" s="102" t="s">
        <v>165</v>
      </c>
      <c r="G455" s="103" t="s">
        <v>20</v>
      </c>
      <c r="I455" s="103">
        <v>201505</v>
      </c>
      <c r="J455" s="104">
        <v>-118.09</v>
      </c>
      <c r="K455" s="72">
        <f t="shared" ref="K455:K518" si="39">+K454</f>
        <v>42675</v>
      </c>
      <c r="L455" s="67">
        <f t="shared" si="35"/>
        <v>6</v>
      </c>
      <c r="M455" s="105">
        <v>1.4833299999999999E-3</v>
      </c>
      <c r="N455" s="104">
        <f t="shared" si="36"/>
        <v>-1.0509986382000001</v>
      </c>
      <c r="O455" s="66"/>
      <c r="P455" s="71">
        <f t="shared" si="37"/>
        <v>0</v>
      </c>
      <c r="Q455" s="132"/>
      <c r="R455" s="71">
        <f t="shared" si="38"/>
        <v>-1.8069492145833332</v>
      </c>
    </row>
    <row r="456" spans="1:18">
      <c r="A456" s="106" t="s">
        <v>626</v>
      </c>
      <c r="B456" s="103" t="s">
        <v>975</v>
      </c>
      <c r="C456" s="103" t="s">
        <v>976</v>
      </c>
      <c r="D456" s="102" t="s">
        <v>977</v>
      </c>
      <c r="E456" s="103" t="s">
        <v>87</v>
      </c>
      <c r="F456" s="102" t="s">
        <v>88</v>
      </c>
      <c r="G456" s="103" t="s">
        <v>20</v>
      </c>
      <c r="I456" s="103">
        <v>201505</v>
      </c>
      <c r="J456" s="104">
        <v>3.22</v>
      </c>
      <c r="K456" s="72">
        <f t="shared" si="39"/>
        <v>42675</v>
      </c>
      <c r="L456" s="67">
        <f t="shared" si="35"/>
        <v>6</v>
      </c>
      <c r="M456" s="105">
        <v>1.4833299999999999E-3</v>
      </c>
      <c r="N456" s="104">
        <f t="shared" si="36"/>
        <v>2.8657935600000004E-2</v>
      </c>
      <c r="O456" s="66"/>
      <c r="P456" s="71">
        <f t="shared" si="37"/>
        <v>0</v>
      </c>
      <c r="Q456" s="132"/>
      <c r="R456" s="71">
        <f t="shared" si="38"/>
        <v>4.9270695833333336E-2</v>
      </c>
    </row>
    <row r="457" spans="1:18">
      <c r="A457" s="106" t="s">
        <v>626</v>
      </c>
      <c r="B457" s="103" t="s">
        <v>885</v>
      </c>
      <c r="C457" s="103" t="s">
        <v>886</v>
      </c>
      <c r="D457" s="102" t="s">
        <v>887</v>
      </c>
      <c r="E457" s="103" t="s">
        <v>93</v>
      </c>
      <c r="F457" s="102" t="s">
        <v>88</v>
      </c>
      <c r="G457" s="103" t="s">
        <v>20</v>
      </c>
      <c r="I457" s="103">
        <v>201505</v>
      </c>
      <c r="J457" s="104">
        <v>91.86</v>
      </c>
      <c r="K457" s="72">
        <f t="shared" si="39"/>
        <v>42675</v>
      </c>
      <c r="L457" s="67">
        <f t="shared" si="35"/>
        <v>6</v>
      </c>
      <c r="M457" s="105">
        <v>1.4833299999999999E-3</v>
      </c>
      <c r="N457" s="104">
        <f t="shared" si="36"/>
        <v>0.81755216279999998</v>
      </c>
      <c r="O457" s="66"/>
      <c r="P457" s="71">
        <f t="shared" si="37"/>
        <v>0</v>
      </c>
      <c r="Q457" s="132"/>
      <c r="R457" s="71">
        <f t="shared" si="38"/>
        <v>1.4055919624999997</v>
      </c>
    </row>
    <row r="458" spans="1:18">
      <c r="A458" s="102" t="s">
        <v>626</v>
      </c>
      <c r="B458" s="103" t="s">
        <v>1097</v>
      </c>
      <c r="C458" s="103" t="s">
        <v>1098</v>
      </c>
      <c r="D458" s="102" t="s">
        <v>1099</v>
      </c>
      <c r="E458" s="103" t="s">
        <v>452</v>
      </c>
      <c r="F458" s="102" t="s">
        <v>398</v>
      </c>
      <c r="G458" s="103" t="s">
        <v>20</v>
      </c>
      <c r="I458" s="103">
        <v>201505</v>
      </c>
      <c r="J458" s="104">
        <v>-4929.79</v>
      </c>
      <c r="K458" s="72">
        <f t="shared" si="39"/>
        <v>42675</v>
      </c>
      <c r="L458" s="67">
        <f t="shared" si="35"/>
        <v>6</v>
      </c>
      <c r="M458" s="105">
        <v>1.4833299999999999E-3</v>
      </c>
      <c r="N458" s="104">
        <f t="shared" si="36"/>
        <v>-43.875032404199999</v>
      </c>
      <c r="O458" s="66"/>
      <c r="P458" s="71">
        <f t="shared" si="37"/>
        <v>0</v>
      </c>
      <c r="Q458" s="132"/>
      <c r="R458" s="71">
        <f t="shared" si="38"/>
        <v>-75.432976277083327</v>
      </c>
    </row>
    <row r="459" spans="1:18">
      <c r="A459" s="102" t="s">
        <v>626</v>
      </c>
      <c r="B459" s="103" t="s">
        <v>1100</v>
      </c>
      <c r="C459" s="103" t="s">
        <v>1101</v>
      </c>
      <c r="D459" s="102" t="s">
        <v>1102</v>
      </c>
      <c r="E459" s="103" t="s">
        <v>397</v>
      </c>
      <c r="F459" s="102" t="s">
        <v>398</v>
      </c>
      <c r="G459" s="103" t="s">
        <v>20</v>
      </c>
      <c r="I459" s="103">
        <v>201505</v>
      </c>
      <c r="J459" s="104">
        <v>-40.92</v>
      </c>
      <c r="K459" s="72">
        <f t="shared" si="39"/>
        <v>42675</v>
      </c>
      <c r="L459" s="67">
        <f t="shared" si="35"/>
        <v>6</v>
      </c>
      <c r="M459" s="105">
        <v>1.4833299999999999E-3</v>
      </c>
      <c r="N459" s="104">
        <f t="shared" si="36"/>
        <v>-0.36418718160000002</v>
      </c>
      <c r="O459" s="66"/>
      <c r="P459" s="71">
        <f t="shared" si="37"/>
        <v>0</v>
      </c>
      <c r="Q459" s="132"/>
      <c r="R459" s="71">
        <f t="shared" si="38"/>
        <v>-0.626135675</v>
      </c>
    </row>
    <row r="460" spans="1:18">
      <c r="A460" s="102" t="s">
        <v>626</v>
      </c>
      <c r="B460" s="103" t="s">
        <v>912</v>
      </c>
      <c r="C460" s="103" t="s">
        <v>913</v>
      </c>
      <c r="D460" s="102" t="s">
        <v>914</v>
      </c>
      <c r="E460" s="103" t="s">
        <v>164</v>
      </c>
      <c r="F460" s="102" t="s">
        <v>165</v>
      </c>
      <c r="G460" s="103" t="s">
        <v>20</v>
      </c>
      <c r="I460" s="103">
        <v>201505</v>
      </c>
      <c r="J460" s="104">
        <v>-20.53</v>
      </c>
      <c r="K460" s="72">
        <f t="shared" si="39"/>
        <v>42675</v>
      </c>
      <c r="L460" s="67">
        <f t="shared" si="35"/>
        <v>6</v>
      </c>
      <c r="M460" s="105">
        <v>1.4833299999999999E-3</v>
      </c>
      <c r="N460" s="104">
        <f t="shared" si="36"/>
        <v>-0.18271658940000002</v>
      </c>
      <c r="O460" s="66"/>
      <c r="P460" s="71">
        <f t="shared" si="37"/>
        <v>0</v>
      </c>
      <c r="Q460" s="132"/>
      <c r="R460" s="71">
        <f t="shared" si="38"/>
        <v>-0.31413893958333333</v>
      </c>
    </row>
    <row r="461" spans="1:18">
      <c r="A461" s="106" t="s">
        <v>626</v>
      </c>
      <c r="B461" s="103" t="s">
        <v>919</v>
      </c>
      <c r="C461" s="103" t="s">
        <v>920</v>
      </c>
      <c r="D461" s="102" t="s">
        <v>921</v>
      </c>
      <c r="E461" s="103" t="s">
        <v>164</v>
      </c>
      <c r="F461" s="102" t="s">
        <v>165</v>
      </c>
      <c r="G461" s="103" t="s">
        <v>20</v>
      </c>
      <c r="I461" s="103">
        <v>201505</v>
      </c>
      <c r="J461" s="104">
        <v>-7.31</v>
      </c>
      <c r="K461" s="72">
        <f t="shared" si="39"/>
        <v>42675</v>
      </c>
      <c r="L461" s="67">
        <f t="shared" si="35"/>
        <v>6</v>
      </c>
      <c r="M461" s="105">
        <v>1.4833299999999999E-3</v>
      </c>
      <c r="N461" s="104">
        <f t="shared" si="36"/>
        <v>-6.5058853799999997E-2</v>
      </c>
      <c r="O461" s="66"/>
      <c r="P461" s="71">
        <f t="shared" si="37"/>
        <v>0</v>
      </c>
      <c r="Q461" s="132"/>
      <c r="R461" s="71">
        <f t="shared" si="38"/>
        <v>-0.11185366041666665</v>
      </c>
    </row>
    <row r="462" spans="1:18">
      <c r="A462" s="106" t="s">
        <v>626</v>
      </c>
      <c r="B462" s="103" t="s">
        <v>1047</v>
      </c>
      <c r="C462" s="103" t="s">
        <v>1048</v>
      </c>
      <c r="D462" s="102" t="s">
        <v>1049</v>
      </c>
      <c r="E462" s="103" t="s">
        <v>164</v>
      </c>
      <c r="F462" s="102" t="s">
        <v>165</v>
      </c>
      <c r="G462" s="103" t="s">
        <v>20</v>
      </c>
      <c r="I462" s="103">
        <v>201505</v>
      </c>
      <c r="J462" s="104">
        <v>-518.36</v>
      </c>
      <c r="K462" s="72">
        <f t="shared" si="39"/>
        <v>42675</v>
      </c>
      <c r="L462" s="67">
        <f t="shared" si="35"/>
        <v>6</v>
      </c>
      <c r="M462" s="105">
        <v>1.4833299999999999E-3</v>
      </c>
      <c r="N462" s="104">
        <f t="shared" si="36"/>
        <v>-4.6133936328000003</v>
      </c>
      <c r="O462" s="66"/>
      <c r="P462" s="71">
        <f t="shared" si="37"/>
        <v>0</v>
      </c>
      <c r="Q462" s="132"/>
      <c r="R462" s="71">
        <f t="shared" si="38"/>
        <v>-7.9316639416666659</v>
      </c>
    </row>
    <row r="463" spans="1:18">
      <c r="A463" s="102" t="s">
        <v>626</v>
      </c>
      <c r="B463" s="103" t="s">
        <v>1103</v>
      </c>
      <c r="C463" s="103" t="s">
        <v>1104</v>
      </c>
      <c r="D463" s="102" t="s">
        <v>1105</v>
      </c>
      <c r="E463" s="103" t="s">
        <v>87</v>
      </c>
      <c r="F463" s="102" t="s">
        <v>88</v>
      </c>
      <c r="G463" s="103" t="s">
        <v>20</v>
      </c>
      <c r="I463" s="103">
        <v>201505</v>
      </c>
      <c r="J463" s="104">
        <v>2786.83</v>
      </c>
      <c r="K463" s="72">
        <f t="shared" si="39"/>
        <v>42675</v>
      </c>
      <c r="L463" s="67">
        <f t="shared" si="35"/>
        <v>6</v>
      </c>
      <c r="M463" s="105">
        <v>1.4833299999999999E-3</v>
      </c>
      <c r="N463" s="104">
        <f t="shared" si="36"/>
        <v>24.802731263399998</v>
      </c>
      <c r="O463" s="66"/>
      <c r="P463" s="71">
        <f t="shared" si="37"/>
        <v>0</v>
      </c>
      <c r="Q463" s="132"/>
      <c r="R463" s="71">
        <f t="shared" si="38"/>
        <v>42.642563127083328</v>
      </c>
    </row>
    <row r="464" spans="1:18">
      <c r="A464" s="102" t="s">
        <v>626</v>
      </c>
      <c r="B464" s="103" t="s">
        <v>1106</v>
      </c>
      <c r="C464" s="103" t="s">
        <v>1107</v>
      </c>
      <c r="D464" s="102" t="s">
        <v>1108</v>
      </c>
      <c r="E464" s="103" t="s">
        <v>18</v>
      </c>
      <c r="F464" s="102" t="s">
        <v>19</v>
      </c>
      <c r="G464" s="103" t="s">
        <v>20</v>
      </c>
      <c r="I464" s="103">
        <v>201505</v>
      </c>
      <c r="J464" s="104">
        <v>-203.16</v>
      </c>
      <c r="K464" s="72">
        <f t="shared" si="39"/>
        <v>42675</v>
      </c>
      <c r="L464" s="67">
        <f t="shared" si="35"/>
        <v>6</v>
      </c>
      <c r="M464" s="105">
        <v>1.4833299999999999E-3</v>
      </c>
      <c r="N464" s="104">
        <f t="shared" si="36"/>
        <v>-1.8081199368</v>
      </c>
      <c r="O464" s="66"/>
      <c r="P464" s="71">
        <f t="shared" si="37"/>
        <v>0</v>
      </c>
      <c r="Q464" s="132"/>
      <c r="R464" s="71">
        <f t="shared" si="38"/>
        <v>-3.1086442749999996</v>
      </c>
    </row>
    <row r="465" spans="1:18">
      <c r="A465" s="102" t="s">
        <v>626</v>
      </c>
      <c r="B465" s="103" t="s">
        <v>1109</v>
      </c>
      <c r="C465" s="103" t="s">
        <v>1110</v>
      </c>
      <c r="D465" s="102" t="s">
        <v>1111</v>
      </c>
      <c r="E465" s="103" t="s">
        <v>260</v>
      </c>
      <c r="F465" s="102" t="s">
        <v>26</v>
      </c>
      <c r="G465" s="103" t="s">
        <v>20</v>
      </c>
      <c r="I465" s="103">
        <v>201505</v>
      </c>
      <c r="J465" s="104">
        <v>-182.33</v>
      </c>
      <c r="K465" s="72">
        <f t="shared" si="39"/>
        <v>42675</v>
      </c>
      <c r="L465" s="67">
        <f t="shared" si="35"/>
        <v>6</v>
      </c>
      <c r="M465" s="105">
        <v>1.4833299999999999E-3</v>
      </c>
      <c r="N465" s="104">
        <f t="shared" si="36"/>
        <v>-1.6227333534000001</v>
      </c>
      <c r="O465" s="66"/>
      <c r="P465" s="71">
        <f t="shared" si="37"/>
        <v>0</v>
      </c>
      <c r="Q465" s="132"/>
      <c r="R465" s="71">
        <f t="shared" si="38"/>
        <v>-2.7899148979166664</v>
      </c>
    </row>
    <row r="466" spans="1:18">
      <c r="A466" s="102" t="s">
        <v>626</v>
      </c>
      <c r="B466" s="103" t="s">
        <v>1050</v>
      </c>
      <c r="C466" s="103" t="s">
        <v>1051</v>
      </c>
      <c r="D466" s="102" t="s">
        <v>1052</v>
      </c>
      <c r="E466" s="103" t="s">
        <v>164</v>
      </c>
      <c r="F466" s="102" t="s">
        <v>165</v>
      </c>
      <c r="G466" s="103" t="s">
        <v>20</v>
      </c>
      <c r="I466" s="103">
        <v>201505</v>
      </c>
      <c r="J466" s="104">
        <v>-271.47000000000003</v>
      </c>
      <c r="K466" s="72">
        <f t="shared" si="39"/>
        <v>42675</v>
      </c>
      <c r="L466" s="67">
        <f t="shared" si="35"/>
        <v>6</v>
      </c>
      <c r="M466" s="105">
        <v>1.4833299999999999E-3</v>
      </c>
      <c r="N466" s="104">
        <f t="shared" si="36"/>
        <v>-2.4160775706000002</v>
      </c>
      <c r="O466" s="66"/>
      <c r="P466" s="71">
        <f t="shared" si="37"/>
        <v>0</v>
      </c>
      <c r="Q466" s="132"/>
      <c r="R466" s="71">
        <f t="shared" si="38"/>
        <v>-4.1538868937500002</v>
      </c>
    </row>
    <row r="467" spans="1:18">
      <c r="A467" s="102" t="s">
        <v>626</v>
      </c>
      <c r="B467" s="103" t="s">
        <v>1209</v>
      </c>
      <c r="C467" s="103" t="s">
        <v>1210</v>
      </c>
      <c r="D467" s="102" t="s">
        <v>1211</v>
      </c>
      <c r="E467" s="103" t="s">
        <v>79</v>
      </c>
      <c r="F467" s="102" t="s">
        <v>26</v>
      </c>
      <c r="G467" s="103" t="s">
        <v>20</v>
      </c>
      <c r="I467" s="103">
        <v>201505</v>
      </c>
      <c r="J467" s="104">
        <v>-474.94</v>
      </c>
      <c r="K467" s="72">
        <f t="shared" si="39"/>
        <v>42675</v>
      </c>
      <c r="L467" s="67">
        <f t="shared" si="35"/>
        <v>6</v>
      </c>
      <c r="M467" s="105">
        <v>1.4833299999999999E-3</v>
      </c>
      <c r="N467" s="104">
        <f t="shared" si="36"/>
        <v>-4.2269565012000001</v>
      </c>
      <c r="O467" s="66"/>
      <c r="P467" s="71">
        <f t="shared" si="37"/>
        <v>0</v>
      </c>
      <c r="Q467" s="132"/>
      <c r="R467" s="71">
        <f t="shared" si="38"/>
        <v>-7.2672746208333328</v>
      </c>
    </row>
    <row r="468" spans="1:18">
      <c r="A468" s="102" t="s">
        <v>626</v>
      </c>
      <c r="B468" s="103" t="s">
        <v>981</v>
      </c>
      <c r="C468" s="103" t="s">
        <v>982</v>
      </c>
      <c r="D468" s="102" t="s">
        <v>983</v>
      </c>
      <c r="E468" s="103" t="s">
        <v>531</v>
      </c>
      <c r="F468" s="102" t="s">
        <v>26</v>
      </c>
      <c r="G468" s="103" t="s">
        <v>20</v>
      </c>
      <c r="I468" s="103">
        <v>201505</v>
      </c>
      <c r="J468" s="104">
        <v>-403.59</v>
      </c>
      <c r="K468" s="72">
        <f t="shared" si="39"/>
        <v>42675</v>
      </c>
      <c r="L468" s="67">
        <f t="shared" si="35"/>
        <v>6</v>
      </c>
      <c r="M468" s="105">
        <v>1.4833299999999999E-3</v>
      </c>
      <c r="N468" s="104">
        <f t="shared" si="36"/>
        <v>-3.5919429281999999</v>
      </c>
      <c r="O468" s="66"/>
      <c r="P468" s="71">
        <f t="shared" si="37"/>
        <v>0</v>
      </c>
      <c r="Q468" s="132"/>
      <c r="R468" s="71">
        <f t="shared" si="38"/>
        <v>-6.175515568749999</v>
      </c>
    </row>
    <row r="469" spans="1:18">
      <c r="A469" s="102" t="s">
        <v>626</v>
      </c>
      <c r="B469" s="103" t="s">
        <v>1414</v>
      </c>
      <c r="C469" s="103" t="s">
        <v>1415</v>
      </c>
      <c r="D469" s="102" t="s">
        <v>1416</v>
      </c>
      <c r="E469" s="103" t="s">
        <v>209</v>
      </c>
      <c r="F469" s="102" t="s">
        <v>88</v>
      </c>
      <c r="G469" s="103" t="s">
        <v>20</v>
      </c>
      <c r="I469" s="103">
        <v>201505</v>
      </c>
      <c r="J469" s="104">
        <v>227324.23</v>
      </c>
      <c r="K469" s="72">
        <f t="shared" si="39"/>
        <v>42675</v>
      </c>
      <c r="L469" s="67">
        <f t="shared" si="35"/>
        <v>6</v>
      </c>
      <c r="M469" s="105">
        <v>1.4833299999999999E-3</v>
      </c>
      <c r="N469" s="104">
        <f t="shared" si="36"/>
        <v>2023.1811005154002</v>
      </c>
      <c r="O469" s="66"/>
      <c r="P469" s="71">
        <f t="shared" si="37"/>
        <v>0</v>
      </c>
      <c r="Q469" s="132"/>
      <c r="R469" s="71">
        <f t="shared" si="38"/>
        <v>3478.3922335020834</v>
      </c>
    </row>
    <row r="470" spans="1:18">
      <c r="A470" s="102" t="s">
        <v>626</v>
      </c>
      <c r="B470" s="103" t="s">
        <v>1292</v>
      </c>
      <c r="C470" s="103" t="s">
        <v>1293</v>
      </c>
      <c r="D470" s="102" t="s">
        <v>1294</v>
      </c>
      <c r="E470" s="103" t="s">
        <v>93</v>
      </c>
      <c r="F470" s="102" t="s">
        <v>88</v>
      </c>
      <c r="G470" s="103" t="s">
        <v>20</v>
      </c>
      <c r="I470" s="103">
        <v>201505</v>
      </c>
      <c r="J470" s="104">
        <v>-240.65</v>
      </c>
      <c r="K470" s="72">
        <f t="shared" si="39"/>
        <v>42675</v>
      </c>
      <c r="L470" s="67">
        <f t="shared" si="35"/>
        <v>6</v>
      </c>
      <c r="M470" s="105">
        <v>1.4833299999999999E-3</v>
      </c>
      <c r="N470" s="104">
        <f t="shared" si="36"/>
        <v>-2.1417801870000002</v>
      </c>
      <c r="O470" s="66"/>
      <c r="P470" s="71">
        <f t="shared" si="37"/>
        <v>0</v>
      </c>
      <c r="Q470" s="132"/>
      <c r="R470" s="71">
        <f t="shared" si="38"/>
        <v>-3.6822959479166664</v>
      </c>
    </row>
    <row r="471" spans="1:18">
      <c r="A471" s="102" t="s">
        <v>626</v>
      </c>
      <c r="B471" s="103" t="s">
        <v>1053</v>
      </c>
      <c r="C471" s="103" t="s">
        <v>1054</v>
      </c>
      <c r="D471" s="102" t="s">
        <v>1055</v>
      </c>
      <c r="E471" s="103" t="s">
        <v>160</v>
      </c>
      <c r="F471" s="102" t="s">
        <v>19</v>
      </c>
      <c r="G471" s="103" t="s">
        <v>20</v>
      </c>
      <c r="I471" s="103">
        <v>201505</v>
      </c>
      <c r="J471" s="104">
        <v>-10.23</v>
      </c>
      <c r="K471" s="72">
        <f t="shared" si="39"/>
        <v>42675</v>
      </c>
      <c r="L471" s="67">
        <f t="shared" si="35"/>
        <v>6</v>
      </c>
      <c r="M471" s="105">
        <v>1.4833299999999999E-3</v>
      </c>
      <c r="N471" s="104">
        <f t="shared" si="36"/>
        <v>-9.1046795400000005E-2</v>
      </c>
      <c r="O471" s="66"/>
      <c r="P471" s="71">
        <f t="shared" si="37"/>
        <v>0</v>
      </c>
      <c r="Q471" s="132"/>
      <c r="R471" s="71">
        <f t="shared" si="38"/>
        <v>-0.15653391875</v>
      </c>
    </row>
    <row r="472" spans="1:18">
      <c r="A472" s="102" t="s">
        <v>626</v>
      </c>
      <c r="B472" s="103" t="s">
        <v>1056</v>
      </c>
      <c r="C472" s="103" t="s">
        <v>1057</v>
      </c>
      <c r="D472" s="102" t="s">
        <v>1058</v>
      </c>
      <c r="E472" s="103" t="s">
        <v>1059</v>
      </c>
      <c r="F472" s="102" t="s">
        <v>26</v>
      </c>
      <c r="G472" s="103" t="s">
        <v>20</v>
      </c>
      <c r="I472" s="103">
        <v>201505</v>
      </c>
      <c r="J472" s="104">
        <v>-149.79</v>
      </c>
      <c r="K472" s="72">
        <f t="shared" si="39"/>
        <v>42675</v>
      </c>
      <c r="L472" s="67">
        <f t="shared" si="35"/>
        <v>6</v>
      </c>
      <c r="M472" s="105">
        <v>1.4833299999999999E-3</v>
      </c>
      <c r="N472" s="104">
        <f t="shared" si="36"/>
        <v>-1.3331280042</v>
      </c>
      <c r="O472" s="66"/>
      <c r="P472" s="71">
        <f t="shared" si="37"/>
        <v>0</v>
      </c>
      <c r="Q472" s="132"/>
      <c r="R472" s="71">
        <f t="shared" si="38"/>
        <v>-2.2920054437499995</v>
      </c>
    </row>
    <row r="473" spans="1:18">
      <c r="A473" s="102" t="s">
        <v>626</v>
      </c>
      <c r="B473" s="103" t="s">
        <v>1417</v>
      </c>
      <c r="C473" s="103" t="s">
        <v>1418</v>
      </c>
      <c r="D473" s="102" t="s">
        <v>1419</v>
      </c>
      <c r="E473" s="103" t="s">
        <v>75</v>
      </c>
      <c r="F473" s="102" t="s">
        <v>26</v>
      </c>
      <c r="G473" s="103" t="s">
        <v>20</v>
      </c>
      <c r="I473" s="103">
        <v>201505</v>
      </c>
      <c r="J473" s="104">
        <v>815075.3</v>
      </c>
      <c r="K473" s="72">
        <f t="shared" si="39"/>
        <v>42675</v>
      </c>
      <c r="L473" s="67">
        <f t="shared" si="35"/>
        <v>6</v>
      </c>
      <c r="M473" s="105">
        <v>1.4833299999999999E-3</v>
      </c>
      <c r="N473" s="104">
        <f t="shared" si="36"/>
        <v>7254.1538684940006</v>
      </c>
      <c r="O473" s="66"/>
      <c r="P473" s="71">
        <f t="shared" si="37"/>
        <v>0</v>
      </c>
      <c r="Q473" s="132"/>
      <c r="R473" s="71">
        <f t="shared" si="38"/>
        <v>12471.840741479165</v>
      </c>
    </row>
    <row r="474" spans="1:18">
      <c r="A474" s="102" t="s">
        <v>626</v>
      </c>
      <c r="B474" s="103" t="s">
        <v>1163</v>
      </c>
      <c r="C474" s="103" t="s">
        <v>1164</v>
      </c>
      <c r="D474" s="102" t="s">
        <v>1165</v>
      </c>
      <c r="E474" s="103" t="s">
        <v>75</v>
      </c>
      <c r="F474" s="102" t="s">
        <v>26</v>
      </c>
      <c r="G474" s="103" t="s">
        <v>20</v>
      </c>
      <c r="I474" s="103">
        <v>201505</v>
      </c>
      <c r="J474" s="104">
        <v>-157.99</v>
      </c>
      <c r="K474" s="72">
        <f t="shared" si="39"/>
        <v>42675</v>
      </c>
      <c r="L474" s="67">
        <f t="shared" si="35"/>
        <v>6</v>
      </c>
      <c r="M474" s="105">
        <v>1.4833299999999999E-3</v>
      </c>
      <c r="N474" s="104">
        <f t="shared" si="36"/>
        <v>-1.4061078402</v>
      </c>
      <c r="O474" s="66"/>
      <c r="P474" s="71">
        <f t="shared" si="37"/>
        <v>0</v>
      </c>
      <c r="Q474" s="132"/>
      <c r="R474" s="71">
        <f t="shared" si="38"/>
        <v>-2.4174774020833332</v>
      </c>
    </row>
    <row r="475" spans="1:18">
      <c r="A475" s="102" t="s">
        <v>626</v>
      </c>
      <c r="B475" s="103" t="s">
        <v>1166</v>
      </c>
      <c r="C475" s="103" t="s">
        <v>1167</v>
      </c>
      <c r="D475" s="102" t="s">
        <v>1168</v>
      </c>
      <c r="E475" s="103" t="s">
        <v>75</v>
      </c>
      <c r="F475" s="102" t="s">
        <v>26</v>
      </c>
      <c r="G475" s="103" t="s">
        <v>20</v>
      </c>
      <c r="I475" s="103">
        <v>201505</v>
      </c>
      <c r="J475" s="104">
        <v>-38.39</v>
      </c>
      <c r="K475" s="72">
        <f t="shared" si="39"/>
        <v>42675</v>
      </c>
      <c r="L475" s="67">
        <f t="shared" si="35"/>
        <v>6</v>
      </c>
      <c r="M475" s="105">
        <v>1.4833299999999999E-3</v>
      </c>
      <c r="N475" s="104">
        <f t="shared" si="36"/>
        <v>-0.34167023219999998</v>
      </c>
      <c r="O475" s="66"/>
      <c r="P475" s="71">
        <f t="shared" si="37"/>
        <v>0</v>
      </c>
      <c r="Q475" s="132"/>
      <c r="R475" s="71">
        <f t="shared" si="38"/>
        <v>-0.5874229854166666</v>
      </c>
    </row>
    <row r="476" spans="1:18">
      <c r="A476" s="102" t="s">
        <v>626</v>
      </c>
      <c r="B476" s="103" t="s">
        <v>1169</v>
      </c>
      <c r="C476" s="103" t="s">
        <v>1170</v>
      </c>
      <c r="D476" s="102" t="s">
        <v>1171</v>
      </c>
      <c r="E476" s="103" t="s">
        <v>164</v>
      </c>
      <c r="F476" s="102" t="s">
        <v>165</v>
      </c>
      <c r="G476" s="103" t="s">
        <v>20</v>
      </c>
      <c r="I476" s="103">
        <v>201505</v>
      </c>
      <c r="J476" s="104">
        <v>-611.89</v>
      </c>
      <c r="K476" s="72">
        <f t="shared" si="39"/>
        <v>42675</v>
      </c>
      <c r="L476" s="67">
        <f t="shared" si="35"/>
        <v>6</v>
      </c>
      <c r="M476" s="105">
        <v>1.4833299999999999E-3</v>
      </c>
      <c r="N476" s="104">
        <f t="shared" si="36"/>
        <v>-5.4458087621999995</v>
      </c>
      <c r="O476" s="66"/>
      <c r="P476" s="71">
        <f t="shared" si="37"/>
        <v>0</v>
      </c>
      <c r="Q476" s="132"/>
      <c r="R476" s="71">
        <f t="shared" si="38"/>
        <v>-9.3628093395833307</v>
      </c>
    </row>
    <row r="477" spans="1:18">
      <c r="A477" s="102" t="s">
        <v>626</v>
      </c>
      <c r="B477" s="103" t="s">
        <v>1172</v>
      </c>
      <c r="C477" s="103" t="s">
        <v>1173</v>
      </c>
      <c r="D477" s="102" t="s">
        <v>1174</v>
      </c>
      <c r="E477" s="103" t="s">
        <v>156</v>
      </c>
      <c r="F477" s="102" t="s">
        <v>26</v>
      </c>
      <c r="G477" s="103" t="s">
        <v>20</v>
      </c>
      <c r="I477" s="103">
        <v>201505</v>
      </c>
      <c r="J477" s="104">
        <v>-314.77</v>
      </c>
      <c r="K477" s="72">
        <f t="shared" si="39"/>
        <v>42675</v>
      </c>
      <c r="L477" s="67">
        <f t="shared" si="35"/>
        <v>6</v>
      </c>
      <c r="M477" s="105">
        <v>1.4833299999999999E-3</v>
      </c>
      <c r="N477" s="104">
        <f t="shared" si="36"/>
        <v>-2.8014467046</v>
      </c>
      <c r="O477" s="66"/>
      <c r="P477" s="71">
        <f t="shared" si="37"/>
        <v>0</v>
      </c>
      <c r="Q477" s="132"/>
      <c r="R477" s="71">
        <f t="shared" si="38"/>
        <v>-4.8164400395833322</v>
      </c>
    </row>
    <row r="478" spans="1:18">
      <c r="A478" s="102" t="s">
        <v>626</v>
      </c>
      <c r="B478" s="103" t="s">
        <v>1318</v>
      </c>
      <c r="C478" s="103" t="s">
        <v>1319</v>
      </c>
      <c r="D478" s="102" t="s">
        <v>1320</v>
      </c>
      <c r="E478" s="103" t="s">
        <v>1059</v>
      </c>
      <c r="F478" s="102" t="s">
        <v>26</v>
      </c>
      <c r="G478" s="103" t="s">
        <v>20</v>
      </c>
      <c r="I478" s="103">
        <v>201505</v>
      </c>
      <c r="J478" s="104">
        <v>-239.3</v>
      </c>
      <c r="K478" s="72">
        <f t="shared" si="39"/>
        <v>42675</v>
      </c>
      <c r="L478" s="67">
        <f t="shared" si="35"/>
        <v>6</v>
      </c>
      <c r="M478" s="105">
        <v>1.4833299999999999E-3</v>
      </c>
      <c r="N478" s="104">
        <f t="shared" si="36"/>
        <v>-2.1297652140000003</v>
      </c>
      <c r="O478" s="66"/>
      <c r="P478" s="71">
        <f t="shared" si="37"/>
        <v>0</v>
      </c>
      <c r="Q478" s="132"/>
      <c r="R478" s="71">
        <f t="shared" si="38"/>
        <v>-3.6616389791666668</v>
      </c>
    </row>
    <row r="479" spans="1:18">
      <c r="A479" s="102" t="s">
        <v>626</v>
      </c>
      <c r="B479" s="103" t="s">
        <v>1212</v>
      </c>
      <c r="C479" s="103" t="s">
        <v>1213</v>
      </c>
      <c r="D479" s="102" t="s">
        <v>1214</v>
      </c>
      <c r="E479" s="103" t="s">
        <v>260</v>
      </c>
      <c r="F479" s="102" t="s">
        <v>26</v>
      </c>
      <c r="G479" s="103" t="s">
        <v>20</v>
      </c>
      <c r="I479" s="103">
        <v>201505</v>
      </c>
      <c r="J479" s="104">
        <v>-256.83999999999997</v>
      </c>
      <c r="K479" s="72">
        <f t="shared" si="39"/>
        <v>42675</v>
      </c>
      <c r="L479" s="67">
        <f t="shared" si="35"/>
        <v>6</v>
      </c>
      <c r="M479" s="105">
        <v>1.4833299999999999E-3</v>
      </c>
      <c r="N479" s="104">
        <f t="shared" si="36"/>
        <v>-2.2858708632</v>
      </c>
      <c r="O479" s="66"/>
      <c r="P479" s="71">
        <f t="shared" si="37"/>
        <v>0</v>
      </c>
      <c r="Q479" s="132"/>
      <c r="R479" s="71">
        <f t="shared" si="38"/>
        <v>-3.9300265583333327</v>
      </c>
    </row>
    <row r="480" spans="1:18">
      <c r="A480" s="102" t="s">
        <v>626</v>
      </c>
      <c r="B480" s="103" t="s">
        <v>1420</v>
      </c>
      <c r="C480" s="103" t="s">
        <v>1421</v>
      </c>
      <c r="D480" s="102" t="s">
        <v>1422</v>
      </c>
      <c r="E480" s="103" t="s">
        <v>260</v>
      </c>
      <c r="F480" s="102" t="s">
        <v>26</v>
      </c>
      <c r="G480" s="103" t="s">
        <v>20</v>
      </c>
      <c r="I480" s="103">
        <v>201505</v>
      </c>
      <c r="J480" s="104">
        <v>43360.32</v>
      </c>
      <c r="K480" s="72">
        <f t="shared" si="39"/>
        <v>42675</v>
      </c>
      <c r="L480" s="67">
        <f t="shared" si="35"/>
        <v>6</v>
      </c>
      <c r="M480" s="105">
        <v>1.4833299999999999E-3</v>
      </c>
      <c r="N480" s="104">
        <f t="shared" si="36"/>
        <v>385.90598079360001</v>
      </c>
      <c r="O480" s="66"/>
      <c r="P480" s="71">
        <f t="shared" si="37"/>
        <v>0</v>
      </c>
      <c r="Q480" s="132"/>
      <c r="R480" s="71">
        <f t="shared" si="38"/>
        <v>663.47612979999985</v>
      </c>
    </row>
    <row r="481" spans="1:18">
      <c r="A481" s="102" t="s">
        <v>626</v>
      </c>
      <c r="B481" s="103" t="s">
        <v>1175</v>
      </c>
      <c r="C481" s="103" t="s">
        <v>1176</v>
      </c>
      <c r="D481" s="102" t="s">
        <v>1177</v>
      </c>
      <c r="E481" s="103" t="s">
        <v>1059</v>
      </c>
      <c r="F481" s="102" t="s">
        <v>26</v>
      </c>
      <c r="G481" s="103" t="s">
        <v>20</v>
      </c>
      <c r="I481" s="103">
        <v>201505</v>
      </c>
      <c r="J481" s="104">
        <v>-100.29</v>
      </c>
      <c r="K481" s="72">
        <f t="shared" si="39"/>
        <v>42675</v>
      </c>
      <c r="L481" s="67">
        <f t="shared" si="35"/>
        <v>6</v>
      </c>
      <c r="M481" s="105">
        <v>1.4833299999999999E-3</v>
      </c>
      <c r="N481" s="104">
        <f t="shared" si="36"/>
        <v>-0.89257899420000009</v>
      </c>
      <c r="O481" s="66"/>
      <c r="P481" s="71">
        <f t="shared" si="37"/>
        <v>0</v>
      </c>
      <c r="Q481" s="132"/>
      <c r="R481" s="71">
        <f t="shared" si="38"/>
        <v>-1.5345832562499999</v>
      </c>
    </row>
    <row r="482" spans="1:18">
      <c r="A482" s="102" t="s">
        <v>626</v>
      </c>
      <c r="B482" s="103" t="s">
        <v>1178</v>
      </c>
      <c r="C482" s="103" t="s">
        <v>1179</v>
      </c>
      <c r="D482" s="102" t="s">
        <v>1180</v>
      </c>
      <c r="E482" s="103" t="s">
        <v>260</v>
      </c>
      <c r="F482" s="102" t="s">
        <v>26</v>
      </c>
      <c r="G482" s="103" t="s">
        <v>20</v>
      </c>
      <c r="I482" s="103">
        <v>201505</v>
      </c>
      <c r="J482" s="104">
        <v>-74.58</v>
      </c>
      <c r="K482" s="72">
        <f t="shared" si="39"/>
        <v>42675</v>
      </c>
      <c r="L482" s="67">
        <f t="shared" si="35"/>
        <v>6</v>
      </c>
      <c r="M482" s="105">
        <v>1.4833299999999999E-3</v>
      </c>
      <c r="N482" s="104">
        <f t="shared" si="36"/>
        <v>-0.6637605084</v>
      </c>
      <c r="O482" s="66"/>
      <c r="P482" s="71">
        <f t="shared" si="37"/>
        <v>0</v>
      </c>
      <c r="Q482" s="132"/>
      <c r="R482" s="71">
        <f t="shared" si="38"/>
        <v>-1.1411827624999997</v>
      </c>
    </row>
    <row r="483" spans="1:18">
      <c r="A483" s="102" t="s">
        <v>626</v>
      </c>
      <c r="B483" s="103" t="s">
        <v>1268</v>
      </c>
      <c r="C483" s="103" t="s">
        <v>1269</v>
      </c>
      <c r="D483" s="102" t="s">
        <v>1270</v>
      </c>
      <c r="E483" s="103" t="s">
        <v>260</v>
      </c>
      <c r="F483" s="102" t="s">
        <v>26</v>
      </c>
      <c r="G483" s="103" t="s">
        <v>20</v>
      </c>
      <c r="I483" s="103">
        <v>201505</v>
      </c>
      <c r="J483" s="104">
        <v>-131.71</v>
      </c>
      <c r="K483" s="72">
        <f t="shared" si="39"/>
        <v>42675</v>
      </c>
      <c r="L483" s="67">
        <f t="shared" si="35"/>
        <v>6</v>
      </c>
      <c r="M483" s="105">
        <v>1.4833299999999999E-3</v>
      </c>
      <c r="N483" s="104">
        <f t="shared" si="36"/>
        <v>-1.1722163658</v>
      </c>
      <c r="O483" s="66"/>
      <c r="P483" s="71">
        <f t="shared" si="37"/>
        <v>0</v>
      </c>
      <c r="Q483" s="132"/>
      <c r="R483" s="71">
        <f t="shared" si="38"/>
        <v>-2.0153550770833331</v>
      </c>
    </row>
    <row r="484" spans="1:18">
      <c r="A484" s="102" t="s">
        <v>626</v>
      </c>
      <c r="B484" s="103" t="s">
        <v>1215</v>
      </c>
      <c r="C484" s="103" t="s">
        <v>1216</v>
      </c>
      <c r="D484" s="102" t="s">
        <v>1217</v>
      </c>
      <c r="E484" s="103" t="s">
        <v>102</v>
      </c>
      <c r="F484" s="102" t="s">
        <v>19</v>
      </c>
      <c r="G484" s="103" t="s">
        <v>20</v>
      </c>
      <c r="I484" s="103">
        <v>201505</v>
      </c>
      <c r="J484" s="104">
        <v>-49.39</v>
      </c>
      <c r="K484" s="72">
        <f t="shared" si="39"/>
        <v>42675</v>
      </c>
      <c r="L484" s="67">
        <f t="shared" si="35"/>
        <v>6</v>
      </c>
      <c r="M484" s="105">
        <v>1.4833299999999999E-3</v>
      </c>
      <c r="N484" s="104">
        <f t="shared" si="36"/>
        <v>-0.43957001220000003</v>
      </c>
      <c r="O484" s="66"/>
      <c r="P484" s="71">
        <f t="shared" si="37"/>
        <v>0</v>
      </c>
      <c r="Q484" s="132"/>
      <c r="R484" s="71">
        <f t="shared" si="38"/>
        <v>-0.75573902708333329</v>
      </c>
    </row>
    <row r="485" spans="1:18">
      <c r="A485" s="102" t="s">
        <v>626</v>
      </c>
      <c r="B485" s="103" t="s">
        <v>1321</v>
      </c>
      <c r="C485" s="103" t="s">
        <v>1322</v>
      </c>
      <c r="D485" s="102" t="s">
        <v>1323</v>
      </c>
      <c r="E485" s="103" t="s">
        <v>613</v>
      </c>
      <c r="F485" s="102" t="s">
        <v>398</v>
      </c>
      <c r="G485" s="103" t="s">
        <v>20</v>
      </c>
      <c r="I485" s="103">
        <v>201505</v>
      </c>
      <c r="J485" s="104">
        <v>-1336.22</v>
      </c>
      <c r="K485" s="72">
        <f t="shared" si="39"/>
        <v>42675</v>
      </c>
      <c r="L485" s="67">
        <f t="shared" si="35"/>
        <v>6</v>
      </c>
      <c r="M485" s="105">
        <v>1.4833299999999999E-3</v>
      </c>
      <c r="N485" s="104">
        <f t="shared" si="36"/>
        <v>-11.8923312756</v>
      </c>
      <c r="O485" s="66"/>
      <c r="P485" s="71">
        <f t="shared" si="37"/>
        <v>0</v>
      </c>
      <c r="Q485" s="132"/>
      <c r="R485" s="71">
        <f t="shared" si="38"/>
        <v>-20.446114654166667</v>
      </c>
    </row>
    <row r="486" spans="1:18">
      <c r="A486" s="102" t="s">
        <v>626</v>
      </c>
      <c r="B486" s="103" t="s">
        <v>1236</v>
      </c>
      <c r="C486" s="103" t="s">
        <v>1237</v>
      </c>
      <c r="D486" s="102" t="s">
        <v>1238</v>
      </c>
      <c r="E486" s="103" t="s">
        <v>93</v>
      </c>
      <c r="F486" s="102" t="s">
        <v>88</v>
      </c>
      <c r="G486" s="103" t="s">
        <v>20</v>
      </c>
      <c r="I486" s="103">
        <v>201505</v>
      </c>
      <c r="J486" s="104">
        <v>-76.45</v>
      </c>
      <c r="K486" s="72">
        <f t="shared" si="39"/>
        <v>42675</v>
      </c>
      <c r="L486" s="67">
        <f t="shared" si="35"/>
        <v>6</v>
      </c>
      <c r="M486" s="105">
        <v>1.4833299999999999E-3</v>
      </c>
      <c r="N486" s="104">
        <f t="shared" si="36"/>
        <v>-0.68040347099999998</v>
      </c>
      <c r="O486" s="66"/>
      <c r="P486" s="71">
        <f t="shared" si="37"/>
        <v>0</v>
      </c>
      <c r="Q486" s="132"/>
      <c r="R486" s="71">
        <f t="shared" si="38"/>
        <v>-1.1697964895833333</v>
      </c>
    </row>
    <row r="487" spans="1:18">
      <c r="A487" s="102" t="s">
        <v>626</v>
      </c>
      <c r="B487" s="103" t="s">
        <v>1271</v>
      </c>
      <c r="C487" s="103" t="s">
        <v>1272</v>
      </c>
      <c r="D487" s="102" t="s">
        <v>1273</v>
      </c>
      <c r="E487" s="103" t="s">
        <v>75</v>
      </c>
      <c r="F487" s="102" t="s">
        <v>26</v>
      </c>
      <c r="G487" s="103" t="s">
        <v>20</v>
      </c>
      <c r="I487" s="103">
        <v>201505</v>
      </c>
      <c r="J487" s="104">
        <v>-24.7</v>
      </c>
      <c r="K487" s="72">
        <f t="shared" si="39"/>
        <v>42675</v>
      </c>
      <c r="L487" s="67">
        <f t="shared" si="35"/>
        <v>6</v>
      </c>
      <c r="M487" s="105">
        <v>1.4833299999999999E-3</v>
      </c>
      <c r="N487" s="104">
        <f t="shared" si="36"/>
        <v>-0.21982950600000001</v>
      </c>
      <c r="O487" s="66"/>
      <c r="P487" s="71">
        <f t="shared" si="37"/>
        <v>0</v>
      </c>
      <c r="Q487" s="132"/>
      <c r="R487" s="71">
        <f t="shared" si="38"/>
        <v>-0.37794602083333328</v>
      </c>
    </row>
    <row r="488" spans="1:18">
      <c r="A488" s="102" t="s">
        <v>626</v>
      </c>
      <c r="B488" s="103" t="s">
        <v>1218</v>
      </c>
      <c r="C488" s="103" t="s">
        <v>1219</v>
      </c>
      <c r="D488" s="102" t="s">
        <v>1220</v>
      </c>
      <c r="E488" s="103" t="s">
        <v>809</v>
      </c>
      <c r="F488" s="102" t="s">
        <v>26</v>
      </c>
      <c r="G488" s="103" t="s">
        <v>20</v>
      </c>
      <c r="I488" s="103">
        <v>201505</v>
      </c>
      <c r="J488" s="104">
        <v>-148.76</v>
      </c>
      <c r="K488" s="72">
        <f t="shared" si="39"/>
        <v>42675</v>
      </c>
      <c r="L488" s="67">
        <f t="shared" si="35"/>
        <v>6</v>
      </c>
      <c r="M488" s="105">
        <v>1.4833299999999999E-3</v>
      </c>
      <c r="N488" s="104">
        <f t="shared" si="36"/>
        <v>-1.3239610248</v>
      </c>
      <c r="O488" s="66"/>
      <c r="P488" s="71">
        <f t="shared" si="37"/>
        <v>0</v>
      </c>
      <c r="Q488" s="132"/>
      <c r="R488" s="71">
        <f t="shared" si="38"/>
        <v>-2.2762449416666666</v>
      </c>
    </row>
    <row r="489" spans="1:18">
      <c r="A489" s="102" t="s">
        <v>626</v>
      </c>
      <c r="B489" s="103" t="s">
        <v>1324</v>
      </c>
      <c r="C489" s="103" t="s">
        <v>1325</v>
      </c>
      <c r="D489" s="102" t="s">
        <v>1326</v>
      </c>
      <c r="E489" s="103" t="s">
        <v>142</v>
      </c>
      <c r="F489" s="102" t="s">
        <v>143</v>
      </c>
      <c r="G489" s="103" t="s">
        <v>20</v>
      </c>
      <c r="I489" s="103">
        <v>201505</v>
      </c>
      <c r="J489" s="104">
        <v>-457.51</v>
      </c>
      <c r="K489" s="72">
        <f t="shared" si="39"/>
        <v>42675</v>
      </c>
      <c r="L489" s="67">
        <f t="shared" si="35"/>
        <v>6</v>
      </c>
      <c r="M489" s="105">
        <v>1.4833299999999999E-3</v>
      </c>
      <c r="N489" s="104">
        <f t="shared" si="36"/>
        <v>-4.0718298498000003</v>
      </c>
      <c r="O489" s="66"/>
      <c r="P489" s="71">
        <f t="shared" si="37"/>
        <v>0</v>
      </c>
      <c r="Q489" s="132"/>
      <c r="R489" s="71">
        <f t="shared" si="38"/>
        <v>-7.000570202083332</v>
      </c>
    </row>
    <row r="490" spans="1:18">
      <c r="A490" s="102" t="s">
        <v>626</v>
      </c>
      <c r="B490" s="103" t="s">
        <v>1274</v>
      </c>
      <c r="C490" s="103" t="s">
        <v>1275</v>
      </c>
      <c r="D490" s="102" t="s">
        <v>1276</v>
      </c>
      <c r="E490" s="103" t="s">
        <v>164</v>
      </c>
      <c r="F490" s="102" t="s">
        <v>165</v>
      </c>
      <c r="G490" s="103" t="s">
        <v>20</v>
      </c>
      <c r="I490" s="103">
        <v>201505</v>
      </c>
      <c r="J490" s="104">
        <v>-424.09</v>
      </c>
      <c r="K490" s="72">
        <f t="shared" si="39"/>
        <v>42675</v>
      </c>
      <c r="L490" s="67">
        <f t="shared" si="35"/>
        <v>6</v>
      </c>
      <c r="M490" s="105">
        <v>1.4833299999999999E-3</v>
      </c>
      <c r="N490" s="104">
        <f t="shared" si="36"/>
        <v>-3.7743925182</v>
      </c>
      <c r="O490" s="66"/>
      <c r="P490" s="71">
        <f t="shared" si="37"/>
        <v>0</v>
      </c>
      <c r="Q490" s="132"/>
      <c r="R490" s="71">
        <f t="shared" si="38"/>
        <v>-6.4891954645833323</v>
      </c>
    </row>
    <row r="491" spans="1:18">
      <c r="A491" s="102" t="s">
        <v>626</v>
      </c>
      <c r="B491" s="103" t="s">
        <v>1423</v>
      </c>
      <c r="C491" s="103" t="s">
        <v>1424</v>
      </c>
      <c r="D491" s="102" t="s">
        <v>1425</v>
      </c>
      <c r="E491" s="103" t="s">
        <v>75</v>
      </c>
      <c r="F491" s="102" t="s">
        <v>26</v>
      </c>
      <c r="G491" s="103" t="s">
        <v>20</v>
      </c>
      <c r="I491" s="103">
        <v>201505</v>
      </c>
      <c r="J491" s="104">
        <v>118307.83</v>
      </c>
      <c r="K491" s="72">
        <f t="shared" si="39"/>
        <v>42675</v>
      </c>
      <c r="L491" s="67">
        <f t="shared" si="35"/>
        <v>6</v>
      </c>
      <c r="M491" s="105">
        <v>1.4833299999999999E-3</v>
      </c>
      <c r="N491" s="104">
        <f t="shared" si="36"/>
        <v>1052.9373208434001</v>
      </c>
      <c r="O491" s="66"/>
      <c r="P491" s="71">
        <f t="shared" si="37"/>
        <v>0</v>
      </c>
      <c r="Q491" s="132"/>
      <c r="R491" s="71">
        <f t="shared" si="38"/>
        <v>1810.2823312520832</v>
      </c>
    </row>
    <row r="492" spans="1:18">
      <c r="A492" s="102" t="s">
        <v>626</v>
      </c>
      <c r="B492" s="103" t="s">
        <v>1357</v>
      </c>
      <c r="C492" s="103" t="s">
        <v>1358</v>
      </c>
      <c r="D492" s="102" t="s">
        <v>1359</v>
      </c>
      <c r="E492" s="103" t="s">
        <v>75</v>
      </c>
      <c r="F492" s="102" t="s">
        <v>26</v>
      </c>
      <c r="G492" s="103" t="s">
        <v>20</v>
      </c>
      <c r="I492" s="103">
        <v>201505</v>
      </c>
      <c r="J492" s="104">
        <v>-1358.31</v>
      </c>
      <c r="K492" s="72">
        <f t="shared" si="39"/>
        <v>42675</v>
      </c>
      <c r="L492" s="67">
        <f t="shared" si="35"/>
        <v>6</v>
      </c>
      <c r="M492" s="105">
        <v>1.4833299999999999E-3</v>
      </c>
      <c r="N492" s="104">
        <f t="shared" si="36"/>
        <v>-12.0889318338</v>
      </c>
      <c r="O492" s="66"/>
      <c r="P492" s="71">
        <f t="shared" si="37"/>
        <v>0</v>
      </c>
      <c r="Q492" s="132"/>
      <c r="R492" s="71">
        <f t="shared" si="38"/>
        <v>-20.784123868749997</v>
      </c>
    </row>
    <row r="493" spans="1:18">
      <c r="A493" s="102" t="s">
        <v>626</v>
      </c>
      <c r="B493" s="103" t="s">
        <v>1360</v>
      </c>
      <c r="C493" s="103" t="s">
        <v>1361</v>
      </c>
      <c r="D493" s="102" t="s">
        <v>1362</v>
      </c>
      <c r="E493" s="103" t="s">
        <v>75</v>
      </c>
      <c r="F493" s="102" t="s">
        <v>26</v>
      </c>
      <c r="G493" s="103" t="s">
        <v>20</v>
      </c>
      <c r="I493" s="103">
        <v>201505</v>
      </c>
      <c r="J493" s="104">
        <v>405.93</v>
      </c>
      <c r="K493" s="72">
        <f t="shared" si="39"/>
        <v>42675</v>
      </c>
      <c r="L493" s="67">
        <f t="shared" si="35"/>
        <v>6</v>
      </c>
      <c r="M493" s="105">
        <v>1.4833299999999999E-3</v>
      </c>
      <c r="N493" s="104">
        <f t="shared" si="36"/>
        <v>3.6127688814000001</v>
      </c>
      <c r="O493" s="66"/>
      <c r="P493" s="71">
        <f t="shared" si="37"/>
        <v>0</v>
      </c>
      <c r="Q493" s="132"/>
      <c r="R493" s="71">
        <f t="shared" si="38"/>
        <v>6.2113209812499992</v>
      </c>
    </row>
    <row r="494" spans="1:18">
      <c r="A494" s="102" t="s">
        <v>626</v>
      </c>
      <c r="B494" s="103" t="s">
        <v>1327</v>
      </c>
      <c r="C494" s="103" t="s">
        <v>1328</v>
      </c>
      <c r="D494" s="102" t="s">
        <v>1329</v>
      </c>
      <c r="E494" s="103" t="s">
        <v>75</v>
      </c>
      <c r="F494" s="102" t="s">
        <v>26</v>
      </c>
      <c r="G494" s="103" t="s">
        <v>20</v>
      </c>
      <c r="I494" s="103">
        <v>201505</v>
      </c>
      <c r="J494" s="104">
        <v>-479.85</v>
      </c>
      <c r="K494" s="72">
        <f t="shared" si="39"/>
        <v>42675</v>
      </c>
      <c r="L494" s="67">
        <f t="shared" si="35"/>
        <v>6</v>
      </c>
      <c r="M494" s="105">
        <v>1.4833299999999999E-3</v>
      </c>
      <c r="N494" s="104">
        <f t="shared" si="36"/>
        <v>-4.2706554030000001</v>
      </c>
      <c r="O494" s="66"/>
      <c r="P494" s="71">
        <f t="shared" si="37"/>
        <v>0</v>
      </c>
      <c r="Q494" s="132"/>
      <c r="R494" s="71">
        <f t="shared" si="38"/>
        <v>-7.3424047812499991</v>
      </c>
    </row>
    <row r="495" spans="1:18">
      <c r="A495" s="102" t="s">
        <v>626</v>
      </c>
      <c r="B495" s="103" t="s">
        <v>1426</v>
      </c>
      <c r="C495" s="103" t="s">
        <v>1427</v>
      </c>
      <c r="D495" s="102" t="s">
        <v>1428</v>
      </c>
      <c r="E495" s="103" t="s">
        <v>75</v>
      </c>
      <c r="F495" s="102" t="s">
        <v>26</v>
      </c>
      <c r="G495" s="103" t="s">
        <v>20</v>
      </c>
      <c r="I495" s="103">
        <v>201505</v>
      </c>
      <c r="J495" s="104">
        <v>27408.83</v>
      </c>
      <c r="K495" s="72">
        <f t="shared" si="39"/>
        <v>42675</v>
      </c>
      <c r="L495" s="67">
        <f t="shared" si="35"/>
        <v>6</v>
      </c>
      <c r="M495" s="105">
        <v>1.4833299999999999E-3</v>
      </c>
      <c r="N495" s="104">
        <f t="shared" si="36"/>
        <v>243.93803882340001</v>
      </c>
      <c r="O495" s="66"/>
      <c r="P495" s="71">
        <f t="shared" si="37"/>
        <v>0</v>
      </c>
      <c r="Q495" s="132"/>
      <c r="R495" s="71">
        <f t="shared" si="38"/>
        <v>419.39507021041669</v>
      </c>
    </row>
    <row r="496" spans="1:18">
      <c r="A496" s="102" t="s">
        <v>626</v>
      </c>
      <c r="B496" s="103" t="s">
        <v>1184</v>
      </c>
      <c r="C496" s="103" t="s">
        <v>1185</v>
      </c>
      <c r="D496" s="102" t="s">
        <v>1186</v>
      </c>
      <c r="E496" s="103" t="s">
        <v>471</v>
      </c>
      <c r="F496" s="102" t="s">
        <v>165</v>
      </c>
      <c r="G496" s="103" t="s">
        <v>20</v>
      </c>
      <c r="I496" s="103">
        <v>201505</v>
      </c>
      <c r="J496" s="104">
        <v>-193.17</v>
      </c>
      <c r="K496" s="72">
        <f t="shared" si="39"/>
        <v>42675</v>
      </c>
      <c r="L496" s="67">
        <f t="shared" si="35"/>
        <v>6</v>
      </c>
      <c r="M496" s="105">
        <v>1.4833299999999999E-3</v>
      </c>
      <c r="N496" s="104">
        <f t="shared" si="36"/>
        <v>-1.7192091366</v>
      </c>
      <c r="O496" s="66"/>
      <c r="P496" s="71">
        <f t="shared" si="37"/>
        <v>0</v>
      </c>
      <c r="Q496" s="132"/>
      <c r="R496" s="71">
        <f t="shared" si="38"/>
        <v>-2.9557827062499995</v>
      </c>
    </row>
    <row r="497" spans="1:18">
      <c r="A497" s="102" t="s">
        <v>626</v>
      </c>
      <c r="B497" s="103" t="s">
        <v>1295</v>
      </c>
      <c r="C497" s="103" t="s">
        <v>1296</v>
      </c>
      <c r="D497" s="102" t="s">
        <v>1297</v>
      </c>
      <c r="E497" s="103" t="s">
        <v>87</v>
      </c>
      <c r="F497" s="102" t="s">
        <v>88</v>
      </c>
      <c r="G497" s="103" t="s">
        <v>20</v>
      </c>
      <c r="I497" s="103">
        <v>201505</v>
      </c>
      <c r="J497" s="104">
        <v>-867.78</v>
      </c>
      <c r="K497" s="72">
        <f t="shared" si="39"/>
        <v>42675</v>
      </c>
      <c r="L497" s="67">
        <f t="shared" si="35"/>
        <v>6</v>
      </c>
      <c r="M497" s="105">
        <v>1.4833299999999999E-3</v>
      </c>
      <c r="N497" s="104">
        <f t="shared" si="36"/>
        <v>-7.7232246444000001</v>
      </c>
      <c r="O497" s="66"/>
      <c r="P497" s="71">
        <f t="shared" si="37"/>
        <v>0</v>
      </c>
      <c r="Q497" s="132"/>
      <c r="R497" s="71">
        <f t="shared" si="38"/>
        <v>-13.278299512499999</v>
      </c>
    </row>
    <row r="498" spans="1:18">
      <c r="A498" s="102" t="s">
        <v>626</v>
      </c>
      <c r="B498" s="103" t="s">
        <v>1277</v>
      </c>
      <c r="C498" s="103" t="s">
        <v>1278</v>
      </c>
      <c r="D498" s="102" t="s">
        <v>1279</v>
      </c>
      <c r="E498" s="103" t="s">
        <v>471</v>
      </c>
      <c r="F498" s="102" t="s">
        <v>165</v>
      </c>
      <c r="G498" s="103" t="s">
        <v>20</v>
      </c>
      <c r="I498" s="103">
        <v>201505</v>
      </c>
      <c r="J498" s="104">
        <v>66.72</v>
      </c>
      <c r="K498" s="72">
        <f t="shared" si="39"/>
        <v>42675</v>
      </c>
      <c r="L498" s="67">
        <f t="shared" si="35"/>
        <v>6</v>
      </c>
      <c r="M498" s="105">
        <v>1.4833299999999999E-3</v>
      </c>
      <c r="N498" s="104">
        <f t="shared" si="36"/>
        <v>0.59380666559999995</v>
      </c>
      <c r="O498" s="66"/>
      <c r="P498" s="71">
        <f t="shared" si="37"/>
        <v>0</v>
      </c>
      <c r="Q498" s="132"/>
      <c r="R498" s="71">
        <f t="shared" si="38"/>
        <v>1.0209132999999999</v>
      </c>
    </row>
    <row r="499" spans="1:18">
      <c r="A499" s="102" t="s">
        <v>626</v>
      </c>
      <c r="B499" s="103" t="s">
        <v>1224</v>
      </c>
      <c r="C499" s="103" t="s">
        <v>1225</v>
      </c>
      <c r="D499" s="102" t="s">
        <v>1226</v>
      </c>
      <c r="E499" s="103" t="s">
        <v>164</v>
      </c>
      <c r="F499" s="102" t="s">
        <v>165</v>
      </c>
      <c r="G499" s="103" t="s">
        <v>20</v>
      </c>
      <c r="I499" s="103">
        <v>201505</v>
      </c>
      <c r="J499" s="104">
        <v>-460.91</v>
      </c>
      <c r="K499" s="72">
        <f t="shared" si="39"/>
        <v>42675</v>
      </c>
      <c r="L499" s="67">
        <f t="shared" si="35"/>
        <v>6</v>
      </c>
      <c r="M499" s="105">
        <v>1.4833299999999999E-3</v>
      </c>
      <c r="N499" s="104">
        <f t="shared" si="36"/>
        <v>-4.1020897818000002</v>
      </c>
      <c r="O499" s="66"/>
      <c r="P499" s="71">
        <f t="shared" si="37"/>
        <v>0</v>
      </c>
      <c r="Q499" s="132"/>
      <c r="R499" s="71">
        <f t="shared" si="38"/>
        <v>-7.0525951604166668</v>
      </c>
    </row>
    <row r="500" spans="1:18">
      <c r="A500" s="102" t="s">
        <v>626</v>
      </c>
      <c r="B500" s="103" t="s">
        <v>1227</v>
      </c>
      <c r="C500" s="103" t="s">
        <v>1228</v>
      </c>
      <c r="D500" s="102" t="s">
        <v>1229</v>
      </c>
      <c r="E500" s="103" t="s">
        <v>280</v>
      </c>
      <c r="F500" s="102" t="s">
        <v>26</v>
      </c>
      <c r="G500" s="103" t="s">
        <v>20</v>
      </c>
      <c r="I500" s="103">
        <v>201505</v>
      </c>
      <c r="J500" s="104">
        <v>-336.72</v>
      </c>
      <c r="K500" s="72">
        <f t="shared" si="39"/>
        <v>42675</v>
      </c>
      <c r="L500" s="67">
        <f t="shared" si="35"/>
        <v>6</v>
      </c>
      <c r="M500" s="105">
        <v>1.4833299999999999E-3</v>
      </c>
      <c r="N500" s="104">
        <f t="shared" si="36"/>
        <v>-2.9968012656000003</v>
      </c>
      <c r="O500" s="66"/>
      <c r="P500" s="71">
        <f t="shared" si="37"/>
        <v>0</v>
      </c>
      <c r="Q500" s="132"/>
      <c r="R500" s="71">
        <f t="shared" si="38"/>
        <v>-5.1523070500000001</v>
      </c>
    </row>
    <row r="501" spans="1:18">
      <c r="A501" s="102" t="s">
        <v>626</v>
      </c>
      <c r="B501" s="103" t="s">
        <v>1330</v>
      </c>
      <c r="C501" s="103" t="s">
        <v>1331</v>
      </c>
      <c r="D501" s="102" t="s">
        <v>1332</v>
      </c>
      <c r="E501" s="103" t="s">
        <v>102</v>
      </c>
      <c r="F501" s="102" t="s">
        <v>19</v>
      </c>
      <c r="G501" s="103" t="s">
        <v>20</v>
      </c>
      <c r="I501" s="103">
        <v>201505</v>
      </c>
      <c r="J501" s="104">
        <v>-247.02</v>
      </c>
      <c r="K501" s="72">
        <f t="shared" si="39"/>
        <v>42675</v>
      </c>
      <c r="L501" s="67">
        <f t="shared" si="35"/>
        <v>6</v>
      </c>
      <c r="M501" s="105">
        <v>1.4833299999999999E-3</v>
      </c>
      <c r="N501" s="104">
        <f t="shared" si="36"/>
        <v>-2.1984730595999999</v>
      </c>
      <c r="O501" s="66"/>
      <c r="P501" s="71">
        <f t="shared" si="37"/>
        <v>0</v>
      </c>
      <c r="Q501" s="132"/>
      <c r="R501" s="71">
        <f t="shared" si="38"/>
        <v>-3.7797662374999996</v>
      </c>
    </row>
    <row r="502" spans="1:18">
      <c r="A502" s="102" t="s">
        <v>626</v>
      </c>
      <c r="B502" s="103" t="s">
        <v>1239</v>
      </c>
      <c r="C502" s="103" t="s">
        <v>1240</v>
      </c>
      <c r="D502" s="102" t="s">
        <v>1241</v>
      </c>
      <c r="E502" s="103" t="s">
        <v>415</v>
      </c>
      <c r="F502" s="102" t="s">
        <v>88</v>
      </c>
      <c r="G502" s="103" t="s">
        <v>20</v>
      </c>
      <c r="I502" s="103">
        <v>201505</v>
      </c>
      <c r="J502" s="104">
        <v>-147.37</v>
      </c>
      <c r="K502" s="72">
        <f t="shared" si="39"/>
        <v>42675</v>
      </c>
      <c r="L502" s="67">
        <f t="shared" si="35"/>
        <v>6</v>
      </c>
      <c r="M502" s="105">
        <v>1.4833299999999999E-3</v>
      </c>
      <c r="N502" s="104">
        <f t="shared" si="36"/>
        <v>-1.3115900525999999</v>
      </c>
      <c r="O502" s="66"/>
      <c r="P502" s="71">
        <f t="shared" si="37"/>
        <v>0</v>
      </c>
      <c r="Q502" s="132"/>
      <c r="R502" s="71">
        <f t="shared" si="38"/>
        <v>-2.254975914583333</v>
      </c>
    </row>
    <row r="503" spans="1:18">
      <c r="A503" s="102" t="s">
        <v>626</v>
      </c>
      <c r="B503" s="103" t="s">
        <v>1363</v>
      </c>
      <c r="C503" s="103" t="s">
        <v>1364</v>
      </c>
      <c r="D503" s="102" t="s">
        <v>1365</v>
      </c>
      <c r="E503" s="103" t="s">
        <v>497</v>
      </c>
      <c r="F503" s="102" t="s">
        <v>26</v>
      </c>
      <c r="G503" s="103" t="s">
        <v>20</v>
      </c>
      <c r="I503" s="103">
        <v>201505</v>
      </c>
      <c r="J503" s="104">
        <v>-31.65</v>
      </c>
      <c r="K503" s="72">
        <f t="shared" si="39"/>
        <v>42675</v>
      </c>
      <c r="L503" s="67">
        <f t="shared" si="35"/>
        <v>6</v>
      </c>
      <c r="M503" s="105">
        <v>1.4833299999999999E-3</v>
      </c>
      <c r="N503" s="104">
        <f t="shared" si="36"/>
        <v>-0.28168436699999999</v>
      </c>
      <c r="O503" s="66"/>
      <c r="P503" s="71">
        <f t="shared" si="37"/>
        <v>0</v>
      </c>
      <c r="Q503" s="132"/>
      <c r="R503" s="71">
        <f t="shared" si="38"/>
        <v>-0.48429115624999991</v>
      </c>
    </row>
    <row r="504" spans="1:18">
      <c r="A504" s="102" t="s">
        <v>626</v>
      </c>
      <c r="B504" s="103" t="s">
        <v>1280</v>
      </c>
      <c r="C504" s="103" t="s">
        <v>1281</v>
      </c>
      <c r="D504" s="102" t="s">
        <v>1282</v>
      </c>
      <c r="E504" s="103" t="s">
        <v>164</v>
      </c>
      <c r="F504" s="102" t="s">
        <v>165</v>
      </c>
      <c r="G504" s="103" t="s">
        <v>20</v>
      </c>
      <c r="I504" s="103">
        <v>201505</v>
      </c>
      <c r="J504" s="104">
        <v>-173.25</v>
      </c>
      <c r="K504" s="72">
        <f t="shared" si="39"/>
        <v>42675</v>
      </c>
      <c r="L504" s="67">
        <f t="shared" si="35"/>
        <v>6</v>
      </c>
      <c r="M504" s="105">
        <v>1.4833299999999999E-3</v>
      </c>
      <c r="N504" s="104">
        <f t="shared" si="36"/>
        <v>-1.541921535</v>
      </c>
      <c r="O504" s="66"/>
      <c r="P504" s="71">
        <f t="shared" si="37"/>
        <v>0</v>
      </c>
      <c r="Q504" s="132"/>
      <c r="R504" s="71">
        <f t="shared" si="38"/>
        <v>-2.6509776562499998</v>
      </c>
    </row>
    <row r="505" spans="1:18">
      <c r="A505" s="102" t="s">
        <v>626</v>
      </c>
      <c r="B505" s="103" t="s">
        <v>1333</v>
      </c>
      <c r="C505" s="103" t="s">
        <v>1334</v>
      </c>
      <c r="D505" s="102" t="s">
        <v>1335</v>
      </c>
      <c r="E505" s="103" t="s">
        <v>164</v>
      </c>
      <c r="F505" s="102" t="s">
        <v>165</v>
      </c>
      <c r="G505" s="103" t="s">
        <v>20</v>
      </c>
      <c r="I505" s="103">
        <v>201505</v>
      </c>
      <c r="J505" s="104">
        <v>-360.17</v>
      </c>
      <c r="K505" s="72">
        <f t="shared" si="39"/>
        <v>42675</v>
      </c>
      <c r="L505" s="67">
        <f t="shared" si="35"/>
        <v>6</v>
      </c>
      <c r="M505" s="105">
        <v>1.4833299999999999E-3</v>
      </c>
      <c r="N505" s="104">
        <f t="shared" si="36"/>
        <v>-3.2055057966000002</v>
      </c>
      <c r="O505" s="66"/>
      <c r="P505" s="71">
        <f t="shared" si="37"/>
        <v>0</v>
      </c>
      <c r="Q505" s="132"/>
      <c r="R505" s="71">
        <f t="shared" si="38"/>
        <v>-5.5111262479166658</v>
      </c>
    </row>
    <row r="506" spans="1:18">
      <c r="A506" s="102" t="s">
        <v>626</v>
      </c>
      <c r="B506" s="103" t="s">
        <v>1429</v>
      </c>
      <c r="C506" s="103" t="s">
        <v>1430</v>
      </c>
      <c r="D506" s="102" t="s">
        <v>1431</v>
      </c>
      <c r="E506" s="103" t="s">
        <v>360</v>
      </c>
      <c r="F506" s="102" t="s">
        <v>19</v>
      </c>
      <c r="G506" s="103" t="s">
        <v>20</v>
      </c>
      <c r="I506" s="103">
        <v>201505</v>
      </c>
      <c r="J506" s="104">
        <v>60478.45</v>
      </c>
      <c r="K506" s="72">
        <f t="shared" si="39"/>
        <v>42675</v>
      </c>
      <c r="L506" s="67">
        <f t="shared" si="35"/>
        <v>6</v>
      </c>
      <c r="M506" s="105">
        <v>1.4833299999999999E-3</v>
      </c>
      <c r="N506" s="104">
        <f t="shared" si="36"/>
        <v>538.25699543099995</v>
      </c>
      <c r="O506" s="66"/>
      <c r="P506" s="71">
        <f t="shared" si="37"/>
        <v>0</v>
      </c>
      <c r="Q506" s="132"/>
      <c r="R506" s="71">
        <f t="shared" si="38"/>
        <v>925.40848273958318</v>
      </c>
    </row>
    <row r="507" spans="1:18">
      <c r="A507" s="102" t="s">
        <v>626</v>
      </c>
      <c r="B507" s="103" t="s">
        <v>1298</v>
      </c>
      <c r="C507" s="103" t="s">
        <v>1299</v>
      </c>
      <c r="D507" s="102" t="s">
        <v>1300</v>
      </c>
      <c r="E507" s="103" t="s">
        <v>93</v>
      </c>
      <c r="F507" s="102" t="s">
        <v>88</v>
      </c>
      <c r="G507" s="103" t="s">
        <v>20</v>
      </c>
      <c r="I507" s="103">
        <v>201505</v>
      </c>
      <c r="J507" s="104">
        <v>-45.64</v>
      </c>
      <c r="K507" s="72">
        <f t="shared" si="39"/>
        <v>42675</v>
      </c>
      <c r="L507" s="67">
        <f t="shared" si="35"/>
        <v>6</v>
      </c>
      <c r="M507" s="105">
        <v>1.4833299999999999E-3</v>
      </c>
      <c r="N507" s="104">
        <f t="shared" si="36"/>
        <v>-0.40619508720000003</v>
      </c>
      <c r="O507" s="66"/>
      <c r="P507" s="71">
        <f t="shared" si="37"/>
        <v>0</v>
      </c>
      <c r="Q507" s="132"/>
      <c r="R507" s="71">
        <f t="shared" si="38"/>
        <v>-0.69835855833333327</v>
      </c>
    </row>
    <row r="508" spans="1:18">
      <c r="A508" s="102" t="s">
        <v>626</v>
      </c>
      <c r="B508" s="103" t="s">
        <v>1336</v>
      </c>
      <c r="C508" s="103" t="s">
        <v>1337</v>
      </c>
      <c r="D508" s="102" t="s">
        <v>1338</v>
      </c>
      <c r="E508" s="103" t="s">
        <v>75</v>
      </c>
      <c r="F508" s="102" t="s">
        <v>26</v>
      </c>
      <c r="G508" s="103" t="s">
        <v>20</v>
      </c>
      <c r="I508" s="103">
        <v>201505</v>
      </c>
      <c r="J508" s="104">
        <v>-283.17</v>
      </c>
      <c r="K508" s="72">
        <f t="shared" si="39"/>
        <v>42675</v>
      </c>
      <c r="L508" s="67">
        <f t="shared" si="35"/>
        <v>6</v>
      </c>
      <c r="M508" s="105">
        <v>1.4833299999999999E-3</v>
      </c>
      <c r="N508" s="104">
        <f t="shared" si="36"/>
        <v>-2.5202073366</v>
      </c>
      <c r="O508" s="66"/>
      <c r="P508" s="71">
        <f t="shared" si="37"/>
        <v>0</v>
      </c>
      <c r="Q508" s="132"/>
      <c r="R508" s="71">
        <f t="shared" si="38"/>
        <v>-4.3329139562499996</v>
      </c>
    </row>
    <row r="509" spans="1:18">
      <c r="A509" s="102" t="s">
        <v>626</v>
      </c>
      <c r="B509" s="103" t="s">
        <v>1366</v>
      </c>
      <c r="C509" s="103" t="s">
        <v>1367</v>
      </c>
      <c r="D509" s="102" t="s">
        <v>1368</v>
      </c>
      <c r="E509" s="103" t="s">
        <v>209</v>
      </c>
      <c r="F509" s="102" t="s">
        <v>88</v>
      </c>
      <c r="G509" s="103" t="s">
        <v>20</v>
      </c>
      <c r="I509" s="103">
        <v>201505</v>
      </c>
      <c r="J509" s="104">
        <v>-133.99</v>
      </c>
      <c r="K509" s="72">
        <f t="shared" si="39"/>
        <v>42675</v>
      </c>
      <c r="L509" s="67">
        <f t="shared" si="35"/>
        <v>6</v>
      </c>
      <c r="M509" s="105">
        <v>1.4833299999999999E-3</v>
      </c>
      <c r="N509" s="104">
        <f t="shared" si="36"/>
        <v>-1.1925083202000002</v>
      </c>
      <c r="O509" s="66"/>
      <c r="P509" s="71">
        <f t="shared" si="37"/>
        <v>0</v>
      </c>
      <c r="Q509" s="132"/>
      <c r="R509" s="71">
        <f t="shared" si="38"/>
        <v>-2.0502424020833332</v>
      </c>
    </row>
    <row r="510" spans="1:18">
      <c r="A510" s="102" t="s">
        <v>626</v>
      </c>
      <c r="B510" s="103" t="s">
        <v>1339</v>
      </c>
      <c r="C510" s="103" t="s">
        <v>1340</v>
      </c>
      <c r="D510" s="102" t="s">
        <v>1341</v>
      </c>
      <c r="E510" s="103" t="s">
        <v>360</v>
      </c>
      <c r="F510" s="102" t="s">
        <v>19</v>
      </c>
      <c r="G510" s="103" t="s">
        <v>20</v>
      </c>
      <c r="I510" s="103">
        <v>201505</v>
      </c>
      <c r="J510" s="104">
        <v>-5801.02</v>
      </c>
      <c r="K510" s="72">
        <f t="shared" si="39"/>
        <v>42675</v>
      </c>
      <c r="L510" s="67">
        <f t="shared" si="35"/>
        <v>6</v>
      </c>
      <c r="M510" s="105">
        <v>1.4833299999999999E-3</v>
      </c>
      <c r="N510" s="104">
        <f t="shared" si="36"/>
        <v>-51.628961979600007</v>
      </c>
      <c r="O510" s="66"/>
      <c r="P510" s="71">
        <f t="shared" si="37"/>
        <v>0</v>
      </c>
      <c r="Q510" s="132"/>
      <c r="R510" s="71">
        <f t="shared" si="38"/>
        <v>-88.764065820833324</v>
      </c>
    </row>
    <row r="511" spans="1:18">
      <c r="A511" s="102" t="s">
        <v>626</v>
      </c>
      <c r="B511" s="103" t="s">
        <v>1283</v>
      </c>
      <c r="C511" s="103" t="s">
        <v>1284</v>
      </c>
      <c r="D511" s="102" t="s">
        <v>1285</v>
      </c>
      <c r="E511" s="103" t="s">
        <v>809</v>
      </c>
      <c r="F511" s="102" t="s">
        <v>26</v>
      </c>
      <c r="G511" s="103" t="s">
        <v>20</v>
      </c>
      <c r="I511" s="103">
        <v>201505</v>
      </c>
      <c r="J511" s="104">
        <v>-71.290000000000006</v>
      </c>
      <c r="K511" s="72">
        <f t="shared" si="39"/>
        <v>42675</v>
      </c>
      <c r="L511" s="67">
        <f t="shared" si="35"/>
        <v>6</v>
      </c>
      <c r="M511" s="105">
        <v>1.4833299999999999E-3</v>
      </c>
      <c r="N511" s="104">
        <f t="shared" si="36"/>
        <v>-0.63447957420000001</v>
      </c>
      <c r="O511" s="66"/>
      <c r="P511" s="71">
        <f t="shared" si="37"/>
        <v>0</v>
      </c>
      <c r="Q511" s="132"/>
      <c r="R511" s="71">
        <f t="shared" si="38"/>
        <v>-1.0908409645833332</v>
      </c>
    </row>
    <row r="512" spans="1:18">
      <c r="A512" s="102" t="s">
        <v>626</v>
      </c>
      <c r="B512" s="103" t="s">
        <v>1432</v>
      </c>
      <c r="C512" s="103" t="s">
        <v>1433</v>
      </c>
      <c r="D512" s="102" t="s">
        <v>1434</v>
      </c>
      <c r="E512" s="103" t="s">
        <v>497</v>
      </c>
      <c r="F512" s="102" t="s">
        <v>26</v>
      </c>
      <c r="G512" s="103" t="s">
        <v>20</v>
      </c>
      <c r="I512" s="103">
        <v>201505</v>
      </c>
      <c r="J512" s="104">
        <v>96561.3</v>
      </c>
      <c r="K512" s="72">
        <f t="shared" si="39"/>
        <v>42675</v>
      </c>
      <c r="L512" s="67">
        <f t="shared" si="35"/>
        <v>6</v>
      </c>
      <c r="M512" s="105">
        <v>1.4833299999999999E-3</v>
      </c>
      <c r="N512" s="104">
        <f t="shared" si="36"/>
        <v>859.39363877400001</v>
      </c>
      <c r="O512" s="66"/>
      <c r="P512" s="71">
        <f t="shared" si="37"/>
        <v>0</v>
      </c>
      <c r="Q512" s="132"/>
      <c r="R512" s="71">
        <f t="shared" si="38"/>
        <v>1477.5287085624998</v>
      </c>
    </row>
    <row r="513" spans="1:18">
      <c r="A513" s="102" t="s">
        <v>626</v>
      </c>
      <c r="B513" s="103" t="s">
        <v>1342</v>
      </c>
      <c r="C513" s="103" t="s">
        <v>1343</v>
      </c>
      <c r="D513" s="102" t="s">
        <v>1344</v>
      </c>
      <c r="E513" s="103" t="s">
        <v>164</v>
      </c>
      <c r="F513" s="102" t="s">
        <v>165</v>
      </c>
      <c r="G513" s="103" t="s">
        <v>20</v>
      </c>
      <c r="I513" s="103">
        <v>201505</v>
      </c>
      <c r="J513" s="104">
        <v>-965.11</v>
      </c>
      <c r="K513" s="72">
        <f t="shared" si="39"/>
        <v>42675</v>
      </c>
      <c r="L513" s="67">
        <f t="shared" si="35"/>
        <v>6</v>
      </c>
      <c r="M513" s="105">
        <v>1.4833299999999999E-3</v>
      </c>
      <c r="N513" s="104">
        <f t="shared" si="36"/>
        <v>-8.5894596978000006</v>
      </c>
      <c r="O513" s="66"/>
      <c r="P513" s="71">
        <f t="shared" si="37"/>
        <v>0</v>
      </c>
      <c r="Q513" s="132"/>
      <c r="R513" s="71">
        <f t="shared" si="38"/>
        <v>-14.767590452083333</v>
      </c>
    </row>
    <row r="514" spans="1:18">
      <c r="A514" s="102" t="s">
        <v>626</v>
      </c>
      <c r="B514" s="103" t="s">
        <v>1345</v>
      </c>
      <c r="C514" s="103" t="s">
        <v>1346</v>
      </c>
      <c r="D514" s="102" t="s">
        <v>1347</v>
      </c>
      <c r="E514" s="103" t="s">
        <v>87</v>
      </c>
      <c r="F514" s="102" t="s">
        <v>88</v>
      </c>
      <c r="G514" s="103" t="s">
        <v>20</v>
      </c>
      <c r="I514" s="103">
        <v>201505</v>
      </c>
      <c r="J514" s="104">
        <v>-715.69</v>
      </c>
      <c r="K514" s="72">
        <f t="shared" si="39"/>
        <v>42675</v>
      </c>
      <c r="L514" s="67">
        <f t="shared" si="35"/>
        <v>6</v>
      </c>
      <c r="M514" s="105">
        <v>1.4833299999999999E-3</v>
      </c>
      <c r="N514" s="104">
        <f t="shared" si="36"/>
        <v>-6.3696266862000002</v>
      </c>
      <c r="O514" s="66"/>
      <c r="P514" s="71">
        <f t="shared" si="37"/>
        <v>0</v>
      </c>
      <c r="Q514" s="132"/>
      <c r="R514" s="71">
        <f t="shared" si="38"/>
        <v>-10.951100714583333</v>
      </c>
    </row>
    <row r="515" spans="1:18">
      <c r="A515" s="102" t="s">
        <v>626</v>
      </c>
      <c r="B515" s="103" t="s">
        <v>1435</v>
      </c>
      <c r="C515" s="103" t="s">
        <v>1436</v>
      </c>
      <c r="D515" s="102" t="s">
        <v>1437</v>
      </c>
      <c r="E515" s="103" t="s">
        <v>75</v>
      </c>
      <c r="F515" s="102" t="s">
        <v>26</v>
      </c>
      <c r="G515" s="103" t="s">
        <v>20</v>
      </c>
      <c r="I515" s="103">
        <v>201505</v>
      </c>
      <c r="J515" s="104">
        <v>11381.78</v>
      </c>
      <c r="K515" s="72">
        <f t="shared" si="39"/>
        <v>42675</v>
      </c>
      <c r="L515" s="67">
        <f t="shared" si="35"/>
        <v>6</v>
      </c>
      <c r="M515" s="105">
        <v>1.4833299999999999E-3</v>
      </c>
      <c r="N515" s="104">
        <f t="shared" si="36"/>
        <v>101.2976143644</v>
      </c>
      <c r="O515" s="66"/>
      <c r="P515" s="71">
        <f t="shared" si="37"/>
        <v>0</v>
      </c>
      <c r="Q515" s="132"/>
      <c r="R515" s="71">
        <f t="shared" si="38"/>
        <v>174.15783242916666</v>
      </c>
    </row>
    <row r="516" spans="1:18">
      <c r="A516" s="102" t="s">
        <v>626</v>
      </c>
      <c r="B516" s="103" t="s">
        <v>1438</v>
      </c>
      <c r="C516" s="103" t="s">
        <v>1439</v>
      </c>
      <c r="D516" s="102" t="s">
        <v>1440</v>
      </c>
      <c r="E516" s="103" t="s">
        <v>613</v>
      </c>
      <c r="F516" s="102" t="s">
        <v>398</v>
      </c>
      <c r="G516" s="103" t="s">
        <v>20</v>
      </c>
      <c r="I516" s="103">
        <v>201505</v>
      </c>
      <c r="J516" s="104">
        <v>55341.26</v>
      </c>
      <c r="K516" s="72">
        <f t="shared" si="39"/>
        <v>42675</v>
      </c>
      <c r="L516" s="67">
        <f t="shared" si="35"/>
        <v>6</v>
      </c>
      <c r="M516" s="105">
        <v>1.4833299999999999E-3</v>
      </c>
      <c r="N516" s="104">
        <f t="shared" si="36"/>
        <v>492.53610717480001</v>
      </c>
      <c r="O516" s="66"/>
      <c r="P516" s="71">
        <f t="shared" si="37"/>
        <v>0</v>
      </c>
      <c r="Q516" s="132"/>
      <c r="R516" s="71">
        <f t="shared" si="38"/>
        <v>846.80198400416668</v>
      </c>
    </row>
    <row r="517" spans="1:18">
      <c r="A517" s="102" t="s">
        <v>626</v>
      </c>
      <c r="B517" s="103" t="s">
        <v>1348</v>
      </c>
      <c r="C517" s="103" t="s">
        <v>1349</v>
      </c>
      <c r="D517" s="102" t="s">
        <v>1350</v>
      </c>
      <c r="E517" s="103" t="s">
        <v>209</v>
      </c>
      <c r="F517" s="102" t="s">
        <v>88</v>
      </c>
      <c r="G517" s="103" t="s">
        <v>20</v>
      </c>
      <c r="I517" s="103">
        <v>201505</v>
      </c>
      <c r="J517" s="104">
        <v>-347.26</v>
      </c>
      <c r="K517" s="72">
        <f t="shared" si="39"/>
        <v>42675</v>
      </c>
      <c r="L517" s="67">
        <f t="shared" ref="L517:L580" si="40">((YEAR($L$1)-YEAR(K517))*12+MONTH($L$1)-MONTH(K517))</f>
        <v>6</v>
      </c>
      <c r="M517" s="105">
        <v>1.4833299999999999E-3</v>
      </c>
      <c r="N517" s="104">
        <f t="shared" ref="N517:N580" si="41">M517*L517*J517</f>
        <v>-3.0906070548</v>
      </c>
      <c r="O517" s="66"/>
      <c r="P517" s="71">
        <f t="shared" si="37"/>
        <v>0</v>
      </c>
      <c r="Q517" s="132"/>
      <c r="R517" s="71">
        <f t="shared" si="38"/>
        <v>-5.3135844208333332</v>
      </c>
    </row>
    <row r="518" spans="1:18">
      <c r="A518" s="102" t="s">
        <v>626</v>
      </c>
      <c r="B518" s="103" t="s">
        <v>1369</v>
      </c>
      <c r="C518" s="103" t="s">
        <v>1370</v>
      </c>
      <c r="D518" s="102" t="s">
        <v>1371</v>
      </c>
      <c r="E518" s="103" t="s">
        <v>809</v>
      </c>
      <c r="F518" s="102" t="s">
        <v>26</v>
      </c>
      <c r="G518" s="103" t="s">
        <v>20</v>
      </c>
      <c r="I518" s="103">
        <v>201505</v>
      </c>
      <c r="J518" s="104">
        <v>86873.13</v>
      </c>
      <c r="K518" s="72">
        <f t="shared" si="39"/>
        <v>42675</v>
      </c>
      <c r="L518" s="67">
        <f t="shared" si="40"/>
        <v>6</v>
      </c>
      <c r="M518" s="105">
        <v>1.4833299999999999E-3</v>
      </c>
      <c r="N518" s="104">
        <f t="shared" si="41"/>
        <v>773.16911953740009</v>
      </c>
      <c r="O518" s="66"/>
      <c r="P518" s="71">
        <f t="shared" ref="P518:P581" si="42">($P$4*0.5*J518*$T$12)</f>
        <v>0</v>
      </c>
      <c r="Q518" s="132"/>
      <c r="R518" s="71">
        <f t="shared" ref="R518:R581" si="43">($R$4*0.5*J518*$T$12)</f>
        <v>1329.28557898125</v>
      </c>
    </row>
    <row r="519" spans="1:18">
      <c r="A519" s="102" t="s">
        <v>626</v>
      </c>
      <c r="B519" s="103" t="s">
        <v>1372</v>
      </c>
      <c r="C519" s="103" t="s">
        <v>1373</v>
      </c>
      <c r="D519" s="102" t="s">
        <v>1374</v>
      </c>
      <c r="E519" s="103" t="s">
        <v>497</v>
      </c>
      <c r="F519" s="102" t="s">
        <v>26</v>
      </c>
      <c r="G519" s="103" t="s">
        <v>20</v>
      </c>
      <c r="I519" s="103">
        <v>201505</v>
      </c>
      <c r="J519" s="104">
        <v>-90.83</v>
      </c>
      <c r="K519" s="72">
        <f t="shared" ref="K519:K582" si="44">+K518</f>
        <v>42675</v>
      </c>
      <c r="L519" s="67">
        <f t="shared" si="40"/>
        <v>6</v>
      </c>
      <c r="M519" s="105">
        <v>1.4833299999999999E-3</v>
      </c>
      <c r="N519" s="104">
        <f t="shared" si="41"/>
        <v>-0.80838518339999998</v>
      </c>
      <c r="O519" s="66"/>
      <c r="P519" s="71">
        <f t="shared" si="42"/>
        <v>0</v>
      </c>
      <c r="Q519" s="132"/>
      <c r="R519" s="71">
        <f t="shared" si="43"/>
        <v>-1.3898314604166666</v>
      </c>
    </row>
    <row r="520" spans="1:18">
      <c r="A520" s="102" t="s">
        <v>626</v>
      </c>
      <c r="B520" s="103" t="s">
        <v>1351</v>
      </c>
      <c r="C520" s="103" t="s">
        <v>1352</v>
      </c>
      <c r="D520" s="102" t="s">
        <v>1353</v>
      </c>
      <c r="E520" s="103" t="s">
        <v>809</v>
      </c>
      <c r="F520" s="102" t="s">
        <v>26</v>
      </c>
      <c r="G520" s="103" t="s">
        <v>20</v>
      </c>
      <c r="I520" s="103">
        <v>201505</v>
      </c>
      <c r="J520" s="104">
        <v>-146</v>
      </c>
      <c r="K520" s="72">
        <f t="shared" si="44"/>
        <v>42675</v>
      </c>
      <c r="L520" s="67">
        <f t="shared" si="40"/>
        <v>6</v>
      </c>
      <c r="M520" s="105">
        <v>1.4833299999999999E-3</v>
      </c>
      <c r="N520" s="104">
        <f t="shared" si="41"/>
        <v>-1.2993970800000001</v>
      </c>
      <c r="O520" s="66"/>
      <c r="P520" s="71">
        <f t="shared" si="42"/>
        <v>0</v>
      </c>
      <c r="Q520" s="132"/>
      <c r="R520" s="71">
        <f t="shared" si="43"/>
        <v>-2.2340129166666665</v>
      </c>
    </row>
    <row r="521" spans="1:18">
      <c r="A521" s="102" t="s">
        <v>626</v>
      </c>
      <c r="B521" s="103" t="s">
        <v>1441</v>
      </c>
      <c r="C521" s="103" t="s">
        <v>1442</v>
      </c>
      <c r="D521" s="102" t="s">
        <v>1443</v>
      </c>
      <c r="E521" s="103" t="s">
        <v>209</v>
      </c>
      <c r="F521" s="102" t="s">
        <v>88</v>
      </c>
      <c r="G521" s="103" t="s">
        <v>20</v>
      </c>
      <c r="I521" s="103">
        <v>201505</v>
      </c>
      <c r="J521" s="104">
        <v>25738.94</v>
      </c>
      <c r="K521" s="72">
        <f t="shared" si="44"/>
        <v>42675</v>
      </c>
      <c r="L521" s="67">
        <f t="shared" si="40"/>
        <v>6</v>
      </c>
      <c r="M521" s="105">
        <v>1.4833299999999999E-3</v>
      </c>
      <c r="N521" s="104">
        <f t="shared" si="41"/>
        <v>229.07605122119998</v>
      </c>
      <c r="O521" s="66"/>
      <c r="P521" s="71">
        <f t="shared" si="42"/>
        <v>0</v>
      </c>
      <c r="Q521" s="132"/>
      <c r="R521" s="71">
        <f t="shared" si="43"/>
        <v>393.84331795416659</v>
      </c>
    </row>
    <row r="522" spans="1:18">
      <c r="A522" s="102" t="s">
        <v>626</v>
      </c>
      <c r="B522" s="103" t="s">
        <v>1375</v>
      </c>
      <c r="C522" s="103" t="s">
        <v>1376</v>
      </c>
      <c r="D522" s="102" t="s">
        <v>1374</v>
      </c>
      <c r="E522" s="103" t="s">
        <v>497</v>
      </c>
      <c r="F522" s="102" t="s">
        <v>26</v>
      </c>
      <c r="G522" s="103" t="s">
        <v>20</v>
      </c>
      <c r="I522" s="103">
        <v>201505</v>
      </c>
      <c r="J522" s="104">
        <v>-514.07000000000005</v>
      </c>
      <c r="K522" s="72">
        <f t="shared" si="44"/>
        <v>42675</v>
      </c>
      <c r="L522" s="67">
        <f t="shared" si="40"/>
        <v>6</v>
      </c>
      <c r="M522" s="105">
        <v>1.4833299999999999E-3</v>
      </c>
      <c r="N522" s="104">
        <f t="shared" si="41"/>
        <v>-4.5752127186000004</v>
      </c>
      <c r="O522" s="66"/>
      <c r="P522" s="71">
        <f t="shared" si="42"/>
        <v>0</v>
      </c>
      <c r="Q522" s="132"/>
      <c r="R522" s="71">
        <f t="shared" si="43"/>
        <v>-7.8660206854166663</v>
      </c>
    </row>
    <row r="523" spans="1:18">
      <c r="A523" s="102" t="s">
        <v>626</v>
      </c>
      <c r="B523" s="103" t="s">
        <v>1444</v>
      </c>
      <c r="C523" s="103" t="s">
        <v>1445</v>
      </c>
      <c r="D523" s="102" t="s">
        <v>1282</v>
      </c>
      <c r="E523" s="103" t="s">
        <v>164</v>
      </c>
      <c r="F523" s="102" t="s">
        <v>165</v>
      </c>
      <c r="G523" s="103" t="s">
        <v>20</v>
      </c>
      <c r="I523" s="103">
        <v>201505</v>
      </c>
      <c r="J523" s="104">
        <v>52666.02</v>
      </c>
      <c r="K523" s="72">
        <f t="shared" si="44"/>
        <v>42675</v>
      </c>
      <c r="L523" s="67">
        <f t="shared" si="40"/>
        <v>6</v>
      </c>
      <c r="M523" s="105">
        <v>1.4833299999999999E-3</v>
      </c>
      <c r="N523" s="104">
        <f t="shared" si="41"/>
        <v>468.72652467959995</v>
      </c>
      <c r="O523" s="66"/>
      <c r="P523" s="71">
        <f t="shared" si="42"/>
        <v>0</v>
      </c>
      <c r="Q523" s="132"/>
      <c r="R523" s="71">
        <f t="shared" si="43"/>
        <v>805.86691061249996</v>
      </c>
    </row>
    <row r="524" spans="1:18">
      <c r="A524" s="102" t="s">
        <v>626</v>
      </c>
      <c r="B524" s="103" t="s">
        <v>1377</v>
      </c>
      <c r="C524" s="103" t="s">
        <v>1378</v>
      </c>
      <c r="D524" s="102" t="s">
        <v>1379</v>
      </c>
      <c r="E524" s="103" t="s">
        <v>1059</v>
      </c>
      <c r="F524" s="102" t="s">
        <v>26</v>
      </c>
      <c r="G524" s="103" t="s">
        <v>20</v>
      </c>
      <c r="I524" s="103">
        <v>201505</v>
      </c>
      <c r="J524" s="104">
        <v>-31</v>
      </c>
      <c r="K524" s="72">
        <f t="shared" si="44"/>
        <v>42675</v>
      </c>
      <c r="L524" s="67">
        <f t="shared" si="40"/>
        <v>6</v>
      </c>
      <c r="M524" s="105">
        <v>1.4833299999999999E-3</v>
      </c>
      <c r="N524" s="104">
        <f t="shared" si="41"/>
        <v>-0.27589938000000003</v>
      </c>
      <c r="O524" s="66"/>
      <c r="P524" s="71">
        <f t="shared" si="42"/>
        <v>0</v>
      </c>
      <c r="Q524" s="132"/>
      <c r="R524" s="71">
        <f t="shared" si="43"/>
        <v>-0.47434520833333327</v>
      </c>
    </row>
    <row r="525" spans="1:18">
      <c r="A525" s="102" t="s">
        <v>626</v>
      </c>
      <c r="B525" s="103" t="s">
        <v>1380</v>
      </c>
      <c r="C525" s="103" t="s">
        <v>1381</v>
      </c>
      <c r="D525" s="102" t="s">
        <v>1382</v>
      </c>
      <c r="E525" s="103" t="s">
        <v>809</v>
      </c>
      <c r="F525" s="102" t="s">
        <v>26</v>
      </c>
      <c r="G525" s="103" t="s">
        <v>20</v>
      </c>
      <c r="I525" s="103">
        <v>201505</v>
      </c>
      <c r="J525" s="104">
        <v>-3218.35</v>
      </c>
      <c r="K525" s="72">
        <f t="shared" si="44"/>
        <v>42675</v>
      </c>
      <c r="L525" s="67">
        <f t="shared" si="40"/>
        <v>6</v>
      </c>
      <c r="M525" s="105">
        <v>1.4833299999999999E-3</v>
      </c>
      <c r="N525" s="104">
        <f t="shared" si="41"/>
        <v>-28.643250633000001</v>
      </c>
      <c r="O525" s="66"/>
      <c r="P525" s="71">
        <f t="shared" si="42"/>
        <v>0</v>
      </c>
      <c r="Q525" s="132"/>
      <c r="R525" s="71">
        <f t="shared" si="43"/>
        <v>-49.245448427083325</v>
      </c>
    </row>
    <row r="526" spans="1:18">
      <c r="A526" s="102" t="s">
        <v>626</v>
      </c>
      <c r="B526" s="103" t="s">
        <v>1383</v>
      </c>
      <c r="C526" s="103" t="s">
        <v>1384</v>
      </c>
      <c r="D526" s="102" t="s">
        <v>1385</v>
      </c>
      <c r="E526" s="103" t="s">
        <v>809</v>
      </c>
      <c r="F526" s="102" t="s">
        <v>26</v>
      </c>
      <c r="G526" s="103" t="s">
        <v>20</v>
      </c>
      <c r="I526" s="103">
        <v>201505</v>
      </c>
      <c r="J526" s="104">
        <v>660.46</v>
      </c>
      <c r="K526" s="72">
        <f t="shared" si="44"/>
        <v>42675</v>
      </c>
      <c r="L526" s="67">
        <f t="shared" si="40"/>
        <v>6</v>
      </c>
      <c r="M526" s="105">
        <v>1.4833299999999999E-3</v>
      </c>
      <c r="N526" s="104">
        <f t="shared" si="41"/>
        <v>5.8780807908000003</v>
      </c>
      <c r="O526" s="66"/>
      <c r="P526" s="71">
        <f t="shared" si="42"/>
        <v>0</v>
      </c>
      <c r="Q526" s="132"/>
      <c r="R526" s="71">
        <f t="shared" si="43"/>
        <v>10.106001170833334</v>
      </c>
    </row>
    <row r="527" spans="1:18">
      <c r="A527" s="102" t="s">
        <v>626</v>
      </c>
      <c r="B527" s="103" t="s">
        <v>1446</v>
      </c>
      <c r="C527" s="103" t="s">
        <v>1447</v>
      </c>
      <c r="D527" s="102" t="s">
        <v>1448</v>
      </c>
      <c r="E527" s="103" t="s">
        <v>809</v>
      </c>
      <c r="F527" s="102" t="s">
        <v>26</v>
      </c>
      <c r="G527" s="103" t="s">
        <v>20</v>
      </c>
      <c r="I527" s="103">
        <v>201505</v>
      </c>
      <c r="J527" s="104">
        <v>11672.68</v>
      </c>
      <c r="K527" s="72">
        <f t="shared" si="44"/>
        <v>42675</v>
      </c>
      <c r="L527" s="67">
        <f t="shared" si="40"/>
        <v>6</v>
      </c>
      <c r="M527" s="105">
        <v>1.4833299999999999E-3</v>
      </c>
      <c r="N527" s="104">
        <f t="shared" si="41"/>
        <v>103.8866185464</v>
      </c>
      <c r="O527" s="66"/>
      <c r="P527" s="71">
        <f t="shared" si="42"/>
        <v>0</v>
      </c>
      <c r="Q527" s="132"/>
      <c r="R527" s="71">
        <f t="shared" si="43"/>
        <v>178.60902665833331</v>
      </c>
    </row>
    <row r="528" spans="1:18">
      <c r="A528" s="102" t="s">
        <v>626</v>
      </c>
      <c r="B528" s="103" t="s">
        <v>1386</v>
      </c>
      <c r="C528" s="103" t="s">
        <v>1387</v>
      </c>
      <c r="D528" s="102" t="s">
        <v>1388</v>
      </c>
      <c r="E528" s="103" t="s">
        <v>164</v>
      </c>
      <c r="F528" s="102" t="s">
        <v>165</v>
      </c>
      <c r="G528" s="103" t="s">
        <v>20</v>
      </c>
      <c r="I528" s="103">
        <v>201505</v>
      </c>
      <c r="J528" s="104">
        <v>1329.16</v>
      </c>
      <c r="K528" s="72">
        <f t="shared" si="44"/>
        <v>42675</v>
      </c>
      <c r="L528" s="67">
        <f t="shared" si="40"/>
        <v>6</v>
      </c>
      <c r="M528" s="105">
        <v>1.4833299999999999E-3</v>
      </c>
      <c r="N528" s="104">
        <f t="shared" si="41"/>
        <v>11.829497416800001</v>
      </c>
      <c r="O528" s="66"/>
      <c r="P528" s="71">
        <f t="shared" si="42"/>
        <v>0</v>
      </c>
      <c r="Q528" s="132"/>
      <c r="R528" s="71">
        <f t="shared" si="43"/>
        <v>20.338086358333332</v>
      </c>
    </row>
    <row r="529" spans="1:18">
      <c r="A529" s="102" t="s">
        <v>626</v>
      </c>
      <c r="B529" s="103" t="s">
        <v>1449</v>
      </c>
      <c r="C529" s="103" t="s">
        <v>1450</v>
      </c>
      <c r="D529" s="102" t="s">
        <v>1451</v>
      </c>
      <c r="E529" s="103" t="s">
        <v>809</v>
      </c>
      <c r="F529" s="102" t="s">
        <v>26</v>
      </c>
      <c r="G529" s="103" t="s">
        <v>20</v>
      </c>
      <c r="I529" s="103">
        <v>201505</v>
      </c>
      <c r="J529" s="104">
        <v>21203.74</v>
      </c>
      <c r="K529" s="72">
        <f t="shared" si="44"/>
        <v>42675</v>
      </c>
      <c r="L529" s="67">
        <f t="shared" si="40"/>
        <v>6</v>
      </c>
      <c r="M529" s="105">
        <v>1.4833299999999999E-3</v>
      </c>
      <c r="N529" s="104">
        <f t="shared" si="41"/>
        <v>188.7128619252</v>
      </c>
      <c r="O529" s="66"/>
      <c r="P529" s="71">
        <f t="shared" si="42"/>
        <v>0</v>
      </c>
      <c r="Q529" s="132"/>
      <c r="R529" s="71">
        <f t="shared" si="43"/>
        <v>324.44814412083332</v>
      </c>
    </row>
    <row r="530" spans="1:18">
      <c r="A530" s="102" t="s">
        <v>626</v>
      </c>
      <c r="B530" s="103" t="s">
        <v>1452</v>
      </c>
      <c r="C530" s="103" t="s">
        <v>1453</v>
      </c>
      <c r="D530" s="102" t="s">
        <v>1454</v>
      </c>
      <c r="E530" s="103" t="s">
        <v>93</v>
      </c>
      <c r="F530" s="102" t="s">
        <v>88</v>
      </c>
      <c r="G530" s="103" t="s">
        <v>20</v>
      </c>
      <c r="I530" s="103">
        <v>201505</v>
      </c>
      <c r="J530" s="104">
        <v>140748.16</v>
      </c>
      <c r="K530" s="72">
        <f t="shared" si="44"/>
        <v>42675</v>
      </c>
      <c r="L530" s="67">
        <f t="shared" si="40"/>
        <v>6</v>
      </c>
      <c r="M530" s="105">
        <v>1.4833299999999999E-3</v>
      </c>
      <c r="N530" s="104">
        <f t="shared" si="41"/>
        <v>1252.6558090368001</v>
      </c>
      <c r="O530" s="66"/>
      <c r="P530" s="71">
        <f t="shared" si="42"/>
        <v>0</v>
      </c>
      <c r="Q530" s="132"/>
      <c r="R530" s="71">
        <f t="shared" si="43"/>
        <v>2153.6521057333334</v>
      </c>
    </row>
    <row r="531" spans="1:18">
      <c r="A531" s="102" t="s">
        <v>626</v>
      </c>
      <c r="B531" s="103" t="s">
        <v>1408</v>
      </c>
      <c r="C531" s="103" t="s">
        <v>1409</v>
      </c>
      <c r="D531" s="102" t="s">
        <v>1335</v>
      </c>
      <c r="E531" s="103" t="s">
        <v>164</v>
      </c>
      <c r="F531" s="102" t="s">
        <v>165</v>
      </c>
      <c r="G531" s="103" t="s">
        <v>20</v>
      </c>
      <c r="I531" s="103">
        <v>201505</v>
      </c>
      <c r="J531" s="104">
        <v>40270.35</v>
      </c>
      <c r="K531" s="72">
        <f t="shared" si="44"/>
        <v>42675</v>
      </c>
      <c r="L531" s="67">
        <f t="shared" si="40"/>
        <v>6</v>
      </c>
      <c r="M531" s="105">
        <v>1.4833299999999999E-3</v>
      </c>
      <c r="N531" s="104">
        <f t="shared" si="41"/>
        <v>358.40530959299997</v>
      </c>
      <c r="O531" s="66"/>
      <c r="P531" s="71">
        <f t="shared" si="42"/>
        <v>0</v>
      </c>
      <c r="Q531" s="132"/>
      <c r="R531" s="71">
        <f t="shared" si="43"/>
        <v>616.19508259374993</v>
      </c>
    </row>
    <row r="532" spans="1:18">
      <c r="A532" s="102" t="s">
        <v>626</v>
      </c>
      <c r="B532" s="103" t="s">
        <v>1455</v>
      </c>
      <c r="C532" s="103" t="s">
        <v>1456</v>
      </c>
      <c r="D532" s="102" t="s">
        <v>1457</v>
      </c>
      <c r="E532" s="103" t="s">
        <v>156</v>
      </c>
      <c r="F532" s="102" t="s">
        <v>26</v>
      </c>
      <c r="G532" s="103" t="s">
        <v>20</v>
      </c>
      <c r="I532" s="103">
        <v>201505</v>
      </c>
      <c r="J532" s="104">
        <v>75801.27</v>
      </c>
      <c r="K532" s="72">
        <f t="shared" si="44"/>
        <v>42675</v>
      </c>
      <c r="L532" s="67">
        <f t="shared" si="40"/>
        <v>6</v>
      </c>
      <c r="M532" s="105">
        <v>1.4833299999999999E-3</v>
      </c>
      <c r="N532" s="104">
        <f t="shared" si="41"/>
        <v>674.62978697460005</v>
      </c>
      <c r="O532" s="66"/>
      <c r="P532" s="71">
        <f t="shared" si="42"/>
        <v>0</v>
      </c>
      <c r="Q532" s="132"/>
      <c r="R532" s="71">
        <f t="shared" si="43"/>
        <v>1159.86997451875</v>
      </c>
    </row>
    <row r="533" spans="1:18">
      <c r="A533" s="102" t="s">
        <v>626</v>
      </c>
      <c r="B533" s="103" t="s">
        <v>1389</v>
      </c>
      <c r="C533" s="103" t="s">
        <v>1390</v>
      </c>
      <c r="D533" s="102" t="s">
        <v>1391</v>
      </c>
      <c r="E533" s="103" t="s">
        <v>280</v>
      </c>
      <c r="F533" s="102" t="s">
        <v>26</v>
      </c>
      <c r="G533" s="103" t="s">
        <v>20</v>
      </c>
      <c r="I533" s="103">
        <v>201505</v>
      </c>
      <c r="J533" s="104">
        <v>-100.25</v>
      </c>
      <c r="K533" s="72">
        <f t="shared" si="44"/>
        <v>42675</v>
      </c>
      <c r="L533" s="67">
        <f t="shared" si="40"/>
        <v>6</v>
      </c>
      <c r="M533" s="105">
        <v>1.4833299999999999E-3</v>
      </c>
      <c r="N533" s="104">
        <f t="shared" si="41"/>
        <v>-0.89222299500000002</v>
      </c>
      <c r="O533" s="66"/>
      <c r="P533" s="71">
        <f t="shared" si="42"/>
        <v>0</v>
      </c>
      <c r="Q533" s="132"/>
      <c r="R533" s="71">
        <f t="shared" si="43"/>
        <v>-1.5339711979166664</v>
      </c>
    </row>
    <row r="534" spans="1:18">
      <c r="A534" s="106" t="s">
        <v>127</v>
      </c>
      <c r="B534" s="103" t="s">
        <v>1242</v>
      </c>
      <c r="C534" s="103" t="s">
        <v>1243</v>
      </c>
      <c r="D534" s="102" t="s">
        <v>1244</v>
      </c>
      <c r="E534" s="103" t="s">
        <v>131</v>
      </c>
      <c r="F534" s="102" t="s">
        <v>132</v>
      </c>
      <c r="G534" s="103" t="s">
        <v>20</v>
      </c>
      <c r="I534" s="103">
        <v>201505</v>
      </c>
      <c r="J534" s="104">
        <v>-211.16</v>
      </c>
      <c r="K534" s="72">
        <f t="shared" si="44"/>
        <v>42675</v>
      </c>
      <c r="L534" s="67">
        <f t="shared" si="40"/>
        <v>6</v>
      </c>
      <c r="M534" s="105">
        <v>2.3833299999999999E-3</v>
      </c>
      <c r="N534" s="104">
        <f t="shared" si="41"/>
        <v>-3.0195837768000002</v>
      </c>
      <c r="O534" s="66"/>
      <c r="P534" s="71">
        <f t="shared" si="42"/>
        <v>0</v>
      </c>
      <c r="Q534" s="132"/>
      <c r="R534" s="71">
        <f t="shared" si="43"/>
        <v>-3.231055941666666</v>
      </c>
    </row>
    <row r="535" spans="1:18">
      <c r="A535" s="102" t="s">
        <v>127</v>
      </c>
      <c r="B535" s="103" t="s">
        <v>388</v>
      </c>
      <c r="C535" s="103" t="s">
        <v>389</v>
      </c>
      <c r="D535" s="102" t="s">
        <v>390</v>
      </c>
      <c r="E535" s="103" t="s">
        <v>131</v>
      </c>
      <c r="F535" s="102" t="s">
        <v>132</v>
      </c>
      <c r="G535" s="103" t="s">
        <v>20</v>
      </c>
      <c r="I535" s="103">
        <v>201505</v>
      </c>
      <c r="J535" s="104">
        <v>-10.39</v>
      </c>
      <c r="K535" s="72">
        <f t="shared" si="44"/>
        <v>42675</v>
      </c>
      <c r="L535" s="67">
        <f t="shared" si="40"/>
        <v>6</v>
      </c>
      <c r="M535" s="105">
        <v>2.3833299999999999E-3</v>
      </c>
      <c r="N535" s="104">
        <f t="shared" si="41"/>
        <v>-0.1485767922</v>
      </c>
      <c r="O535" s="66"/>
      <c r="P535" s="71">
        <f t="shared" si="42"/>
        <v>0</v>
      </c>
      <c r="Q535" s="132"/>
      <c r="R535" s="71">
        <f t="shared" si="43"/>
        <v>-0.15898215208333333</v>
      </c>
    </row>
    <row r="536" spans="1:18">
      <c r="A536" s="102" t="s">
        <v>127</v>
      </c>
      <c r="B536" s="103" t="s">
        <v>1032</v>
      </c>
      <c r="C536" s="103" t="s">
        <v>1033</v>
      </c>
      <c r="D536" s="102" t="s">
        <v>1034</v>
      </c>
      <c r="E536" s="103" t="s">
        <v>209</v>
      </c>
      <c r="F536" s="102" t="s">
        <v>88</v>
      </c>
      <c r="G536" s="103" t="s">
        <v>20</v>
      </c>
      <c r="I536" s="103">
        <v>201505</v>
      </c>
      <c r="J536" s="104">
        <v>-51.47</v>
      </c>
      <c r="K536" s="72">
        <f t="shared" si="44"/>
        <v>42675</v>
      </c>
      <c r="L536" s="67">
        <f t="shared" si="40"/>
        <v>6</v>
      </c>
      <c r="M536" s="105">
        <v>2.3833299999999999E-3</v>
      </c>
      <c r="N536" s="104">
        <f t="shared" si="41"/>
        <v>-0.73601997060000002</v>
      </c>
      <c r="O536" s="66"/>
      <c r="P536" s="71">
        <f t="shared" si="42"/>
        <v>0</v>
      </c>
      <c r="Q536" s="132"/>
      <c r="R536" s="71">
        <f t="shared" si="43"/>
        <v>-0.78756606041666655</v>
      </c>
    </row>
    <row r="537" spans="1:18">
      <c r="A537" s="102" t="s">
        <v>127</v>
      </c>
      <c r="B537" s="103" t="s">
        <v>1130</v>
      </c>
      <c r="C537" s="103" t="s">
        <v>1131</v>
      </c>
      <c r="D537" s="102" t="s">
        <v>1132</v>
      </c>
      <c r="E537" s="103" t="s">
        <v>131</v>
      </c>
      <c r="F537" s="102" t="s">
        <v>132</v>
      </c>
      <c r="G537" s="103" t="s">
        <v>20</v>
      </c>
      <c r="I537" s="103">
        <v>201505</v>
      </c>
      <c r="J537" s="104">
        <v>-11.56</v>
      </c>
      <c r="K537" s="72">
        <f t="shared" si="44"/>
        <v>42675</v>
      </c>
      <c r="L537" s="67">
        <f t="shared" si="40"/>
        <v>6</v>
      </c>
      <c r="M537" s="105">
        <v>2.3833299999999999E-3</v>
      </c>
      <c r="N537" s="104">
        <f t="shared" si="41"/>
        <v>-0.1653077688</v>
      </c>
      <c r="O537" s="66"/>
      <c r="P537" s="71">
        <f t="shared" si="42"/>
        <v>0</v>
      </c>
      <c r="Q537" s="132"/>
      <c r="R537" s="71">
        <f t="shared" si="43"/>
        <v>-0.17688485833333334</v>
      </c>
    </row>
    <row r="538" spans="1:18">
      <c r="A538" s="106" t="s">
        <v>29</v>
      </c>
      <c r="B538" s="103" t="s">
        <v>30</v>
      </c>
      <c r="C538" s="103" t="s">
        <v>31</v>
      </c>
      <c r="D538" s="102" t="s">
        <v>32</v>
      </c>
      <c r="E538" s="103" t="s">
        <v>33</v>
      </c>
      <c r="F538" s="102" t="s">
        <v>34</v>
      </c>
      <c r="G538" s="103" t="s">
        <v>20</v>
      </c>
      <c r="I538" s="103">
        <v>201505</v>
      </c>
      <c r="J538" s="104">
        <v>104539.5</v>
      </c>
      <c r="K538" s="72">
        <f t="shared" si="44"/>
        <v>42675</v>
      </c>
      <c r="L538" s="67">
        <f t="shared" si="40"/>
        <v>6</v>
      </c>
      <c r="M538" s="105">
        <v>2.23333E-3</v>
      </c>
      <c r="N538" s="104">
        <f t="shared" si="41"/>
        <v>1400.8272092099999</v>
      </c>
      <c r="O538" s="66"/>
      <c r="P538" s="71">
        <f t="shared" si="42"/>
        <v>0</v>
      </c>
      <c r="Q538" s="132"/>
      <c r="R538" s="71">
        <f t="shared" si="43"/>
        <v>1599.6068034374998</v>
      </c>
    </row>
    <row r="539" spans="1:18">
      <c r="A539" s="106" t="s">
        <v>29</v>
      </c>
      <c r="B539" s="103" t="s">
        <v>37</v>
      </c>
      <c r="C539" s="103" t="s">
        <v>38</v>
      </c>
      <c r="D539" s="102" t="s">
        <v>39</v>
      </c>
      <c r="E539" s="103" t="s">
        <v>40</v>
      </c>
      <c r="F539" s="102" t="s">
        <v>41</v>
      </c>
      <c r="G539" s="103" t="s">
        <v>20</v>
      </c>
      <c r="I539" s="103">
        <v>201505</v>
      </c>
      <c r="J539" s="104">
        <v>122106.09</v>
      </c>
      <c r="K539" s="72">
        <f t="shared" si="44"/>
        <v>42675</v>
      </c>
      <c r="L539" s="67">
        <f t="shared" si="40"/>
        <v>6</v>
      </c>
      <c r="M539" s="105">
        <v>2.23333E-3</v>
      </c>
      <c r="N539" s="104">
        <f t="shared" si="41"/>
        <v>1636.2191638781999</v>
      </c>
      <c r="O539" s="66"/>
      <c r="P539" s="71">
        <f t="shared" si="42"/>
        <v>0</v>
      </c>
      <c r="Q539" s="132"/>
      <c r="R539" s="71">
        <f t="shared" si="43"/>
        <v>1868.4012483812496</v>
      </c>
    </row>
    <row r="540" spans="1:18">
      <c r="A540" s="106" t="s">
        <v>29</v>
      </c>
      <c r="B540" s="103" t="s">
        <v>43</v>
      </c>
      <c r="C540" s="103" t="s">
        <v>44</v>
      </c>
      <c r="D540" s="102" t="s">
        <v>45</v>
      </c>
      <c r="E540" s="103" t="s">
        <v>46</v>
      </c>
      <c r="F540" s="102" t="s">
        <v>41</v>
      </c>
      <c r="G540" s="103" t="s">
        <v>20</v>
      </c>
      <c r="I540" s="103">
        <v>201505</v>
      </c>
      <c r="J540" s="104">
        <v>1256.47</v>
      </c>
      <c r="K540" s="72">
        <f t="shared" si="44"/>
        <v>42675</v>
      </c>
      <c r="L540" s="67">
        <f t="shared" si="40"/>
        <v>6</v>
      </c>
      <c r="M540" s="105">
        <v>2.23333E-3</v>
      </c>
      <c r="N540" s="104">
        <f t="shared" si="41"/>
        <v>16.836672870599998</v>
      </c>
      <c r="O540" s="66"/>
      <c r="P540" s="71">
        <f t="shared" si="42"/>
        <v>0</v>
      </c>
      <c r="Q540" s="132"/>
      <c r="R540" s="71">
        <f t="shared" si="43"/>
        <v>19.225823352083331</v>
      </c>
    </row>
    <row r="541" spans="1:18">
      <c r="A541" s="106" t="s">
        <v>29</v>
      </c>
      <c r="B541" s="103" t="s">
        <v>48</v>
      </c>
      <c r="C541" s="103" t="s">
        <v>49</v>
      </c>
      <c r="D541" s="102" t="s">
        <v>50</v>
      </c>
      <c r="E541" s="103" t="s">
        <v>51</v>
      </c>
      <c r="F541" s="102" t="s">
        <v>52</v>
      </c>
      <c r="G541" s="103" t="s">
        <v>20</v>
      </c>
      <c r="I541" s="103">
        <v>201505</v>
      </c>
      <c r="J541" s="104">
        <v>-1550.71</v>
      </c>
      <c r="K541" s="72">
        <f t="shared" si="44"/>
        <v>42675</v>
      </c>
      <c r="L541" s="67">
        <f t="shared" si="40"/>
        <v>6</v>
      </c>
      <c r="M541" s="105">
        <v>2.23333E-3</v>
      </c>
      <c r="N541" s="104">
        <f t="shared" si="41"/>
        <v>-20.779482985799998</v>
      </c>
      <c r="O541" s="66"/>
      <c r="P541" s="71">
        <f t="shared" si="42"/>
        <v>0</v>
      </c>
      <c r="Q541" s="132"/>
      <c r="R541" s="71">
        <f t="shared" si="43"/>
        <v>-23.728124452083332</v>
      </c>
    </row>
    <row r="542" spans="1:18">
      <c r="A542" s="106" t="s">
        <v>29</v>
      </c>
      <c r="B542" s="103" t="s">
        <v>1024</v>
      </c>
      <c r="C542" s="103" t="s">
        <v>1025</v>
      </c>
      <c r="D542" s="102" t="s">
        <v>1026</v>
      </c>
      <c r="E542" s="103" t="s">
        <v>1027</v>
      </c>
      <c r="F542" s="102" t="s">
        <v>1028</v>
      </c>
      <c r="G542" s="103" t="s">
        <v>20</v>
      </c>
      <c r="I542" s="103">
        <v>201505</v>
      </c>
      <c r="J542" s="104">
        <v>-0.49</v>
      </c>
      <c r="K542" s="72">
        <f t="shared" si="44"/>
        <v>42675</v>
      </c>
      <c r="L542" s="67">
        <f t="shared" si="40"/>
        <v>6</v>
      </c>
      <c r="M542" s="105">
        <v>2.23333E-3</v>
      </c>
      <c r="N542" s="104">
        <f t="shared" si="41"/>
        <v>-6.565990199999999E-3</v>
      </c>
      <c r="O542" s="66"/>
      <c r="P542" s="71">
        <f t="shared" si="42"/>
        <v>0</v>
      </c>
      <c r="Q542" s="132"/>
      <c r="R542" s="71">
        <f t="shared" si="43"/>
        <v>-7.4977145833333321E-3</v>
      </c>
    </row>
    <row r="543" spans="1:18">
      <c r="A543" s="106" t="s">
        <v>29</v>
      </c>
      <c r="B543" s="103" t="s">
        <v>103</v>
      </c>
      <c r="C543" s="103" t="s">
        <v>104</v>
      </c>
      <c r="D543" s="102" t="s">
        <v>105</v>
      </c>
      <c r="E543" s="103" t="s">
        <v>106</v>
      </c>
      <c r="F543" s="102" t="s">
        <v>34</v>
      </c>
      <c r="G543" s="103" t="s">
        <v>20</v>
      </c>
      <c r="I543" s="103">
        <v>201505</v>
      </c>
      <c r="J543" s="104">
        <v>-367.28</v>
      </c>
      <c r="K543" s="72">
        <f t="shared" si="44"/>
        <v>42675</v>
      </c>
      <c r="L543" s="67">
        <f t="shared" si="40"/>
        <v>6</v>
      </c>
      <c r="M543" s="105">
        <v>2.23333E-3</v>
      </c>
      <c r="N543" s="104">
        <f t="shared" si="41"/>
        <v>-4.921544654399999</v>
      </c>
      <c r="O543" s="66"/>
      <c r="P543" s="71">
        <f t="shared" si="42"/>
        <v>0</v>
      </c>
      <c r="Q543" s="132"/>
      <c r="R543" s="71">
        <f t="shared" si="43"/>
        <v>-5.6199196166666656</v>
      </c>
    </row>
    <row r="544" spans="1:18">
      <c r="A544" s="106" t="s">
        <v>29</v>
      </c>
      <c r="B544" s="103" t="s">
        <v>107</v>
      </c>
      <c r="C544" s="103" t="s">
        <v>108</v>
      </c>
      <c r="D544" s="102" t="s">
        <v>109</v>
      </c>
      <c r="E544" s="103" t="s">
        <v>110</v>
      </c>
      <c r="F544" s="102" t="s">
        <v>52</v>
      </c>
      <c r="G544" s="103" t="s">
        <v>20</v>
      </c>
      <c r="I544" s="103">
        <v>201505</v>
      </c>
      <c r="J544" s="104">
        <v>37979.58</v>
      </c>
      <c r="K544" s="72">
        <f t="shared" si="44"/>
        <v>42675</v>
      </c>
      <c r="L544" s="67">
        <f t="shared" si="40"/>
        <v>6</v>
      </c>
      <c r="M544" s="105">
        <v>2.23333E-3</v>
      </c>
      <c r="N544" s="104">
        <f t="shared" si="41"/>
        <v>508.92561240839996</v>
      </c>
      <c r="O544" s="66"/>
      <c r="P544" s="71">
        <f t="shared" si="42"/>
        <v>0</v>
      </c>
      <c r="Q544" s="132"/>
      <c r="R544" s="71">
        <f t="shared" si="43"/>
        <v>581.14296088750007</v>
      </c>
    </row>
    <row r="545" spans="1:18">
      <c r="A545" s="106" t="s">
        <v>29</v>
      </c>
      <c r="B545" s="103" t="s">
        <v>548</v>
      </c>
      <c r="C545" s="103" t="s">
        <v>549</v>
      </c>
      <c r="D545" s="102" t="s">
        <v>327</v>
      </c>
      <c r="E545" s="103" t="s">
        <v>550</v>
      </c>
      <c r="F545" s="102" t="s">
        <v>58</v>
      </c>
      <c r="G545" s="103" t="s">
        <v>20</v>
      </c>
      <c r="I545" s="103">
        <v>201505</v>
      </c>
      <c r="J545" s="104">
        <v>983.52</v>
      </c>
      <c r="K545" s="72">
        <f t="shared" si="44"/>
        <v>42675</v>
      </c>
      <c r="L545" s="67">
        <f t="shared" si="40"/>
        <v>6</v>
      </c>
      <c r="M545" s="105">
        <v>2.23333E-3</v>
      </c>
      <c r="N545" s="104">
        <f t="shared" si="41"/>
        <v>13.179148329599998</v>
      </c>
      <c r="O545" s="66"/>
      <c r="P545" s="71">
        <f t="shared" si="42"/>
        <v>0</v>
      </c>
      <c r="Q545" s="132"/>
      <c r="R545" s="71">
        <f t="shared" si="43"/>
        <v>15.049290299999997</v>
      </c>
    </row>
    <row r="546" spans="1:18">
      <c r="A546" s="106" t="s">
        <v>29</v>
      </c>
      <c r="B546" s="103" t="s">
        <v>111</v>
      </c>
      <c r="C546" s="103" t="s">
        <v>112</v>
      </c>
      <c r="D546" s="102" t="s">
        <v>113</v>
      </c>
      <c r="E546" s="103" t="s">
        <v>114</v>
      </c>
      <c r="F546" s="102" t="s">
        <v>115</v>
      </c>
      <c r="G546" s="103" t="s">
        <v>20</v>
      </c>
      <c r="I546" s="103">
        <v>201505</v>
      </c>
      <c r="J546" s="104">
        <v>-4.0199999999999996</v>
      </c>
      <c r="K546" s="72">
        <f t="shared" si="44"/>
        <v>42675</v>
      </c>
      <c r="L546" s="67">
        <f t="shared" si="40"/>
        <v>6</v>
      </c>
      <c r="M546" s="105">
        <v>2.23333E-3</v>
      </c>
      <c r="N546" s="104">
        <f t="shared" si="41"/>
        <v>-5.3867919599999987E-2</v>
      </c>
      <c r="O546" s="66"/>
      <c r="P546" s="71">
        <f t="shared" si="42"/>
        <v>0</v>
      </c>
      <c r="Q546" s="132"/>
      <c r="R546" s="71">
        <f t="shared" si="43"/>
        <v>-6.1511862499999993E-2</v>
      </c>
    </row>
    <row r="547" spans="1:18">
      <c r="A547" s="106" t="s">
        <v>29</v>
      </c>
      <c r="B547" s="103" t="s">
        <v>555</v>
      </c>
      <c r="C547" s="103" t="s">
        <v>556</v>
      </c>
      <c r="D547" s="102" t="s">
        <v>45</v>
      </c>
      <c r="E547" s="103" t="s">
        <v>557</v>
      </c>
      <c r="F547" s="102" t="s">
        <v>41</v>
      </c>
      <c r="G547" s="103" t="s">
        <v>20</v>
      </c>
      <c r="I547" s="103">
        <v>201505</v>
      </c>
      <c r="J547" s="104">
        <v>2857.85</v>
      </c>
      <c r="K547" s="72">
        <f t="shared" si="44"/>
        <v>42675</v>
      </c>
      <c r="L547" s="67">
        <f t="shared" si="40"/>
        <v>6</v>
      </c>
      <c r="M547" s="105">
        <v>2.23333E-3</v>
      </c>
      <c r="N547" s="104">
        <f t="shared" si="41"/>
        <v>38.295132842999998</v>
      </c>
      <c r="O547" s="66"/>
      <c r="P547" s="71">
        <f t="shared" si="42"/>
        <v>0</v>
      </c>
      <c r="Q547" s="132"/>
      <c r="R547" s="71">
        <f t="shared" si="43"/>
        <v>43.729272697916663</v>
      </c>
    </row>
    <row r="548" spans="1:18">
      <c r="A548" s="106" t="s">
        <v>29</v>
      </c>
      <c r="B548" s="103" t="s">
        <v>121</v>
      </c>
      <c r="C548" s="103" t="s">
        <v>122</v>
      </c>
      <c r="D548" s="102" t="s">
        <v>50</v>
      </c>
      <c r="E548" s="103" t="s">
        <v>123</v>
      </c>
      <c r="F548" s="102" t="s">
        <v>52</v>
      </c>
      <c r="G548" s="103" t="s">
        <v>20</v>
      </c>
      <c r="I548" s="103">
        <v>201505</v>
      </c>
      <c r="J548" s="104">
        <v>-6.91</v>
      </c>
      <c r="K548" s="72">
        <f t="shared" si="44"/>
        <v>42675</v>
      </c>
      <c r="L548" s="67">
        <f t="shared" si="40"/>
        <v>6</v>
      </c>
      <c r="M548" s="105">
        <v>2.23333E-3</v>
      </c>
      <c r="N548" s="104">
        <f t="shared" si="41"/>
        <v>-9.2593861799999996E-2</v>
      </c>
      <c r="O548" s="66"/>
      <c r="P548" s="71">
        <f t="shared" si="42"/>
        <v>0</v>
      </c>
      <c r="Q548" s="132"/>
      <c r="R548" s="71">
        <f t="shared" si="43"/>
        <v>-0.10573307708333332</v>
      </c>
    </row>
    <row r="549" spans="1:18">
      <c r="A549" s="106" t="s">
        <v>29</v>
      </c>
      <c r="B549" s="103" t="s">
        <v>124</v>
      </c>
      <c r="C549" s="103" t="s">
        <v>125</v>
      </c>
      <c r="D549" s="102" t="s">
        <v>50</v>
      </c>
      <c r="E549" s="103" t="s">
        <v>126</v>
      </c>
      <c r="F549" s="102" t="s">
        <v>52</v>
      </c>
      <c r="G549" s="103" t="s">
        <v>20</v>
      </c>
      <c r="I549" s="103">
        <v>201505</v>
      </c>
      <c r="J549" s="104">
        <v>-203.73</v>
      </c>
      <c r="K549" s="72">
        <f t="shared" si="44"/>
        <v>42675</v>
      </c>
      <c r="L549" s="67">
        <f t="shared" si="40"/>
        <v>6</v>
      </c>
      <c r="M549" s="105">
        <v>2.23333E-3</v>
      </c>
      <c r="N549" s="104">
        <f t="shared" si="41"/>
        <v>-2.7299779253999996</v>
      </c>
      <c r="O549" s="66"/>
      <c r="P549" s="71">
        <f t="shared" si="42"/>
        <v>0</v>
      </c>
      <c r="Q549" s="132"/>
      <c r="R549" s="71">
        <f t="shared" si="43"/>
        <v>-3.1173661062499995</v>
      </c>
    </row>
    <row r="550" spans="1:18">
      <c r="A550" s="106" t="s">
        <v>29</v>
      </c>
      <c r="B550" s="103" t="s">
        <v>1247</v>
      </c>
      <c r="C550" s="103" t="s">
        <v>1248</v>
      </c>
      <c r="D550" s="102" t="s">
        <v>708</v>
      </c>
      <c r="E550" s="103" t="s">
        <v>1249</v>
      </c>
      <c r="F550" s="102" t="s">
        <v>710</v>
      </c>
      <c r="G550" s="103" t="s">
        <v>20</v>
      </c>
      <c r="I550" s="103">
        <v>201505</v>
      </c>
      <c r="J550" s="104">
        <v>-89.57</v>
      </c>
      <c r="K550" s="72">
        <f t="shared" si="44"/>
        <v>42675</v>
      </c>
      <c r="L550" s="67">
        <f t="shared" si="40"/>
        <v>6</v>
      </c>
      <c r="M550" s="105">
        <v>2.23333E-3</v>
      </c>
      <c r="N550" s="104">
        <f t="shared" si="41"/>
        <v>-1.2002362085999998</v>
      </c>
      <c r="O550" s="66"/>
      <c r="P550" s="71">
        <f t="shared" si="42"/>
        <v>0</v>
      </c>
      <c r="Q550" s="132"/>
      <c r="R550" s="71">
        <f t="shared" si="43"/>
        <v>-1.3705516229166663</v>
      </c>
    </row>
    <row r="551" spans="1:18">
      <c r="A551" s="106" t="s">
        <v>29</v>
      </c>
      <c r="B551" s="103" t="s">
        <v>183</v>
      </c>
      <c r="C551" s="103" t="s">
        <v>184</v>
      </c>
      <c r="D551" s="102" t="s">
        <v>45</v>
      </c>
      <c r="E551" s="103" t="s">
        <v>185</v>
      </c>
      <c r="F551" s="102" t="s">
        <v>41</v>
      </c>
      <c r="G551" s="103" t="s">
        <v>20</v>
      </c>
      <c r="I551" s="103">
        <v>201505</v>
      </c>
      <c r="J551" s="104">
        <v>1587.4</v>
      </c>
      <c r="K551" s="72">
        <f t="shared" si="44"/>
        <v>42675</v>
      </c>
      <c r="L551" s="67">
        <f t="shared" si="40"/>
        <v>6</v>
      </c>
      <c r="M551" s="105">
        <v>2.23333E-3</v>
      </c>
      <c r="N551" s="104">
        <f t="shared" si="41"/>
        <v>21.271128252</v>
      </c>
      <c r="O551" s="66"/>
      <c r="P551" s="71">
        <f t="shared" si="42"/>
        <v>0</v>
      </c>
      <c r="Q551" s="132"/>
      <c r="R551" s="71">
        <f t="shared" si="43"/>
        <v>24.289534958333331</v>
      </c>
    </row>
    <row r="552" spans="1:18">
      <c r="A552" s="106" t="s">
        <v>29</v>
      </c>
      <c r="B552" s="103" t="s">
        <v>186</v>
      </c>
      <c r="C552" s="103" t="s">
        <v>187</v>
      </c>
      <c r="D552" s="102" t="s">
        <v>188</v>
      </c>
      <c r="E552" s="103" t="s">
        <v>189</v>
      </c>
      <c r="F552" s="102" t="s">
        <v>190</v>
      </c>
      <c r="G552" s="103" t="s">
        <v>20</v>
      </c>
      <c r="I552" s="103">
        <v>201505</v>
      </c>
      <c r="J552" s="104">
        <v>4672.21</v>
      </c>
      <c r="K552" s="72">
        <f t="shared" si="44"/>
        <v>42675</v>
      </c>
      <c r="L552" s="67">
        <f t="shared" si="40"/>
        <v>6</v>
      </c>
      <c r="M552" s="105">
        <v>2.23333E-3</v>
      </c>
      <c r="N552" s="104">
        <f t="shared" si="41"/>
        <v>62.607520555799994</v>
      </c>
      <c r="O552" s="66"/>
      <c r="P552" s="71">
        <f t="shared" si="42"/>
        <v>0</v>
      </c>
      <c r="Q552" s="132"/>
      <c r="R552" s="71">
        <f t="shared" si="43"/>
        <v>71.49162663958333</v>
      </c>
    </row>
    <row r="553" spans="1:18">
      <c r="A553" s="106" t="s">
        <v>29</v>
      </c>
      <c r="B553" s="103" t="s">
        <v>191</v>
      </c>
      <c r="C553" s="103" t="s">
        <v>192</v>
      </c>
      <c r="D553" s="102" t="s">
        <v>193</v>
      </c>
      <c r="E553" s="103" t="s">
        <v>194</v>
      </c>
      <c r="F553" s="102" t="s">
        <v>115</v>
      </c>
      <c r="G553" s="103" t="s">
        <v>20</v>
      </c>
      <c r="I553" s="103">
        <v>201505</v>
      </c>
      <c r="J553" s="104">
        <v>85263.1</v>
      </c>
      <c r="K553" s="72">
        <f t="shared" si="44"/>
        <v>42675</v>
      </c>
      <c r="L553" s="67">
        <f t="shared" si="40"/>
        <v>6</v>
      </c>
      <c r="M553" s="105">
        <v>2.23333E-3</v>
      </c>
      <c r="N553" s="104">
        <f t="shared" si="41"/>
        <v>1142.523834738</v>
      </c>
      <c r="O553" s="66"/>
      <c r="P553" s="71">
        <f t="shared" si="42"/>
        <v>0</v>
      </c>
      <c r="Q553" s="132"/>
      <c r="R553" s="71">
        <f t="shared" si="43"/>
        <v>1304.6497720208333</v>
      </c>
    </row>
    <row r="554" spans="1:18">
      <c r="A554" s="106" t="s">
        <v>29</v>
      </c>
      <c r="B554" s="103" t="s">
        <v>195</v>
      </c>
      <c r="C554" s="103" t="s">
        <v>196</v>
      </c>
      <c r="D554" s="102" t="s">
        <v>197</v>
      </c>
      <c r="E554" s="103" t="s">
        <v>198</v>
      </c>
      <c r="F554" s="102" t="s">
        <v>199</v>
      </c>
      <c r="G554" s="103" t="s">
        <v>20</v>
      </c>
      <c r="I554" s="103">
        <v>201505</v>
      </c>
      <c r="J554" s="104">
        <v>105703.07</v>
      </c>
      <c r="K554" s="72">
        <f t="shared" si="44"/>
        <v>42675</v>
      </c>
      <c r="L554" s="67">
        <f t="shared" si="40"/>
        <v>6</v>
      </c>
      <c r="M554" s="105">
        <v>2.23333E-3</v>
      </c>
      <c r="N554" s="104">
        <f t="shared" si="41"/>
        <v>1416.4190239386</v>
      </c>
      <c r="O554" s="66"/>
      <c r="P554" s="71">
        <f t="shared" si="42"/>
        <v>0</v>
      </c>
      <c r="Q554" s="132"/>
      <c r="R554" s="71">
        <f t="shared" si="43"/>
        <v>1617.4111213104165</v>
      </c>
    </row>
    <row r="555" spans="1:18">
      <c r="A555" s="106" t="s">
        <v>29</v>
      </c>
      <c r="B555" s="103" t="s">
        <v>200</v>
      </c>
      <c r="C555" s="103" t="s">
        <v>201</v>
      </c>
      <c r="D555" s="102" t="s">
        <v>197</v>
      </c>
      <c r="E555" s="103" t="s">
        <v>202</v>
      </c>
      <c r="F555" s="102" t="s">
        <v>199</v>
      </c>
      <c r="G555" s="103" t="s">
        <v>20</v>
      </c>
      <c r="I555" s="103">
        <v>201505</v>
      </c>
      <c r="J555" s="104">
        <v>20647.07</v>
      </c>
      <c r="K555" s="72">
        <f t="shared" si="44"/>
        <v>42675</v>
      </c>
      <c r="L555" s="67">
        <f t="shared" si="40"/>
        <v>6</v>
      </c>
      <c r="M555" s="105">
        <v>2.23333E-3</v>
      </c>
      <c r="N555" s="104">
        <f t="shared" si="41"/>
        <v>276.67032505859999</v>
      </c>
      <c r="O555" s="66"/>
      <c r="P555" s="71">
        <f t="shared" si="42"/>
        <v>0</v>
      </c>
      <c r="Q555" s="132"/>
      <c r="R555" s="71">
        <f t="shared" si="43"/>
        <v>315.9302813104166</v>
      </c>
    </row>
    <row r="556" spans="1:18">
      <c r="A556" s="106" t="s">
        <v>29</v>
      </c>
      <c r="B556" s="103" t="s">
        <v>481</v>
      </c>
      <c r="C556" s="103" t="s">
        <v>482</v>
      </c>
      <c r="D556" s="102" t="s">
        <v>483</v>
      </c>
      <c r="E556" s="103" t="s">
        <v>484</v>
      </c>
      <c r="F556" s="102" t="s">
        <v>190</v>
      </c>
      <c r="G556" s="103" t="s">
        <v>20</v>
      </c>
      <c r="I556" s="103">
        <v>201505</v>
      </c>
      <c r="J556" s="104">
        <v>-41.13</v>
      </c>
      <c r="K556" s="72">
        <f t="shared" si="44"/>
        <v>42675</v>
      </c>
      <c r="L556" s="67">
        <f t="shared" si="40"/>
        <v>6</v>
      </c>
      <c r="M556" s="105">
        <v>2.23333E-3</v>
      </c>
      <c r="N556" s="104">
        <f t="shared" si="41"/>
        <v>-0.55114117740000002</v>
      </c>
      <c r="O556" s="66"/>
      <c r="P556" s="71">
        <f t="shared" si="42"/>
        <v>0</v>
      </c>
      <c r="Q556" s="132"/>
      <c r="R556" s="71">
        <f t="shared" si="43"/>
        <v>-0.62934898125000005</v>
      </c>
    </row>
    <row r="557" spans="1:18">
      <c r="A557" s="106" t="s">
        <v>29</v>
      </c>
      <c r="B557" s="103" t="s">
        <v>236</v>
      </c>
      <c r="C557" s="103" t="s">
        <v>237</v>
      </c>
      <c r="D557" s="102" t="s">
        <v>188</v>
      </c>
      <c r="E557" s="103" t="s">
        <v>238</v>
      </c>
      <c r="F557" s="102" t="s">
        <v>190</v>
      </c>
      <c r="G557" s="103" t="s">
        <v>20</v>
      </c>
      <c r="I557" s="103">
        <v>201505</v>
      </c>
      <c r="J557" s="104">
        <v>98553.97</v>
      </c>
      <c r="K557" s="72">
        <f t="shared" si="44"/>
        <v>42675</v>
      </c>
      <c r="L557" s="67">
        <f t="shared" si="40"/>
        <v>6</v>
      </c>
      <c r="M557" s="105">
        <v>2.23333E-3</v>
      </c>
      <c r="N557" s="104">
        <f t="shared" si="41"/>
        <v>1320.6212269205998</v>
      </c>
      <c r="O557" s="66"/>
      <c r="P557" s="71">
        <f t="shared" si="42"/>
        <v>0</v>
      </c>
      <c r="Q557" s="132"/>
      <c r="R557" s="71">
        <f t="shared" si="43"/>
        <v>1508.0194655395831</v>
      </c>
    </row>
    <row r="558" spans="1:18">
      <c r="A558" s="106" t="s">
        <v>29</v>
      </c>
      <c r="B558" s="103" t="s">
        <v>239</v>
      </c>
      <c r="C558" s="103" t="s">
        <v>240</v>
      </c>
      <c r="D558" s="102" t="s">
        <v>197</v>
      </c>
      <c r="E558" s="103" t="s">
        <v>241</v>
      </c>
      <c r="F558" s="102" t="s">
        <v>199</v>
      </c>
      <c r="G558" s="103" t="s">
        <v>20</v>
      </c>
      <c r="I558" s="103">
        <v>201505</v>
      </c>
      <c r="J558" s="104">
        <v>1240.04</v>
      </c>
      <c r="K558" s="72">
        <f t="shared" si="44"/>
        <v>42675</v>
      </c>
      <c r="L558" s="67">
        <f t="shared" si="40"/>
        <v>6</v>
      </c>
      <c r="M558" s="105">
        <v>2.23333E-3</v>
      </c>
      <c r="N558" s="104">
        <f t="shared" si="41"/>
        <v>16.616511199199998</v>
      </c>
      <c r="O558" s="66"/>
      <c r="P558" s="71">
        <f t="shared" si="42"/>
        <v>0</v>
      </c>
      <c r="Q558" s="132"/>
      <c r="R558" s="71">
        <f t="shared" si="43"/>
        <v>18.974420391666666</v>
      </c>
    </row>
    <row r="559" spans="1:18">
      <c r="A559" s="106" t="s">
        <v>29</v>
      </c>
      <c r="B559" s="103" t="s">
        <v>706</v>
      </c>
      <c r="C559" s="103" t="s">
        <v>707</v>
      </c>
      <c r="D559" s="102" t="s">
        <v>708</v>
      </c>
      <c r="E559" s="103" t="s">
        <v>709</v>
      </c>
      <c r="F559" s="102" t="s">
        <v>710</v>
      </c>
      <c r="G559" s="103" t="s">
        <v>20</v>
      </c>
      <c r="I559" s="103">
        <v>201505</v>
      </c>
      <c r="J559" s="104">
        <v>-1228.01</v>
      </c>
      <c r="K559" s="72">
        <f t="shared" si="44"/>
        <v>42675</v>
      </c>
      <c r="L559" s="67">
        <f t="shared" si="40"/>
        <v>6</v>
      </c>
      <c r="M559" s="105">
        <v>2.23333E-3</v>
      </c>
      <c r="N559" s="104">
        <f t="shared" si="41"/>
        <v>-16.455309439799997</v>
      </c>
      <c r="O559" s="66"/>
      <c r="P559" s="71">
        <f t="shared" si="42"/>
        <v>0</v>
      </c>
      <c r="Q559" s="132"/>
      <c r="R559" s="71">
        <f t="shared" si="43"/>
        <v>-18.790343847916667</v>
      </c>
    </row>
    <row r="560" spans="1:18">
      <c r="A560" s="106" t="s">
        <v>29</v>
      </c>
      <c r="B560" s="103" t="s">
        <v>267</v>
      </c>
      <c r="C560" s="103" t="s">
        <v>268</v>
      </c>
      <c r="D560" s="102" t="s">
        <v>269</v>
      </c>
      <c r="E560" s="103" t="s">
        <v>270</v>
      </c>
      <c r="F560" s="102" t="s">
        <v>115</v>
      </c>
      <c r="G560" s="103" t="s">
        <v>20</v>
      </c>
      <c r="I560" s="103">
        <v>201505</v>
      </c>
      <c r="J560" s="104">
        <v>70718.350000000006</v>
      </c>
      <c r="K560" s="72">
        <f t="shared" si="44"/>
        <v>42675</v>
      </c>
      <c r="L560" s="67">
        <f t="shared" si="40"/>
        <v>6</v>
      </c>
      <c r="M560" s="105">
        <v>2.23333E-3</v>
      </c>
      <c r="N560" s="104">
        <f t="shared" si="41"/>
        <v>947.62447563299997</v>
      </c>
      <c r="O560" s="66"/>
      <c r="P560" s="71">
        <f t="shared" si="42"/>
        <v>0</v>
      </c>
      <c r="Q560" s="132"/>
      <c r="R560" s="71">
        <f t="shared" si="43"/>
        <v>1082.0938859270832</v>
      </c>
    </row>
    <row r="561" spans="1:18">
      <c r="A561" s="106" t="s">
        <v>29</v>
      </c>
      <c r="B561" s="103" t="s">
        <v>271</v>
      </c>
      <c r="C561" s="103" t="s">
        <v>272</v>
      </c>
      <c r="D561" s="102" t="s">
        <v>197</v>
      </c>
      <c r="E561" s="103" t="s">
        <v>273</v>
      </c>
      <c r="F561" s="102" t="s">
        <v>199</v>
      </c>
      <c r="G561" s="103" t="s">
        <v>20</v>
      </c>
      <c r="I561" s="103">
        <v>201505</v>
      </c>
      <c r="J561" s="104">
        <v>1692.96</v>
      </c>
      <c r="K561" s="72">
        <f t="shared" si="44"/>
        <v>42675</v>
      </c>
      <c r="L561" s="67">
        <f t="shared" si="40"/>
        <v>6</v>
      </c>
      <c r="M561" s="105">
        <v>2.23333E-3</v>
      </c>
      <c r="N561" s="104">
        <f t="shared" si="41"/>
        <v>22.685630140799997</v>
      </c>
      <c r="O561" s="66"/>
      <c r="P561" s="71">
        <f t="shared" si="42"/>
        <v>0</v>
      </c>
      <c r="Q561" s="132"/>
      <c r="R561" s="71">
        <f t="shared" si="43"/>
        <v>25.904756899999999</v>
      </c>
    </row>
    <row r="562" spans="1:18">
      <c r="A562" s="106" t="s">
        <v>29</v>
      </c>
      <c r="B562" s="103" t="s">
        <v>836</v>
      </c>
      <c r="C562" s="103" t="s">
        <v>837</v>
      </c>
      <c r="D562" s="102" t="s">
        <v>327</v>
      </c>
      <c r="E562" s="103" t="s">
        <v>838</v>
      </c>
      <c r="F562" s="102" t="s">
        <v>58</v>
      </c>
      <c r="G562" s="103" t="s">
        <v>20</v>
      </c>
      <c r="I562" s="103">
        <v>201505</v>
      </c>
      <c r="J562" s="104">
        <v>3.89</v>
      </c>
      <c r="K562" s="72">
        <f t="shared" si="44"/>
        <v>42675</v>
      </c>
      <c r="L562" s="67">
        <f t="shared" si="40"/>
        <v>6</v>
      </c>
      <c r="M562" s="105">
        <v>2.23333E-3</v>
      </c>
      <c r="N562" s="104">
        <f t="shared" si="41"/>
        <v>5.2125922199999994E-2</v>
      </c>
      <c r="O562" s="66"/>
      <c r="P562" s="71">
        <f t="shared" si="42"/>
        <v>0</v>
      </c>
      <c r="Q562" s="132"/>
      <c r="R562" s="71">
        <f t="shared" si="43"/>
        <v>5.9522672916666665E-2</v>
      </c>
    </row>
    <row r="563" spans="1:18">
      <c r="A563" s="106" t="s">
        <v>29</v>
      </c>
      <c r="B563" s="103" t="s">
        <v>292</v>
      </c>
      <c r="C563" s="103" t="s">
        <v>293</v>
      </c>
      <c r="D563" s="102" t="s">
        <v>197</v>
      </c>
      <c r="E563" s="103" t="s">
        <v>294</v>
      </c>
      <c r="F563" s="102" t="s">
        <v>199</v>
      </c>
      <c r="G563" s="103" t="s">
        <v>20</v>
      </c>
      <c r="I563" s="103">
        <v>201505</v>
      </c>
      <c r="J563" s="104">
        <v>26647.06</v>
      </c>
      <c r="K563" s="72">
        <f t="shared" si="44"/>
        <v>42675</v>
      </c>
      <c r="L563" s="67">
        <f t="shared" si="40"/>
        <v>6</v>
      </c>
      <c r="M563" s="105">
        <v>2.23333E-3</v>
      </c>
      <c r="N563" s="104">
        <f t="shared" si="41"/>
        <v>357.07007105880001</v>
      </c>
      <c r="O563" s="66"/>
      <c r="P563" s="71">
        <f t="shared" si="42"/>
        <v>0</v>
      </c>
      <c r="Q563" s="132"/>
      <c r="R563" s="71">
        <f t="shared" si="43"/>
        <v>407.73887829583333</v>
      </c>
    </row>
    <row r="564" spans="1:18">
      <c r="A564" s="106" t="s">
        <v>29</v>
      </c>
      <c r="B564" s="103" t="s">
        <v>318</v>
      </c>
      <c r="C564" s="103" t="s">
        <v>319</v>
      </c>
      <c r="D564" s="102" t="s">
        <v>105</v>
      </c>
      <c r="E564" s="103" t="s">
        <v>320</v>
      </c>
      <c r="F564" s="102" t="s">
        <v>34</v>
      </c>
      <c r="G564" s="103" t="s">
        <v>20</v>
      </c>
      <c r="I564" s="103">
        <v>201505</v>
      </c>
      <c r="J564" s="104">
        <v>-266.76</v>
      </c>
      <c r="K564" s="72">
        <f t="shared" si="44"/>
        <v>42675</v>
      </c>
      <c r="L564" s="67">
        <f t="shared" si="40"/>
        <v>6</v>
      </c>
      <c r="M564" s="105">
        <v>2.23333E-3</v>
      </c>
      <c r="N564" s="104">
        <f t="shared" si="41"/>
        <v>-3.5745786647999997</v>
      </c>
      <c r="O564" s="66"/>
      <c r="P564" s="71">
        <f t="shared" si="42"/>
        <v>0</v>
      </c>
      <c r="Q564" s="132"/>
      <c r="R564" s="71">
        <f t="shared" si="43"/>
        <v>-4.0818170249999994</v>
      </c>
    </row>
    <row r="565" spans="1:18">
      <c r="A565" s="106" t="s">
        <v>29</v>
      </c>
      <c r="B565" s="103" t="s">
        <v>321</v>
      </c>
      <c r="C565" s="103" t="s">
        <v>322</v>
      </c>
      <c r="D565" s="102" t="s">
        <v>323</v>
      </c>
      <c r="E565" s="103" t="s">
        <v>324</v>
      </c>
      <c r="F565" s="102" t="s">
        <v>52</v>
      </c>
      <c r="G565" s="103" t="s">
        <v>20</v>
      </c>
      <c r="I565" s="103">
        <v>201505</v>
      </c>
      <c r="J565" s="104">
        <v>3342.07</v>
      </c>
      <c r="K565" s="72">
        <f t="shared" si="44"/>
        <v>42675</v>
      </c>
      <c r="L565" s="67">
        <f t="shared" si="40"/>
        <v>6</v>
      </c>
      <c r="M565" s="105">
        <v>2.23333E-3</v>
      </c>
      <c r="N565" s="104">
        <f t="shared" si="41"/>
        <v>44.783671158600001</v>
      </c>
      <c r="O565" s="66"/>
      <c r="P565" s="71">
        <f t="shared" si="42"/>
        <v>0</v>
      </c>
      <c r="Q565" s="132"/>
      <c r="R565" s="71">
        <f t="shared" si="43"/>
        <v>51.138544852083335</v>
      </c>
    </row>
    <row r="566" spans="1:18">
      <c r="A566" s="106" t="s">
        <v>29</v>
      </c>
      <c r="B566" s="103" t="s">
        <v>419</v>
      </c>
      <c r="C566" s="103" t="s">
        <v>420</v>
      </c>
      <c r="D566" s="102" t="s">
        <v>50</v>
      </c>
      <c r="E566" s="103" t="s">
        <v>421</v>
      </c>
      <c r="F566" s="102" t="s">
        <v>52</v>
      </c>
      <c r="G566" s="103" t="s">
        <v>20</v>
      </c>
      <c r="I566" s="103">
        <v>201505</v>
      </c>
      <c r="J566" s="104">
        <v>-1233.6400000000001</v>
      </c>
      <c r="K566" s="72">
        <f t="shared" si="44"/>
        <v>42675</v>
      </c>
      <c r="L566" s="67">
        <f t="shared" si="40"/>
        <v>6</v>
      </c>
      <c r="M566" s="105">
        <v>2.23333E-3</v>
      </c>
      <c r="N566" s="104">
        <f t="shared" si="41"/>
        <v>-16.530751327200001</v>
      </c>
      <c r="O566" s="66"/>
      <c r="P566" s="71">
        <f t="shared" si="42"/>
        <v>0</v>
      </c>
      <c r="Q566" s="132"/>
      <c r="R566" s="71">
        <f t="shared" si="43"/>
        <v>-18.876491058333333</v>
      </c>
    </row>
    <row r="567" spans="1:18">
      <c r="A567" s="106" t="s">
        <v>29</v>
      </c>
      <c r="B567" s="103" t="s">
        <v>839</v>
      </c>
      <c r="C567" s="103" t="s">
        <v>840</v>
      </c>
      <c r="D567" s="102" t="s">
        <v>50</v>
      </c>
      <c r="E567" s="103" t="s">
        <v>841</v>
      </c>
      <c r="F567" s="102" t="s">
        <v>52</v>
      </c>
      <c r="G567" s="103" t="s">
        <v>20</v>
      </c>
      <c r="I567" s="103">
        <v>201505</v>
      </c>
      <c r="J567" s="104">
        <v>-1.07</v>
      </c>
      <c r="K567" s="72">
        <f t="shared" si="44"/>
        <v>42675</v>
      </c>
      <c r="L567" s="67">
        <f t="shared" si="40"/>
        <v>6</v>
      </c>
      <c r="M567" s="105">
        <v>2.23333E-3</v>
      </c>
      <c r="N567" s="104">
        <f t="shared" si="41"/>
        <v>-1.4337978599999999E-2</v>
      </c>
      <c r="O567" s="66"/>
      <c r="P567" s="71">
        <f t="shared" si="42"/>
        <v>0</v>
      </c>
      <c r="Q567" s="132"/>
      <c r="R567" s="71">
        <f t="shared" si="43"/>
        <v>-1.6372560416666668E-2</v>
      </c>
    </row>
    <row r="568" spans="1:18">
      <c r="A568" s="106" t="s">
        <v>29</v>
      </c>
      <c r="B568" s="103" t="s">
        <v>325</v>
      </c>
      <c r="C568" s="103" t="s">
        <v>326</v>
      </c>
      <c r="D568" s="102" t="s">
        <v>327</v>
      </c>
      <c r="E568" s="103" t="s">
        <v>328</v>
      </c>
      <c r="F568" s="102" t="s">
        <v>58</v>
      </c>
      <c r="G568" s="103" t="s">
        <v>20</v>
      </c>
      <c r="I568" s="103">
        <v>201505</v>
      </c>
      <c r="J568" s="104">
        <v>6395.04</v>
      </c>
      <c r="K568" s="72">
        <f t="shared" si="44"/>
        <v>42675</v>
      </c>
      <c r="L568" s="67">
        <f t="shared" si="40"/>
        <v>6</v>
      </c>
      <c r="M568" s="105">
        <v>2.23333E-3</v>
      </c>
      <c r="N568" s="104">
        <f t="shared" si="41"/>
        <v>85.693408099199999</v>
      </c>
      <c r="O568" s="66"/>
      <c r="P568" s="71">
        <f t="shared" si="42"/>
        <v>0</v>
      </c>
      <c r="Q568" s="132"/>
      <c r="R568" s="71">
        <f t="shared" si="43"/>
        <v>97.853438099999991</v>
      </c>
    </row>
    <row r="569" spans="1:18">
      <c r="A569" s="106" t="s">
        <v>29</v>
      </c>
      <c r="B569" s="103" t="s">
        <v>1458</v>
      </c>
      <c r="C569" s="103" t="s">
        <v>1459</v>
      </c>
      <c r="D569" s="102" t="s">
        <v>1460</v>
      </c>
      <c r="E569" s="103" t="s">
        <v>834</v>
      </c>
      <c r="F569" s="102" t="s">
        <v>835</v>
      </c>
      <c r="G569" s="103" t="s">
        <v>20</v>
      </c>
      <c r="I569" s="103">
        <v>201505</v>
      </c>
      <c r="J569" s="104">
        <v>915.96</v>
      </c>
      <c r="K569" s="72">
        <f t="shared" si="44"/>
        <v>42675</v>
      </c>
      <c r="L569" s="67">
        <f t="shared" si="40"/>
        <v>6</v>
      </c>
      <c r="M569" s="105">
        <v>2.23333E-3</v>
      </c>
      <c r="N569" s="104">
        <f t="shared" si="41"/>
        <v>12.273845680799999</v>
      </c>
      <c r="O569" s="66"/>
      <c r="P569" s="71">
        <f t="shared" si="42"/>
        <v>0</v>
      </c>
      <c r="Q569" s="132"/>
      <c r="R569" s="71">
        <f t="shared" si="43"/>
        <v>14.015523775</v>
      </c>
    </row>
    <row r="570" spans="1:18">
      <c r="A570" s="106" t="s">
        <v>29</v>
      </c>
      <c r="B570" s="103" t="s">
        <v>1392</v>
      </c>
      <c r="C570" s="103" t="s">
        <v>1393</v>
      </c>
      <c r="D570" s="102" t="s">
        <v>1394</v>
      </c>
      <c r="E570" s="103" t="s">
        <v>834</v>
      </c>
      <c r="F570" s="102" t="s">
        <v>835</v>
      </c>
      <c r="G570" s="103" t="s">
        <v>20</v>
      </c>
      <c r="I570" s="103">
        <v>201505</v>
      </c>
      <c r="J570" s="104">
        <v>5622.3</v>
      </c>
      <c r="K570" s="72">
        <f t="shared" si="44"/>
        <v>42675</v>
      </c>
      <c r="L570" s="67">
        <f t="shared" si="40"/>
        <v>6</v>
      </c>
      <c r="M570" s="105">
        <v>2.23333E-3</v>
      </c>
      <c r="N570" s="104">
        <f t="shared" si="41"/>
        <v>75.338707553999996</v>
      </c>
      <c r="O570" s="66"/>
      <c r="P570" s="71">
        <f t="shared" si="42"/>
        <v>0</v>
      </c>
      <c r="Q570" s="132"/>
      <c r="R570" s="71">
        <f t="shared" si="43"/>
        <v>86.029389187499987</v>
      </c>
    </row>
    <row r="571" spans="1:18">
      <c r="A571" s="102" t="s">
        <v>990</v>
      </c>
      <c r="B571" s="103" t="s">
        <v>991</v>
      </c>
      <c r="C571" s="103" t="s">
        <v>992</v>
      </c>
      <c r="D571" s="102" t="s">
        <v>993</v>
      </c>
      <c r="E571" s="103" t="s">
        <v>994</v>
      </c>
      <c r="F571" s="102" t="s">
        <v>995</v>
      </c>
      <c r="G571" s="103" t="s">
        <v>20</v>
      </c>
      <c r="I571" s="103">
        <v>201505</v>
      </c>
      <c r="J571" s="104">
        <v>3098.78</v>
      </c>
      <c r="K571" s="72">
        <f t="shared" si="44"/>
        <v>42675</v>
      </c>
      <c r="L571" s="67">
        <f t="shared" si="40"/>
        <v>6</v>
      </c>
      <c r="M571" s="105">
        <v>2.0333333000000001E-3</v>
      </c>
      <c r="N571" s="104">
        <f t="shared" si="41"/>
        <v>37.805115380244004</v>
      </c>
      <c r="O571" s="66"/>
      <c r="P571" s="71">
        <f t="shared" si="42"/>
        <v>0</v>
      </c>
      <c r="Q571" s="132"/>
      <c r="R571" s="71">
        <f t="shared" si="43"/>
        <v>47.415853054166661</v>
      </c>
    </row>
    <row r="572" spans="1:18">
      <c r="A572" s="102" t="s">
        <v>990</v>
      </c>
      <c r="B572" s="103" t="s">
        <v>996</v>
      </c>
      <c r="C572" s="103" t="s">
        <v>997</v>
      </c>
      <c r="D572" s="102" t="s">
        <v>998</v>
      </c>
      <c r="E572" s="103" t="s">
        <v>999</v>
      </c>
      <c r="F572" s="102" t="s">
        <v>995</v>
      </c>
      <c r="G572" s="103" t="s">
        <v>20</v>
      </c>
      <c r="I572" s="103">
        <v>201505</v>
      </c>
      <c r="J572" s="104">
        <v>779.31</v>
      </c>
      <c r="K572" s="72">
        <f t="shared" si="44"/>
        <v>42675</v>
      </c>
      <c r="L572" s="67">
        <f t="shared" si="40"/>
        <v>6</v>
      </c>
      <c r="M572" s="105">
        <v>2.0333333000000001E-3</v>
      </c>
      <c r="N572" s="104">
        <f t="shared" si="41"/>
        <v>9.5075818441379987</v>
      </c>
      <c r="O572" s="66"/>
      <c r="P572" s="71">
        <f t="shared" si="42"/>
        <v>0</v>
      </c>
      <c r="Q572" s="132"/>
      <c r="R572" s="71">
        <f t="shared" si="43"/>
        <v>11.924579493749999</v>
      </c>
    </row>
    <row r="573" spans="1:18">
      <c r="A573" s="102" t="s">
        <v>990</v>
      </c>
      <c r="B573" s="103" t="s">
        <v>1000</v>
      </c>
      <c r="C573" s="103" t="s">
        <v>1001</v>
      </c>
      <c r="D573" s="102" t="s">
        <v>998</v>
      </c>
      <c r="E573" s="103" t="s">
        <v>1002</v>
      </c>
      <c r="F573" s="102" t="s">
        <v>995</v>
      </c>
      <c r="G573" s="103" t="s">
        <v>20</v>
      </c>
      <c r="I573" s="103">
        <v>201505</v>
      </c>
      <c r="J573" s="104">
        <v>33557.21</v>
      </c>
      <c r="K573" s="72">
        <f t="shared" si="44"/>
        <v>42675</v>
      </c>
      <c r="L573" s="67">
        <f t="shared" si="40"/>
        <v>6</v>
      </c>
      <c r="M573" s="105">
        <v>2.0333333000000001E-3</v>
      </c>
      <c r="N573" s="104">
        <f t="shared" si="41"/>
        <v>409.39795528855797</v>
      </c>
      <c r="O573" s="66"/>
      <c r="P573" s="71">
        <f t="shared" si="42"/>
        <v>0</v>
      </c>
      <c r="Q573" s="132"/>
      <c r="R573" s="71">
        <f t="shared" si="43"/>
        <v>513.47425059791669</v>
      </c>
    </row>
    <row r="574" spans="1:18">
      <c r="A574" s="102" t="s">
        <v>990</v>
      </c>
      <c r="B574" s="103" t="s">
        <v>1003</v>
      </c>
      <c r="C574" s="103" t="s">
        <v>1004</v>
      </c>
      <c r="D574" s="102" t="s">
        <v>1005</v>
      </c>
      <c r="E574" s="103" t="s">
        <v>1006</v>
      </c>
      <c r="F574" s="102" t="s">
        <v>995</v>
      </c>
      <c r="G574" s="103" t="s">
        <v>20</v>
      </c>
      <c r="I574" s="103">
        <v>201505</v>
      </c>
      <c r="J574" s="104">
        <v>54365.75</v>
      </c>
      <c r="K574" s="72">
        <f t="shared" si="44"/>
        <v>42675</v>
      </c>
      <c r="L574" s="67">
        <f t="shared" si="40"/>
        <v>6</v>
      </c>
      <c r="M574" s="105">
        <v>2.0333333000000001E-3</v>
      </c>
      <c r="N574" s="104">
        <f t="shared" si="41"/>
        <v>663.26213912685</v>
      </c>
      <c r="O574" s="66"/>
      <c r="P574" s="71">
        <f t="shared" si="42"/>
        <v>0</v>
      </c>
      <c r="Q574" s="132"/>
      <c r="R574" s="71">
        <f t="shared" si="43"/>
        <v>831.8752583854166</v>
      </c>
    </row>
    <row r="575" spans="1:18">
      <c r="A575" s="102" t="s">
        <v>990</v>
      </c>
      <c r="B575" s="103" t="s">
        <v>1010</v>
      </c>
      <c r="C575" s="103" t="s">
        <v>1011</v>
      </c>
      <c r="D575" s="102" t="s">
        <v>1012</v>
      </c>
      <c r="E575" s="103" t="s">
        <v>1013</v>
      </c>
      <c r="F575" s="102" t="s">
        <v>995</v>
      </c>
      <c r="G575" s="103" t="s">
        <v>20</v>
      </c>
      <c r="I575" s="103">
        <v>201505</v>
      </c>
      <c r="J575" s="104">
        <v>2882.27</v>
      </c>
      <c r="K575" s="72">
        <f t="shared" si="44"/>
        <v>42675</v>
      </c>
      <c r="L575" s="67">
        <f t="shared" si="40"/>
        <v>6</v>
      </c>
      <c r="M575" s="105">
        <v>2.0333333000000001E-3</v>
      </c>
      <c r="N575" s="104">
        <f t="shared" si="41"/>
        <v>35.163693423546</v>
      </c>
      <c r="O575" s="66"/>
      <c r="P575" s="71">
        <f t="shared" si="42"/>
        <v>0</v>
      </c>
      <c r="Q575" s="132"/>
      <c r="R575" s="71">
        <f t="shared" si="43"/>
        <v>44.102934310416664</v>
      </c>
    </row>
    <row r="576" spans="1:18">
      <c r="A576" s="102" t="s">
        <v>990</v>
      </c>
      <c r="B576" s="103" t="s">
        <v>1017</v>
      </c>
      <c r="C576" s="103" t="s">
        <v>1018</v>
      </c>
      <c r="D576" s="102" t="s">
        <v>993</v>
      </c>
      <c r="E576" s="103" t="s">
        <v>1019</v>
      </c>
      <c r="F576" s="102" t="s">
        <v>995</v>
      </c>
      <c r="G576" s="103" t="s">
        <v>20</v>
      </c>
      <c r="I576" s="103">
        <v>201505</v>
      </c>
      <c r="J576" s="104">
        <v>150.91</v>
      </c>
      <c r="K576" s="72">
        <f t="shared" si="44"/>
        <v>42675</v>
      </c>
      <c r="L576" s="67">
        <f t="shared" si="40"/>
        <v>6</v>
      </c>
      <c r="M576" s="105">
        <v>2.0333333000000001E-3</v>
      </c>
      <c r="N576" s="104">
        <f t="shared" si="41"/>
        <v>1.841101969818</v>
      </c>
      <c r="O576" s="66"/>
      <c r="P576" s="71">
        <f t="shared" si="42"/>
        <v>0</v>
      </c>
      <c r="Q576" s="132"/>
      <c r="R576" s="71">
        <f t="shared" si="43"/>
        <v>2.3091430770833328</v>
      </c>
    </row>
    <row r="577" spans="1:18">
      <c r="A577" s="102" t="s">
        <v>990</v>
      </c>
      <c r="B577" s="103" t="s">
        <v>1020</v>
      </c>
      <c r="C577" s="103" t="s">
        <v>1021</v>
      </c>
      <c r="D577" s="102" t="s">
        <v>998</v>
      </c>
      <c r="E577" s="103" t="s">
        <v>1022</v>
      </c>
      <c r="F577" s="102" t="s">
        <v>995</v>
      </c>
      <c r="G577" s="103" t="s">
        <v>20</v>
      </c>
      <c r="I577" s="103">
        <v>201505</v>
      </c>
      <c r="J577" s="104">
        <v>748.89</v>
      </c>
      <c r="K577" s="72">
        <f t="shared" si="44"/>
        <v>42675</v>
      </c>
      <c r="L577" s="67">
        <f t="shared" si="40"/>
        <v>6</v>
      </c>
      <c r="M577" s="105">
        <v>2.0333333000000001E-3</v>
      </c>
      <c r="N577" s="104">
        <f t="shared" si="41"/>
        <v>9.1364578502219995</v>
      </c>
      <c r="O577" s="66"/>
      <c r="P577" s="71">
        <f t="shared" si="42"/>
        <v>0</v>
      </c>
      <c r="Q577" s="132"/>
      <c r="R577" s="71">
        <f t="shared" si="43"/>
        <v>11.459109131249999</v>
      </c>
    </row>
    <row r="578" spans="1:18">
      <c r="A578" s="102" t="s">
        <v>21</v>
      </c>
      <c r="B578" s="103" t="s">
        <v>84</v>
      </c>
      <c r="C578" s="103" t="s">
        <v>85</v>
      </c>
      <c r="D578" s="102" t="s">
        <v>86</v>
      </c>
      <c r="E578" s="103" t="s">
        <v>87</v>
      </c>
      <c r="F578" s="102" t="s">
        <v>88</v>
      </c>
      <c r="G578" s="103" t="s">
        <v>20</v>
      </c>
      <c r="I578" s="103">
        <v>201506</v>
      </c>
      <c r="J578" s="104">
        <v>-165.14</v>
      </c>
      <c r="K578" s="72">
        <f>+K577</f>
        <v>42675</v>
      </c>
      <c r="L578" s="67">
        <f t="shared" si="40"/>
        <v>6</v>
      </c>
      <c r="M578" s="105">
        <v>1.4833299999999999E-3</v>
      </c>
      <c r="N578" s="104">
        <f t="shared" si="41"/>
        <v>-1.4697426971999998</v>
      </c>
      <c r="O578" s="66"/>
      <c r="P578" s="71">
        <f t="shared" si="42"/>
        <v>0</v>
      </c>
      <c r="Q578" s="132"/>
      <c r="R578" s="71">
        <f t="shared" si="43"/>
        <v>-2.5268828291666661</v>
      </c>
    </row>
    <row r="579" spans="1:18">
      <c r="A579" s="106" t="s">
        <v>21</v>
      </c>
      <c r="B579" s="103" t="s">
        <v>1286</v>
      </c>
      <c r="C579" s="103" t="s">
        <v>1287</v>
      </c>
      <c r="D579" s="102" t="s">
        <v>1288</v>
      </c>
      <c r="E579" s="103" t="s">
        <v>93</v>
      </c>
      <c r="F579" s="102" t="s">
        <v>88</v>
      </c>
      <c r="G579" s="103" t="s">
        <v>20</v>
      </c>
      <c r="I579" s="103">
        <v>201506</v>
      </c>
      <c r="J579" s="104">
        <v>-707.36</v>
      </c>
      <c r="K579" s="72">
        <f t="shared" si="44"/>
        <v>42675</v>
      </c>
      <c r="L579" s="67">
        <f t="shared" si="40"/>
        <v>6</v>
      </c>
      <c r="M579" s="105">
        <v>1.4833299999999999E-3</v>
      </c>
      <c r="N579" s="104">
        <f t="shared" si="41"/>
        <v>-6.2954898528000003</v>
      </c>
      <c r="O579" s="66"/>
      <c r="P579" s="71">
        <f t="shared" si="42"/>
        <v>0</v>
      </c>
      <c r="Q579" s="132"/>
      <c r="R579" s="71">
        <f t="shared" si="43"/>
        <v>-10.823639566666667</v>
      </c>
    </row>
    <row r="580" spans="1:18">
      <c r="A580" s="102" t="s">
        <v>21</v>
      </c>
      <c r="B580" s="103" t="s">
        <v>1112</v>
      </c>
      <c r="C580" s="103" t="s">
        <v>1113</v>
      </c>
      <c r="D580" s="102" t="s">
        <v>1114</v>
      </c>
      <c r="E580" s="103" t="s">
        <v>260</v>
      </c>
      <c r="F580" s="102" t="s">
        <v>26</v>
      </c>
      <c r="G580" s="103" t="s">
        <v>20</v>
      </c>
      <c r="I580" s="103">
        <v>201506</v>
      </c>
      <c r="J580" s="104">
        <v>8.2799999999999994</v>
      </c>
      <c r="K580" s="72">
        <f t="shared" si="44"/>
        <v>42675</v>
      </c>
      <c r="L580" s="67">
        <f t="shared" si="40"/>
        <v>6</v>
      </c>
      <c r="M580" s="105">
        <v>1.4833299999999999E-3</v>
      </c>
      <c r="N580" s="104">
        <f t="shared" si="41"/>
        <v>7.3691834399999989E-2</v>
      </c>
      <c r="O580" s="66"/>
      <c r="P580" s="71">
        <f t="shared" si="42"/>
        <v>0</v>
      </c>
      <c r="Q580" s="132"/>
      <c r="R580" s="71">
        <f t="shared" si="43"/>
        <v>0.12669607499999996</v>
      </c>
    </row>
    <row r="581" spans="1:18">
      <c r="A581" s="102" t="s">
        <v>21</v>
      </c>
      <c r="B581" s="103" t="s">
        <v>177</v>
      </c>
      <c r="C581" s="103" t="s">
        <v>178</v>
      </c>
      <c r="D581" s="102" t="s">
        <v>179</v>
      </c>
      <c r="E581" s="103" t="s">
        <v>172</v>
      </c>
      <c r="F581" s="102" t="s">
        <v>173</v>
      </c>
      <c r="G581" s="103" t="s">
        <v>20</v>
      </c>
      <c r="I581" s="103">
        <v>201506</v>
      </c>
      <c r="J581" s="104">
        <v>-21.75</v>
      </c>
      <c r="K581" s="72">
        <f t="shared" si="44"/>
        <v>42675</v>
      </c>
      <c r="L581" s="67">
        <f t="shared" ref="L581:L644" si="45">((YEAR($L$1)-YEAR(K581))*12+MONTH($L$1)-MONTH(K581))</f>
        <v>6</v>
      </c>
      <c r="M581" s="105">
        <v>1.4833299999999999E-3</v>
      </c>
      <c r="N581" s="104">
        <f t="shared" ref="N581:N644" si="46">M581*L581*J581</f>
        <v>-0.193574565</v>
      </c>
      <c r="O581" s="66"/>
      <c r="P581" s="71">
        <f t="shared" si="42"/>
        <v>0</v>
      </c>
      <c r="Q581" s="132"/>
      <c r="R581" s="71">
        <f t="shared" si="43"/>
        <v>-0.33280671874999995</v>
      </c>
    </row>
    <row r="582" spans="1:18">
      <c r="A582" s="102" t="s">
        <v>21</v>
      </c>
      <c r="B582" s="103" t="s">
        <v>1072</v>
      </c>
      <c r="C582" s="103" t="s">
        <v>1073</v>
      </c>
      <c r="D582" s="102" t="s">
        <v>1074</v>
      </c>
      <c r="E582" s="103" t="s">
        <v>857</v>
      </c>
      <c r="F582" s="102" t="s">
        <v>88</v>
      </c>
      <c r="G582" s="103" t="s">
        <v>20</v>
      </c>
      <c r="I582" s="103">
        <v>201506</v>
      </c>
      <c r="J582" s="104">
        <v>-594.59</v>
      </c>
      <c r="K582" s="72">
        <f t="shared" si="44"/>
        <v>42675</v>
      </c>
      <c r="L582" s="67">
        <f t="shared" si="45"/>
        <v>6</v>
      </c>
      <c r="M582" s="105">
        <v>1.4833299999999999E-3</v>
      </c>
      <c r="N582" s="104">
        <f t="shared" si="46"/>
        <v>-5.2918391082000005</v>
      </c>
      <c r="O582" s="66"/>
      <c r="P582" s="71">
        <f t="shared" ref="P582:P645" si="47">($P$4*0.5*J582*$T$12)</f>
        <v>0</v>
      </c>
      <c r="Q582" s="132"/>
      <c r="R582" s="71">
        <f t="shared" ref="R582:R645" si="48">($R$4*0.5*J582*$T$12)</f>
        <v>-9.0980941104166657</v>
      </c>
    </row>
    <row r="583" spans="1:18">
      <c r="A583" s="102" t="s">
        <v>21</v>
      </c>
      <c r="B583" s="103" t="s">
        <v>449</v>
      </c>
      <c r="C583" s="103" t="s">
        <v>450</v>
      </c>
      <c r="D583" s="102" t="s">
        <v>451</v>
      </c>
      <c r="E583" s="103" t="s">
        <v>452</v>
      </c>
      <c r="F583" s="102" t="s">
        <v>398</v>
      </c>
      <c r="G583" s="103" t="s">
        <v>20</v>
      </c>
      <c r="I583" s="103">
        <v>201506</v>
      </c>
      <c r="J583" s="104">
        <v>-82.96</v>
      </c>
      <c r="K583" s="72">
        <f t="shared" ref="K583:K646" si="49">+K582</f>
        <v>42675</v>
      </c>
      <c r="L583" s="67">
        <f t="shared" si="45"/>
        <v>6</v>
      </c>
      <c r="M583" s="105">
        <v>1.4833299999999999E-3</v>
      </c>
      <c r="N583" s="104">
        <f t="shared" si="46"/>
        <v>-0.73834234079999994</v>
      </c>
      <c r="O583" s="66"/>
      <c r="P583" s="71">
        <f t="shared" si="47"/>
        <v>0</v>
      </c>
      <c r="Q583" s="132"/>
      <c r="R583" s="71">
        <f t="shared" si="48"/>
        <v>-1.2694089833333331</v>
      </c>
    </row>
    <row r="584" spans="1:18">
      <c r="A584" s="106" t="s">
        <v>21</v>
      </c>
      <c r="B584" s="103" t="s">
        <v>230</v>
      </c>
      <c r="C584" s="103" t="s">
        <v>231</v>
      </c>
      <c r="D584" s="102" t="s">
        <v>232</v>
      </c>
      <c r="E584" s="103" t="s">
        <v>164</v>
      </c>
      <c r="F584" s="102" t="s">
        <v>165</v>
      </c>
      <c r="G584" s="103" t="s">
        <v>20</v>
      </c>
      <c r="I584" s="103">
        <v>201506</v>
      </c>
      <c r="J584" s="104">
        <v>-4.1100000000000003</v>
      </c>
      <c r="K584" s="72">
        <f t="shared" si="49"/>
        <v>42675</v>
      </c>
      <c r="L584" s="67">
        <f t="shared" si="45"/>
        <v>6</v>
      </c>
      <c r="M584" s="105">
        <v>1.4833299999999999E-3</v>
      </c>
      <c r="N584" s="104">
        <f t="shared" si="46"/>
        <v>-3.6578917800000006E-2</v>
      </c>
      <c r="O584" s="66"/>
      <c r="P584" s="71">
        <f t="shared" si="47"/>
        <v>0</v>
      </c>
      <c r="Q584" s="132"/>
      <c r="R584" s="71">
        <f t="shared" si="48"/>
        <v>-6.2888993749999997E-2</v>
      </c>
    </row>
    <row r="585" spans="1:18">
      <c r="A585" s="102" t="s">
        <v>21</v>
      </c>
      <c r="B585" s="103" t="s">
        <v>261</v>
      </c>
      <c r="C585" s="103" t="s">
        <v>262</v>
      </c>
      <c r="D585" s="102" t="s">
        <v>263</v>
      </c>
      <c r="E585" s="103" t="s">
        <v>75</v>
      </c>
      <c r="F585" s="102" t="s">
        <v>26</v>
      </c>
      <c r="G585" s="103" t="s">
        <v>20</v>
      </c>
      <c r="I585" s="103">
        <v>201506</v>
      </c>
      <c r="J585" s="104">
        <v>-23.3</v>
      </c>
      <c r="K585" s="72">
        <f t="shared" si="49"/>
        <v>42675</v>
      </c>
      <c r="L585" s="67">
        <f t="shared" si="45"/>
        <v>6</v>
      </c>
      <c r="M585" s="105">
        <v>1.4833299999999999E-3</v>
      </c>
      <c r="N585" s="104">
        <f t="shared" si="46"/>
        <v>-0.20736953399999999</v>
      </c>
      <c r="O585" s="66"/>
      <c r="P585" s="71">
        <f t="shared" si="47"/>
        <v>0</v>
      </c>
      <c r="Q585" s="132"/>
      <c r="R585" s="71">
        <f t="shared" si="48"/>
        <v>-0.35652397916666667</v>
      </c>
    </row>
    <row r="586" spans="1:18">
      <c r="A586" s="102" t="s">
        <v>21</v>
      </c>
      <c r="B586" s="103" t="s">
        <v>264</v>
      </c>
      <c r="C586" s="103" t="s">
        <v>265</v>
      </c>
      <c r="D586" s="102" t="s">
        <v>266</v>
      </c>
      <c r="E586" s="103" t="s">
        <v>172</v>
      </c>
      <c r="F586" s="102" t="s">
        <v>173</v>
      </c>
      <c r="G586" s="103" t="s">
        <v>20</v>
      </c>
      <c r="I586" s="103">
        <v>201506</v>
      </c>
      <c r="J586" s="104">
        <v>-1156.4000000000001</v>
      </c>
      <c r="K586" s="72">
        <f t="shared" si="49"/>
        <v>42675</v>
      </c>
      <c r="L586" s="67">
        <f t="shared" si="45"/>
        <v>6</v>
      </c>
      <c r="M586" s="105">
        <v>1.4833299999999999E-3</v>
      </c>
      <c r="N586" s="104">
        <f t="shared" si="46"/>
        <v>-10.291936872000001</v>
      </c>
      <c r="O586" s="66"/>
      <c r="P586" s="71">
        <f t="shared" si="47"/>
        <v>0</v>
      </c>
      <c r="Q586" s="132"/>
      <c r="R586" s="71">
        <f t="shared" si="48"/>
        <v>-17.694606416666666</v>
      </c>
    </row>
    <row r="587" spans="1:18">
      <c r="A587" s="102" t="s">
        <v>21</v>
      </c>
      <c r="B587" s="103" t="s">
        <v>938</v>
      </c>
      <c r="C587" s="103" t="s">
        <v>939</v>
      </c>
      <c r="D587" s="102" t="s">
        <v>940</v>
      </c>
      <c r="E587" s="103" t="s">
        <v>209</v>
      </c>
      <c r="F587" s="102" t="s">
        <v>88</v>
      </c>
      <c r="G587" s="103" t="s">
        <v>20</v>
      </c>
      <c r="I587" s="103">
        <v>201506</v>
      </c>
      <c r="J587" s="104">
        <v>-0.56999999999999995</v>
      </c>
      <c r="K587" s="72">
        <f t="shared" si="49"/>
        <v>42675</v>
      </c>
      <c r="L587" s="67">
        <f t="shared" si="45"/>
        <v>6</v>
      </c>
      <c r="M587" s="105">
        <v>1.4833299999999999E-3</v>
      </c>
      <c r="N587" s="104">
        <f t="shared" si="46"/>
        <v>-5.0729885999999998E-3</v>
      </c>
      <c r="O587" s="66"/>
      <c r="P587" s="71">
        <f t="shared" si="47"/>
        <v>0</v>
      </c>
      <c r="Q587" s="132"/>
      <c r="R587" s="71">
        <f t="shared" si="48"/>
        <v>-8.7218312499999975E-3</v>
      </c>
    </row>
    <row r="588" spans="1:18">
      <c r="A588" s="102" t="s">
        <v>21</v>
      </c>
      <c r="B588" s="103" t="s">
        <v>794</v>
      </c>
      <c r="C588" s="103" t="s">
        <v>795</v>
      </c>
      <c r="D588" s="102" t="s">
        <v>796</v>
      </c>
      <c r="E588" s="103" t="s">
        <v>172</v>
      </c>
      <c r="F588" s="102" t="s">
        <v>173</v>
      </c>
      <c r="G588" s="103" t="s">
        <v>20</v>
      </c>
      <c r="I588" s="103">
        <v>201506</v>
      </c>
      <c r="J588" s="104">
        <v>17.239999999999998</v>
      </c>
      <c r="K588" s="72">
        <f t="shared" si="49"/>
        <v>42675</v>
      </c>
      <c r="L588" s="67">
        <f t="shared" si="45"/>
        <v>6</v>
      </c>
      <c r="M588" s="105">
        <v>1.4833299999999999E-3</v>
      </c>
      <c r="N588" s="104">
        <f t="shared" si="46"/>
        <v>0.15343565519999999</v>
      </c>
      <c r="O588" s="66"/>
      <c r="P588" s="71">
        <f t="shared" si="47"/>
        <v>0</v>
      </c>
      <c r="Q588" s="132"/>
      <c r="R588" s="71">
        <f t="shared" si="48"/>
        <v>0.26379714166666662</v>
      </c>
    </row>
    <row r="589" spans="1:18">
      <c r="A589" s="102" t="s">
        <v>21</v>
      </c>
      <c r="B589" s="103" t="s">
        <v>1250</v>
      </c>
      <c r="C589" s="103" t="s">
        <v>1251</v>
      </c>
      <c r="D589" s="102" t="s">
        <v>1252</v>
      </c>
      <c r="E589" s="103" t="s">
        <v>260</v>
      </c>
      <c r="F589" s="102" t="s">
        <v>26</v>
      </c>
      <c r="G589" s="103" t="s">
        <v>20</v>
      </c>
      <c r="I589" s="103">
        <v>201506</v>
      </c>
      <c r="J589" s="104">
        <v>-1009.03</v>
      </c>
      <c r="K589" s="72">
        <f t="shared" si="49"/>
        <v>42675</v>
      </c>
      <c r="L589" s="67">
        <f t="shared" si="45"/>
        <v>6</v>
      </c>
      <c r="M589" s="105">
        <v>1.4833299999999999E-3</v>
      </c>
      <c r="N589" s="104">
        <f t="shared" si="46"/>
        <v>-8.9803468193999993</v>
      </c>
      <c r="O589" s="66"/>
      <c r="P589" s="71">
        <f t="shared" si="47"/>
        <v>0</v>
      </c>
      <c r="Q589" s="132"/>
      <c r="R589" s="71">
        <f t="shared" si="48"/>
        <v>-15.439630502083332</v>
      </c>
    </row>
    <row r="590" spans="1:18">
      <c r="A590" s="102" t="s">
        <v>21</v>
      </c>
      <c r="B590" s="103" t="s">
        <v>494</v>
      </c>
      <c r="C590" s="103" t="s">
        <v>495</v>
      </c>
      <c r="D590" s="102" t="s">
        <v>496</v>
      </c>
      <c r="E590" s="103" t="s">
        <v>497</v>
      </c>
      <c r="F590" s="102" t="s">
        <v>26</v>
      </c>
      <c r="G590" s="103" t="s">
        <v>20</v>
      </c>
      <c r="I590" s="103">
        <v>201506</v>
      </c>
      <c r="J590" s="104">
        <v>-125.93</v>
      </c>
      <c r="K590" s="72">
        <f t="shared" si="49"/>
        <v>42675</v>
      </c>
      <c r="L590" s="67">
        <f t="shared" si="45"/>
        <v>6</v>
      </c>
      <c r="M590" s="105">
        <v>1.4833299999999999E-3</v>
      </c>
      <c r="N590" s="104">
        <f t="shared" si="46"/>
        <v>-1.1207744814</v>
      </c>
      <c r="O590" s="66"/>
      <c r="P590" s="71">
        <f t="shared" si="47"/>
        <v>0</v>
      </c>
      <c r="Q590" s="132"/>
      <c r="R590" s="71">
        <f t="shared" si="48"/>
        <v>-1.9269126479166665</v>
      </c>
    </row>
    <row r="591" spans="1:18">
      <c r="A591" s="102" t="s">
        <v>21</v>
      </c>
      <c r="B591" s="103" t="s">
        <v>678</v>
      </c>
      <c r="C591" s="103" t="s">
        <v>679</v>
      </c>
      <c r="D591" s="102" t="s">
        <v>680</v>
      </c>
      <c r="E591" s="103" t="s">
        <v>75</v>
      </c>
      <c r="F591" s="102" t="s">
        <v>26</v>
      </c>
      <c r="G591" s="103" t="s">
        <v>20</v>
      </c>
      <c r="I591" s="103">
        <v>201506</v>
      </c>
      <c r="J591" s="104">
        <v>-2284.5500000000002</v>
      </c>
      <c r="K591" s="72">
        <f t="shared" si="49"/>
        <v>42675</v>
      </c>
      <c r="L591" s="67">
        <f t="shared" si="45"/>
        <v>6</v>
      </c>
      <c r="M591" s="105">
        <v>1.4833299999999999E-3</v>
      </c>
      <c r="N591" s="104">
        <f t="shared" si="46"/>
        <v>-20.332449309000001</v>
      </c>
      <c r="O591" s="66"/>
      <c r="P591" s="71">
        <f t="shared" si="47"/>
        <v>0</v>
      </c>
      <c r="Q591" s="132"/>
      <c r="R591" s="71">
        <f t="shared" si="48"/>
        <v>-34.956946635416664</v>
      </c>
    </row>
    <row r="592" spans="1:18">
      <c r="A592" s="102" t="s">
        <v>21</v>
      </c>
      <c r="B592" s="103" t="s">
        <v>1124</v>
      </c>
      <c r="C592" s="103" t="s">
        <v>1125</v>
      </c>
      <c r="D592" s="102" t="s">
        <v>1126</v>
      </c>
      <c r="E592" s="103" t="s">
        <v>87</v>
      </c>
      <c r="F592" s="102" t="s">
        <v>88</v>
      </c>
      <c r="G592" s="103" t="s">
        <v>20</v>
      </c>
      <c r="I592" s="103">
        <v>201506</v>
      </c>
      <c r="J592" s="104">
        <v>-60.68</v>
      </c>
      <c r="K592" s="72">
        <f t="shared" si="49"/>
        <v>42675</v>
      </c>
      <c r="L592" s="67">
        <f t="shared" si="45"/>
        <v>6</v>
      </c>
      <c r="M592" s="105">
        <v>1.4833299999999999E-3</v>
      </c>
      <c r="N592" s="104">
        <f t="shared" si="46"/>
        <v>-0.54005078640000004</v>
      </c>
      <c r="O592" s="66"/>
      <c r="P592" s="71">
        <f t="shared" si="47"/>
        <v>0</v>
      </c>
      <c r="Q592" s="132"/>
      <c r="R592" s="71">
        <f t="shared" si="48"/>
        <v>-0.92849249166666659</v>
      </c>
    </row>
    <row r="593" spans="1:18">
      <c r="A593" s="102" t="s">
        <v>21</v>
      </c>
      <c r="B593" s="103" t="s">
        <v>1127</v>
      </c>
      <c r="C593" s="103" t="s">
        <v>1128</v>
      </c>
      <c r="D593" s="102" t="s">
        <v>1129</v>
      </c>
      <c r="E593" s="103" t="s">
        <v>87</v>
      </c>
      <c r="F593" s="102" t="s">
        <v>88</v>
      </c>
      <c r="G593" s="103" t="s">
        <v>20</v>
      </c>
      <c r="I593" s="103">
        <v>201506</v>
      </c>
      <c r="J593" s="104">
        <v>-3072.34</v>
      </c>
      <c r="K593" s="72">
        <f t="shared" si="49"/>
        <v>42675</v>
      </c>
      <c r="L593" s="67">
        <f t="shared" si="45"/>
        <v>6</v>
      </c>
      <c r="M593" s="105">
        <v>1.4833299999999999E-3</v>
      </c>
      <c r="N593" s="104">
        <f t="shared" si="46"/>
        <v>-27.3437645532</v>
      </c>
      <c r="O593" s="66"/>
      <c r="P593" s="71">
        <f t="shared" si="47"/>
        <v>0</v>
      </c>
      <c r="Q593" s="132"/>
      <c r="R593" s="71">
        <f t="shared" si="48"/>
        <v>-47.011282495833335</v>
      </c>
    </row>
    <row r="594" spans="1:18">
      <c r="A594" s="102" t="s">
        <v>21</v>
      </c>
      <c r="B594" s="103" t="s">
        <v>870</v>
      </c>
      <c r="C594" s="103" t="s">
        <v>871</v>
      </c>
      <c r="D594" s="102" t="s">
        <v>872</v>
      </c>
      <c r="E594" s="103" t="s">
        <v>873</v>
      </c>
      <c r="F594" s="102" t="s">
        <v>874</v>
      </c>
      <c r="G594" s="103" t="s">
        <v>20</v>
      </c>
      <c r="I594" s="103">
        <v>201506</v>
      </c>
      <c r="J594" s="104">
        <v>-12.12</v>
      </c>
      <c r="K594" s="72">
        <f t="shared" si="49"/>
        <v>42675</v>
      </c>
      <c r="L594" s="67">
        <f t="shared" si="45"/>
        <v>6</v>
      </c>
      <c r="M594" s="105">
        <v>1.4833299999999999E-3</v>
      </c>
      <c r="N594" s="104">
        <f t="shared" si="46"/>
        <v>-0.10786775759999999</v>
      </c>
      <c r="O594" s="66"/>
      <c r="P594" s="71">
        <f t="shared" si="47"/>
        <v>0</v>
      </c>
      <c r="Q594" s="132"/>
      <c r="R594" s="71">
        <f t="shared" si="48"/>
        <v>-0.18545367499999996</v>
      </c>
    </row>
    <row r="595" spans="1:18">
      <c r="A595" s="102" t="s">
        <v>21</v>
      </c>
      <c r="B595" s="103" t="s">
        <v>888</v>
      </c>
      <c r="C595" s="103" t="s">
        <v>889</v>
      </c>
      <c r="D595" s="102" t="s">
        <v>890</v>
      </c>
      <c r="E595" s="103" t="s">
        <v>280</v>
      </c>
      <c r="F595" s="102" t="s">
        <v>26</v>
      </c>
      <c r="G595" s="103" t="s">
        <v>20</v>
      </c>
      <c r="I595" s="103">
        <v>201506</v>
      </c>
      <c r="J595" s="104">
        <v>-12.76</v>
      </c>
      <c r="K595" s="72">
        <f t="shared" si="49"/>
        <v>42675</v>
      </c>
      <c r="L595" s="67">
        <f t="shared" si="45"/>
        <v>6</v>
      </c>
      <c r="M595" s="105">
        <v>1.4833299999999999E-3</v>
      </c>
      <c r="N595" s="104">
        <f t="shared" si="46"/>
        <v>-0.1135637448</v>
      </c>
      <c r="O595" s="66"/>
      <c r="P595" s="71">
        <f t="shared" si="47"/>
        <v>0</v>
      </c>
      <c r="Q595" s="132"/>
      <c r="R595" s="71">
        <f t="shared" si="48"/>
        <v>-0.19524660833333329</v>
      </c>
    </row>
    <row r="596" spans="1:18">
      <c r="A596" s="102" t="s">
        <v>21</v>
      </c>
      <c r="B596" s="103" t="s">
        <v>1191</v>
      </c>
      <c r="C596" s="103" t="s">
        <v>1192</v>
      </c>
      <c r="D596" s="102" t="s">
        <v>1193</v>
      </c>
      <c r="E596" s="103" t="s">
        <v>402</v>
      </c>
      <c r="F596" s="102" t="s">
        <v>19</v>
      </c>
      <c r="G596" s="103" t="s">
        <v>20</v>
      </c>
      <c r="I596" s="103">
        <v>201506</v>
      </c>
      <c r="J596" s="104">
        <v>-810.88</v>
      </c>
      <c r="K596" s="72">
        <f t="shared" si="49"/>
        <v>42675</v>
      </c>
      <c r="L596" s="67">
        <f t="shared" si="45"/>
        <v>6</v>
      </c>
      <c r="M596" s="105">
        <v>1.4833299999999999E-3</v>
      </c>
      <c r="N596" s="104">
        <f t="shared" si="46"/>
        <v>-7.2168157824000003</v>
      </c>
      <c r="O596" s="66"/>
      <c r="P596" s="71">
        <f t="shared" si="47"/>
        <v>0</v>
      </c>
      <c r="Q596" s="132"/>
      <c r="R596" s="71">
        <f t="shared" si="48"/>
        <v>-12.407646533333331</v>
      </c>
    </row>
    <row r="597" spans="1:18">
      <c r="A597" s="102" t="s">
        <v>21</v>
      </c>
      <c r="B597" s="103" t="s">
        <v>1461</v>
      </c>
      <c r="C597" s="103" t="s">
        <v>1462</v>
      </c>
      <c r="D597" s="102" t="s">
        <v>1463</v>
      </c>
      <c r="E597" s="103" t="s">
        <v>209</v>
      </c>
      <c r="F597" s="102" t="s">
        <v>88</v>
      </c>
      <c r="G597" s="103" t="s">
        <v>20</v>
      </c>
      <c r="I597" s="103">
        <v>201506</v>
      </c>
      <c r="J597" s="104">
        <v>9718.5400000000009</v>
      </c>
      <c r="K597" s="72">
        <f t="shared" si="49"/>
        <v>42675</v>
      </c>
      <c r="L597" s="67">
        <f t="shared" si="45"/>
        <v>6</v>
      </c>
      <c r="M597" s="105">
        <v>1.4833299999999999E-3</v>
      </c>
      <c r="N597" s="104">
        <f t="shared" si="46"/>
        <v>86.494811629200015</v>
      </c>
      <c r="O597" s="66"/>
      <c r="P597" s="71">
        <f t="shared" si="47"/>
        <v>0</v>
      </c>
      <c r="Q597" s="132"/>
      <c r="R597" s="71">
        <f t="shared" si="48"/>
        <v>148.70783487083332</v>
      </c>
    </row>
    <row r="598" spans="1:18">
      <c r="A598" s="102" t="s">
        <v>21</v>
      </c>
      <c r="B598" s="103" t="s">
        <v>953</v>
      </c>
      <c r="C598" s="103" t="s">
        <v>954</v>
      </c>
      <c r="D598" s="102" t="s">
        <v>955</v>
      </c>
      <c r="E598" s="103" t="s">
        <v>531</v>
      </c>
      <c r="F598" s="102" t="s">
        <v>26</v>
      </c>
      <c r="G598" s="103" t="s">
        <v>20</v>
      </c>
      <c r="I598" s="103">
        <v>201506</v>
      </c>
      <c r="J598" s="104">
        <v>-1.87</v>
      </c>
      <c r="K598" s="72">
        <f t="shared" si="49"/>
        <v>42675</v>
      </c>
      <c r="L598" s="67">
        <f t="shared" si="45"/>
        <v>6</v>
      </c>
      <c r="M598" s="105">
        <v>1.4833299999999999E-3</v>
      </c>
      <c r="N598" s="104">
        <f t="shared" si="46"/>
        <v>-1.6642962600000002E-2</v>
      </c>
      <c r="O598" s="66"/>
      <c r="P598" s="71">
        <f t="shared" si="47"/>
        <v>0</v>
      </c>
      <c r="Q598" s="132"/>
      <c r="R598" s="71">
        <f t="shared" si="48"/>
        <v>-2.8613727083333332E-2</v>
      </c>
    </row>
    <row r="599" spans="1:18">
      <c r="A599" s="102" t="s">
        <v>21</v>
      </c>
      <c r="B599" s="103" t="s">
        <v>1145</v>
      </c>
      <c r="C599" s="103" t="s">
        <v>1146</v>
      </c>
      <c r="D599" s="102" t="s">
        <v>1147</v>
      </c>
      <c r="E599" s="103" t="s">
        <v>962</v>
      </c>
      <c r="F599" s="102" t="s">
        <v>88</v>
      </c>
      <c r="G599" s="103" t="s">
        <v>20</v>
      </c>
      <c r="I599" s="103">
        <v>201506</v>
      </c>
      <c r="J599" s="104">
        <v>-462.33</v>
      </c>
      <c r="K599" s="72">
        <f t="shared" si="49"/>
        <v>42675</v>
      </c>
      <c r="L599" s="67">
        <f t="shared" si="45"/>
        <v>6</v>
      </c>
      <c r="M599" s="105">
        <v>1.4833299999999999E-3</v>
      </c>
      <c r="N599" s="104">
        <f t="shared" si="46"/>
        <v>-4.1147277533999995</v>
      </c>
      <c r="O599" s="66"/>
      <c r="P599" s="71">
        <f t="shared" si="47"/>
        <v>0</v>
      </c>
      <c r="Q599" s="132"/>
      <c r="R599" s="71">
        <f t="shared" si="48"/>
        <v>-7.0743232312499993</v>
      </c>
    </row>
    <row r="600" spans="1:18">
      <c r="A600" s="102" t="s">
        <v>21</v>
      </c>
      <c r="B600" s="103" t="s">
        <v>966</v>
      </c>
      <c r="C600" s="103" t="s">
        <v>967</v>
      </c>
      <c r="D600" s="102" t="s">
        <v>968</v>
      </c>
      <c r="E600" s="103" t="s">
        <v>209</v>
      </c>
      <c r="F600" s="102" t="s">
        <v>88</v>
      </c>
      <c r="G600" s="103" t="s">
        <v>20</v>
      </c>
      <c r="I600" s="103">
        <v>201506</v>
      </c>
      <c r="J600" s="104">
        <v>-6.33</v>
      </c>
      <c r="K600" s="72">
        <f t="shared" si="49"/>
        <v>42675</v>
      </c>
      <c r="L600" s="67">
        <f t="shared" si="45"/>
        <v>6</v>
      </c>
      <c r="M600" s="105">
        <v>1.4833299999999999E-3</v>
      </c>
      <c r="N600" s="104">
        <f t="shared" si="46"/>
        <v>-5.6336873400000001E-2</v>
      </c>
      <c r="O600" s="66"/>
      <c r="P600" s="71">
        <f t="shared" si="47"/>
        <v>0</v>
      </c>
      <c r="Q600" s="132"/>
      <c r="R600" s="71">
        <f t="shared" si="48"/>
        <v>-9.6858231249999996E-2</v>
      </c>
    </row>
    <row r="601" spans="1:18">
      <c r="A601" s="106" t="s">
        <v>21</v>
      </c>
      <c r="B601" s="103" t="s">
        <v>882</v>
      </c>
      <c r="C601" s="103" t="s">
        <v>883</v>
      </c>
      <c r="D601" s="102" t="s">
        <v>884</v>
      </c>
      <c r="E601" s="103" t="s">
        <v>87</v>
      </c>
      <c r="F601" s="102" t="s">
        <v>88</v>
      </c>
      <c r="G601" s="103" t="s">
        <v>20</v>
      </c>
      <c r="I601" s="103">
        <v>201506</v>
      </c>
      <c r="J601" s="104">
        <v>-6.77</v>
      </c>
      <c r="K601" s="72">
        <f t="shared" si="49"/>
        <v>42675</v>
      </c>
      <c r="L601" s="67">
        <f t="shared" si="45"/>
        <v>6</v>
      </c>
      <c r="M601" s="105">
        <v>1.4833299999999999E-3</v>
      </c>
      <c r="N601" s="104">
        <f t="shared" si="46"/>
        <v>-6.0252864599999997E-2</v>
      </c>
      <c r="O601" s="66"/>
      <c r="P601" s="71">
        <f t="shared" si="47"/>
        <v>0</v>
      </c>
      <c r="Q601" s="132"/>
      <c r="R601" s="71">
        <f t="shared" si="48"/>
        <v>-0.10359087291666666</v>
      </c>
    </row>
    <row r="602" spans="1:18" ht="15" customHeight="1">
      <c r="A602" s="102" t="s">
        <v>21</v>
      </c>
      <c r="B602" s="103" t="s">
        <v>1303</v>
      </c>
      <c r="C602" s="103" t="s">
        <v>1304</v>
      </c>
      <c r="D602" s="102" t="s">
        <v>1305</v>
      </c>
      <c r="E602" s="103" t="s">
        <v>18</v>
      </c>
      <c r="F602" s="102" t="s">
        <v>19</v>
      </c>
      <c r="G602" s="103" t="s">
        <v>20</v>
      </c>
      <c r="I602" s="103">
        <v>201506</v>
      </c>
      <c r="J602" s="104">
        <v>-92.15</v>
      </c>
      <c r="K602" s="72">
        <f t="shared" si="49"/>
        <v>42675</v>
      </c>
      <c r="L602" s="67">
        <f t="shared" si="45"/>
        <v>6</v>
      </c>
      <c r="M602" s="105">
        <v>1.4833299999999999E-3</v>
      </c>
      <c r="N602" s="104">
        <f t="shared" si="46"/>
        <v>-0.820133157</v>
      </c>
      <c r="O602" s="66"/>
      <c r="P602" s="71">
        <f t="shared" si="47"/>
        <v>0</v>
      </c>
      <c r="Q602" s="132"/>
      <c r="R602" s="71">
        <f t="shared" si="48"/>
        <v>-1.4100293854166666</v>
      </c>
    </row>
    <row r="603" spans="1:18" ht="15" customHeight="1">
      <c r="A603" s="102" t="s">
        <v>21</v>
      </c>
      <c r="B603" s="103" t="s">
        <v>1097</v>
      </c>
      <c r="C603" s="103" t="s">
        <v>1098</v>
      </c>
      <c r="D603" s="102" t="s">
        <v>1099</v>
      </c>
      <c r="E603" s="103" t="s">
        <v>452</v>
      </c>
      <c r="F603" s="102" t="s">
        <v>398</v>
      </c>
      <c r="G603" s="103" t="s">
        <v>20</v>
      </c>
      <c r="I603" s="103">
        <v>201506</v>
      </c>
      <c r="J603" s="104">
        <v>-8.31</v>
      </c>
      <c r="K603" s="72">
        <f t="shared" si="49"/>
        <v>42675</v>
      </c>
      <c r="L603" s="67">
        <f t="shared" si="45"/>
        <v>6</v>
      </c>
      <c r="M603" s="105">
        <v>1.4833299999999999E-3</v>
      </c>
      <c r="N603" s="104">
        <f t="shared" si="46"/>
        <v>-7.3958833799999998E-2</v>
      </c>
      <c r="O603" s="66"/>
      <c r="P603" s="71">
        <f t="shared" si="47"/>
        <v>0</v>
      </c>
      <c r="Q603" s="132"/>
      <c r="R603" s="71">
        <f t="shared" si="48"/>
        <v>-0.12715511874999999</v>
      </c>
    </row>
    <row r="604" spans="1:18" ht="15" customHeight="1">
      <c r="A604" s="102" t="s">
        <v>21</v>
      </c>
      <c r="B604" s="103" t="s">
        <v>1100</v>
      </c>
      <c r="C604" s="103" t="s">
        <v>1101</v>
      </c>
      <c r="D604" s="102" t="s">
        <v>1102</v>
      </c>
      <c r="E604" s="103" t="s">
        <v>397</v>
      </c>
      <c r="F604" s="102" t="s">
        <v>398</v>
      </c>
      <c r="G604" s="103" t="s">
        <v>20</v>
      </c>
      <c r="I604" s="103">
        <v>201506</v>
      </c>
      <c r="J604" s="104">
        <v>-236.46</v>
      </c>
      <c r="K604" s="72">
        <f t="shared" si="49"/>
        <v>42675</v>
      </c>
      <c r="L604" s="67">
        <f t="shared" si="45"/>
        <v>6</v>
      </c>
      <c r="M604" s="105">
        <v>1.4833299999999999E-3</v>
      </c>
      <c r="N604" s="104">
        <f t="shared" si="46"/>
        <v>-2.1044892708000003</v>
      </c>
      <c r="O604" s="66"/>
      <c r="P604" s="71">
        <f t="shared" si="47"/>
        <v>0</v>
      </c>
      <c r="Q604" s="132"/>
      <c r="R604" s="71">
        <f t="shared" si="48"/>
        <v>-3.6181828374999996</v>
      </c>
    </row>
    <row r="605" spans="1:18" ht="15" customHeight="1">
      <c r="A605" s="106" t="s">
        <v>21</v>
      </c>
      <c r="B605" s="103" t="s">
        <v>894</v>
      </c>
      <c r="C605" s="103" t="s">
        <v>895</v>
      </c>
      <c r="D605" s="102" t="s">
        <v>896</v>
      </c>
      <c r="E605" s="103" t="s">
        <v>280</v>
      </c>
      <c r="F605" s="102" t="s">
        <v>26</v>
      </c>
      <c r="G605" s="103" t="s">
        <v>20</v>
      </c>
      <c r="I605" s="103">
        <v>201506</v>
      </c>
      <c r="J605" s="104">
        <v>-3.34</v>
      </c>
      <c r="K605" s="72">
        <f t="shared" si="49"/>
        <v>42675</v>
      </c>
      <c r="L605" s="67">
        <f t="shared" si="45"/>
        <v>6</v>
      </c>
      <c r="M605" s="105">
        <v>1.4833299999999999E-3</v>
      </c>
      <c r="N605" s="104">
        <f t="shared" si="46"/>
        <v>-2.9725933199999999E-2</v>
      </c>
      <c r="O605" s="66"/>
      <c r="P605" s="71">
        <f t="shared" si="47"/>
        <v>0</v>
      </c>
      <c r="Q605" s="132"/>
      <c r="R605" s="71">
        <f t="shared" si="48"/>
        <v>-5.1106870833333325E-2</v>
      </c>
    </row>
    <row r="606" spans="1:18" ht="15" customHeight="1">
      <c r="A606" s="106" t="s">
        <v>21</v>
      </c>
      <c r="B606" s="103" t="s">
        <v>1259</v>
      </c>
      <c r="C606" s="103" t="s">
        <v>1260</v>
      </c>
      <c r="D606" s="102" t="s">
        <v>1261</v>
      </c>
      <c r="E606" s="103" t="s">
        <v>756</v>
      </c>
      <c r="F606" s="102" t="s">
        <v>757</v>
      </c>
      <c r="G606" s="103" t="s">
        <v>20</v>
      </c>
      <c r="I606" s="103">
        <v>201506</v>
      </c>
      <c r="J606" s="104">
        <v>-174.01</v>
      </c>
      <c r="K606" s="72">
        <f t="shared" si="49"/>
        <v>42675</v>
      </c>
      <c r="L606" s="67">
        <f t="shared" si="45"/>
        <v>6</v>
      </c>
      <c r="M606" s="105">
        <v>1.4833299999999999E-3</v>
      </c>
      <c r="N606" s="104">
        <f t="shared" si="46"/>
        <v>-1.5486855198</v>
      </c>
      <c r="O606" s="66"/>
      <c r="P606" s="71">
        <f t="shared" si="47"/>
        <v>0</v>
      </c>
      <c r="Q606" s="132"/>
      <c r="R606" s="71">
        <f t="shared" si="48"/>
        <v>-2.6626067645833329</v>
      </c>
    </row>
    <row r="607" spans="1:18" ht="15" customHeight="1">
      <c r="A607" s="102" t="s">
        <v>21</v>
      </c>
      <c r="B607" s="103" t="s">
        <v>1306</v>
      </c>
      <c r="C607" s="103" t="s">
        <v>1307</v>
      </c>
      <c r="D607" s="102" t="s">
        <v>1308</v>
      </c>
      <c r="E607" s="103" t="s">
        <v>18</v>
      </c>
      <c r="F607" s="102" t="s">
        <v>19</v>
      </c>
      <c r="G607" s="103" t="s">
        <v>20</v>
      </c>
      <c r="I607" s="103">
        <v>201506</v>
      </c>
      <c r="J607" s="104">
        <v>-119.6</v>
      </c>
      <c r="K607" s="72">
        <f t="shared" si="49"/>
        <v>42675</v>
      </c>
      <c r="L607" s="67">
        <f t="shared" si="45"/>
        <v>6</v>
      </c>
      <c r="M607" s="105">
        <v>1.4833299999999999E-3</v>
      </c>
      <c r="N607" s="104">
        <f t="shared" si="46"/>
        <v>-1.064437608</v>
      </c>
      <c r="O607" s="66"/>
      <c r="P607" s="71">
        <f t="shared" si="47"/>
        <v>0</v>
      </c>
      <c r="Q607" s="132"/>
      <c r="R607" s="71">
        <f t="shared" si="48"/>
        <v>-1.8300544166666664</v>
      </c>
    </row>
    <row r="608" spans="1:18" ht="15" customHeight="1">
      <c r="A608" s="102" t="s">
        <v>21</v>
      </c>
      <c r="B608" s="103" t="s">
        <v>1262</v>
      </c>
      <c r="C608" s="103" t="s">
        <v>1263</v>
      </c>
      <c r="D608" s="102" t="s">
        <v>1264</v>
      </c>
      <c r="E608" s="103" t="s">
        <v>172</v>
      </c>
      <c r="F608" s="102" t="s">
        <v>173</v>
      </c>
      <c r="G608" s="103" t="s">
        <v>20</v>
      </c>
      <c r="I608" s="103">
        <v>201506</v>
      </c>
      <c r="J608" s="104">
        <v>3248.33</v>
      </c>
      <c r="K608" s="72">
        <f t="shared" si="49"/>
        <v>42675</v>
      </c>
      <c r="L608" s="67">
        <f t="shared" si="45"/>
        <v>6</v>
      </c>
      <c r="M608" s="105">
        <v>1.4833299999999999E-3</v>
      </c>
      <c r="N608" s="104">
        <f t="shared" si="46"/>
        <v>28.910072033399999</v>
      </c>
      <c r="O608" s="66"/>
      <c r="P608" s="71">
        <f t="shared" si="47"/>
        <v>0</v>
      </c>
      <c r="Q608" s="132"/>
      <c r="R608" s="71">
        <f t="shared" si="48"/>
        <v>49.704186147916658</v>
      </c>
    </row>
    <row r="609" spans="1:18" ht="15" customHeight="1">
      <c r="A609" s="102" t="s">
        <v>21</v>
      </c>
      <c r="B609" s="103" t="s">
        <v>1151</v>
      </c>
      <c r="C609" s="103" t="s">
        <v>1152</v>
      </c>
      <c r="D609" s="102" t="s">
        <v>1153</v>
      </c>
      <c r="E609" s="103" t="s">
        <v>70</v>
      </c>
      <c r="F609" s="102" t="s">
        <v>71</v>
      </c>
      <c r="G609" s="103" t="s">
        <v>20</v>
      </c>
      <c r="I609" s="103">
        <v>201506</v>
      </c>
      <c r="J609" s="104">
        <v>-266.5</v>
      </c>
      <c r="K609" s="72">
        <f t="shared" si="49"/>
        <v>42675</v>
      </c>
      <c r="L609" s="67">
        <f t="shared" si="45"/>
        <v>6</v>
      </c>
      <c r="M609" s="105">
        <v>1.4833299999999999E-3</v>
      </c>
      <c r="N609" s="104">
        <f t="shared" si="46"/>
        <v>-2.3718446700000002</v>
      </c>
      <c r="O609" s="66"/>
      <c r="P609" s="71">
        <f t="shared" si="47"/>
        <v>0</v>
      </c>
      <c r="Q609" s="132"/>
      <c r="R609" s="71">
        <f t="shared" si="48"/>
        <v>-4.0778386458333324</v>
      </c>
    </row>
    <row r="610" spans="1:18" ht="15" customHeight="1">
      <c r="A610" s="102" t="s">
        <v>21</v>
      </c>
      <c r="B610" s="103" t="s">
        <v>1265</v>
      </c>
      <c r="C610" s="103" t="s">
        <v>1266</v>
      </c>
      <c r="D610" s="102" t="s">
        <v>1267</v>
      </c>
      <c r="E610" s="103" t="s">
        <v>172</v>
      </c>
      <c r="F610" s="102" t="s">
        <v>173</v>
      </c>
      <c r="G610" s="103" t="s">
        <v>20</v>
      </c>
      <c r="I610" s="103">
        <v>201506</v>
      </c>
      <c r="J610" s="104">
        <v>-209.88</v>
      </c>
      <c r="K610" s="72">
        <f t="shared" si="49"/>
        <v>42675</v>
      </c>
      <c r="L610" s="67">
        <f t="shared" si="45"/>
        <v>6</v>
      </c>
      <c r="M610" s="105">
        <v>1.4833299999999999E-3</v>
      </c>
      <c r="N610" s="104">
        <f t="shared" si="46"/>
        <v>-1.8679278023999999</v>
      </c>
      <c r="O610" s="66"/>
      <c r="P610" s="71">
        <f t="shared" si="47"/>
        <v>0</v>
      </c>
      <c r="Q610" s="132"/>
      <c r="R610" s="71">
        <f t="shared" si="48"/>
        <v>-3.2114700749999998</v>
      </c>
    </row>
    <row r="611" spans="1:18" ht="15" customHeight="1">
      <c r="A611" s="102" t="s">
        <v>21</v>
      </c>
      <c r="B611" s="103" t="s">
        <v>1154</v>
      </c>
      <c r="C611" s="103" t="s">
        <v>1155</v>
      </c>
      <c r="D611" s="102" t="s">
        <v>1156</v>
      </c>
      <c r="E611" s="103" t="s">
        <v>397</v>
      </c>
      <c r="F611" s="102" t="s">
        <v>398</v>
      </c>
      <c r="G611" s="103" t="s">
        <v>20</v>
      </c>
      <c r="I611" s="103">
        <v>201506</v>
      </c>
      <c r="J611" s="104">
        <v>-864.42</v>
      </c>
      <c r="K611" s="72">
        <f t="shared" si="49"/>
        <v>42675</v>
      </c>
      <c r="L611" s="67">
        <f t="shared" si="45"/>
        <v>6</v>
      </c>
      <c r="M611" s="105">
        <v>1.4833299999999999E-3</v>
      </c>
      <c r="N611" s="104">
        <f t="shared" si="46"/>
        <v>-7.6933207115999993</v>
      </c>
      <c r="O611" s="66"/>
      <c r="P611" s="71">
        <f t="shared" si="47"/>
        <v>0</v>
      </c>
      <c r="Q611" s="132"/>
      <c r="R611" s="71">
        <f t="shared" si="48"/>
        <v>-13.226886612499998</v>
      </c>
    </row>
    <row r="612" spans="1:18" ht="15" customHeight="1">
      <c r="A612" s="102" t="s">
        <v>21</v>
      </c>
      <c r="B612" s="103" t="s">
        <v>1221</v>
      </c>
      <c r="C612" s="103" t="s">
        <v>1222</v>
      </c>
      <c r="D612" s="102" t="s">
        <v>1223</v>
      </c>
      <c r="E612" s="103" t="s">
        <v>360</v>
      </c>
      <c r="F612" s="102" t="s">
        <v>19</v>
      </c>
      <c r="G612" s="103" t="s">
        <v>20</v>
      </c>
      <c r="I612" s="103">
        <v>201506</v>
      </c>
      <c r="J612" s="104">
        <v>-257.7</v>
      </c>
      <c r="K612" s="72">
        <f t="shared" si="49"/>
        <v>42675</v>
      </c>
      <c r="L612" s="67">
        <f t="shared" si="45"/>
        <v>6</v>
      </c>
      <c r="M612" s="105">
        <v>1.4833299999999999E-3</v>
      </c>
      <c r="N612" s="104">
        <f t="shared" si="46"/>
        <v>-2.293524846</v>
      </c>
      <c r="O612" s="66"/>
      <c r="P612" s="71">
        <f t="shared" si="47"/>
        <v>0</v>
      </c>
      <c r="Q612" s="132"/>
      <c r="R612" s="71">
        <f t="shared" si="48"/>
        <v>-3.9431858124999999</v>
      </c>
    </row>
    <row r="613" spans="1:18" ht="15" customHeight="1">
      <c r="A613" s="102" t="s">
        <v>21</v>
      </c>
      <c r="B613" s="103" t="s">
        <v>1309</v>
      </c>
      <c r="C613" s="103" t="s">
        <v>1310</v>
      </c>
      <c r="D613" s="102" t="s">
        <v>1311</v>
      </c>
      <c r="E613" s="103" t="s">
        <v>79</v>
      </c>
      <c r="F613" s="102" t="s">
        <v>26</v>
      </c>
      <c r="G613" s="103" t="s">
        <v>20</v>
      </c>
      <c r="I613" s="103">
        <v>201506</v>
      </c>
      <c r="J613" s="104">
        <v>-1214.45</v>
      </c>
      <c r="K613" s="72">
        <f t="shared" si="49"/>
        <v>42675</v>
      </c>
      <c r="L613" s="67">
        <f t="shared" si="45"/>
        <v>6</v>
      </c>
      <c r="M613" s="105">
        <v>1.4833299999999999E-3</v>
      </c>
      <c r="N613" s="104">
        <f t="shared" si="46"/>
        <v>-10.808580711000001</v>
      </c>
      <c r="O613" s="66"/>
      <c r="P613" s="71">
        <f t="shared" si="47"/>
        <v>0</v>
      </c>
      <c r="Q613" s="132"/>
      <c r="R613" s="71">
        <f t="shared" si="48"/>
        <v>-18.582856072916666</v>
      </c>
    </row>
    <row r="614" spans="1:18" ht="15" customHeight="1">
      <c r="A614" s="102" t="s">
        <v>21</v>
      </c>
      <c r="B614" s="103" t="s">
        <v>1230</v>
      </c>
      <c r="C614" s="103" t="s">
        <v>1231</v>
      </c>
      <c r="D614" s="102" t="s">
        <v>1232</v>
      </c>
      <c r="E614" s="103" t="s">
        <v>63</v>
      </c>
      <c r="F614" s="102" t="s">
        <v>19</v>
      </c>
      <c r="G614" s="103" t="s">
        <v>20</v>
      </c>
      <c r="I614" s="103">
        <v>201506</v>
      </c>
      <c r="J614" s="104">
        <v>-59.37</v>
      </c>
      <c r="K614" s="72">
        <f t="shared" si="49"/>
        <v>42675</v>
      </c>
      <c r="L614" s="67">
        <f t="shared" si="45"/>
        <v>6</v>
      </c>
      <c r="M614" s="105">
        <v>1.4833299999999999E-3</v>
      </c>
      <c r="N614" s="104">
        <f t="shared" si="46"/>
        <v>-0.52839181260000001</v>
      </c>
      <c r="O614" s="66"/>
      <c r="P614" s="71">
        <f t="shared" si="47"/>
        <v>0</v>
      </c>
      <c r="Q614" s="132"/>
      <c r="R614" s="71">
        <f t="shared" si="48"/>
        <v>-0.9084475812499998</v>
      </c>
    </row>
    <row r="615" spans="1:18" ht="15" customHeight="1">
      <c r="A615" s="102" t="s">
        <v>21</v>
      </c>
      <c r="B615" s="103" t="s">
        <v>1233</v>
      </c>
      <c r="C615" s="103" t="s">
        <v>1234</v>
      </c>
      <c r="D615" s="102" t="s">
        <v>1235</v>
      </c>
      <c r="E615" s="103" t="s">
        <v>172</v>
      </c>
      <c r="F615" s="102" t="s">
        <v>173</v>
      </c>
      <c r="G615" s="103" t="s">
        <v>20</v>
      </c>
      <c r="I615" s="103">
        <v>201506</v>
      </c>
      <c r="J615" s="104">
        <v>-90.93</v>
      </c>
      <c r="K615" s="72">
        <f t="shared" si="49"/>
        <v>42675</v>
      </c>
      <c r="L615" s="67">
        <f t="shared" si="45"/>
        <v>6</v>
      </c>
      <c r="M615" s="105">
        <v>1.4833299999999999E-3</v>
      </c>
      <c r="N615" s="104">
        <f t="shared" si="46"/>
        <v>-0.8092751814000001</v>
      </c>
      <c r="O615" s="66"/>
      <c r="P615" s="71">
        <f t="shared" si="47"/>
        <v>0</v>
      </c>
      <c r="Q615" s="132"/>
      <c r="R615" s="71">
        <f t="shared" si="48"/>
        <v>-1.39136160625</v>
      </c>
    </row>
    <row r="616" spans="1:18" ht="15" customHeight="1">
      <c r="A616" s="102" t="s">
        <v>21</v>
      </c>
      <c r="B616" s="103" t="s">
        <v>1354</v>
      </c>
      <c r="C616" s="103" t="s">
        <v>1355</v>
      </c>
      <c r="D616" s="102" t="s">
        <v>1356</v>
      </c>
      <c r="E616" s="103" t="s">
        <v>75</v>
      </c>
      <c r="F616" s="102" t="s">
        <v>26</v>
      </c>
      <c r="G616" s="103" t="s">
        <v>20</v>
      </c>
      <c r="I616" s="103">
        <v>201506</v>
      </c>
      <c r="J616" s="104">
        <v>-296.98</v>
      </c>
      <c r="K616" s="72">
        <f t="shared" si="49"/>
        <v>42675</v>
      </c>
      <c r="L616" s="67">
        <f t="shared" si="45"/>
        <v>6</v>
      </c>
      <c r="M616" s="105">
        <v>1.4833299999999999E-3</v>
      </c>
      <c r="N616" s="104">
        <f t="shared" si="46"/>
        <v>-2.6431160604000001</v>
      </c>
      <c r="O616" s="66"/>
      <c r="P616" s="71">
        <f t="shared" si="47"/>
        <v>0</v>
      </c>
      <c r="Q616" s="132"/>
      <c r="R616" s="71">
        <f t="shared" si="48"/>
        <v>-4.5442270958333326</v>
      </c>
    </row>
    <row r="617" spans="1:18" ht="15" customHeight="1">
      <c r="A617" s="102" t="s">
        <v>21</v>
      </c>
      <c r="B617" s="103" t="s">
        <v>1464</v>
      </c>
      <c r="C617" s="103" t="s">
        <v>1465</v>
      </c>
      <c r="D617" s="102" t="s">
        <v>1466</v>
      </c>
      <c r="E617" s="103" t="s">
        <v>360</v>
      </c>
      <c r="F617" s="102" t="s">
        <v>19</v>
      </c>
      <c r="G617" s="103" t="s">
        <v>20</v>
      </c>
      <c r="I617" s="103">
        <v>201506</v>
      </c>
      <c r="J617" s="104">
        <v>17153.78</v>
      </c>
      <c r="K617" s="72">
        <f t="shared" si="49"/>
        <v>42675</v>
      </c>
      <c r="L617" s="67">
        <f t="shared" si="45"/>
        <v>6</v>
      </c>
      <c r="M617" s="105">
        <v>1.4833299999999999E-3</v>
      </c>
      <c r="N617" s="104">
        <f t="shared" si="46"/>
        <v>152.66829892439998</v>
      </c>
      <c r="O617" s="66"/>
      <c r="P617" s="71">
        <f t="shared" si="47"/>
        <v>0</v>
      </c>
      <c r="Q617" s="132"/>
      <c r="R617" s="71">
        <f t="shared" si="48"/>
        <v>262.47784992916661</v>
      </c>
    </row>
    <row r="618" spans="1:18" ht="15" customHeight="1">
      <c r="A618" s="102" t="s">
        <v>21</v>
      </c>
      <c r="B618" s="103" t="s">
        <v>1467</v>
      </c>
      <c r="C618" s="103" t="s">
        <v>1468</v>
      </c>
      <c r="D618" s="102" t="s">
        <v>1469</v>
      </c>
      <c r="E618" s="103" t="s">
        <v>209</v>
      </c>
      <c r="F618" s="102" t="s">
        <v>88</v>
      </c>
      <c r="G618" s="103" t="s">
        <v>20</v>
      </c>
      <c r="I618" s="103">
        <v>201506</v>
      </c>
      <c r="J618" s="104">
        <v>9529.39</v>
      </c>
      <c r="K618" s="72">
        <f t="shared" si="49"/>
        <v>42675</v>
      </c>
      <c r="L618" s="67">
        <f t="shared" si="45"/>
        <v>6</v>
      </c>
      <c r="M618" s="105">
        <v>1.4833299999999999E-3</v>
      </c>
      <c r="N618" s="104">
        <f t="shared" si="46"/>
        <v>84.811380412199995</v>
      </c>
      <c r="O618" s="66"/>
      <c r="P618" s="71">
        <f t="shared" si="47"/>
        <v>0</v>
      </c>
      <c r="Q618" s="132"/>
      <c r="R618" s="71">
        <f t="shared" si="48"/>
        <v>145.81356402708332</v>
      </c>
    </row>
    <row r="619" spans="1:18" ht="15" customHeight="1">
      <c r="A619" s="102" t="s">
        <v>21</v>
      </c>
      <c r="B619" s="103" t="s">
        <v>1395</v>
      </c>
      <c r="C619" s="103" t="s">
        <v>1396</v>
      </c>
      <c r="D619" s="102" t="s">
        <v>1397</v>
      </c>
      <c r="E619" s="103" t="s">
        <v>360</v>
      </c>
      <c r="F619" s="102" t="s">
        <v>19</v>
      </c>
      <c r="G619" s="103" t="s">
        <v>20</v>
      </c>
      <c r="I619" s="103">
        <v>201506</v>
      </c>
      <c r="J619" s="104">
        <v>-131</v>
      </c>
      <c r="K619" s="72">
        <f t="shared" si="49"/>
        <v>42675</v>
      </c>
      <c r="L619" s="67">
        <f t="shared" si="45"/>
        <v>6</v>
      </c>
      <c r="M619" s="105">
        <v>1.4833299999999999E-3</v>
      </c>
      <c r="N619" s="104">
        <f t="shared" si="46"/>
        <v>-1.1658973800000001</v>
      </c>
      <c r="O619" s="66"/>
      <c r="P619" s="71">
        <f t="shared" si="47"/>
        <v>0</v>
      </c>
      <c r="Q619" s="132"/>
      <c r="R619" s="71">
        <f t="shared" si="48"/>
        <v>-2.0044910416666664</v>
      </c>
    </row>
    <row r="620" spans="1:18">
      <c r="A620" s="102" t="s">
        <v>21</v>
      </c>
      <c r="B620" s="103" t="s">
        <v>1398</v>
      </c>
      <c r="C620" s="103" t="s">
        <v>1399</v>
      </c>
      <c r="D620" s="102" t="s">
        <v>1223</v>
      </c>
      <c r="E620" s="103" t="s">
        <v>360</v>
      </c>
      <c r="F620" s="102" t="s">
        <v>19</v>
      </c>
      <c r="G620" s="103" t="s">
        <v>20</v>
      </c>
      <c r="I620" s="103">
        <v>201506</v>
      </c>
      <c r="J620" s="104">
        <v>-10.31</v>
      </c>
      <c r="K620" s="72">
        <f t="shared" si="49"/>
        <v>42675</v>
      </c>
      <c r="L620" s="67">
        <f t="shared" si="45"/>
        <v>6</v>
      </c>
      <c r="M620" s="105">
        <v>1.4833299999999999E-3</v>
      </c>
      <c r="N620" s="104">
        <f t="shared" si="46"/>
        <v>-9.1758793800000002E-2</v>
      </c>
      <c r="O620" s="66"/>
      <c r="P620" s="71">
        <f t="shared" si="47"/>
        <v>0</v>
      </c>
      <c r="Q620" s="132"/>
      <c r="R620" s="71">
        <f t="shared" si="48"/>
        <v>-0.15775803541666666</v>
      </c>
    </row>
    <row r="621" spans="1:18">
      <c r="A621" s="102" t="s">
        <v>21</v>
      </c>
      <c r="B621" s="103" t="s">
        <v>1400</v>
      </c>
      <c r="C621" s="103" t="s">
        <v>1401</v>
      </c>
      <c r="D621" s="102" t="s">
        <v>1402</v>
      </c>
      <c r="E621" s="103" t="s">
        <v>360</v>
      </c>
      <c r="F621" s="102" t="s">
        <v>19</v>
      </c>
      <c r="G621" s="103" t="s">
        <v>20</v>
      </c>
      <c r="I621" s="103">
        <v>201506</v>
      </c>
      <c r="J621" s="104">
        <v>-99.66</v>
      </c>
      <c r="K621" s="72">
        <f t="shared" si="49"/>
        <v>42675</v>
      </c>
      <c r="L621" s="67">
        <f t="shared" si="45"/>
        <v>6</v>
      </c>
      <c r="M621" s="105">
        <v>1.4833299999999999E-3</v>
      </c>
      <c r="N621" s="104">
        <f t="shared" si="46"/>
        <v>-0.88697200679999999</v>
      </c>
      <c r="O621" s="66"/>
      <c r="P621" s="71">
        <f t="shared" si="47"/>
        <v>0</v>
      </c>
      <c r="Q621" s="132"/>
      <c r="R621" s="71">
        <f t="shared" si="48"/>
        <v>-1.5249433374999999</v>
      </c>
    </row>
    <row r="622" spans="1:18">
      <c r="A622" s="102" t="s">
        <v>21</v>
      </c>
      <c r="B622" s="103" t="s">
        <v>1403</v>
      </c>
      <c r="C622" s="103" t="s">
        <v>1404</v>
      </c>
      <c r="D622" s="102" t="s">
        <v>1223</v>
      </c>
      <c r="E622" s="103" t="s">
        <v>360</v>
      </c>
      <c r="F622" s="102" t="s">
        <v>19</v>
      </c>
      <c r="G622" s="103" t="s">
        <v>20</v>
      </c>
      <c r="I622" s="103">
        <v>201506</v>
      </c>
      <c r="J622" s="104">
        <v>-91.06</v>
      </c>
      <c r="K622" s="72">
        <f t="shared" si="49"/>
        <v>42675</v>
      </c>
      <c r="L622" s="67">
        <f t="shared" si="45"/>
        <v>6</v>
      </c>
      <c r="M622" s="105">
        <v>1.4833299999999999E-3</v>
      </c>
      <c r="N622" s="104">
        <f t="shared" si="46"/>
        <v>-0.81043217880000007</v>
      </c>
      <c r="O622" s="66"/>
      <c r="P622" s="71">
        <f t="shared" si="47"/>
        <v>0</v>
      </c>
      <c r="Q622" s="132"/>
      <c r="R622" s="71">
        <f t="shared" si="48"/>
        <v>-1.3933507958333331</v>
      </c>
    </row>
    <row r="623" spans="1:18">
      <c r="A623" s="102" t="s">
        <v>21</v>
      </c>
      <c r="B623" s="103" t="s">
        <v>1470</v>
      </c>
      <c r="C623" s="103" t="s">
        <v>1471</v>
      </c>
      <c r="D623" s="102" t="s">
        <v>1472</v>
      </c>
      <c r="E623" s="103" t="s">
        <v>497</v>
      </c>
      <c r="F623" s="102" t="s">
        <v>26</v>
      </c>
      <c r="G623" s="103" t="s">
        <v>20</v>
      </c>
      <c r="I623" s="103">
        <v>201506</v>
      </c>
      <c r="J623" s="104">
        <v>4835.78</v>
      </c>
      <c r="K623" s="72">
        <f t="shared" si="49"/>
        <v>42675</v>
      </c>
      <c r="L623" s="67">
        <f t="shared" si="45"/>
        <v>6</v>
      </c>
      <c r="M623" s="105">
        <v>1.4833299999999999E-3</v>
      </c>
      <c r="N623" s="104">
        <f t="shared" si="46"/>
        <v>43.038345284399995</v>
      </c>
      <c r="O623" s="66"/>
      <c r="P623" s="71">
        <f t="shared" si="47"/>
        <v>0</v>
      </c>
      <c r="Q623" s="132"/>
      <c r="R623" s="71">
        <f t="shared" si="48"/>
        <v>73.994486179166643</v>
      </c>
    </row>
    <row r="624" spans="1:18">
      <c r="A624" s="102" t="s">
        <v>21</v>
      </c>
      <c r="B624" s="103" t="s">
        <v>1405</v>
      </c>
      <c r="C624" s="103" t="s">
        <v>1406</v>
      </c>
      <c r="D624" s="102" t="s">
        <v>1407</v>
      </c>
      <c r="E624" s="103" t="s">
        <v>360</v>
      </c>
      <c r="F624" s="102" t="s">
        <v>19</v>
      </c>
      <c r="G624" s="103" t="s">
        <v>20</v>
      </c>
      <c r="I624" s="103">
        <v>201506</v>
      </c>
      <c r="J624" s="104">
        <v>-91.07</v>
      </c>
      <c r="K624" s="72">
        <f t="shared" si="49"/>
        <v>42675</v>
      </c>
      <c r="L624" s="67">
        <f t="shared" si="45"/>
        <v>6</v>
      </c>
      <c r="M624" s="105">
        <v>1.4833299999999999E-3</v>
      </c>
      <c r="N624" s="104">
        <f t="shared" si="46"/>
        <v>-0.81052117859999995</v>
      </c>
      <c r="O624" s="66"/>
      <c r="P624" s="71">
        <f t="shared" si="47"/>
        <v>0</v>
      </c>
      <c r="Q624" s="132"/>
      <c r="R624" s="71">
        <f t="shared" si="48"/>
        <v>-1.3935038104166664</v>
      </c>
    </row>
    <row r="625" spans="1:18">
      <c r="A625" s="102" t="s">
        <v>133</v>
      </c>
      <c r="B625" s="103" t="s">
        <v>1312</v>
      </c>
      <c r="C625" s="103" t="s">
        <v>1313</v>
      </c>
      <c r="D625" s="102" t="s">
        <v>1314</v>
      </c>
      <c r="E625" s="103" t="s">
        <v>137</v>
      </c>
      <c r="F625" s="102" t="s">
        <v>138</v>
      </c>
      <c r="G625" s="103" t="s">
        <v>20</v>
      </c>
      <c r="I625" s="103">
        <v>201506</v>
      </c>
      <c r="J625" s="104">
        <v>-1441.79</v>
      </c>
      <c r="K625" s="72">
        <f t="shared" si="49"/>
        <v>42675</v>
      </c>
      <c r="L625" s="67">
        <f t="shared" si="45"/>
        <v>6</v>
      </c>
      <c r="M625" s="105">
        <v>1.4833299999999999E-3</v>
      </c>
      <c r="N625" s="104">
        <f t="shared" si="46"/>
        <v>-12.831902164200001</v>
      </c>
      <c r="O625" s="66"/>
      <c r="P625" s="71">
        <f t="shared" si="47"/>
        <v>0</v>
      </c>
      <c r="Q625" s="132"/>
      <c r="R625" s="71">
        <f t="shared" si="48"/>
        <v>-22.061489610416665</v>
      </c>
    </row>
    <row r="626" spans="1:18">
      <c r="A626" s="102" t="s">
        <v>554</v>
      </c>
      <c r="B626" s="103" t="s">
        <v>116</v>
      </c>
      <c r="C626" s="103" t="s">
        <v>117</v>
      </c>
      <c r="D626" s="102" t="s">
        <v>118</v>
      </c>
      <c r="E626" s="103" t="s">
        <v>119</v>
      </c>
      <c r="F626" s="102" t="s">
        <v>120</v>
      </c>
      <c r="G626" s="103" t="s">
        <v>20</v>
      </c>
      <c r="I626" s="103">
        <v>201506</v>
      </c>
      <c r="J626" s="104">
        <v>98611.39</v>
      </c>
      <c r="K626" s="72">
        <f t="shared" si="49"/>
        <v>42675</v>
      </c>
      <c r="L626" s="67">
        <f t="shared" si="45"/>
        <v>6</v>
      </c>
      <c r="M626" s="105">
        <v>1.4833299999999999E-3</v>
      </c>
      <c r="N626" s="104">
        <f t="shared" si="46"/>
        <v>877.63939877220002</v>
      </c>
      <c r="O626" s="66"/>
      <c r="P626" s="71">
        <f t="shared" si="47"/>
        <v>0</v>
      </c>
      <c r="Q626" s="132"/>
      <c r="R626" s="71">
        <f t="shared" si="48"/>
        <v>1508.8980752770831</v>
      </c>
    </row>
    <row r="627" spans="1:18">
      <c r="A627" s="102" t="s">
        <v>554</v>
      </c>
      <c r="B627" s="103" t="s">
        <v>1408</v>
      </c>
      <c r="C627" s="103" t="s">
        <v>1409</v>
      </c>
      <c r="D627" s="102" t="s">
        <v>1335</v>
      </c>
      <c r="E627" s="103" t="s">
        <v>164</v>
      </c>
      <c r="F627" s="102" t="s">
        <v>165</v>
      </c>
      <c r="G627" s="103" t="s">
        <v>20</v>
      </c>
      <c r="I627" s="103">
        <v>201506</v>
      </c>
      <c r="J627" s="104">
        <v>8401.93</v>
      </c>
      <c r="K627" s="72">
        <f t="shared" si="49"/>
        <v>42675</v>
      </c>
      <c r="L627" s="67">
        <f t="shared" si="45"/>
        <v>6</v>
      </c>
      <c r="M627" s="105">
        <v>1.4833299999999999E-3</v>
      </c>
      <c r="N627" s="104">
        <f t="shared" si="46"/>
        <v>74.7770089614</v>
      </c>
      <c r="O627" s="66"/>
      <c r="P627" s="71">
        <f t="shared" si="47"/>
        <v>0</v>
      </c>
      <c r="Q627" s="132"/>
      <c r="R627" s="71">
        <f t="shared" si="48"/>
        <v>128.56178181458333</v>
      </c>
    </row>
    <row r="628" spans="1:18">
      <c r="A628" s="102" t="s">
        <v>626</v>
      </c>
      <c r="B628" s="103" t="s">
        <v>930</v>
      </c>
      <c r="C628" s="103" t="s">
        <v>931</v>
      </c>
      <c r="D628" s="102" t="s">
        <v>932</v>
      </c>
      <c r="E628" s="103" t="s">
        <v>93</v>
      </c>
      <c r="F628" s="102" t="s">
        <v>88</v>
      </c>
      <c r="G628" s="103" t="s">
        <v>20</v>
      </c>
      <c r="I628" s="103">
        <v>201506</v>
      </c>
      <c r="J628" s="104">
        <v>2491.71</v>
      </c>
      <c r="K628" s="72">
        <f t="shared" si="49"/>
        <v>42675</v>
      </c>
      <c r="L628" s="67">
        <f t="shared" si="45"/>
        <v>6</v>
      </c>
      <c r="M628" s="105">
        <v>1.4833299999999999E-3</v>
      </c>
      <c r="N628" s="104">
        <f t="shared" si="46"/>
        <v>22.176169165800001</v>
      </c>
      <c r="O628" s="66"/>
      <c r="P628" s="71">
        <f t="shared" si="47"/>
        <v>0</v>
      </c>
      <c r="Q628" s="132"/>
      <c r="R628" s="71">
        <f t="shared" si="48"/>
        <v>38.126796743749999</v>
      </c>
    </row>
    <row r="629" spans="1:18">
      <c r="A629" s="102" t="s">
        <v>626</v>
      </c>
      <c r="B629" s="103" t="s">
        <v>1063</v>
      </c>
      <c r="C629" s="103" t="s">
        <v>1064</v>
      </c>
      <c r="D629" s="102" t="s">
        <v>1065</v>
      </c>
      <c r="E629" s="103" t="s">
        <v>497</v>
      </c>
      <c r="F629" s="102" t="s">
        <v>26</v>
      </c>
      <c r="G629" s="103" t="s">
        <v>20</v>
      </c>
      <c r="I629" s="103">
        <v>201506</v>
      </c>
      <c r="J629" s="104">
        <v>-64.75</v>
      </c>
      <c r="K629" s="72">
        <f t="shared" si="49"/>
        <v>42675</v>
      </c>
      <c r="L629" s="67">
        <f t="shared" si="45"/>
        <v>6</v>
      </c>
      <c r="M629" s="105">
        <v>1.4833299999999999E-3</v>
      </c>
      <c r="N629" s="104">
        <f t="shared" si="46"/>
        <v>-0.57627370499999997</v>
      </c>
      <c r="O629" s="66"/>
      <c r="P629" s="71">
        <f t="shared" si="47"/>
        <v>0</v>
      </c>
      <c r="Q629" s="132"/>
      <c r="R629" s="71">
        <f t="shared" si="48"/>
        <v>-0.99076942708333338</v>
      </c>
    </row>
    <row r="630" spans="1:18">
      <c r="A630" s="102" t="s">
        <v>626</v>
      </c>
      <c r="B630" s="103" t="s">
        <v>1066</v>
      </c>
      <c r="C630" s="103" t="s">
        <v>1067</v>
      </c>
      <c r="D630" s="102" t="s">
        <v>1068</v>
      </c>
      <c r="E630" s="103" t="s">
        <v>75</v>
      </c>
      <c r="F630" s="102" t="s">
        <v>26</v>
      </c>
      <c r="G630" s="103" t="s">
        <v>20</v>
      </c>
      <c r="I630" s="103">
        <v>201506</v>
      </c>
      <c r="J630" s="104">
        <v>-358.95</v>
      </c>
      <c r="K630" s="72">
        <f t="shared" si="49"/>
        <v>42675</v>
      </c>
      <c r="L630" s="67">
        <f t="shared" si="45"/>
        <v>6</v>
      </c>
      <c r="M630" s="105">
        <v>1.4833299999999999E-3</v>
      </c>
      <c r="N630" s="104">
        <f t="shared" si="46"/>
        <v>-3.1946478209999998</v>
      </c>
      <c r="O630" s="66"/>
      <c r="P630" s="71">
        <f t="shared" si="47"/>
        <v>0</v>
      </c>
      <c r="Q630" s="132"/>
      <c r="R630" s="71">
        <f t="shared" si="48"/>
        <v>-5.4924584687499998</v>
      </c>
    </row>
    <row r="631" spans="1:18">
      <c r="A631" s="102" t="s">
        <v>626</v>
      </c>
      <c r="B631" s="103" t="s">
        <v>1112</v>
      </c>
      <c r="C631" s="103" t="s">
        <v>1113</v>
      </c>
      <c r="D631" s="102" t="s">
        <v>1114</v>
      </c>
      <c r="E631" s="103" t="s">
        <v>260</v>
      </c>
      <c r="F631" s="102" t="s">
        <v>26</v>
      </c>
      <c r="G631" s="103" t="s">
        <v>20</v>
      </c>
      <c r="I631" s="103">
        <v>201506</v>
      </c>
      <c r="J631" s="104">
        <v>1.68</v>
      </c>
      <c r="K631" s="72">
        <f t="shared" si="49"/>
        <v>42675</v>
      </c>
      <c r="L631" s="67">
        <f t="shared" si="45"/>
        <v>6</v>
      </c>
      <c r="M631" s="105">
        <v>1.4833299999999999E-3</v>
      </c>
      <c r="N631" s="104">
        <f t="shared" si="46"/>
        <v>1.4951966399999999E-2</v>
      </c>
      <c r="O631" s="66"/>
      <c r="P631" s="71">
        <f t="shared" si="47"/>
        <v>0</v>
      </c>
      <c r="Q631" s="132"/>
      <c r="R631" s="71">
        <f t="shared" si="48"/>
        <v>2.5706449999999995E-2</v>
      </c>
    </row>
    <row r="632" spans="1:18">
      <c r="A632" s="102" t="s">
        <v>626</v>
      </c>
      <c r="B632" s="103" t="s">
        <v>1069</v>
      </c>
      <c r="C632" s="103" t="s">
        <v>1070</v>
      </c>
      <c r="D632" s="102" t="s">
        <v>1071</v>
      </c>
      <c r="E632" s="103" t="s">
        <v>260</v>
      </c>
      <c r="F632" s="102" t="s">
        <v>26</v>
      </c>
      <c r="G632" s="103" t="s">
        <v>20</v>
      </c>
      <c r="I632" s="103">
        <v>201506</v>
      </c>
      <c r="J632" s="104">
        <v>-95.31</v>
      </c>
      <c r="K632" s="72">
        <f t="shared" si="49"/>
        <v>42675</v>
      </c>
      <c r="L632" s="67">
        <f t="shared" si="45"/>
        <v>6</v>
      </c>
      <c r="M632" s="105">
        <v>1.4833299999999999E-3</v>
      </c>
      <c r="N632" s="104">
        <f t="shared" si="46"/>
        <v>-0.84825709380000003</v>
      </c>
      <c r="O632" s="66"/>
      <c r="P632" s="71">
        <f t="shared" si="47"/>
        <v>0</v>
      </c>
      <c r="Q632" s="132"/>
      <c r="R632" s="71">
        <f t="shared" si="48"/>
        <v>-1.45838199375</v>
      </c>
    </row>
    <row r="633" spans="1:18">
      <c r="A633" s="102" t="s">
        <v>626</v>
      </c>
      <c r="B633" s="103" t="s">
        <v>741</v>
      </c>
      <c r="C633" s="103" t="s">
        <v>742</v>
      </c>
      <c r="D633" s="102" t="s">
        <v>743</v>
      </c>
      <c r="E633" s="103" t="s">
        <v>415</v>
      </c>
      <c r="F633" s="102" t="s">
        <v>88</v>
      </c>
      <c r="G633" s="103" t="s">
        <v>20</v>
      </c>
      <c r="I633" s="103">
        <v>201506</v>
      </c>
      <c r="J633" s="104">
        <v>-22.01</v>
      </c>
      <c r="K633" s="72">
        <f t="shared" si="49"/>
        <v>42675</v>
      </c>
      <c r="L633" s="67">
        <f t="shared" si="45"/>
        <v>6</v>
      </c>
      <c r="M633" s="105">
        <v>1.4833299999999999E-3</v>
      </c>
      <c r="N633" s="104">
        <f t="shared" si="46"/>
        <v>-0.19588855980000003</v>
      </c>
      <c r="O633" s="66"/>
      <c r="P633" s="71">
        <f t="shared" si="47"/>
        <v>0</v>
      </c>
      <c r="Q633" s="132"/>
      <c r="R633" s="71">
        <f t="shared" si="48"/>
        <v>-0.33678509791666666</v>
      </c>
    </row>
    <row r="634" spans="1:18">
      <c r="A634" s="102" t="s">
        <v>626</v>
      </c>
      <c r="B634" s="103" t="s">
        <v>700</v>
      </c>
      <c r="C634" s="103" t="s">
        <v>701</v>
      </c>
      <c r="D634" s="102" t="s">
        <v>702</v>
      </c>
      <c r="E634" s="103" t="s">
        <v>25</v>
      </c>
      <c r="F634" s="102" t="s">
        <v>26</v>
      </c>
      <c r="G634" s="103" t="s">
        <v>20</v>
      </c>
      <c r="I634" s="103">
        <v>201506</v>
      </c>
      <c r="J634" s="104">
        <v>-1.05</v>
      </c>
      <c r="K634" s="72">
        <f t="shared" si="49"/>
        <v>42675</v>
      </c>
      <c r="L634" s="67">
        <f t="shared" si="45"/>
        <v>6</v>
      </c>
      <c r="M634" s="105">
        <v>1.4833299999999999E-3</v>
      </c>
      <c r="N634" s="104">
        <f t="shared" si="46"/>
        <v>-9.3449789999999998E-3</v>
      </c>
      <c r="O634" s="66"/>
      <c r="P634" s="71">
        <f t="shared" si="47"/>
        <v>0</v>
      </c>
      <c r="Q634" s="132"/>
      <c r="R634" s="71">
        <f t="shared" si="48"/>
        <v>-1.6066531250000002E-2</v>
      </c>
    </row>
    <row r="635" spans="1:18">
      <c r="A635" s="102" t="s">
        <v>626</v>
      </c>
      <c r="B635" s="103" t="s">
        <v>750</v>
      </c>
      <c r="C635" s="103" t="s">
        <v>751</v>
      </c>
      <c r="D635" s="102" t="s">
        <v>752</v>
      </c>
      <c r="E635" s="103" t="s">
        <v>164</v>
      </c>
      <c r="F635" s="102" t="s">
        <v>165</v>
      </c>
      <c r="G635" s="103" t="s">
        <v>20</v>
      </c>
      <c r="I635" s="103">
        <v>201506</v>
      </c>
      <c r="J635" s="104">
        <v>80.94</v>
      </c>
      <c r="K635" s="72">
        <f t="shared" si="49"/>
        <v>42675</v>
      </c>
      <c r="L635" s="67">
        <f t="shared" si="45"/>
        <v>6</v>
      </c>
      <c r="M635" s="105">
        <v>1.4833299999999999E-3</v>
      </c>
      <c r="N635" s="104">
        <f t="shared" si="46"/>
        <v>0.72036438120000001</v>
      </c>
      <c r="O635" s="66"/>
      <c r="P635" s="71">
        <f t="shared" si="47"/>
        <v>0</v>
      </c>
      <c r="Q635" s="132"/>
      <c r="R635" s="71">
        <f t="shared" si="48"/>
        <v>1.2385000374999999</v>
      </c>
    </row>
    <row r="636" spans="1:18">
      <c r="A636" s="102" t="s">
        <v>626</v>
      </c>
      <c r="B636" s="103" t="s">
        <v>465</v>
      </c>
      <c r="C636" s="103" t="s">
        <v>466</v>
      </c>
      <c r="D636" s="102" t="s">
        <v>467</v>
      </c>
      <c r="E636" s="103" t="s">
        <v>75</v>
      </c>
      <c r="F636" s="102" t="s">
        <v>26</v>
      </c>
      <c r="G636" s="103" t="s">
        <v>20</v>
      </c>
      <c r="I636" s="103">
        <v>201506</v>
      </c>
      <c r="J636" s="104">
        <v>776.69</v>
      </c>
      <c r="K636" s="72">
        <f t="shared" si="49"/>
        <v>42675</v>
      </c>
      <c r="L636" s="67">
        <f t="shared" si="45"/>
        <v>6</v>
      </c>
      <c r="M636" s="105">
        <v>1.4833299999999999E-3</v>
      </c>
      <c r="N636" s="104">
        <f t="shared" si="46"/>
        <v>6.9125254662000009</v>
      </c>
      <c r="O636" s="66"/>
      <c r="P636" s="71">
        <f t="shared" si="47"/>
        <v>0</v>
      </c>
      <c r="Q636" s="132"/>
      <c r="R636" s="71">
        <f t="shared" si="48"/>
        <v>11.884489672916665</v>
      </c>
    </row>
    <row r="637" spans="1:18">
      <c r="A637" s="102" t="s">
        <v>626</v>
      </c>
      <c r="B637" s="103" t="s">
        <v>1076</v>
      </c>
      <c r="C637" s="103" t="s">
        <v>1077</v>
      </c>
      <c r="D637" s="102" t="s">
        <v>1078</v>
      </c>
      <c r="E637" s="103" t="s">
        <v>75</v>
      </c>
      <c r="F637" s="102" t="s">
        <v>26</v>
      </c>
      <c r="G637" s="103" t="s">
        <v>20</v>
      </c>
      <c r="I637" s="103">
        <v>201506</v>
      </c>
      <c r="J637" s="104">
        <v>-40.07</v>
      </c>
      <c r="K637" s="72">
        <f t="shared" si="49"/>
        <v>42675</v>
      </c>
      <c r="L637" s="67">
        <f t="shared" si="45"/>
        <v>6</v>
      </c>
      <c r="M637" s="105">
        <v>1.4833299999999999E-3</v>
      </c>
      <c r="N637" s="104">
        <f t="shared" si="46"/>
        <v>-0.3566221986</v>
      </c>
      <c r="O637" s="66"/>
      <c r="P637" s="71">
        <f t="shared" si="47"/>
        <v>0</v>
      </c>
      <c r="Q637" s="132"/>
      <c r="R637" s="71">
        <f t="shared" si="48"/>
        <v>-0.61312943541666665</v>
      </c>
    </row>
    <row r="638" spans="1:18">
      <c r="A638" s="102" t="s">
        <v>626</v>
      </c>
      <c r="B638" s="103" t="s">
        <v>630</v>
      </c>
      <c r="C638" s="103" t="s">
        <v>631</v>
      </c>
      <c r="D638" s="102" t="s">
        <v>632</v>
      </c>
      <c r="E638" s="103" t="s">
        <v>613</v>
      </c>
      <c r="F638" s="102" t="s">
        <v>398</v>
      </c>
      <c r="G638" s="103" t="s">
        <v>20</v>
      </c>
      <c r="I638" s="103">
        <v>201506</v>
      </c>
      <c r="J638" s="104">
        <v>-14.67</v>
      </c>
      <c r="K638" s="72">
        <f t="shared" si="49"/>
        <v>42675</v>
      </c>
      <c r="L638" s="67">
        <f t="shared" si="45"/>
        <v>6</v>
      </c>
      <c r="M638" s="105">
        <v>1.4833299999999999E-3</v>
      </c>
      <c r="N638" s="104">
        <f t="shared" si="46"/>
        <v>-0.13056270659999999</v>
      </c>
      <c r="O638" s="66"/>
      <c r="P638" s="71">
        <f t="shared" si="47"/>
        <v>0</v>
      </c>
      <c r="Q638" s="132"/>
      <c r="R638" s="71">
        <f t="shared" si="48"/>
        <v>-0.22447239374999997</v>
      </c>
    </row>
    <row r="639" spans="1:18">
      <c r="A639" s="102" t="s">
        <v>626</v>
      </c>
      <c r="B639" s="103" t="s">
        <v>938</v>
      </c>
      <c r="C639" s="103" t="s">
        <v>939</v>
      </c>
      <c r="D639" s="102" t="s">
        <v>940</v>
      </c>
      <c r="E639" s="103" t="s">
        <v>209</v>
      </c>
      <c r="F639" s="102" t="s">
        <v>88</v>
      </c>
      <c r="G639" s="103" t="s">
        <v>20</v>
      </c>
      <c r="I639" s="103">
        <v>201506</v>
      </c>
      <c r="J639" s="104">
        <v>-43.92</v>
      </c>
      <c r="K639" s="72">
        <f t="shared" si="49"/>
        <v>42675</v>
      </c>
      <c r="L639" s="67">
        <f t="shared" si="45"/>
        <v>6</v>
      </c>
      <c r="M639" s="105">
        <v>1.4833299999999999E-3</v>
      </c>
      <c r="N639" s="104">
        <f t="shared" si="46"/>
        <v>-0.3908871216</v>
      </c>
      <c r="O639" s="66"/>
      <c r="P639" s="71">
        <f t="shared" si="47"/>
        <v>0</v>
      </c>
      <c r="Q639" s="132"/>
      <c r="R639" s="71">
        <f t="shared" si="48"/>
        <v>-0.67204005</v>
      </c>
    </row>
    <row r="640" spans="1:18">
      <c r="A640" s="102" t="s">
        <v>626</v>
      </c>
      <c r="B640" s="103" t="s">
        <v>1118</v>
      </c>
      <c r="C640" s="103" t="s">
        <v>1119</v>
      </c>
      <c r="D640" s="102" t="s">
        <v>1120</v>
      </c>
      <c r="E640" s="103" t="s">
        <v>93</v>
      </c>
      <c r="F640" s="102" t="s">
        <v>88</v>
      </c>
      <c r="G640" s="103" t="s">
        <v>20</v>
      </c>
      <c r="I640" s="103">
        <v>201506</v>
      </c>
      <c r="J640" s="104">
        <v>-4.88</v>
      </c>
      <c r="K640" s="72">
        <f t="shared" si="49"/>
        <v>42675</v>
      </c>
      <c r="L640" s="67">
        <f t="shared" si="45"/>
        <v>6</v>
      </c>
      <c r="M640" s="105">
        <v>1.4833299999999999E-3</v>
      </c>
      <c r="N640" s="104">
        <f t="shared" si="46"/>
        <v>-4.34319024E-2</v>
      </c>
      <c r="O640" s="66"/>
      <c r="P640" s="71">
        <f t="shared" si="47"/>
        <v>0</v>
      </c>
      <c r="Q640" s="132"/>
      <c r="R640" s="71">
        <f t="shared" si="48"/>
        <v>-7.4671116666666648E-2</v>
      </c>
    </row>
    <row r="641" spans="1:18">
      <c r="A641" s="102" t="s">
        <v>626</v>
      </c>
      <c r="B641" s="103" t="s">
        <v>1121</v>
      </c>
      <c r="C641" s="103" t="s">
        <v>1122</v>
      </c>
      <c r="D641" s="102" t="s">
        <v>1123</v>
      </c>
      <c r="E641" s="103" t="s">
        <v>497</v>
      </c>
      <c r="F641" s="102" t="s">
        <v>26</v>
      </c>
      <c r="G641" s="103" t="s">
        <v>20</v>
      </c>
      <c r="I641" s="103">
        <v>201506</v>
      </c>
      <c r="J641" s="104">
        <v>-101.11</v>
      </c>
      <c r="K641" s="72">
        <f t="shared" si="49"/>
        <v>42675</v>
      </c>
      <c r="L641" s="67">
        <f t="shared" si="45"/>
        <v>6</v>
      </c>
      <c r="M641" s="105">
        <v>1.4833299999999999E-3</v>
      </c>
      <c r="N641" s="104">
        <f t="shared" si="46"/>
        <v>-0.89987697779999998</v>
      </c>
      <c r="O641" s="66"/>
      <c r="P641" s="71">
        <f t="shared" si="47"/>
        <v>0</v>
      </c>
      <c r="Q641" s="132"/>
      <c r="R641" s="71">
        <f t="shared" si="48"/>
        <v>-1.5471304520833331</v>
      </c>
    </row>
    <row r="642" spans="1:18">
      <c r="A642" s="102" t="s">
        <v>626</v>
      </c>
      <c r="B642" s="103" t="s">
        <v>1124</v>
      </c>
      <c r="C642" s="103" t="s">
        <v>1125</v>
      </c>
      <c r="D642" s="102" t="s">
        <v>1126</v>
      </c>
      <c r="E642" s="103" t="s">
        <v>87</v>
      </c>
      <c r="F642" s="102" t="s">
        <v>88</v>
      </c>
      <c r="G642" s="103" t="s">
        <v>20</v>
      </c>
      <c r="I642" s="103">
        <v>201506</v>
      </c>
      <c r="J642" s="104">
        <v>-1.7</v>
      </c>
      <c r="K642" s="72">
        <f t="shared" si="49"/>
        <v>42675</v>
      </c>
      <c r="L642" s="67">
        <f t="shared" si="45"/>
        <v>6</v>
      </c>
      <c r="M642" s="105">
        <v>1.4833299999999999E-3</v>
      </c>
      <c r="N642" s="104">
        <f t="shared" si="46"/>
        <v>-1.5129966E-2</v>
      </c>
      <c r="O642" s="66"/>
      <c r="P642" s="71">
        <f t="shared" si="47"/>
        <v>0</v>
      </c>
      <c r="Q642" s="132"/>
      <c r="R642" s="71">
        <f t="shared" si="48"/>
        <v>-2.6012479166666661E-2</v>
      </c>
    </row>
    <row r="643" spans="1:18">
      <c r="A643" s="102" t="s">
        <v>626</v>
      </c>
      <c r="B643" s="103" t="s">
        <v>1127</v>
      </c>
      <c r="C643" s="103" t="s">
        <v>1128</v>
      </c>
      <c r="D643" s="102" t="s">
        <v>1129</v>
      </c>
      <c r="E643" s="103" t="s">
        <v>87</v>
      </c>
      <c r="F643" s="102" t="s">
        <v>88</v>
      </c>
      <c r="G643" s="103" t="s">
        <v>20</v>
      </c>
      <c r="I643" s="103">
        <v>201506</v>
      </c>
      <c r="J643" s="104">
        <v>-61.04</v>
      </c>
      <c r="K643" s="72">
        <f t="shared" si="49"/>
        <v>42675</v>
      </c>
      <c r="L643" s="67">
        <f t="shared" si="45"/>
        <v>6</v>
      </c>
      <c r="M643" s="105">
        <v>1.4833299999999999E-3</v>
      </c>
      <c r="N643" s="104">
        <f t="shared" si="46"/>
        <v>-0.54325477919999998</v>
      </c>
      <c r="O643" s="66"/>
      <c r="P643" s="71">
        <f t="shared" si="47"/>
        <v>0</v>
      </c>
      <c r="Q643" s="132"/>
      <c r="R643" s="71">
        <f t="shared" si="48"/>
        <v>-0.93400101666666646</v>
      </c>
    </row>
    <row r="644" spans="1:18">
      <c r="A644" s="102" t="s">
        <v>626</v>
      </c>
      <c r="B644" s="103" t="s">
        <v>1082</v>
      </c>
      <c r="C644" s="103" t="s">
        <v>1083</v>
      </c>
      <c r="D644" s="102" t="s">
        <v>1084</v>
      </c>
      <c r="E644" s="103" t="s">
        <v>75</v>
      </c>
      <c r="F644" s="102" t="s">
        <v>26</v>
      </c>
      <c r="G644" s="103" t="s">
        <v>20</v>
      </c>
      <c r="I644" s="103">
        <v>201506</v>
      </c>
      <c r="J644" s="104">
        <v>-1993.03</v>
      </c>
      <c r="K644" s="72">
        <f t="shared" si="49"/>
        <v>42675</v>
      </c>
      <c r="L644" s="67">
        <f t="shared" si="45"/>
        <v>6</v>
      </c>
      <c r="M644" s="105">
        <v>1.4833299999999999E-3</v>
      </c>
      <c r="N644" s="104">
        <f t="shared" si="46"/>
        <v>-17.7379271394</v>
      </c>
      <c r="O644" s="66"/>
      <c r="P644" s="71">
        <f t="shared" si="47"/>
        <v>0</v>
      </c>
      <c r="Q644" s="132"/>
      <c r="R644" s="71">
        <f t="shared" si="48"/>
        <v>-30.496265502083329</v>
      </c>
    </row>
    <row r="645" spans="1:18">
      <c r="A645" s="102" t="s">
        <v>626</v>
      </c>
      <c r="B645" s="103" t="s">
        <v>1188</v>
      </c>
      <c r="C645" s="103" t="s">
        <v>1189</v>
      </c>
      <c r="D645" s="102" t="s">
        <v>1190</v>
      </c>
      <c r="E645" s="103" t="s">
        <v>75</v>
      </c>
      <c r="F645" s="102" t="s">
        <v>26</v>
      </c>
      <c r="G645" s="103" t="s">
        <v>20</v>
      </c>
      <c r="I645" s="103">
        <v>201506</v>
      </c>
      <c r="J645" s="104">
        <v>-341</v>
      </c>
      <c r="K645" s="72">
        <f t="shared" si="49"/>
        <v>42675</v>
      </c>
      <c r="L645" s="67">
        <f t="shared" ref="L645:L708" si="50">((YEAR($L$1)-YEAR(K645))*12+MONTH($L$1)-MONTH(K645))</f>
        <v>6</v>
      </c>
      <c r="M645" s="105">
        <v>1.4833299999999999E-3</v>
      </c>
      <c r="N645" s="104">
        <f t="shared" ref="N645:N708" si="51">M645*L645*J645</f>
        <v>-3.0348931800000001</v>
      </c>
      <c r="O645" s="66"/>
      <c r="P645" s="71">
        <f t="shared" si="47"/>
        <v>0</v>
      </c>
      <c r="Q645" s="132"/>
      <c r="R645" s="71">
        <f t="shared" si="48"/>
        <v>-5.2177972916666659</v>
      </c>
    </row>
    <row r="646" spans="1:18">
      <c r="A646" s="102" t="s">
        <v>626</v>
      </c>
      <c r="B646" s="103" t="s">
        <v>1085</v>
      </c>
      <c r="C646" s="103" t="s">
        <v>1086</v>
      </c>
      <c r="D646" s="102" t="s">
        <v>1087</v>
      </c>
      <c r="E646" s="103" t="s">
        <v>75</v>
      </c>
      <c r="F646" s="102" t="s">
        <v>26</v>
      </c>
      <c r="G646" s="103" t="s">
        <v>20</v>
      </c>
      <c r="I646" s="103">
        <v>201506</v>
      </c>
      <c r="J646" s="104">
        <v>-27.6</v>
      </c>
      <c r="K646" s="72">
        <f t="shared" si="49"/>
        <v>42675</v>
      </c>
      <c r="L646" s="67">
        <f t="shared" si="50"/>
        <v>6</v>
      </c>
      <c r="M646" s="105">
        <v>1.4833299999999999E-3</v>
      </c>
      <c r="N646" s="104">
        <f t="shared" si="51"/>
        <v>-0.24563944800000001</v>
      </c>
      <c r="O646" s="66"/>
      <c r="P646" s="71">
        <f t="shared" ref="P646:P709" si="52">($P$4*0.5*J646*$T$12)</f>
        <v>0</v>
      </c>
      <c r="Q646" s="132"/>
      <c r="R646" s="71">
        <f t="shared" ref="R646:R709" si="53">($R$4*0.5*J646*$T$12)</f>
        <v>-0.42232024999999995</v>
      </c>
    </row>
    <row r="647" spans="1:18">
      <c r="A647" s="102" t="s">
        <v>626</v>
      </c>
      <c r="B647" s="103" t="s">
        <v>944</v>
      </c>
      <c r="C647" s="103" t="s">
        <v>945</v>
      </c>
      <c r="D647" s="102" t="s">
        <v>946</v>
      </c>
      <c r="E647" s="103" t="s">
        <v>164</v>
      </c>
      <c r="F647" s="102" t="s">
        <v>165</v>
      </c>
      <c r="G647" s="103" t="s">
        <v>20</v>
      </c>
      <c r="I647" s="103">
        <v>201506</v>
      </c>
      <c r="J647" s="104">
        <v>-87.31</v>
      </c>
      <c r="K647" s="72">
        <f t="shared" ref="K647:K710" si="54">+K646</f>
        <v>42675</v>
      </c>
      <c r="L647" s="67">
        <f t="shared" si="50"/>
        <v>6</v>
      </c>
      <c r="M647" s="105">
        <v>1.4833299999999999E-3</v>
      </c>
      <c r="N647" s="104">
        <f t="shared" si="51"/>
        <v>-0.77705725380000001</v>
      </c>
      <c r="O647" s="66"/>
      <c r="P647" s="71">
        <f t="shared" si="52"/>
        <v>0</v>
      </c>
      <c r="Q647" s="132"/>
      <c r="R647" s="71">
        <f t="shared" si="53"/>
        <v>-1.3359703270833334</v>
      </c>
    </row>
    <row r="648" spans="1:18">
      <c r="A648" s="102" t="s">
        <v>626</v>
      </c>
      <c r="B648" s="103" t="s">
        <v>1253</v>
      </c>
      <c r="C648" s="103" t="s">
        <v>1254</v>
      </c>
      <c r="D648" s="102" t="s">
        <v>1255</v>
      </c>
      <c r="E648" s="103" t="s">
        <v>25</v>
      </c>
      <c r="F648" s="102" t="s">
        <v>26</v>
      </c>
      <c r="G648" s="103" t="s">
        <v>20</v>
      </c>
      <c r="I648" s="103">
        <v>201506</v>
      </c>
      <c r="J648" s="104">
        <v>433.17</v>
      </c>
      <c r="K648" s="72">
        <f t="shared" si="54"/>
        <v>42675</v>
      </c>
      <c r="L648" s="67">
        <f t="shared" si="50"/>
        <v>6</v>
      </c>
      <c r="M648" s="105">
        <v>1.4833299999999999E-3</v>
      </c>
      <c r="N648" s="104">
        <f t="shared" si="51"/>
        <v>3.8552043365999999</v>
      </c>
      <c r="O648" s="66"/>
      <c r="P648" s="71">
        <f t="shared" si="52"/>
        <v>0</v>
      </c>
      <c r="Q648" s="132"/>
      <c r="R648" s="71">
        <f t="shared" si="53"/>
        <v>6.6281327062499997</v>
      </c>
    </row>
    <row r="649" spans="1:18">
      <c r="A649" s="102" t="s">
        <v>626</v>
      </c>
      <c r="B649" s="103" t="s">
        <v>1038</v>
      </c>
      <c r="C649" s="103" t="s">
        <v>1039</v>
      </c>
      <c r="D649" s="102" t="s">
        <v>1040</v>
      </c>
      <c r="E649" s="103" t="s">
        <v>75</v>
      </c>
      <c r="F649" s="102" t="s">
        <v>26</v>
      </c>
      <c r="G649" s="103" t="s">
        <v>20</v>
      </c>
      <c r="I649" s="103">
        <v>201506</v>
      </c>
      <c r="J649" s="104">
        <v>-47.98</v>
      </c>
      <c r="K649" s="72">
        <f t="shared" si="54"/>
        <v>42675</v>
      </c>
      <c r="L649" s="67">
        <f t="shared" si="50"/>
        <v>6</v>
      </c>
      <c r="M649" s="105">
        <v>1.4833299999999999E-3</v>
      </c>
      <c r="N649" s="104">
        <f t="shared" si="51"/>
        <v>-0.4270210404</v>
      </c>
      <c r="O649" s="66"/>
      <c r="P649" s="71">
        <f t="shared" si="52"/>
        <v>0</v>
      </c>
      <c r="Q649" s="132"/>
      <c r="R649" s="71">
        <f t="shared" si="53"/>
        <v>-0.73416397083333318</v>
      </c>
    </row>
    <row r="650" spans="1:18">
      <c r="A650" s="102" t="s">
        <v>626</v>
      </c>
      <c r="B650" s="103" t="s">
        <v>947</v>
      </c>
      <c r="C650" s="103" t="s">
        <v>948</v>
      </c>
      <c r="D650" s="102" t="s">
        <v>949</v>
      </c>
      <c r="E650" s="103" t="s">
        <v>75</v>
      </c>
      <c r="F650" s="102" t="s">
        <v>26</v>
      </c>
      <c r="G650" s="103" t="s">
        <v>20</v>
      </c>
      <c r="I650" s="103">
        <v>201506</v>
      </c>
      <c r="J650" s="104">
        <v>-1.61</v>
      </c>
      <c r="K650" s="72">
        <f t="shared" si="54"/>
        <v>42675</v>
      </c>
      <c r="L650" s="67">
        <f t="shared" si="50"/>
        <v>6</v>
      </c>
      <c r="M650" s="105">
        <v>1.4833299999999999E-3</v>
      </c>
      <c r="N650" s="104">
        <f t="shared" si="51"/>
        <v>-1.4328967800000002E-2</v>
      </c>
      <c r="O650" s="66"/>
      <c r="P650" s="71">
        <f t="shared" si="52"/>
        <v>0</v>
      </c>
      <c r="Q650" s="132"/>
      <c r="R650" s="71">
        <f t="shared" si="53"/>
        <v>-2.4635347916666668E-2</v>
      </c>
    </row>
    <row r="651" spans="1:18">
      <c r="A651" s="102" t="s">
        <v>626</v>
      </c>
      <c r="B651" s="103" t="s">
        <v>1041</v>
      </c>
      <c r="C651" s="103" t="s">
        <v>1042</v>
      </c>
      <c r="D651" s="102" t="s">
        <v>1043</v>
      </c>
      <c r="E651" s="103" t="s">
        <v>75</v>
      </c>
      <c r="F651" s="102" t="s">
        <v>26</v>
      </c>
      <c r="G651" s="103" t="s">
        <v>20</v>
      </c>
      <c r="I651" s="103">
        <v>201506</v>
      </c>
      <c r="J651" s="104">
        <v>-66.150000000000006</v>
      </c>
      <c r="K651" s="72">
        <f t="shared" si="54"/>
        <v>42675</v>
      </c>
      <c r="L651" s="67">
        <f t="shared" si="50"/>
        <v>6</v>
      </c>
      <c r="M651" s="105">
        <v>1.4833299999999999E-3</v>
      </c>
      <c r="N651" s="104">
        <f t="shared" si="51"/>
        <v>-0.58873367700000001</v>
      </c>
      <c r="O651" s="66"/>
      <c r="P651" s="71">
        <f t="shared" si="52"/>
        <v>0</v>
      </c>
      <c r="Q651" s="132"/>
      <c r="R651" s="71">
        <f t="shared" si="53"/>
        <v>-1.01219146875</v>
      </c>
    </row>
    <row r="652" spans="1:18">
      <c r="A652" s="102" t="s">
        <v>626</v>
      </c>
      <c r="B652" s="103" t="s">
        <v>1194</v>
      </c>
      <c r="C652" s="103" t="s">
        <v>1195</v>
      </c>
      <c r="D652" s="102" t="s">
        <v>1196</v>
      </c>
      <c r="E652" s="103" t="s">
        <v>75</v>
      </c>
      <c r="F652" s="102" t="s">
        <v>26</v>
      </c>
      <c r="G652" s="103" t="s">
        <v>20</v>
      </c>
      <c r="I652" s="103">
        <v>201506</v>
      </c>
      <c r="J652" s="104">
        <v>3455.81</v>
      </c>
      <c r="K652" s="72">
        <f t="shared" si="54"/>
        <v>42675</v>
      </c>
      <c r="L652" s="67">
        <f t="shared" si="50"/>
        <v>6</v>
      </c>
      <c r="M652" s="105">
        <v>1.4833299999999999E-3</v>
      </c>
      <c r="N652" s="104">
        <f t="shared" si="51"/>
        <v>30.756639883799998</v>
      </c>
      <c r="O652" s="66"/>
      <c r="P652" s="71">
        <f t="shared" si="52"/>
        <v>0</v>
      </c>
      <c r="Q652" s="132"/>
      <c r="R652" s="71">
        <f t="shared" si="53"/>
        <v>52.878932722916659</v>
      </c>
    </row>
    <row r="653" spans="1:18">
      <c r="A653" s="102" t="s">
        <v>626</v>
      </c>
      <c r="B653" s="103" t="s">
        <v>1133</v>
      </c>
      <c r="C653" s="103" t="s">
        <v>1134</v>
      </c>
      <c r="D653" s="102" t="s">
        <v>1135</v>
      </c>
      <c r="E653" s="103" t="s">
        <v>471</v>
      </c>
      <c r="F653" s="102" t="s">
        <v>165</v>
      </c>
      <c r="G653" s="103" t="s">
        <v>20</v>
      </c>
      <c r="I653" s="103">
        <v>201506</v>
      </c>
      <c r="J653" s="104">
        <v>-139.19999999999999</v>
      </c>
      <c r="K653" s="72">
        <f t="shared" si="54"/>
        <v>42675</v>
      </c>
      <c r="L653" s="67">
        <f t="shared" si="50"/>
        <v>6</v>
      </c>
      <c r="M653" s="105">
        <v>1.4833299999999999E-3</v>
      </c>
      <c r="N653" s="104">
        <f t="shared" si="51"/>
        <v>-1.2388772159999999</v>
      </c>
      <c r="O653" s="66"/>
      <c r="P653" s="71">
        <f t="shared" si="52"/>
        <v>0</v>
      </c>
      <c r="Q653" s="132"/>
      <c r="R653" s="71">
        <f t="shared" si="53"/>
        <v>-2.1299629999999996</v>
      </c>
    </row>
    <row r="654" spans="1:18">
      <c r="A654" s="102" t="s">
        <v>626</v>
      </c>
      <c r="B654" s="103" t="s">
        <v>848</v>
      </c>
      <c r="C654" s="103" t="s">
        <v>849</v>
      </c>
      <c r="D654" s="102" t="s">
        <v>850</v>
      </c>
      <c r="E654" s="103" t="s">
        <v>93</v>
      </c>
      <c r="F654" s="102" t="s">
        <v>88</v>
      </c>
      <c r="G654" s="103" t="s">
        <v>20</v>
      </c>
      <c r="I654" s="103">
        <v>201506</v>
      </c>
      <c r="J654" s="104">
        <v>49.13</v>
      </c>
      <c r="K654" s="72">
        <f t="shared" si="54"/>
        <v>42675</v>
      </c>
      <c r="L654" s="67">
        <f t="shared" si="50"/>
        <v>6</v>
      </c>
      <c r="M654" s="105">
        <v>1.4833299999999999E-3</v>
      </c>
      <c r="N654" s="104">
        <f t="shared" si="51"/>
        <v>0.43725601740000003</v>
      </c>
      <c r="O654" s="66"/>
      <c r="P654" s="71">
        <f t="shared" si="52"/>
        <v>0</v>
      </c>
      <c r="Q654" s="132"/>
      <c r="R654" s="71">
        <f t="shared" si="53"/>
        <v>0.75176064791666664</v>
      </c>
    </row>
    <row r="655" spans="1:18">
      <c r="A655" s="102" t="s">
        <v>626</v>
      </c>
      <c r="B655" s="103" t="s">
        <v>1136</v>
      </c>
      <c r="C655" s="103" t="s">
        <v>1137</v>
      </c>
      <c r="D655" s="102" t="s">
        <v>1138</v>
      </c>
      <c r="E655" s="103" t="s">
        <v>962</v>
      </c>
      <c r="F655" s="102" t="s">
        <v>88</v>
      </c>
      <c r="G655" s="103" t="s">
        <v>20</v>
      </c>
      <c r="I655" s="103">
        <v>201506</v>
      </c>
      <c r="J655" s="104">
        <v>-1962.19</v>
      </c>
      <c r="K655" s="72">
        <f t="shared" si="54"/>
        <v>42675</v>
      </c>
      <c r="L655" s="67">
        <f t="shared" si="50"/>
        <v>6</v>
      </c>
      <c r="M655" s="105">
        <v>1.4833299999999999E-3</v>
      </c>
      <c r="N655" s="104">
        <f t="shared" si="51"/>
        <v>-17.463451756200001</v>
      </c>
      <c r="O655" s="66"/>
      <c r="P655" s="71">
        <f t="shared" si="52"/>
        <v>0</v>
      </c>
      <c r="Q655" s="132"/>
      <c r="R655" s="71">
        <f t="shared" si="53"/>
        <v>-30.024368527083332</v>
      </c>
    </row>
    <row r="656" spans="1:18">
      <c r="A656" s="102" t="s">
        <v>626</v>
      </c>
      <c r="B656" s="103" t="s">
        <v>1197</v>
      </c>
      <c r="C656" s="103" t="s">
        <v>1198</v>
      </c>
      <c r="D656" s="102" t="s">
        <v>1199</v>
      </c>
      <c r="E656" s="103" t="s">
        <v>18</v>
      </c>
      <c r="F656" s="102" t="s">
        <v>19</v>
      </c>
      <c r="G656" s="103" t="s">
        <v>20</v>
      </c>
      <c r="I656" s="103">
        <v>201506</v>
      </c>
      <c r="J656" s="104">
        <v>-169.62</v>
      </c>
      <c r="K656" s="72">
        <f t="shared" si="54"/>
        <v>42675</v>
      </c>
      <c r="L656" s="67">
        <f t="shared" si="50"/>
        <v>6</v>
      </c>
      <c r="M656" s="105">
        <v>1.4833299999999999E-3</v>
      </c>
      <c r="N656" s="104">
        <f t="shared" si="51"/>
        <v>-1.5096146076000001</v>
      </c>
      <c r="O656" s="66"/>
      <c r="P656" s="71">
        <f t="shared" si="52"/>
        <v>0</v>
      </c>
      <c r="Q656" s="132"/>
      <c r="R656" s="71">
        <f t="shared" si="53"/>
        <v>-2.5954333625000001</v>
      </c>
    </row>
    <row r="657" spans="1:18">
      <c r="A657" s="102" t="s">
        <v>626</v>
      </c>
      <c r="B657" s="103" t="s">
        <v>1256</v>
      </c>
      <c r="C657" s="103" t="s">
        <v>1257</v>
      </c>
      <c r="D657" s="102" t="s">
        <v>1258</v>
      </c>
      <c r="E657" s="103" t="s">
        <v>75</v>
      </c>
      <c r="F657" s="102" t="s">
        <v>26</v>
      </c>
      <c r="G657" s="103" t="s">
        <v>20</v>
      </c>
      <c r="I657" s="103">
        <v>201506</v>
      </c>
      <c r="J657" s="104">
        <v>-2147.88</v>
      </c>
      <c r="K657" s="72">
        <f t="shared" si="54"/>
        <v>42675</v>
      </c>
      <c r="L657" s="67">
        <f t="shared" si="50"/>
        <v>6</v>
      </c>
      <c r="M657" s="105">
        <v>1.4833299999999999E-3</v>
      </c>
      <c r="N657" s="104">
        <f t="shared" si="51"/>
        <v>-19.116089042400002</v>
      </c>
      <c r="O657" s="66"/>
      <c r="P657" s="71">
        <f t="shared" si="52"/>
        <v>0</v>
      </c>
      <c r="Q657" s="132"/>
      <c r="R657" s="71">
        <f t="shared" si="53"/>
        <v>-32.865696325000002</v>
      </c>
    </row>
    <row r="658" spans="1:18">
      <c r="A658" s="102" t="s">
        <v>626</v>
      </c>
      <c r="B658" s="103" t="s">
        <v>1139</v>
      </c>
      <c r="C658" s="103" t="s">
        <v>1140</v>
      </c>
      <c r="D658" s="102" t="s">
        <v>1141</v>
      </c>
      <c r="E658" s="103" t="s">
        <v>280</v>
      </c>
      <c r="F658" s="102" t="s">
        <v>26</v>
      </c>
      <c r="G658" s="103" t="s">
        <v>20</v>
      </c>
      <c r="I658" s="103">
        <v>201506</v>
      </c>
      <c r="J658" s="104">
        <v>-638.72</v>
      </c>
      <c r="K658" s="72">
        <f t="shared" si="54"/>
        <v>42675</v>
      </c>
      <c r="L658" s="67">
        <f t="shared" si="50"/>
        <v>6</v>
      </c>
      <c r="M658" s="105">
        <v>1.4833299999999999E-3</v>
      </c>
      <c r="N658" s="104">
        <f t="shared" si="51"/>
        <v>-5.6845952255999999</v>
      </c>
      <c r="O658" s="66"/>
      <c r="P658" s="71">
        <f t="shared" si="52"/>
        <v>0</v>
      </c>
      <c r="Q658" s="132"/>
      <c r="R658" s="71">
        <f t="shared" si="53"/>
        <v>-9.7733474666666655</v>
      </c>
    </row>
    <row r="659" spans="1:18">
      <c r="A659" s="102" t="s">
        <v>626</v>
      </c>
      <c r="B659" s="103" t="s">
        <v>1410</v>
      </c>
      <c r="C659" s="103" t="s">
        <v>1411</v>
      </c>
      <c r="D659" s="102" t="s">
        <v>1412</v>
      </c>
      <c r="E659" s="103" t="s">
        <v>1413</v>
      </c>
      <c r="F659" s="102" t="s">
        <v>88</v>
      </c>
      <c r="G659" s="103" t="s">
        <v>20</v>
      </c>
      <c r="I659" s="103">
        <v>201506</v>
      </c>
      <c r="J659" s="104">
        <v>-1112.21</v>
      </c>
      <c r="K659" s="72">
        <f t="shared" si="54"/>
        <v>42675</v>
      </c>
      <c r="L659" s="67">
        <f t="shared" si="50"/>
        <v>6</v>
      </c>
      <c r="M659" s="105">
        <v>1.4833299999999999E-3</v>
      </c>
      <c r="N659" s="104">
        <f t="shared" si="51"/>
        <v>-9.8986467557999998</v>
      </c>
      <c r="O659" s="66"/>
      <c r="P659" s="71">
        <f t="shared" si="52"/>
        <v>0</v>
      </c>
      <c r="Q659" s="132"/>
      <c r="R659" s="71">
        <f t="shared" si="53"/>
        <v>-17.018434972916666</v>
      </c>
    </row>
    <row r="660" spans="1:18">
      <c r="A660" s="102" t="s">
        <v>626</v>
      </c>
      <c r="B660" s="103" t="s">
        <v>1200</v>
      </c>
      <c r="C660" s="103" t="s">
        <v>1201</v>
      </c>
      <c r="D660" s="102" t="s">
        <v>1202</v>
      </c>
      <c r="E660" s="103" t="s">
        <v>75</v>
      </c>
      <c r="F660" s="102" t="s">
        <v>26</v>
      </c>
      <c r="G660" s="103" t="s">
        <v>20</v>
      </c>
      <c r="I660" s="103">
        <v>201506</v>
      </c>
      <c r="J660" s="104">
        <v>-2522.17</v>
      </c>
      <c r="K660" s="72">
        <f t="shared" si="54"/>
        <v>42675</v>
      </c>
      <c r="L660" s="67">
        <f t="shared" si="50"/>
        <v>6</v>
      </c>
      <c r="M660" s="105">
        <v>1.4833299999999999E-3</v>
      </c>
      <c r="N660" s="104">
        <f t="shared" si="51"/>
        <v>-22.447262556600002</v>
      </c>
      <c r="O660" s="66"/>
      <c r="P660" s="71">
        <f t="shared" si="52"/>
        <v>0</v>
      </c>
      <c r="Q660" s="132"/>
      <c r="R660" s="71">
        <f t="shared" si="53"/>
        <v>-38.59287916458333</v>
      </c>
    </row>
    <row r="661" spans="1:18">
      <c r="A661" s="102" t="s">
        <v>626</v>
      </c>
      <c r="B661" s="103" t="s">
        <v>1142</v>
      </c>
      <c r="C661" s="103" t="s">
        <v>1143</v>
      </c>
      <c r="D661" s="102" t="s">
        <v>1144</v>
      </c>
      <c r="E661" s="103" t="s">
        <v>164</v>
      </c>
      <c r="F661" s="102" t="s">
        <v>165</v>
      </c>
      <c r="G661" s="103" t="s">
        <v>20</v>
      </c>
      <c r="I661" s="103">
        <v>201506</v>
      </c>
      <c r="J661" s="104">
        <v>-4302.5600000000004</v>
      </c>
      <c r="K661" s="72">
        <f t="shared" si="54"/>
        <v>42675</v>
      </c>
      <c r="L661" s="67">
        <f t="shared" si="50"/>
        <v>6</v>
      </c>
      <c r="M661" s="105">
        <v>1.4833299999999999E-3</v>
      </c>
      <c r="N661" s="104">
        <f t="shared" si="51"/>
        <v>-38.292697948800004</v>
      </c>
      <c r="O661" s="66"/>
      <c r="P661" s="71">
        <f t="shared" si="52"/>
        <v>0</v>
      </c>
      <c r="Q661" s="132"/>
      <c r="R661" s="71">
        <f t="shared" si="53"/>
        <v>-65.835442566666671</v>
      </c>
    </row>
    <row r="662" spans="1:18">
      <c r="A662" s="102" t="s">
        <v>626</v>
      </c>
      <c r="B662" s="103" t="s">
        <v>909</v>
      </c>
      <c r="C662" s="103" t="s">
        <v>910</v>
      </c>
      <c r="D662" s="102" t="s">
        <v>911</v>
      </c>
      <c r="E662" s="103" t="s">
        <v>79</v>
      </c>
      <c r="F662" s="102" t="s">
        <v>26</v>
      </c>
      <c r="G662" s="103" t="s">
        <v>20</v>
      </c>
      <c r="I662" s="103">
        <v>201506</v>
      </c>
      <c r="J662" s="104">
        <v>27.82</v>
      </c>
      <c r="K662" s="72">
        <f t="shared" si="54"/>
        <v>42675</v>
      </c>
      <c r="L662" s="67">
        <f t="shared" si="50"/>
        <v>6</v>
      </c>
      <c r="M662" s="105">
        <v>1.4833299999999999E-3</v>
      </c>
      <c r="N662" s="104">
        <f t="shared" si="51"/>
        <v>0.24759744359999999</v>
      </c>
      <c r="O662" s="66"/>
      <c r="P662" s="71">
        <f t="shared" si="52"/>
        <v>0</v>
      </c>
      <c r="Q662" s="132"/>
      <c r="R662" s="71">
        <f t="shared" si="53"/>
        <v>0.42568657083333328</v>
      </c>
    </row>
    <row r="663" spans="1:18">
      <c r="A663" s="102" t="s">
        <v>626</v>
      </c>
      <c r="B663" s="103" t="s">
        <v>1315</v>
      </c>
      <c r="C663" s="103" t="s">
        <v>1316</v>
      </c>
      <c r="D663" s="102" t="s">
        <v>1317</v>
      </c>
      <c r="E663" s="103" t="s">
        <v>497</v>
      </c>
      <c r="F663" s="102" t="s">
        <v>26</v>
      </c>
      <c r="G663" s="103" t="s">
        <v>20</v>
      </c>
      <c r="I663" s="103">
        <v>201506</v>
      </c>
      <c r="J663" s="104">
        <v>6360.48</v>
      </c>
      <c r="K663" s="72">
        <f t="shared" si="54"/>
        <v>42675</v>
      </c>
      <c r="L663" s="67">
        <f t="shared" si="50"/>
        <v>6</v>
      </c>
      <c r="M663" s="105">
        <v>1.4833299999999999E-3</v>
      </c>
      <c r="N663" s="104">
        <f t="shared" si="51"/>
        <v>56.608144790399997</v>
      </c>
      <c r="O663" s="66"/>
      <c r="P663" s="71">
        <f t="shared" si="52"/>
        <v>0</v>
      </c>
      <c r="Q663" s="132"/>
      <c r="R663" s="71">
        <f t="shared" si="53"/>
        <v>97.324619699999985</v>
      </c>
    </row>
    <row r="664" spans="1:18">
      <c r="A664" s="102" t="s">
        <v>626</v>
      </c>
      <c r="B664" s="103" t="s">
        <v>1203</v>
      </c>
      <c r="C664" s="103" t="s">
        <v>1204</v>
      </c>
      <c r="D664" s="102" t="s">
        <v>1205</v>
      </c>
      <c r="E664" s="103" t="s">
        <v>260</v>
      </c>
      <c r="F664" s="102" t="s">
        <v>26</v>
      </c>
      <c r="G664" s="103" t="s">
        <v>20</v>
      </c>
      <c r="I664" s="103">
        <v>201506</v>
      </c>
      <c r="J664" s="104">
        <v>1764.2</v>
      </c>
      <c r="K664" s="72">
        <f t="shared" si="54"/>
        <v>42675</v>
      </c>
      <c r="L664" s="67">
        <f t="shared" si="50"/>
        <v>6</v>
      </c>
      <c r="M664" s="105">
        <v>1.4833299999999999E-3</v>
      </c>
      <c r="N664" s="104">
        <f t="shared" si="51"/>
        <v>15.701344716000001</v>
      </c>
      <c r="O664" s="66"/>
      <c r="P664" s="71">
        <f t="shared" si="52"/>
        <v>0</v>
      </c>
      <c r="Q664" s="132"/>
      <c r="R664" s="71">
        <f t="shared" si="53"/>
        <v>26.994832791666663</v>
      </c>
    </row>
    <row r="665" spans="1:18">
      <c r="A665" s="102" t="s">
        <v>626</v>
      </c>
      <c r="B665" s="103" t="s">
        <v>1088</v>
      </c>
      <c r="C665" s="103" t="s">
        <v>1089</v>
      </c>
      <c r="D665" s="102" t="s">
        <v>1090</v>
      </c>
      <c r="E665" s="103" t="s">
        <v>415</v>
      </c>
      <c r="F665" s="102" t="s">
        <v>88</v>
      </c>
      <c r="G665" s="103" t="s">
        <v>20</v>
      </c>
      <c r="I665" s="103">
        <v>201506</v>
      </c>
      <c r="J665" s="104">
        <v>-509.77</v>
      </c>
      <c r="K665" s="72">
        <f t="shared" si="54"/>
        <v>42675</v>
      </c>
      <c r="L665" s="67">
        <f t="shared" si="50"/>
        <v>6</v>
      </c>
      <c r="M665" s="105">
        <v>1.4833299999999999E-3</v>
      </c>
      <c r="N665" s="104">
        <f t="shared" si="51"/>
        <v>-4.5369428045999998</v>
      </c>
      <c r="O665" s="66"/>
      <c r="P665" s="71">
        <f t="shared" si="52"/>
        <v>0</v>
      </c>
      <c r="Q665" s="132"/>
      <c r="R665" s="71">
        <f t="shared" si="53"/>
        <v>-7.800224414583333</v>
      </c>
    </row>
    <row r="666" spans="1:18">
      <c r="A666" s="102" t="s">
        <v>626</v>
      </c>
      <c r="B666" s="103" t="s">
        <v>1091</v>
      </c>
      <c r="C666" s="103" t="s">
        <v>1092</v>
      </c>
      <c r="D666" s="102" t="s">
        <v>1093</v>
      </c>
      <c r="E666" s="103" t="s">
        <v>962</v>
      </c>
      <c r="F666" s="102" t="s">
        <v>88</v>
      </c>
      <c r="G666" s="103" t="s">
        <v>20</v>
      </c>
      <c r="I666" s="103">
        <v>201506</v>
      </c>
      <c r="J666" s="104">
        <v>-810.21</v>
      </c>
      <c r="K666" s="72">
        <f t="shared" si="54"/>
        <v>42675</v>
      </c>
      <c r="L666" s="67">
        <f t="shared" si="50"/>
        <v>6</v>
      </c>
      <c r="M666" s="105">
        <v>1.4833299999999999E-3</v>
      </c>
      <c r="N666" s="104">
        <f t="shared" si="51"/>
        <v>-7.2108527958000002</v>
      </c>
      <c r="O666" s="66"/>
      <c r="P666" s="71">
        <f t="shared" si="52"/>
        <v>0</v>
      </c>
      <c r="Q666" s="132"/>
      <c r="R666" s="71">
        <f t="shared" si="53"/>
        <v>-12.397394556249999</v>
      </c>
    </row>
    <row r="667" spans="1:18">
      <c r="A667" s="102" t="s">
        <v>626</v>
      </c>
      <c r="B667" s="103" t="s">
        <v>1094</v>
      </c>
      <c r="C667" s="103" t="s">
        <v>1095</v>
      </c>
      <c r="D667" s="102" t="s">
        <v>1096</v>
      </c>
      <c r="E667" s="103" t="s">
        <v>452</v>
      </c>
      <c r="F667" s="102" t="s">
        <v>398</v>
      </c>
      <c r="G667" s="103" t="s">
        <v>20</v>
      </c>
      <c r="I667" s="103">
        <v>201506</v>
      </c>
      <c r="J667" s="104">
        <v>1299.4000000000001</v>
      </c>
      <c r="K667" s="72">
        <f t="shared" si="54"/>
        <v>42675</v>
      </c>
      <c r="L667" s="67">
        <f t="shared" si="50"/>
        <v>6</v>
      </c>
      <c r="M667" s="105">
        <v>1.4833299999999999E-3</v>
      </c>
      <c r="N667" s="104">
        <f t="shared" si="51"/>
        <v>11.564634012000001</v>
      </c>
      <c r="O667" s="66"/>
      <c r="P667" s="71">
        <f t="shared" si="52"/>
        <v>0</v>
      </c>
      <c r="Q667" s="132"/>
      <c r="R667" s="71">
        <f t="shared" si="53"/>
        <v>19.882714958333331</v>
      </c>
    </row>
    <row r="668" spans="1:18">
      <c r="A668" s="102" t="s">
        <v>626</v>
      </c>
      <c r="B668" s="103" t="s">
        <v>1148</v>
      </c>
      <c r="C668" s="103" t="s">
        <v>1149</v>
      </c>
      <c r="D668" s="102" t="s">
        <v>1150</v>
      </c>
      <c r="E668" s="103" t="s">
        <v>93</v>
      </c>
      <c r="F668" s="102" t="s">
        <v>88</v>
      </c>
      <c r="G668" s="103" t="s">
        <v>20</v>
      </c>
      <c r="I668" s="103">
        <v>201506</v>
      </c>
      <c r="J668" s="104">
        <v>7647.28</v>
      </c>
      <c r="K668" s="72">
        <f t="shared" si="54"/>
        <v>42675</v>
      </c>
      <c r="L668" s="67">
        <f t="shared" si="50"/>
        <v>6</v>
      </c>
      <c r="M668" s="105">
        <v>1.4833299999999999E-3</v>
      </c>
      <c r="N668" s="104">
        <f t="shared" si="51"/>
        <v>68.060639054399999</v>
      </c>
      <c r="O668" s="66"/>
      <c r="P668" s="71">
        <f t="shared" si="52"/>
        <v>0</v>
      </c>
      <c r="Q668" s="132"/>
      <c r="R668" s="71">
        <f t="shared" si="53"/>
        <v>117.01453628333331</v>
      </c>
    </row>
    <row r="669" spans="1:18">
      <c r="A669" s="106" t="s">
        <v>626</v>
      </c>
      <c r="B669" s="103" t="s">
        <v>963</v>
      </c>
      <c r="C669" s="103" t="s">
        <v>964</v>
      </c>
      <c r="D669" s="102" t="s">
        <v>965</v>
      </c>
      <c r="E669" s="103" t="s">
        <v>164</v>
      </c>
      <c r="F669" s="102" t="s">
        <v>165</v>
      </c>
      <c r="G669" s="103" t="s">
        <v>20</v>
      </c>
      <c r="I669" s="103">
        <v>201506</v>
      </c>
      <c r="J669" s="104">
        <v>-54.83</v>
      </c>
      <c r="K669" s="72">
        <f t="shared" si="54"/>
        <v>42675</v>
      </c>
      <c r="L669" s="67">
        <f t="shared" si="50"/>
        <v>6</v>
      </c>
      <c r="M669" s="105">
        <v>1.4833299999999999E-3</v>
      </c>
      <c r="N669" s="104">
        <f t="shared" si="51"/>
        <v>-0.48798590339999998</v>
      </c>
      <c r="O669" s="66"/>
      <c r="P669" s="71">
        <f t="shared" si="52"/>
        <v>0</v>
      </c>
      <c r="Q669" s="132"/>
      <c r="R669" s="71">
        <f t="shared" si="53"/>
        <v>-0.83897896041666653</v>
      </c>
    </row>
    <row r="670" spans="1:18">
      <c r="A670" s="102" t="s">
        <v>626</v>
      </c>
      <c r="B670" s="103" t="s">
        <v>1206</v>
      </c>
      <c r="C670" s="103" t="s">
        <v>1207</v>
      </c>
      <c r="D670" s="102" t="s">
        <v>1208</v>
      </c>
      <c r="E670" s="103" t="s">
        <v>280</v>
      </c>
      <c r="F670" s="102" t="s">
        <v>26</v>
      </c>
      <c r="G670" s="103" t="s">
        <v>20</v>
      </c>
      <c r="I670" s="103">
        <v>201506</v>
      </c>
      <c r="J670" s="104">
        <v>-8974.4500000000007</v>
      </c>
      <c r="K670" s="72">
        <f t="shared" si="54"/>
        <v>42675</v>
      </c>
      <c r="L670" s="67">
        <f t="shared" si="50"/>
        <v>6</v>
      </c>
      <c r="M670" s="105">
        <v>1.4833299999999999E-3</v>
      </c>
      <c r="N670" s="104">
        <f t="shared" si="51"/>
        <v>-79.872425511000003</v>
      </c>
      <c r="O670" s="66"/>
      <c r="P670" s="71">
        <f t="shared" si="52"/>
        <v>0</v>
      </c>
      <c r="Q670" s="132"/>
      <c r="R670" s="71">
        <f t="shared" si="53"/>
        <v>-137.32217273958332</v>
      </c>
    </row>
    <row r="671" spans="1:18">
      <c r="A671" s="102" t="s">
        <v>626</v>
      </c>
      <c r="B671" s="103" t="s">
        <v>1044</v>
      </c>
      <c r="C671" s="103" t="s">
        <v>1045</v>
      </c>
      <c r="D671" s="102" t="s">
        <v>1046</v>
      </c>
      <c r="E671" s="103" t="s">
        <v>164</v>
      </c>
      <c r="F671" s="102" t="s">
        <v>165</v>
      </c>
      <c r="G671" s="103" t="s">
        <v>20</v>
      </c>
      <c r="I671" s="103">
        <v>201506</v>
      </c>
      <c r="J671" s="104">
        <v>-1218.78</v>
      </c>
      <c r="K671" s="72">
        <f t="shared" si="54"/>
        <v>42675</v>
      </c>
      <c r="L671" s="67">
        <f t="shared" si="50"/>
        <v>6</v>
      </c>
      <c r="M671" s="105">
        <v>1.4833299999999999E-3</v>
      </c>
      <c r="N671" s="104">
        <f t="shared" si="51"/>
        <v>-10.847117624399999</v>
      </c>
      <c r="O671" s="66"/>
      <c r="P671" s="71">
        <f t="shared" si="52"/>
        <v>0</v>
      </c>
      <c r="Q671" s="132"/>
      <c r="R671" s="71">
        <f t="shared" si="53"/>
        <v>-18.649111387499996</v>
      </c>
    </row>
    <row r="672" spans="1:18">
      <c r="A672" s="106" t="s">
        <v>626</v>
      </c>
      <c r="B672" s="103" t="s">
        <v>969</v>
      </c>
      <c r="C672" s="103" t="s">
        <v>970</v>
      </c>
      <c r="D672" s="102" t="s">
        <v>971</v>
      </c>
      <c r="E672" s="103" t="s">
        <v>164</v>
      </c>
      <c r="F672" s="102" t="s">
        <v>165</v>
      </c>
      <c r="G672" s="103" t="s">
        <v>20</v>
      </c>
      <c r="I672" s="103">
        <v>201506</v>
      </c>
      <c r="J672" s="104">
        <v>-183.87</v>
      </c>
      <c r="K672" s="72">
        <f t="shared" si="54"/>
        <v>42675</v>
      </c>
      <c r="L672" s="67">
        <f t="shared" si="50"/>
        <v>6</v>
      </c>
      <c r="M672" s="105">
        <v>1.4833299999999999E-3</v>
      </c>
      <c r="N672" s="104">
        <f t="shared" si="51"/>
        <v>-1.6364393226</v>
      </c>
      <c r="O672" s="66"/>
      <c r="P672" s="71">
        <f t="shared" si="52"/>
        <v>0</v>
      </c>
      <c r="Q672" s="132"/>
      <c r="R672" s="71">
        <f t="shared" si="53"/>
        <v>-2.81347914375</v>
      </c>
    </row>
    <row r="673" spans="1:18">
      <c r="A673" s="102" t="s">
        <v>626</v>
      </c>
      <c r="B673" s="103" t="s">
        <v>975</v>
      </c>
      <c r="C673" s="103" t="s">
        <v>976</v>
      </c>
      <c r="D673" s="102" t="s">
        <v>977</v>
      </c>
      <c r="E673" s="103" t="s">
        <v>87</v>
      </c>
      <c r="F673" s="102" t="s">
        <v>88</v>
      </c>
      <c r="G673" s="103" t="s">
        <v>20</v>
      </c>
      <c r="I673" s="103">
        <v>201506</v>
      </c>
      <c r="J673" s="104">
        <v>-0.2</v>
      </c>
      <c r="K673" s="72">
        <f t="shared" si="54"/>
        <v>42675</v>
      </c>
      <c r="L673" s="67">
        <f t="shared" si="50"/>
        <v>6</v>
      </c>
      <c r="M673" s="105">
        <v>1.4833299999999999E-3</v>
      </c>
      <c r="N673" s="104">
        <f t="shared" si="51"/>
        <v>-1.7799960000000001E-3</v>
      </c>
      <c r="O673" s="66"/>
      <c r="P673" s="71">
        <f t="shared" si="52"/>
        <v>0</v>
      </c>
      <c r="Q673" s="132"/>
      <c r="R673" s="71">
        <f t="shared" si="53"/>
        <v>-3.0602916666666665E-3</v>
      </c>
    </row>
    <row r="674" spans="1:18">
      <c r="A674" s="102" t="s">
        <v>626</v>
      </c>
      <c r="B674" s="103" t="s">
        <v>885</v>
      </c>
      <c r="C674" s="103" t="s">
        <v>886</v>
      </c>
      <c r="D674" s="102" t="s">
        <v>887</v>
      </c>
      <c r="E674" s="103" t="s">
        <v>93</v>
      </c>
      <c r="F674" s="102" t="s">
        <v>88</v>
      </c>
      <c r="G674" s="103" t="s">
        <v>20</v>
      </c>
      <c r="I674" s="103">
        <v>201506</v>
      </c>
      <c r="J674" s="104">
        <v>140.4</v>
      </c>
      <c r="K674" s="72">
        <f t="shared" si="54"/>
        <v>42675</v>
      </c>
      <c r="L674" s="67">
        <f t="shared" si="50"/>
        <v>6</v>
      </c>
      <c r="M674" s="105">
        <v>1.4833299999999999E-3</v>
      </c>
      <c r="N674" s="104">
        <f t="shared" si="51"/>
        <v>1.2495571920000001</v>
      </c>
      <c r="O674" s="66"/>
      <c r="P674" s="71">
        <f t="shared" si="52"/>
        <v>0</v>
      </c>
      <c r="Q674" s="132"/>
      <c r="R674" s="71">
        <f t="shared" si="53"/>
        <v>2.14832475</v>
      </c>
    </row>
    <row r="675" spans="1:18">
      <c r="A675" s="102" t="s">
        <v>626</v>
      </c>
      <c r="B675" s="103" t="s">
        <v>1097</v>
      </c>
      <c r="C675" s="103" t="s">
        <v>1098</v>
      </c>
      <c r="D675" s="102" t="s">
        <v>1099</v>
      </c>
      <c r="E675" s="103" t="s">
        <v>452</v>
      </c>
      <c r="F675" s="102" t="s">
        <v>398</v>
      </c>
      <c r="G675" s="103" t="s">
        <v>20</v>
      </c>
      <c r="I675" s="103">
        <v>201506</v>
      </c>
      <c r="J675" s="104">
        <v>-68.33</v>
      </c>
      <c r="K675" s="72">
        <f t="shared" si="54"/>
        <v>42675</v>
      </c>
      <c r="L675" s="67">
        <f t="shared" si="50"/>
        <v>6</v>
      </c>
      <c r="M675" s="105">
        <v>1.4833299999999999E-3</v>
      </c>
      <c r="N675" s="104">
        <f t="shared" si="51"/>
        <v>-0.60813563339999999</v>
      </c>
      <c r="O675" s="66"/>
      <c r="P675" s="71">
        <f t="shared" si="52"/>
        <v>0</v>
      </c>
      <c r="Q675" s="132"/>
      <c r="R675" s="71">
        <f t="shared" si="53"/>
        <v>-1.0455486479166665</v>
      </c>
    </row>
    <row r="676" spans="1:18">
      <c r="A676" s="102" t="s">
        <v>626</v>
      </c>
      <c r="B676" s="103" t="s">
        <v>1100</v>
      </c>
      <c r="C676" s="103" t="s">
        <v>1101</v>
      </c>
      <c r="D676" s="102" t="s">
        <v>1102</v>
      </c>
      <c r="E676" s="103" t="s">
        <v>397</v>
      </c>
      <c r="F676" s="102" t="s">
        <v>398</v>
      </c>
      <c r="G676" s="103" t="s">
        <v>20</v>
      </c>
      <c r="I676" s="103">
        <v>201506</v>
      </c>
      <c r="J676" s="104">
        <v>-51.73</v>
      </c>
      <c r="K676" s="72">
        <f t="shared" si="54"/>
        <v>42675</v>
      </c>
      <c r="L676" s="67">
        <f t="shared" si="50"/>
        <v>6</v>
      </c>
      <c r="M676" s="105">
        <v>1.4833299999999999E-3</v>
      </c>
      <c r="N676" s="104">
        <f t="shared" si="51"/>
        <v>-0.4603959654</v>
      </c>
      <c r="O676" s="66"/>
      <c r="P676" s="71">
        <f t="shared" si="52"/>
        <v>0</v>
      </c>
      <c r="Q676" s="132"/>
      <c r="R676" s="71">
        <f t="shared" si="53"/>
        <v>-0.7915444395833332</v>
      </c>
    </row>
    <row r="677" spans="1:18">
      <c r="A677" s="102" t="s">
        <v>626</v>
      </c>
      <c r="B677" s="103" t="s">
        <v>912</v>
      </c>
      <c r="C677" s="103" t="s">
        <v>913</v>
      </c>
      <c r="D677" s="102" t="s">
        <v>914</v>
      </c>
      <c r="E677" s="103" t="s">
        <v>164</v>
      </c>
      <c r="F677" s="102" t="s">
        <v>165</v>
      </c>
      <c r="G677" s="103" t="s">
        <v>20</v>
      </c>
      <c r="I677" s="103">
        <v>201506</v>
      </c>
      <c r="J677" s="104">
        <v>-31.03</v>
      </c>
      <c r="K677" s="72">
        <f t="shared" si="54"/>
        <v>42675</v>
      </c>
      <c r="L677" s="67">
        <f t="shared" si="50"/>
        <v>6</v>
      </c>
      <c r="M677" s="105">
        <v>1.4833299999999999E-3</v>
      </c>
      <c r="N677" s="104">
        <f t="shared" si="51"/>
        <v>-0.27616637939999999</v>
      </c>
      <c r="O677" s="66"/>
      <c r="P677" s="71">
        <f t="shared" si="52"/>
        <v>0</v>
      </c>
      <c r="Q677" s="132"/>
      <c r="R677" s="71">
        <f t="shared" si="53"/>
        <v>-0.47480425208333327</v>
      </c>
    </row>
    <row r="678" spans="1:18">
      <c r="A678" s="102" t="s">
        <v>626</v>
      </c>
      <c r="B678" s="103" t="s">
        <v>919</v>
      </c>
      <c r="C678" s="103" t="s">
        <v>920</v>
      </c>
      <c r="D678" s="102" t="s">
        <v>921</v>
      </c>
      <c r="E678" s="103" t="s">
        <v>164</v>
      </c>
      <c r="F678" s="102" t="s">
        <v>165</v>
      </c>
      <c r="G678" s="103" t="s">
        <v>20</v>
      </c>
      <c r="I678" s="103">
        <v>201506</v>
      </c>
      <c r="J678" s="104">
        <v>-11.04</v>
      </c>
      <c r="K678" s="72">
        <f t="shared" si="54"/>
        <v>42675</v>
      </c>
      <c r="L678" s="67">
        <f t="shared" si="50"/>
        <v>6</v>
      </c>
      <c r="M678" s="105">
        <v>1.4833299999999999E-3</v>
      </c>
      <c r="N678" s="104">
        <f t="shared" si="51"/>
        <v>-9.825577919999999E-2</v>
      </c>
      <c r="O678" s="66"/>
      <c r="P678" s="71">
        <f t="shared" si="52"/>
        <v>0</v>
      </c>
      <c r="Q678" s="132"/>
      <c r="R678" s="71">
        <f t="shared" si="53"/>
        <v>-0.16892809999999997</v>
      </c>
    </row>
    <row r="679" spans="1:18">
      <c r="A679" s="102" t="s">
        <v>626</v>
      </c>
      <c r="B679" s="103" t="s">
        <v>1047</v>
      </c>
      <c r="C679" s="103" t="s">
        <v>1048</v>
      </c>
      <c r="D679" s="102" t="s">
        <v>1049</v>
      </c>
      <c r="E679" s="103" t="s">
        <v>164</v>
      </c>
      <c r="F679" s="102" t="s">
        <v>165</v>
      </c>
      <c r="G679" s="103" t="s">
        <v>20</v>
      </c>
      <c r="I679" s="103">
        <v>201506</v>
      </c>
      <c r="J679" s="104">
        <v>-730.87</v>
      </c>
      <c r="K679" s="72">
        <f t="shared" si="54"/>
        <v>42675</v>
      </c>
      <c r="L679" s="67">
        <f t="shared" si="50"/>
        <v>6</v>
      </c>
      <c r="M679" s="105">
        <v>1.4833299999999999E-3</v>
      </c>
      <c r="N679" s="104">
        <f t="shared" si="51"/>
        <v>-6.5047283825999997</v>
      </c>
      <c r="O679" s="66"/>
      <c r="P679" s="71">
        <f t="shared" si="52"/>
        <v>0</v>
      </c>
      <c r="Q679" s="132"/>
      <c r="R679" s="71">
        <f t="shared" si="53"/>
        <v>-11.183376852083333</v>
      </c>
    </row>
    <row r="680" spans="1:18">
      <c r="A680" s="102" t="s">
        <v>626</v>
      </c>
      <c r="B680" s="103" t="s">
        <v>1103</v>
      </c>
      <c r="C680" s="103" t="s">
        <v>1104</v>
      </c>
      <c r="D680" s="102" t="s">
        <v>1105</v>
      </c>
      <c r="E680" s="103" t="s">
        <v>87</v>
      </c>
      <c r="F680" s="102" t="s">
        <v>88</v>
      </c>
      <c r="G680" s="103" t="s">
        <v>20</v>
      </c>
      <c r="I680" s="103">
        <v>201506</v>
      </c>
      <c r="J680" s="104">
        <v>10263.620000000001</v>
      </c>
      <c r="K680" s="72">
        <f t="shared" si="54"/>
        <v>42675</v>
      </c>
      <c r="L680" s="67">
        <f t="shared" si="50"/>
        <v>6</v>
      </c>
      <c r="M680" s="105">
        <v>1.4833299999999999E-3</v>
      </c>
      <c r="N680" s="104">
        <f t="shared" si="51"/>
        <v>91.346012727600012</v>
      </c>
      <c r="O680" s="66"/>
      <c r="P680" s="71">
        <f t="shared" si="52"/>
        <v>0</v>
      </c>
      <c r="Q680" s="132"/>
      <c r="R680" s="71">
        <f t="shared" si="53"/>
        <v>157.04835377916666</v>
      </c>
    </row>
    <row r="681" spans="1:18">
      <c r="A681" s="102" t="s">
        <v>626</v>
      </c>
      <c r="B681" s="103" t="s">
        <v>1106</v>
      </c>
      <c r="C681" s="103" t="s">
        <v>1107</v>
      </c>
      <c r="D681" s="102" t="s">
        <v>1108</v>
      </c>
      <c r="E681" s="103" t="s">
        <v>18</v>
      </c>
      <c r="F681" s="102" t="s">
        <v>19</v>
      </c>
      <c r="G681" s="103" t="s">
        <v>20</v>
      </c>
      <c r="I681" s="103">
        <v>201506</v>
      </c>
      <c r="J681" s="104">
        <v>-188.37</v>
      </c>
      <c r="K681" s="72">
        <f t="shared" si="54"/>
        <v>42675</v>
      </c>
      <c r="L681" s="67">
        <f t="shared" si="50"/>
        <v>6</v>
      </c>
      <c r="M681" s="105">
        <v>1.4833299999999999E-3</v>
      </c>
      <c r="N681" s="104">
        <f t="shared" si="51"/>
        <v>-1.6764892326</v>
      </c>
      <c r="O681" s="66"/>
      <c r="P681" s="71">
        <f t="shared" si="52"/>
        <v>0</v>
      </c>
      <c r="Q681" s="132"/>
      <c r="R681" s="71">
        <f t="shared" si="53"/>
        <v>-2.8823357062499997</v>
      </c>
    </row>
    <row r="682" spans="1:18">
      <c r="A682" s="102" t="s">
        <v>626</v>
      </c>
      <c r="B682" s="103" t="s">
        <v>1109</v>
      </c>
      <c r="C682" s="103" t="s">
        <v>1110</v>
      </c>
      <c r="D682" s="102" t="s">
        <v>1111</v>
      </c>
      <c r="E682" s="103" t="s">
        <v>260</v>
      </c>
      <c r="F682" s="102" t="s">
        <v>26</v>
      </c>
      <c r="G682" s="103" t="s">
        <v>20</v>
      </c>
      <c r="I682" s="103">
        <v>201506</v>
      </c>
      <c r="J682" s="104">
        <v>-169.75</v>
      </c>
      <c r="K682" s="72">
        <f t="shared" si="54"/>
        <v>42675</v>
      </c>
      <c r="L682" s="67">
        <f t="shared" si="50"/>
        <v>6</v>
      </c>
      <c r="M682" s="105">
        <v>1.4833299999999999E-3</v>
      </c>
      <c r="N682" s="104">
        <f t="shared" si="51"/>
        <v>-1.510771605</v>
      </c>
      <c r="O682" s="66"/>
      <c r="P682" s="71">
        <f t="shared" si="52"/>
        <v>0</v>
      </c>
      <c r="Q682" s="132"/>
      <c r="R682" s="71">
        <f t="shared" si="53"/>
        <v>-2.5974225520833332</v>
      </c>
    </row>
    <row r="683" spans="1:18">
      <c r="A683" s="102" t="s">
        <v>626</v>
      </c>
      <c r="B683" s="103" t="s">
        <v>1050</v>
      </c>
      <c r="C683" s="103" t="s">
        <v>1051</v>
      </c>
      <c r="D683" s="102" t="s">
        <v>1052</v>
      </c>
      <c r="E683" s="103" t="s">
        <v>164</v>
      </c>
      <c r="F683" s="102" t="s">
        <v>165</v>
      </c>
      <c r="G683" s="103" t="s">
        <v>20</v>
      </c>
      <c r="I683" s="103">
        <v>201506</v>
      </c>
      <c r="J683" s="104">
        <v>-299.83999999999997</v>
      </c>
      <c r="K683" s="72">
        <f t="shared" si="54"/>
        <v>42675</v>
      </c>
      <c r="L683" s="67">
        <f t="shared" si="50"/>
        <v>6</v>
      </c>
      <c r="M683" s="105">
        <v>1.4833299999999999E-3</v>
      </c>
      <c r="N683" s="104">
        <f t="shared" si="51"/>
        <v>-2.6685700031999997</v>
      </c>
      <c r="O683" s="66"/>
      <c r="P683" s="71">
        <f t="shared" si="52"/>
        <v>0</v>
      </c>
      <c r="Q683" s="132"/>
      <c r="R683" s="71">
        <f t="shared" si="53"/>
        <v>-4.587989266666666</v>
      </c>
    </row>
    <row r="684" spans="1:18">
      <c r="A684" s="102" t="s">
        <v>626</v>
      </c>
      <c r="B684" s="103" t="s">
        <v>1209</v>
      </c>
      <c r="C684" s="103" t="s">
        <v>1210</v>
      </c>
      <c r="D684" s="102" t="s">
        <v>1211</v>
      </c>
      <c r="E684" s="103" t="s">
        <v>79</v>
      </c>
      <c r="F684" s="102" t="s">
        <v>26</v>
      </c>
      <c r="G684" s="103" t="s">
        <v>20</v>
      </c>
      <c r="I684" s="103">
        <v>201506</v>
      </c>
      <c r="J684" s="104">
        <v>-2125.94</v>
      </c>
      <c r="K684" s="72">
        <f t="shared" si="54"/>
        <v>42675</v>
      </c>
      <c r="L684" s="67">
        <f t="shared" si="50"/>
        <v>6</v>
      </c>
      <c r="M684" s="105">
        <v>1.4833299999999999E-3</v>
      </c>
      <c r="N684" s="104">
        <f t="shared" si="51"/>
        <v>-18.920823481199999</v>
      </c>
      <c r="O684" s="66"/>
      <c r="P684" s="71">
        <f t="shared" si="52"/>
        <v>0</v>
      </c>
      <c r="Q684" s="132"/>
      <c r="R684" s="71">
        <f t="shared" si="53"/>
        <v>-32.529982329166664</v>
      </c>
    </row>
    <row r="685" spans="1:18">
      <c r="A685" s="102" t="s">
        <v>626</v>
      </c>
      <c r="B685" s="103" t="s">
        <v>981</v>
      </c>
      <c r="C685" s="103" t="s">
        <v>982</v>
      </c>
      <c r="D685" s="102" t="s">
        <v>983</v>
      </c>
      <c r="E685" s="103" t="s">
        <v>531</v>
      </c>
      <c r="F685" s="102" t="s">
        <v>26</v>
      </c>
      <c r="G685" s="103" t="s">
        <v>20</v>
      </c>
      <c r="I685" s="103">
        <v>201506</v>
      </c>
      <c r="J685" s="104">
        <v>-222.23</v>
      </c>
      <c r="K685" s="72">
        <f t="shared" si="54"/>
        <v>42675</v>
      </c>
      <c r="L685" s="67">
        <f t="shared" si="50"/>
        <v>6</v>
      </c>
      <c r="M685" s="105">
        <v>1.4833299999999999E-3</v>
      </c>
      <c r="N685" s="104">
        <f t="shared" si="51"/>
        <v>-1.9778425553999999</v>
      </c>
      <c r="O685" s="66"/>
      <c r="P685" s="71">
        <f t="shared" si="52"/>
        <v>0</v>
      </c>
      <c r="Q685" s="132"/>
      <c r="R685" s="71">
        <f t="shared" si="53"/>
        <v>-3.4004430854166663</v>
      </c>
    </row>
    <row r="686" spans="1:18">
      <c r="A686" s="102" t="s">
        <v>626</v>
      </c>
      <c r="B686" s="103" t="s">
        <v>1414</v>
      </c>
      <c r="C686" s="103" t="s">
        <v>1415</v>
      </c>
      <c r="D686" s="102" t="s">
        <v>1416</v>
      </c>
      <c r="E686" s="103" t="s">
        <v>209</v>
      </c>
      <c r="F686" s="102" t="s">
        <v>88</v>
      </c>
      <c r="G686" s="103" t="s">
        <v>20</v>
      </c>
      <c r="I686" s="103">
        <v>201506</v>
      </c>
      <c r="J686" s="104">
        <v>1165.94</v>
      </c>
      <c r="K686" s="72">
        <f t="shared" si="54"/>
        <v>42675</v>
      </c>
      <c r="L686" s="67">
        <f t="shared" si="50"/>
        <v>6</v>
      </c>
      <c r="M686" s="105">
        <v>1.4833299999999999E-3</v>
      </c>
      <c r="N686" s="104">
        <f t="shared" si="51"/>
        <v>10.376842681200001</v>
      </c>
      <c r="O686" s="66"/>
      <c r="P686" s="71">
        <f t="shared" si="52"/>
        <v>0</v>
      </c>
      <c r="Q686" s="132"/>
      <c r="R686" s="71">
        <f t="shared" si="53"/>
        <v>17.840582329166665</v>
      </c>
    </row>
    <row r="687" spans="1:18">
      <c r="A687" s="102" t="s">
        <v>626</v>
      </c>
      <c r="B687" s="103" t="s">
        <v>1292</v>
      </c>
      <c r="C687" s="103" t="s">
        <v>1293</v>
      </c>
      <c r="D687" s="102" t="s">
        <v>1294</v>
      </c>
      <c r="E687" s="103" t="s">
        <v>93</v>
      </c>
      <c r="F687" s="102" t="s">
        <v>88</v>
      </c>
      <c r="G687" s="103" t="s">
        <v>20</v>
      </c>
      <c r="I687" s="103">
        <v>201506</v>
      </c>
      <c r="J687" s="104">
        <v>-294.75</v>
      </c>
      <c r="K687" s="72">
        <f t="shared" si="54"/>
        <v>42675</v>
      </c>
      <c r="L687" s="67">
        <f t="shared" si="50"/>
        <v>6</v>
      </c>
      <c r="M687" s="105">
        <v>1.4833299999999999E-3</v>
      </c>
      <c r="N687" s="104">
        <f t="shared" si="51"/>
        <v>-2.6232691049999999</v>
      </c>
      <c r="O687" s="66"/>
      <c r="P687" s="71">
        <f t="shared" si="52"/>
        <v>0</v>
      </c>
      <c r="Q687" s="132"/>
      <c r="R687" s="71">
        <f t="shared" si="53"/>
        <v>-4.5101048437499998</v>
      </c>
    </row>
    <row r="688" spans="1:18">
      <c r="A688" s="102" t="s">
        <v>626</v>
      </c>
      <c r="B688" s="103" t="s">
        <v>1053</v>
      </c>
      <c r="C688" s="103" t="s">
        <v>1054</v>
      </c>
      <c r="D688" s="102" t="s">
        <v>1055</v>
      </c>
      <c r="E688" s="103" t="s">
        <v>160</v>
      </c>
      <c r="F688" s="102" t="s">
        <v>19</v>
      </c>
      <c r="G688" s="103" t="s">
        <v>20</v>
      </c>
      <c r="I688" s="103">
        <v>201506</v>
      </c>
      <c r="J688" s="104">
        <v>-7.3</v>
      </c>
      <c r="K688" s="72">
        <f t="shared" si="54"/>
        <v>42675</v>
      </c>
      <c r="L688" s="67">
        <f t="shared" si="50"/>
        <v>6</v>
      </c>
      <c r="M688" s="105">
        <v>1.4833299999999999E-3</v>
      </c>
      <c r="N688" s="104">
        <f t="shared" si="51"/>
        <v>-6.4969853999999994E-2</v>
      </c>
      <c r="O688" s="66"/>
      <c r="P688" s="71">
        <f t="shared" si="52"/>
        <v>0</v>
      </c>
      <c r="Q688" s="132"/>
      <c r="R688" s="71">
        <f t="shared" si="53"/>
        <v>-0.11170064583333332</v>
      </c>
    </row>
    <row r="689" spans="1:18">
      <c r="A689" s="102" t="s">
        <v>626</v>
      </c>
      <c r="B689" s="103" t="s">
        <v>1056</v>
      </c>
      <c r="C689" s="103" t="s">
        <v>1057</v>
      </c>
      <c r="D689" s="102" t="s">
        <v>1058</v>
      </c>
      <c r="E689" s="103" t="s">
        <v>1059</v>
      </c>
      <c r="F689" s="102" t="s">
        <v>26</v>
      </c>
      <c r="G689" s="103" t="s">
        <v>20</v>
      </c>
      <c r="I689" s="103">
        <v>201506</v>
      </c>
      <c r="J689" s="104">
        <v>-118.72</v>
      </c>
      <c r="K689" s="72">
        <f t="shared" si="54"/>
        <v>42675</v>
      </c>
      <c r="L689" s="67">
        <f t="shared" si="50"/>
        <v>6</v>
      </c>
      <c r="M689" s="105">
        <v>1.4833299999999999E-3</v>
      </c>
      <c r="N689" s="104">
        <f t="shared" si="51"/>
        <v>-1.0566056256</v>
      </c>
      <c r="O689" s="66"/>
      <c r="P689" s="71">
        <f t="shared" si="52"/>
        <v>0</v>
      </c>
      <c r="Q689" s="132"/>
      <c r="R689" s="71">
        <f t="shared" si="53"/>
        <v>-1.8165891333333331</v>
      </c>
    </row>
    <row r="690" spans="1:18">
      <c r="A690" s="102" t="s">
        <v>626</v>
      </c>
      <c r="B690" s="103" t="s">
        <v>1417</v>
      </c>
      <c r="C690" s="103" t="s">
        <v>1418</v>
      </c>
      <c r="D690" s="102" t="s">
        <v>1419</v>
      </c>
      <c r="E690" s="103" t="s">
        <v>75</v>
      </c>
      <c r="F690" s="102" t="s">
        <v>26</v>
      </c>
      <c r="G690" s="103" t="s">
        <v>20</v>
      </c>
      <c r="I690" s="103">
        <v>201506</v>
      </c>
      <c r="J690" s="104">
        <v>-7682.81</v>
      </c>
      <c r="K690" s="72">
        <f t="shared" si="54"/>
        <v>42675</v>
      </c>
      <c r="L690" s="67">
        <f t="shared" si="50"/>
        <v>6</v>
      </c>
      <c r="M690" s="105">
        <v>1.4833299999999999E-3</v>
      </c>
      <c r="N690" s="104">
        <f t="shared" si="51"/>
        <v>-68.376855343800003</v>
      </c>
      <c r="O690" s="66"/>
      <c r="P690" s="71">
        <f t="shared" si="52"/>
        <v>0</v>
      </c>
      <c r="Q690" s="132"/>
      <c r="R690" s="71">
        <f t="shared" si="53"/>
        <v>-117.55819709791666</v>
      </c>
    </row>
    <row r="691" spans="1:18">
      <c r="A691" s="102" t="s">
        <v>626</v>
      </c>
      <c r="B691" s="103" t="s">
        <v>1163</v>
      </c>
      <c r="C691" s="103" t="s">
        <v>1164</v>
      </c>
      <c r="D691" s="102" t="s">
        <v>1165</v>
      </c>
      <c r="E691" s="103" t="s">
        <v>75</v>
      </c>
      <c r="F691" s="102" t="s">
        <v>26</v>
      </c>
      <c r="G691" s="103" t="s">
        <v>20</v>
      </c>
      <c r="I691" s="103">
        <v>201506</v>
      </c>
      <c r="J691" s="104">
        <v>-193.99</v>
      </c>
      <c r="K691" s="72">
        <f t="shared" si="54"/>
        <v>42675</v>
      </c>
      <c r="L691" s="67">
        <f t="shared" si="50"/>
        <v>6</v>
      </c>
      <c r="M691" s="105">
        <v>1.4833299999999999E-3</v>
      </c>
      <c r="N691" s="104">
        <f t="shared" si="51"/>
        <v>-1.7265071202000002</v>
      </c>
      <c r="O691" s="66"/>
      <c r="P691" s="71">
        <f t="shared" si="52"/>
        <v>0</v>
      </c>
      <c r="Q691" s="132"/>
      <c r="R691" s="71">
        <f t="shared" si="53"/>
        <v>-2.9683299020833331</v>
      </c>
    </row>
    <row r="692" spans="1:18">
      <c r="A692" s="102" t="s">
        <v>626</v>
      </c>
      <c r="B692" s="103" t="s">
        <v>1166</v>
      </c>
      <c r="C692" s="103" t="s">
        <v>1167</v>
      </c>
      <c r="D692" s="102" t="s">
        <v>1168</v>
      </c>
      <c r="E692" s="103" t="s">
        <v>75</v>
      </c>
      <c r="F692" s="102" t="s">
        <v>26</v>
      </c>
      <c r="G692" s="103" t="s">
        <v>20</v>
      </c>
      <c r="I692" s="103">
        <v>201506</v>
      </c>
      <c r="J692" s="104">
        <v>-40.31</v>
      </c>
      <c r="K692" s="72">
        <f t="shared" si="54"/>
        <v>42675</v>
      </c>
      <c r="L692" s="67">
        <f t="shared" si="50"/>
        <v>6</v>
      </c>
      <c r="M692" s="105">
        <v>1.4833299999999999E-3</v>
      </c>
      <c r="N692" s="104">
        <f t="shared" si="51"/>
        <v>-0.35875819380000001</v>
      </c>
      <c r="O692" s="66"/>
      <c r="P692" s="71">
        <f t="shared" si="52"/>
        <v>0</v>
      </c>
      <c r="Q692" s="132"/>
      <c r="R692" s="71">
        <f t="shared" si="53"/>
        <v>-0.61680178541666664</v>
      </c>
    </row>
    <row r="693" spans="1:18">
      <c r="A693" s="102" t="s">
        <v>626</v>
      </c>
      <c r="B693" s="103" t="s">
        <v>1169</v>
      </c>
      <c r="C693" s="103" t="s">
        <v>1170</v>
      </c>
      <c r="D693" s="102" t="s">
        <v>1171</v>
      </c>
      <c r="E693" s="103" t="s">
        <v>164</v>
      </c>
      <c r="F693" s="102" t="s">
        <v>165</v>
      </c>
      <c r="G693" s="103" t="s">
        <v>20</v>
      </c>
      <c r="I693" s="103">
        <v>201506</v>
      </c>
      <c r="J693" s="104">
        <v>-884.7</v>
      </c>
      <c r="K693" s="72">
        <f t="shared" si="54"/>
        <v>42675</v>
      </c>
      <c r="L693" s="67">
        <f t="shared" si="50"/>
        <v>6</v>
      </c>
      <c r="M693" s="105">
        <v>1.4833299999999999E-3</v>
      </c>
      <c r="N693" s="104">
        <f t="shared" si="51"/>
        <v>-7.8738123060000005</v>
      </c>
      <c r="O693" s="66"/>
      <c r="P693" s="71">
        <f t="shared" si="52"/>
        <v>0</v>
      </c>
      <c r="Q693" s="132"/>
      <c r="R693" s="71">
        <f t="shared" si="53"/>
        <v>-13.5372001875</v>
      </c>
    </row>
    <row r="694" spans="1:18">
      <c r="A694" s="102" t="s">
        <v>626</v>
      </c>
      <c r="B694" s="103" t="s">
        <v>1172</v>
      </c>
      <c r="C694" s="103" t="s">
        <v>1173</v>
      </c>
      <c r="D694" s="102" t="s">
        <v>1174</v>
      </c>
      <c r="E694" s="103" t="s">
        <v>156</v>
      </c>
      <c r="F694" s="102" t="s">
        <v>26</v>
      </c>
      <c r="G694" s="103" t="s">
        <v>20</v>
      </c>
      <c r="I694" s="103">
        <v>201506</v>
      </c>
      <c r="J694" s="104">
        <v>-328.05</v>
      </c>
      <c r="K694" s="72">
        <f t="shared" si="54"/>
        <v>42675</v>
      </c>
      <c r="L694" s="67">
        <f t="shared" si="50"/>
        <v>6</v>
      </c>
      <c r="M694" s="105">
        <v>1.4833299999999999E-3</v>
      </c>
      <c r="N694" s="104">
        <f t="shared" si="51"/>
        <v>-2.9196384390000003</v>
      </c>
      <c r="O694" s="66"/>
      <c r="P694" s="71">
        <f t="shared" si="52"/>
        <v>0</v>
      </c>
      <c r="Q694" s="132"/>
      <c r="R694" s="71">
        <f t="shared" si="53"/>
        <v>-5.0196434062500002</v>
      </c>
    </row>
    <row r="695" spans="1:18">
      <c r="A695" s="102" t="s">
        <v>626</v>
      </c>
      <c r="B695" s="103" t="s">
        <v>1318</v>
      </c>
      <c r="C695" s="103" t="s">
        <v>1319</v>
      </c>
      <c r="D695" s="102" t="s">
        <v>1320</v>
      </c>
      <c r="E695" s="103" t="s">
        <v>1059</v>
      </c>
      <c r="F695" s="102" t="s">
        <v>26</v>
      </c>
      <c r="G695" s="103" t="s">
        <v>20</v>
      </c>
      <c r="I695" s="103">
        <v>201506</v>
      </c>
      <c r="J695" s="104">
        <v>-139.97999999999999</v>
      </c>
      <c r="K695" s="72">
        <f t="shared" si="54"/>
        <v>42675</v>
      </c>
      <c r="L695" s="67">
        <f t="shared" si="50"/>
        <v>6</v>
      </c>
      <c r="M695" s="105">
        <v>1.4833299999999999E-3</v>
      </c>
      <c r="N695" s="104">
        <f t="shared" si="51"/>
        <v>-1.2458192003999999</v>
      </c>
      <c r="O695" s="66"/>
      <c r="P695" s="71">
        <f t="shared" si="52"/>
        <v>0</v>
      </c>
      <c r="Q695" s="132"/>
      <c r="R695" s="71">
        <f t="shared" si="53"/>
        <v>-2.1418981374999997</v>
      </c>
    </row>
    <row r="696" spans="1:18">
      <c r="A696" s="102" t="s">
        <v>626</v>
      </c>
      <c r="B696" s="103" t="s">
        <v>1212</v>
      </c>
      <c r="C696" s="103" t="s">
        <v>1213</v>
      </c>
      <c r="D696" s="102" t="s">
        <v>1214</v>
      </c>
      <c r="E696" s="103" t="s">
        <v>260</v>
      </c>
      <c r="F696" s="102" t="s">
        <v>26</v>
      </c>
      <c r="G696" s="103" t="s">
        <v>20</v>
      </c>
      <c r="I696" s="103">
        <v>201506</v>
      </c>
      <c r="J696" s="104">
        <v>2672.68</v>
      </c>
      <c r="K696" s="72">
        <f t="shared" si="54"/>
        <v>42675</v>
      </c>
      <c r="L696" s="67">
        <f t="shared" si="50"/>
        <v>6</v>
      </c>
      <c r="M696" s="105">
        <v>1.4833299999999999E-3</v>
      </c>
      <c r="N696" s="104">
        <f t="shared" si="51"/>
        <v>23.7867985464</v>
      </c>
      <c r="O696" s="66"/>
      <c r="P696" s="71">
        <f t="shared" si="52"/>
        <v>0</v>
      </c>
      <c r="Q696" s="132"/>
      <c r="R696" s="71">
        <f t="shared" si="53"/>
        <v>40.895901658333329</v>
      </c>
    </row>
    <row r="697" spans="1:18">
      <c r="A697" s="102" t="s">
        <v>626</v>
      </c>
      <c r="B697" s="103" t="s">
        <v>1420</v>
      </c>
      <c r="C697" s="103" t="s">
        <v>1421</v>
      </c>
      <c r="D697" s="102" t="s">
        <v>1422</v>
      </c>
      <c r="E697" s="103" t="s">
        <v>260</v>
      </c>
      <c r="F697" s="102" t="s">
        <v>26</v>
      </c>
      <c r="G697" s="103" t="s">
        <v>20</v>
      </c>
      <c r="I697" s="103">
        <v>201506</v>
      </c>
      <c r="J697" s="104">
        <v>-360.31</v>
      </c>
      <c r="K697" s="72">
        <f t="shared" si="54"/>
        <v>42675</v>
      </c>
      <c r="L697" s="67">
        <f t="shared" si="50"/>
        <v>6</v>
      </c>
      <c r="M697" s="105">
        <v>1.4833299999999999E-3</v>
      </c>
      <c r="N697" s="104">
        <f t="shared" si="51"/>
        <v>-3.2067517938000001</v>
      </c>
      <c r="O697" s="66"/>
      <c r="P697" s="71">
        <f t="shared" si="52"/>
        <v>0</v>
      </c>
      <c r="Q697" s="132"/>
      <c r="R697" s="71">
        <f t="shared" si="53"/>
        <v>-5.5132684520833326</v>
      </c>
    </row>
    <row r="698" spans="1:18">
      <c r="A698" s="102" t="s">
        <v>626</v>
      </c>
      <c r="B698" s="103" t="s">
        <v>1175</v>
      </c>
      <c r="C698" s="103" t="s">
        <v>1176</v>
      </c>
      <c r="D698" s="102" t="s">
        <v>1177</v>
      </c>
      <c r="E698" s="103" t="s">
        <v>1059</v>
      </c>
      <c r="F698" s="102" t="s">
        <v>26</v>
      </c>
      <c r="G698" s="103" t="s">
        <v>20</v>
      </c>
      <c r="I698" s="103">
        <v>201506</v>
      </c>
      <c r="J698" s="104">
        <v>-56.29</v>
      </c>
      <c r="K698" s="72">
        <f t="shared" si="54"/>
        <v>42675</v>
      </c>
      <c r="L698" s="67">
        <f t="shared" si="50"/>
        <v>6</v>
      </c>
      <c r="M698" s="105">
        <v>1.4833299999999999E-3</v>
      </c>
      <c r="N698" s="104">
        <f t="shared" si="51"/>
        <v>-0.50097987420000001</v>
      </c>
      <c r="O698" s="66"/>
      <c r="P698" s="71">
        <f t="shared" si="52"/>
        <v>0</v>
      </c>
      <c r="Q698" s="132"/>
      <c r="R698" s="71">
        <f t="shared" si="53"/>
        <v>-0.86131908958333314</v>
      </c>
    </row>
    <row r="699" spans="1:18">
      <c r="A699" s="102" t="s">
        <v>626</v>
      </c>
      <c r="B699" s="103" t="s">
        <v>1178</v>
      </c>
      <c r="C699" s="103" t="s">
        <v>1179</v>
      </c>
      <c r="D699" s="102" t="s">
        <v>1180</v>
      </c>
      <c r="E699" s="103" t="s">
        <v>260</v>
      </c>
      <c r="F699" s="102" t="s">
        <v>26</v>
      </c>
      <c r="G699" s="103" t="s">
        <v>20</v>
      </c>
      <c r="I699" s="103">
        <v>201506</v>
      </c>
      <c r="J699" s="104">
        <v>-82.99</v>
      </c>
      <c r="K699" s="72">
        <f t="shared" si="54"/>
        <v>42675</v>
      </c>
      <c r="L699" s="67">
        <f t="shared" si="50"/>
        <v>6</v>
      </c>
      <c r="M699" s="105">
        <v>1.4833299999999999E-3</v>
      </c>
      <c r="N699" s="104">
        <f t="shared" si="51"/>
        <v>-0.73860934019999991</v>
      </c>
      <c r="O699" s="66"/>
      <c r="P699" s="71">
        <f t="shared" si="52"/>
        <v>0</v>
      </c>
      <c r="Q699" s="132"/>
      <c r="R699" s="71">
        <f t="shared" si="53"/>
        <v>-1.2698680270833331</v>
      </c>
    </row>
    <row r="700" spans="1:18">
      <c r="A700" s="102" t="s">
        <v>626</v>
      </c>
      <c r="B700" s="103" t="s">
        <v>1268</v>
      </c>
      <c r="C700" s="103" t="s">
        <v>1269</v>
      </c>
      <c r="D700" s="102" t="s">
        <v>1270</v>
      </c>
      <c r="E700" s="103" t="s">
        <v>260</v>
      </c>
      <c r="F700" s="102" t="s">
        <v>26</v>
      </c>
      <c r="G700" s="103" t="s">
        <v>20</v>
      </c>
      <c r="I700" s="103">
        <v>201506</v>
      </c>
      <c r="J700" s="104">
        <v>6769.05</v>
      </c>
      <c r="K700" s="72">
        <f t="shared" si="54"/>
        <v>42675</v>
      </c>
      <c r="L700" s="67">
        <f t="shared" si="50"/>
        <v>6</v>
      </c>
      <c r="M700" s="105">
        <v>1.4833299999999999E-3</v>
      </c>
      <c r="N700" s="104">
        <f t="shared" si="51"/>
        <v>60.244409619000002</v>
      </c>
      <c r="O700" s="66"/>
      <c r="P700" s="71">
        <f t="shared" si="52"/>
        <v>0</v>
      </c>
      <c r="Q700" s="132"/>
      <c r="R700" s="71">
        <f t="shared" si="53"/>
        <v>103.57633653124999</v>
      </c>
    </row>
    <row r="701" spans="1:18">
      <c r="A701" s="102" t="s">
        <v>626</v>
      </c>
      <c r="B701" s="103" t="s">
        <v>1215</v>
      </c>
      <c r="C701" s="103" t="s">
        <v>1216</v>
      </c>
      <c r="D701" s="102" t="s">
        <v>1217</v>
      </c>
      <c r="E701" s="103" t="s">
        <v>102</v>
      </c>
      <c r="F701" s="102" t="s">
        <v>19</v>
      </c>
      <c r="G701" s="103" t="s">
        <v>20</v>
      </c>
      <c r="I701" s="103">
        <v>201506</v>
      </c>
      <c r="J701" s="104">
        <v>-34.17</v>
      </c>
      <c r="K701" s="72">
        <f t="shared" si="54"/>
        <v>42675</v>
      </c>
      <c r="L701" s="67">
        <f t="shared" si="50"/>
        <v>6</v>
      </c>
      <c r="M701" s="105">
        <v>1.4833299999999999E-3</v>
      </c>
      <c r="N701" s="104">
        <f t="shared" si="51"/>
        <v>-0.30411231660000004</v>
      </c>
      <c r="O701" s="66"/>
      <c r="P701" s="71">
        <f t="shared" si="52"/>
        <v>0</v>
      </c>
      <c r="Q701" s="132"/>
      <c r="R701" s="71">
        <f t="shared" si="53"/>
        <v>-0.52285083124999998</v>
      </c>
    </row>
    <row r="702" spans="1:18">
      <c r="A702" s="102" t="s">
        <v>626</v>
      </c>
      <c r="B702" s="103" t="s">
        <v>1321</v>
      </c>
      <c r="C702" s="103" t="s">
        <v>1322</v>
      </c>
      <c r="D702" s="102" t="s">
        <v>1323</v>
      </c>
      <c r="E702" s="103" t="s">
        <v>613</v>
      </c>
      <c r="F702" s="102" t="s">
        <v>398</v>
      </c>
      <c r="G702" s="103" t="s">
        <v>20</v>
      </c>
      <c r="I702" s="103">
        <v>201506</v>
      </c>
      <c r="J702" s="104">
        <v>-1586.07</v>
      </c>
      <c r="K702" s="72">
        <f t="shared" si="54"/>
        <v>42675</v>
      </c>
      <c r="L702" s="67">
        <f t="shared" si="50"/>
        <v>6</v>
      </c>
      <c r="M702" s="105">
        <v>1.4833299999999999E-3</v>
      </c>
      <c r="N702" s="104">
        <f t="shared" si="51"/>
        <v>-14.115991278599999</v>
      </c>
      <c r="O702" s="66"/>
      <c r="P702" s="71">
        <f t="shared" si="52"/>
        <v>0</v>
      </c>
      <c r="Q702" s="132"/>
      <c r="R702" s="71">
        <f t="shared" si="53"/>
        <v>-24.269184018749996</v>
      </c>
    </row>
    <row r="703" spans="1:18">
      <c r="A703" s="102" t="s">
        <v>626</v>
      </c>
      <c r="B703" s="103" t="s">
        <v>1236</v>
      </c>
      <c r="C703" s="103" t="s">
        <v>1237</v>
      </c>
      <c r="D703" s="102" t="s">
        <v>1238</v>
      </c>
      <c r="E703" s="103" t="s">
        <v>93</v>
      </c>
      <c r="F703" s="102" t="s">
        <v>88</v>
      </c>
      <c r="G703" s="103" t="s">
        <v>20</v>
      </c>
      <c r="I703" s="103">
        <v>201506</v>
      </c>
      <c r="J703" s="104">
        <v>-82.33</v>
      </c>
      <c r="K703" s="72">
        <f t="shared" si="54"/>
        <v>42675</v>
      </c>
      <c r="L703" s="67">
        <f t="shared" si="50"/>
        <v>6</v>
      </c>
      <c r="M703" s="105">
        <v>1.4833299999999999E-3</v>
      </c>
      <c r="N703" s="104">
        <f t="shared" si="51"/>
        <v>-0.73273535339999996</v>
      </c>
      <c r="O703" s="66"/>
      <c r="P703" s="71">
        <f t="shared" si="52"/>
        <v>0</v>
      </c>
      <c r="Q703" s="132"/>
      <c r="R703" s="71">
        <f t="shared" si="53"/>
        <v>-1.2597690645833333</v>
      </c>
    </row>
    <row r="704" spans="1:18">
      <c r="A704" s="102" t="s">
        <v>626</v>
      </c>
      <c r="B704" s="103" t="s">
        <v>1271</v>
      </c>
      <c r="C704" s="103" t="s">
        <v>1272</v>
      </c>
      <c r="D704" s="102" t="s">
        <v>1273</v>
      </c>
      <c r="E704" s="103" t="s">
        <v>75</v>
      </c>
      <c r="F704" s="102" t="s">
        <v>26</v>
      </c>
      <c r="G704" s="103" t="s">
        <v>20</v>
      </c>
      <c r="I704" s="103">
        <v>201506</v>
      </c>
      <c r="J704" s="104">
        <v>-257.74</v>
      </c>
      <c r="K704" s="72">
        <f t="shared" si="54"/>
        <v>42675</v>
      </c>
      <c r="L704" s="67">
        <f t="shared" si="50"/>
        <v>6</v>
      </c>
      <c r="M704" s="105">
        <v>1.4833299999999999E-3</v>
      </c>
      <c r="N704" s="104">
        <f t="shared" si="51"/>
        <v>-2.2938808451999999</v>
      </c>
      <c r="O704" s="66"/>
      <c r="P704" s="71">
        <f t="shared" si="52"/>
        <v>0</v>
      </c>
      <c r="Q704" s="132"/>
      <c r="R704" s="71">
        <f t="shared" si="53"/>
        <v>-3.943797870833333</v>
      </c>
    </row>
    <row r="705" spans="1:18">
      <c r="A705" s="102" t="s">
        <v>626</v>
      </c>
      <c r="B705" s="103" t="s">
        <v>1218</v>
      </c>
      <c r="C705" s="103" t="s">
        <v>1219</v>
      </c>
      <c r="D705" s="102" t="s">
        <v>1220</v>
      </c>
      <c r="E705" s="103" t="s">
        <v>809</v>
      </c>
      <c r="F705" s="102" t="s">
        <v>26</v>
      </c>
      <c r="G705" s="103" t="s">
        <v>20</v>
      </c>
      <c r="I705" s="103">
        <v>201506</v>
      </c>
      <c r="J705" s="104">
        <v>-98.25</v>
      </c>
      <c r="K705" s="72">
        <f t="shared" si="54"/>
        <v>42675</v>
      </c>
      <c r="L705" s="67">
        <f t="shared" si="50"/>
        <v>6</v>
      </c>
      <c r="M705" s="105">
        <v>1.4833299999999999E-3</v>
      </c>
      <c r="N705" s="104">
        <f t="shared" si="51"/>
        <v>-0.87442303499999996</v>
      </c>
      <c r="O705" s="66"/>
      <c r="P705" s="71">
        <f t="shared" si="52"/>
        <v>0</v>
      </c>
      <c r="Q705" s="132"/>
      <c r="R705" s="71">
        <f t="shared" si="53"/>
        <v>-1.5033682812499998</v>
      </c>
    </row>
    <row r="706" spans="1:18">
      <c r="A706" s="102" t="s">
        <v>626</v>
      </c>
      <c r="B706" s="103" t="s">
        <v>1324</v>
      </c>
      <c r="C706" s="103" t="s">
        <v>1325</v>
      </c>
      <c r="D706" s="102" t="s">
        <v>1326</v>
      </c>
      <c r="E706" s="103" t="s">
        <v>142</v>
      </c>
      <c r="F706" s="102" t="s">
        <v>143</v>
      </c>
      <c r="G706" s="103" t="s">
        <v>20</v>
      </c>
      <c r="I706" s="103">
        <v>201506</v>
      </c>
      <c r="J706" s="104">
        <v>-614.83000000000004</v>
      </c>
      <c r="K706" s="72">
        <f t="shared" si="54"/>
        <v>42675</v>
      </c>
      <c r="L706" s="67">
        <f t="shared" si="50"/>
        <v>6</v>
      </c>
      <c r="M706" s="105">
        <v>1.4833299999999999E-3</v>
      </c>
      <c r="N706" s="104">
        <f t="shared" si="51"/>
        <v>-5.4719747034000008</v>
      </c>
      <c r="O706" s="66"/>
      <c r="P706" s="71">
        <f t="shared" si="52"/>
        <v>0</v>
      </c>
      <c r="Q706" s="132"/>
      <c r="R706" s="71">
        <f t="shared" si="53"/>
        <v>-9.4077956270833329</v>
      </c>
    </row>
    <row r="707" spans="1:18">
      <c r="A707" s="102" t="s">
        <v>626</v>
      </c>
      <c r="B707" s="103" t="s">
        <v>1274</v>
      </c>
      <c r="C707" s="103" t="s">
        <v>1275</v>
      </c>
      <c r="D707" s="102" t="s">
        <v>1276</v>
      </c>
      <c r="E707" s="103" t="s">
        <v>164</v>
      </c>
      <c r="F707" s="102" t="s">
        <v>165</v>
      </c>
      <c r="G707" s="103" t="s">
        <v>20</v>
      </c>
      <c r="I707" s="103">
        <v>201506</v>
      </c>
      <c r="J707" s="104">
        <v>-1384.24</v>
      </c>
      <c r="K707" s="72">
        <f t="shared" si="54"/>
        <v>42675</v>
      </c>
      <c r="L707" s="67">
        <f t="shared" si="50"/>
        <v>6</v>
      </c>
      <c r="M707" s="105">
        <v>1.4833299999999999E-3</v>
      </c>
      <c r="N707" s="104">
        <f t="shared" si="51"/>
        <v>-12.3197083152</v>
      </c>
      <c r="O707" s="66"/>
      <c r="P707" s="71">
        <f t="shared" si="52"/>
        <v>0</v>
      </c>
      <c r="Q707" s="132"/>
      <c r="R707" s="71">
        <f t="shared" si="53"/>
        <v>-21.180890683333331</v>
      </c>
    </row>
    <row r="708" spans="1:18">
      <c r="A708" s="102" t="s">
        <v>626</v>
      </c>
      <c r="B708" s="103" t="s">
        <v>1423</v>
      </c>
      <c r="C708" s="103" t="s">
        <v>1424</v>
      </c>
      <c r="D708" s="102" t="s">
        <v>1425</v>
      </c>
      <c r="E708" s="103" t="s">
        <v>75</v>
      </c>
      <c r="F708" s="102" t="s">
        <v>26</v>
      </c>
      <c r="G708" s="103" t="s">
        <v>20</v>
      </c>
      <c r="I708" s="103">
        <v>201506</v>
      </c>
      <c r="J708" s="104">
        <v>18366.71</v>
      </c>
      <c r="K708" s="72">
        <f t="shared" si="54"/>
        <v>42675</v>
      </c>
      <c r="L708" s="67">
        <f t="shared" si="50"/>
        <v>6</v>
      </c>
      <c r="M708" s="105">
        <v>1.4833299999999999E-3</v>
      </c>
      <c r="N708" s="104">
        <f t="shared" si="51"/>
        <v>163.46335166579999</v>
      </c>
      <c r="O708" s="66"/>
      <c r="P708" s="71">
        <f t="shared" si="52"/>
        <v>0</v>
      </c>
      <c r="Q708" s="132"/>
      <c r="R708" s="71">
        <f t="shared" si="53"/>
        <v>281.03744778541659</v>
      </c>
    </row>
    <row r="709" spans="1:18">
      <c r="A709" s="102" t="s">
        <v>626</v>
      </c>
      <c r="B709" s="103" t="s">
        <v>1357</v>
      </c>
      <c r="C709" s="103" t="s">
        <v>1358</v>
      </c>
      <c r="D709" s="102" t="s">
        <v>1359</v>
      </c>
      <c r="E709" s="103" t="s">
        <v>75</v>
      </c>
      <c r="F709" s="102" t="s">
        <v>26</v>
      </c>
      <c r="G709" s="103" t="s">
        <v>20</v>
      </c>
      <c r="I709" s="103">
        <v>201506</v>
      </c>
      <c r="J709" s="104">
        <v>-588.34</v>
      </c>
      <c r="K709" s="72">
        <f t="shared" si="54"/>
        <v>42675</v>
      </c>
      <c r="L709" s="67">
        <f t="shared" ref="L709:L772" si="55">((YEAR($L$1)-YEAR(K709))*12+MONTH($L$1)-MONTH(K709))</f>
        <v>6</v>
      </c>
      <c r="M709" s="105">
        <v>1.4833299999999999E-3</v>
      </c>
      <c r="N709" s="104">
        <f t="shared" ref="N709:N772" si="56">M709*L709*J709</f>
        <v>-5.2362142332000001</v>
      </c>
      <c r="O709" s="66"/>
      <c r="P709" s="71">
        <f t="shared" si="52"/>
        <v>0</v>
      </c>
      <c r="Q709" s="132"/>
      <c r="R709" s="71">
        <f t="shared" si="53"/>
        <v>-9.0024599958333322</v>
      </c>
    </row>
    <row r="710" spans="1:18">
      <c r="A710" s="102" t="s">
        <v>626</v>
      </c>
      <c r="B710" s="103" t="s">
        <v>1360</v>
      </c>
      <c r="C710" s="103" t="s">
        <v>1361</v>
      </c>
      <c r="D710" s="102" t="s">
        <v>1362</v>
      </c>
      <c r="E710" s="103" t="s">
        <v>75</v>
      </c>
      <c r="F710" s="102" t="s">
        <v>26</v>
      </c>
      <c r="G710" s="103" t="s">
        <v>20</v>
      </c>
      <c r="I710" s="103">
        <v>201506</v>
      </c>
      <c r="J710" s="104">
        <v>-1950.12</v>
      </c>
      <c r="K710" s="72">
        <f t="shared" si="54"/>
        <v>42675</v>
      </c>
      <c r="L710" s="67">
        <f t="shared" si="55"/>
        <v>6</v>
      </c>
      <c r="M710" s="105">
        <v>1.4833299999999999E-3</v>
      </c>
      <c r="N710" s="104">
        <f t="shared" si="56"/>
        <v>-17.356028997599999</v>
      </c>
      <c r="O710" s="66"/>
      <c r="P710" s="71">
        <f t="shared" ref="P710:P773" si="57">($P$4*0.5*J710*$T$12)</f>
        <v>0</v>
      </c>
      <c r="Q710" s="132"/>
      <c r="R710" s="71">
        <f t="shared" ref="R710:R773" si="58">($R$4*0.5*J710*$T$12)</f>
        <v>-29.839679924999999</v>
      </c>
    </row>
    <row r="711" spans="1:18">
      <c r="A711" s="102" t="s">
        <v>626</v>
      </c>
      <c r="B711" s="103" t="s">
        <v>1327</v>
      </c>
      <c r="C711" s="103" t="s">
        <v>1328</v>
      </c>
      <c r="D711" s="102" t="s">
        <v>1329</v>
      </c>
      <c r="E711" s="103" t="s">
        <v>75</v>
      </c>
      <c r="F711" s="102" t="s">
        <v>26</v>
      </c>
      <c r="G711" s="103" t="s">
        <v>20</v>
      </c>
      <c r="I711" s="103">
        <v>201506</v>
      </c>
      <c r="J711" s="104">
        <v>-520.82000000000005</v>
      </c>
      <c r="K711" s="72">
        <f t="shared" ref="K711:K774" si="59">+K710</f>
        <v>42675</v>
      </c>
      <c r="L711" s="67">
        <f t="shared" si="55"/>
        <v>6</v>
      </c>
      <c r="M711" s="105">
        <v>1.4833299999999999E-3</v>
      </c>
      <c r="N711" s="104">
        <f t="shared" si="56"/>
        <v>-4.6352875836000003</v>
      </c>
      <c r="O711" s="66"/>
      <c r="P711" s="71">
        <f t="shared" si="57"/>
        <v>0</v>
      </c>
      <c r="Q711" s="132"/>
      <c r="R711" s="71">
        <f t="shared" si="58"/>
        <v>-7.9693055291666663</v>
      </c>
    </row>
    <row r="712" spans="1:18">
      <c r="A712" s="102" t="s">
        <v>626</v>
      </c>
      <c r="B712" s="103" t="s">
        <v>1426</v>
      </c>
      <c r="C712" s="103" t="s">
        <v>1427</v>
      </c>
      <c r="D712" s="102" t="s">
        <v>1428</v>
      </c>
      <c r="E712" s="103" t="s">
        <v>75</v>
      </c>
      <c r="F712" s="102" t="s">
        <v>26</v>
      </c>
      <c r="G712" s="103" t="s">
        <v>20</v>
      </c>
      <c r="I712" s="103">
        <v>201506</v>
      </c>
      <c r="J712" s="104">
        <v>452.19</v>
      </c>
      <c r="K712" s="72">
        <f t="shared" si="59"/>
        <v>42675</v>
      </c>
      <c r="L712" s="67">
        <f t="shared" si="55"/>
        <v>6</v>
      </c>
      <c r="M712" s="105">
        <v>1.4833299999999999E-3</v>
      </c>
      <c r="N712" s="104">
        <f t="shared" si="56"/>
        <v>4.0244819561999998</v>
      </c>
      <c r="O712" s="66"/>
      <c r="P712" s="71">
        <f t="shared" si="57"/>
        <v>0</v>
      </c>
      <c r="Q712" s="132"/>
      <c r="R712" s="71">
        <f t="shared" si="58"/>
        <v>6.9191664437499991</v>
      </c>
    </row>
    <row r="713" spans="1:18">
      <c r="A713" s="102" t="s">
        <v>626</v>
      </c>
      <c r="B713" s="103" t="s">
        <v>1184</v>
      </c>
      <c r="C713" s="103" t="s">
        <v>1185</v>
      </c>
      <c r="D713" s="102" t="s">
        <v>1186</v>
      </c>
      <c r="E713" s="103" t="s">
        <v>471</v>
      </c>
      <c r="F713" s="102" t="s">
        <v>165</v>
      </c>
      <c r="G713" s="103" t="s">
        <v>20</v>
      </c>
      <c r="I713" s="103">
        <v>201506</v>
      </c>
      <c r="J713" s="104">
        <v>-188.87</v>
      </c>
      <c r="K713" s="72">
        <f t="shared" si="59"/>
        <v>42675</v>
      </c>
      <c r="L713" s="67">
        <f t="shared" si="55"/>
        <v>6</v>
      </c>
      <c r="M713" s="105">
        <v>1.4833299999999999E-3</v>
      </c>
      <c r="N713" s="104">
        <f t="shared" si="56"/>
        <v>-1.6809392225999999</v>
      </c>
      <c r="O713" s="66"/>
      <c r="P713" s="71">
        <f t="shared" si="57"/>
        <v>0</v>
      </c>
      <c r="Q713" s="132"/>
      <c r="R713" s="71">
        <f t="shared" si="58"/>
        <v>-2.8899864354166667</v>
      </c>
    </row>
    <row r="714" spans="1:18">
      <c r="A714" s="102" t="s">
        <v>626</v>
      </c>
      <c r="B714" s="103" t="s">
        <v>1295</v>
      </c>
      <c r="C714" s="103" t="s">
        <v>1296</v>
      </c>
      <c r="D714" s="102" t="s">
        <v>1297</v>
      </c>
      <c r="E714" s="103" t="s">
        <v>87</v>
      </c>
      <c r="F714" s="102" t="s">
        <v>88</v>
      </c>
      <c r="G714" s="103" t="s">
        <v>20</v>
      </c>
      <c r="I714" s="103">
        <v>201506</v>
      </c>
      <c r="J714" s="104">
        <v>-769.7</v>
      </c>
      <c r="K714" s="72">
        <f t="shared" si="59"/>
        <v>42675</v>
      </c>
      <c r="L714" s="67">
        <f t="shared" si="55"/>
        <v>6</v>
      </c>
      <c r="M714" s="105">
        <v>1.4833299999999999E-3</v>
      </c>
      <c r="N714" s="104">
        <f t="shared" si="56"/>
        <v>-6.8503146060000004</v>
      </c>
      <c r="O714" s="66"/>
      <c r="P714" s="71">
        <f t="shared" si="57"/>
        <v>0</v>
      </c>
      <c r="Q714" s="132"/>
      <c r="R714" s="71">
        <f t="shared" si="58"/>
        <v>-11.777532479166666</v>
      </c>
    </row>
    <row r="715" spans="1:18">
      <c r="A715" s="102" t="s">
        <v>626</v>
      </c>
      <c r="B715" s="103" t="s">
        <v>1277</v>
      </c>
      <c r="C715" s="103" t="s">
        <v>1278</v>
      </c>
      <c r="D715" s="102" t="s">
        <v>1279</v>
      </c>
      <c r="E715" s="103" t="s">
        <v>471</v>
      </c>
      <c r="F715" s="102" t="s">
        <v>165</v>
      </c>
      <c r="G715" s="103" t="s">
        <v>20</v>
      </c>
      <c r="I715" s="103">
        <v>201506</v>
      </c>
      <c r="J715" s="104">
        <v>-2019.44</v>
      </c>
      <c r="K715" s="72">
        <f t="shared" si="59"/>
        <v>42675</v>
      </c>
      <c r="L715" s="67">
        <f t="shared" si="55"/>
        <v>6</v>
      </c>
      <c r="M715" s="105">
        <v>1.4833299999999999E-3</v>
      </c>
      <c r="N715" s="104">
        <f t="shared" si="56"/>
        <v>-17.972975611199999</v>
      </c>
      <c r="O715" s="66"/>
      <c r="P715" s="71">
        <f t="shared" si="57"/>
        <v>0</v>
      </c>
      <c r="Q715" s="132"/>
      <c r="R715" s="71">
        <f t="shared" si="58"/>
        <v>-30.90037701666666</v>
      </c>
    </row>
    <row r="716" spans="1:18">
      <c r="A716" s="102" t="s">
        <v>626</v>
      </c>
      <c r="B716" s="103" t="s">
        <v>1224</v>
      </c>
      <c r="C716" s="103" t="s">
        <v>1225</v>
      </c>
      <c r="D716" s="102" t="s">
        <v>1226</v>
      </c>
      <c r="E716" s="103" t="s">
        <v>164</v>
      </c>
      <c r="F716" s="102" t="s">
        <v>165</v>
      </c>
      <c r="G716" s="103" t="s">
        <v>20</v>
      </c>
      <c r="I716" s="103">
        <v>201506</v>
      </c>
      <c r="J716" s="104">
        <v>-534.79999999999995</v>
      </c>
      <c r="K716" s="72">
        <f t="shared" si="59"/>
        <v>42675</v>
      </c>
      <c r="L716" s="67">
        <f t="shared" si="55"/>
        <v>6</v>
      </c>
      <c r="M716" s="105">
        <v>1.4833299999999999E-3</v>
      </c>
      <c r="N716" s="104">
        <f t="shared" si="56"/>
        <v>-4.7597093039999994</v>
      </c>
      <c r="O716" s="66"/>
      <c r="P716" s="71">
        <f t="shared" si="57"/>
        <v>0</v>
      </c>
      <c r="Q716" s="132"/>
      <c r="R716" s="71">
        <f t="shared" si="58"/>
        <v>-8.1832199166666655</v>
      </c>
    </row>
    <row r="717" spans="1:18">
      <c r="A717" s="102" t="s">
        <v>626</v>
      </c>
      <c r="B717" s="103" t="s">
        <v>1227</v>
      </c>
      <c r="C717" s="103" t="s">
        <v>1228</v>
      </c>
      <c r="D717" s="102" t="s">
        <v>1229</v>
      </c>
      <c r="E717" s="103" t="s">
        <v>280</v>
      </c>
      <c r="F717" s="102" t="s">
        <v>26</v>
      </c>
      <c r="G717" s="103" t="s">
        <v>20</v>
      </c>
      <c r="I717" s="103">
        <v>201506</v>
      </c>
      <c r="J717" s="104">
        <v>-243.33</v>
      </c>
      <c r="K717" s="72">
        <f t="shared" si="59"/>
        <v>42675</v>
      </c>
      <c r="L717" s="67">
        <f t="shared" si="55"/>
        <v>6</v>
      </c>
      <c r="M717" s="105">
        <v>1.4833299999999999E-3</v>
      </c>
      <c r="N717" s="104">
        <f t="shared" si="56"/>
        <v>-2.1656321333999999</v>
      </c>
      <c r="O717" s="66"/>
      <c r="P717" s="71">
        <f t="shared" si="57"/>
        <v>0</v>
      </c>
      <c r="Q717" s="132"/>
      <c r="R717" s="71">
        <f t="shared" si="58"/>
        <v>-3.7233038562499998</v>
      </c>
    </row>
    <row r="718" spans="1:18">
      <c r="A718" s="102" t="s">
        <v>626</v>
      </c>
      <c r="B718" s="103" t="s">
        <v>1473</v>
      </c>
      <c r="C718" s="103" t="s">
        <v>1474</v>
      </c>
      <c r="D718" s="102" t="s">
        <v>1475</v>
      </c>
      <c r="E718" s="103" t="s">
        <v>1059</v>
      </c>
      <c r="F718" s="102" t="s">
        <v>26</v>
      </c>
      <c r="G718" s="103" t="s">
        <v>20</v>
      </c>
      <c r="I718" s="103">
        <v>201506</v>
      </c>
      <c r="J718" s="104">
        <v>22129.1</v>
      </c>
      <c r="K718" s="72">
        <f t="shared" si="59"/>
        <v>42675</v>
      </c>
      <c r="L718" s="67">
        <f t="shared" si="55"/>
        <v>6</v>
      </c>
      <c r="M718" s="105">
        <v>1.4833299999999999E-3</v>
      </c>
      <c r="N718" s="104">
        <f t="shared" si="56"/>
        <v>196.94854741799998</v>
      </c>
      <c r="O718" s="66"/>
      <c r="P718" s="71">
        <f t="shared" si="57"/>
        <v>0</v>
      </c>
      <c r="Q718" s="132"/>
      <c r="R718" s="71">
        <f t="shared" si="58"/>
        <v>338.6075016041666</v>
      </c>
    </row>
    <row r="719" spans="1:18">
      <c r="A719" s="102" t="s">
        <v>626</v>
      </c>
      <c r="B719" s="103" t="s">
        <v>1330</v>
      </c>
      <c r="C719" s="103" t="s">
        <v>1331</v>
      </c>
      <c r="D719" s="102" t="s">
        <v>1332</v>
      </c>
      <c r="E719" s="103" t="s">
        <v>102</v>
      </c>
      <c r="F719" s="102" t="s">
        <v>19</v>
      </c>
      <c r="G719" s="103" t="s">
        <v>20</v>
      </c>
      <c r="I719" s="103">
        <v>201506</v>
      </c>
      <c r="J719" s="104">
        <v>-26.05</v>
      </c>
      <c r="K719" s="72">
        <f t="shared" si="59"/>
        <v>42675</v>
      </c>
      <c r="L719" s="67">
        <f t="shared" si="55"/>
        <v>6</v>
      </c>
      <c r="M719" s="105">
        <v>1.4833299999999999E-3</v>
      </c>
      <c r="N719" s="104">
        <f t="shared" si="56"/>
        <v>-0.23184447900000002</v>
      </c>
      <c r="O719" s="66"/>
      <c r="P719" s="71">
        <f t="shared" si="57"/>
        <v>0</v>
      </c>
      <c r="Q719" s="132"/>
      <c r="R719" s="71">
        <f t="shared" si="58"/>
        <v>-0.39860298958333334</v>
      </c>
    </row>
    <row r="720" spans="1:18">
      <c r="A720" s="102" t="s">
        <v>626</v>
      </c>
      <c r="B720" s="103" t="s">
        <v>1239</v>
      </c>
      <c r="C720" s="103" t="s">
        <v>1240</v>
      </c>
      <c r="D720" s="102" t="s">
        <v>1241</v>
      </c>
      <c r="E720" s="103" t="s">
        <v>415</v>
      </c>
      <c r="F720" s="102" t="s">
        <v>88</v>
      </c>
      <c r="G720" s="103" t="s">
        <v>20</v>
      </c>
      <c r="I720" s="103">
        <v>201506</v>
      </c>
      <c r="J720" s="104">
        <v>-95.92</v>
      </c>
      <c r="K720" s="72">
        <f t="shared" si="59"/>
        <v>42675</v>
      </c>
      <c r="L720" s="67">
        <f t="shared" si="55"/>
        <v>6</v>
      </c>
      <c r="M720" s="105">
        <v>1.4833299999999999E-3</v>
      </c>
      <c r="N720" s="104">
        <f t="shared" si="56"/>
        <v>-0.85368608160000004</v>
      </c>
      <c r="O720" s="66"/>
      <c r="P720" s="71">
        <f t="shared" si="57"/>
        <v>0</v>
      </c>
      <c r="Q720" s="132"/>
      <c r="R720" s="71">
        <f t="shared" si="58"/>
        <v>-1.4677158833333332</v>
      </c>
    </row>
    <row r="721" spans="1:18">
      <c r="A721" s="102" t="s">
        <v>626</v>
      </c>
      <c r="B721" s="103" t="s">
        <v>1363</v>
      </c>
      <c r="C721" s="103" t="s">
        <v>1364</v>
      </c>
      <c r="D721" s="102" t="s">
        <v>1365</v>
      </c>
      <c r="E721" s="103" t="s">
        <v>497</v>
      </c>
      <c r="F721" s="102" t="s">
        <v>26</v>
      </c>
      <c r="G721" s="103" t="s">
        <v>20</v>
      </c>
      <c r="I721" s="103">
        <v>201506</v>
      </c>
      <c r="J721" s="104">
        <v>-33.86</v>
      </c>
      <c r="K721" s="72">
        <f t="shared" si="59"/>
        <v>42675</v>
      </c>
      <c r="L721" s="67">
        <f t="shared" si="55"/>
        <v>6</v>
      </c>
      <c r="M721" s="105">
        <v>1.4833299999999999E-3</v>
      </c>
      <c r="N721" s="104">
        <f t="shared" si="56"/>
        <v>-0.30135332279999999</v>
      </c>
      <c r="O721" s="66"/>
      <c r="P721" s="71">
        <f t="shared" si="57"/>
        <v>0</v>
      </c>
      <c r="Q721" s="132"/>
      <c r="R721" s="71">
        <f t="shared" si="58"/>
        <v>-0.5181073791666666</v>
      </c>
    </row>
    <row r="722" spans="1:18">
      <c r="A722" s="102" t="s">
        <v>626</v>
      </c>
      <c r="B722" s="103" t="s">
        <v>1476</v>
      </c>
      <c r="C722" s="103" t="s">
        <v>1477</v>
      </c>
      <c r="D722" s="102" t="s">
        <v>1478</v>
      </c>
      <c r="E722" s="103" t="s">
        <v>531</v>
      </c>
      <c r="F722" s="102" t="s">
        <v>26</v>
      </c>
      <c r="G722" s="103" t="s">
        <v>20</v>
      </c>
      <c r="I722" s="103">
        <v>201506</v>
      </c>
      <c r="J722" s="104">
        <v>44138.31</v>
      </c>
      <c r="K722" s="72">
        <f t="shared" si="59"/>
        <v>42675</v>
      </c>
      <c r="L722" s="67">
        <f t="shared" si="55"/>
        <v>6</v>
      </c>
      <c r="M722" s="105">
        <v>1.4833299999999999E-3</v>
      </c>
      <c r="N722" s="104">
        <f t="shared" si="56"/>
        <v>392.83007623379996</v>
      </c>
      <c r="O722" s="66"/>
      <c r="P722" s="71">
        <f t="shared" si="57"/>
        <v>0</v>
      </c>
      <c r="Q722" s="132"/>
      <c r="R722" s="71">
        <f t="shared" si="58"/>
        <v>675.38051136874992</v>
      </c>
    </row>
    <row r="723" spans="1:18">
      <c r="A723" s="102" t="s">
        <v>626</v>
      </c>
      <c r="B723" s="103" t="s">
        <v>1280</v>
      </c>
      <c r="C723" s="103" t="s">
        <v>1281</v>
      </c>
      <c r="D723" s="102" t="s">
        <v>1282</v>
      </c>
      <c r="E723" s="103" t="s">
        <v>164</v>
      </c>
      <c r="F723" s="102" t="s">
        <v>165</v>
      </c>
      <c r="G723" s="103" t="s">
        <v>20</v>
      </c>
      <c r="I723" s="103">
        <v>201506</v>
      </c>
      <c r="J723" s="104">
        <v>-191.7</v>
      </c>
      <c r="K723" s="72">
        <f t="shared" si="59"/>
        <v>42675</v>
      </c>
      <c r="L723" s="67">
        <f t="shared" si="55"/>
        <v>6</v>
      </c>
      <c r="M723" s="105">
        <v>1.4833299999999999E-3</v>
      </c>
      <c r="N723" s="104">
        <f t="shared" si="56"/>
        <v>-1.706126166</v>
      </c>
      <c r="O723" s="66"/>
      <c r="P723" s="71">
        <f t="shared" si="57"/>
        <v>0</v>
      </c>
      <c r="Q723" s="132"/>
      <c r="R723" s="71">
        <f t="shared" si="58"/>
        <v>-2.9332895624999993</v>
      </c>
    </row>
    <row r="724" spans="1:18">
      <c r="A724" s="102" t="s">
        <v>626</v>
      </c>
      <c r="B724" s="103" t="s">
        <v>1333</v>
      </c>
      <c r="C724" s="103" t="s">
        <v>1334</v>
      </c>
      <c r="D724" s="102" t="s">
        <v>1335</v>
      </c>
      <c r="E724" s="103" t="s">
        <v>164</v>
      </c>
      <c r="F724" s="102" t="s">
        <v>165</v>
      </c>
      <c r="G724" s="103" t="s">
        <v>20</v>
      </c>
      <c r="I724" s="103">
        <v>201506</v>
      </c>
      <c r="J724" s="104">
        <v>-356.15</v>
      </c>
      <c r="K724" s="72">
        <f t="shared" si="59"/>
        <v>42675</v>
      </c>
      <c r="L724" s="67">
        <f t="shared" si="55"/>
        <v>6</v>
      </c>
      <c r="M724" s="105">
        <v>1.4833299999999999E-3</v>
      </c>
      <c r="N724" s="104">
        <f t="shared" si="56"/>
        <v>-3.1697278769999997</v>
      </c>
      <c r="O724" s="66"/>
      <c r="P724" s="71">
        <f t="shared" si="57"/>
        <v>0</v>
      </c>
      <c r="Q724" s="132"/>
      <c r="R724" s="71">
        <f t="shared" si="58"/>
        <v>-5.4496143854166661</v>
      </c>
    </row>
    <row r="725" spans="1:18">
      <c r="A725" s="102" t="s">
        <v>626</v>
      </c>
      <c r="B725" s="103" t="s">
        <v>1429</v>
      </c>
      <c r="C725" s="103" t="s">
        <v>1430</v>
      </c>
      <c r="D725" s="102" t="s">
        <v>1431</v>
      </c>
      <c r="E725" s="103" t="s">
        <v>360</v>
      </c>
      <c r="F725" s="102" t="s">
        <v>19</v>
      </c>
      <c r="G725" s="103" t="s">
        <v>20</v>
      </c>
      <c r="I725" s="103">
        <v>201506</v>
      </c>
      <c r="J725" s="104">
        <v>-524.82000000000005</v>
      </c>
      <c r="K725" s="72">
        <f t="shared" si="59"/>
        <v>42675</v>
      </c>
      <c r="L725" s="67">
        <f t="shared" si="55"/>
        <v>6</v>
      </c>
      <c r="M725" s="105">
        <v>1.4833299999999999E-3</v>
      </c>
      <c r="N725" s="104">
        <f t="shared" si="56"/>
        <v>-4.6708875036000004</v>
      </c>
      <c r="O725" s="66"/>
      <c r="P725" s="71">
        <f t="shared" si="57"/>
        <v>0</v>
      </c>
      <c r="Q725" s="132"/>
      <c r="R725" s="71">
        <f t="shared" si="58"/>
        <v>-8.0305113624999986</v>
      </c>
    </row>
    <row r="726" spans="1:18">
      <c r="A726" s="102" t="s">
        <v>626</v>
      </c>
      <c r="B726" s="103" t="s">
        <v>1479</v>
      </c>
      <c r="C726" s="103" t="s">
        <v>1480</v>
      </c>
      <c r="D726" s="102" t="s">
        <v>1481</v>
      </c>
      <c r="E726" s="103" t="s">
        <v>1059</v>
      </c>
      <c r="F726" s="102" t="s">
        <v>26</v>
      </c>
      <c r="G726" s="103" t="s">
        <v>20</v>
      </c>
      <c r="I726" s="103">
        <v>201506</v>
      </c>
      <c r="J726" s="104">
        <v>109081.72</v>
      </c>
      <c r="K726" s="72">
        <f t="shared" si="59"/>
        <v>42675</v>
      </c>
      <c r="L726" s="67">
        <f t="shared" si="55"/>
        <v>6</v>
      </c>
      <c r="M726" s="105">
        <v>1.4833299999999999E-3</v>
      </c>
      <c r="N726" s="104">
        <f t="shared" si="56"/>
        <v>970.8251263656</v>
      </c>
      <c r="O726" s="66"/>
      <c r="P726" s="71">
        <f t="shared" si="57"/>
        <v>0</v>
      </c>
      <c r="Q726" s="132"/>
      <c r="R726" s="71">
        <f t="shared" si="58"/>
        <v>1669.1093935083334</v>
      </c>
    </row>
    <row r="727" spans="1:18">
      <c r="A727" s="102" t="s">
        <v>626</v>
      </c>
      <c r="B727" s="103" t="s">
        <v>1298</v>
      </c>
      <c r="C727" s="103" t="s">
        <v>1299</v>
      </c>
      <c r="D727" s="102" t="s">
        <v>1300</v>
      </c>
      <c r="E727" s="103" t="s">
        <v>93</v>
      </c>
      <c r="F727" s="102" t="s">
        <v>88</v>
      </c>
      <c r="G727" s="103" t="s">
        <v>20</v>
      </c>
      <c r="I727" s="103">
        <v>201506</v>
      </c>
      <c r="J727" s="104">
        <v>-47.56</v>
      </c>
      <c r="K727" s="72">
        <f t="shared" si="59"/>
        <v>42675</v>
      </c>
      <c r="L727" s="67">
        <f t="shared" si="55"/>
        <v>6</v>
      </c>
      <c r="M727" s="105">
        <v>1.4833299999999999E-3</v>
      </c>
      <c r="N727" s="104">
        <f t="shared" si="56"/>
        <v>-0.42328304880000001</v>
      </c>
      <c r="O727" s="66"/>
      <c r="P727" s="71">
        <f t="shared" si="57"/>
        <v>0</v>
      </c>
      <c r="Q727" s="132"/>
      <c r="R727" s="71">
        <f t="shared" si="58"/>
        <v>-0.72773735833333331</v>
      </c>
    </row>
    <row r="728" spans="1:18">
      <c r="A728" s="102" t="s">
        <v>626</v>
      </c>
      <c r="B728" s="103" t="s">
        <v>1336</v>
      </c>
      <c r="C728" s="103" t="s">
        <v>1337</v>
      </c>
      <c r="D728" s="102" t="s">
        <v>1338</v>
      </c>
      <c r="E728" s="103" t="s">
        <v>75</v>
      </c>
      <c r="F728" s="102" t="s">
        <v>26</v>
      </c>
      <c r="G728" s="103" t="s">
        <v>20</v>
      </c>
      <c r="I728" s="103">
        <v>201506</v>
      </c>
      <c r="J728" s="104">
        <v>-329.95</v>
      </c>
      <c r="K728" s="72">
        <f t="shared" si="59"/>
        <v>42675</v>
      </c>
      <c r="L728" s="67">
        <f t="shared" si="55"/>
        <v>6</v>
      </c>
      <c r="M728" s="105">
        <v>1.4833299999999999E-3</v>
      </c>
      <c r="N728" s="104">
        <f t="shared" si="56"/>
        <v>-2.936548401</v>
      </c>
      <c r="O728" s="66"/>
      <c r="P728" s="71">
        <f t="shared" si="57"/>
        <v>0</v>
      </c>
      <c r="Q728" s="132"/>
      <c r="R728" s="71">
        <f t="shared" si="58"/>
        <v>-5.0487161770833326</v>
      </c>
    </row>
    <row r="729" spans="1:18">
      <c r="A729" s="102" t="s">
        <v>626</v>
      </c>
      <c r="B729" s="103" t="s">
        <v>1366</v>
      </c>
      <c r="C729" s="103" t="s">
        <v>1367</v>
      </c>
      <c r="D729" s="102" t="s">
        <v>1368</v>
      </c>
      <c r="E729" s="103" t="s">
        <v>209</v>
      </c>
      <c r="F729" s="102" t="s">
        <v>88</v>
      </c>
      <c r="G729" s="103" t="s">
        <v>20</v>
      </c>
      <c r="I729" s="103">
        <v>201506</v>
      </c>
      <c r="J729" s="104">
        <v>-116.69</v>
      </c>
      <c r="K729" s="72">
        <f t="shared" si="59"/>
        <v>42675</v>
      </c>
      <c r="L729" s="67">
        <f t="shared" si="55"/>
        <v>6</v>
      </c>
      <c r="M729" s="105">
        <v>1.4833299999999999E-3</v>
      </c>
      <c r="N729" s="104">
        <f t="shared" si="56"/>
        <v>-1.0385386662</v>
      </c>
      <c r="O729" s="66"/>
      <c r="P729" s="71">
        <f t="shared" si="57"/>
        <v>0</v>
      </c>
      <c r="Q729" s="132"/>
      <c r="R729" s="71">
        <f t="shared" si="58"/>
        <v>-1.7855271729166664</v>
      </c>
    </row>
    <row r="730" spans="1:18">
      <c r="A730" s="102" t="s">
        <v>626</v>
      </c>
      <c r="B730" s="103" t="s">
        <v>1339</v>
      </c>
      <c r="C730" s="103" t="s">
        <v>1340</v>
      </c>
      <c r="D730" s="102" t="s">
        <v>1341</v>
      </c>
      <c r="E730" s="103" t="s">
        <v>360</v>
      </c>
      <c r="F730" s="102" t="s">
        <v>19</v>
      </c>
      <c r="G730" s="103" t="s">
        <v>20</v>
      </c>
      <c r="I730" s="103">
        <v>201506</v>
      </c>
      <c r="J730" s="104">
        <v>-117.37</v>
      </c>
      <c r="K730" s="72">
        <f t="shared" si="59"/>
        <v>42675</v>
      </c>
      <c r="L730" s="67">
        <f t="shared" si="55"/>
        <v>6</v>
      </c>
      <c r="M730" s="105">
        <v>1.4833299999999999E-3</v>
      </c>
      <c r="N730" s="104">
        <f t="shared" si="56"/>
        <v>-1.0445906525999999</v>
      </c>
      <c r="O730" s="66"/>
      <c r="P730" s="71">
        <f t="shared" si="57"/>
        <v>0</v>
      </c>
      <c r="Q730" s="132"/>
      <c r="R730" s="71">
        <f t="shared" si="58"/>
        <v>-1.7959321645833333</v>
      </c>
    </row>
    <row r="731" spans="1:18">
      <c r="A731" s="102" t="s">
        <v>626</v>
      </c>
      <c r="B731" s="103" t="s">
        <v>1283</v>
      </c>
      <c r="C731" s="103" t="s">
        <v>1284</v>
      </c>
      <c r="D731" s="102" t="s">
        <v>1285</v>
      </c>
      <c r="E731" s="103" t="s">
        <v>809</v>
      </c>
      <c r="F731" s="102" t="s">
        <v>26</v>
      </c>
      <c r="G731" s="103" t="s">
        <v>20</v>
      </c>
      <c r="I731" s="103">
        <v>201506</v>
      </c>
      <c r="J731" s="104">
        <v>-1425.58</v>
      </c>
      <c r="K731" s="72">
        <f t="shared" si="59"/>
        <v>42675</v>
      </c>
      <c r="L731" s="67">
        <f t="shared" si="55"/>
        <v>6</v>
      </c>
      <c r="M731" s="105">
        <v>1.4833299999999999E-3</v>
      </c>
      <c r="N731" s="104">
        <f t="shared" si="56"/>
        <v>-12.687633488399999</v>
      </c>
      <c r="O731" s="66"/>
      <c r="P731" s="71">
        <f t="shared" si="57"/>
        <v>0</v>
      </c>
      <c r="Q731" s="132"/>
      <c r="R731" s="71">
        <f t="shared" si="58"/>
        <v>-21.813452970833332</v>
      </c>
    </row>
    <row r="732" spans="1:18">
      <c r="A732" s="102" t="s">
        <v>626</v>
      </c>
      <c r="B732" s="103" t="s">
        <v>1432</v>
      </c>
      <c r="C732" s="103" t="s">
        <v>1433</v>
      </c>
      <c r="D732" s="102" t="s">
        <v>1434</v>
      </c>
      <c r="E732" s="103" t="s">
        <v>497</v>
      </c>
      <c r="F732" s="102" t="s">
        <v>26</v>
      </c>
      <c r="G732" s="103" t="s">
        <v>20</v>
      </c>
      <c r="I732" s="103">
        <v>201506</v>
      </c>
      <c r="J732" s="104">
        <v>8892.81</v>
      </c>
      <c r="K732" s="72">
        <f t="shared" si="59"/>
        <v>42675</v>
      </c>
      <c r="L732" s="67">
        <f t="shared" si="55"/>
        <v>6</v>
      </c>
      <c r="M732" s="105">
        <v>1.4833299999999999E-3</v>
      </c>
      <c r="N732" s="104">
        <f t="shared" si="56"/>
        <v>79.145831143799995</v>
      </c>
      <c r="O732" s="66"/>
      <c r="P732" s="71">
        <f t="shared" si="57"/>
        <v>0</v>
      </c>
      <c r="Q732" s="132"/>
      <c r="R732" s="71">
        <f t="shared" si="58"/>
        <v>136.07296168124998</v>
      </c>
    </row>
    <row r="733" spans="1:18">
      <c r="A733" s="102" t="s">
        <v>626</v>
      </c>
      <c r="B733" s="103" t="s">
        <v>1482</v>
      </c>
      <c r="C733" s="103" t="s">
        <v>1483</v>
      </c>
      <c r="D733" s="102" t="s">
        <v>1484</v>
      </c>
      <c r="E733" s="103" t="s">
        <v>75</v>
      </c>
      <c r="F733" s="102" t="s">
        <v>26</v>
      </c>
      <c r="G733" s="103" t="s">
        <v>20</v>
      </c>
      <c r="I733" s="103">
        <v>201506</v>
      </c>
      <c r="J733" s="104">
        <v>91092.58</v>
      </c>
      <c r="K733" s="72">
        <f t="shared" si="59"/>
        <v>42675</v>
      </c>
      <c r="L733" s="67">
        <f t="shared" si="55"/>
        <v>6</v>
      </c>
      <c r="M733" s="105">
        <v>1.4833299999999999E-3</v>
      </c>
      <c r="N733" s="104">
        <f t="shared" si="56"/>
        <v>810.72214014840006</v>
      </c>
      <c r="O733" s="66"/>
      <c r="P733" s="71">
        <f t="shared" si="57"/>
        <v>0</v>
      </c>
      <c r="Q733" s="132"/>
      <c r="R733" s="71">
        <f t="shared" si="58"/>
        <v>1393.8493173458332</v>
      </c>
    </row>
    <row r="734" spans="1:18">
      <c r="A734" s="102" t="s">
        <v>626</v>
      </c>
      <c r="B734" s="103" t="s">
        <v>1485</v>
      </c>
      <c r="C734" s="103" t="s">
        <v>1486</v>
      </c>
      <c r="D734" s="102" t="s">
        <v>1487</v>
      </c>
      <c r="E734" s="103" t="s">
        <v>164</v>
      </c>
      <c r="F734" s="102" t="s">
        <v>165</v>
      </c>
      <c r="G734" s="103" t="s">
        <v>20</v>
      </c>
      <c r="I734" s="103">
        <v>201506</v>
      </c>
      <c r="J734" s="104">
        <v>1455.64</v>
      </c>
      <c r="K734" s="72">
        <f t="shared" si="59"/>
        <v>42675</v>
      </c>
      <c r="L734" s="67">
        <f t="shared" si="55"/>
        <v>6</v>
      </c>
      <c r="M734" s="105">
        <v>1.4833299999999999E-3</v>
      </c>
      <c r="N734" s="104">
        <f t="shared" si="56"/>
        <v>12.955166887200001</v>
      </c>
      <c r="O734" s="66"/>
      <c r="P734" s="71">
        <f t="shared" si="57"/>
        <v>0</v>
      </c>
      <c r="Q734" s="132"/>
      <c r="R734" s="71">
        <f t="shared" si="58"/>
        <v>22.273414808333332</v>
      </c>
    </row>
    <row r="735" spans="1:18">
      <c r="A735" s="102" t="s">
        <v>626</v>
      </c>
      <c r="B735" s="103" t="s">
        <v>1342</v>
      </c>
      <c r="C735" s="103" t="s">
        <v>1343</v>
      </c>
      <c r="D735" s="102" t="s">
        <v>1344</v>
      </c>
      <c r="E735" s="103" t="s">
        <v>164</v>
      </c>
      <c r="F735" s="102" t="s">
        <v>165</v>
      </c>
      <c r="G735" s="103" t="s">
        <v>20</v>
      </c>
      <c r="I735" s="103">
        <v>201506</v>
      </c>
      <c r="J735" s="104">
        <v>-1077.73</v>
      </c>
      <c r="K735" s="72">
        <f t="shared" si="59"/>
        <v>42675</v>
      </c>
      <c r="L735" s="67">
        <f t="shared" si="55"/>
        <v>6</v>
      </c>
      <c r="M735" s="105">
        <v>1.4833299999999999E-3</v>
      </c>
      <c r="N735" s="104">
        <f t="shared" si="56"/>
        <v>-9.5917754453999997</v>
      </c>
      <c r="O735" s="66"/>
      <c r="P735" s="71">
        <f t="shared" si="57"/>
        <v>0</v>
      </c>
      <c r="Q735" s="132"/>
      <c r="R735" s="71">
        <f t="shared" si="58"/>
        <v>-16.490840689583329</v>
      </c>
    </row>
    <row r="736" spans="1:18">
      <c r="A736" s="102" t="s">
        <v>626</v>
      </c>
      <c r="B736" s="103" t="s">
        <v>1345</v>
      </c>
      <c r="C736" s="103" t="s">
        <v>1346</v>
      </c>
      <c r="D736" s="102" t="s">
        <v>1347</v>
      </c>
      <c r="E736" s="103" t="s">
        <v>87</v>
      </c>
      <c r="F736" s="102" t="s">
        <v>88</v>
      </c>
      <c r="G736" s="103" t="s">
        <v>20</v>
      </c>
      <c r="I736" s="103">
        <v>201506</v>
      </c>
      <c r="J736" s="104">
        <v>-737.31</v>
      </c>
      <c r="K736" s="72">
        <f t="shared" si="59"/>
        <v>42675</v>
      </c>
      <c r="L736" s="67">
        <f t="shared" si="55"/>
        <v>6</v>
      </c>
      <c r="M736" s="105">
        <v>1.4833299999999999E-3</v>
      </c>
      <c r="N736" s="104">
        <f t="shared" si="56"/>
        <v>-6.5620442537999999</v>
      </c>
      <c r="O736" s="66"/>
      <c r="P736" s="71">
        <f t="shared" si="57"/>
        <v>0</v>
      </c>
      <c r="Q736" s="132"/>
      <c r="R736" s="71">
        <f t="shared" si="58"/>
        <v>-11.281918243749997</v>
      </c>
    </row>
    <row r="737" spans="1:18">
      <c r="A737" s="102" t="s">
        <v>626</v>
      </c>
      <c r="B737" s="103" t="s">
        <v>1435</v>
      </c>
      <c r="C737" s="103" t="s">
        <v>1436</v>
      </c>
      <c r="D737" s="102" t="s">
        <v>1437</v>
      </c>
      <c r="E737" s="103" t="s">
        <v>75</v>
      </c>
      <c r="F737" s="102" t="s">
        <v>26</v>
      </c>
      <c r="G737" s="103" t="s">
        <v>20</v>
      </c>
      <c r="I737" s="103">
        <v>201506</v>
      </c>
      <c r="J737" s="104">
        <v>3.3</v>
      </c>
      <c r="K737" s="72">
        <f t="shared" si="59"/>
        <v>42675</v>
      </c>
      <c r="L737" s="67">
        <f t="shared" si="55"/>
        <v>6</v>
      </c>
      <c r="M737" s="105">
        <v>1.4833299999999999E-3</v>
      </c>
      <c r="N737" s="104">
        <f t="shared" si="56"/>
        <v>2.9369933999999997E-2</v>
      </c>
      <c r="O737" s="66"/>
      <c r="P737" s="71">
        <f t="shared" si="57"/>
        <v>0</v>
      </c>
      <c r="Q737" s="132"/>
      <c r="R737" s="71">
        <f t="shared" si="58"/>
        <v>5.0494812499999993E-2</v>
      </c>
    </row>
    <row r="738" spans="1:18">
      <c r="A738" s="102" t="s">
        <v>626</v>
      </c>
      <c r="B738" s="103" t="s">
        <v>1438</v>
      </c>
      <c r="C738" s="103" t="s">
        <v>1439</v>
      </c>
      <c r="D738" s="102" t="s">
        <v>1440</v>
      </c>
      <c r="E738" s="103" t="s">
        <v>613</v>
      </c>
      <c r="F738" s="102" t="s">
        <v>398</v>
      </c>
      <c r="G738" s="103" t="s">
        <v>20</v>
      </c>
      <c r="I738" s="103">
        <v>201506</v>
      </c>
      <c r="J738" s="104">
        <v>897.99</v>
      </c>
      <c r="K738" s="72">
        <f t="shared" si="59"/>
        <v>42675</v>
      </c>
      <c r="L738" s="67">
        <f t="shared" si="55"/>
        <v>6</v>
      </c>
      <c r="M738" s="105">
        <v>1.4833299999999999E-3</v>
      </c>
      <c r="N738" s="104">
        <f t="shared" si="56"/>
        <v>7.9920930402000003</v>
      </c>
      <c r="O738" s="66"/>
      <c r="P738" s="71">
        <f t="shared" si="57"/>
        <v>0</v>
      </c>
      <c r="Q738" s="132"/>
      <c r="R738" s="71">
        <f t="shared" si="58"/>
        <v>13.74055656875</v>
      </c>
    </row>
    <row r="739" spans="1:18">
      <c r="A739" s="102" t="s">
        <v>626</v>
      </c>
      <c r="B739" s="103" t="s">
        <v>1348</v>
      </c>
      <c r="C739" s="103" t="s">
        <v>1349</v>
      </c>
      <c r="D739" s="102" t="s">
        <v>1350</v>
      </c>
      <c r="E739" s="103" t="s">
        <v>209</v>
      </c>
      <c r="F739" s="102" t="s">
        <v>88</v>
      </c>
      <c r="G739" s="103" t="s">
        <v>20</v>
      </c>
      <c r="I739" s="103">
        <v>201506</v>
      </c>
      <c r="J739" s="104">
        <v>-361.81</v>
      </c>
      <c r="K739" s="72">
        <f t="shared" si="59"/>
        <v>42675</v>
      </c>
      <c r="L739" s="67">
        <f t="shared" si="55"/>
        <v>6</v>
      </c>
      <c r="M739" s="105">
        <v>1.4833299999999999E-3</v>
      </c>
      <c r="N739" s="104">
        <f t="shared" si="56"/>
        <v>-3.2201017638000002</v>
      </c>
      <c r="O739" s="66"/>
      <c r="P739" s="71">
        <f t="shared" si="57"/>
        <v>0</v>
      </c>
      <c r="Q739" s="132"/>
      <c r="R739" s="71">
        <f t="shared" si="58"/>
        <v>-5.5362206395833331</v>
      </c>
    </row>
    <row r="740" spans="1:18">
      <c r="A740" s="102" t="s">
        <v>626</v>
      </c>
      <c r="B740" s="103" t="s">
        <v>1369</v>
      </c>
      <c r="C740" s="103" t="s">
        <v>1370</v>
      </c>
      <c r="D740" s="102" t="s">
        <v>1371</v>
      </c>
      <c r="E740" s="103" t="s">
        <v>809</v>
      </c>
      <c r="F740" s="102" t="s">
        <v>26</v>
      </c>
      <c r="G740" s="103" t="s">
        <v>20</v>
      </c>
      <c r="I740" s="103">
        <v>201506</v>
      </c>
      <c r="J740" s="104">
        <v>975.64</v>
      </c>
      <c r="K740" s="72">
        <f t="shared" si="59"/>
        <v>42675</v>
      </c>
      <c r="L740" s="67">
        <f t="shared" si="55"/>
        <v>6</v>
      </c>
      <c r="M740" s="105">
        <v>1.4833299999999999E-3</v>
      </c>
      <c r="N740" s="104">
        <f t="shared" si="56"/>
        <v>8.6831764872000008</v>
      </c>
      <c r="O740" s="66"/>
      <c r="P740" s="71">
        <f t="shared" si="57"/>
        <v>0</v>
      </c>
      <c r="Q740" s="132"/>
      <c r="R740" s="71">
        <f t="shared" si="58"/>
        <v>14.928714808333332</v>
      </c>
    </row>
    <row r="741" spans="1:18">
      <c r="A741" s="102" t="s">
        <v>626</v>
      </c>
      <c r="B741" s="103" t="s">
        <v>1372</v>
      </c>
      <c r="C741" s="103" t="s">
        <v>1373</v>
      </c>
      <c r="D741" s="102" t="s">
        <v>1374</v>
      </c>
      <c r="E741" s="103" t="s">
        <v>497</v>
      </c>
      <c r="F741" s="102" t="s">
        <v>26</v>
      </c>
      <c r="G741" s="103" t="s">
        <v>20</v>
      </c>
      <c r="I741" s="103">
        <v>201506</v>
      </c>
      <c r="J741" s="104">
        <v>-78.540000000000006</v>
      </c>
      <c r="K741" s="72">
        <f t="shared" si="59"/>
        <v>42675</v>
      </c>
      <c r="L741" s="67">
        <f t="shared" si="55"/>
        <v>6</v>
      </c>
      <c r="M741" s="105">
        <v>1.4833299999999999E-3</v>
      </c>
      <c r="N741" s="104">
        <f t="shared" si="56"/>
        <v>-0.69900442920000005</v>
      </c>
      <c r="O741" s="66"/>
      <c r="P741" s="71">
        <f t="shared" si="57"/>
        <v>0</v>
      </c>
      <c r="Q741" s="132"/>
      <c r="R741" s="71">
        <f t="shared" si="58"/>
        <v>-1.2017765375</v>
      </c>
    </row>
    <row r="742" spans="1:18">
      <c r="A742" s="102" t="s">
        <v>626</v>
      </c>
      <c r="B742" s="103" t="s">
        <v>1351</v>
      </c>
      <c r="C742" s="103" t="s">
        <v>1352</v>
      </c>
      <c r="D742" s="102" t="s">
        <v>1353</v>
      </c>
      <c r="E742" s="103" t="s">
        <v>809</v>
      </c>
      <c r="F742" s="102" t="s">
        <v>26</v>
      </c>
      <c r="G742" s="103" t="s">
        <v>20</v>
      </c>
      <c r="I742" s="103">
        <v>201506</v>
      </c>
      <c r="J742" s="104">
        <v>-939.48</v>
      </c>
      <c r="K742" s="72">
        <f t="shared" si="59"/>
        <v>42675</v>
      </c>
      <c r="L742" s="67">
        <f t="shared" si="55"/>
        <v>6</v>
      </c>
      <c r="M742" s="105">
        <v>1.4833299999999999E-3</v>
      </c>
      <c r="N742" s="104">
        <f t="shared" si="56"/>
        <v>-8.3613532104000008</v>
      </c>
      <c r="O742" s="66"/>
      <c r="P742" s="71">
        <f t="shared" si="57"/>
        <v>0</v>
      </c>
      <c r="Q742" s="132"/>
      <c r="R742" s="71">
        <f t="shared" si="58"/>
        <v>-14.375414074999998</v>
      </c>
    </row>
    <row r="743" spans="1:18">
      <c r="A743" s="102" t="s">
        <v>626</v>
      </c>
      <c r="B743" s="103" t="s">
        <v>1441</v>
      </c>
      <c r="C743" s="103" t="s">
        <v>1442</v>
      </c>
      <c r="D743" s="102" t="s">
        <v>1443</v>
      </c>
      <c r="E743" s="103" t="s">
        <v>209</v>
      </c>
      <c r="F743" s="102" t="s">
        <v>88</v>
      </c>
      <c r="G743" s="103" t="s">
        <v>20</v>
      </c>
      <c r="I743" s="103">
        <v>201506</v>
      </c>
      <c r="J743" s="104">
        <v>849.74</v>
      </c>
      <c r="K743" s="72">
        <f t="shared" si="59"/>
        <v>42675</v>
      </c>
      <c r="L743" s="67">
        <f t="shared" si="55"/>
        <v>6</v>
      </c>
      <c r="M743" s="105">
        <v>1.4833299999999999E-3</v>
      </c>
      <c r="N743" s="104">
        <f t="shared" si="56"/>
        <v>7.5626690052000001</v>
      </c>
      <c r="O743" s="66"/>
      <c r="P743" s="71">
        <f t="shared" si="57"/>
        <v>0</v>
      </c>
      <c r="Q743" s="132"/>
      <c r="R743" s="71">
        <f t="shared" si="58"/>
        <v>13.002261204166665</v>
      </c>
    </row>
    <row r="744" spans="1:18">
      <c r="A744" s="102" t="s">
        <v>626</v>
      </c>
      <c r="B744" s="103" t="s">
        <v>1375</v>
      </c>
      <c r="C744" s="103" t="s">
        <v>1376</v>
      </c>
      <c r="D744" s="102" t="s">
        <v>1374</v>
      </c>
      <c r="E744" s="103" t="s">
        <v>497</v>
      </c>
      <c r="F744" s="102" t="s">
        <v>26</v>
      </c>
      <c r="G744" s="103" t="s">
        <v>20</v>
      </c>
      <c r="I744" s="103">
        <v>201506</v>
      </c>
      <c r="J744" s="104">
        <v>31.34</v>
      </c>
      <c r="K744" s="72">
        <f t="shared" si="59"/>
        <v>42675</v>
      </c>
      <c r="L744" s="67">
        <f t="shared" si="55"/>
        <v>6</v>
      </c>
      <c r="M744" s="105">
        <v>1.4833299999999999E-3</v>
      </c>
      <c r="N744" s="104">
        <f t="shared" si="56"/>
        <v>0.27892537319999999</v>
      </c>
      <c r="O744" s="66"/>
      <c r="P744" s="71">
        <f t="shared" si="57"/>
        <v>0</v>
      </c>
      <c r="Q744" s="132"/>
      <c r="R744" s="71">
        <f t="shared" si="58"/>
        <v>0.47954770416666664</v>
      </c>
    </row>
    <row r="745" spans="1:18">
      <c r="A745" s="102" t="s">
        <v>626</v>
      </c>
      <c r="B745" s="103" t="s">
        <v>1444</v>
      </c>
      <c r="C745" s="103" t="s">
        <v>1445</v>
      </c>
      <c r="D745" s="102" t="s">
        <v>1282</v>
      </c>
      <c r="E745" s="103" t="s">
        <v>164</v>
      </c>
      <c r="F745" s="102" t="s">
        <v>165</v>
      </c>
      <c r="G745" s="103" t="s">
        <v>20</v>
      </c>
      <c r="I745" s="103">
        <v>201506</v>
      </c>
      <c r="J745" s="104">
        <v>-624.04999999999995</v>
      </c>
      <c r="K745" s="72">
        <f t="shared" si="59"/>
        <v>42675</v>
      </c>
      <c r="L745" s="67">
        <f t="shared" si="55"/>
        <v>6</v>
      </c>
      <c r="M745" s="105">
        <v>1.4833299999999999E-3</v>
      </c>
      <c r="N745" s="104">
        <f t="shared" si="56"/>
        <v>-5.5540325189999997</v>
      </c>
      <c r="O745" s="66"/>
      <c r="P745" s="71">
        <f t="shared" si="57"/>
        <v>0</v>
      </c>
      <c r="Q745" s="132"/>
      <c r="R745" s="71">
        <f t="shared" si="58"/>
        <v>-9.5488750729166654</v>
      </c>
    </row>
    <row r="746" spans="1:18">
      <c r="A746" s="102" t="s">
        <v>626</v>
      </c>
      <c r="B746" s="103" t="s">
        <v>1377</v>
      </c>
      <c r="C746" s="103" t="s">
        <v>1378</v>
      </c>
      <c r="D746" s="102" t="s">
        <v>1379</v>
      </c>
      <c r="E746" s="103" t="s">
        <v>1059</v>
      </c>
      <c r="F746" s="102" t="s">
        <v>26</v>
      </c>
      <c r="G746" s="103" t="s">
        <v>20</v>
      </c>
      <c r="I746" s="103">
        <v>201506</v>
      </c>
      <c r="J746" s="104">
        <v>-20.309999999999999</v>
      </c>
      <c r="K746" s="72">
        <f t="shared" si="59"/>
        <v>42675</v>
      </c>
      <c r="L746" s="67">
        <f t="shared" si="55"/>
        <v>6</v>
      </c>
      <c r="M746" s="105">
        <v>1.4833299999999999E-3</v>
      </c>
      <c r="N746" s="104">
        <f t="shared" si="56"/>
        <v>-0.18075859379999998</v>
      </c>
      <c r="O746" s="66"/>
      <c r="P746" s="71">
        <f t="shared" si="57"/>
        <v>0</v>
      </c>
      <c r="Q746" s="132"/>
      <c r="R746" s="71">
        <f t="shared" si="58"/>
        <v>-0.31077261874999995</v>
      </c>
    </row>
    <row r="747" spans="1:18">
      <c r="A747" s="102" t="s">
        <v>626</v>
      </c>
      <c r="B747" s="103" t="s">
        <v>1380</v>
      </c>
      <c r="C747" s="103" t="s">
        <v>1381</v>
      </c>
      <c r="D747" s="102" t="s">
        <v>1382</v>
      </c>
      <c r="E747" s="103" t="s">
        <v>809</v>
      </c>
      <c r="F747" s="102" t="s">
        <v>26</v>
      </c>
      <c r="G747" s="103" t="s">
        <v>20</v>
      </c>
      <c r="I747" s="103">
        <v>201506</v>
      </c>
      <c r="J747" s="104">
        <v>-1134.17</v>
      </c>
      <c r="K747" s="72">
        <f t="shared" si="59"/>
        <v>42675</v>
      </c>
      <c r="L747" s="67">
        <f t="shared" si="55"/>
        <v>6</v>
      </c>
      <c r="M747" s="105">
        <v>1.4833299999999999E-3</v>
      </c>
      <c r="N747" s="104">
        <f t="shared" si="56"/>
        <v>-10.094090316600001</v>
      </c>
      <c r="O747" s="66"/>
      <c r="P747" s="71">
        <f t="shared" si="57"/>
        <v>0</v>
      </c>
      <c r="Q747" s="132"/>
      <c r="R747" s="71">
        <f t="shared" si="58"/>
        <v>-17.354454997916665</v>
      </c>
    </row>
    <row r="748" spans="1:18">
      <c r="A748" s="102" t="s">
        <v>626</v>
      </c>
      <c r="B748" s="103" t="s">
        <v>1383</v>
      </c>
      <c r="C748" s="103" t="s">
        <v>1384</v>
      </c>
      <c r="D748" s="102" t="s">
        <v>1385</v>
      </c>
      <c r="E748" s="103" t="s">
        <v>809</v>
      </c>
      <c r="F748" s="102" t="s">
        <v>26</v>
      </c>
      <c r="G748" s="103" t="s">
        <v>20</v>
      </c>
      <c r="I748" s="103">
        <v>201506</v>
      </c>
      <c r="J748" s="104">
        <v>-55.7</v>
      </c>
      <c r="K748" s="72">
        <f t="shared" si="59"/>
        <v>42675</v>
      </c>
      <c r="L748" s="67">
        <f t="shared" si="55"/>
        <v>6</v>
      </c>
      <c r="M748" s="105">
        <v>1.4833299999999999E-3</v>
      </c>
      <c r="N748" s="104">
        <f t="shared" si="56"/>
        <v>-0.49572888600000004</v>
      </c>
      <c r="O748" s="66"/>
      <c r="P748" s="71">
        <f t="shared" si="57"/>
        <v>0</v>
      </c>
      <c r="Q748" s="132"/>
      <c r="R748" s="71">
        <f t="shared" si="58"/>
        <v>-0.85229122916666655</v>
      </c>
    </row>
    <row r="749" spans="1:18">
      <c r="A749" s="102" t="s">
        <v>626</v>
      </c>
      <c r="B749" s="103" t="s">
        <v>1446</v>
      </c>
      <c r="C749" s="103" t="s">
        <v>1447</v>
      </c>
      <c r="D749" s="102" t="s">
        <v>1448</v>
      </c>
      <c r="E749" s="103" t="s">
        <v>809</v>
      </c>
      <c r="F749" s="102" t="s">
        <v>26</v>
      </c>
      <c r="G749" s="103" t="s">
        <v>20</v>
      </c>
      <c r="I749" s="103">
        <v>201506</v>
      </c>
      <c r="J749" s="104">
        <v>2519.38</v>
      </c>
      <c r="K749" s="72">
        <f t="shared" si="59"/>
        <v>42675</v>
      </c>
      <c r="L749" s="67">
        <f t="shared" si="55"/>
        <v>6</v>
      </c>
      <c r="M749" s="105">
        <v>1.4833299999999999E-3</v>
      </c>
      <c r="N749" s="104">
        <f t="shared" si="56"/>
        <v>22.4224316124</v>
      </c>
      <c r="O749" s="66"/>
      <c r="P749" s="71">
        <f t="shared" si="57"/>
        <v>0</v>
      </c>
      <c r="Q749" s="132"/>
      <c r="R749" s="71">
        <f t="shared" si="58"/>
        <v>38.550188095833335</v>
      </c>
    </row>
    <row r="750" spans="1:18">
      <c r="A750" s="102" t="s">
        <v>626</v>
      </c>
      <c r="B750" s="103" t="s">
        <v>1386</v>
      </c>
      <c r="C750" s="103" t="s">
        <v>1387</v>
      </c>
      <c r="D750" s="102" t="s">
        <v>1388</v>
      </c>
      <c r="E750" s="103" t="s">
        <v>164</v>
      </c>
      <c r="F750" s="102" t="s">
        <v>165</v>
      </c>
      <c r="G750" s="103" t="s">
        <v>20</v>
      </c>
      <c r="I750" s="103">
        <v>201506</v>
      </c>
      <c r="J750" s="104">
        <v>-219.04</v>
      </c>
      <c r="K750" s="72">
        <f t="shared" si="59"/>
        <v>42675</v>
      </c>
      <c r="L750" s="67">
        <f t="shared" si="55"/>
        <v>6</v>
      </c>
      <c r="M750" s="105">
        <v>1.4833299999999999E-3</v>
      </c>
      <c r="N750" s="104">
        <f t="shared" si="56"/>
        <v>-1.9494516192</v>
      </c>
      <c r="O750" s="66"/>
      <c r="P750" s="71">
        <f t="shared" si="57"/>
        <v>0</v>
      </c>
      <c r="Q750" s="132"/>
      <c r="R750" s="71">
        <f t="shared" si="58"/>
        <v>-3.3516314333333326</v>
      </c>
    </row>
    <row r="751" spans="1:18">
      <c r="A751" s="102" t="s">
        <v>626</v>
      </c>
      <c r="B751" s="103" t="s">
        <v>1488</v>
      </c>
      <c r="C751" s="103" t="s">
        <v>1489</v>
      </c>
      <c r="D751" s="102" t="s">
        <v>1374</v>
      </c>
      <c r="E751" s="103" t="s">
        <v>531</v>
      </c>
      <c r="F751" s="102" t="s">
        <v>26</v>
      </c>
      <c r="G751" s="103" t="s">
        <v>20</v>
      </c>
      <c r="I751" s="103">
        <v>201506</v>
      </c>
      <c r="J751" s="104">
        <v>22865.21</v>
      </c>
      <c r="K751" s="72">
        <f t="shared" si="59"/>
        <v>42675</v>
      </c>
      <c r="L751" s="67">
        <f t="shared" si="55"/>
        <v>6</v>
      </c>
      <c r="M751" s="105">
        <v>1.4833299999999999E-3</v>
      </c>
      <c r="N751" s="104">
        <f t="shared" si="56"/>
        <v>203.49991169579999</v>
      </c>
      <c r="O751" s="66"/>
      <c r="P751" s="71">
        <f t="shared" si="57"/>
        <v>0</v>
      </c>
      <c r="Q751" s="132"/>
      <c r="R751" s="71">
        <f t="shared" si="58"/>
        <v>349.8710580979166</v>
      </c>
    </row>
    <row r="752" spans="1:18">
      <c r="A752" s="102" t="s">
        <v>626</v>
      </c>
      <c r="B752" s="103" t="s">
        <v>1449</v>
      </c>
      <c r="C752" s="103" t="s">
        <v>1450</v>
      </c>
      <c r="D752" s="102" t="s">
        <v>1451</v>
      </c>
      <c r="E752" s="103" t="s">
        <v>809</v>
      </c>
      <c r="F752" s="102" t="s">
        <v>26</v>
      </c>
      <c r="G752" s="103" t="s">
        <v>20</v>
      </c>
      <c r="I752" s="103">
        <v>201506</v>
      </c>
      <c r="J752" s="104">
        <v>513.67999999999995</v>
      </c>
      <c r="K752" s="72">
        <f t="shared" si="59"/>
        <v>42675</v>
      </c>
      <c r="L752" s="67">
        <f t="shared" si="55"/>
        <v>6</v>
      </c>
      <c r="M752" s="105">
        <v>1.4833299999999999E-3</v>
      </c>
      <c r="N752" s="104">
        <f t="shared" si="56"/>
        <v>4.5717417264</v>
      </c>
      <c r="O752" s="66"/>
      <c r="P752" s="71">
        <f t="shared" si="57"/>
        <v>0</v>
      </c>
      <c r="Q752" s="132"/>
      <c r="R752" s="71">
        <f t="shared" si="58"/>
        <v>7.8600531166666654</v>
      </c>
    </row>
    <row r="753" spans="1:18">
      <c r="A753" s="102" t="s">
        <v>626</v>
      </c>
      <c r="B753" s="103" t="s">
        <v>1452</v>
      </c>
      <c r="C753" s="103" t="s">
        <v>1453</v>
      </c>
      <c r="D753" s="102" t="s">
        <v>1454</v>
      </c>
      <c r="E753" s="103" t="s">
        <v>93</v>
      </c>
      <c r="F753" s="102" t="s">
        <v>88</v>
      </c>
      <c r="G753" s="103" t="s">
        <v>20</v>
      </c>
      <c r="I753" s="103">
        <v>201506</v>
      </c>
      <c r="J753" s="104">
        <v>-2425.23</v>
      </c>
      <c r="K753" s="72">
        <f t="shared" si="59"/>
        <v>42675</v>
      </c>
      <c r="L753" s="67">
        <f t="shared" si="55"/>
        <v>6</v>
      </c>
      <c r="M753" s="105">
        <v>1.4833299999999999E-3</v>
      </c>
      <c r="N753" s="104">
        <f t="shared" si="56"/>
        <v>-21.584498495400002</v>
      </c>
      <c r="O753" s="66"/>
      <c r="P753" s="71">
        <f t="shared" si="57"/>
        <v>0</v>
      </c>
      <c r="Q753" s="132"/>
      <c r="R753" s="71">
        <f t="shared" si="58"/>
        <v>-37.109555793749998</v>
      </c>
    </row>
    <row r="754" spans="1:18">
      <c r="A754" s="102" t="s">
        <v>626</v>
      </c>
      <c r="B754" s="103" t="s">
        <v>1408</v>
      </c>
      <c r="C754" s="103" t="s">
        <v>1409</v>
      </c>
      <c r="D754" s="102" t="s">
        <v>1335</v>
      </c>
      <c r="E754" s="103" t="s">
        <v>164</v>
      </c>
      <c r="F754" s="102" t="s">
        <v>165</v>
      </c>
      <c r="G754" s="103" t="s">
        <v>20</v>
      </c>
      <c r="I754" s="103">
        <v>201506</v>
      </c>
      <c r="J754" s="104">
        <v>4053.54</v>
      </c>
      <c r="K754" s="72">
        <f t="shared" si="59"/>
        <v>42675</v>
      </c>
      <c r="L754" s="67">
        <f t="shared" si="55"/>
        <v>6</v>
      </c>
      <c r="M754" s="105">
        <v>1.4833299999999999E-3</v>
      </c>
      <c r="N754" s="104">
        <f t="shared" si="56"/>
        <v>36.076424929200002</v>
      </c>
      <c r="O754" s="66"/>
      <c r="P754" s="71">
        <f t="shared" si="57"/>
        <v>0</v>
      </c>
      <c r="Q754" s="132"/>
      <c r="R754" s="71">
        <f t="shared" si="58"/>
        <v>62.025073412499992</v>
      </c>
    </row>
    <row r="755" spans="1:18">
      <c r="A755" s="102" t="s">
        <v>626</v>
      </c>
      <c r="B755" s="103" t="s">
        <v>1455</v>
      </c>
      <c r="C755" s="103" t="s">
        <v>1456</v>
      </c>
      <c r="D755" s="102" t="s">
        <v>1457</v>
      </c>
      <c r="E755" s="103" t="s">
        <v>156</v>
      </c>
      <c r="F755" s="102" t="s">
        <v>26</v>
      </c>
      <c r="G755" s="103" t="s">
        <v>20</v>
      </c>
      <c r="I755" s="103">
        <v>201506</v>
      </c>
      <c r="J755" s="104">
        <v>6068.51</v>
      </c>
      <c r="K755" s="72">
        <f t="shared" si="59"/>
        <v>42675</v>
      </c>
      <c r="L755" s="67">
        <f t="shared" si="55"/>
        <v>6</v>
      </c>
      <c r="M755" s="105">
        <v>1.4833299999999999E-3</v>
      </c>
      <c r="N755" s="104">
        <f t="shared" si="56"/>
        <v>54.009617629800005</v>
      </c>
      <c r="O755" s="66"/>
      <c r="P755" s="71">
        <f t="shared" si="57"/>
        <v>0</v>
      </c>
      <c r="Q755" s="132"/>
      <c r="R755" s="71">
        <f t="shared" si="58"/>
        <v>92.857052910416655</v>
      </c>
    </row>
    <row r="756" spans="1:18">
      <c r="A756" s="102" t="s">
        <v>626</v>
      </c>
      <c r="B756" s="103" t="s">
        <v>1490</v>
      </c>
      <c r="C756" s="103" t="s">
        <v>1491</v>
      </c>
      <c r="D756" s="102" t="s">
        <v>1492</v>
      </c>
      <c r="E756" s="103" t="s">
        <v>809</v>
      </c>
      <c r="F756" s="102" t="s">
        <v>26</v>
      </c>
      <c r="G756" s="103" t="s">
        <v>20</v>
      </c>
      <c r="I756" s="103">
        <v>201506</v>
      </c>
      <c r="J756" s="104">
        <v>62192.92</v>
      </c>
      <c r="K756" s="72">
        <f t="shared" si="59"/>
        <v>42675</v>
      </c>
      <c r="L756" s="67">
        <f t="shared" si="55"/>
        <v>6</v>
      </c>
      <c r="M756" s="105">
        <v>1.4833299999999999E-3</v>
      </c>
      <c r="N756" s="104">
        <f t="shared" si="56"/>
        <v>553.51574414159995</v>
      </c>
      <c r="O756" s="66"/>
      <c r="P756" s="71">
        <f t="shared" si="57"/>
        <v>0</v>
      </c>
      <c r="Q756" s="132"/>
      <c r="R756" s="71">
        <f t="shared" si="58"/>
        <v>951.64237400833315</v>
      </c>
    </row>
    <row r="757" spans="1:18">
      <c r="A757" s="102" t="s">
        <v>626</v>
      </c>
      <c r="B757" s="103" t="s">
        <v>1493</v>
      </c>
      <c r="C757" s="103" t="s">
        <v>1494</v>
      </c>
      <c r="D757" s="102" t="s">
        <v>1495</v>
      </c>
      <c r="E757" s="103" t="s">
        <v>75</v>
      </c>
      <c r="F757" s="102" t="s">
        <v>26</v>
      </c>
      <c r="G757" s="103" t="s">
        <v>20</v>
      </c>
      <c r="I757" s="103">
        <v>201506</v>
      </c>
      <c r="J757" s="104">
        <v>11477.13</v>
      </c>
      <c r="K757" s="72">
        <f t="shared" si="59"/>
        <v>42675</v>
      </c>
      <c r="L757" s="67">
        <f t="shared" si="55"/>
        <v>6</v>
      </c>
      <c r="M757" s="105">
        <v>1.4833299999999999E-3</v>
      </c>
      <c r="N757" s="104">
        <f t="shared" si="56"/>
        <v>102.14622745739999</v>
      </c>
      <c r="O757" s="66"/>
      <c r="P757" s="71">
        <f t="shared" si="57"/>
        <v>0</v>
      </c>
      <c r="Q757" s="132"/>
      <c r="R757" s="71">
        <f t="shared" si="58"/>
        <v>175.61682648124997</v>
      </c>
    </row>
    <row r="758" spans="1:18">
      <c r="A758" s="102" t="s">
        <v>626</v>
      </c>
      <c r="B758" s="103" t="s">
        <v>1389</v>
      </c>
      <c r="C758" s="103" t="s">
        <v>1390</v>
      </c>
      <c r="D758" s="102" t="s">
        <v>1391</v>
      </c>
      <c r="E758" s="103" t="s">
        <v>280</v>
      </c>
      <c r="F758" s="102" t="s">
        <v>26</v>
      </c>
      <c r="G758" s="103" t="s">
        <v>20</v>
      </c>
      <c r="I758" s="103">
        <v>201506</v>
      </c>
      <c r="J758" s="104">
        <v>3086.67</v>
      </c>
      <c r="K758" s="72">
        <f t="shared" si="59"/>
        <v>42675</v>
      </c>
      <c r="L758" s="67">
        <f t="shared" si="55"/>
        <v>6</v>
      </c>
      <c r="M758" s="105">
        <v>1.4833299999999999E-3</v>
      </c>
      <c r="N758" s="104">
        <f t="shared" si="56"/>
        <v>27.471301266600001</v>
      </c>
      <c r="O758" s="66"/>
      <c r="P758" s="71">
        <f t="shared" si="57"/>
        <v>0</v>
      </c>
      <c r="Q758" s="132"/>
      <c r="R758" s="71">
        <f t="shared" si="58"/>
        <v>47.230552393749996</v>
      </c>
    </row>
    <row r="759" spans="1:18">
      <c r="A759" s="102" t="s">
        <v>626</v>
      </c>
      <c r="B759" s="103" t="s">
        <v>1496</v>
      </c>
      <c r="C759" s="103" t="s">
        <v>1497</v>
      </c>
      <c r="D759" s="102" t="s">
        <v>1498</v>
      </c>
      <c r="E759" s="103" t="s">
        <v>164</v>
      </c>
      <c r="F759" s="102" t="s">
        <v>165</v>
      </c>
      <c r="G759" s="103" t="s">
        <v>20</v>
      </c>
      <c r="I759" s="103">
        <v>201506</v>
      </c>
      <c r="J759" s="104">
        <v>46677.34</v>
      </c>
      <c r="K759" s="72">
        <f t="shared" si="59"/>
        <v>42675</v>
      </c>
      <c r="L759" s="67">
        <f t="shared" si="55"/>
        <v>6</v>
      </c>
      <c r="M759" s="105">
        <v>1.4833299999999999E-3</v>
      </c>
      <c r="N759" s="104">
        <f t="shared" si="56"/>
        <v>415.42739245319996</v>
      </c>
      <c r="O759" s="66"/>
      <c r="P759" s="71">
        <f t="shared" si="57"/>
        <v>0</v>
      </c>
      <c r="Q759" s="132"/>
      <c r="R759" s="71">
        <f t="shared" si="58"/>
        <v>714.23137312083315</v>
      </c>
    </row>
    <row r="760" spans="1:18">
      <c r="A760" s="106" t="s">
        <v>127</v>
      </c>
      <c r="B760" s="103" t="s">
        <v>1242</v>
      </c>
      <c r="C760" s="103" t="s">
        <v>1243</v>
      </c>
      <c r="D760" s="102" t="s">
        <v>1244</v>
      </c>
      <c r="E760" s="103" t="s">
        <v>131</v>
      </c>
      <c r="F760" s="102" t="s">
        <v>132</v>
      </c>
      <c r="G760" s="103" t="s">
        <v>20</v>
      </c>
      <c r="I760" s="103">
        <v>201506</v>
      </c>
      <c r="J760" s="104">
        <v>-314.17</v>
      </c>
      <c r="K760" s="72">
        <f t="shared" si="59"/>
        <v>42675</v>
      </c>
      <c r="L760" s="67">
        <f t="shared" si="55"/>
        <v>6</v>
      </c>
      <c r="M760" s="105">
        <v>2.3833299999999999E-3</v>
      </c>
      <c r="N760" s="104">
        <f t="shared" si="56"/>
        <v>-4.4926247166</v>
      </c>
      <c r="O760" s="66"/>
      <c r="P760" s="71">
        <f t="shared" si="57"/>
        <v>0</v>
      </c>
      <c r="Q760" s="132"/>
      <c r="R760" s="71">
        <f t="shared" si="58"/>
        <v>-4.8072591645833329</v>
      </c>
    </row>
    <row r="761" spans="1:18">
      <c r="A761" s="102" t="s">
        <v>127</v>
      </c>
      <c r="B761" s="103" t="s">
        <v>388</v>
      </c>
      <c r="C761" s="103" t="s">
        <v>389</v>
      </c>
      <c r="D761" s="102" t="s">
        <v>390</v>
      </c>
      <c r="E761" s="103" t="s">
        <v>131</v>
      </c>
      <c r="F761" s="102" t="s">
        <v>132</v>
      </c>
      <c r="G761" s="103" t="s">
        <v>20</v>
      </c>
      <c r="I761" s="103">
        <v>201506</v>
      </c>
      <c r="J761" s="104">
        <v>-6.19</v>
      </c>
      <c r="K761" s="72">
        <f t="shared" si="59"/>
        <v>42675</v>
      </c>
      <c r="L761" s="67">
        <f t="shared" si="55"/>
        <v>6</v>
      </c>
      <c r="M761" s="105">
        <v>2.3833299999999999E-3</v>
      </c>
      <c r="N761" s="104">
        <f t="shared" si="56"/>
        <v>-8.8516876200000011E-2</v>
      </c>
      <c r="O761" s="66"/>
      <c r="P761" s="71">
        <f t="shared" si="57"/>
        <v>0</v>
      </c>
      <c r="Q761" s="132"/>
      <c r="R761" s="71">
        <f t="shared" si="58"/>
        <v>-9.4716027083333335E-2</v>
      </c>
    </row>
    <row r="762" spans="1:18">
      <c r="A762" s="102" t="s">
        <v>127</v>
      </c>
      <c r="B762" s="103" t="s">
        <v>1032</v>
      </c>
      <c r="C762" s="103" t="s">
        <v>1033</v>
      </c>
      <c r="D762" s="102" t="s">
        <v>1034</v>
      </c>
      <c r="E762" s="103" t="s">
        <v>209</v>
      </c>
      <c r="F762" s="102" t="s">
        <v>88</v>
      </c>
      <c r="G762" s="103" t="s">
        <v>20</v>
      </c>
      <c r="I762" s="103">
        <v>201506</v>
      </c>
      <c r="J762" s="104">
        <v>-54.33</v>
      </c>
      <c r="K762" s="72">
        <f t="shared" si="59"/>
        <v>42675</v>
      </c>
      <c r="L762" s="67">
        <f t="shared" si="55"/>
        <v>6</v>
      </c>
      <c r="M762" s="105">
        <v>2.3833299999999999E-3</v>
      </c>
      <c r="N762" s="104">
        <f t="shared" si="56"/>
        <v>-0.77691791340000005</v>
      </c>
      <c r="O762" s="66"/>
      <c r="P762" s="71">
        <f t="shared" si="57"/>
        <v>0</v>
      </c>
      <c r="Q762" s="132"/>
      <c r="R762" s="71">
        <f t="shared" si="58"/>
        <v>-0.83132823124999988</v>
      </c>
    </row>
    <row r="763" spans="1:18">
      <c r="A763" s="102" t="s">
        <v>127</v>
      </c>
      <c r="B763" s="103" t="s">
        <v>1130</v>
      </c>
      <c r="C763" s="103" t="s">
        <v>1131</v>
      </c>
      <c r="D763" s="102" t="s">
        <v>1132</v>
      </c>
      <c r="E763" s="103" t="s">
        <v>131</v>
      </c>
      <c r="F763" s="102" t="s">
        <v>132</v>
      </c>
      <c r="G763" s="103" t="s">
        <v>20</v>
      </c>
      <c r="I763" s="103">
        <v>201506</v>
      </c>
      <c r="J763" s="104">
        <v>-9.92</v>
      </c>
      <c r="K763" s="72">
        <f t="shared" si="59"/>
        <v>42675</v>
      </c>
      <c r="L763" s="67">
        <f t="shared" si="55"/>
        <v>6</v>
      </c>
      <c r="M763" s="105">
        <v>2.3833299999999999E-3</v>
      </c>
      <c r="N763" s="104">
        <f t="shared" si="56"/>
        <v>-0.1418558016</v>
      </c>
      <c r="O763" s="66"/>
      <c r="P763" s="71">
        <f t="shared" si="57"/>
        <v>0</v>
      </c>
      <c r="Q763" s="132"/>
      <c r="R763" s="71">
        <f t="shared" si="58"/>
        <v>-0.15179046666666665</v>
      </c>
    </row>
    <row r="764" spans="1:18">
      <c r="A764" s="102" t="s">
        <v>127</v>
      </c>
      <c r="B764" s="103" t="s">
        <v>1499</v>
      </c>
      <c r="C764" s="103" t="s">
        <v>1500</v>
      </c>
      <c r="D764" s="102" t="s">
        <v>1501</v>
      </c>
      <c r="E764" s="103" t="s">
        <v>216</v>
      </c>
      <c r="F764" s="102" t="s">
        <v>217</v>
      </c>
      <c r="G764" s="103" t="s">
        <v>20</v>
      </c>
      <c r="I764" s="103">
        <v>201506</v>
      </c>
      <c r="J764" s="104">
        <v>10166.49</v>
      </c>
      <c r="K764" s="72">
        <f t="shared" si="59"/>
        <v>42675</v>
      </c>
      <c r="L764" s="67">
        <f t="shared" si="55"/>
        <v>6</v>
      </c>
      <c r="M764" s="105">
        <v>2.3833299999999999E-3</v>
      </c>
      <c r="N764" s="104">
        <f t="shared" si="56"/>
        <v>145.3806036702</v>
      </c>
      <c r="O764" s="66"/>
      <c r="P764" s="71">
        <f t="shared" si="57"/>
        <v>0</v>
      </c>
      <c r="Q764" s="132"/>
      <c r="R764" s="71">
        <f t="shared" si="58"/>
        <v>155.56212313124999</v>
      </c>
    </row>
    <row r="765" spans="1:18">
      <c r="A765" s="106" t="s">
        <v>29</v>
      </c>
      <c r="B765" s="103" t="s">
        <v>30</v>
      </c>
      <c r="C765" s="103" t="s">
        <v>31</v>
      </c>
      <c r="D765" s="102" t="s">
        <v>32</v>
      </c>
      <c r="E765" s="103" t="s">
        <v>33</v>
      </c>
      <c r="F765" s="102" t="s">
        <v>34</v>
      </c>
      <c r="G765" s="103" t="s">
        <v>20</v>
      </c>
      <c r="I765" s="103">
        <v>201506</v>
      </c>
      <c r="J765" s="104">
        <v>226088.59</v>
      </c>
      <c r="K765" s="72">
        <f t="shared" si="59"/>
        <v>42675</v>
      </c>
      <c r="L765" s="67">
        <f t="shared" si="55"/>
        <v>6</v>
      </c>
      <c r="M765" s="105">
        <v>2.23333E-3</v>
      </c>
      <c r="N765" s="104">
        <f t="shared" si="56"/>
        <v>3029.5825842281997</v>
      </c>
      <c r="O765" s="66"/>
      <c r="P765" s="71">
        <f t="shared" si="57"/>
        <v>0</v>
      </c>
      <c r="Q765" s="132"/>
      <c r="R765" s="71">
        <f t="shared" si="58"/>
        <v>3459.485139527083</v>
      </c>
    </row>
    <row r="766" spans="1:18">
      <c r="A766" s="106" t="s">
        <v>29</v>
      </c>
      <c r="B766" s="103" t="s">
        <v>37</v>
      </c>
      <c r="C766" s="103" t="s">
        <v>38</v>
      </c>
      <c r="D766" s="102" t="s">
        <v>39</v>
      </c>
      <c r="E766" s="103" t="s">
        <v>40</v>
      </c>
      <c r="F766" s="102" t="s">
        <v>41</v>
      </c>
      <c r="G766" s="103" t="s">
        <v>20</v>
      </c>
      <c r="I766" s="103">
        <v>201506</v>
      </c>
      <c r="J766" s="104">
        <v>104127.19</v>
      </c>
      <c r="K766" s="72">
        <f t="shared" si="59"/>
        <v>42675</v>
      </c>
      <c r="L766" s="67">
        <f t="shared" si="55"/>
        <v>6</v>
      </c>
      <c r="M766" s="105">
        <v>2.23333E-3</v>
      </c>
      <c r="N766" s="104">
        <f t="shared" si="56"/>
        <v>1395.3022634561999</v>
      </c>
      <c r="O766" s="66"/>
      <c r="P766" s="71">
        <f t="shared" si="57"/>
        <v>0</v>
      </c>
      <c r="Q766" s="132"/>
      <c r="R766" s="71">
        <f t="shared" si="58"/>
        <v>1593.2978591520832</v>
      </c>
    </row>
    <row r="767" spans="1:18">
      <c r="A767" s="106" t="s">
        <v>29</v>
      </c>
      <c r="B767" s="103" t="s">
        <v>43</v>
      </c>
      <c r="C767" s="103" t="s">
        <v>44</v>
      </c>
      <c r="D767" s="102" t="s">
        <v>45</v>
      </c>
      <c r="E767" s="103" t="s">
        <v>46</v>
      </c>
      <c r="F767" s="102" t="s">
        <v>41</v>
      </c>
      <c r="G767" s="103" t="s">
        <v>20</v>
      </c>
      <c r="I767" s="103">
        <v>201506</v>
      </c>
      <c r="J767" s="104">
        <v>-1255.26</v>
      </c>
      <c r="K767" s="72">
        <f t="shared" si="59"/>
        <v>42675</v>
      </c>
      <c r="L767" s="67">
        <f t="shared" si="55"/>
        <v>6</v>
      </c>
      <c r="M767" s="105">
        <v>2.23333E-3</v>
      </c>
      <c r="N767" s="104">
        <f t="shared" si="56"/>
        <v>-16.820458894799998</v>
      </c>
      <c r="O767" s="66"/>
      <c r="P767" s="71">
        <f t="shared" si="57"/>
        <v>0</v>
      </c>
      <c r="Q767" s="132"/>
      <c r="R767" s="71">
        <f t="shared" si="58"/>
        <v>-19.207308587499998</v>
      </c>
    </row>
    <row r="768" spans="1:18">
      <c r="A768" s="106" t="s">
        <v>29</v>
      </c>
      <c r="B768" s="103" t="s">
        <v>48</v>
      </c>
      <c r="C768" s="103" t="s">
        <v>49</v>
      </c>
      <c r="D768" s="102" t="s">
        <v>50</v>
      </c>
      <c r="E768" s="103" t="s">
        <v>51</v>
      </c>
      <c r="F768" s="102" t="s">
        <v>52</v>
      </c>
      <c r="G768" s="103" t="s">
        <v>20</v>
      </c>
      <c r="I768" s="103">
        <v>201506</v>
      </c>
      <c r="J768" s="104">
        <v>-837.48</v>
      </c>
      <c r="K768" s="72">
        <f t="shared" si="59"/>
        <v>42675</v>
      </c>
      <c r="L768" s="67">
        <f t="shared" si="55"/>
        <v>6</v>
      </c>
      <c r="M768" s="105">
        <v>2.23333E-3</v>
      </c>
      <c r="N768" s="104">
        <f t="shared" si="56"/>
        <v>-11.2222152504</v>
      </c>
      <c r="O768" s="66"/>
      <c r="P768" s="71">
        <f t="shared" si="57"/>
        <v>0</v>
      </c>
      <c r="Q768" s="132"/>
      <c r="R768" s="71">
        <f t="shared" si="58"/>
        <v>-12.814665324999998</v>
      </c>
    </row>
    <row r="769" spans="1:18">
      <c r="A769" s="106" t="s">
        <v>29</v>
      </c>
      <c r="B769" s="103" t="s">
        <v>1024</v>
      </c>
      <c r="C769" s="103" t="s">
        <v>1025</v>
      </c>
      <c r="D769" s="102" t="s">
        <v>1026</v>
      </c>
      <c r="E769" s="103" t="s">
        <v>1027</v>
      </c>
      <c r="F769" s="102" t="s">
        <v>1028</v>
      </c>
      <c r="G769" s="103" t="s">
        <v>20</v>
      </c>
      <c r="I769" s="103">
        <v>201506</v>
      </c>
      <c r="J769" s="104">
        <v>-0.77</v>
      </c>
      <c r="K769" s="72">
        <f t="shared" si="59"/>
        <v>42675</v>
      </c>
      <c r="L769" s="67">
        <f t="shared" si="55"/>
        <v>6</v>
      </c>
      <c r="M769" s="105">
        <v>2.23333E-3</v>
      </c>
      <c r="N769" s="104">
        <f t="shared" si="56"/>
        <v>-1.03179846E-2</v>
      </c>
      <c r="O769" s="66"/>
      <c r="P769" s="71">
        <f t="shared" si="57"/>
        <v>0</v>
      </c>
      <c r="Q769" s="132"/>
      <c r="R769" s="71">
        <f t="shared" si="58"/>
        <v>-1.1782122916666665E-2</v>
      </c>
    </row>
    <row r="770" spans="1:18">
      <c r="A770" s="106" t="s">
        <v>29</v>
      </c>
      <c r="B770" s="103" t="s">
        <v>1245</v>
      </c>
      <c r="C770" s="103" t="s">
        <v>1246</v>
      </c>
      <c r="D770" s="102" t="s">
        <v>1026</v>
      </c>
      <c r="E770" s="103" t="s">
        <v>1027</v>
      </c>
      <c r="F770" s="102" t="s">
        <v>1028</v>
      </c>
      <c r="G770" s="103" t="s">
        <v>20</v>
      </c>
      <c r="I770" s="103">
        <v>201506</v>
      </c>
      <c r="J770" s="104">
        <v>-38.520000000000003</v>
      </c>
      <c r="K770" s="72">
        <f t="shared" si="59"/>
        <v>42675</v>
      </c>
      <c r="L770" s="67">
        <f t="shared" si="55"/>
        <v>6</v>
      </c>
      <c r="M770" s="105">
        <v>2.23333E-3</v>
      </c>
      <c r="N770" s="104">
        <f t="shared" si="56"/>
        <v>-0.51616722959999994</v>
      </c>
      <c r="O770" s="66"/>
      <c r="P770" s="71">
        <f t="shared" si="57"/>
        <v>0</v>
      </c>
      <c r="Q770" s="132"/>
      <c r="R770" s="71">
        <f t="shared" si="58"/>
        <v>-0.58941217499999998</v>
      </c>
    </row>
    <row r="771" spans="1:18">
      <c r="A771" s="106" t="s">
        <v>29</v>
      </c>
      <c r="B771" s="103" t="s">
        <v>103</v>
      </c>
      <c r="C771" s="103" t="s">
        <v>104</v>
      </c>
      <c r="D771" s="102" t="s">
        <v>105</v>
      </c>
      <c r="E771" s="103" t="s">
        <v>106</v>
      </c>
      <c r="F771" s="102" t="s">
        <v>34</v>
      </c>
      <c r="G771" s="103" t="s">
        <v>20</v>
      </c>
      <c r="I771" s="103">
        <v>201506</v>
      </c>
      <c r="J771" s="104">
        <v>160.76</v>
      </c>
      <c r="K771" s="72">
        <f t="shared" si="59"/>
        <v>42675</v>
      </c>
      <c r="L771" s="67">
        <f t="shared" si="55"/>
        <v>6</v>
      </c>
      <c r="M771" s="105">
        <v>2.23333E-3</v>
      </c>
      <c r="N771" s="104">
        <f t="shared" si="56"/>
        <v>2.1541807847999999</v>
      </c>
      <c r="O771" s="66"/>
      <c r="P771" s="71">
        <f t="shared" si="57"/>
        <v>0</v>
      </c>
      <c r="Q771" s="132"/>
      <c r="R771" s="71">
        <f t="shared" si="58"/>
        <v>2.4598624416666666</v>
      </c>
    </row>
    <row r="772" spans="1:18">
      <c r="A772" s="106" t="s">
        <v>29</v>
      </c>
      <c r="B772" s="103" t="s">
        <v>107</v>
      </c>
      <c r="C772" s="103" t="s">
        <v>108</v>
      </c>
      <c r="D772" s="102" t="s">
        <v>109</v>
      </c>
      <c r="E772" s="103" t="s">
        <v>110</v>
      </c>
      <c r="F772" s="102" t="s">
        <v>52</v>
      </c>
      <c r="G772" s="103" t="s">
        <v>20</v>
      </c>
      <c r="I772" s="103">
        <v>201506</v>
      </c>
      <c r="J772" s="104">
        <v>58953.33</v>
      </c>
      <c r="K772" s="72">
        <f t="shared" si="59"/>
        <v>42675</v>
      </c>
      <c r="L772" s="67">
        <f t="shared" si="55"/>
        <v>6</v>
      </c>
      <c r="M772" s="105">
        <v>2.23333E-3</v>
      </c>
      <c r="N772" s="104">
        <f t="shared" si="56"/>
        <v>789.97344293339995</v>
      </c>
      <c r="O772" s="66"/>
      <c r="P772" s="71">
        <f t="shared" si="57"/>
        <v>0</v>
      </c>
      <c r="Q772" s="132"/>
      <c r="R772" s="71">
        <f t="shared" si="58"/>
        <v>902.07192260625004</v>
      </c>
    </row>
    <row r="773" spans="1:18">
      <c r="A773" s="106" t="s">
        <v>29</v>
      </c>
      <c r="B773" s="103" t="s">
        <v>548</v>
      </c>
      <c r="C773" s="103" t="s">
        <v>549</v>
      </c>
      <c r="D773" s="102" t="s">
        <v>327</v>
      </c>
      <c r="E773" s="103" t="s">
        <v>550</v>
      </c>
      <c r="F773" s="102" t="s">
        <v>58</v>
      </c>
      <c r="G773" s="103" t="s">
        <v>20</v>
      </c>
      <c r="I773" s="103">
        <v>201506</v>
      </c>
      <c r="J773" s="104">
        <v>956.93</v>
      </c>
      <c r="K773" s="72">
        <f t="shared" si="59"/>
        <v>42675</v>
      </c>
      <c r="L773" s="67">
        <f t="shared" ref="L773:L836" si="60">((YEAR($L$1)-YEAR(K773))*12+MONTH($L$1)-MONTH(K773))</f>
        <v>6</v>
      </c>
      <c r="M773" s="105">
        <v>2.23333E-3</v>
      </c>
      <c r="N773" s="104">
        <f t="shared" ref="N773:N836" si="61">M773*L773*J773</f>
        <v>12.822842861399998</v>
      </c>
      <c r="O773" s="66"/>
      <c r="P773" s="71">
        <f t="shared" si="57"/>
        <v>0</v>
      </c>
      <c r="Q773" s="132"/>
      <c r="R773" s="71">
        <f t="shared" si="58"/>
        <v>14.642424522916665</v>
      </c>
    </row>
    <row r="774" spans="1:18">
      <c r="A774" s="106" t="s">
        <v>29</v>
      </c>
      <c r="B774" s="103" t="s">
        <v>111</v>
      </c>
      <c r="C774" s="103" t="s">
        <v>112</v>
      </c>
      <c r="D774" s="102" t="s">
        <v>113</v>
      </c>
      <c r="E774" s="103" t="s">
        <v>114</v>
      </c>
      <c r="F774" s="102" t="s">
        <v>115</v>
      </c>
      <c r="G774" s="103" t="s">
        <v>20</v>
      </c>
      <c r="I774" s="103">
        <v>201506</v>
      </c>
      <c r="J774" s="104">
        <v>-6.66</v>
      </c>
      <c r="K774" s="72">
        <f t="shared" si="59"/>
        <v>42675</v>
      </c>
      <c r="L774" s="67">
        <f t="shared" si="60"/>
        <v>6</v>
      </c>
      <c r="M774" s="105">
        <v>2.23333E-3</v>
      </c>
      <c r="N774" s="104">
        <f t="shared" si="61"/>
        <v>-8.9243866799999988E-2</v>
      </c>
      <c r="O774" s="66"/>
      <c r="P774" s="71">
        <f t="shared" ref="P774:P837" si="62">($P$4*0.5*J774*$T$12)</f>
        <v>0</v>
      </c>
      <c r="Q774" s="132"/>
      <c r="R774" s="71">
        <f t="shared" ref="R774:R837" si="63">($R$4*0.5*J774*$T$12)</f>
        <v>-0.1019077125</v>
      </c>
    </row>
    <row r="775" spans="1:18">
      <c r="A775" s="106" t="s">
        <v>29</v>
      </c>
      <c r="B775" s="103" t="s">
        <v>555</v>
      </c>
      <c r="C775" s="103" t="s">
        <v>556</v>
      </c>
      <c r="D775" s="102" t="s">
        <v>45</v>
      </c>
      <c r="E775" s="103" t="s">
        <v>557</v>
      </c>
      <c r="F775" s="102" t="s">
        <v>41</v>
      </c>
      <c r="G775" s="103" t="s">
        <v>20</v>
      </c>
      <c r="I775" s="103">
        <v>201506</v>
      </c>
      <c r="J775" s="104">
        <v>-14.89</v>
      </c>
      <c r="K775" s="72">
        <f t="shared" ref="K775:K838" si="64">+K774</f>
        <v>42675</v>
      </c>
      <c r="L775" s="67">
        <f t="shared" si="60"/>
        <v>6</v>
      </c>
      <c r="M775" s="105">
        <v>2.23333E-3</v>
      </c>
      <c r="N775" s="104">
        <f t="shared" si="61"/>
        <v>-0.19952570219999999</v>
      </c>
      <c r="O775" s="66"/>
      <c r="P775" s="71">
        <f t="shared" si="62"/>
        <v>0</v>
      </c>
      <c r="Q775" s="132"/>
      <c r="R775" s="71">
        <f t="shared" si="63"/>
        <v>-0.22783871458333332</v>
      </c>
    </row>
    <row r="776" spans="1:18">
      <c r="A776" s="106" t="s">
        <v>29</v>
      </c>
      <c r="B776" s="103" t="s">
        <v>121</v>
      </c>
      <c r="C776" s="103" t="s">
        <v>122</v>
      </c>
      <c r="D776" s="102" t="s">
        <v>50</v>
      </c>
      <c r="E776" s="103" t="s">
        <v>123</v>
      </c>
      <c r="F776" s="102" t="s">
        <v>52</v>
      </c>
      <c r="G776" s="103" t="s">
        <v>20</v>
      </c>
      <c r="I776" s="103">
        <v>201506</v>
      </c>
      <c r="J776" s="104">
        <v>4.05</v>
      </c>
      <c r="K776" s="72">
        <f t="shared" si="64"/>
        <v>42675</v>
      </c>
      <c r="L776" s="67">
        <f t="shared" si="60"/>
        <v>6</v>
      </c>
      <c r="M776" s="105">
        <v>2.23333E-3</v>
      </c>
      <c r="N776" s="104">
        <f t="shared" si="61"/>
        <v>5.4269918999999993E-2</v>
      </c>
      <c r="O776" s="66"/>
      <c r="P776" s="71">
        <f t="shared" si="62"/>
        <v>0</v>
      </c>
      <c r="Q776" s="132"/>
      <c r="R776" s="71">
        <f t="shared" si="63"/>
        <v>6.1970906249999985E-2</v>
      </c>
    </row>
    <row r="777" spans="1:18">
      <c r="A777" s="106" t="s">
        <v>29</v>
      </c>
      <c r="B777" s="103" t="s">
        <v>124</v>
      </c>
      <c r="C777" s="103" t="s">
        <v>125</v>
      </c>
      <c r="D777" s="102" t="s">
        <v>50</v>
      </c>
      <c r="E777" s="103" t="s">
        <v>126</v>
      </c>
      <c r="F777" s="102" t="s">
        <v>52</v>
      </c>
      <c r="G777" s="103" t="s">
        <v>20</v>
      </c>
      <c r="I777" s="103">
        <v>201506</v>
      </c>
      <c r="J777" s="104">
        <v>-95.19</v>
      </c>
      <c r="K777" s="72">
        <f t="shared" si="64"/>
        <v>42675</v>
      </c>
      <c r="L777" s="67">
        <f t="shared" si="60"/>
        <v>6</v>
      </c>
      <c r="M777" s="105">
        <v>2.23333E-3</v>
      </c>
      <c r="N777" s="104">
        <f t="shared" si="61"/>
        <v>-1.2755440961999998</v>
      </c>
      <c r="O777" s="66"/>
      <c r="P777" s="71">
        <f t="shared" si="62"/>
        <v>0</v>
      </c>
      <c r="Q777" s="132"/>
      <c r="R777" s="71">
        <f t="shared" si="63"/>
        <v>-1.4565458187499998</v>
      </c>
    </row>
    <row r="778" spans="1:18">
      <c r="A778" s="106" t="s">
        <v>29</v>
      </c>
      <c r="B778" s="103" t="s">
        <v>1247</v>
      </c>
      <c r="C778" s="103" t="s">
        <v>1248</v>
      </c>
      <c r="D778" s="102" t="s">
        <v>708</v>
      </c>
      <c r="E778" s="103" t="s">
        <v>1249</v>
      </c>
      <c r="F778" s="102" t="s">
        <v>710</v>
      </c>
      <c r="G778" s="103" t="s">
        <v>20</v>
      </c>
      <c r="I778" s="103">
        <v>201506</v>
      </c>
      <c r="J778" s="104">
        <v>20</v>
      </c>
      <c r="K778" s="72">
        <f t="shared" si="64"/>
        <v>42675</v>
      </c>
      <c r="L778" s="67">
        <f t="shared" si="60"/>
        <v>6</v>
      </c>
      <c r="M778" s="105">
        <v>2.23333E-3</v>
      </c>
      <c r="N778" s="104">
        <f t="shared" si="61"/>
        <v>0.2679996</v>
      </c>
      <c r="O778" s="66"/>
      <c r="P778" s="71">
        <f t="shared" si="62"/>
        <v>0</v>
      </c>
      <c r="Q778" s="132"/>
      <c r="R778" s="71">
        <f t="shared" si="63"/>
        <v>0.30602916666666663</v>
      </c>
    </row>
    <row r="779" spans="1:18">
      <c r="A779" s="106" t="s">
        <v>29</v>
      </c>
      <c r="B779" s="103" t="s">
        <v>183</v>
      </c>
      <c r="C779" s="103" t="s">
        <v>184</v>
      </c>
      <c r="D779" s="102" t="s">
        <v>45</v>
      </c>
      <c r="E779" s="103" t="s">
        <v>185</v>
      </c>
      <c r="F779" s="102" t="s">
        <v>41</v>
      </c>
      <c r="G779" s="103" t="s">
        <v>20</v>
      </c>
      <c r="I779" s="103">
        <v>201506</v>
      </c>
      <c r="J779" s="104">
        <v>3428.7</v>
      </c>
      <c r="K779" s="72">
        <f t="shared" si="64"/>
        <v>42675</v>
      </c>
      <c r="L779" s="67">
        <f t="shared" si="60"/>
        <v>6</v>
      </c>
      <c r="M779" s="105">
        <v>2.23333E-3</v>
      </c>
      <c r="N779" s="104">
        <f t="shared" si="61"/>
        <v>45.944511425999991</v>
      </c>
      <c r="O779" s="66"/>
      <c r="P779" s="71">
        <f t="shared" si="62"/>
        <v>0</v>
      </c>
      <c r="Q779" s="132"/>
      <c r="R779" s="71">
        <f t="shared" si="63"/>
        <v>52.46411018749999</v>
      </c>
    </row>
    <row r="780" spans="1:18">
      <c r="A780" s="106" t="s">
        <v>29</v>
      </c>
      <c r="B780" s="103" t="s">
        <v>186</v>
      </c>
      <c r="C780" s="103" t="s">
        <v>187</v>
      </c>
      <c r="D780" s="102" t="s">
        <v>188</v>
      </c>
      <c r="E780" s="103" t="s">
        <v>189</v>
      </c>
      <c r="F780" s="102" t="s">
        <v>190</v>
      </c>
      <c r="G780" s="103" t="s">
        <v>20</v>
      </c>
      <c r="I780" s="103">
        <v>201506</v>
      </c>
      <c r="J780" s="107">
        <v>4724.91</v>
      </c>
      <c r="K780" s="72">
        <f t="shared" si="64"/>
        <v>42675</v>
      </c>
      <c r="L780" s="67">
        <f t="shared" si="60"/>
        <v>6</v>
      </c>
      <c r="M780" s="105">
        <v>2.23333E-3</v>
      </c>
      <c r="N780" s="104">
        <f t="shared" si="61"/>
        <v>63.313699501799995</v>
      </c>
      <c r="O780" s="66"/>
      <c r="P780" s="71">
        <f t="shared" si="62"/>
        <v>0</v>
      </c>
      <c r="Q780" s="132"/>
      <c r="R780" s="71">
        <f t="shared" si="63"/>
        <v>72.298013493749991</v>
      </c>
    </row>
    <row r="781" spans="1:18">
      <c r="A781" s="106" t="s">
        <v>29</v>
      </c>
      <c r="B781" s="103" t="s">
        <v>191</v>
      </c>
      <c r="C781" s="103" t="s">
        <v>192</v>
      </c>
      <c r="D781" s="102" t="s">
        <v>193</v>
      </c>
      <c r="E781" s="103" t="s">
        <v>194</v>
      </c>
      <c r="F781" s="102" t="s">
        <v>115</v>
      </c>
      <c r="G781" s="103" t="s">
        <v>20</v>
      </c>
      <c r="I781" s="103">
        <v>201506</v>
      </c>
      <c r="J781" s="107">
        <v>3500.58</v>
      </c>
      <c r="K781" s="72">
        <f t="shared" si="64"/>
        <v>42675</v>
      </c>
      <c r="L781" s="67">
        <f t="shared" si="60"/>
        <v>6</v>
      </c>
      <c r="M781" s="105">
        <v>2.23333E-3</v>
      </c>
      <c r="N781" s="104">
        <f t="shared" si="61"/>
        <v>46.907701988399992</v>
      </c>
      <c r="O781" s="66"/>
      <c r="P781" s="71">
        <f t="shared" si="62"/>
        <v>0</v>
      </c>
      <c r="Q781" s="132"/>
      <c r="R781" s="71">
        <f t="shared" si="63"/>
        <v>53.563979012499992</v>
      </c>
    </row>
    <row r="782" spans="1:18">
      <c r="A782" s="106" t="s">
        <v>29</v>
      </c>
      <c r="B782" s="103" t="s">
        <v>195</v>
      </c>
      <c r="C782" s="103" t="s">
        <v>196</v>
      </c>
      <c r="D782" s="102" t="s">
        <v>197</v>
      </c>
      <c r="E782" s="103" t="s">
        <v>198</v>
      </c>
      <c r="F782" s="102" t="s">
        <v>199</v>
      </c>
      <c r="G782" s="103" t="s">
        <v>20</v>
      </c>
      <c r="I782" s="103">
        <v>201506</v>
      </c>
      <c r="J782" s="107">
        <v>119262.86</v>
      </c>
      <c r="K782" s="72">
        <f t="shared" si="64"/>
        <v>42675</v>
      </c>
      <c r="L782" s="67">
        <f t="shared" si="60"/>
        <v>6</v>
      </c>
      <c r="M782" s="105">
        <v>2.23333E-3</v>
      </c>
      <c r="N782" s="104">
        <f t="shared" si="61"/>
        <v>1598.1199387427998</v>
      </c>
      <c r="O782" s="66"/>
      <c r="P782" s="71">
        <f t="shared" si="62"/>
        <v>0</v>
      </c>
      <c r="Q782" s="132"/>
      <c r="R782" s="71">
        <f t="shared" si="63"/>
        <v>1824.8956830041666</v>
      </c>
    </row>
    <row r="783" spans="1:18">
      <c r="A783" s="106" t="s">
        <v>29</v>
      </c>
      <c r="B783" s="103" t="s">
        <v>200</v>
      </c>
      <c r="C783" s="103" t="s">
        <v>201</v>
      </c>
      <c r="D783" s="102" t="s">
        <v>197</v>
      </c>
      <c r="E783" s="103" t="s">
        <v>202</v>
      </c>
      <c r="F783" s="102" t="s">
        <v>199</v>
      </c>
      <c r="G783" s="103" t="s">
        <v>20</v>
      </c>
      <c r="I783" s="103">
        <v>201506</v>
      </c>
      <c r="J783" s="107">
        <v>20715.52</v>
      </c>
      <c r="K783" s="72">
        <f t="shared" si="64"/>
        <v>42675</v>
      </c>
      <c r="L783" s="67">
        <f t="shared" si="60"/>
        <v>6</v>
      </c>
      <c r="M783" s="105">
        <v>2.23333E-3</v>
      </c>
      <c r="N783" s="104">
        <f t="shared" si="61"/>
        <v>277.58755368959999</v>
      </c>
      <c r="O783" s="66"/>
      <c r="P783" s="71">
        <f t="shared" si="62"/>
        <v>0</v>
      </c>
      <c r="Q783" s="132"/>
      <c r="R783" s="71">
        <f t="shared" si="63"/>
        <v>316.97766613333334</v>
      </c>
    </row>
    <row r="784" spans="1:18">
      <c r="A784" s="106" t="s">
        <v>29</v>
      </c>
      <c r="B784" s="103" t="s">
        <v>481</v>
      </c>
      <c r="C784" s="103" t="s">
        <v>482</v>
      </c>
      <c r="D784" s="102" t="s">
        <v>483</v>
      </c>
      <c r="E784" s="103" t="s">
        <v>484</v>
      </c>
      <c r="F784" s="102" t="s">
        <v>190</v>
      </c>
      <c r="G784" s="103" t="s">
        <v>20</v>
      </c>
      <c r="I784" s="103">
        <v>201506</v>
      </c>
      <c r="J784" s="107">
        <v>-25.14</v>
      </c>
      <c r="K784" s="72">
        <f t="shared" si="64"/>
        <v>42675</v>
      </c>
      <c r="L784" s="67">
        <f t="shared" si="60"/>
        <v>6</v>
      </c>
      <c r="M784" s="105">
        <v>2.23333E-3</v>
      </c>
      <c r="N784" s="104">
        <f t="shared" si="61"/>
        <v>-0.33687549719999998</v>
      </c>
      <c r="O784" s="66"/>
      <c r="P784" s="71">
        <f t="shared" si="62"/>
        <v>0</v>
      </c>
      <c r="Q784" s="132"/>
      <c r="R784" s="71">
        <f t="shared" si="63"/>
        <v>-0.38467866249999999</v>
      </c>
    </row>
    <row r="785" spans="1:18">
      <c r="A785" s="106" t="s">
        <v>29</v>
      </c>
      <c r="B785" s="103" t="s">
        <v>236</v>
      </c>
      <c r="C785" s="103" t="s">
        <v>237</v>
      </c>
      <c r="D785" s="102" t="s">
        <v>188</v>
      </c>
      <c r="E785" s="103" t="s">
        <v>238</v>
      </c>
      <c r="F785" s="102" t="s">
        <v>190</v>
      </c>
      <c r="G785" s="103" t="s">
        <v>20</v>
      </c>
      <c r="I785" s="103">
        <v>201506</v>
      </c>
      <c r="J785" s="107">
        <v>52398.13</v>
      </c>
      <c r="K785" s="72">
        <f t="shared" si="64"/>
        <v>42675</v>
      </c>
      <c r="L785" s="67">
        <f t="shared" si="60"/>
        <v>6</v>
      </c>
      <c r="M785" s="105">
        <v>2.23333E-3</v>
      </c>
      <c r="N785" s="104">
        <f t="shared" si="61"/>
        <v>702.13389403739995</v>
      </c>
      <c r="O785" s="66"/>
      <c r="P785" s="71">
        <f t="shared" si="62"/>
        <v>0</v>
      </c>
      <c r="Q785" s="132"/>
      <c r="R785" s="71">
        <f t="shared" si="63"/>
        <v>801.76780293958325</v>
      </c>
    </row>
    <row r="786" spans="1:18">
      <c r="A786" s="106" t="s">
        <v>29</v>
      </c>
      <c r="B786" s="103" t="s">
        <v>239</v>
      </c>
      <c r="C786" s="103" t="s">
        <v>240</v>
      </c>
      <c r="D786" s="102" t="s">
        <v>197</v>
      </c>
      <c r="E786" s="103" t="s">
        <v>241</v>
      </c>
      <c r="F786" s="102" t="s">
        <v>199</v>
      </c>
      <c r="G786" s="103" t="s">
        <v>20</v>
      </c>
      <c r="I786" s="103">
        <v>201506</v>
      </c>
      <c r="J786" s="107">
        <v>14083.78</v>
      </c>
      <c r="K786" s="72">
        <f t="shared" si="64"/>
        <v>42675</v>
      </c>
      <c r="L786" s="67">
        <f t="shared" si="60"/>
        <v>6</v>
      </c>
      <c r="M786" s="105">
        <v>2.23333E-3</v>
      </c>
      <c r="N786" s="104">
        <f t="shared" si="61"/>
        <v>188.7223703244</v>
      </c>
      <c r="O786" s="66"/>
      <c r="P786" s="71">
        <f t="shared" si="62"/>
        <v>0</v>
      </c>
      <c r="Q786" s="132"/>
      <c r="R786" s="71">
        <f t="shared" si="63"/>
        <v>215.50237284583332</v>
      </c>
    </row>
    <row r="787" spans="1:18">
      <c r="A787" s="106" t="s">
        <v>29</v>
      </c>
      <c r="B787" s="103" t="s">
        <v>1115</v>
      </c>
      <c r="C787" s="103" t="s">
        <v>1116</v>
      </c>
      <c r="D787" s="102" t="s">
        <v>1026</v>
      </c>
      <c r="E787" s="103" t="s">
        <v>1117</v>
      </c>
      <c r="F787" s="102" t="s">
        <v>1028</v>
      </c>
      <c r="G787" s="103" t="s">
        <v>20</v>
      </c>
      <c r="I787" s="103">
        <v>201506</v>
      </c>
      <c r="J787" s="107">
        <v>-44.23</v>
      </c>
      <c r="K787" s="72">
        <f t="shared" si="64"/>
        <v>42675</v>
      </c>
      <c r="L787" s="67">
        <f t="shared" si="60"/>
        <v>6</v>
      </c>
      <c r="M787" s="105">
        <v>2.23333E-3</v>
      </c>
      <c r="N787" s="104">
        <f t="shared" si="61"/>
        <v>-0.5926811153999999</v>
      </c>
      <c r="O787" s="66"/>
      <c r="P787" s="71">
        <f t="shared" si="62"/>
        <v>0</v>
      </c>
      <c r="Q787" s="132"/>
      <c r="R787" s="71">
        <f t="shared" si="63"/>
        <v>-0.67678350208333315</v>
      </c>
    </row>
    <row r="788" spans="1:18">
      <c r="A788" s="106" t="s">
        <v>29</v>
      </c>
      <c r="B788" s="103" t="s">
        <v>706</v>
      </c>
      <c r="C788" s="103" t="s">
        <v>707</v>
      </c>
      <c r="D788" s="102" t="s">
        <v>708</v>
      </c>
      <c r="E788" s="103" t="s">
        <v>709</v>
      </c>
      <c r="F788" s="102" t="s">
        <v>710</v>
      </c>
      <c r="G788" s="103" t="s">
        <v>20</v>
      </c>
      <c r="I788" s="103">
        <v>201506</v>
      </c>
      <c r="J788" s="107">
        <v>32440.14</v>
      </c>
      <c r="K788" s="72">
        <f t="shared" si="64"/>
        <v>42675</v>
      </c>
      <c r="L788" s="67">
        <f t="shared" si="60"/>
        <v>6</v>
      </c>
      <c r="M788" s="105">
        <v>2.23333E-3</v>
      </c>
      <c r="N788" s="104">
        <f t="shared" si="61"/>
        <v>434.69722719719994</v>
      </c>
      <c r="O788" s="66"/>
      <c r="P788" s="71">
        <f t="shared" si="62"/>
        <v>0</v>
      </c>
      <c r="Q788" s="132"/>
      <c r="R788" s="71">
        <f t="shared" si="63"/>
        <v>496.38145053749992</v>
      </c>
    </row>
    <row r="789" spans="1:18">
      <c r="A789" s="106" t="s">
        <v>29</v>
      </c>
      <c r="B789" s="103" t="s">
        <v>633</v>
      </c>
      <c r="C789" s="103" t="s">
        <v>634</v>
      </c>
      <c r="D789" s="102" t="s">
        <v>193</v>
      </c>
      <c r="E789" s="103" t="s">
        <v>635</v>
      </c>
      <c r="F789" s="102" t="s">
        <v>115</v>
      </c>
      <c r="G789" s="103" t="s">
        <v>20</v>
      </c>
      <c r="I789" s="103">
        <v>201506</v>
      </c>
      <c r="J789" s="107">
        <v>1309.47</v>
      </c>
      <c r="K789" s="72">
        <f t="shared" si="64"/>
        <v>42675</v>
      </c>
      <c r="L789" s="67">
        <f t="shared" si="60"/>
        <v>6</v>
      </c>
      <c r="M789" s="105">
        <v>2.23333E-3</v>
      </c>
      <c r="N789" s="104">
        <f t="shared" si="61"/>
        <v>17.546871810599999</v>
      </c>
      <c r="O789" s="66"/>
      <c r="P789" s="71">
        <f t="shared" si="62"/>
        <v>0</v>
      </c>
      <c r="Q789" s="132"/>
      <c r="R789" s="71">
        <f t="shared" si="63"/>
        <v>20.036800643749999</v>
      </c>
    </row>
    <row r="790" spans="1:18">
      <c r="A790" s="106" t="s">
        <v>29</v>
      </c>
      <c r="B790" s="103" t="s">
        <v>267</v>
      </c>
      <c r="C790" s="103" t="s">
        <v>268</v>
      </c>
      <c r="D790" s="102" t="s">
        <v>269</v>
      </c>
      <c r="E790" s="103" t="s">
        <v>270</v>
      </c>
      <c r="F790" s="102" t="s">
        <v>115</v>
      </c>
      <c r="G790" s="103" t="s">
        <v>20</v>
      </c>
      <c r="I790" s="103">
        <v>201506</v>
      </c>
      <c r="J790" s="107">
        <v>36505.160000000003</v>
      </c>
      <c r="K790" s="72">
        <f t="shared" si="64"/>
        <v>42675</v>
      </c>
      <c r="L790" s="67">
        <f t="shared" si="60"/>
        <v>6</v>
      </c>
      <c r="M790" s="105">
        <v>2.23333E-3</v>
      </c>
      <c r="N790" s="104">
        <f t="shared" si="61"/>
        <v>489.16841389680002</v>
      </c>
      <c r="O790" s="66"/>
      <c r="P790" s="71">
        <f t="shared" si="62"/>
        <v>0</v>
      </c>
      <c r="Q790" s="132"/>
      <c r="R790" s="71">
        <f t="shared" si="63"/>
        <v>558.58218469166673</v>
      </c>
    </row>
    <row r="791" spans="1:18">
      <c r="A791" s="106" t="s">
        <v>29</v>
      </c>
      <c r="B791" s="103" t="s">
        <v>271</v>
      </c>
      <c r="C791" s="103" t="s">
        <v>272</v>
      </c>
      <c r="D791" s="102" t="s">
        <v>197</v>
      </c>
      <c r="E791" s="103" t="s">
        <v>273</v>
      </c>
      <c r="F791" s="102" t="s">
        <v>199</v>
      </c>
      <c r="G791" s="103" t="s">
        <v>20</v>
      </c>
      <c r="I791" s="103">
        <v>201506</v>
      </c>
      <c r="J791" s="107">
        <v>753.14</v>
      </c>
      <c r="K791" s="72">
        <f t="shared" si="64"/>
        <v>42675</v>
      </c>
      <c r="L791" s="67">
        <f t="shared" si="60"/>
        <v>6</v>
      </c>
      <c r="M791" s="105">
        <v>2.23333E-3</v>
      </c>
      <c r="N791" s="104">
        <f t="shared" si="61"/>
        <v>10.092060937199999</v>
      </c>
      <c r="O791" s="66"/>
      <c r="P791" s="71">
        <f t="shared" si="62"/>
        <v>0</v>
      </c>
      <c r="Q791" s="132"/>
      <c r="R791" s="71">
        <f t="shared" si="63"/>
        <v>11.524140329166665</v>
      </c>
    </row>
    <row r="792" spans="1:18">
      <c r="A792" s="106" t="s">
        <v>29</v>
      </c>
      <c r="B792" s="103" t="s">
        <v>836</v>
      </c>
      <c r="C792" s="103" t="s">
        <v>837</v>
      </c>
      <c r="D792" s="102" t="s">
        <v>327</v>
      </c>
      <c r="E792" s="103" t="s">
        <v>838</v>
      </c>
      <c r="F792" s="102" t="s">
        <v>58</v>
      </c>
      <c r="G792" s="103" t="s">
        <v>20</v>
      </c>
      <c r="I792" s="103">
        <v>201506</v>
      </c>
      <c r="J792" s="107">
        <v>610.51</v>
      </c>
      <c r="K792" s="72">
        <f t="shared" si="64"/>
        <v>42675</v>
      </c>
      <c r="L792" s="67">
        <f t="shared" si="60"/>
        <v>6</v>
      </c>
      <c r="M792" s="105">
        <v>2.23333E-3</v>
      </c>
      <c r="N792" s="104">
        <f t="shared" si="61"/>
        <v>8.1808217897999995</v>
      </c>
      <c r="O792" s="66"/>
      <c r="P792" s="71">
        <f t="shared" si="62"/>
        <v>0</v>
      </c>
      <c r="Q792" s="132"/>
      <c r="R792" s="71">
        <f t="shared" si="63"/>
        <v>9.3416933270833322</v>
      </c>
    </row>
    <row r="793" spans="1:18">
      <c r="A793" s="106" t="s">
        <v>29</v>
      </c>
      <c r="B793" s="103" t="s">
        <v>292</v>
      </c>
      <c r="C793" s="103" t="s">
        <v>293</v>
      </c>
      <c r="D793" s="102" t="s">
        <v>197</v>
      </c>
      <c r="E793" s="103" t="s">
        <v>294</v>
      </c>
      <c r="F793" s="102" t="s">
        <v>199</v>
      </c>
      <c r="G793" s="103" t="s">
        <v>20</v>
      </c>
      <c r="I793" s="103">
        <v>201506</v>
      </c>
      <c r="J793" s="107">
        <v>13853.13</v>
      </c>
      <c r="K793" s="72">
        <f t="shared" si="64"/>
        <v>42675</v>
      </c>
      <c r="L793" s="67">
        <f t="shared" si="60"/>
        <v>6</v>
      </c>
      <c r="M793" s="105">
        <v>2.23333E-3</v>
      </c>
      <c r="N793" s="104">
        <f t="shared" si="61"/>
        <v>185.63166493739996</v>
      </c>
      <c r="O793" s="66"/>
      <c r="P793" s="71">
        <f t="shared" si="62"/>
        <v>0</v>
      </c>
      <c r="Q793" s="132"/>
      <c r="R793" s="71">
        <f t="shared" si="63"/>
        <v>211.97309148124998</v>
      </c>
    </row>
    <row r="794" spans="1:18">
      <c r="A794" s="106" t="s">
        <v>29</v>
      </c>
      <c r="B794" s="103" t="s">
        <v>318</v>
      </c>
      <c r="C794" s="103" t="s">
        <v>319</v>
      </c>
      <c r="D794" s="102" t="s">
        <v>105</v>
      </c>
      <c r="E794" s="103" t="s">
        <v>320</v>
      </c>
      <c r="F794" s="102" t="s">
        <v>34</v>
      </c>
      <c r="G794" s="103" t="s">
        <v>20</v>
      </c>
      <c r="I794" s="103">
        <v>201506</v>
      </c>
      <c r="J794" s="107">
        <v>-151.65</v>
      </c>
      <c r="K794" s="72">
        <f t="shared" si="64"/>
        <v>42675</v>
      </c>
      <c r="L794" s="67">
        <f t="shared" si="60"/>
        <v>6</v>
      </c>
      <c r="M794" s="105">
        <v>2.23333E-3</v>
      </c>
      <c r="N794" s="104">
        <f t="shared" si="61"/>
        <v>-2.0321069669999998</v>
      </c>
      <c r="O794" s="66"/>
      <c r="P794" s="71">
        <f t="shared" si="62"/>
        <v>0</v>
      </c>
      <c r="Q794" s="132"/>
      <c r="R794" s="71">
        <f t="shared" si="63"/>
        <v>-2.3204661562499997</v>
      </c>
    </row>
    <row r="795" spans="1:18">
      <c r="A795" s="106" t="s">
        <v>29</v>
      </c>
      <c r="B795" s="103" t="s">
        <v>321</v>
      </c>
      <c r="C795" s="103" t="s">
        <v>322</v>
      </c>
      <c r="D795" s="102" t="s">
        <v>323</v>
      </c>
      <c r="E795" s="103" t="s">
        <v>324</v>
      </c>
      <c r="F795" s="102" t="s">
        <v>52</v>
      </c>
      <c r="G795" s="103" t="s">
        <v>20</v>
      </c>
      <c r="I795" s="103">
        <v>201506</v>
      </c>
      <c r="J795" s="107">
        <v>37.18</v>
      </c>
      <c r="K795" s="72">
        <f t="shared" si="64"/>
        <v>42675</v>
      </c>
      <c r="L795" s="67">
        <f t="shared" si="60"/>
        <v>6</v>
      </c>
      <c r="M795" s="105">
        <v>2.23333E-3</v>
      </c>
      <c r="N795" s="104">
        <f t="shared" si="61"/>
        <v>0.49821125639999997</v>
      </c>
      <c r="O795" s="66"/>
      <c r="P795" s="71">
        <f t="shared" si="62"/>
        <v>0</v>
      </c>
      <c r="Q795" s="132"/>
      <c r="R795" s="71">
        <f t="shared" si="63"/>
        <v>0.56890822083333326</v>
      </c>
    </row>
    <row r="796" spans="1:18">
      <c r="A796" s="106" t="s">
        <v>29</v>
      </c>
      <c r="B796" s="103" t="s">
        <v>419</v>
      </c>
      <c r="C796" s="103" t="s">
        <v>420</v>
      </c>
      <c r="D796" s="102" t="s">
        <v>50</v>
      </c>
      <c r="E796" s="103" t="s">
        <v>421</v>
      </c>
      <c r="F796" s="102" t="s">
        <v>52</v>
      </c>
      <c r="G796" s="103" t="s">
        <v>20</v>
      </c>
      <c r="I796" s="103">
        <v>201506</v>
      </c>
      <c r="J796" s="107">
        <v>56623.25</v>
      </c>
      <c r="K796" s="72">
        <f t="shared" si="64"/>
        <v>42675</v>
      </c>
      <c r="L796" s="67">
        <f t="shared" si="60"/>
        <v>6</v>
      </c>
      <c r="M796" s="105">
        <v>2.23333E-3</v>
      </c>
      <c r="N796" s="104">
        <f t="shared" si="61"/>
        <v>758.75041753499988</v>
      </c>
      <c r="O796" s="66"/>
      <c r="P796" s="71">
        <f t="shared" si="62"/>
        <v>0</v>
      </c>
      <c r="Q796" s="132"/>
      <c r="R796" s="71">
        <f t="shared" si="63"/>
        <v>866.41830057291656</v>
      </c>
    </row>
    <row r="797" spans="1:18">
      <c r="A797" s="106" t="s">
        <v>29</v>
      </c>
      <c r="B797" s="103" t="s">
        <v>839</v>
      </c>
      <c r="C797" s="103" t="s">
        <v>840</v>
      </c>
      <c r="D797" s="102" t="s">
        <v>50</v>
      </c>
      <c r="E797" s="103" t="s">
        <v>841</v>
      </c>
      <c r="F797" s="102" t="s">
        <v>52</v>
      </c>
      <c r="G797" s="103" t="s">
        <v>20</v>
      </c>
      <c r="I797" s="103">
        <v>201506</v>
      </c>
      <c r="J797" s="107">
        <v>-1.66</v>
      </c>
      <c r="K797" s="72">
        <f t="shared" si="64"/>
        <v>42675</v>
      </c>
      <c r="L797" s="67">
        <f t="shared" si="60"/>
        <v>6</v>
      </c>
      <c r="M797" s="105">
        <v>2.23333E-3</v>
      </c>
      <c r="N797" s="104">
        <f t="shared" si="61"/>
        <v>-2.2243966799999997E-2</v>
      </c>
      <c r="O797" s="66"/>
      <c r="P797" s="71">
        <f t="shared" si="62"/>
        <v>0</v>
      </c>
      <c r="Q797" s="132"/>
      <c r="R797" s="71">
        <f t="shared" si="63"/>
        <v>-2.5400420833333329E-2</v>
      </c>
    </row>
    <row r="798" spans="1:18">
      <c r="A798" s="106" t="s">
        <v>29</v>
      </c>
      <c r="B798" s="103" t="s">
        <v>325</v>
      </c>
      <c r="C798" s="103" t="s">
        <v>326</v>
      </c>
      <c r="D798" s="102" t="s">
        <v>327</v>
      </c>
      <c r="E798" s="103" t="s">
        <v>328</v>
      </c>
      <c r="F798" s="102" t="s">
        <v>58</v>
      </c>
      <c r="G798" s="103" t="s">
        <v>20</v>
      </c>
      <c r="I798" s="103">
        <v>201506</v>
      </c>
      <c r="J798" s="107">
        <v>517.02</v>
      </c>
      <c r="K798" s="72">
        <f t="shared" si="64"/>
        <v>42675</v>
      </c>
      <c r="L798" s="67">
        <f t="shared" si="60"/>
        <v>6</v>
      </c>
      <c r="M798" s="105">
        <v>2.23333E-3</v>
      </c>
      <c r="N798" s="104">
        <f t="shared" si="61"/>
        <v>6.9280576595999994</v>
      </c>
      <c r="O798" s="66"/>
      <c r="P798" s="71">
        <f t="shared" si="62"/>
        <v>0</v>
      </c>
      <c r="Q798" s="132"/>
      <c r="R798" s="71">
        <f t="shared" si="63"/>
        <v>7.9111599874999996</v>
      </c>
    </row>
    <row r="799" spans="1:18">
      <c r="A799" s="106" t="s">
        <v>29</v>
      </c>
      <c r="B799" s="103" t="s">
        <v>1458</v>
      </c>
      <c r="C799" s="103" t="s">
        <v>1459</v>
      </c>
      <c r="D799" s="102" t="s">
        <v>1460</v>
      </c>
      <c r="E799" s="103" t="s">
        <v>834</v>
      </c>
      <c r="F799" s="102" t="s">
        <v>835</v>
      </c>
      <c r="G799" s="103" t="s">
        <v>20</v>
      </c>
      <c r="I799" s="103">
        <v>201506</v>
      </c>
      <c r="J799" s="107">
        <v>-7.98</v>
      </c>
      <c r="K799" s="72">
        <f t="shared" si="64"/>
        <v>42675</v>
      </c>
      <c r="L799" s="67">
        <f t="shared" si="60"/>
        <v>6</v>
      </c>
      <c r="M799" s="105">
        <v>2.23333E-3</v>
      </c>
      <c r="N799" s="104">
        <f t="shared" si="61"/>
        <v>-0.10693184039999999</v>
      </c>
      <c r="O799" s="66"/>
      <c r="P799" s="71">
        <f t="shared" si="62"/>
        <v>0</v>
      </c>
      <c r="Q799" s="132"/>
      <c r="R799" s="71">
        <f t="shared" si="63"/>
        <v>-0.12210563749999999</v>
      </c>
    </row>
    <row r="800" spans="1:18">
      <c r="A800" s="106" t="s">
        <v>29</v>
      </c>
      <c r="B800" s="103" t="s">
        <v>1392</v>
      </c>
      <c r="C800" s="103" t="s">
        <v>1393</v>
      </c>
      <c r="D800" s="102" t="s">
        <v>1394</v>
      </c>
      <c r="E800" s="103" t="s">
        <v>834</v>
      </c>
      <c r="F800" s="102" t="s">
        <v>835</v>
      </c>
      <c r="G800" s="103" t="s">
        <v>20</v>
      </c>
      <c r="I800" s="103">
        <v>201506</v>
      </c>
      <c r="J800" s="107">
        <v>-78.62</v>
      </c>
      <c r="K800" s="72">
        <f t="shared" si="64"/>
        <v>42675</v>
      </c>
      <c r="L800" s="67">
        <f t="shared" si="60"/>
        <v>6</v>
      </c>
      <c r="M800" s="105">
        <v>2.23333E-3</v>
      </c>
      <c r="N800" s="104">
        <f t="shared" si="61"/>
        <v>-1.0535064275999999</v>
      </c>
      <c r="O800" s="66"/>
      <c r="P800" s="71">
        <f t="shared" si="62"/>
        <v>0</v>
      </c>
      <c r="Q800" s="132"/>
      <c r="R800" s="71">
        <f t="shared" si="63"/>
        <v>-1.2030006541666667</v>
      </c>
    </row>
    <row r="801" spans="1:18">
      <c r="A801" s="102" t="s">
        <v>990</v>
      </c>
      <c r="B801" s="103" t="s">
        <v>991</v>
      </c>
      <c r="C801" s="103" t="s">
        <v>992</v>
      </c>
      <c r="D801" s="102" t="s">
        <v>993</v>
      </c>
      <c r="E801" s="103" t="s">
        <v>994</v>
      </c>
      <c r="F801" s="102" t="s">
        <v>995</v>
      </c>
      <c r="G801" s="103" t="s">
        <v>20</v>
      </c>
      <c r="I801" s="103">
        <v>201506</v>
      </c>
      <c r="J801" s="107">
        <v>1295.95</v>
      </c>
      <c r="K801" s="72">
        <f t="shared" si="64"/>
        <v>42675</v>
      </c>
      <c r="L801" s="67">
        <f t="shared" si="60"/>
        <v>6</v>
      </c>
      <c r="M801" s="105">
        <v>2.0333333000000001E-3</v>
      </c>
      <c r="N801" s="104">
        <f t="shared" si="61"/>
        <v>15.81058974081</v>
      </c>
      <c r="O801" s="66"/>
      <c r="P801" s="71">
        <f t="shared" si="62"/>
        <v>0</v>
      </c>
      <c r="Q801" s="132"/>
      <c r="R801" s="71">
        <f t="shared" si="63"/>
        <v>19.829924927083333</v>
      </c>
    </row>
    <row r="802" spans="1:18">
      <c r="A802" s="102" t="s">
        <v>990</v>
      </c>
      <c r="B802" s="103" t="s">
        <v>996</v>
      </c>
      <c r="C802" s="103" t="s">
        <v>997</v>
      </c>
      <c r="D802" s="102" t="s">
        <v>998</v>
      </c>
      <c r="E802" s="103" t="s">
        <v>999</v>
      </c>
      <c r="F802" s="102" t="s">
        <v>995</v>
      </c>
      <c r="G802" s="103" t="s">
        <v>20</v>
      </c>
      <c r="I802" s="103">
        <v>201506</v>
      </c>
      <c r="J802" s="107">
        <v>761.14</v>
      </c>
      <c r="K802" s="72">
        <f t="shared" si="64"/>
        <v>42675</v>
      </c>
      <c r="L802" s="67">
        <f t="shared" si="60"/>
        <v>6</v>
      </c>
      <c r="M802" s="105">
        <v>2.0333333000000001E-3</v>
      </c>
      <c r="N802" s="104">
        <f t="shared" si="61"/>
        <v>9.2859078477720001</v>
      </c>
      <c r="O802" s="66"/>
      <c r="P802" s="71">
        <f t="shared" si="62"/>
        <v>0</v>
      </c>
      <c r="Q802" s="132"/>
      <c r="R802" s="71">
        <f t="shared" si="63"/>
        <v>11.646551995833331</v>
      </c>
    </row>
    <row r="803" spans="1:18">
      <c r="A803" s="102" t="s">
        <v>990</v>
      </c>
      <c r="B803" s="103" t="s">
        <v>1000</v>
      </c>
      <c r="C803" s="103" t="s">
        <v>1001</v>
      </c>
      <c r="D803" s="102" t="s">
        <v>998</v>
      </c>
      <c r="E803" s="103" t="s">
        <v>1002</v>
      </c>
      <c r="F803" s="102" t="s">
        <v>995</v>
      </c>
      <c r="G803" s="103" t="s">
        <v>20</v>
      </c>
      <c r="I803" s="103">
        <v>201506</v>
      </c>
      <c r="J803" s="107">
        <v>23806.35</v>
      </c>
      <c r="K803" s="72">
        <f t="shared" si="64"/>
        <v>42675</v>
      </c>
      <c r="L803" s="67">
        <f t="shared" si="60"/>
        <v>6</v>
      </c>
      <c r="M803" s="105">
        <v>2.0333333000000001E-3</v>
      </c>
      <c r="N803" s="104">
        <f t="shared" si="61"/>
        <v>290.43746523873</v>
      </c>
      <c r="O803" s="66"/>
      <c r="P803" s="71">
        <f t="shared" si="62"/>
        <v>0</v>
      </c>
      <c r="Q803" s="132"/>
      <c r="R803" s="71">
        <f t="shared" si="63"/>
        <v>364.27187259374995</v>
      </c>
    </row>
    <row r="804" spans="1:18">
      <c r="A804" s="102" t="s">
        <v>990</v>
      </c>
      <c r="B804" s="103" t="s">
        <v>1003</v>
      </c>
      <c r="C804" s="103" t="s">
        <v>1004</v>
      </c>
      <c r="D804" s="102" t="s">
        <v>1005</v>
      </c>
      <c r="E804" s="103" t="s">
        <v>1006</v>
      </c>
      <c r="F804" s="102" t="s">
        <v>995</v>
      </c>
      <c r="G804" s="103" t="s">
        <v>20</v>
      </c>
      <c r="I804" s="103">
        <v>201506</v>
      </c>
      <c r="J804" s="107">
        <v>75475.64</v>
      </c>
      <c r="K804" s="72">
        <f t="shared" si="64"/>
        <v>42675</v>
      </c>
      <c r="L804" s="67">
        <f t="shared" si="60"/>
        <v>6</v>
      </c>
      <c r="M804" s="105">
        <v>2.0333333000000001E-3</v>
      </c>
      <c r="N804" s="104">
        <f t="shared" si="61"/>
        <v>920.80279290487204</v>
      </c>
      <c r="O804" s="66"/>
      <c r="P804" s="71">
        <f t="shared" si="62"/>
        <v>0</v>
      </c>
      <c r="Q804" s="132"/>
      <c r="R804" s="71">
        <f t="shared" si="63"/>
        <v>1154.8873606416666</v>
      </c>
    </row>
    <row r="805" spans="1:18">
      <c r="A805" s="102" t="s">
        <v>990</v>
      </c>
      <c r="B805" s="103" t="s">
        <v>1010</v>
      </c>
      <c r="C805" s="103" t="s">
        <v>1011</v>
      </c>
      <c r="D805" s="102" t="s">
        <v>1012</v>
      </c>
      <c r="E805" s="103" t="s">
        <v>1013</v>
      </c>
      <c r="F805" s="102" t="s">
        <v>995</v>
      </c>
      <c r="G805" s="103" t="s">
        <v>20</v>
      </c>
      <c r="I805" s="103">
        <v>201506</v>
      </c>
      <c r="J805" s="107">
        <v>9165.9500000000007</v>
      </c>
      <c r="K805" s="72">
        <f t="shared" si="64"/>
        <v>42675</v>
      </c>
      <c r="L805" s="67">
        <f t="shared" si="60"/>
        <v>6</v>
      </c>
      <c r="M805" s="105">
        <v>2.0333333000000001E-3</v>
      </c>
      <c r="N805" s="104">
        <f t="shared" si="61"/>
        <v>111.82458816681</v>
      </c>
      <c r="O805" s="66"/>
      <c r="P805" s="71">
        <f t="shared" si="62"/>
        <v>0</v>
      </c>
      <c r="Q805" s="132"/>
      <c r="R805" s="71">
        <f t="shared" si="63"/>
        <v>140.25240201041666</v>
      </c>
    </row>
    <row r="806" spans="1:18">
      <c r="A806" s="102" t="s">
        <v>990</v>
      </c>
      <c r="B806" s="103" t="s">
        <v>1017</v>
      </c>
      <c r="C806" s="103" t="s">
        <v>1018</v>
      </c>
      <c r="D806" s="102" t="s">
        <v>993</v>
      </c>
      <c r="E806" s="103" t="s">
        <v>1019</v>
      </c>
      <c r="F806" s="102" t="s">
        <v>995</v>
      </c>
      <c r="G806" s="103" t="s">
        <v>20</v>
      </c>
      <c r="I806" s="103">
        <v>201506</v>
      </c>
      <c r="J806" s="107">
        <v>404.7</v>
      </c>
      <c r="K806" s="72">
        <f t="shared" si="64"/>
        <v>42675</v>
      </c>
      <c r="L806" s="67">
        <f t="shared" si="60"/>
        <v>6</v>
      </c>
      <c r="M806" s="105">
        <v>2.0333333000000001E-3</v>
      </c>
      <c r="N806" s="104">
        <f t="shared" si="61"/>
        <v>4.9373399190599994</v>
      </c>
      <c r="O806" s="66"/>
      <c r="P806" s="71">
        <f t="shared" si="62"/>
        <v>0</v>
      </c>
      <c r="Q806" s="132"/>
      <c r="R806" s="71">
        <f t="shared" si="63"/>
        <v>6.1925001874999994</v>
      </c>
    </row>
    <row r="807" spans="1:18">
      <c r="A807" s="102" t="s">
        <v>990</v>
      </c>
      <c r="B807" s="103" t="s">
        <v>1020</v>
      </c>
      <c r="C807" s="103" t="s">
        <v>1021</v>
      </c>
      <c r="D807" s="102" t="s">
        <v>998</v>
      </c>
      <c r="E807" s="103" t="s">
        <v>1022</v>
      </c>
      <c r="F807" s="102" t="s">
        <v>995</v>
      </c>
      <c r="G807" s="103" t="s">
        <v>20</v>
      </c>
      <c r="I807" s="103">
        <v>201506</v>
      </c>
      <c r="J807" s="107">
        <v>392.19</v>
      </c>
      <c r="K807" s="72">
        <f t="shared" si="64"/>
        <v>42675</v>
      </c>
      <c r="L807" s="67">
        <f t="shared" si="60"/>
        <v>6</v>
      </c>
      <c r="M807" s="105">
        <v>2.0333333000000001E-3</v>
      </c>
      <c r="N807" s="104">
        <f t="shared" si="61"/>
        <v>4.7847179215619997</v>
      </c>
      <c r="O807" s="66"/>
      <c r="P807" s="71">
        <f t="shared" si="62"/>
        <v>0</v>
      </c>
      <c r="Q807" s="132"/>
      <c r="R807" s="71">
        <f t="shared" si="63"/>
        <v>6.0010789437499987</v>
      </c>
    </row>
    <row r="808" spans="1:18" ht="15" customHeight="1">
      <c r="A808" s="102" t="s">
        <v>133</v>
      </c>
      <c r="B808" s="103" t="s">
        <v>1312</v>
      </c>
      <c r="C808" s="103" t="s">
        <v>1313</v>
      </c>
      <c r="D808" s="102" t="s">
        <v>1314</v>
      </c>
      <c r="E808" s="103" t="s">
        <v>137</v>
      </c>
      <c r="F808" s="102" t="s">
        <v>138</v>
      </c>
      <c r="G808" s="103" t="s">
        <v>20</v>
      </c>
      <c r="H808" s="108"/>
      <c r="I808" s="103">
        <v>201507</v>
      </c>
      <c r="J808" s="104">
        <v>-1790.38</v>
      </c>
      <c r="K808" s="72">
        <f t="shared" si="64"/>
        <v>42675</v>
      </c>
      <c r="L808" s="67">
        <f t="shared" si="60"/>
        <v>6</v>
      </c>
      <c r="M808" s="105">
        <v>1.4833299999999999E-3</v>
      </c>
      <c r="N808" s="104">
        <f t="shared" si="61"/>
        <v>-15.934346192400001</v>
      </c>
      <c r="O808" s="66"/>
      <c r="P808" s="71">
        <f t="shared" si="62"/>
        <v>0</v>
      </c>
      <c r="Q808" s="132"/>
      <c r="R808" s="71">
        <f t="shared" si="63"/>
        <v>-27.395424970833332</v>
      </c>
    </row>
    <row r="809" spans="1:18" ht="15" customHeight="1">
      <c r="A809" s="106" t="s">
        <v>554</v>
      </c>
      <c r="B809" s="103" t="s">
        <v>116</v>
      </c>
      <c r="C809" s="103" t="s">
        <v>117</v>
      </c>
      <c r="D809" s="102" t="s">
        <v>118</v>
      </c>
      <c r="E809" s="103" t="s">
        <v>119</v>
      </c>
      <c r="F809" s="102" t="s">
        <v>120</v>
      </c>
      <c r="G809" s="103" t="s">
        <v>20</v>
      </c>
      <c r="H809" s="109"/>
      <c r="I809" s="103">
        <v>201507</v>
      </c>
      <c r="J809" s="104">
        <v>151087.67999999999</v>
      </c>
      <c r="K809" s="72">
        <f t="shared" si="64"/>
        <v>42675</v>
      </c>
      <c r="L809" s="67">
        <f t="shared" si="60"/>
        <v>6</v>
      </c>
      <c r="M809" s="105">
        <v>1.4833299999999999E-3</v>
      </c>
      <c r="N809" s="104">
        <f t="shared" si="61"/>
        <v>1344.6773302463998</v>
      </c>
      <c r="O809" s="66"/>
      <c r="P809" s="71">
        <f t="shared" si="62"/>
        <v>0</v>
      </c>
      <c r="Q809" s="132"/>
      <c r="R809" s="71">
        <f t="shared" si="63"/>
        <v>2311.8618401999997</v>
      </c>
    </row>
    <row r="810" spans="1:18">
      <c r="A810" s="102" t="s">
        <v>626</v>
      </c>
      <c r="B810" s="103" t="s">
        <v>915</v>
      </c>
      <c r="C810" s="103" t="s">
        <v>916</v>
      </c>
      <c r="D810" s="102" t="s">
        <v>917</v>
      </c>
      <c r="E810" s="103" t="s">
        <v>918</v>
      </c>
      <c r="F810" s="102" t="s">
        <v>143</v>
      </c>
      <c r="G810" s="103" t="s">
        <v>20</v>
      </c>
      <c r="H810" s="103"/>
      <c r="I810" s="103">
        <v>201507</v>
      </c>
      <c r="J810" s="104">
        <v>-6.34</v>
      </c>
      <c r="K810" s="72">
        <f t="shared" si="64"/>
        <v>42675</v>
      </c>
      <c r="L810" s="67">
        <f t="shared" si="60"/>
        <v>6</v>
      </c>
      <c r="M810" s="105">
        <v>1.4833299999999999E-3</v>
      </c>
      <c r="N810" s="104">
        <f t="shared" si="61"/>
        <v>-5.6425873199999997E-2</v>
      </c>
      <c r="O810" s="66"/>
      <c r="P810" s="71">
        <f t="shared" si="62"/>
        <v>0</v>
      </c>
      <c r="Q810" s="132"/>
      <c r="R810" s="71">
        <f t="shared" si="63"/>
        <v>-9.7011245833333329E-2</v>
      </c>
    </row>
    <row r="811" spans="1:18">
      <c r="A811" s="102" t="s">
        <v>626</v>
      </c>
      <c r="B811" s="103" t="s">
        <v>1324</v>
      </c>
      <c r="C811" s="103" t="s">
        <v>1325</v>
      </c>
      <c r="D811" s="102" t="s">
        <v>1326</v>
      </c>
      <c r="E811" s="103" t="s">
        <v>142</v>
      </c>
      <c r="F811" s="102" t="s">
        <v>143</v>
      </c>
      <c r="G811" s="103" t="s">
        <v>20</v>
      </c>
      <c r="H811" s="103"/>
      <c r="I811" s="103">
        <v>201507</v>
      </c>
      <c r="J811" s="104">
        <v>-755.09</v>
      </c>
      <c r="K811" s="72">
        <f t="shared" si="64"/>
        <v>42675</v>
      </c>
      <c r="L811" s="67">
        <f t="shared" si="60"/>
        <v>6</v>
      </c>
      <c r="M811" s="105">
        <v>1.4833299999999999E-3</v>
      </c>
      <c r="N811" s="104">
        <f t="shared" si="61"/>
        <v>-6.7202858982000002</v>
      </c>
      <c r="O811" s="66"/>
      <c r="P811" s="71">
        <f t="shared" si="62"/>
        <v>0</v>
      </c>
      <c r="Q811" s="132"/>
      <c r="R811" s="71">
        <f t="shared" si="63"/>
        <v>-11.553978172916667</v>
      </c>
    </row>
    <row r="812" spans="1:18">
      <c r="A812" s="106" t="s">
        <v>21</v>
      </c>
      <c r="B812" s="103" t="s">
        <v>870</v>
      </c>
      <c r="C812" s="103" t="s">
        <v>871</v>
      </c>
      <c r="D812" s="102" t="s">
        <v>872</v>
      </c>
      <c r="E812" s="103" t="s">
        <v>873</v>
      </c>
      <c r="F812" s="102" t="s">
        <v>874</v>
      </c>
      <c r="G812" s="103" t="s">
        <v>20</v>
      </c>
      <c r="H812" s="108"/>
      <c r="I812" s="103">
        <v>201507</v>
      </c>
      <c r="J812" s="104">
        <v>-16</v>
      </c>
      <c r="K812" s="72">
        <f t="shared" si="64"/>
        <v>42675</v>
      </c>
      <c r="L812" s="67">
        <f t="shared" si="60"/>
        <v>6</v>
      </c>
      <c r="M812" s="105">
        <v>1.4833299999999999E-3</v>
      </c>
      <c r="N812" s="104">
        <f t="shared" si="61"/>
        <v>-0.14239968</v>
      </c>
      <c r="O812" s="66"/>
      <c r="P812" s="71">
        <f t="shared" si="62"/>
        <v>0</v>
      </c>
      <c r="Q812" s="132"/>
      <c r="R812" s="71">
        <f t="shared" si="63"/>
        <v>-0.24482333333333331</v>
      </c>
    </row>
    <row r="813" spans="1:18">
      <c r="A813" s="102" t="s">
        <v>21</v>
      </c>
      <c r="B813" s="103" t="s">
        <v>1151</v>
      </c>
      <c r="C813" s="103" t="s">
        <v>1152</v>
      </c>
      <c r="D813" s="102" t="s">
        <v>1153</v>
      </c>
      <c r="E813" s="103" t="s">
        <v>70</v>
      </c>
      <c r="F813" s="102" t="s">
        <v>71</v>
      </c>
      <c r="G813" s="103" t="s">
        <v>20</v>
      </c>
      <c r="H813" s="103"/>
      <c r="I813" s="103">
        <v>201507</v>
      </c>
      <c r="J813" s="104">
        <v>1850.3</v>
      </c>
      <c r="K813" s="72">
        <f t="shared" si="64"/>
        <v>42675</v>
      </c>
      <c r="L813" s="67">
        <f t="shared" si="60"/>
        <v>6</v>
      </c>
      <c r="M813" s="105">
        <v>1.4833299999999999E-3</v>
      </c>
      <c r="N813" s="104">
        <f t="shared" si="61"/>
        <v>16.467632993999999</v>
      </c>
      <c r="O813" s="66"/>
      <c r="P813" s="71">
        <f t="shared" si="62"/>
        <v>0</v>
      </c>
      <c r="Q813" s="132"/>
      <c r="R813" s="71">
        <f t="shared" si="63"/>
        <v>28.312288354166665</v>
      </c>
    </row>
    <row r="814" spans="1:18">
      <c r="A814" s="102" t="s">
        <v>21</v>
      </c>
      <c r="B814" s="103" t="s">
        <v>1259</v>
      </c>
      <c r="C814" s="103" t="s">
        <v>1260</v>
      </c>
      <c r="D814" s="102" t="s">
        <v>1261</v>
      </c>
      <c r="E814" s="103" t="s">
        <v>756</v>
      </c>
      <c r="F814" s="102" t="s">
        <v>757</v>
      </c>
      <c r="G814" s="103" t="s">
        <v>20</v>
      </c>
      <c r="H814" s="103"/>
      <c r="I814" s="103">
        <v>201507</v>
      </c>
      <c r="J814" s="104">
        <v>-227.44</v>
      </c>
      <c r="K814" s="72">
        <f t="shared" si="64"/>
        <v>42675</v>
      </c>
      <c r="L814" s="67">
        <f t="shared" si="60"/>
        <v>6</v>
      </c>
      <c r="M814" s="105">
        <v>1.4833299999999999E-3</v>
      </c>
      <c r="N814" s="104">
        <f t="shared" si="61"/>
        <v>-2.0242114511999998</v>
      </c>
      <c r="O814" s="66"/>
      <c r="P814" s="71">
        <f t="shared" si="62"/>
        <v>0</v>
      </c>
      <c r="Q814" s="132"/>
      <c r="R814" s="71">
        <f t="shared" si="63"/>
        <v>-3.4801636833333331</v>
      </c>
    </row>
    <row r="815" spans="1:18">
      <c r="A815" s="102" t="s">
        <v>21</v>
      </c>
      <c r="B815" s="103" t="s">
        <v>177</v>
      </c>
      <c r="C815" s="103" t="s">
        <v>178</v>
      </c>
      <c r="D815" s="102" t="s">
        <v>179</v>
      </c>
      <c r="E815" s="103" t="s">
        <v>172</v>
      </c>
      <c r="F815" s="102" t="s">
        <v>173</v>
      </c>
      <c r="G815" s="103" t="s">
        <v>20</v>
      </c>
      <c r="H815" s="103"/>
      <c r="I815" s="103">
        <v>201507</v>
      </c>
      <c r="J815" s="104">
        <v>2342.48</v>
      </c>
      <c r="K815" s="72">
        <f t="shared" si="64"/>
        <v>42675</v>
      </c>
      <c r="L815" s="67">
        <f t="shared" si="60"/>
        <v>6</v>
      </c>
      <c r="M815" s="105">
        <v>1.4833299999999999E-3</v>
      </c>
      <c r="N815" s="104">
        <f t="shared" si="61"/>
        <v>20.848025150400002</v>
      </c>
      <c r="O815" s="66"/>
      <c r="P815" s="71">
        <f t="shared" si="62"/>
        <v>0</v>
      </c>
      <c r="Q815" s="132"/>
      <c r="R815" s="71">
        <f t="shared" si="63"/>
        <v>35.843360116666659</v>
      </c>
    </row>
    <row r="816" spans="1:18">
      <c r="A816" s="106" t="s">
        <v>21</v>
      </c>
      <c r="B816" s="103" t="s">
        <v>797</v>
      </c>
      <c r="C816" s="103" t="s">
        <v>798</v>
      </c>
      <c r="D816" s="102" t="s">
        <v>799</v>
      </c>
      <c r="E816" s="103" t="s">
        <v>172</v>
      </c>
      <c r="F816" s="102" t="s">
        <v>173</v>
      </c>
      <c r="G816" s="103" t="s">
        <v>20</v>
      </c>
      <c r="H816" s="103"/>
      <c r="I816" s="103">
        <v>201507</v>
      </c>
      <c r="J816" s="104">
        <v>973.43</v>
      </c>
      <c r="K816" s="72">
        <f t="shared" si="64"/>
        <v>42675</v>
      </c>
      <c r="L816" s="67">
        <f t="shared" si="60"/>
        <v>6</v>
      </c>
      <c r="M816" s="105">
        <v>1.4833299999999999E-3</v>
      </c>
      <c r="N816" s="104">
        <f t="shared" si="61"/>
        <v>8.6635075313999987</v>
      </c>
      <c r="O816" s="66"/>
      <c r="P816" s="71">
        <f t="shared" si="62"/>
        <v>0</v>
      </c>
      <c r="Q816" s="132"/>
      <c r="R816" s="71">
        <f t="shared" si="63"/>
        <v>14.894898585416664</v>
      </c>
    </row>
    <row r="817" spans="1:18">
      <c r="A817" s="102" t="s">
        <v>21</v>
      </c>
      <c r="B817" s="103" t="s">
        <v>264</v>
      </c>
      <c r="C817" s="103" t="s">
        <v>265</v>
      </c>
      <c r="D817" s="102" t="s">
        <v>266</v>
      </c>
      <c r="E817" s="103" t="s">
        <v>172</v>
      </c>
      <c r="F817" s="102" t="s">
        <v>173</v>
      </c>
      <c r="G817" s="103" t="s">
        <v>20</v>
      </c>
      <c r="H817" s="103"/>
      <c r="I817" s="103">
        <v>201507</v>
      </c>
      <c r="J817" s="104">
        <v>-448.13</v>
      </c>
      <c r="K817" s="72">
        <f t="shared" si="64"/>
        <v>42675</v>
      </c>
      <c r="L817" s="67">
        <f t="shared" si="60"/>
        <v>6</v>
      </c>
      <c r="M817" s="105">
        <v>1.4833299999999999E-3</v>
      </c>
      <c r="N817" s="104">
        <f t="shared" si="61"/>
        <v>-3.9883480373999998</v>
      </c>
      <c r="O817" s="66"/>
      <c r="P817" s="71">
        <f t="shared" si="62"/>
        <v>0</v>
      </c>
      <c r="Q817" s="132"/>
      <c r="R817" s="71">
        <f t="shared" si="63"/>
        <v>-6.8570425229166663</v>
      </c>
    </row>
    <row r="818" spans="1:18">
      <c r="A818" s="106" t="s">
        <v>21</v>
      </c>
      <c r="B818" s="103" t="s">
        <v>794</v>
      </c>
      <c r="C818" s="103" t="s">
        <v>795</v>
      </c>
      <c r="D818" s="102" t="s">
        <v>796</v>
      </c>
      <c r="E818" s="103" t="s">
        <v>172</v>
      </c>
      <c r="F818" s="102" t="s">
        <v>173</v>
      </c>
      <c r="G818" s="103" t="s">
        <v>20</v>
      </c>
      <c r="H818" s="103"/>
      <c r="I818" s="103">
        <v>201507</v>
      </c>
      <c r="J818" s="104">
        <v>22.64</v>
      </c>
      <c r="K818" s="72">
        <f t="shared" si="64"/>
        <v>42675</v>
      </c>
      <c r="L818" s="67">
        <f t="shared" si="60"/>
        <v>6</v>
      </c>
      <c r="M818" s="105">
        <v>1.4833299999999999E-3</v>
      </c>
      <c r="N818" s="104">
        <f t="shared" si="61"/>
        <v>0.20149554720000001</v>
      </c>
      <c r="O818" s="66"/>
      <c r="P818" s="71">
        <f t="shared" si="62"/>
        <v>0</v>
      </c>
      <c r="Q818" s="132"/>
      <c r="R818" s="71">
        <f t="shared" si="63"/>
        <v>0.34642501666666664</v>
      </c>
    </row>
    <row r="819" spans="1:18">
      <c r="A819" s="102" t="s">
        <v>21</v>
      </c>
      <c r="B819" s="103" t="s">
        <v>1502</v>
      </c>
      <c r="C819" s="103" t="s">
        <v>1503</v>
      </c>
      <c r="D819" s="102" t="s">
        <v>1504</v>
      </c>
      <c r="E819" s="103" t="s">
        <v>172</v>
      </c>
      <c r="F819" s="102" t="s">
        <v>173</v>
      </c>
      <c r="G819" s="103" t="s">
        <v>20</v>
      </c>
      <c r="H819" s="103"/>
      <c r="I819" s="103">
        <v>201507</v>
      </c>
      <c r="J819" s="104">
        <v>20012.18</v>
      </c>
      <c r="K819" s="72">
        <f t="shared" si="64"/>
        <v>42675</v>
      </c>
      <c r="L819" s="67">
        <f t="shared" si="60"/>
        <v>6</v>
      </c>
      <c r="M819" s="105">
        <v>1.4833299999999999E-3</v>
      </c>
      <c r="N819" s="104">
        <f t="shared" si="61"/>
        <v>178.1080017564</v>
      </c>
      <c r="O819" s="66"/>
      <c r="P819" s="71">
        <f t="shared" si="62"/>
        <v>0</v>
      </c>
      <c r="Q819" s="132"/>
      <c r="R819" s="71">
        <f t="shared" si="63"/>
        <v>306.21553842916666</v>
      </c>
    </row>
    <row r="820" spans="1:18">
      <c r="A820" s="102" t="s">
        <v>21</v>
      </c>
      <c r="B820" s="103" t="s">
        <v>1262</v>
      </c>
      <c r="C820" s="103" t="s">
        <v>1263</v>
      </c>
      <c r="D820" s="102" t="s">
        <v>1264</v>
      </c>
      <c r="E820" s="103" t="s">
        <v>172</v>
      </c>
      <c r="F820" s="102" t="s">
        <v>173</v>
      </c>
      <c r="G820" s="103" t="s">
        <v>20</v>
      </c>
      <c r="H820" s="103"/>
      <c r="I820" s="103">
        <v>201507</v>
      </c>
      <c r="J820" s="104">
        <v>-3599.49</v>
      </c>
      <c r="K820" s="72">
        <f t="shared" si="64"/>
        <v>42675</v>
      </c>
      <c r="L820" s="67">
        <f t="shared" si="60"/>
        <v>6</v>
      </c>
      <c r="M820" s="105">
        <v>1.4833299999999999E-3</v>
      </c>
      <c r="N820" s="104">
        <f t="shared" si="61"/>
        <v>-32.035389010199999</v>
      </c>
      <c r="O820" s="66"/>
      <c r="P820" s="71">
        <f t="shared" si="62"/>
        <v>0</v>
      </c>
      <c r="Q820" s="132"/>
      <c r="R820" s="71">
        <f t="shared" si="63"/>
        <v>-55.077446256249992</v>
      </c>
    </row>
    <row r="821" spans="1:18">
      <c r="A821" s="102" t="s">
        <v>21</v>
      </c>
      <c r="B821" s="103" t="s">
        <v>1265</v>
      </c>
      <c r="C821" s="103" t="s">
        <v>1266</v>
      </c>
      <c r="D821" s="102" t="s">
        <v>1267</v>
      </c>
      <c r="E821" s="103" t="s">
        <v>172</v>
      </c>
      <c r="F821" s="102" t="s">
        <v>173</v>
      </c>
      <c r="G821" s="103" t="s">
        <v>20</v>
      </c>
      <c r="H821" s="103"/>
      <c r="I821" s="103">
        <v>201507</v>
      </c>
      <c r="J821" s="104">
        <v>-152.38999999999999</v>
      </c>
      <c r="K821" s="72">
        <f t="shared" si="64"/>
        <v>42675</v>
      </c>
      <c r="L821" s="67">
        <f t="shared" si="60"/>
        <v>6</v>
      </c>
      <c r="M821" s="105">
        <v>1.4833299999999999E-3</v>
      </c>
      <c r="N821" s="104">
        <f t="shared" si="61"/>
        <v>-1.3562679521999998</v>
      </c>
      <c r="O821" s="66"/>
      <c r="P821" s="71">
        <f t="shared" si="62"/>
        <v>0</v>
      </c>
      <c r="Q821" s="132"/>
      <c r="R821" s="71">
        <f t="shared" si="63"/>
        <v>-2.3317892354166658</v>
      </c>
    </row>
    <row r="822" spans="1:18">
      <c r="A822" s="102" t="s">
        <v>21</v>
      </c>
      <c r="B822" s="103" t="s">
        <v>1233</v>
      </c>
      <c r="C822" s="103" t="s">
        <v>1234</v>
      </c>
      <c r="D822" s="102" t="s">
        <v>1235</v>
      </c>
      <c r="E822" s="103" t="s">
        <v>172</v>
      </c>
      <c r="F822" s="102" t="s">
        <v>173</v>
      </c>
      <c r="G822" s="103" t="s">
        <v>20</v>
      </c>
      <c r="H822" s="103"/>
      <c r="I822" s="103">
        <v>201507</v>
      </c>
      <c r="J822" s="104">
        <v>-88.64</v>
      </c>
      <c r="K822" s="72">
        <f t="shared" si="64"/>
        <v>42675</v>
      </c>
      <c r="L822" s="67">
        <f t="shared" si="60"/>
        <v>6</v>
      </c>
      <c r="M822" s="105">
        <v>1.4833299999999999E-3</v>
      </c>
      <c r="N822" s="104">
        <f t="shared" si="61"/>
        <v>-0.78889422720000002</v>
      </c>
      <c r="O822" s="66"/>
      <c r="P822" s="71">
        <f t="shared" si="62"/>
        <v>0</v>
      </c>
      <c r="Q822" s="132"/>
      <c r="R822" s="71">
        <f t="shared" si="63"/>
        <v>-1.3563212666666666</v>
      </c>
    </row>
    <row r="823" spans="1:18">
      <c r="A823" s="102" t="s">
        <v>626</v>
      </c>
      <c r="B823" s="103" t="s">
        <v>1063</v>
      </c>
      <c r="C823" s="103" t="s">
        <v>1064</v>
      </c>
      <c r="D823" s="102" t="s">
        <v>1065</v>
      </c>
      <c r="E823" s="103" t="s">
        <v>497</v>
      </c>
      <c r="F823" s="102" t="s">
        <v>26</v>
      </c>
      <c r="G823" s="103" t="s">
        <v>20</v>
      </c>
      <c r="H823" s="103"/>
      <c r="I823" s="103">
        <v>201507</v>
      </c>
      <c r="J823" s="104">
        <v>-47.1</v>
      </c>
      <c r="K823" s="72">
        <f t="shared" si="64"/>
        <v>42675</v>
      </c>
      <c r="L823" s="67">
        <f t="shared" si="60"/>
        <v>6</v>
      </c>
      <c r="M823" s="105">
        <v>1.4833299999999999E-3</v>
      </c>
      <c r="N823" s="104">
        <f t="shared" si="61"/>
        <v>-0.419189058</v>
      </c>
      <c r="O823" s="66"/>
      <c r="P823" s="71">
        <f t="shared" si="62"/>
        <v>0</v>
      </c>
      <c r="Q823" s="132"/>
      <c r="R823" s="71">
        <f t="shared" si="63"/>
        <v>-0.72069868749999999</v>
      </c>
    </row>
    <row r="824" spans="1:18">
      <c r="A824" s="106" t="s">
        <v>626</v>
      </c>
      <c r="B824" s="103" t="s">
        <v>1066</v>
      </c>
      <c r="C824" s="103" t="s">
        <v>1067</v>
      </c>
      <c r="D824" s="102" t="s">
        <v>1068</v>
      </c>
      <c r="E824" s="103" t="s">
        <v>75</v>
      </c>
      <c r="F824" s="102" t="s">
        <v>26</v>
      </c>
      <c r="G824" s="103" t="s">
        <v>20</v>
      </c>
      <c r="H824" s="103"/>
      <c r="I824" s="103">
        <v>201507</v>
      </c>
      <c r="J824" s="104">
        <v>-389.09</v>
      </c>
      <c r="K824" s="72">
        <f t="shared" si="64"/>
        <v>42675</v>
      </c>
      <c r="L824" s="67">
        <f t="shared" si="60"/>
        <v>6</v>
      </c>
      <c r="M824" s="105">
        <v>1.4833299999999999E-3</v>
      </c>
      <c r="N824" s="104">
        <f t="shared" si="61"/>
        <v>-3.4628932181999996</v>
      </c>
      <c r="O824" s="66"/>
      <c r="P824" s="71">
        <f t="shared" si="62"/>
        <v>0</v>
      </c>
      <c r="Q824" s="132"/>
      <c r="R824" s="71">
        <f t="shared" si="63"/>
        <v>-5.953644422916665</v>
      </c>
    </row>
    <row r="825" spans="1:18">
      <c r="A825" s="102" t="s">
        <v>21</v>
      </c>
      <c r="B825" s="103" t="s">
        <v>1112</v>
      </c>
      <c r="C825" s="103" t="s">
        <v>1113</v>
      </c>
      <c r="D825" s="102" t="s">
        <v>1114</v>
      </c>
      <c r="E825" s="103" t="s">
        <v>260</v>
      </c>
      <c r="F825" s="102" t="s">
        <v>26</v>
      </c>
      <c r="G825" s="103" t="s">
        <v>20</v>
      </c>
      <c r="H825" s="103"/>
      <c r="I825" s="103">
        <v>201507</v>
      </c>
      <c r="J825" s="104">
        <v>10.81</v>
      </c>
      <c r="K825" s="72">
        <f t="shared" si="64"/>
        <v>42675</v>
      </c>
      <c r="L825" s="67">
        <f t="shared" si="60"/>
        <v>6</v>
      </c>
      <c r="M825" s="105">
        <v>1.4833299999999999E-3</v>
      </c>
      <c r="N825" s="104">
        <f t="shared" si="61"/>
        <v>9.6208783800000003E-2</v>
      </c>
      <c r="O825" s="66"/>
      <c r="P825" s="71">
        <f t="shared" si="62"/>
        <v>0</v>
      </c>
      <c r="Q825" s="132"/>
      <c r="R825" s="71">
        <f t="shared" si="63"/>
        <v>0.16540876458333334</v>
      </c>
    </row>
    <row r="826" spans="1:18">
      <c r="A826" s="102" t="s">
        <v>626</v>
      </c>
      <c r="B826" s="103" t="s">
        <v>1112</v>
      </c>
      <c r="C826" s="103" t="s">
        <v>1113</v>
      </c>
      <c r="D826" s="102" t="s">
        <v>1114</v>
      </c>
      <c r="E826" s="103" t="s">
        <v>260</v>
      </c>
      <c r="F826" s="102" t="s">
        <v>26</v>
      </c>
      <c r="G826" s="103" t="s">
        <v>20</v>
      </c>
      <c r="H826" s="103"/>
      <c r="I826" s="103">
        <v>201507</v>
      </c>
      <c r="J826" s="104">
        <v>2.1800000000000002</v>
      </c>
      <c r="K826" s="72">
        <f t="shared" si="64"/>
        <v>42675</v>
      </c>
      <c r="L826" s="67">
        <f t="shared" si="60"/>
        <v>6</v>
      </c>
      <c r="M826" s="105">
        <v>1.4833299999999999E-3</v>
      </c>
      <c r="N826" s="104">
        <f t="shared" si="61"/>
        <v>1.94019564E-2</v>
      </c>
      <c r="O826" s="66"/>
      <c r="P826" s="71">
        <f t="shared" si="62"/>
        <v>0</v>
      </c>
      <c r="Q826" s="132"/>
      <c r="R826" s="71">
        <f t="shared" si="63"/>
        <v>3.3357179166666667E-2</v>
      </c>
    </row>
    <row r="827" spans="1:18">
      <c r="A827" s="102" t="s">
        <v>626</v>
      </c>
      <c r="B827" s="103" t="s">
        <v>1069</v>
      </c>
      <c r="C827" s="103" t="s">
        <v>1070</v>
      </c>
      <c r="D827" s="102" t="s">
        <v>1071</v>
      </c>
      <c r="E827" s="103" t="s">
        <v>260</v>
      </c>
      <c r="F827" s="102" t="s">
        <v>26</v>
      </c>
      <c r="G827" s="103" t="s">
        <v>20</v>
      </c>
      <c r="H827" s="103"/>
      <c r="I827" s="103">
        <v>201507</v>
      </c>
      <c r="J827" s="104">
        <v>-79.14</v>
      </c>
      <c r="K827" s="72">
        <f t="shared" si="64"/>
        <v>42675</v>
      </c>
      <c r="L827" s="67">
        <f t="shared" si="60"/>
        <v>6</v>
      </c>
      <c r="M827" s="105">
        <v>1.4833299999999999E-3</v>
      </c>
      <c r="N827" s="104">
        <f t="shared" si="61"/>
        <v>-0.70434441719999996</v>
      </c>
      <c r="O827" s="66"/>
      <c r="P827" s="71">
        <f t="shared" si="62"/>
        <v>0</v>
      </c>
      <c r="Q827" s="132"/>
      <c r="R827" s="71">
        <f t="shared" si="63"/>
        <v>-1.2109574125</v>
      </c>
    </row>
    <row r="828" spans="1:18">
      <c r="A828" s="106" t="s">
        <v>626</v>
      </c>
      <c r="B828" s="103" t="s">
        <v>700</v>
      </c>
      <c r="C828" s="103" t="s">
        <v>701</v>
      </c>
      <c r="D828" s="102" t="s">
        <v>702</v>
      </c>
      <c r="E828" s="103" t="s">
        <v>25</v>
      </c>
      <c r="F828" s="102" t="s">
        <v>26</v>
      </c>
      <c r="G828" s="103" t="s">
        <v>20</v>
      </c>
      <c r="H828" s="103"/>
      <c r="I828" s="103">
        <v>201507</v>
      </c>
      <c r="J828" s="104">
        <v>-1.3</v>
      </c>
      <c r="K828" s="72">
        <f t="shared" si="64"/>
        <v>42675</v>
      </c>
      <c r="L828" s="67">
        <f t="shared" si="60"/>
        <v>6</v>
      </c>
      <c r="M828" s="105">
        <v>1.4833299999999999E-3</v>
      </c>
      <c r="N828" s="104">
        <f t="shared" si="61"/>
        <v>-1.1569974E-2</v>
      </c>
      <c r="O828" s="66"/>
      <c r="P828" s="71">
        <f t="shared" si="62"/>
        <v>0</v>
      </c>
      <c r="Q828" s="132"/>
      <c r="R828" s="71">
        <f t="shared" si="63"/>
        <v>-1.9891895833333333E-2</v>
      </c>
    </row>
    <row r="829" spans="1:18">
      <c r="A829" s="106" t="s">
        <v>626</v>
      </c>
      <c r="B829" s="103" t="s">
        <v>465</v>
      </c>
      <c r="C829" s="103" t="s">
        <v>466</v>
      </c>
      <c r="D829" s="102" t="s">
        <v>467</v>
      </c>
      <c r="E829" s="103" t="s">
        <v>75</v>
      </c>
      <c r="F829" s="102" t="s">
        <v>26</v>
      </c>
      <c r="G829" s="103" t="s">
        <v>20</v>
      </c>
      <c r="H829" s="103"/>
      <c r="I829" s="103">
        <v>201507</v>
      </c>
      <c r="J829" s="104">
        <v>-250.06</v>
      </c>
      <c r="K829" s="72">
        <f t="shared" si="64"/>
        <v>42675</v>
      </c>
      <c r="L829" s="67">
        <f t="shared" si="60"/>
        <v>6</v>
      </c>
      <c r="M829" s="105">
        <v>1.4833299999999999E-3</v>
      </c>
      <c r="N829" s="104">
        <f t="shared" si="61"/>
        <v>-2.2255289988000002</v>
      </c>
      <c r="O829" s="66"/>
      <c r="P829" s="71">
        <f t="shared" si="62"/>
        <v>0</v>
      </c>
      <c r="Q829" s="132"/>
      <c r="R829" s="71">
        <f t="shared" si="63"/>
        <v>-3.8262826708333328</v>
      </c>
    </row>
    <row r="830" spans="1:18">
      <c r="A830" s="106" t="s">
        <v>626</v>
      </c>
      <c r="B830" s="103" t="s">
        <v>1076</v>
      </c>
      <c r="C830" s="103" t="s">
        <v>1077</v>
      </c>
      <c r="D830" s="102" t="s">
        <v>1078</v>
      </c>
      <c r="E830" s="103" t="s">
        <v>75</v>
      </c>
      <c r="F830" s="102" t="s">
        <v>26</v>
      </c>
      <c r="G830" s="103" t="s">
        <v>20</v>
      </c>
      <c r="H830" s="103"/>
      <c r="I830" s="103">
        <v>201507</v>
      </c>
      <c r="J830" s="104">
        <v>-52.37</v>
      </c>
      <c r="K830" s="72">
        <f t="shared" si="64"/>
        <v>42675</v>
      </c>
      <c r="L830" s="67">
        <f t="shared" si="60"/>
        <v>6</v>
      </c>
      <c r="M830" s="105">
        <v>1.4833299999999999E-3</v>
      </c>
      <c r="N830" s="104">
        <f t="shared" si="61"/>
        <v>-0.46609195259999997</v>
      </c>
      <c r="O830" s="66"/>
      <c r="P830" s="71">
        <f t="shared" si="62"/>
        <v>0</v>
      </c>
      <c r="Q830" s="132"/>
      <c r="R830" s="71">
        <f t="shared" si="63"/>
        <v>-0.80133737291666651</v>
      </c>
    </row>
    <row r="831" spans="1:18">
      <c r="A831" s="106" t="s">
        <v>21</v>
      </c>
      <c r="B831" s="103" t="s">
        <v>261</v>
      </c>
      <c r="C831" s="103" t="s">
        <v>262</v>
      </c>
      <c r="D831" s="102" t="s">
        <v>263</v>
      </c>
      <c r="E831" s="103" t="s">
        <v>75</v>
      </c>
      <c r="F831" s="102" t="s">
        <v>26</v>
      </c>
      <c r="G831" s="103" t="s">
        <v>20</v>
      </c>
      <c r="H831" s="103"/>
      <c r="I831" s="103">
        <v>201507</v>
      </c>
      <c r="J831" s="104">
        <v>1492.04</v>
      </c>
      <c r="K831" s="72">
        <f t="shared" si="64"/>
        <v>42675</v>
      </c>
      <c r="L831" s="67">
        <f t="shared" si="60"/>
        <v>6</v>
      </c>
      <c r="M831" s="105">
        <v>1.4833299999999999E-3</v>
      </c>
      <c r="N831" s="104">
        <f t="shared" si="61"/>
        <v>13.279126159200001</v>
      </c>
      <c r="O831" s="66"/>
      <c r="P831" s="71">
        <f t="shared" si="62"/>
        <v>0</v>
      </c>
      <c r="Q831" s="132"/>
      <c r="R831" s="71">
        <f t="shared" si="63"/>
        <v>22.830387891666664</v>
      </c>
    </row>
    <row r="832" spans="1:18">
      <c r="A832" s="106" t="s">
        <v>21</v>
      </c>
      <c r="B832" s="103" t="s">
        <v>1250</v>
      </c>
      <c r="C832" s="103" t="s">
        <v>1251</v>
      </c>
      <c r="D832" s="102" t="s">
        <v>1252</v>
      </c>
      <c r="E832" s="103" t="s">
        <v>260</v>
      </c>
      <c r="F832" s="102" t="s">
        <v>26</v>
      </c>
      <c r="G832" s="103" t="s">
        <v>20</v>
      </c>
      <c r="H832" s="103"/>
      <c r="I832" s="103">
        <v>201507</v>
      </c>
      <c r="J832" s="104">
        <v>-1107.3499999999999</v>
      </c>
      <c r="K832" s="72">
        <f t="shared" si="64"/>
        <v>42675</v>
      </c>
      <c r="L832" s="67">
        <f t="shared" si="60"/>
        <v>6</v>
      </c>
      <c r="M832" s="105">
        <v>1.4833299999999999E-3</v>
      </c>
      <c r="N832" s="104">
        <f t="shared" si="61"/>
        <v>-9.8553928529999997</v>
      </c>
      <c r="O832" s="66"/>
      <c r="P832" s="71">
        <f t="shared" si="62"/>
        <v>0</v>
      </c>
      <c r="Q832" s="132"/>
      <c r="R832" s="71">
        <f t="shared" si="63"/>
        <v>-16.944069885416663</v>
      </c>
    </row>
    <row r="833" spans="1:18">
      <c r="A833" s="106" t="s">
        <v>21</v>
      </c>
      <c r="B833" s="103" t="s">
        <v>494</v>
      </c>
      <c r="C833" s="103" t="s">
        <v>495</v>
      </c>
      <c r="D833" s="102" t="s">
        <v>496</v>
      </c>
      <c r="E833" s="103" t="s">
        <v>497</v>
      </c>
      <c r="F833" s="102" t="s">
        <v>26</v>
      </c>
      <c r="G833" s="103" t="s">
        <v>20</v>
      </c>
      <c r="H833" s="103"/>
      <c r="I833" s="103">
        <v>201507</v>
      </c>
      <c r="J833" s="104">
        <v>-164.6</v>
      </c>
      <c r="K833" s="72">
        <f t="shared" si="64"/>
        <v>42675</v>
      </c>
      <c r="L833" s="67">
        <f t="shared" si="60"/>
        <v>6</v>
      </c>
      <c r="M833" s="105">
        <v>1.4833299999999999E-3</v>
      </c>
      <c r="N833" s="104">
        <f t="shared" si="61"/>
        <v>-1.464936708</v>
      </c>
      <c r="O833" s="66"/>
      <c r="P833" s="71">
        <f t="shared" si="62"/>
        <v>0</v>
      </c>
      <c r="Q833" s="132"/>
      <c r="R833" s="71">
        <f t="shared" si="63"/>
        <v>-2.518620041666666</v>
      </c>
    </row>
    <row r="834" spans="1:18">
      <c r="A834" s="106" t="s">
        <v>626</v>
      </c>
      <c r="B834" s="103" t="s">
        <v>1121</v>
      </c>
      <c r="C834" s="103" t="s">
        <v>1122</v>
      </c>
      <c r="D834" s="102" t="s">
        <v>1123</v>
      </c>
      <c r="E834" s="103" t="s">
        <v>497</v>
      </c>
      <c r="F834" s="102" t="s">
        <v>26</v>
      </c>
      <c r="G834" s="103" t="s">
        <v>20</v>
      </c>
      <c r="H834" s="103"/>
      <c r="I834" s="103">
        <v>201507</v>
      </c>
      <c r="J834" s="104">
        <v>-139.72</v>
      </c>
      <c r="K834" s="72">
        <f t="shared" si="64"/>
        <v>42675</v>
      </c>
      <c r="L834" s="67">
        <f t="shared" si="60"/>
        <v>6</v>
      </c>
      <c r="M834" s="105">
        <v>1.4833299999999999E-3</v>
      </c>
      <c r="N834" s="104">
        <f t="shared" si="61"/>
        <v>-1.2435052056</v>
      </c>
      <c r="O834" s="66"/>
      <c r="P834" s="71">
        <f t="shared" si="62"/>
        <v>0</v>
      </c>
      <c r="Q834" s="132"/>
      <c r="R834" s="71">
        <f t="shared" si="63"/>
        <v>-2.1379197583333327</v>
      </c>
    </row>
    <row r="835" spans="1:18">
      <c r="A835" s="106" t="s">
        <v>21</v>
      </c>
      <c r="B835" s="103" t="s">
        <v>678</v>
      </c>
      <c r="C835" s="103" t="s">
        <v>679</v>
      </c>
      <c r="D835" s="102" t="s">
        <v>680</v>
      </c>
      <c r="E835" s="103" t="s">
        <v>75</v>
      </c>
      <c r="F835" s="102" t="s">
        <v>26</v>
      </c>
      <c r="G835" s="103" t="s">
        <v>20</v>
      </c>
      <c r="H835" s="103"/>
      <c r="I835" s="103">
        <v>201507</v>
      </c>
      <c r="J835" s="104">
        <v>-1.73</v>
      </c>
      <c r="K835" s="72">
        <f t="shared" si="64"/>
        <v>42675</v>
      </c>
      <c r="L835" s="67">
        <f t="shared" si="60"/>
        <v>6</v>
      </c>
      <c r="M835" s="105">
        <v>1.4833299999999999E-3</v>
      </c>
      <c r="N835" s="104">
        <f t="shared" si="61"/>
        <v>-1.53969654E-2</v>
      </c>
      <c r="O835" s="66"/>
      <c r="P835" s="71">
        <f t="shared" si="62"/>
        <v>0</v>
      </c>
      <c r="Q835" s="132"/>
      <c r="R835" s="71">
        <f t="shared" si="63"/>
        <v>-2.6471522916666664E-2</v>
      </c>
    </row>
    <row r="836" spans="1:18">
      <c r="A836" s="106" t="s">
        <v>626</v>
      </c>
      <c r="B836" s="103" t="s">
        <v>1082</v>
      </c>
      <c r="C836" s="103" t="s">
        <v>1083</v>
      </c>
      <c r="D836" s="102" t="s">
        <v>1084</v>
      </c>
      <c r="E836" s="103" t="s">
        <v>75</v>
      </c>
      <c r="F836" s="102" t="s">
        <v>26</v>
      </c>
      <c r="G836" s="103" t="s">
        <v>20</v>
      </c>
      <c r="H836" s="103"/>
      <c r="I836" s="103">
        <v>201507</v>
      </c>
      <c r="J836" s="104">
        <v>-416.36</v>
      </c>
      <c r="K836" s="72">
        <f t="shared" si="64"/>
        <v>42675</v>
      </c>
      <c r="L836" s="67">
        <f t="shared" si="60"/>
        <v>6</v>
      </c>
      <c r="M836" s="105">
        <v>1.4833299999999999E-3</v>
      </c>
      <c r="N836" s="104">
        <f t="shared" si="61"/>
        <v>-3.7055956728000004</v>
      </c>
      <c r="O836" s="66"/>
      <c r="P836" s="71">
        <f t="shared" si="62"/>
        <v>0</v>
      </c>
      <c r="Q836" s="132"/>
      <c r="R836" s="71">
        <f t="shared" si="63"/>
        <v>-6.3709151916666666</v>
      </c>
    </row>
    <row r="837" spans="1:18">
      <c r="A837" s="106" t="s">
        <v>626</v>
      </c>
      <c r="B837" s="103" t="s">
        <v>1188</v>
      </c>
      <c r="C837" s="103" t="s">
        <v>1189</v>
      </c>
      <c r="D837" s="102" t="s">
        <v>1190</v>
      </c>
      <c r="E837" s="103" t="s">
        <v>75</v>
      </c>
      <c r="F837" s="102" t="s">
        <v>26</v>
      </c>
      <c r="G837" s="103" t="s">
        <v>20</v>
      </c>
      <c r="H837" s="103"/>
      <c r="I837" s="103">
        <v>201507</v>
      </c>
      <c r="J837" s="104">
        <v>-385.19</v>
      </c>
      <c r="K837" s="72">
        <f t="shared" si="64"/>
        <v>42675</v>
      </c>
      <c r="L837" s="67">
        <f t="shared" ref="L837:L900" si="65">((YEAR($L$1)-YEAR(K837))*12+MONTH($L$1)-MONTH(K837))</f>
        <v>6</v>
      </c>
      <c r="M837" s="105">
        <v>1.4833299999999999E-3</v>
      </c>
      <c r="N837" s="104">
        <f t="shared" ref="N837:N900" si="66">M837*L837*J837</f>
        <v>-3.4281832961999998</v>
      </c>
      <c r="O837" s="66"/>
      <c r="P837" s="71">
        <f t="shared" si="62"/>
        <v>0</v>
      </c>
      <c r="Q837" s="132"/>
      <c r="R837" s="71">
        <f t="shared" si="63"/>
        <v>-5.8939687354166663</v>
      </c>
    </row>
    <row r="838" spans="1:18">
      <c r="A838" s="106" t="s">
        <v>626</v>
      </c>
      <c r="B838" s="103" t="s">
        <v>1085</v>
      </c>
      <c r="C838" s="103" t="s">
        <v>1086</v>
      </c>
      <c r="D838" s="102" t="s">
        <v>1087</v>
      </c>
      <c r="E838" s="103" t="s">
        <v>75</v>
      </c>
      <c r="F838" s="102" t="s">
        <v>26</v>
      </c>
      <c r="G838" s="103" t="s">
        <v>20</v>
      </c>
      <c r="H838" s="103"/>
      <c r="I838" s="103">
        <v>201507</v>
      </c>
      <c r="J838" s="104">
        <v>-52.22</v>
      </c>
      <c r="K838" s="72">
        <f t="shared" si="64"/>
        <v>42675</v>
      </c>
      <c r="L838" s="67">
        <f t="shared" si="65"/>
        <v>6</v>
      </c>
      <c r="M838" s="105">
        <v>1.4833299999999999E-3</v>
      </c>
      <c r="N838" s="104">
        <f t="shared" si="66"/>
        <v>-0.46475695559999997</v>
      </c>
      <c r="O838" s="66"/>
      <c r="P838" s="71">
        <f t="shared" ref="P838:P901" si="67">($P$4*0.5*J838*$T$12)</f>
        <v>0</v>
      </c>
      <c r="Q838" s="132"/>
      <c r="R838" s="71">
        <f t="shared" ref="R838:R901" si="68">($R$4*0.5*J838*$T$12)</f>
        <v>-0.79904215416666657</v>
      </c>
    </row>
    <row r="839" spans="1:18">
      <c r="A839" s="102" t="s">
        <v>21</v>
      </c>
      <c r="B839" s="103" t="s">
        <v>888</v>
      </c>
      <c r="C839" s="103" t="s">
        <v>889</v>
      </c>
      <c r="D839" s="102" t="s">
        <v>890</v>
      </c>
      <c r="E839" s="103" t="s">
        <v>280</v>
      </c>
      <c r="F839" s="102" t="s">
        <v>26</v>
      </c>
      <c r="G839" s="103" t="s">
        <v>20</v>
      </c>
      <c r="H839" s="103"/>
      <c r="I839" s="103">
        <v>201507</v>
      </c>
      <c r="J839" s="104">
        <v>-16.88</v>
      </c>
      <c r="K839" s="72">
        <f t="shared" ref="K839:K902" si="69">+K838</f>
        <v>42675</v>
      </c>
      <c r="L839" s="67">
        <f t="shared" si="65"/>
        <v>6</v>
      </c>
      <c r="M839" s="105">
        <v>1.4833299999999999E-3</v>
      </c>
      <c r="N839" s="104">
        <f t="shared" si="66"/>
        <v>-0.15023166239999999</v>
      </c>
      <c r="O839" s="66"/>
      <c r="P839" s="71">
        <f t="shared" si="67"/>
        <v>0</v>
      </c>
      <c r="Q839" s="132"/>
      <c r="R839" s="71">
        <f t="shared" si="68"/>
        <v>-0.25828861666666658</v>
      </c>
    </row>
    <row r="840" spans="1:18">
      <c r="A840" s="102" t="s">
        <v>626</v>
      </c>
      <c r="B840" s="103" t="s">
        <v>1253</v>
      </c>
      <c r="C840" s="103" t="s">
        <v>1254</v>
      </c>
      <c r="D840" s="102" t="s">
        <v>1255</v>
      </c>
      <c r="E840" s="103" t="s">
        <v>25</v>
      </c>
      <c r="F840" s="102" t="s">
        <v>26</v>
      </c>
      <c r="G840" s="103" t="s">
        <v>20</v>
      </c>
      <c r="H840" s="103"/>
      <c r="I840" s="103">
        <v>201507</v>
      </c>
      <c r="J840" s="104">
        <v>-2370.38</v>
      </c>
      <c r="K840" s="72">
        <f t="shared" si="69"/>
        <v>42675</v>
      </c>
      <c r="L840" s="67">
        <f t="shared" si="65"/>
        <v>6</v>
      </c>
      <c r="M840" s="105">
        <v>1.4833299999999999E-3</v>
      </c>
      <c r="N840" s="104">
        <f t="shared" si="66"/>
        <v>-21.096334592400002</v>
      </c>
      <c r="O840" s="66"/>
      <c r="P840" s="71">
        <f t="shared" si="67"/>
        <v>0</v>
      </c>
      <c r="Q840" s="132"/>
      <c r="R840" s="71">
        <f t="shared" si="68"/>
        <v>-36.270270804166664</v>
      </c>
    </row>
    <row r="841" spans="1:18">
      <c r="A841" s="102" t="s">
        <v>626</v>
      </c>
      <c r="B841" s="103" t="s">
        <v>1038</v>
      </c>
      <c r="C841" s="103" t="s">
        <v>1039</v>
      </c>
      <c r="D841" s="102" t="s">
        <v>1040</v>
      </c>
      <c r="E841" s="103" t="s">
        <v>75</v>
      </c>
      <c r="F841" s="102" t="s">
        <v>26</v>
      </c>
      <c r="G841" s="103" t="s">
        <v>20</v>
      </c>
      <c r="H841" s="103"/>
      <c r="I841" s="103">
        <v>201507</v>
      </c>
      <c r="J841" s="104">
        <v>-63.55</v>
      </c>
      <c r="K841" s="72">
        <f t="shared" si="69"/>
        <v>42675</v>
      </c>
      <c r="L841" s="67">
        <f t="shared" si="65"/>
        <v>6</v>
      </c>
      <c r="M841" s="105">
        <v>1.4833299999999999E-3</v>
      </c>
      <c r="N841" s="104">
        <f t="shared" si="66"/>
        <v>-0.56559372899999993</v>
      </c>
      <c r="O841" s="66"/>
      <c r="P841" s="71">
        <f t="shared" si="67"/>
        <v>0</v>
      </c>
      <c r="Q841" s="132"/>
      <c r="R841" s="71">
        <f t="shared" si="68"/>
        <v>-0.9724076770833332</v>
      </c>
    </row>
    <row r="842" spans="1:18">
      <c r="A842" s="102" t="s">
        <v>626</v>
      </c>
      <c r="B842" s="103" t="s">
        <v>947</v>
      </c>
      <c r="C842" s="103" t="s">
        <v>948</v>
      </c>
      <c r="D842" s="102" t="s">
        <v>949</v>
      </c>
      <c r="E842" s="103" t="s">
        <v>75</v>
      </c>
      <c r="F842" s="102" t="s">
        <v>26</v>
      </c>
      <c r="G842" s="103" t="s">
        <v>20</v>
      </c>
      <c r="H842" s="103"/>
      <c r="I842" s="103">
        <v>201507</v>
      </c>
      <c r="J842" s="104">
        <v>-2.11</v>
      </c>
      <c r="K842" s="72">
        <f t="shared" si="69"/>
        <v>42675</v>
      </c>
      <c r="L842" s="67">
        <f t="shared" si="65"/>
        <v>6</v>
      </c>
      <c r="M842" s="105">
        <v>1.4833299999999999E-3</v>
      </c>
      <c r="N842" s="104">
        <f t="shared" si="66"/>
        <v>-1.8778957799999999E-2</v>
      </c>
      <c r="O842" s="66"/>
      <c r="P842" s="71">
        <f t="shared" si="67"/>
        <v>0</v>
      </c>
      <c r="Q842" s="132"/>
      <c r="R842" s="71">
        <f t="shared" si="68"/>
        <v>-3.2286077083333323E-2</v>
      </c>
    </row>
    <row r="843" spans="1:18">
      <c r="A843" s="102" t="s">
        <v>626</v>
      </c>
      <c r="B843" s="103" t="s">
        <v>1041</v>
      </c>
      <c r="C843" s="103" t="s">
        <v>1042</v>
      </c>
      <c r="D843" s="102" t="s">
        <v>1043</v>
      </c>
      <c r="E843" s="103" t="s">
        <v>75</v>
      </c>
      <c r="F843" s="102" t="s">
        <v>26</v>
      </c>
      <c r="G843" s="103" t="s">
        <v>20</v>
      </c>
      <c r="H843" s="103"/>
      <c r="I843" s="103">
        <v>201507</v>
      </c>
      <c r="J843" s="104">
        <v>-87.9</v>
      </c>
      <c r="K843" s="72">
        <f t="shared" si="69"/>
        <v>42675</v>
      </c>
      <c r="L843" s="67">
        <f t="shared" si="65"/>
        <v>6</v>
      </c>
      <c r="M843" s="105">
        <v>1.4833299999999999E-3</v>
      </c>
      <c r="N843" s="104">
        <f t="shared" si="66"/>
        <v>-0.78230824200000004</v>
      </c>
      <c r="O843" s="66"/>
      <c r="P843" s="71">
        <f t="shared" si="67"/>
        <v>0</v>
      </c>
      <c r="Q843" s="132"/>
      <c r="R843" s="71">
        <f t="shared" si="68"/>
        <v>-1.3449981874999999</v>
      </c>
    </row>
    <row r="844" spans="1:18">
      <c r="A844" s="102" t="s">
        <v>626</v>
      </c>
      <c r="B844" s="103" t="s">
        <v>1194</v>
      </c>
      <c r="C844" s="103" t="s">
        <v>1195</v>
      </c>
      <c r="D844" s="102" t="s">
        <v>1196</v>
      </c>
      <c r="E844" s="103" t="s">
        <v>75</v>
      </c>
      <c r="F844" s="102" t="s">
        <v>26</v>
      </c>
      <c r="G844" s="103" t="s">
        <v>20</v>
      </c>
      <c r="H844" s="103"/>
      <c r="I844" s="103">
        <v>201507</v>
      </c>
      <c r="J844" s="104">
        <v>-1348.8</v>
      </c>
      <c r="K844" s="72">
        <f t="shared" si="69"/>
        <v>42675</v>
      </c>
      <c r="L844" s="67">
        <f t="shared" si="65"/>
        <v>6</v>
      </c>
      <c r="M844" s="105">
        <v>1.4833299999999999E-3</v>
      </c>
      <c r="N844" s="104">
        <f t="shared" si="66"/>
        <v>-12.004293023999999</v>
      </c>
      <c r="O844" s="66"/>
      <c r="P844" s="71">
        <f t="shared" si="67"/>
        <v>0</v>
      </c>
      <c r="Q844" s="132"/>
      <c r="R844" s="71">
        <f t="shared" si="68"/>
        <v>-20.638606999999997</v>
      </c>
    </row>
    <row r="845" spans="1:18">
      <c r="A845" s="102" t="s">
        <v>21</v>
      </c>
      <c r="B845" s="103" t="s">
        <v>1256</v>
      </c>
      <c r="C845" s="103" t="s">
        <v>1257</v>
      </c>
      <c r="D845" s="102" t="s">
        <v>1258</v>
      </c>
      <c r="E845" s="103" t="s">
        <v>75</v>
      </c>
      <c r="F845" s="102" t="s">
        <v>26</v>
      </c>
      <c r="G845" s="103" t="s">
        <v>20</v>
      </c>
      <c r="H845" s="103"/>
      <c r="I845" s="103">
        <v>201507</v>
      </c>
      <c r="J845" s="104">
        <v>446.92</v>
      </c>
      <c r="K845" s="72">
        <f t="shared" si="69"/>
        <v>42675</v>
      </c>
      <c r="L845" s="67">
        <f t="shared" si="65"/>
        <v>6</v>
      </c>
      <c r="M845" s="105">
        <v>1.4833299999999999E-3</v>
      </c>
      <c r="N845" s="104">
        <f t="shared" si="66"/>
        <v>3.9775790616000002</v>
      </c>
      <c r="O845" s="66"/>
      <c r="P845" s="71">
        <f t="shared" si="67"/>
        <v>0</v>
      </c>
      <c r="Q845" s="132"/>
      <c r="R845" s="71">
        <f t="shared" si="68"/>
        <v>6.838527758333333</v>
      </c>
    </row>
    <row r="846" spans="1:18">
      <c r="A846" s="102" t="s">
        <v>626</v>
      </c>
      <c r="B846" s="103" t="s">
        <v>1256</v>
      </c>
      <c r="C846" s="103" t="s">
        <v>1257</v>
      </c>
      <c r="D846" s="102" t="s">
        <v>1258</v>
      </c>
      <c r="E846" s="103" t="s">
        <v>75</v>
      </c>
      <c r="F846" s="102" t="s">
        <v>26</v>
      </c>
      <c r="G846" s="103" t="s">
        <v>20</v>
      </c>
      <c r="H846" s="103"/>
      <c r="I846" s="103">
        <v>201507</v>
      </c>
      <c r="J846" s="104">
        <v>-4681.33</v>
      </c>
      <c r="K846" s="72">
        <f t="shared" si="69"/>
        <v>42675</v>
      </c>
      <c r="L846" s="67">
        <f t="shared" si="65"/>
        <v>6</v>
      </c>
      <c r="M846" s="105">
        <v>1.4833299999999999E-3</v>
      </c>
      <c r="N846" s="104">
        <f t="shared" si="66"/>
        <v>-41.663743373400003</v>
      </c>
      <c r="O846" s="66"/>
      <c r="P846" s="71">
        <f t="shared" si="67"/>
        <v>0</v>
      </c>
      <c r="Q846" s="132"/>
      <c r="R846" s="71">
        <f t="shared" si="68"/>
        <v>-71.631175939583329</v>
      </c>
    </row>
    <row r="847" spans="1:18">
      <c r="A847" s="102" t="s">
        <v>626</v>
      </c>
      <c r="B847" s="103" t="s">
        <v>1139</v>
      </c>
      <c r="C847" s="103" t="s">
        <v>1140</v>
      </c>
      <c r="D847" s="102" t="s">
        <v>1141</v>
      </c>
      <c r="E847" s="103" t="s">
        <v>280</v>
      </c>
      <c r="F847" s="102" t="s">
        <v>26</v>
      </c>
      <c r="G847" s="103" t="s">
        <v>20</v>
      </c>
      <c r="H847" s="103"/>
      <c r="I847" s="103">
        <v>201507</v>
      </c>
      <c r="J847" s="104">
        <v>-724.84</v>
      </c>
      <c r="K847" s="72">
        <f t="shared" si="69"/>
        <v>42675</v>
      </c>
      <c r="L847" s="67">
        <f t="shared" si="65"/>
        <v>6</v>
      </c>
      <c r="M847" s="105">
        <v>1.4833299999999999E-3</v>
      </c>
      <c r="N847" s="104">
        <f t="shared" si="66"/>
        <v>-6.4510615032</v>
      </c>
      <c r="O847" s="66"/>
      <c r="P847" s="71">
        <f t="shared" si="67"/>
        <v>0</v>
      </c>
      <c r="Q847" s="132"/>
      <c r="R847" s="71">
        <f t="shared" si="68"/>
        <v>-11.091109058333332</v>
      </c>
    </row>
    <row r="848" spans="1:18">
      <c r="A848" s="102" t="s">
        <v>626</v>
      </c>
      <c r="B848" s="103" t="s">
        <v>1200</v>
      </c>
      <c r="C848" s="103" t="s">
        <v>1201</v>
      </c>
      <c r="D848" s="102" t="s">
        <v>1202</v>
      </c>
      <c r="E848" s="103" t="s">
        <v>75</v>
      </c>
      <c r="F848" s="102" t="s">
        <v>26</v>
      </c>
      <c r="G848" s="103" t="s">
        <v>20</v>
      </c>
      <c r="H848" s="103"/>
      <c r="I848" s="103">
        <v>201507</v>
      </c>
      <c r="J848" s="104">
        <v>-3066.91</v>
      </c>
      <c r="K848" s="72">
        <f t="shared" si="69"/>
        <v>42675</v>
      </c>
      <c r="L848" s="67">
        <f t="shared" si="65"/>
        <v>6</v>
      </c>
      <c r="M848" s="105">
        <v>1.4833299999999999E-3</v>
      </c>
      <c r="N848" s="104">
        <f t="shared" si="66"/>
        <v>-27.295437661799998</v>
      </c>
      <c r="O848" s="66"/>
      <c r="P848" s="71">
        <f t="shared" si="67"/>
        <v>0</v>
      </c>
      <c r="Q848" s="132"/>
      <c r="R848" s="71">
        <f t="shared" si="68"/>
        <v>-46.928195577083329</v>
      </c>
    </row>
    <row r="849" spans="1:18">
      <c r="A849" s="102" t="s">
        <v>21</v>
      </c>
      <c r="B849" s="103" t="s">
        <v>953</v>
      </c>
      <c r="C849" s="103" t="s">
        <v>954</v>
      </c>
      <c r="D849" s="102" t="s">
        <v>955</v>
      </c>
      <c r="E849" s="103" t="s">
        <v>531</v>
      </c>
      <c r="F849" s="102" t="s">
        <v>26</v>
      </c>
      <c r="G849" s="103" t="s">
        <v>20</v>
      </c>
      <c r="H849" s="103"/>
      <c r="I849" s="103">
        <v>201507</v>
      </c>
      <c r="J849" s="104">
        <v>-2.5499999999999998</v>
      </c>
      <c r="K849" s="72">
        <f t="shared" si="69"/>
        <v>42675</v>
      </c>
      <c r="L849" s="67">
        <f t="shared" si="65"/>
        <v>6</v>
      </c>
      <c r="M849" s="105">
        <v>1.4833299999999999E-3</v>
      </c>
      <c r="N849" s="104">
        <f t="shared" si="66"/>
        <v>-2.2694948999999999E-2</v>
      </c>
      <c r="O849" s="66"/>
      <c r="P849" s="71">
        <f t="shared" si="67"/>
        <v>0</v>
      </c>
      <c r="Q849" s="132"/>
      <c r="R849" s="71">
        <f t="shared" si="68"/>
        <v>-3.9018718749999994E-2</v>
      </c>
    </row>
    <row r="850" spans="1:18">
      <c r="A850" s="102" t="s">
        <v>626</v>
      </c>
      <c r="B850" s="103" t="s">
        <v>909</v>
      </c>
      <c r="C850" s="103" t="s">
        <v>910</v>
      </c>
      <c r="D850" s="102" t="s">
        <v>911</v>
      </c>
      <c r="E850" s="103" t="s">
        <v>79</v>
      </c>
      <c r="F850" s="102" t="s">
        <v>26</v>
      </c>
      <c r="G850" s="103" t="s">
        <v>20</v>
      </c>
      <c r="H850" s="103"/>
      <c r="I850" s="103">
        <v>201507</v>
      </c>
      <c r="J850" s="104">
        <v>10.54</v>
      </c>
      <c r="K850" s="72">
        <f t="shared" si="69"/>
        <v>42675</v>
      </c>
      <c r="L850" s="67">
        <f t="shared" si="65"/>
        <v>6</v>
      </c>
      <c r="M850" s="105">
        <v>1.4833299999999999E-3</v>
      </c>
      <c r="N850" s="104">
        <f t="shared" si="66"/>
        <v>9.3805789199999989E-2</v>
      </c>
      <c r="O850" s="66"/>
      <c r="P850" s="71">
        <f t="shared" si="67"/>
        <v>0</v>
      </c>
      <c r="Q850" s="132"/>
      <c r="R850" s="71">
        <f t="shared" si="68"/>
        <v>0.16127737083333332</v>
      </c>
    </row>
    <row r="851" spans="1:18">
      <c r="A851" s="102" t="s">
        <v>626</v>
      </c>
      <c r="B851" s="103" t="s">
        <v>1315</v>
      </c>
      <c r="C851" s="103" t="s">
        <v>1316</v>
      </c>
      <c r="D851" s="102" t="s">
        <v>1317</v>
      </c>
      <c r="E851" s="103" t="s">
        <v>497</v>
      </c>
      <c r="F851" s="102" t="s">
        <v>26</v>
      </c>
      <c r="G851" s="103" t="s">
        <v>20</v>
      </c>
      <c r="H851" s="103"/>
      <c r="I851" s="103">
        <v>201507</v>
      </c>
      <c r="J851" s="104">
        <v>14492.14</v>
      </c>
      <c r="K851" s="72">
        <f t="shared" si="69"/>
        <v>42675</v>
      </c>
      <c r="L851" s="67">
        <f t="shared" si="65"/>
        <v>6</v>
      </c>
      <c r="M851" s="105">
        <v>1.4833299999999999E-3</v>
      </c>
      <c r="N851" s="104">
        <f t="shared" si="66"/>
        <v>128.9797561572</v>
      </c>
      <c r="O851" s="66"/>
      <c r="P851" s="71">
        <f t="shared" si="67"/>
        <v>0</v>
      </c>
      <c r="Q851" s="132"/>
      <c r="R851" s="71">
        <f t="shared" si="68"/>
        <v>221.75087637083331</v>
      </c>
    </row>
    <row r="852" spans="1:18">
      <c r="A852" s="106" t="s">
        <v>626</v>
      </c>
      <c r="B852" s="103" t="s">
        <v>1203</v>
      </c>
      <c r="C852" s="103" t="s">
        <v>1204</v>
      </c>
      <c r="D852" s="102" t="s">
        <v>1205</v>
      </c>
      <c r="E852" s="103" t="s">
        <v>260</v>
      </c>
      <c r="F852" s="102" t="s">
        <v>26</v>
      </c>
      <c r="G852" s="103" t="s">
        <v>20</v>
      </c>
      <c r="H852" s="103"/>
      <c r="I852" s="103">
        <v>201507</v>
      </c>
      <c r="J852" s="104">
        <v>3665.46</v>
      </c>
      <c r="K852" s="72">
        <f t="shared" si="69"/>
        <v>42675</v>
      </c>
      <c r="L852" s="67">
        <f t="shared" si="65"/>
        <v>6</v>
      </c>
      <c r="M852" s="105">
        <v>1.4833299999999999E-3</v>
      </c>
      <c r="N852" s="104">
        <f t="shared" si="66"/>
        <v>32.622520690800002</v>
      </c>
      <c r="O852" s="66"/>
      <c r="P852" s="71">
        <f t="shared" si="67"/>
        <v>0</v>
      </c>
      <c r="Q852" s="132"/>
      <c r="R852" s="71">
        <f t="shared" si="68"/>
        <v>56.086883462499991</v>
      </c>
    </row>
    <row r="853" spans="1:18">
      <c r="A853" s="106" t="s">
        <v>626</v>
      </c>
      <c r="B853" s="103" t="s">
        <v>1505</v>
      </c>
      <c r="C853" s="103" t="s">
        <v>1506</v>
      </c>
      <c r="D853" s="102" t="s">
        <v>1507</v>
      </c>
      <c r="E853" s="103" t="s">
        <v>75</v>
      </c>
      <c r="F853" s="102" t="s">
        <v>26</v>
      </c>
      <c r="G853" s="103" t="s">
        <v>20</v>
      </c>
      <c r="H853" s="103"/>
      <c r="I853" s="103">
        <v>201507</v>
      </c>
      <c r="J853" s="104">
        <v>126977.99</v>
      </c>
      <c r="K853" s="72">
        <f t="shared" si="69"/>
        <v>42675</v>
      </c>
      <c r="L853" s="67">
        <f t="shared" si="65"/>
        <v>6</v>
      </c>
      <c r="M853" s="105">
        <v>1.4833299999999999E-3</v>
      </c>
      <c r="N853" s="104">
        <f t="shared" si="66"/>
        <v>1130.1015714402001</v>
      </c>
      <c r="O853" s="66"/>
      <c r="P853" s="71">
        <f t="shared" si="67"/>
        <v>0</v>
      </c>
      <c r="Q853" s="132"/>
      <c r="R853" s="71">
        <f t="shared" si="68"/>
        <v>1942.9484232354166</v>
      </c>
    </row>
    <row r="854" spans="1:18">
      <c r="A854" s="102" t="s">
        <v>21</v>
      </c>
      <c r="B854" s="103" t="s">
        <v>894</v>
      </c>
      <c r="C854" s="103" t="s">
        <v>895</v>
      </c>
      <c r="D854" s="102" t="s">
        <v>896</v>
      </c>
      <c r="E854" s="103" t="s">
        <v>280</v>
      </c>
      <c r="F854" s="102" t="s">
        <v>26</v>
      </c>
      <c r="G854" s="103" t="s">
        <v>20</v>
      </c>
      <c r="H854" s="103"/>
      <c r="I854" s="103">
        <v>201507</v>
      </c>
      <c r="J854" s="104">
        <v>-4.37</v>
      </c>
      <c r="K854" s="72">
        <f t="shared" si="69"/>
        <v>42675</v>
      </c>
      <c r="L854" s="67">
        <f t="shared" si="65"/>
        <v>6</v>
      </c>
      <c r="M854" s="105">
        <v>1.4833299999999999E-3</v>
      </c>
      <c r="N854" s="104">
        <f t="shared" si="66"/>
        <v>-3.8892912600000003E-2</v>
      </c>
      <c r="O854" s="66"/>
      <c r="P854" s="71">
        <f t="shared" si="67"/>
        <v>0</v>
      </c>
      <c r="Q854" s="132"/>
      <c r="R854" s="71">
        <f t="shared" si="68"/>
        <v>-6.6867372916666667E-2</v>
      </c>
    </row>
    <row r="855" spans="1:18">
      <c r="A855" s="102" t="s">
        <v>626</v>
      </c>
      <c r="B855" s="103" t="s">
        <v>1109</v>
      </c>
      <c r="C855" s="103" t="s">
        <v>1110</v>
      </c>
      <c r="D855" s="102" t="s">
        <v>1111</v>
      </c>
      <c r="E855" s="103" t="s">
        <v>260</v>
      </c>
      <c r="F855" s="102" t="s">
        <v>26</v>
      </c>
      <c r="G855" s="103" t="s">
        <v>20</v>
      </c>
      <c r="H855" s="103"/>
      <c r="I855" s="103">
        <v>201507</v>
      </c>
      <c r="J855" s="104">
        <v>-381.97</v>
      </c>
      <c r="K855" s="72">
        <f t="shared" si="69"/>
        <v>42675</v>
      </c>
      <c r="L855" s="67">
        <f t="shared" si="65"/>
        <v>6</v>
      </c>
      <c r="M855" s="105">
        <v>1.4833299999999999E-3</v>
      </c>
      <c r="N855" s="104">
        <f t="shared" si="66"/>
        <v>-3.3995253606000002</v>
      </c>
      <c r="O855" s="66"/>
      <c r="P855" s="71">
        <f t="shared" si="67"/>
        <v>0</v>
      </c>
      <c r="Q855" s="132"/>
      <c r="R855" s="71">
        <f t="shared" si="68"/>
        <v>-5.8446980395833332</v>
      </c>
    </row>
    <row r="856" spans="1:18">
      <c r="A856" s="106" t="s">
        <v>626</v>
      </c>
      <c r="B856" s="103" t="s">
        <v>1209</v>
      </c>
      <c r="C856" s="103" t="s">
        <v>1210</v>
      </c>
      <c r="D856" s="102" t="s">
        <v>1211</v>
      </c>
      <c r="E856" s="103" t="s">
        <v>79</v>
      </c>
      <c r="F856" s="102" t="s">
        <v>26</v>
      </c>
      <c r="G856" s="103" t="s">
        <v>20</v>
      </c>
      <c r="H856" s="103"/>
      <c r="I856" s="103">
        <v>201507</v>
      </c>
      <c r="J856" s="104">
        <v>-530.12</v>
      </c>
      <c r="K856" s="72">
        <f t="shared" si="69"/>
        <v>42675</v>
      </c>
      <c r="L856" s="67">
        <f t="shared" si="65"/>
        <v>6</v>
      </c>
      <c r="M856" s="105">
        <v>1.4833299999999999E-3</v>
      </c>
      <c r="N856" s="104">
        <f t="shared" si="66"/>
        <v>-4.7180573976</v>
      </c>
      <c r="O856" s="66"/>
      <c r="P856" s="71">
        <f t="shared" si="67"/>
        <v>0</v>
      </c>
      <c r="Q856" s="132"/>
      <c r="R856" s="71">
        <f t="shared" si="68"/>
        <v>-8.1116090916666668</v>
      </c>
    </row>
    <row r="857" spans="1:18">
      <c r="A857" s="102" t="s">
        <v>626</v>
      </c>
      <c r="B857" s="103" t="s">
        <v>981</v>
      </c>
      <c r="C857" s="103" t="s">
        <v>982</v>
      </c>
      <c r="D857" s="102" t="s">
        <v>983</v>
      </c>
      <c r="E857" s="103" t="s">
        <v>531</v>
      </c>
      <c r="F857" s="102" t="s">
        <v>26</v>
      </c>
      <c r="G857" s="103" t="s">
        <v>20</v>
      </c>
      <c r="H857" s="103"/>
      <c r="I857" s="103">
        <v>201507</v>
      </c>
      <c r="J857" s="104">
        <v>-19.420000000000002</v>
      </c>
      <c r="K857" s="72">
        <f t="shared" si="69"/>
        <v>42675</v>
      </c>
      <c r="L857" s="67">
        <f t="shared" si="65"/>
        <v>6</v>
      </c>
      <c r="M857" s="105">
        <v>1.4833299999999999E-3</v>
      </c>
      <c r="N857" s="104">
        <f t="shared" si="66"/>
        <v>-0.17283761160000002</v>
      </c>
      <c r="O857" s="66"/>
      <c r="P857" s="71">
        <f t="shared" si="67"/>
        <v>0</v>
      </c>
      <c r="Q857" s="132"/>
      <c r="R857" s="71">
        <f t="shared" si="68"/>
        <v>-0.29715432083333332</v>
      </c>
    </row>
    <row r="858" spans="1:18">
      <c r="A858" s="106" t="s">
        <v>626</v>
      </c>
      <c r="B858" s="103" t="s">
        <v>1056</v>
      </c>
      <c r="C858" s="103" t="s">
        <v>1057</v>
      </c>
      <c r="D858" s="102" t="s">
        <v>1058</v>
      </c>
      <c r="E858" s="103" t="s">
        <v>1059</v>
      </c>
      <c r="F858" s="102" t="s">
        <v>26</v>
      </c>
      <c r="G858" s="103" t="s">
        <v>20</v>
      </c>
      <c r="H858" s="103"/>
      <c r="I858" s="103">
        <v>201507</v>
      </c>
      <c r="J858" s="104">
        <v>-69.14</v>
      </c>
      <c r="K858" s="72">
        <f t="shared" si="69"/>
        <v>42675</v>
      </c>
      <c r="L858" s="67">
        <f t="shared" si="65"/>
        <v>6</v>
      </c>
      <c r="M858" s="105">
        <v>1.4833299999999999E-3</v>
      </c>
      <c r="N858" s="104">
        <f t="shared" si="66"/>
        <v>-0.6153446172</v>
      </c>
      <c r="O858" s="66"/>
      <c r="P858" s="71">
        <f t="shared" si="67"/>
        <v>0</v>
      </c>
      <c r="Q858" s="132"/>
      <c r="R858" s="71">
        <f t="shared" si="68"/>
        <v>-1.0579428291666666</v>
      </c>
    </row>
    <row r="859" spans="1:18">
      <c r="A859" s="106" t="s">
        <v>626</v>
      </c>
      <c r="B859" s="103" t="s">
        <v>1417</v>
      </c>
      <c r="C859" s="103" t="s">
        <v>1418</v>
      </c>
      <c r="D859" s="102" t="s">
        <v>1419</v>
      </c>
      <c r="E859" s="103" t="s">
        <v>75</v>
      </c>
      <c r="F859" s="102" t="s">
        <v>26</v>
      </c>
      <c r="G859" s="103" t="s">
        <v>20</v>
      </c>
      <c r="H859" s="103"/>
      <c r="I859" s="103">
        <v>201507</v>
      </c>
      <c r="J859" s="104">
        <v>85119.19</v>
      </c>
      <c r="K859" s="72">
        <f t="shared" si="69"/>
        <v>42675</v>
      </c>
      <c r="L859" s="67">
        <f t="shared" si="65"/>
        <v>6</v>
      </c>
      <c r="M859" s="105">
        <v>1.4833299999999999E-3</v>
      </c>
      <c r="N859" s="104">
        <f t="shared" si="66"/>
        <v>757.55908861620003</v>
      </c>
      <c r="O859" s="66"/>
      <c r="P859" s="71">
        <f t="shared" si="67"/>
        <v>0</v>
      </c>
      <c r="Q859" s="132"/>
      <c r="R859" s="71">
        <f t="shared" si="68"/>
        <v>1302.4477391520832</v>
      </c>
    </row>
    <row r="860" spans="1:18">
      <c r="A860" s="106" t="s">
        <v>626</v>
      </c>
      <c r="B860" s="103" t="s">
        <v>1163</v>
      </c>
      <c r="C860" s="103" t="s">
        <v>1164</v>
      </c>
      <c r="D860" s="102" t="s">
        <v>1165</v>
      </c>
      <c r="E860" s="103" t="s">
        <v>75</v>
      </c>
      <c r="F860" s="102" t="s">
        <v>26</v>
      </c>
      <c r="G860" s="103" t="s">
        <v>20</v>
      </c>
      <c r="H860" s="103"/>
      <c r="I860" s="103">
        <v>201507</v>
      </c>
      <c r="J860" s="104">
        <v>-225.65</v>
      </c>
      <c r="K860" s="72">
        <f t="shared" si="69"/>
        <v>42675</v>
      </c>
      <c r="L860" s="67">
        <f t="shared" si="65"/>
        <v>6</v>
      </c>
      <c r="M860" s="105">
        <v>1.4833299999999999E-3</v>
      </c>
      <c r="N860" s="104">
        <f t="shared" si="66"/>
        <v>-2.0082804869999999</v>
      </c>
      <c r="O860" s="66"/>
      <c r="P860" s="71">
        <f t="shared" si="67"/>
        <v>0</v>
      </c>
      <c r="Q860" s="132"/>
      <c r="R860" s="71">
        <f t="shared" si="68"/>
        <v>-3.4527740729166663</v>
      </c>
    </row>
    <row r="861" spans="1:18">
      <c r="A861" s="106" t="s">
        <v>626</v>
      </c>
      <c r="B861" s="103" t="s">
        <v>1166</v>
      </c>
      <c r="C861" s="103" t="s">
        <v>1167</v>
      </c>
      <c r="D861" s="102" t="s">
        <v>1168</v>
      </c>
      <c r="E861" s="103" t="s">
        <v>75</v>
      </c>
      <c r="F861" s="102" t="s">
        <v>26</v>
      </c>
      <c r="G861" s="103" t="s">
        <v>20</v>
      </c>
      <c r="H861" s="103"/>
      <c r="I861" s="103">
        <v>201507</v>
      </c>
      <c r="J861" s="104">
        <v>-53.46</v>
      </c>
      <c r="K861" s="72">
        <f t="shared" si="69"/>
        <v>42675</v>
      </c>
      <c r="L861" s="67">
        <f t="shared" si="65"/>
        <v>6</v>
      </c>
      <c r="M861" s="105">
        <v>1.4833299999999999E-3</v>
      </c>
      <c r="N861" s="104">
        <f t="shared" si="66"/>
        <v>-0.47579293080000001</v>
      </c>
      <c r="O861" s="66"/>
      <c r="P861" s="71">
        <f t="shared" si="67"/>
        <v>0</v>
      </c>
      <c r="Q861" s="132"/>
      <c r="R861" s="71">
        <f t="shared" si="68"/>
        <v>-0.81801596249999997</v>
      </c>
    </row>
    <row r="862" spans="1:18">
      <c r="A862" s="102" t="s">
        <v>626</v>
      </c>
      <c r="B862" s="103" t="s">
        <v>1172</v>
      </c>
      <c r="C862" s="103" t="s">
        <v>1173</v>
      </c>
      <c r="D862" s="102" t="s">
        <v>1174</v>
      </c>
      <c r="E862" s="103" t="s">
        <v>156</v>
      </c>
      <c r="F862" s="102" t="s">
        <v>26</v>
      </c>
      <c r="G862" s="103" t="s">
        <v>20</v>
      </c>
      <c r="H862" s="103"/>
      <c r="I862" s="103">
        <v>201507</v>
      </c>
      <c r="J862" s="104">
        <v>-549.20000000000005</v>
      </c>
      <c r="K862" s="72">
        <f t="shared" si="69"/>
        <v>42675</v>
      </c>
      <c r="L862" s="67">
        <f t="shared" si="65"/>
        <v>6</v>
      </c>
      <c r="M862" s="105">
        <v>1.4833299999999999E-3</v>
      </c>
      <c r="N862" s="104">
        <f t="shared" si="66"/>
        <v>-4.8878690160000007</v>
      </c>
      <c r="O862" s="66"/>
      <c r="P862" s="71">
        <f t="shared" si="67"/>
        <v>0</v>
      </c>
      <c r="Q862" s="132"/>
      <c r="R862" s="71">
        <f t="shared" si="68"/>
        <v>-8.4035609166666667</v>
      </c>
    </row>
    <row r="863" spans="1:18">
      <c r="A863" s="102" t="s">
        <v>626</v>
      </c>
      <c r="B863" s="103" t="s">
        <v>1318</v>
      </c>
      <c r="C863" s="103" t="s">
        <v>1319</v>
      </c>
      <c r="D863" s="102" t="s">
        <v>1320</v>
      </c>
      <c r="E863" s="103" t="s">
        <v>1059</v>
      </c>
      <c r="F863" s="102" t="s">
        <v>26</v>
      </c>
      <c r="G863" s="103" t="s">
        <v>20</v>
      </c>
      <c r="H863" s="103"/>
      <c r="I863" s="103">
        <v>201507</v>
      </c>
      <c r="J863" s="104">
        <v>-33.4</v>
      </c>
      <c r="K863" s="72">
        <f t="shared" si="69"/>
        <v>42675</v>
      </c>
      <c r="L863" s="67">
        <f t="shared" si="65"/>
        <v>6</v>
      </c>
      <c r="M863" s="105">
        <v>1.4833299999999999E-3</v>
      </c>
      <c r="N863" s="104">
        <f t="shared" si="66"/>
        <v>-0.29725933199999999</v>
      </c>
      <c r="O863" s="66"/>
      <c r="P863" s="71">
        <f t="shared" si="67"/>
        <v>0</v>
      </c>
      <c r="Q863" s="132"/>
      <c r="R863" s="71">
        <f t="shared" si="68"/>
        <v>-0.51106870833333318</v>
      </c>
    </row>
    <row r="864" spans="1:18">
      <c r="A864" s="102" t="s">
        <v>626</v>
      </c>
      <c r="B864" s="103" t="s">
        <v>1212</v>
      </c>
      <c r="C864" s="103" t="s">
        <v>1213</v>
      </c>
      <c r="D864" s="102" t="s">
        <v>1214</v>
      </c>
      <c r="E864" s="103" t="s">
        <v>260</v>
      </c>
      <c r="F864" s="102" t="s">
        <v>26</v>
      </c>
      <c r="G864" s="103" t="s">
        <v>20</v>
      </c>
      <c r="H864" s="103"/>
      <c r="I864" s="103">
        <v>201507</v>
      </c>
      <c r="J864" s="104">
        <v>825.52</v>
      </c>
      <c r="K864" s="72">
        <f t="shared" si="69"/>
        <v>42675</v>
      </c>
      <c r="L864" s="67">
        <f t="shared" si="65"/>
        <v>6</v>
      </c>
      <c r="M864" s="105">
        <v>1.4833299999999999E-3</v>
      </c>
      <c r="N864" s="104">
        <f t="shared" si="66"/>
        <v>7.3471114895999996</v>
      </c>
      <c r="O864" s="66"/>
      <c r="P864" s="71">
        <f t="shared" si="67"/>
        <v>0</v>
      </c>
      <c r="Q864" s="132"/>
      <c r="R864" s="71">
        <f t="shared" si="68"/>
        <v>12.631659883333331</v>
      </c>
    </row>
    <row r="865" spans="1:18">
      <c r="A865" s="102" t="s">
        <v>626</v>
      </c>
      <c r="B865" s="103" t="s">
        <v>1420</v>
      </c>
      <c r="C865" s="103" t="s">
        <v>1421</v>
      </c>
      <c r="D865" s="102" t="s">
        <v>1422</v>
      </c>
      <c r="E865" s="103" t="s">
        <v>260</v>
      </c>
      <c r="F865" s="102" t="s">
        <v>26</v>
      </c>
      <c r="G865" s="103" t="s">
        <v>20</v>
      </c>
      <c r="H865" s="103"/>
      <c r="I865" s="103">
        <v>201507</v>
      </c>
      <c r="J865" s="104">
        <v>45.58</v>
      </c>
      <c r="K865" s="72">
        <f t="shared" si="69"/>
        <v>42675</v>
      </c>
      <c r="L865" s="67">
        <f t="shared" si="65"/>
        <v>6</v>
      </c>
      <c r="M865" s="105">
        <v>1.4833299999999999E-3</v>
      </c>
      <c r="N865" s="104">
        <f t="shared" si="66"/>
        <v>0.40566108839999998</v>
      </c>
      <c r="O865" s="66"/>
      <c r="P865" s="71">
        <f t="shared" si="67"/>
        <v>0</v>
      </c>
      <c r="Q865" s="132"/>
      <c r="R865" s="71">
        <f t="shared" si="68"/>
        <v>0.69744047083333327</v>
      </c>
    </row>
    <row r="866" spans="1:18">
      <c r="A866" s="102" t="s">
        <v>626</v>
      </c>
      <c r="B866" s="103" t="s">
        <v>1175</v>
      </c>
      <c r="C866" s="103" t="s">
        <v>1176</v>
      </c>
      <c r="D866" s="102" t="s">
        <v>1177</v>
      </c>
      <c r="E866" s="103" t="s">
        <v>1059</v>
      </c>
      <c r="F866" s="102" t="s">
        <v>26</v>
      </c>
      <c r="G866" s="103" t="s">
        <v>20</v>
      </c>
      <c r="H866" s="103"/>
      <c r="I866" s="103">
        <v>201507</v>
      </c>
      <c r="J866" s="104">
        <v>-8.74</v>
      </c>
      <c r="K866" s="72">
        <f t="shared" si="69"/>
        <v>42675</v>
      </c>
      <c r="L866" s="67">
        <f t="shared" si="65"/>
        <v>6</v>
      </c>
      <c r="M866" s="105">
        <v>1.4833299999999999E-3</v>
      </c>
      <c r="N866" s="104">
        <f t="shared" si="66"/>
        <v>-7.7785825200000006E-2</v>
      </c>
      <c r="O866" s="66"/>
      <c r="P866" s="71">
        <f t="shared" si="67"/>
        <v>0</v>
      </c>
      <c r="Q866" s="132"/>
      <c r="R866" s="71">
        <f t="shared" si="68"/>
        <v>-0.13373474583333333</v>
      </c>
    </row>
    <row r="867" spans="1:18">
      <c r="A867" s="102" t="s">
        <v>626</v>
      </c>
      <c r="B867" s="103" t="s">
        <v>1178</v>
      </c>
      <c r="C867" s="103" t="s">
        <v>1179</v>
      </c>
      <c r="D867" s="102" t="s">
        <v>1180</v>
      </c>
      <c r="E867" s="103" t="s">
        <v>260</v>
      </c>
      <c r="F867" s="102" t="s">
        <v>26</v>
      </c>
      <c r="G867" s="103" t="s">
        <v>20</v>
      </c>
      <c r="H867" s="103"/>
      <c r="I867" s="103">
        <v>201507</v>
      </c>
      <c r="J867" s="104">
        <v>-187.46</v>
      </c>
      <c r="K867" s="72">
        <f t="shared" si="69"/>
        <v>42675</v>
      </c>
      <c r="L867" s="67">
        <f t="shared" si="65"/>
        <v>6</v>
      </c>
      <c r="M867" s="105">
        <v>1.4833299999999999E-3</v>
      </c>
      <c r="N867" s="104">
        <f t="shared" si="66"/>
        <v>-1.6683902508000001</v>
      </c>
      <c r="O867" s="66"/>
      <c r="P867" s="71">
        <f t="shared" si="67"/>
        <v>0</v>
      </c>
      <c r="Q867" s="132"/>
      <c r="R867" s="71">
        <f t="shared" si="68"/>
        <v>-2.8684113791666666</v>
      </c>
    </row>
    <row r="868" spans="1:18">
      <c r="A868" s="102" t="s">
        <v>626</v>
      </c>
      <c r="B868" s="103" t="s">
        <v>1268</v>
      </c>
      <c r="C868" s="103" t="s">
        <v>1269</v>
      </c>
      <c r="D868" s="102" t="s">
        <v>1270</v>
      </c>
      <c r="E868" s="103" t="s">
        <v>260</v>
      </c>
      <c r="F868" s="102" t="s">
        <v>26</v>
      </c>
      <c r="G868" s="103" t="s">
        <v>20</v>
      </c>
      <c r="H868" s="103"/>
      <c r="I868" s="103">
        <v>201507</v>
      </c>
      <c r="J868" s="104">
        <v>1912.48</v>
      </c>
      <c r="K868" s="72">
        <f t="shared" si="69"/>
        <v>42675</v>
      </c>
      <c r="L868" s="67">
        <f t="shared" si="65"/>
        <v>6</v>
      </c>
      <c r="M868" s="105">
        <v>1.4833299999999999E-3</v>
      </c>
      <c r="N868" s="104">
        <f t="shared" si="66"/>
        <v>17.021033750400001</v>
      </c>
      <c r="O868" s="66"/>
      <c r="P868" s="71">
        <f t="shared" si="67"/>
        <v>0</v>
      </c>
      <c r="Q868" s="132"/>
      <c r="R868" s="71">
        <f t="shared" si="68"/>
        <v>29.263733033333331</v>
      </c>
    </row>
    <row r="869" spans="1:18">
      <c r="A869" s="102" t="s">
        <v>626</v>
      </c>
      <c r="B869" s="103" t="s">
        <v>1508</v>
      </c>
      <c r="C869" s="103" t="s">
        <v>1509</v>
      </c>
      <c r="D869" s="102" t="s">
        <v>1510</v>
      </c>
      <c r="E869" s="103" t="s">
        <v>75</v>
      </c>
      <c r="F869" s="102" t="s">
        <v>26</v>
      </c>
      <c r="G869" s="103" t="s">
        <v>20</v>
      </c>
      <c r="H869" s="103"/>
      <c r="I869" s="103">
        <v>201507</v>
      </c>
      <c r="J869" s="104">
        <v>389179.21</v>
      </c>
      <c r="K869" s="72">
        <f t="shared" si="69"/>
        <v>42675</v>
      </c>
      <c r="L869" s="67">
        <f t="shared" si="65"/>
        <v>6</v>
      </c>
      <c r="M869" s="105">
        <v>1.4833299999999999E-3</v>
      </c>
      <c r="N869" s="104">
        <f t="shared" si="66"/>
        <v>3463.6871854158003</v>
      </c>
      <c r="O869" s="66"/>
      <c r="P869" s="71">
        <f t="shared" si="67"/>
        <v>0</v>
      </c>
      <c r="Q869" s="132"/>
      <c r="R869" s="71">
        <f t="shared" si="68"/>
        <v>5955.0094660145833</v>
      </c>
    </row>
    <row r="870" spans="1:18">
      <c r="A870" s="102" t="s">
        <v>626</v>
      </c>
      <c r="B870" s="103" t="s">
        <v>1271</v>
      </c>
      <c r="C870" s="103" t="s">
        <v>1272</v>
      </c>
      <c r="D870" s="102" t="s">
        <v>1273</v>
      </c>
      <c r="E870" s="103" t="s">
        <v>75</v>
      </c>
      <c r="F870" s="102" t="s">
        <v>26</v>
      </c>
      <c r="G870" s="103" t="s">
        <v>20</v>
      </c>
      <c r="H870" s="103"/>
      <c r="I870" s="103">
        <v>201507</v>
      </c>
      <c r="J870" s="104">
        <v>-294.20999999999998</v>
      </c>
      <c r="K870" s="72">
        <f t="shared" si="69"/>
        <v>42675</v>
      </c>
      <c r="L870" s="67">
        <f t="shared" si="65"/>
        <v>6</v>
      </c>
      <c r="M870" s="105">
        <v>1.4833299999999999E-3</v>
      </c>
      <c r="N870" s="104">
        <f t="shared" si="66"/>
        <v>-2.6184631158</v>
      </c>
      <c r="O870" s="66"/>
      <c r="P870" s="71">
        <f t="shared" si="67"/>
        <v>0</v>
      </c>
      <c r="Q870" s="132"/>
      <c r="R870" s="71">
        <f t="shared" si="68"/>
        <v>-4.5018420562499992</v>
      </c>
    </row>
    <row r="871" spans="1:18">
      <c r="A871" s="102" t="s">
        <v>626</v>
      </c>
      <c r="B871" s="103" t="s">
        <v>1218</v>
      </c>
      <c r="C871" s="103" t="s">
        <v>1219</v>
      </c>
      <c r="D871" s="102" t="s">
        <v>1220</v>
      </c>
      <c r="E871" s="103" t="s">
        <v>809</v>
      </c>
      <c r="F871" s="102" t="s">
        <v>26</v>
      </c>
      <c r="G871" s="103" t="s">
        <v>20</v>
      </c>
      <c r="H871" s="103"/>
      <c r="I871" s="103">
        <v>201507</v>
      </c>
      <c r="J871" s="104">
        <v>-41.66</v>
      </c>
      <c r="K871" s="72">
        <f t="shared" si="69"/>
        <v>42675</v>
      </c>
      <c r="L871" s="67">
        <f t="shared" si="65"/>
        <v>6</v>
      </c>
      <c r="M871" s="105">
        <v>1.4833299999999999E-3</v>
      </c>
      <c r="N871" s="104">
        <f t="shared" si="66"/>
        <v>-0.3707731668</v>
      </c>
      <c r="O871" s="66"/>
      <c r="P871" s="71">
        <f t="shared" si="67"/>
        <v>0</v>
      </c>
      <c r="Q871" s="132"/>
      <c r="R871" s="71">
        <f t="shared" si="68"/>
        <v>-0.63745875416666653</v>
      </c>
    </row>
    <row r="872" spans="1:18">
      <c r="A872" s="102" t="s">
        <v>626</v>
      </c>
      <c r="B872" s="103" t="s">
        <v>1423</v>
      </c>
      <c r="C872" s="103" t="s">
        <v>1424</v>
      </c>
      <c r="D872" s="102" t="s">
        <v>1425</v>
      </c>
      <c r="E872" s="103" t="s">
        <v>75</v>
      </c>
      <c r="F872" s="102" t="s">
        <v>26</v>
      </c>
      <c r="G872" s="103" t="s">
        <v>20</v>
      </c>
      <c r="H872" s="103"/>
      <c r="I872" s="103">
        <v>201507</v>
      </c>
      <c r="J872" s="104">
        <v>-9611.41</v>
      </c>
      <c r="K872" s="72">
        <f t="shared" si="69"/>
        <v>42675</v>
      </c>
      <c r="L872" s="67">
        <f t="shared" si="65"/>
        <v>6</v>
      </c>
      <c r="M872" s="105">
        <v>1.4833299999999999E-3</v>
      </c>
      <c r="N872" s="104">
        <f t="shared" si="66"/>
        <v>-85.541356771799997</v>
      </c>
      <c r="O872" s="66"/>
      <c r="P872" s="71">
        <f t="shared" si="67"/>
        <v>0</v>
      </c>
      <c r="Q872" s="132"/>
      <c r="R872" s="71">
        <f t="shared" si="68"/>
        <v>-147.06858963958331</v>
      </c>
    </row>
    <row r="873" spans="1:18">
      <c r="A873" s="102" t="s">
        <v>626</v>
      </c>
      <c r="B873" s="103" t="s">
        <v>1357</v>
      </c>
      <c r="C873" s="103" t="s">
        <v>1358</v>
      </c>
      <c r="D873" s="102" t="s">
        <v>1359</v>
      </c>
      <c r="E873" s="103" t="s">
        <v>75</v>
      </c>
      <c r="F873" s="102" t="s">
        <v>26</v>
      </c>
      <c r="G873" s="103" t="s">
        <v>20</v>
      </c>
      <c r="H873" s="103"/>
      <c r="I873" s="103">
        <v>201507</v>
      </c>
      <c r="J873" s="104">
        <v>-645.24</v>
      </c>
      <c r="K873" s="72">
        <f t="shared" si="69"/>
        <v>42675</v>
      </c>
      <c r="L873" s="67">
        <f t="shared" si="65"/>
        <v>6</v>
      </c>
      <c r="M873" s="105">
        <v>1.4833299999999999E-3</v>
      </c>
      <c r="N873" s="104">
        <f t="shared" si="66"/>
        <v>-5.7426230951999999</v>
      </c>
      <c r="O873" s="66"/>
      <c r="P873" s="71">
        <f t="shared" si="67"/>
        <v>0</v>
      </c>
      <c r="Q873" s="132"/>
      <c r="R873" s="71">
        <f t="shared" si="68"/>
        <v>-9.8731129749999997</v>
      </c>
    </row>
    <row r="874" spans="1:18">
      <c r="A874" s="102" t="s">
        <v>626</v>
      </c>
      <c r="B874" s="103" t="s">
        <v>1360</v>
      </c>
      <c r="C874" s="103" t="s">
        <v>1361</v>
      </c>
      <c r="D874" s="102" t="s">
        <v>1362</v>
      </c>
      <c r="E874" s="103" t="s">
        <v>75</v>
      </c>
      <c r="F874" s="102" t="s">
        <v>26</v>
      </c>
      <c r="G874" s="103" t="s">
        <v>20</v>
      </c>
      <c r="H874" s="103"/>
      <c r="I874" s="103">
        <v>201507</v>
      </c>
      <c r="J874" s="104">
        <v>-2301.9299999999998</v>
      </c>
      <c r="K874" s="72">
        <f t="shared" si="69"/>
        <v>42675</v>
      </c>
      <c r="L874" s="67">
        <f t="shared" si="65"/>
        <v>6</v>
      </c>
      <c r="M874" s="105">
        <v>1.4833299999999999E-3</v>
      </c>
      <c r="N874" s="104">
        <f t="shared" si="66"/>
        <v>-20.487130961399998</v>
      </c>
      <c r="O874" s="66"/>
      <c r="P874" s="71">
        <f t="shared" si="67"/>
        <v>0</v>
      </c>
      <c r="Q874" s="132"/>
      <c r="R874" s="71">
        <f t="shared" si="68"/>
        <v>-35.222885981249995</v>
      </c>
    </row>
    <row r="875" spans="1:18">
      <c r="A875" s="102" t="s">
        <v>626</v>
      </c>
      <c r="B875" s="103" t="s">
        <v>1327</v>
      </c>
      <c r="C875" s="103" t="s">
        <v>1328</v>
      </c>
      <c r="D875" s="102" t="s">
        <v>1329</v>
      </c>
      <c r="E875" s="103" t="s">
        <v>75</v>
      </c>
      <c r="F875" s="102" t="s">
        <v>26</v>
      </c>
      <c r="G875" s="103" t="s">
        <v>20</v>
      </c>
      <c r="H875" s="103"/>
      <c r="I875" s="103">
        <v>201507</v>
      </c>
      <c r="J875" s="104">
        <v>-576.6</v>
      </c>
      <c r="K875" s="72">
        <f t="shared" si="69"/>
        <v>42675</v>
      </c>
      <c r="L875" s="67">
        <f t="shared" si="65"/>
        <v>6</v>
      </c>
      <c r="M875" s="105">
        <v>1.4833299999999999E-3</v>
      </c>
      <c r="N875" s="104">
        <f t="shared" si="66"/>
        <v>-5.1317284680000004</v>
      </c>
      <c r="O875" s="66"/>
      <c r="P875" s="71">
        <f t="shared" si="67"/>
        <v>0</v>
      </c>
      <c r="Q875" s="132"/>
      <c r="R875" s="71">
        <f t="shared" si="68"/>
        <v>-8.8228208749999997</v>
      </c>
    </row>
    <row r="876" spans="1:18">
      <c r="A876" s="102" t="s">
        <v>626</v>
      </c>
      <c r="B876" s="103" t="s">
        <v>1426</v>
      </c>
      <c r="C876" s="103" t="s">
        <v>1427</v>
      </c>
      <c r="D876" s="102" t="s">
        <v>1428</v>
      </c>
      <c r="E876" s="103" t="s">
        <v>75</v>
      </c>
      <c r="F876" s="102" t="s">
        <v>26</v>
      </c>
      <c r="G876" s="103" t="s">
        <v>20</v>
      </c>
      <c r="H876" s="103"/>
      <c r="I876" s="103">
        <v>201507</v>
      </c>
      <c r="J876" s="104">
        <v>7853.82</v>
      </c>
      <c r="K876" s="72">
        <f t="shared" si="69"/>
        <v>42675</v>
      </c>
      <c r="L876" s="67">
        <f t="shared" si="65"/>
        <v>6</v>
      </c>
      <c r="M876" s="105">
        <v>1.4833299999999999E-3</v>
      </c>
      <c r="N876" s="104">
        <f t="shared" si="66"/>
        <v>69.898840923599991</v>
      </c>
      <c r="O876" s="66"/>
      <c r="P876" s="71">
        <f t="shared" si="67"/>
        <v>0</v>
      </c>
      <c r="Q876" s="132"/>
      <c r="R876" s="71">
        <f t="shared" si="68"/>
        <v>120.17489948749997</v>
      </c>
    </row>
    <row r="877" spans="1:18">
      <c r="A877" s="106" t="s">
        <v>626</v>
      </c>
      <c r="B877" s="103" t="s">
        <v>1511</v>
      </c>
      <c r="C877" s="103" t="s">
        <v>1512</v>
      </c>
      <c r="D877" s="102" t="s">
        <v>1513</v>
      </c>
      <c r="E877" s="103" t="s">
        <v>260</v>
      </c>
      <c r="F877" s="102" t="s">
        <v>26</v>
      </c>
      <c r="G877" s="103" t="s">
        <v>20</v>
      </c>
      <c r="H877" s="103"/>
      <c r="I877" s="103">
        <v>201507</v>
      </c>
      <c r="J877" s="104">
        <v>224057.17</v>
      </c>
      <c r="K877" s="72">
        <f t="shared" si="69"/>
        <v>42675</v>
      </c>
      <c r="L877" s="67">
        <f t="shared" si="65"/>
        <v>6</v>
      </c>
      <c r="M877" s="105">
        <v>1.4833299999999999E-3</v>
      </c>
      <c r="N877" s="104">
        <f t="shared" si="66"/>
        <v>1994.1043318566001</v>
      </c>
      <c r="O877" s="66"/>
      <c r="P877" s="71">
        <f t="shared" si="67"/>
        <v>0</v>
      </c>
      <c r="Q877" s="132"/>
      <c r="R877" s="71">
        <f t="shared" si="68"/>
        <v>3428.4014510395832</v>
      </c>
    </row>
    <row r="878" spans="1:18">
      <c r="A878" s="106" t="s">
        <v>626</v>
      </c>
      <c r="B878" s="103" t="s">
        <v>1227</v>
      </c>
      <c r="C878" s="103" t="s">
        <v>1228</v>
      </c>
      <c r="D878" s="102" t="s">
        <v>1229</v>
      </c>
      <c r="E878" s="103" t="s">
        <v>280</v>
      </c>
      <c r="F878" s="102" t="s">
        <v>26</v>
      </c>
      <c r="G878" s="103" t="s">
        <v>20</v>
      </c>
      <c r="H878" s="103"/>
      <c r="I878" s="103">
        <v>201507</v>
      </c>
      <c r="J878" s="104">
        <v>-235.9</v>
      </c>
      <c r="K878" s="72">
        <f t="shared" si="69"/>
        <v>42675</v>
      </c>
      <c r="L878" s="67">
        <f t="shared" si="65"/>
        <v>6</v>
      </c>
      <c r="M878" s="105">
        <v>1.4833299999999999E-3</v>
      </c>
      <c r="N878" s="104">
        <f t="shared" si="66"/>
        <v>-2.099505282</v>
      </c>
      <c r="O878" s="66"/>
      <c r="P878" s="71">
        <f t="shared" si="67"/>
        <v>0</v>
      </c>
      <c r="Q878" s="132"/>
      <c r="R878" s="71">
        <f t="shared" si="68"/>
        <v>-3.6096140208333329</v>
      </c>
    </row>
    <row r="879" spans="1:18">
      <c r="A879" s="106" t="s">
        <v>626</v>
      </c>
      <c r="B879" s="103" t="s">
        <v>1514</v>
      </c>
      <c r="C879" s="103" t="s">
        <v>1515</v>
      </c>
      <c r="D879" s="102" t="s">
        <v>1516</v>
      </c>
      <c r="E879" s="103" t="s">
        <v>809</v>
      </c>
      <c r="F879" s="102" t="s">
        <v>26</v>
      </c>
      <c r="G879" s="103" t="s">
        <v>20</v>
      </c>
      <c r="H879" s="103"/>
      <c r="I879" s="103">
        <v>201507</v>
      </c>
      <c r="J879" s="104">
        <v>102994.48</v>
      </c>
      <c r="K879" s="72">
        <f t="shared" si="69"/>
        <v>42675</v>
      </c>
      <c r="L879" s="67">
        <f t="shared" si="65"/>
        <v>6</v>
      </c>
      <c r="M879" s="105">
        <v>1.4833299999999999E-3</v>
      </c>
      <c r="N879" s="104">
        <f t="shared" si="66"/>
        <v>916.64881211039994</v>
      </c>
      <c r="O879" s="66"/>
      <c r="P879" s="71">
        <f t="shared" si="67"/>
        <v>0</v>
      </c>
      <c r="Q879" s="132"/>
      <c r="R879" s="71">
        <f t="shared" si="68"/>
        <v>1575.9657442833332</v>
      </c>
    </row>
    <row r="880" spans="1:18">
      <c r="A880" s="106" t="s">
        <v>626</v>
      </c>
      <c r="B880" s="103" t="s">
        <v>1473</v>
      </c>
      <c r="C880" s="103" t="s">
        <v>1474</v>
      </c>
      <c r="D880" s="102" t="s">
        <v>1475</v>
      </c>
      <c r="E880" s="103" t="s">
        <v>1059</v>
      </c>
      <c r="F880" s="102" t="s">
        <v>26</v>
      </c>
      <c r="G880" s="103" t="s">
        <v>20</v>
      </c>
      <c r="H880" s="103"/>
      <c r="I880" s="103">
        <v>201507</v>
      </c>
      <c r="J880" s="104">
        <v>259.89</v>
      </c>
      <c r="K880" s="72">
        <f t="shared" si="69"/>
        <v>42675</v>
      </c>
      <c r="L880" s="67">
        <f t="shared" si="65"/>
        <v>6</v>
      </c>
      <c r="M880" s="105">
        <v>1.4833299999999999E-3</v>
      </c>
      <c r="N880" s="104">
        <f t="shared" si="66"/>
        <v>2.3130158021999998</v>
      </c>
      <c r="O880" s="66"/>
      <c r="P880" s="71">
        <f t="shared" si="67"/>
        <v>0</v>
      </c>
      <c r="Q880" s="132"/>
      <c r="R880" s="71">
        <f t="shared" si="68"/>
        <v>3.9766960062499992</v>
      </c>
    </row>
    <row r="881" spans="1:18">
      <c r="A881" s="106" t="s">
        <v>21</v>
      </c>
      <c r="B881" s="103" t="s">
        <v>1309</v>
      </c>
      <c r="C881" s="103" t="s">
        <v>1310</v>
      </c>
      <c r="D881" s="102" t="s">
        <v>1311</v>
      </c>
      <c r="E881" s="103" t="s">
        <v>79</v>
      </c>
      <c r="F881" s="102" t="s">
        <v>26</v>
      </c>
      <c r="G881" s="103" t="s">
        <v>20</v>
      </c>
      <c r="H881" s="103"/>
      <c r="I881" s="103">
        <v>201507</v>
      </c>
      <c r="J881" s="104">
        <v>-77.61</v>
      </c>
      <c r="K881" s="72">
        <f t="shared" si="69"/>
        <v>42675</v>
      </c>
      <c r="L881" s="67">
        <f t="shared" si="65"/>
        <v>6</v>
      </c>
      <c r="M881" s="105">
        <v>1.4833299999999999E-3</v>
      </c>
      <c r="N881" s="104">
        <f t="shared" si="66"/>
        <v>-0.69072744779999995</v>
      </c>
      <c r="O881" s="66"/>
      <c r="P881" s="71">
        <f t="shared" si="67"/>
        <v>0</v>
      </c>
      <c r="Q881" s="132"/>
      <c r="R881" s="71">
        <f t="shared" si="68"/>
        <v>-1.1875461812499999</v>
      </c>
    </row>
    <row r="882" spans="1:18">
      <c r="A882" s="106" t="s">
        <v>626</v>
      </c>
      <c r="B882" s="103" t="s">
        <v>1363</v>
      </c>
      <c r="C882" s="103" t="s">
        <v>1364</v>
      </c>
      <c r="D882" s="102" t="s">
        <v>1365</v>
      </c>
      <c r="E882" s="103" t="s">
        <v>497</v>
      </c>
      <c r="F882" s="102" t="s">
        <v>26</v>
      </c>
      <c r="G882" s="103" t="s">
        <v>20</v>
      </c>
      <c r="H882" s="103"/>
      <c r="I882" s="103">
        <v>201507</v>
      </c>
      <c r="J882" s="104">
        <v>-36.78</v>
      </c>
      <c r="K882" s="72">
        <f t="shared" si="69"/>
        <v>42675</v>
      </c>
      <c r="L882" s="67">
        <f t="shared" si="65"/>
        <v>6</v>
      </c>
      <c r="M882" s="105">
        <v>1.4833299999999999E-3</v>
      </c>
      <c r="N882" s="104">
        <f t="shared" si="66"/>
        <v>-0.3273412644</v>
      </c>
      <c r="O882" s="66"/>
      <c r="P882" s="71">
        <f t="shared" si="67"/>
        <v>0</v>
      </c>
      <c r="Q882" s="132"/>
      <c r="R882" s="71">
        <f t="shared" si="68"/>
        <v>-0.56278763749999994</v>
      </c>
    </row>
    <row r="883" spans="1:18">
      <c r="A883" s="106" t="s">
        <v>626</v>
      </c>
      <c r="B883" s="103" t="s">
        <v>1476</v>
      </c>
      <c r="C883" s="103" t="s">
        <v>1477</v>
      </c>
      <c r="D883" s="102" t="s">
        <v>1478</v>
      </c>
      <c r="E883" s="103" t="s">
        <v>531</v>
      </c>
      <c r="F883" s="102" t="s">
        <v>26</v>
      </c>
      <c r="G883" s="103" t="s">
        <v>20</v>
      </c>
      <c r="H883" s="103"/>
      <c r="I883" s="103">
        <v>201507</v>
      </c>
      <c r="J883" s="104">
        <v>-123.53</v>
      </c>
      <c r="K883" s="72">
        <f t="shared" si="69"/>
        <v>42675</v>
      </c>
      <c r="L883" s="67">
        <f t="shared" si="65"/>
        <v>6</v>
      </c>
      <c r="M883" s="105">
        <v>1.4833299999999999E-3</v>
      </c>
      <c r="N883" s="104">
        <f t="shared" si="66"/>
        <v>-1.0994145294</v>
      </c>
      <c r="O883" s="66"/>
      <c r="P883" s="71">
        <f t="shared" si="67"/>
        <v>0</v>
      </c>
      <c r="Q883" s="132"/>
      <c r="R883" s="71">
        <f t="shared" si="68"/>
        <v>-1.8901891479166666</v>
      </c>
    </row>
    <row r="884" spans="1:18">
      <c r="A884" s="102" t="s">
        <v>626</v>
      </c>
      <c r="B884" s="103" t="s">
        <v>1517</v>
      </c>
      <c r="C884" s="103" t="s">
        <v>1518</v>
      </c>
      <c r="D884" s="102" t="s">
        <v>1211</v>
      </c>
      <c r="E884" s="103" t="s">
        <v>280</v>
      </c>
      <c r="F884" s="102" t="s">
        <v>26</v>
      </c>
      <c r="G884" s="103" t="s">
        <v>20</v>
      </c>
      <c r="H884" s="103"/>
      <c r="I884" s="103">
        <v>201507</v>
      </c>
      <c r="J884" s="104">
        <v>247316.43</v>
      </c>
      <c r="K884" s="72">
        <f t="shared" si="69"/>
        <v>42675</v>
      </c>
      <c r="L884" s="67">
        <f t="shared" si="65"/>
        <v>6</v>
      </c>
      <c r="M884" s="105">
        <v>1.4833299999999999E-3</v>
      </c>
      <c r="N884" s="104">
        <f t="shared" si="66"/>
        <v>2201.1112806714</v>
      </c>
      <c r="O884" s="66"/>
      <c r="P884" s="71">
        <f t="shared" si="67"/>
        <v>0</v>
      </c>
      <c r="Q884" s="132"/>
      <c r="R884" s="71">
        <f t="shared" si="68"/>
        <v>3784.3020487937497</v>
      </c>
    </row>
    <row r="885" spans="1:18">
      <c r="A885" s="102" t="s">
        <v>626</v>
      </c>
      <c r="B885" s="103" t="s">
        <v>1479</v>
      </c>
      <c r="C885" s="103" t="s">
        <v>1480</v>
      </c>
      <c r="D885" s="102" t="s">
        <v>1481</v>
      </c>
      <c r="E885" s="103" t="s">
        <v>1059</v>
      </c>
      <c r="F885" s="102" t="s">
        <v>26</v>
      </c>
      <c r="G885" s="103" t="s">
        <v>20</v>
      </c>
      <c r="H885" s="103"/>
      <c r="I885" s="103">
        <v>201507</v>
      </c>
      <c r="J885" s="104">
        <v>916.47</v>
      </c>
      <c r="K885" s="72">
        <f t="shared" si="69"/>
        <v>42675</v>
      </c>
      <c r="L885" s="67">
        <f t="shared" si="65"/>
        <v>6</v>
      </c>
      <c r="M885" s="105">
        <v>1.4833299999999999E-3</v>
      </c>
      <c r="N885" s="104">
        <f t="shared" si="66"/>
        <v>8.1565646705999999</v>
      </c>
      <c r="O885" s="66"/>
      <c r="P885" s="71">
        <f t="shared" si="67"/>
        <v>0</v>
      </c>
      <c r="Q885" s="132"/>
      <c r="R885" s="71">
        <f t="shared" si="68"/>
        <v>14.023327518749998</v>
      </c>
    </row>
    <row r="886" spans="1:18">
      <c r="A886" s="102" t="s">
        <v>626</v>
      </c>
      <c r="B886" s="103" t="s">
        <v>1336</v>
      </c>
      <c r="C886" s="103" t="s">
        <v>1337</v>
      </c>
      <c r="D886" s="102" t="s">
        <v>1338</v>
      </c>
      <c r="E886" s="103" t="s">
        <v>75</v>
      </c>
      <c r="F886" s="102" t="s">
        <v>26</v>
      </c>
      <c r="G886" s="103" t="s">
        <v>20</v>
      </c>
      <c r="H886" s="103"/>
      <c r="I886" s="103">
        <v>201507</v>
      </c>
      <c r="J886" s="104">
        <v>-194.48</v>
      </c>
      <c r="K886" s="72">
        <f t="shared" si="69"/>
        <v>42675</v>
      </c>
      <c r="L886" s="67">
        <f t="shared" si="65"/>
        <v>6</v>
      </c>
      <c r="M886" s="105">
        <v>1.4833299999999999E-3</v>
      </c>
      <c r="N886" s="104">
        <f t="shared" si="66"/>
        <v>-1.7308681103999999</v>
      </c>
      <c r="O886" s="66"/>
      <c r="P886" s="71">
        <f t="shared" si="67"/>
        <v>0</v>
      </c>
      <c r="Q886" s="132"/>
      <c r="R886" s="71">
        <f t="shared" si="68"/>
        <v>-2.975827616666666</v>
      </c>
    </row>
    <row r="887" spans="1:18">
      <c r="A887" s="102" t="s">
        <v>626</v>
      </c>
      <c r="B887" s="103" t="s">
        <v>1283</v>
      </c>
      <c r="C887" s="103" t="s">
        <v>1284</v>
      </c>
      <c r="D887" s="102" t="s">
        <v>1285</v>
      </c>
      <c r="E887" s="103" t="s">
        <v>809</v>
      </c>
      <c r="F887" s="102" t="s">
        <v>26</v>
      </c>
      <c r="G887" s="103" t="s">
        <v>20</v>
      </c>
      <c r="H887" s="103"/>
      <c r="I887" s="103">
        <v>201507</v>
      </c>
      <c r="J887" s="104">
        <v>-113.13</v>
      </c>
      <c r="K887" s="72">
        <f t="shared" si="69"/>
        <v>42675</v>
      </c>
      <c r="L887" s="67">
        <f t="shared" si="65"/>
        <v>6</v>
      </c>
      <c r="M887" s="105">
        <v>1.4833299999999999E-3</v>
      </c>
      <c r="N887" s="104">
        <f t="shared" si="66"/>
        <v>-1.0068547373999999</v>
      </c>
      <c r="O887" s="66"/>
      <c r="P887" s="71">
        <f t="shared" si="67"/>
        <v>0</v>
      </c>
      <c r="Q887" s="132"/>
      <c r="R887" s="71">
        <f t="shared" si="68"/>
        <v>-1.7310539812499997</v>
      </c>
    </row>
    <row r="888" spans="1:18">
      <c r="A888" s="102" t="s">
        <v>21</v>
      </c>
      <c r="B888" s="103" t="s">
        <v>1354</v>
      </c>
      <c r="C888" s="103" t="s">
        <v>1355</v>
      </c>
      <c r="D888" s="102" t="s">
        <v>1356</v>
      </c>
      <c r="E888" s="103" t="s">
        <v>75</v>
      </c>
      <c r="F888" s="102" t="s">
        <v>26</v>
      </c>
      <c r="G888" s="103" t="s">
        <v>20</v>
      </c>
      <c r="H888" s="103"/>
      <c r="I888" s="103">
        <v>201507</v>
      </c>
      <c r="J888" s="104">
        <v>-259.08</v>
      </c>
      <c r="K888" s="72">
        <f t="shared" si="69"/>
        <v>42675</v>
      </c>
      <c r="L888" s="67">
        <f t="shared" si="65"/>
        <v>6</v>
      </c>
      <c r="M888" s="105">
        <v>1.4833299999999999E-3</v>
      </c>
      <c r="N888" s="104">
        <f t="shared" si="66"/>
        <v>-2.3058068183999998</v>
      </c>
      <c r="O888" s="66"/>
      <c r="P888" s="71">
        <f t="shared" si="67"/>
        <v>0</v>
      </c>
      <c r="Q888" s="132"/>
      <c r="R888" s="71">
        <f t="shared" si="68"/>
        <v>-3.9643018249999993</v>
      </c>
    </row>
    <row r="889" spans="1:18">
      <c r="A889" s="102" t="s">
        <v>626</v>
      </c>
      <c r="B889" s="103" t="s">
        <v>1519</v>
      </c>
      <c r="C889" s="103" t="s">
        <v>1520</v>
      </c>
      <c r="D889" s="102" t="s">
        <v>1521</v>
      </c>
      <c r="E889" s="103" t="s">
        <v>75</v>
      </c>
      <c r="F889" s="102" t="s">
        <v>26</v>
      </c>
      <c r="G889" s="103" t="s">
        <v>20</v>
      </c>
      <c r="H889" s="103"/>
      <c r="I889" s="103">
        <v>201507</v>
      </c>
      <c r="J889" s="104">
        <v>95197.46</v>
      </c>
      <c r="K889" s="72">
        <f t="shared" si="69"/>
        <v>42675</v>
      </c>
      <c r="L889" s="67">
        <f t="shared" si="65"/>
        <v>6</v>
      </c>
      <c r="M889" s="105">
        <v>1.4833299999999999E-3</v>
      </c>
      <c r="N889" s="104">
        <f t="shared" si="66"/>
        <v>847.25549005080006</v>
      </c>
      <c r="O889" s="66"/>
      <c r="P889" s="71">
        <f t="shared" si="67"/>
        <v>0</v>
      </c>
      <c r="Q889" s="132"/>
      <c r="R889" s="71">
        <f t="shared" si="68"/>
        <v>1456.6599676291667</v>
      </c>
    </row>
    <row r="890" spans="1:18">
      <c r="A890" s="102" t="s">
        <v>626</v>
      </c>
      <c r="B890" s="103" t="s">
        <v>1432</v>
      </c>
      <c r="C890" s="103" t="s">
        <v>1433</v>
      </c>
      <c r="D890" s="102" t="s">
        <v>1434</v>
      </c>
      <c r="E890" s="103" t="s">
        <v>497</v>
      </c>
      <c r="F890" s="102" t="s">
        <v>26</v>
      </c>
      <c r="G890" s="103" t="s">
        <v>20</v>
      </c>
      <c r="H890" s="103"/>
      <c r="I890" s="103">
        <v>201507</v>
      </c>
      <c r="J890" s="104">
        <v>13579.06</v>
      </c>
      <c r="K890" s="72">
        <f t="shared" si="69"/>
        <v>42675</v>
      </c>
      <c r="L890" s="67">
        <f t="shared" si="65"/>
        <v>6</v>
      </c>
      <c r="M890" s="105">
        <v>1.4833299999999999E-3</v>
      </c>
      <c r="N890" s="104">
        <f t="shared" si="66"/>
        <v>120.85336241879999</v>
      </c>
      <c r="O890" s="66"/>
      <c r="P890" s="71">
        <f t="shared" si="67"/>
        <v>0</v>
      </c>
      <c r="Q890" s="132"/>
      <c r="R890" s="71">
        <f t="shared" si="68"/>
        <v>207.77942079583329</v>
      </c>
    </row>
    <row r="891" spans="1:18">
      <c r="A891" s="102" t="s">
        <v>626</v>
      </c>
      <c r="B891" s="103" t="s">
        <v>1482</v>
      </c>
      <c r="C891" s="103" t="s">
        <v>1483</v>
      </c>
      <c r="D891" s="102" t="s">
        <v>1484</v>
      </c>
      <c r="E891" s="103" t="s">
        <v>75</v>
      </c>
      <c r="F891" s="102" t="s">
        <v>26</v>
      </c>
      <c r="G891" s="103" t="s">
        <v>20</v>
      </c>
      <c r="H891" s="103"/>
      <c r="I891" s="103">
        <v>201507</v>
      </c>
      <c r="J891" s="104">
        <v>759.6</v>
      </c>
      <c r="K891" s="72">
        <f t="shared" si="69"/>
        <v>42675</v>
      </c>
      <c r="L891" s="67">
        <f t="shared" si="65"/>
        <v>6</v>
      </c>
      <c r="M891" s="105">
        <v>1.4833299999999999E-3</v>
      </c>
      <c r="N891" s="104">
        <f t="shared" si="66"/>
        <v>6.7604248080000007</v>
      </c>
      <c r="O891" s="66"/>
      <c r="P891" s="71">
        <f t="shared" si="67"/>
        <v>0</v>
      </c>
      <c r="Q891" s="132"/>
      <c r="R891" s="71">
        <f t="shared" si="68"/>
        <v>11.622987749999998</v>
      </c>
    </row>
    <row r="892" spans="1:18">
      <c r="A892" s="106" t="s">
        <v>626</v>
      </c>
      <c r="B892" s="103" t="s">
        <v>1522</v>
      </c>
      <c r="C892" s="103" t="s">
        <v>1523</v>
      </c>
      <c r="D892" s="102" t="s">
        <v>1524</v>
      </c>
      <c r="E892" s="103" t="s">
        <v>75</v>
      </c>
      <c r="F892" s="102" t="s">
        <v>26</v>
      </c>
      <c r="G892" s="103" t="s">
        <v>20</v>
      </c>
      <c r="H892" s="103"/>
      <c r="I892" s="103">
        <v>201507</v>
      </c>
      <c r="J892" s="104">
        <v>208915.7</v>
      </c>
      <c r="K892" s="72">
        <f t="shared" si="69"/>
        <v>42675</v>
      </c>
      <c r="L892" s="67">
        <f t="shared" si="65"/>
        <v>6</v>
      </c>
      <c r="M892" s="105">
        <v>1.4833299999999999E-3</v>
      </c>
      <c r="N892" s="104">
        <f t="shared" si="66"/>
        <v>1859.3455516860001</v>
      </c>
      <c r="O892" s="66"/>
      <c r="P892" s="71">
        <f t="shared" si="67"/>
        <v>0</v>
      </c>
      <c r="Q892" s="132"/>
      <c r="R892" s="71">
        <f t="shared" si="68"/>
        <v>3196.7148787291662</v>
      </c>
    </row>
    <row r="893" spans="1:18">
      <c r="A893" s="106" t="s">
        <v>626</v>
      </c>
      <c r="B893" s="103" t="s">
        <v>1435</v>
      </c>
      <c r="C893" s="103" t="s">
        <v>1436</v>
      </c>
      <c r="D893" s="102" t="s">
        <v>1437</v>
      </c>
      <c r="E893" s="103" t="s">
        <v>75</v>
      </c>
      <c r="F893" s="102" t="s">
        <v>26</v>
      </c>
      <c r="G893" s="103" t="s">
        <v>20</v>
      </c>
      <c r="H893" s="103"/>
      <c r="I893" s="103">
        <v>201507</v>
      </c>
      <c r="J893" s="104">
        <v>-1.01</v>
      </c>
      <c r="K893" s="72">
        <f t="shared" si="69"/>
        <v>42675</v>
      </c>
      <c r="L893" s="67">
        <f t="shared" si="65"/>
        <v>6</v>
      </c>
      <c r="M893" s="105">
        <v>1.4833299999999999E-3</v>
      </c>
      <c r="N893" s="104">
        <f t="shared" si="66"/>
        <v>-8.9889797999999996E-3</v>
      </c>
      <c r="O893" s="66"/>
      <c r="P893" s="71">
        <f t="shared" si="67"/>
        <v>0</v>
      </c>
      <c r="Q893" s="132"/>
      <c r="R893" s="71">
        <f t="shared" si="68"/>
        <v>-1.5454472916666667E-2</v>
      </c>
    </row>
    <row r="894" spans="1:18">
      <c r="A894" s="102" t="s">
        <v>626</v>
      </c>
      <c r="B894" s="103" t="s">
        <v>1369</v>
      </c>
      <c r="C894" s="103" t="s">
        <v>1370</v>
      </c>
      <c r="D894" s="102" t="s">
        <v>1371</v>
      </c>
      <c r="E894" s="103" t="s">
        <v>809</v>
      </c>
      <c r="F894" s="102" t="s">
        <v>26</v>
      </c>
      <c r="G894" s="103" t="s">
        <v>20</v>
      </c>
      <c r="H894" s="103"/>
      <c r="I894" s="103">
        <v>201507</v>
      </c>
      <c r="J894" s="104">
        <v>-1085.3699999999999</v>
      </c>
      <c r="K894" s="72">
        <f t="shared" si="69"/>
        <v>42675</v>
      </c>
      <c r="L894" s="67">
        <f t="shared" si="65"/>
        <v>6</v>
      </c>
      <c r="M894" s="105">
        <v>1.4833299999999999E-3</v>
      </c>
      <c r="N894" s="104">
        <f t="shared" si="66"/>
        <v>-9.6597712925999986</v>
      </c>
      <c r="O894" s="66"/>
      <c r="P894" s="71">
        <f t="shared" si="67"/>
        <v>0</v>
      </c>
      <c r="Q894" s="132"/>
      <c r="R894" s="71">
        <f t="shared" si="68"/>
        <v>-16.607743831249994</v>
      </c>
    </row>
    <row r="895" spans="1:18">
      <c r="A895" s="102" t="s">
        <v>626</v>
      </c>
      <c r="B895" s="103" t="s">
        <v>1372</v>
      </c>
      <c r="C895" s="103" t="s">
        <v>1373</v>
      </c>
      <c r="D895" s="102" t="s">
        <v>1374</v>
      </c>
      <c r="E895" s="103" t="s">
        <v>497</v>
      </c>
      <c r="F895" s="102" t="s">
        <v>26</v>
      </c>
      <c r="G895" s="103" t="s">
        <v>20</v>
      </c>
      <c r="H895" s="103"/>
      <c r="I895" s="103">
        <v>201507</v>
      </c>
      <c r="J895" s="104">
        <v>-68.62</v>
      </c>
      <c r="K895" s="72">
        <f t="shared" si="69"/>
        <v>42675</v>
      </c>
      <c r="L895" s="67">
        <f t="shared" si="65"/>
        <v>6</v>
      </c>
      <c r="M895" s="105">
        <v>1.4833299999999999E-3</v>
      </c>
      <c r="N895" s="104">
        <f t="shared" si="66"/>
        <v>-0.61071662760000001</v>
      </c>
      <c r="O895" s="66"/>
      <c r="P895" s="71">
        <f t="shared" si="67"/>
        <v>0</v>
      </c>
      <c r="Q895" s="132"/>
      <c r="R895" s="71">
        <f t="shared" si="68"/>
        <v>-1.0499860708333333</v>
      </c>
    </row>
    <row r="896" spans="1:18">
      <c r="A896" s="102" t="s">
        <v>626</v>
      </c>
      <c r="B896" s="103" t="s">
        <v>1351</v>
      </c>
      <c r="C896" s="103" t="s">
        <v>1352</v>
      </c>
      <c r="D896" s="102" t="s">
        <v>1353</v>
      </c>
      <c r="E896" s="103" t="s">
        <v>809</v>
      </c>
      <c r="F896" s="102" t="s">
        <v>26</v>
      </c>
      <c r="G896" s="103" t="s">
        <v>20</v>
      </c>
      <c r="H896" s="103"/>
      <c r="I896" s="103">
        <v>201507</v>
      </c>
      <c r="J896" s="104">
        <v>-33.86</v>
      </c>
      <c r="K896" s="72">
        <f t="shared" si="69"/>
        <v>42675</v>
      </c>
      <c r="L896" s="67">
        <f t="shared" si="65"/>
        <v>6</v>
      </c>
      <c r="M896" s="105">
        <v>1.4833299999999999E-3</v>
      </c>
      <c r="N896" s="104">
        <f t="shared" si="66"/>
        <v>-0.30135332279999999</v>
      </c>
      <c r="O896" s="66"/>
      <c r="P896" s="71">
        <f t="shared" si="67"/>
        <v>0</v>
      </c>
      <c r="Q896" s="132"/>
      <c r="R896" s="71">
        <f t="shared" si="68"/>
        <v>-0.5181073791666666</v>
      </c>
    </row>
    <row r="897" spans="1:18">
      <c r="A897" s="102" t="s">
        <v>626</v>
      </c>
      <c r="B897" s="103" t="s">
        <v>1375</v>
      </c>
      <c r="C897" s="103" t="s">
        <v>1376</v>
      </c>
      <c r="D897" s="102" t="s">
        <v>1374</v>
      </c>
      <c r="E897" s="103" t="s">
        <v>497</v>
      </c>
      <c r="F897" s="102" t="s">
        <v>26</v>
      </c>
      <c r="G897" s="103" t="s">
        <v>20</v>
      </c>
      <c r="H897" s="103"/>
      <c r="I897" s="103">
        <v>201507</v>
      </c>
      <c r="J897" s="104">
        <v>-351.88</v>
      </c>
      <c r="K897" s="72">
        <f t="shared" si="69"/>
        <v>42675</v>
      </c>
      <c r="L897" s="67">
        <f t="shared" si="65"/>
        <v>6</v>
      </c>
      <c r="M897" s="105">
        <v>1.4833299999999999E-3</v>
      </c>
      <c r="N897" s="104">
        <f t="shared" si="66"/>
        <v>-3.1317249623999999</v>
      </c>
      <c r="O897" s="66"/>
      <c r="P897" s="71">
        <f t="shared" si="67"/>
        <v>0</v>
      </c>
      <c r="Q897" s="132"/>
      <c r="R897" s="71">
        <f t="shared" si="68"/>
        <v>-5.3842771583333322</v>
      </c>
    </row>
    <row r="898" spans="1:18">
      <c r="A898" s="102" t="s">
        <v>626</v>
      </c>
      <c r="B898" s="103" t="s">
        <v>1525</v>
      </c>
      <c r="C898" s="103" t="s">
        <v>1526</v>
      </c>
      <c r="D898" s="102" t="s">
        <v>1527</v>
      </c>
      <c r="E898" s="103" t="s">
        <v>75</v>
      </c>
      <c r="F898" s="102" t="s">
        <v>26</v>
      </c>
      <c r="G898" s="103" t="s">
        <v>20</v>
      </c>
      <c r="H898" s="103"/>
      <c r="I898" s="103">
        <v>201507</v>
      </c>
      <c r="J898" s="104">
        <v>41045.54</v>
      </c>
      <c r="K898" s="72">
        <f t="shared" si="69"/>
        <v>42675</v>
      </c>
      <c r="L898" s="67">
        <f t="shared" si="65"/>
        <v>6</v>
      </c>
      <c r="M898" s="105">
        <v>1.4833299999999999E-3</v>
      </c>
      <c r="N898" s="104">
        <f t="shared" si="66"/>
        <v>365.3044850892</v>
      </c>
      <c r="O898" s="66"/>
      <c r="P898" s="71">
        <f t="shared" si="67"/>
        <v>0</v>
      </c>
      <c r="Q898" s="132"/>
      <c r="R898" s="71">
        <f t="shared" si="68"/>
        <v>628.05662007916658</v>
      </c>
    </row>
    <row r="899" spans="1:18">
      <c r="A899" s="106" t="s">
        <v>626</v>
      </c>
      <c r="B899" s="103" t="s">
        <v>1377</v>
      </c>
      <c r="C899" s="103" t="s">
        <v>1378</v>
      </c>
      <c r="D899" s="102" t="s">
        <v>1379</v>
      </c>
      <c r="E899" s="103" t="s">
        <v>1059</v>
      </c>
      <c r="F899" s="102" t="s">
        <v>26</v>
      </c>
      <c r="G899" s="103" t="s">
        <v>20</v>
      </c>
      <c r="H899" s="103"/>
      <c r="I899" s="103">
        <v>201507</v>
      </c>
      <c r="J899" s="104">
        <v>-5.86</v>
      </c>
      <c r="K899" s="72">
        <f t="shared" si="69"/>
        <v>42675</v>
      </c>
      <c r="L899" s="67">
        <f t="shared" si="65"/>
        <v>6</v>
      </c>
      <c r="M899" s="105">
        <v>1.4833299999999999E-3</v>
      </c>
      <c r="N899" s="104">
        <f t="shared" si="66"/>
        <v>-5.2153882800000002E-2</v>
      </c>
      <c r="O899" s="66"/>
      <c r="P899" s="71">
        <f t="shared" si="67"/>
        <v>0</v>
      </c>
      <c r="Q899" s="132"/>
      <c r="R899" s="71">
        <f t="shared" si="68"/>
        <v>-8.9666545833333333E-2</v>
      </c>
    </row>
    <row r="900" spans="1:18">
      <c r="A900" s="106" t="s">
        <v>626</v>
      </c>
      <c r="B900" s="103" t="s">
        <v>1380</v>
      </c>
      <c r="C900" s="103" t="s">
        <v>1381</v>
      </c>
      <c r="D900" s="102" t="s">
        <v>1382</v>
      </c>
      <c r="E900" s="103" t="s">
        <v>809</v>
      </c>
      <c r="F900" s="102" t="s">
        <v>26</v>
      </c>
      <c r="G900" s="103" t="s">
        <v>20</v>
      </c>
      <c r="H900" s="103"/>
      <c r="I900" s="103">
        <v>201507</v>
      </c>
      <c r="J900" s="104">
        <v>-260.02</v>
      </c>
      <c r="K900" s="72">
        <f t="shared" si="69"/>
        <v>42675</v>
      </c>
      <c r="L900" s="67">
        <f t="shared" si="65"/>
        <v>6</v>
      </c>
      <c r="M900" s="105">
        <v>1.4833299999999999E-3</v>
      </c>
      <c r="N900" s="104">
        <f t="shared" si="66"/>
        <v>-2.3141727995999997</v>
      </c>
      <c r="O900" s="66"/>
      <c r="P900" s="71">
        <f t="shared" si="67"/>
        <v>0</v>
      </c>
      <c r="Q900" s="132"/>
      <c r="R900" s="71">
        <f t="shared" si="68"/>
        <v>-3.9786851958333327</v>
      </c>
    </row>
    <row r="901" spans="1:18">
      <c r="A901" s="106" t="s">
        <v>626</v>
      </c>
      <c r="B901" s="103" t="s">
        <v>1383</v>
      </c>
      <c r="C901" s="103" t="s">
        <v>1384</v>
      </c>
      <c r="D901" s="102" t="s">
        <v>1385</v>
      </c>
      <c r="E901" s="103" t="s">
        <v>809</v>
      </c>
      <c r="F901" s="102" t="s">
        <v>26</v>
      </c>
      <c r="G901" s="103" t="s">
        <v>20</v>
      </c>
      <c r="H901" s="103"/>
      <c r="I901" s="103">
        <v>201507</v>
      </c>
      <c r="J901" s="104">
        <v>-18.8</v>
      </c>
      <c r="K901" s="72">
        <f t="shared" si="69"/>
        <v>42675</v>
      </c>
      <c r="L901" s="67">
        <f t="shared" ref="L901:L964" si="70">((YEAR($L$1)-YEAR(K901))*12+MONTH($L$1)-MONTH(K901))</f>
        <v>6</v>
      </c>
      <c r="M901" s="105">
        <v>1.4833299999999999E-3</v>
      </c>
      <c r="N901" s="104">
        <f t="shared" ref="N901:N964" si="71">M901*L901*J901</f>
        <v>-0.167319624</v>
      </c>
      <c r="O901" s="66"/>
      <c r="P901" s="71">
        <f t="shared" si="67"/>
        <v>0</v>
      </c>
      <c r="Q901" s="132"/>
      <c r="R901" s="71">
        <f t="shared" si="68"/>
        <v>-0.28766741666666668</v>
      </c>
    </row>
    <row r="902" spans="1:18">
      <c r="A902" s="106" t="s">
        <v>626</v>
      </c>
      <c r="B902" s="103" t="s">
        <v>1446</v>
      </c>
      <c r="C902" s="103" t="s">
        <v>1447</v>
      </c>
      <c r="D902" s="102" t="s">
        <v>1448</v>
      </c>
      <c r="E902" s="103" t="s">
        <v>809</v>
      </c>
      <c r="F902" s="102" t="s">
        <v>26</v>
      </c>
      <c r="G902" s="103" t="s">
        <v>20</v>
      </c>
      <c r="H902" s="103"/>
      <c r="I902" s="103">
        <v>201507</v>
      </c>
      <c r="J902" s="104">
        <v>134.19999999999999</v>
      </c>
      <c r="K902" s="72">
        <f t="shared" si="69"/>
        <v>42675</v>
      </c>
      <c r="L902" s="67">
        <f t="shared" si="70"/>
        <v>6</v>
      </c>
      <c r="M902" s="105">
        <v>1.4833299999999999E-3</v>
      </c>
      <c r="N902" s="104">
        <f t="shared" si="71"/>
        <v>1.194377316</v>
      </c>
      <c r="O902" s="66"/>
      <c r="P902" s="71">
        <f t="shared" ref="P902:P965" si="72">($P$4*0.5*J902*$T$12)</f>
        <v>0</v>
      </c>
      <c r="Q902" s="132"/>
      <c r="R902" s="71">
        <f t="shared" ref="R902:R965" si="73">($R$4*0.5*J902*$T$12)</f>
        <v>2.0534557083333329</v>
      </c>
    </row>
    <row r="903" spans="1:18">
      <c r="A903" s="106" t="s">
        <v>626</v>
      </c>
      <c r="B903" s="103" t="s">
        <v>1528</v>
      </c>
      <c r="C903" s="103" t="s">
        <v>1529</v>
      </c>
      <c r="D903" s="102" t="s">
        <v>1495</v>
      </c>
      <c r="E903" s="103" t="s">
        <v>75</v>
      </c>
      <c r="F903" s="102" t="s">
        <v>26</v>
      </c>
      <c r="G903" s="103" t="s">
        <v>20</v>
      </c>
      <c r="H903" s="103"/>
      <c r="I903" s="103">
        <v>201507</v>
      </c>
      <c r="J903" s="104">
        <v>79903.240000000005</v>
      </c>
      <c r="K903" s="72">
        <f t="shared" ref="K903:K966" si="74">+K902</f>
        <v>42675</v>
      </c>
      <c r="L903" s="67">
        <f t="shared" si="70"/>
        <v>6</v>
      </c>
      <c r="M903" s="105">
        <v>1.4833299999999999E-3</v>
      </c>
      <c r="N903" s="104">
        <f t="shared" si="71"/>
        <v>711.13723793520001</v>
      </c>
      <c r="O903" s="66"/>
      <c r="P903" s="71">
        <f t="shared" si="72"/>
        <v>0</v>
      </c>
      <c r="Q903" s="132"/>
      <c r="R903" s="71">
        <f t="shared" si="73"/>
        <v>1222.6360975583334</v>
      </c>
    </row>
    <row r="904" spans="1:18">
      <c r="A904" s="106" t="s">
        <v>626</v>
      </c>
      <c r="B904" s="103" t="s">
        <v>1530</v>
      </c>
      <c r="C904" s="103" t="s">
        <v>1531</v>
      </c>
      <c r="D904" s="102" t="s">
        <v>1532</v>
      </c>
      <c r="E904" s="103" t="s">
        <v>531</v>
      </c>
      <c r="F904" s="102" t="s">
        <v>26</v>
      </c>
      <c r="G904" s="103" t="s">
        <v>20</v>
      </c>
      <c r="H904" s="103"/>
      <c r="I904" s="103">
        <v>201507</v>
      </c>
      <c r="J904" s="104">
        <v>40759.31</v>
      </c>
      <c r="K904" s="72">
        <f t="shared" si="74"/>
        <v>42675</v>
      </c>
      <c r="L904" s="67">
        <f t="shared" si="70"/>
        <v>6</v>
      </c>
      <c r="M904" s="105">
        <v>1.4833299999999999E-3</v>
      </c>
      <c r="N904" s="104">
        <f t="shared" si="71"/>
        <v>362.75704381379995</v>
      </c>
      <c r="O904" s="66"/>
      <c r="P904" s="71">
        <f t="shared" si="72"/>
        <v>0</v>
      </c>
      <c r="Q904" s="132"/>
      <c r="R904" s="71">
        <f t="shared" si="73"/>
        <v>623.67688366041659</v>
      </c>
    </row>
    <row r="905" spans="1:18">
      <c r="A905" s="106" t="s">
        <v>626</v>
      </c>
      <c r="B905" s="103" t="s">
        <v>1488</v>
      </c>
      <c r="C905" s="103" t="s">
        <v>1489</v>
      </c>
      <c r="D905" s="102" t="s">
        <v>1374</v>
      </c>
      <c r="E905" s="103" t="s">
        <v>531</v>
      </c>
      <c r="F905" s="102" t="s">
        <v>26</v>
      </c>
      <c r="G905" s="103" t="s">
        <v>20</v>
      </c>
      <c r="H905" s="103"/>
      <c r="I905" s="103">
        <v>201507</v>
      </c>
      <c r="J905" s="104">
        <v>-1818.78</v>
      </c>
      <c r="K905" s="72">
        <f t="shared" si="74"/>
        <v>42675</v>
      </c>
      <c r="L905" s="67">
        <f t="shared" si="70"/>
        <v>6</v>
      </c>
      <c r="M905" s="105">
        <v>1.4833299999999999E-3</v>
      </c>
      <c r="N905" s="104">
        <f t="shared" si="71"/>
        <v>-16.187105624400001</v>
      </c>
      <c r="O905" s="66"/>
      <c r="P905" s="71">
        <f t="shared" si="72"/>
        <v>0</v>
      </c>
      <c r="Q905" s="132"/>
      <c r="R905" s="71">
        <f t="shared" si="73"/>
        <v>-27.829986387499996</v>
      </c>
    </row>
    <row r="906" spans="1:18">
      <c r="A906" s="106" t="s">
        <v>626</v>
      </c>
      <c r="B906" s="103" t="s">
        <v>1449</v>
      </c>
      <c r="C906" s="103" t="s">
        <v>1450</v>
      </c>
      <c r="D906" s="102" t="s">
        <v>1451</v>
      </c>
      <c r="E906" s="103" t="s">
        <v>809</v>
      </c>
      <c r="F906" s="102" t="s">
        <v>26</v>
      </c>
      <c r="G906" s="103" t="s">
        <v>20</v>
      </c>
      <c r="H906" s="103"/>
      <c r="I906" s="103">
        <v>201507</v>
      </c>
      <c r="J906" s="104">
        <v>-167.24</v>
      </c>
      <c r="K906" s="72">
        <f t="shared" si="74"/>
        <v>42675</v>
      </c>
      <c r="L906" s="67">
        <f t="shared" si="70"/>
        <v>6</v>
      </c>
      <c r="M906" s="105">
        <v>1.4833299999999999E-3</v>
      </c>
      <c r="N906" s="104">
        <f t="shared" si="71"/>
        <v>-1.4884326552</v>
      </c>
      <c r="O906" s="66"/>
      <c r="P906" s="71">
        <f t="shared" si="72"/>
        <v>0</v>
      </c>
      <c r="Q906" s="132"/>
      <c r="R906" s="71">
        <f t="shared" si="73"/>
        <v>-2.5590158916666663</v>
      </c>
    </row>
    <row r="907" spans="1:18">
      <c r="A907" s="106" t="s">
        <v>626</v>
      </c>
      <c r="B907" s="103" t="s">
        <v>1455</v>
      </c>
      <c r="C907" s="103" t="s">
        <v>1456</v>
      </c>
      <c r="D907" s="102" t="s">
        <v>1457</v>
      </c>
      <c r="E907" s="103" t="s">
        <v>156</v>
      </c>
      <c r="F907" s="102" t="s">
        <v>26</v>
      </c>
      <c r="G907" s="103" t="s">
        <v>20</v>
      </c>
      <c r="H907" s="103"/>
      <c r="I907" s="103">
        <v>201507</v>
      </c>
      <c r="J907" s="104">
        <v>315.92</v>
      </c>
      <c r="K907" s="72">
        <f t="shared" si="74"/>
        <v>42675</v>
      </c>
      <c r="L907" s="67">
        <f t="shared" si="70"/>
        <v>6</v>
      </c>
      <c r="M907" s="105">
        <v>1.4833299999999999E-3</v>
      </c>
      <c r="N907" s="104">
        <f t="shared" si="71"/>
        <v>2.8116816816000001</v>
      </c>
      <c r="O907" s="66"/>
      <c r="P907" s="71">
        <f t="shared" si="72"/>
        <v>0</v>
      </c>
      <c r="Q907" s="132"/>
      <c r="R907" s="71">
        <f t="shared" si="73"/>
        <v>4.8340367166666667</v>
      </c>
    </row>
    <row r="908" spans="1:18">
      <c r="A908" s="106" t="s">
        <v>626</v>
      </c>
      <c r="B908" s="103" t="s">
        <v>1490</v>
      </c>
      <c r="C908" s="103" t="s">
        <v>1491</v>
      </c>
      <c r="D908" s="102" t="s">
        <v>1492</v>
      </c>
      <c r="E908" s="103" t="s">
        <v>809</v>
      </c>
      <c r="F908" s="102" t="s">
        <v>26</v>
      </c>
      <c r="G908" s="103" t="s">
        <v>20</v>
      </c>
      <c r="H908" s="103"/>
      <c r="I908" s="103">
        <v>201507</v>
      </c>
      <c r="J908" s="104">
        <v>-822.54</v>
      </c>
      <c r="K908" s="72">
        <f t="shared" si="74"/>
        <v>42675</v>
      </c>
      <c r="L908" s="67">
        <f t="shared" si="70"/>
        <v>6</v>
      </c>
      <c r="M908" s="105">
        <v>1.4833299999999999E-3</v>
      </c>
      <c r="N908" s="104">
        <f t="shared" si="71"/>
        <v>-7.3205895491999993</v>
      </c>
      <c r="O908" s="66"/>
      <c r="P908" s="71">
        <f t="shared" si="72"/>
        <v>0</v>
      </c>
      <c r="Q908" s="132"/>
      <c r="R908" s="71">
        <f t="shared" si="73"/>
        <v>-12.586061537499997</v>
      </c>
    </row>
    <row r="909" spans="1:18">
      <c r="A909" s="106" t="s">
        <v>626</v>
      </c>
      <c r="B909" s="103" t="s">
        <v>1493</v>
      </c>
      <c r="C909" s="103" t="s">
        <v>1494</v>
      </c>
      <c r="D909" s="102" t="s">
        <v>1495</v>
      </c>
      <c r="E909" s="103" t="s">
        <v>75</v>
      </c>
      <c r="F909" s="102" t="s">
        <v>26</v>
      </c>
      <c r="G909" s="103" t="s">
        <v>20</v>
      </c>
      <c r="H909" s="103"/>
      <c r="I909" s="103">
        <v>201507</v>
      </c>
      <c r="J909" s="104">
        <v>101.41</v>
      </c>
      <c r="K909" s="72">
        <f t="shared" si="74"/>
        <v>42675</v>
      </c>
      <c r="L909" s="67">
        <f t="shared" si="70"/>
        <v>6</v>
      </c>
      <c r="M909" s="105">
        <v>1.4833299999999999E-3</v>
      </c>
      <c r="N909" s="104">
        <f t="shared" si="71"/>
        <v>0.90254697179999999</v>
      </c>
      <c r="O909" s="66"/>
      <c r="P909" s="71">
        <f t="shared" si="72"/>
        <v>0</v>
      </c>
      <c r="Q909" s="132"/>
      <c r="R909" s="71">
        <f t="shared" si="73"/>
        <v>1.551720889583333</v>
      </c>
    </row>
    <row r="910" spans="1:18">
      <c r="A910" s="106" t="s">
        <v>21</v>
      </c>
      <c r="B910" s="103" t="s">
        <v>1533</v>
      </c>
      <c r="C910" s="103" t="s">
        <v>1534</v>
      </c>
      <c r="D910" s="102" t="s">
        <v>1535</v>
      </c>
      <c r="E910" s="103" t="s">
        <v>75</v>
      </c>
      <c r="F910" s="102" t="s">
        <v>26</v>
      </c>
      <c r="G910" s="103" t="s">
        <v>20</v>
      </c>
      <c r="H910" s="103"/>
      <c r="I910" s="103">
        <v>201507</v>
      </c>
      <c r="J910" s="104">
        <v>140950.68</v>
      </c>
      <c r="K910" s="72">
        <f t="shared" si="74"/>
        <v>42675</v>
      </c>
      <c r="L910" s="67">
        <f t="shared" si="70"/>
        <v>6</v>
      </c>
      <c r="M910" s="105">
        <v>1.4833299999999999E-3</v>
      </c>
      <c r="N910" s="104">
        <f t="shared" si="71"/>
        <v>1254.4582329863999</v>
      </c>
      <c r="O910" s="66"/>
      <c r="P910" s="71">
        <f t="shared" si="72"/>
        <v>0</v>
      </c>
      <c r="Q910" s="132"/>
      <c r="R910" s="71">
        <f t="shared" si="73"/>
        <v>2156.7509570749999</v>
      </c>
    </row>
    <row r="911" spans="1:18">
      <c r="A911" s="106" t="s">
        <v>626</v>
      </c>
      <c r="B911" s="103" t="s">
        <v>1389</v>
      </c>
      <c r="C911" s="103" t="s">
        <v>1390</v>
      </c>
      <c r="D911" s="102" t="s">
        <v>1391</v>
      </c>
      <c r="E911" s="103" t="s">
        <v>280</v>
      </c>
      <c r="F911" s="102" t="s">
        <v>26</v>
      </c>
      <c r="G911" s="103" t="s">
        <v>20</v>
      </c>
      <c r="H911" s="103"/>
      <c r="I911" s="103">
        <v>201507</v>
      </c>
      <c r="J911" s="104">
        <v>-77.89</v>
      </c>
      <c r="K911" s="72">
        <f t="shared" si="74"/>
        <v>42675</v>
      </c>
      <c r="L911" s="67">
        <f t="shared" si="70"/>
        <v>6</v>
      </c>
      <c r="M911" s="105">
        <v>1.4833299999999999E-3</v>
      </c>
      <c r="N911" s="104">
        <f t="shared" si="71"/>
        <v>-0.69321944219999998</v>
      </c>
      <c r="O911" s="66"/>
      <c r="P911" s="71">
        <f t="shared" si="72"/>
        <v>0</v>
      </c>
      <c r="Q911" s="132"/>
      <c r="R911" s="71">
        <f t="shared" si="73"/>
        <v>-1.1918305895833332</v>
      </c>
    </row>
    <row r="912" spans="1:18">
      <c r="A912" s="106" t="s">
        <v>626</v>
      </c>
      <c r="B912" s="103" t="s">
        <v>1536</v>
      </c>
      <c r="C912" s="103" t="s">
        <v>1537</v>
      </c>
      <c r="D912" s="102" t="s">
        <v>1538</v>
      </c>
      <c r="E912" s="103" t="s">
        <v>260</v>
      </c>
      <c r="F912" s="102" t="s">
        <v>26</v>
      </c>
      <c r="G912" s="103" t="s">
        <v>20</v>
      </c>
      <c r="H912" s="103"/>
      <c r="I912" s="103">
        <v>201507</v>
      </c>
      <c r="J912" s="104">
        <v>48685.74</v>
      </c>
      <c r="K912" s="72">
        <f t="shared" si="74"/>
        <v>42675</v>
      </c>
      <c r="L912" s="67">
        <f t="shared" si="70"/>
        <v>6</v>
      </c>
      <c r="M912" s="105">
        <v>1.4833299999999999E-3</v>
      </c>
      <c r="N912" s="104">
        <f t="shared" si="71"/>
        <v>433.3021122852</v>
      </c>
      <c r="O912" s="66"/>
      <c r="P912" s="71">
        <f t="shared" si="72"/>
        <v>0</v>
      </c>
      <c r="Q912" s="132"/>
      <c r="R912" s="71">
        <f t="shared" si="73"/>
        <v>744.9628220374999</v>
      </c>
    </row>
    <row r="913" spans="1:18">
      <c r="A913" s="102" t="s">
        <v>626</v>
      </c>
      <c r="B913" s="103" t="s">
        <v>1539</v>
      </c>
      <c r="C913" s="103" t="s">
        <v>1540</v>
      </c>
      <c r="D913" s="102" t="s">
        <v>1541</v>
      </c>
      <c r="E913" s="103" t="s">
        <v>156</v>
      </c>
      <c r="F913" s="102" t="s">
        <v>26</v>
      </c>
      <c r="G913" s="103" t="s">
        <v>20</v>
      </c>
      <c r="H913" s="103"/>
      <c r="I913" s="103">
        <v>201507</v>
      </c>
      <c r="J913" s="104">
        <v>39112.44</v>
      </c>
      <c r="K913" s="72">
        <f t="shared" si="74"/>
        <v>42675</v>
      </c>
      <c r="L913" s="67">
        <f t="shared" si="70"/>
        <v>6</v>
      </c>
      <c r="M913" s="105">
        <v>1.4833299999999999E-3</v>
      </c>
      <c r="N913" s="104">
        <f t="shared" si="71"/>
        <v>348.09993375120001</v>
      </c>
      <c r="O913" s="66"/>
      <c r="P913" s="71">
        <f t="shared" si="72"/>
        <v>0</v>
      </c>
      <c r="Q913" s="132"/>
      <c r="R913" s="71">
        <f t="shared" si="73"/>
        <v>598.47737097499999</v>
      </c>
    </row>
    <row r="914" spans="1:18">
      <c r="A914" s="102" t="s">
        <v>21</v>
      </c>
      <c r="B914" s="103" t="s">
        <v>1470</v>
      </c>
      <c r="C914" s="103" t="s">
        <v>1471</v>
      </c>
      <c r="D914" s="102" t="s">
        <v>1472</v>
      </c>
      <c r="E914" s="103" t="s">
        <v>497</v>
      </c>
      <c r="F914" s="102" t="s">
        <v>26</v>
      </c>
      <c r="G914" s="103" t="s">
        <v>20</v>
      </c>
      <c r="H914" s="103"/>
      <c r="I914" s="103">
        <v>201507</v>
      </c>
      <c r="J914" s="104">
        <v>-2.1</v>
      </c>
      <c r="K914" s="72">
        <f t="shared" si="74"/>
        <v>42675</v>
      </c>
      <c r="L914" s="67">
        <f t="shared" si="70"/>
        <v>6</v>
      </c>
      <c r="M914" s="105">
        <v>1.4833299999999999E-3</v>
      </c>
      <c r="N914" s="104">
        <f t="shared" si="71"/>
        <v>-1.8689958E-2</v>
      </c>
      <c r="O914" s="66"/>
      <c r="P914" s="71">
        <f t="shared" si="72"/>
        <v>0</v>
      </c>
      <c r="Q914" s="132"/>
      <c r="R914" s="71">
        <f t="shared" si="73"/>
        <v>-3.2133062500000004E-2</v>
      </c>
    </row>
    <row r="915" spans="1:18">
      <c r="A915" s="102" t="s">
        <v>626</v>
      </c>
      <c r="B915" s="103" t="s">
        <v>1542</v>
      </c>
      <c r="C915" s="103" t="s">
        <v>1543</v>
      </c>
      <c r="D915" s="102" t="s">
        <v>1544</v>
      </c>
      <c r="E915" s="103" t="s">
        <v>531</v>
      </c>
      <c r="F915" s="102" t="s">
        <v>26</v>
      </c>
      <c r="G915" s="103" t="s">
        <v>20</v>
      </c>
      <c r="H915" s="103"/>
      <c r="I915" s="103">
        <v>201507</v>
      </c>
      <c r="J915" s="104">
        <v>1242.42</v>
      </c>
      <c r="K915" s="72">
        <f t="shared" si="74"/>
        <v>42675</v>
      </c>
      <c r="L915" s="67">
        <f t="shared" si="70"/>
        <v>6</v>
      </c>
      <c r="M915" s="105">
        <v>1.4833299999999999E-3</v>
      </c>
      <c r="N915" s="104">
        <f t="shared" si="71"/>
        <v>11.0575131516</v>
      </c>
      <c r="O915" s="66"/>
      <c r="P915" s="71">
        <f t="shared" si="72"/>
        <v>0</v>
      </c>
      <c r="Q915" s="132"/>
      <c r="R915" s="71">
        <f t="shared" si="73"/>
        <v>19.010837862499997</v>
      </c>
    </row>
    <row r="916" spans="1:18">
      <c r="A916" s="106" t="s">
        <v>626</v>
      </c>
      <c r="B916" s="103" t="s">
        <v>750</v>
      </c>
      <c r="C916" s="103" t="s">
        <v>751</v>
      </c>
      <c r="D916" s="102" t="s">
        <v>752</v>
      </c>
      <c r="E916" s="103" t="s">
        <v>164</v>
      </c>
      <c r="F916" s="102" t="s">
        <v>165</v>
      </c>
      <c r="G916" s="103" t="s">
        <v>20</v>
      </c>
      <c r="H916" s="103"/>
      <c r="I916" s="103">
        <v>201507</v>
      </c>
      <c r="J916" s="104">
        <v>105.88</v>
      </c>
      <c r="K916" s="72">
        <f t="shared" si="74"/>
        <v>42675</v>
      </c>
      <c r="L916" s="67">
        <f t="shared" si="70"/>
        <v>6</v>
      </c>
      <c r="M916" s="105">
        <v>1.4833299999999999E-3</v>
      </c>
      <c r="N916" s="104">
        <f t="shared" si="71"/>
        <v>0.94232988239999993</v>
      </c>
      <c r="O916" s="66"/>
      <c r="P916" s="71">
        <f t="shared" si="72"/>
        <v>0</v>
      </c>
      <c r="Q916" s="132"/>
      <c r="R916" s="71">
        <f t="shared" si="73"/>
        <v>1.6201184083333331</v>
      </c>
    </row>
    <row r="917" spans="1:18">
      <c r="A917" s="106" t="s">
        <v>21</v>
      </c>
      <c r="B917" s="103" t="s">
        <v>230</v>
      </c>
      <c r="C917" s="103" t="s">
        <v>231</v>
      </c>
      <c r="D917" s="102" t="s">
        <v>232</v>
      </c>
      <c r="E917" s="103" t="s">
        <v>164</v>
      </c>
      <c r="F917" s="102" t="s">
        <v>165</v>
      </c>
      <c r="G917" s="103" t="s">
        <v>20</v>
      </c>
      <c r="H917" s="103"/>
      <c r="I917" s="103">
        <v>201507</v>
      </c>
      <c r="J917" s="104">
        <v>-1.65</v>
      </c>
      <c r="K917" s="72">
        <f t="shared" si="74"/>
        <v>42675</v>
      </c>
      <c r="L917" s="67">
        <f t="shared" si="70"/>
        <v>6</v>
      </c>
      <c r="M917" s="105">
        <v>1.4833299999999999E-3</v>
      </c>
      <c r="N917" s="104">
        <f t="shared" si="71"/>
        <v>-1.4684966999999998E-2</v>
      </c>
      <c r="O917" s="66"/>
      <c r="P917" s="71">
        <f t="shared" si="72"/>
        <v>0</v>
      </c>
      <c r="Q917" s="132"/>
      <c r="R917" s="71">
        <f t="shared" si="73"/>
        <v>-2.5247406249999996E-2</v>
      </c>
    </row>
    <row r="918" spans="1:18">
      <c r="A918" s="102" t="s">
        <v>626</v>
      </c>
      <c r="B918" s="103" t="s">
        <v>944</v>
      </c>
      <c r="C918" s="103" t="s">
        <v>945</v>
      </c>
      <c r="D918" s="102" t="s">
        <v>946</v>
      </c>
      <c r="E918" s="103" t="s">
        <v>164</v>
      </c>
      <c r="F918" s="102" t="s">
        <v>165</v>
      </c>
      <c r="G918" s="103" t="s">
        <v>20</v>
      </c>
      <c r="H918" s="103"/>
      <c r="I918" s="103">
        <v>201507</v>
      </c>
      <c r="J918" s="104">
        <v>-128.16</v>
      </c>
      <c r="K918" s="72">
        <f t="shared" si="74"/>
        <v>42675</v>
      </c>
      <c r="L918" s="67">
        <f t="shared" si="70"/>
        <v>6</v>
      </c>
      <c r="M918" s="105">
        <v>1.4833299999999999E-3</v>
      </c>
      <c r="N918" s="104">
        <f t="shared" si="71"/>
        <v>-1.1406214368000001</v>
      </c>
      <c r="O918" s="66"/>
      <c r="P918" s="71">
        <f t="shared" si="72"/>
        <v>0</v>
      </c>
      <c r="Q918" s="132"/>
      <c r="R918" s="71">
        <f t="shared" si="73"/>
        <v>-1.9610348999999996</v>
      </c>
    </row>
    <row r="919" spans="1:18">
      <c r="A919" s="102" t="s">
        <v>626</v>
      </c>
      <c r="B919" s="103" t="s">
        <v>1133</v>
      </c>
      <c r="C919" s="103" t="s">
        <v>1134</v>
      </c>
      <c r="D919" s="102" t="s">
        <v>1135</v>
      </c>
      <c r="E919" s="103" t="s">
        <v>471</v>
      </c>
      <c r="F919" s="102" t="s">
        <v>165</v>
      </c>
      <c r="G919" s="103" t="s">
        <v>20</v>
      </c>
      <c r="H919" s="103"/>
      <c r="I919" s="103">
        <v>201507</v>
      </c>
      <c r="J919" s="104">
        <v>-156.69</v>
      </c>
      <c r="K919" s="72">
        <f t="shared" si="74"/>
        <v>42675</v>
      </c>
      <c r="L919" s="67">
        <f t="shared" si="70"/>
        <v>6</v>
      </c>
      <c r="M919" s="105">
        <v>1.4833299999999999E-3</v>
      </c>
      <c r="N919" s="104">
        <f t="shared" si="71"/>
        <v>-1.3945378662000001</v>
      </c>
      <c r="O919" s="66"/>
      <c r="P919" s="71">
        <f t="shared" si="72"/>
        <v>0</v>
      </c>
      <c r="Q919" s="132"/>
      <c r="R919" s="71">
        <f t="shared" si="73"/>
        <v>-2.3975855062499996</v>
      </c>
    </row>
    <row r="920" spans="1:18">
      <c r="A920" s="102" t="s">
        <v>626</v>
      </c>
      <c r="B920" s="103" t="s">
        <v>1142</v>
      </c>
      <c r="C920" s="103" t="s">
        <v>1143</v>
      </c>
      <c r="D920" s="102" t="s">
        <v>1144</v>
      </c>
      <c r="E920" s="103" t="s">
        <v>164</v>
      </c>
      <c r="F920" s="102" t="s">
        <v>165</v>
      </c>
      <c r="G920" s="103" t="s">
        <v>20</v>
      </c>
      <c r="H920" s="103"/>
      <c r="I920" s="103">
        <v>201507</v>
      </c>
      <c r="J920" s="104">
        <v>-5061.82</v>
      </c>
      <c r="K920" s="72">
        <f t="shared" si="74"/>
        <v>42675</v>
      </c>
      <c r="L920" s="67">
        <f t="shared" si="70"/>
        <v>6</v>
      </c>
      <c r="M920" s="105">
        <v>1.4833299999999999E-3</v>
      </c>
      <c r="N920" s="104">
        <f t="shared" si="71"/>
        <v>-45.050096763599996</v>
      </c>
      <c r="O920" s="66"/>
      <c r="P920" s="71">
        <f t="shared" si="72"/>
        <v>0</v>
      </c>
      <c r="Q920" s="132"/>
      <c r="R920" s="71">
        <f t="shared" si="73"/>
        <v>-77.45322782083332</v>
      </c>
    </row>
    <row r="921" spans="1:18">
      <c r="A921" s="106" t="s">
        <v>626</v>
      </c>
      <c r="B921" s="103" t="s">
        <v>963</v>
      </c>
      <c r="C921" s="103" t="s">
        <v>964</v>
      </c>
      <c r="D921" s="102" t="s">
        <v>965</v>
      </c>
      <c r="E921" s="103" t="s">
        <v>164</v>
      </c>
      <c r="F921" s="102" t="s">
        <v>165</v>
      </c>
      <c r="G921" s="103" t="s">
        <v>20</v>
      </c>
      <c r="H921" s="103"/>
      <c r="I921" s="103">
        <v>201507</v>
      </c>
      <c r="J921" s="104">
        <v>-80.84</v>
      </c>
      <c r="K921" s="72">
        <f t="shared" si="74"/>
        <v>42675</v>
      </c>
      <c r="L921" s="67">
        <f t="shared" si="70"/>
        <v>6</v>
      </c>
      <c r="M921" s="105">
        <v>1.4833299999999999E-3</v>
      </c>
      <c r="N921" s="104">
        <f t="shared" si="71"/>
        <v>-0.71947438320000001</v>
      </c>
      <c r="O921" s="66"/>
      <c r="P921" s="71">
        <f t="shared" si="72"/>
        <v>0</v>
      </c>
      <c r="Q921" s="132"/>
      <c r="R921" s="71">
        <f t="shared" si="73"/>
        <v>-1.2369698916666665</v>
      </c>
    </row>
    <row r="922" spans="1:18">
      <c r="A922" s="106" t="s">
        <v>626</v>
      </c>
      <c r="B922" s="103" t="s">
        <v>1044</v>
      </c>
      <c r="C922" s="103" t="s">
        <v>1045</v>
      </c>
      <c r="D922" s="102" t="s">
        <v>1046</v>
      </c>
      <c r="E922" s="103" t="s">
        <v>164</v>
      </c>
      <c r="F922" s="102" t="s">
        <v>165</v>
      </c>
      <c r="G922" s="103" t="s">
        <v>20</v>
      </c>
      <c r="H922" s="103"/>
      <c r="I922" s="103">
        <v>201507</v>
      </c>
      <c r="J922" s="104">
        <v>-1574.41</v>
      </c>
      <c r="K922" s="72">
        <f t="shared" si="74"/>
        <v>42675</v>
      </c>
      <c r="L922" s="67">
        <f t="shared" si="70"/>
        <v>6</v>
      </c>
      <c r="M922" s="105">
        <v>1.4833299999999999E-3</v>
      </c>
      <c r="N922" s="104">
        <f t="shared" si="71"/>
        <v>-14.012217511800001</v>
      </c>
      <c r="O922" s="66"/>
      <c r="P922" s="71">
        <f t="shared" si="72"/>
        <v>0</v>
      </c>
      <c r="Q922" s="132"/>
      <c r="R922" s="71">
        <f t="shared" si="73"/>
        <v>-24.090769014583334</v>
      </c>
    </row>
    <row r="923" spans="1:18">
      <c r="A923" s="106" t="s">
        <v>626</v>
      </c>
      <c r="B923" s="103" t="s">
        <v>969</v>
      </c>
      <c r="C923" s="103" t="s">
        <v>970</v>
      </c>
      <c r="D923" s="102" t="s">
        <v>971</v>
      </c>
      <c r="E923" s="103" t="s">
        <v>164</v>
      </c>
      <c r="F923" s="102" t="s">
        <v>165</v>
      </c>
      <c r="G923" s="103" t="s">
        <v>20</v>
      </c>
      <c r="H923" s="103"/>
      <c r="I923" s="103">
        <v>201507</v>
      </c>
      <c r="J923" s="104">
        <v>-255.15</v>
      </c>
      <c r="K923" s="72">
        <f t="shared" si="74"/>
        <v>42675</v>
      </c>
      <c r="L923" s="67">
        <f t="shared" si="70"/>
        <v>6</v>
      </c>
      <c r="M923" s="105">
        <v>1.4833299999999999E-3</v>
      </c>
      <c r="N923" s="104">
        <f t="shared" si="71"/>
        <v>-2.270829897</v>
      </c>
      <c r="O923" s="66"/>
      <c r="P923" s="71">
        <f t="shared" si="72"/>
        <v>0</v>
      </c>
      <c r="Q923" s="132"/>
      <c r="R923" s="71">
        <f t="shared" si="73"/>
        <v>-3.9041670937499995</v>
      </c>
    </row>
    <row r="924" spans="1:18">
      <c r="A924" s="106" t="s">
        <v>626</v>
      </c>
      <c r="B924" s="103" t="s">
        <v>912</v>
      </c>
      <c r="C924" s="103" t="s">
        <v>913</v>
      </c>
      <c r="D924" s="102" t="s">
        <v>914</v>
      </c>
      <c r="E924" s="103" t="s">
        <v>164</v>
      </c>
      <c r="F924" s="102" t="s">
        <v>165</v>
      </c>
      <c r="G924" s="103" t="s">
        <v>20</v>
      </c>
      <c r="H924" s="103"/>
      <c r="I924" s="103">
        <v>201507</v>
      </c>
      <c r="J924" s="104">
        <v>-41.11</v>
      </c>
      <c r="K924" s="72">
        <f t="shared" si="74"/>
        <v>42675</v>
      </c>
      <c r="L924" s="67">
        <f t="shared" si="70"/>
        <v>6</v>
      </c>
      <c r="M924" s="105">
        <v>1.4833299999999999E-3</v>
      </c>
      <c r="N924" s="104">
        <f t="shared" si="71"/>
        <v>-0.36587817779999998</v>
      </c>
      <c r="O924" s="66"/>
      <c r="P924" s="71">
        <f t="shared" si="72"/>
        <v>0</v>
      </c>
      <c r="Q924" s="132"/>
      <c r="R924" s="71">
        <f t="shared" si="73"/>
        <v>-0.62904295208333327</v>
      </c>
    </row>
    <row r="925" spans="1:18">
      <c r="A925" s="102" t="s">
        <v>626</v>
      </c>
      <c r="B925" s="103" t="s">
        <v>919</v>
      </c>
      <c r="C925" s="103" t="s">
        <v>920</v>
      </c>
      <c r="D925" s="102" t="s">
        <v>921</v>
      </c>
      <c r="E925" s="103" t="s">
        <v>164</v>
      </c>
      <c r="F925" s="102" t="s">
        <v>165</v>
      </c>
      <c r="G925" s="103" t="s">
        <v>20</v>
      </c>
      <c r="H925" s="103"/>
      <c r="I925" s="103">
        <v>201507</v>
      </c>
      <c r="J925" s="104">
        <v>-14.65</v>
      </c>
      <c r="K925" s="72">
        <f t="shared" si="74"/>
        <v>42675</v>
      </c>
      <c r="L925" s="67">
        <f t="shared" si="70"/>
        <v>6</v>
      </c>
      <c r="M925" s="105">
        <v>1.4833299999999999E-3</v>
      </c>
      <c r="N925" s="104">
        <f t="shared" si="71"/>
        <v>-0.13038470700000002</v>
      </c>
      <c r="O925" s="66"/>
      <c r="P925" s="71">
        <f t="shared" si="72"/>
        <v>0</v>
      </c>
      <c r="Q925" s="132"/>
      <c r="R925" s="71">
        <f t="shared" si="73"/>
        <v>-0.22416636458333333</v>
      </c>
    </row>
    <row r="926" spans="1:18">
      <c r="A926" s="102" t="s">
        <v>626</v>
      </c>
      <c r="B926" s="103" t="s">
        <v>1047</v>
      </c>
      <c r="C926" s="103" t="s">
        <v>1048</v>
      </c>
      <c r="D926" s="102" t="s">
        <v>1049</v>
      </c>
      <c r="E926" s="103" t="s">
        <v>164</v>
      </c>
      <c r="F926" s="102" t="s">
        <v>165</v>
      </c>
      <c r="G926" s="103" t="s">
        <v>20</v>
      </c>
      <c r="H926" s="103"/>
      <c r="I926" s="103">
        <v>201507</v>
      </c>
      <c r="J926" s="104">
        <v>-926.74</v>
      </c>
      <c r="K926" s="72">
        <f t="shared" si="74"/>
        <v>42675</v>
      </c>
      <c r="L926" s="67">
        <f t="shared" si="70"/>
        <v>6</v>
      </c>
      <c r="M926" s="105">
        <v>1.4833299999999999E-3</v>
      </c>
      <c r="N926" s="104">
        <f t="shared" si="71"/>
        <v>-8.2479674652000003</v>
      </c>
      <c r="O926" s="66"/>
      <c r="P926" s="71">
        <f t="shared" si="72"/>
        <v>0</v>
      </c>
      <c r="Q926" s="132"/>
      <c r="R926" s="71">
        <f t="shared" si="73"/>
        <v>-14.180473495833333</v>
      </c>
    </row>
    <row r="927" spans="1:18">
      <c r="A927" s="102" t="s">
        <v>626</v>
      </c>
      <c r="B927" s="103" t="s">
        <v>1050</v>
      </c>
      <c r="C927" s="103" t="s">
        <v>1051</v>
      </c>
      <c r="D927" s="102" t="s">
        <v>1052</v>
      </c>
      <c r="E927" s="103" t="s">
        <v>164</v>
      </c>
      <c r="F927" s="102" t="s">
        <v>165</v>
      </c>
      <c r="G927" s="103" t="s">
        <v>20</v>
      </c>
      <c r="H927" s="103"/>
      <c r="I927" s="103">
        <v>201507</v>
      </c>
      <c r="J927" s="104">
        <v>-317.69</v>
      </c>
      <c r="K927" s="72">
        <f t="shared" si="74"/>
        <v>42675</v>
      </c>
      <c r="L927" s="67">
        <f t="shared" si="70"/>
        <v>6</v>
      </c>
      <c r="M927" s="105">
        <v>1.4833299999999999E-3</v>
      </c>
      <c r="N927" s="104">
        <f t="shared" si="71"/>
        <v>-2.8274346462</v>
      </c>
      <c r="O927" s="66"/>
      <c r="P927" s="71">
        <f t="shared" si="72"/>
        <v>0</v>
      </c>
      <c r="Q927" s="132"/>
      <c r="R927" s="71">
        <f t="shared" si="73"/>
        <v>-4.8611202979166661</v>
      </c>
    </row>
    <row r="928" spans="1:18">
      <c r="A928" s="106" t="s">
        <v>626</v>
      </c>
      <c r="B928" s="103" t="s">
        <v>1169</v>
      </c>
      <c r="C928" s="103" t="s">
        <v>1170</v>
      </c>
      <c r="D928" s="102" t="s">
        <v>1171</v>
      </c>
      <c r="E928" s="103" t="s">
        <v>164</v>
      </c>
      <c r="F928" s="102" t="s">
        <v>165</v>
      </c>
      <c r="G928" s="103" t="s">
        <v>20</v>
      </c>
      <c r="H928" s="103"/>
      <c r="I928" s="103">
        <v>201507</v>
      </c>
      <c r="J928" s="104">
        <v>-1141.6099999999999</v>
      </c>
      <c r="K928" s="72">
        <f t="shared" si="74"/>
        <v>42675</v>
      </c>
      <c r="L928" s="67">
        <f t="shared" si="70"/>
        <v>6</v>
      </c>
      <c r="M928" s="105">
        <v>1.4833299999999999E-3</v>
      </c>
      <c r="N928" s="104">
        <f t="shared" si="71"/>
        <v>-10.1603061678</v>
      </c>
      <c r="O928" s="66"/>
      <c r="P928" s="71">
        <f t="shared" si="72"/>
        <v>0</v>
      </c>
      <c r="Q928" s="132"/>
      <c r="R928" s="71">
        <f t="shared" si="73"/>
        <v>-17.468297847916663</v>
      </c>
    </row>
    <row r="929" spans="1:18">
      <c r="A929" s="102" t="s">
        <v>626</v>
      </c>
      <c r="B929" s="103" t="s">
        <v>1545</v>
      </c>
      <c r="C929" s="103" t="s">
        <v>1546</v>
      </c>
      <c r="D929" s="102" t="s">
        <v>1547</v>
      </c>
      <c r="E929" s="103" t="s">
        <v>164</v>
      </c>
      <c r="F929" s="102" t="s">
        <v>165</v>
      </c>
      <c r="G929" s="103" t="s">
        <v>20</v>
      </c>
      <c r="H929" s="103"/>
      <c r="I929" s="103">
        <v>201507</v>
      </c>
      <c r="J929" s="104">
        <v>1525882.37</v>
      </c>
      <c r="K929" s="72">
        <f t="shared" si="74"/>
        <v>42675</v>
      </c>
      <c r="L929" s="67">
        <f t="shared" si="70"/>
        <v>6</v>
      </c>
      <c r="M929" s="105">
        <v>1.4833299999999999E-3</v>
      </c>
      <c r="N929" s="104">
        <f t="shared" si="71"/>
        <v>13580.3225753526</v>
      </c>
      <c r="O929" s="66"/>
      <c r="P929" s="71">
        <f t="shared" si="72"/>
        <v>0</v>
      </c>
      <c r="Q929" s="132"/>
      <c r="R929" s="71">
        <f t="shared" si="73"/>
        <v>23348.225506122915</v>
      </c>
    </row>
    <row r="930" spans="1:18">
      <c r="A930" s="102" t="s">
        <v>626</v>
      </c>
      <c r="B930" s="103" t="s">
        <v>1274</v>
      </c>
      <c r="C930" s="103" t="s">
        <v>1275</v>
      </c>
      <c r="D930" s="102" t="s">
        <v>1276</v>
      </c>
      <c r="E930" s="103" t="s">
        <v>164</v>
      </c>
      <c r="F930" s="102" t="s">
        <v>165</v>
      </c>
      <c r="G930" s="103" t="s">
        <v>20</v>
      </c>
      <c r="H930" s="103"/>
      <c r="I930" s="103">
        <v>201507</v>
      </c>
      <c r="J930" s="104">
        <v>-1549.67</v>
      </c>
      <c r="K930" s="72">
        <f t="shared" si="74"/>
        <v>42675</v>
      </c>
      <c r="L930" s="67">
        <f t="shared" si="70"/>
        <v>6</v>
      </c>
      <c r="M930" s="105">
        <v>1.4833299999999999E-3</v>
      </c>
      <c r="N930" s="104">
        <f t="shared" si="71"/>
        <v>-13.792032006600001</v>
      </c>
      <c r="O930" s="66"/>
      <c r="P930" s="71">
        <f t="shared" si="72"/>
        <v>0</v>
      </c>
      <c r="Q930" s="132"/>
      <c r="R930" s="71">
        <f t="shared" si="73"/>
        <v>-23.712210935416664</v>
      </c>
    </row>
    <row r="931" spans="1:18">
      <c r="A931" s="102" t="s">
        <v>626</v>
      </c>
      <c r="B931" s="103" t="s">
        <v>1184</v>
      </c>
      <c r="C931" s="103" t="s">
        <v>1185</v>
      </c>
      <c r="D931" s="102" t="s">
        <v>1186</v>
      </c>
      <c r="E931" s="103" t="s">
        <v>471</v>
      </c>
      <c r="F931" s="102" t="s">
        <v>165</v>
      </c>
      <c r="G931" s="103" t="s">
        <v>20</v>
      </c>
      <c r="H931" s="103"/>
      <c r="I931" s="103">
        <v>201507</v>
      </c>
      <c r="J931" s="104">
        <v>-191.1</v>
      </c>
      <c r="K931" s="72">
        <f t="shared" si="74"/>
        <v>42675</v>
      </c>
      <c r="L931" s="67">
        <f t="shared" si="70"/>
        <v>6</v>
      </c>
      <c r="M931" s="105">
        <v>1.4833299999999999E-3</v>
      </c>
      <c r="N931" s="104">
        <f t="shared" si="71"/>
        <v>-1.700786178</v>
      </c>
      <c r="O931" s="66"/>
      <c r="P931" s="71">
        <f t="shared" si="72"/>
        <v>0</v>
      </c>
      <c r="Q931" s="132"/>
      <c r="R931" s="71">
        <f t="shared" si="73"/>
        <v>-2.9241086874999995</v>
      </c>
    </row>
    <row r="932" spans="1:18">
      <c r="A932" s="102" t="s">
        <v>626</v>
      </c>
      <c r="B932" s="103" t="s">
        <v>1277</v>
      </c>
      <c r="C932" s="103" t="s">
        <v>1278</v>
      </c>
      <c r="D932" s="102" t="s">
        <v>1279</v>
      </c>
      <c r="E932" s="103" t="s">
        <v>471</v>
      </c>
      <c r="F932" s="102" t="s">
        <v>165</v>
      </c>
      <c r="G932" s="103" t="s">
        <v>20</v>
      </c>
      <c r="H932" s="103"/>
      <c r="I932" s="103">
        <v>201507</v>
      </c>
      <c r="J932" s="104">
        <v>-2277.62</v>
      </c>
      <c r="K932" s="72">
        <f t="shared" si="74"/>
        <v>42675</v>
      </c>
      <c r="L932" s="67">
        <f t="shared" si="70"/>
        <v>6</v>
      </c>
      <c r="M932" s="105">
        <v>1.4833299999999999E-3</v>
      </c>
      <c r="N932" s="104">
        <f t="shared" si="71"/>
        <v>-20.270772447599999</v>
      </c>
      <c r="O932" s="66"/>
      <c r="P932" s="71">
        <f t="shared" si="72"/>
        <v>0</v>
      </c>
      <c r="Q932" s="132"/>
      <c r="R932" s="71">
        <f t="shared" si="73"/>
        <v>-34.850907529166662</v>
      </c>
    </row>
    <row r="933" spans="1:18">
      <c r="A933" s="106" t="s">
        <v>626</v>
      </c>
      <c r="B933" s="103" t="s">
        <v>1224</v>
      </c>
      <c r="C933" s="103" t="s">
        <v>1225</v>
      </c>
      <c r="D933" s="102" t="s">
        <v>1226</v>
      </c>
      <c r="E933" s="103" t="s">
        <v>164</v>
      </c>
      <c r="F933" s="102" t="s">
        <v>165</v>
      </c>
      <c r="G933" s="103" t="s">
        <v>20</v>
      </c>
      <c r="H933" s="103"/>
      <c r="I933" s="103">
        <v>201507</v>
      </c>
      <c r="J933" s="104">
        <v>-588.25</v>
      </c>
      <c r="K933" s="72">
        <f t="shared" si="74"/>
        <v>42675</v>
      </c>
      <c r="L933" s="67">
        <f t="shared" si="70"/>
        <v>6</v>
      </c>
      <c r="M933" s="105">
        <v>1.4833299999999999E-3</v>
      </c>
      <c r="N933" s="104">
        <f t="shared" si="71"/>
        <v>-5.2354132350000002</v>
      </c>
      <c r="O933" s="66"/>
      <c r="P933" s="71">
        <f t="shared" si="72"/>
        <v>0</v>
      </c>
      <c r="Q933" s="132"/>
      <c r="R933" s="71">
        <f t="shared" si="73"/>
        <v>-9.0010828645833314</v>
      </c>
    </row>
    <row r="934" spans="1:18">
      <c r="A934" s="102" t="s">
        <v>626</v>
      </c>
      <c r="B934" s="103" t="s">
        <v>1280</v>
      </c>
      <c r="C934" s="103" t="s">
        <v>1281</v>
      </c>
      <c r="D934" s="102" t="s">
        <v>1282</v>
      </c>
      <c r="E934" s="103" t="s">
        <v>164</v>
      </c>
      <c r="F934" s="102" t="s">
        <v>165</v>
      </c>
      <c r="G934" s="103" t="s">
        <v>20</v>
      </c>
      <c r="H934" s="103"/>
      <c r="I934" s="103">
        <v>201507</v>
      </c>
      <c r="J934" s="104">
        <v>-82.19</v>
      </c>
      <c r="K934" s="72">
        <f t="shared" si="74"/>
        <v>42675</v>
      </c>
      <c r="L934" s="67">
        <f t="shared" si="70"/>
        <v>6</v>
      </c>
      <c r="M934" s="105">
        <v>1.4833299999999999E-3</v>
      </c>
      <c r="N934" s="104">
        <f t="shared" si="71"/>
        <v>-0.7314893562</v>
      </c>
      <c r="O934" s="66"/>
      <c r="P934" s="71">
        <f t="shared" si="72"/>
        <v>0</v>
      </c>
      <c r="Q934" s="132"/>
      <c r="R934" s="71">
        <f t="shared" si="73"/>
        <v>-1.2576268604166665</v>
      </c>
    </row>
    <row r="935" spans="1:18">
      <c r="A935" s="102" t="s">
        <v>626</v>
      </c>
      <c r="B935" s="103" t="s">
        <v>1333</v>
      </c>
      <c r="C935" s="103" t="s">
        <v>1334</v>
      </c>
      <c r="D935" s="102" t="s">
        <v>1335</v>
      </c>
      <c r="E935" s="103" t="s">
        <v>164</v>
      </c>
      <c r="F935" s="102" t="s">
        <v>165</v>
      </c>
      <c r="G935" s="103" t="s">
        <v>20</v>
      </c>
      <c r="H935" s="103"/>
      <c r="I935" s="103">
        <v>201507</v>
      </c>
      <c r="J935" s="104">
        <v>-380.16</v>
      </c>
      <c r="K935" s="72">
        <f t="shared" si="74"/>
        <v>42675</v>
      </c>
      <c r="L935" s="67">
        <f t="shared" si="70"/>
        <v>6</v>
      </c>
      <c r="M935" s="105">
        <v>1.4833299999999999E-3</v>
      </c>
      <c r="N935" s="104">
        <f t="shared" si="71"/>
        <v>-3.3834163968000004</v>
      </c>
      <c r="O935" s="66"/>
      <c r="P935" s="71">
        <f t="shared" si="72"/>
        <v>0</v>
      </c>
      <c r="Q935" s="132"/>
      <c r="R935" s="71">
        <f t="shared" si="73"/>
        <v>-5.8170023999999998</v>
      </c>
    </row>
    <row r="936" spans="1:18">
      <c r="A936" s="102" t="s">
        <v>626</v>
      </c>
      <c r="B936" s="103" t="s">
        <v>1485</v>
      </c>
      <c r="C936" s="103" t="s">
        <v>1486</v>
      </c>
      <c r="D936" s="102" t="s">
        <v>1487</v>
      </c>
      <c r="E936" s="103" t="s">
        <v>164</v>
      </c>
      <c r="F936" s="102" t="s">
        <v>165</v>
      </c>
      <c r="G936" s="103" t="s">
        <v>20</v>
      </c>
      <c r="H936" s="103"/>
      <c r="I936" s="103">
        <v>201507</v>
      </c>
      <c r="J936" s="104">
        <v>-10.49</v>
      </c>
      <c r="K936" s="72">
        <f t="shared" si="74"/>
        <v>42675</v>
      </c>
      <c r="L936" s="67">
        <f t="shared" si="70"/>
        <v>6</v>
      </c>
      <c r="M936" s="105">
        <v>1.4833299999999999E-3</v>
      </c>
      <c r="N936" s="104">
        <f t="shared" si="71"/>
        <v>-9.3360790200000002E-2</v>
      </c>
      <c r="O936" s="66"/>
      <c r="P936" s="71">
        <f t="shared" si="72"/>
        <v>0</v>
      </c>
      <c r="Q936" s="132"/>
      <c r="R936" s="71">
        <f t="shared" si="73"/>
        <v>-0.16051229791666666</v>
      </c>
    </row>
    <row r="937" spans="1:18">
      <c r="A937" s="106" t="s">
        <v>626</v>
      </c>
      <c r="B937" s="103" t="s">
        <v>1342</v>
      </c>
      <c r="C937" s="103" t="s">
        <v>1343</v>
      </c>
      <c r="D937" s="102" t="s">
        <v>1344</v>
      </c>
      <c r="E937" s="103" t="s">
        <v>164</v>
      </c>
      <c r="F937" s="102" t="s">
        <v>165</v>
      </c>
      <c r="G937" s="103" t="s">
        <v>20</v>
      </c>
      <c r="H937" s="103"/>
      <c r="I937" s="103">
        <v>201507</v>
      </c>
      <c r="J937" s="104">
        <v>-1580.32</v>
      </c>
      <c r="K937" s="72">
        <f t="shared" si="74"/>
        <v>42675</v>
      </c>
      <c r="L937" s="67">
        <f t="shared" si="70"/>
        <v>6</v>
      </c>
      <c r="M937" s="105">
        <v>1.4833299999999999E-3</v>
      </c>
      <c r="N937" s="104">
        <f t="shared" si="71"/>
        <v>-14.064816393599999</v>
      </c>
      <c r="O937" s="66"/>
      <c r="P937" s="71">
        <f t="shared" si="72"/>
        <v>0</v>
      </c>
      <c r="Q937" s="132"/>
      <c r="R937" s="71">
        <f t="shared" si="73"/>
        <v>-24.181200633333329</v>
      </c>
    </row>
    <row r="938" spans="1:18">
      <c r="A938" s="106" t="s">
        <v>626</v>
      </c>
      <c r="B938" s="103" t="s">
        <v>1548</v>
      </c>
      <c r="C938" s="103" t="s">
        <v>1549</v>
      </c>
      <c r="D938" s="102" t="s">
        <v>1550</v>
      </c>
      <c r="E938" s="103" t="s">
        <v>164</v>
      </c>
      <c r="F938" s="102" t="s">
        <v>165</v>
      </c>
      <c r="G938" s="103" t="s">
        <v>20</v>
      </c>
      <c r="H938" s="103"/>
      <c r="I938" s="103">
        <v>201507</v>
      </c>
      <c r="J938" s="104">
        <v>919135.14</v>
      </c>
      <c r="K938" s="72">
        <f t="shared" si="74"/>
        <v>42675</v>
      </c>
      <c r="L938" s="67">
        <f t="shared" si="70"/>
        <v>6</v>
      </c>
      <c r="M938" s="105">
        <v>1.4833299999999999E-3</v>
      </c>
      <c r="N938" s="104">
        <f t="shared" si="71"/>
        <v>8180.2843632971999</v>
      </c>
      <c r="O938" s="66"/>
      <c r="P938" s="71">
        <f t="shared" si="72"/>
        <v>0</v>
      </c>
      <c r="Q938" s="132"/>
      <c r="R938" s="71">
        <f t="shared" si="73"/>
        <v>14064.108047412499</v>
      </c>
    </row>
    <row r="939" spans="1:18">
      <c r="A939" s="102" t="s">
        <v>626</v>
      </c>
      <c r="B939" s="103" t="s">
        <v>1444</v>
      </c>
      <c r="C939" s="103" t="s">
        <v>1445</v>
      </c>
      <c r="D939" s="102" t="s">
        <v>1282</v>
      </c>
      <c r="E939" s="103" t="s">
        <v>164</v>
      </c>
      <c r="F939" s="102" t="s">
        <v>165</v>
      </c>
      <c r="G939" s="103" t="s">
        <v>20</v>
      </c>
      <c r="H939" s="103"/>
      <c r="I939" s="103">
        <v>201507</v>
      </c>
      <c r="J939" s="104">
        <v>4029.27</v>
      </c>
      <c r="K939" s="72">
        <f t="shared" si="74"/>
        <v>42675</v>
      </c>
      <c r="L939" s="67">
        <f t="shared" si="70"/>
        <v>6</v>
      </c>
      <c r="M939" s="105">
        <v>1.4833299999999999E-3</v>
      </c>
      <c r="N939" s="104">
        <f t="shared" si="71"/>
        <v>35.860422414600002</v>
      </c>
      <c r="O939" s="66"/>
      <c r="P939" s="71">
        <f t="shared" si="72"/>
        <v>0</v>
      </c>
      <c r="Q939" s="132"/>
      <c r="R939" s="71">
        <f t="shared" si="73"/>
        <v>61.653707018749991</v>
      </c>
    </row>
    <row r="940" spans="1:18">
      <c r="A940" s="106" t="s">
        <v>626</v>
      </c>
      <c r="B940" s="103" t="s">
        <v>1386</v>
      </c>
      <c r="C940" s="103" t="s">
        <v>1387</v>
      </c>
      <c r="D940" s="102" t="s">
        <v>1388</v>
      </c>
      <c r="E940" s="103" t="s">
        <v>164</v>
      </c>
      <c r="F940" s="102" t="s">
        <v>165</v>
      </c>
      <c r="G940" s="103" t="s">
        <v>20</v>
      </c>
      <c r="H940" s="103"/>
      <c r="I940" s="103">
        <v>201507</v>
      </c>
      <c r="J940" s="104">
        <v>-189.16</v>
      </c>
      <c r="K940" s="72">
        <f t="shared" si="74"/>
        <v>42675</v>
      </c>
      <c r="L940" s="67">
        <f t="shared" si="70"/>
        <v>6</v>
      </c>
      <c r="M940" s="105">
        <v>1.4833299999999999E-3</v>
      </c>
      <c r="N940" s="104">
        <f t="shared" si="71"/>
        <v>-1.6835202168000001</v>
      </c>
      <c r="O940" s="66"/>
      <c r="P940" s="71">
        <f t="shared" si="72"/>
        <v>0</v>
      </c>
      <c r="Q940" s="132"/>
      <c r="R940" s="71">
        <f t="shared" si="73"/>
        <v>-2.8944238583333326</v>
      </c>
    </row>
    <row r="941" spans="1:18">
      <c r="A941" s="102" t="s">
        <v>626</v>
      </c>
      <c r="B941" s="103" t="s">
        <v>1496</v>
      </c>
      <c r="C941" s="103" t="s">
        <v>1497</v>
      </c>
      <c r="D941" s="102" t="s">
        <v>1498</v>
      </c>
      <c r="E941" s="103" t="s">
        <v>164</v>
      </c>
      <c r="F941" s="102" t="s">
        <v>165</v>
      </c>
      <c r="G941" s="103" t="s">
        <v>20</v>
      </c>
      <c r="H941" s="103"/>
      <c r="I941" s="103">
        <v>201507</v>
      </c>
      <c r="J941" s="104">
        <v>18030.41</v>
      </c>
      <c r="K941" s="72">
        <f t="shared" si="74"/>
        <v>42675</v>
      </c>
      <c r="L941" s="67">
        <f t="shared" si="70"/>
        <v>6</v>
      </c>
      <c r="M941" s="105">
        <v>1.4833299999999999E-3</v>
      </c>
      <c r="N941" s="104">
        <f t="shared" si="71"/>
        <v>160.47028839180001</v>
      </c>
      <c r="O941" s="66"/>
      <c r="P941" s="71">
        <f t="shared" si="72"/>
        <v>0</v>
      </c>
      <c r="Q941" s="132"/>
      <c r="R941" s="71">
        <f t="shared" si="73"/>
        <v>275.89156734791663</v>
      </c>
    </row>
    <row r="942" spans="1:18">
      <c r="A942" s="102" t="s">
        <v>626</v>
      </c>
      <c r="B942" s="103" t="s">
        <v>1551</v>
      </c>
      <c r="C942" s="103" t="s">
        <v>1552</v>
      </c>
      <c r="D942" s="102" t="s">
        <v>1344</v>
      </c>
      <c r="E942" s="103" t="s">
        <v>164</v>
      </c>
      <c r="F942" s="102" t="s">
        <v>165</v>
      </c>
      <c r="G942" s="103" t="s">
        <v>20</v>
      </c>
      <c r="H942" s="103"/>
      <c r="I942" s="103">
        <v>201507</v>
      </c>
      <c r="J942" s="104">
        <v>22649.81</v>
      </c>
      <c r="K942" s="72">
        <f t="shared" si="74"/>
        <v>42675</v>
      </c>
      <c r="L942" s="67">
        <f t="shared" si="70"/>
        <v>6</v>
      </c>
      <c r="M942" s="105">
        <v>1.4833299999999999E-3</v>
      </c>
      <c r="N942" s="104">
        <f t="shared" si="71"/>
        <v>201.5828560038</v>
      </c>
      <c r="O942" s="66"/>
      <c r="P942" s="71">
        <f t="shared" si="72"/>
        <v>0</v>
      </c>
      <c r="Q942" s="132"/>
      <c r="R942" s="71">
        <f t="shared" si="73"/>
        <v>346.57512397291663</v>
      </c>
    </row>
    <row r="943" spans="1:18">
      <c r="A943" s="102" t="s">
        <v>626</v>
      </c>
      <c r="B943" s="103" t="s">
        <v>1553</v>
      </c>
      <c r="C943" s="103" t="s">
        <v>1554</v>
      </c>
      <c r="D943" s="102" t="s">
        <v>1344</v>
      </c>
      <c r="E943" s="103" t="s">
        <v>164</v>
      </c>
      <c r="F943" s="102" t="s">
        <v>165</v>
      </c>
      <c r="G943" s="103" t="s">
        <v>20</v>
      </c>
      <c r="H943" s="103"/>
      <c r="I943" s="103">
        <v>201507</v>
      </c>
      <c r="J943" s="104">
        <v>44420.480000000003</v>
      </c>
      <c r="K943" s="72">
        <f t="shared" si="74"/>
        <v>42675</v>
      </c>
      <c r="L943" s="67">
        <f t="shared" si="70"/>
        <v>6</v>
      </c>
      <c r="M943" s="105">
        <v>1.4833299999999999E-3</v>
      </c>
      <c r="N943" s="104">
        <f t="shared" si="71"/>
        <v>395.34138359040003</v>
      </c>
      <c r="O943" s="66"/>
      <c r="P943" s="71">
        <f t="shared" si="72"/>
        <v>0</v>
      </c>
      <c r="Q943" s="132"/>
      <c r="R943" s="71">
        <f t="shared" si="73"/>
        <v>679.69812386666661</v>
      </c>
    </row>
    <row r="944" spans="1:18">
      <c r="A944" s="106" t="s">
        <v>29</v>
      </c>
      <c r="B944" s="103" t="s">
        <v>195</v>
      </c>
      <c r="C944" s="103" t="s">
        <v>196</v>
      </c>
      <c r="D944" s="102" t="s">
        <v>197</v>
      </c>
      <c r="E944" s="103" t="s">
        <v>198</v>
      </c>
      <c r="F944" s="102" t="s">
        <v>199</v>
      </c>
      <c r="G944" s="103" t="s">
        <v>20</v>
      </c>
      <c r="H944" s="103"/>
      <c r="I944" s="103">
        <v>201507</v>
      </c>
      <c r="J944" s="104">
        <v>109630.12</v>
      </c>
      <c r="K944" s="72">
        <f t="shared" si="74"/>
        <v>42675</v>
      </c>
      <c r="L944" s="67">
        <f t="shared" si="70"/>
        <v>6</v>
      </c>
      <c r="M944" s="105">
        <v>2.23333E-3</v>
      </c>
      <c r="N944" s="104">
        <f t="shared" si="71"/>
        <v>1469.0414153975998</v>
      </c>
      <c r="O944" s="66"/>
      <c r="P944" s="71">
        <f t="shared" si="72"/>
        <v>0</v>
      </c>
      <c r="Q944" s="132"/>
      <c r="R944" s="71">
        <f t="shared" si="73"/>
        <v>1677.500713258333</v>
      </c>
    </row>
    <row r="945" spans="1:18">
      <c r="A945" s="106" t="s">
        <v>29</v>
      </c>
      <c r="B945" s="103" t="s">
        <v>200</v>
      </c>
      <c r="C945" s="103" t="s">
        <v>201</v>
      </c>
      <c r="D945" s="102" t="s">
        <v>197</v>
      </c>
      <c r="E945" s="103" t="s">
        <v>202</v>
      </c>
      <c r="F945" s="102" t="s">
        <v>199</v>
      </c>
      <c r="G945" s="103" t="s">
        <v>20</v>
      </c>
      <c r="H945" s="103"/>
      <c r="I945" s="103">
        <v>201507</v>
      </c>
      <c r="J945" s="104">
        <v>7705.14</v>
      </c>
      <c r="K945" s="72">
        <f t="shared" si="74"/>
        <v>42675</v>
      </c>
      <c r="L945" s="67">
        <f t="shared" si="70"/>
        <v>6</v>
      </c>
      <c r="M945" s="105">
        <v>2.23333E-3</v>
      </c>
      <c r="N945" s="104">
        <f t="shared" si="71"/>
        <v>103.2487218972</v>
      </c>
      <c r="O945" s="66"/>
      <c r="P945" s="71">
        <f t="shared" si="72"/>
        <v>0</v>
      </c>
      <c r="Q945" s="132"/>
      <c r="R945" s="71">
        <f t="shared" si="73"/>
        <v>117.8998786625</v>
      </c>
    </row>
    <row r="946" spans="1:18">
      <c r="A946" s="106" t="s">
        <v>29</v>
      </c>
      <c r="B946" s="103" t="s">
        <v>239</v>
      </c>
      <c r="C946" s="103" t="s">
        <v>240</v>
      </c>
      <c r="D946" s="102" t="s">
        <v>197</v>
      </c>
      <c r="E946" s="103" t="s">
        <v>241</v>
      </c>
      <c r="F946" s="102" t="s">
        <v>199</v>
      </c>
      <c r="G946" s="103" t="s">
        <v>20</v>
      </c>
      <c r="H946" s="103"/>
      <c r="I946" s="103">
        <v>201507</v>
      </c>
      <c r="J946" s="104">
        <v>2617.29</v>
      </c>
      <c r="K946" s="72">
        <f t="shared" si="74"/>
        <v>42675</v>
      </c>
      <c r="L946" s="67">
        <f t="shared" si="70"/>
        <v>6</v>
      </c>
      <c r="M946" s="105">
        <v>2.23333E-3</v>
      </c>
      <c r="N946" s="104">
        <f t="shared" si="71"/>
        <v>35.071633654199999</v>
      </c>
      <c r="O946" s="66"/>
      <c r="P946" s="71">
        <f t="shared" si="72"/>
        <v>0</v>
      </c>
      <c r="Q946" s="132"/>
      <c r="R946" s="71">
        <f t="shared" si="73"/>
        <v>40.048353881249994</v>
      </c>
    </row>
    <row r="947" spans="1:18">
      <c r="A947" s="106" t="s">
        <v>29</v>
      </c>
      <c r="B947" s="103" t="s">
        <v>271</v>
      </c>
      <c r="C947" s="103" t="s">
        <v>272</v>
      </c>
      <c r="D947" s="102" t="s">
        <v>197</v>
      </c>
      <c r="E947" s="103" t="s">
        <v>273</v>
      </c>
      <c r="F947" s="102" t="s">
        <v>199</v>
      </c>
      <c r="G947" s="103" t="s">
        <v>20</v>
      </c>
      <c r="H947" s="103"/>
      <c r="I947" s="103">
        <v>201507</v>
      </c>
      <c r="J947" s="104">
        <v>7705.14</v>
      </c>
      <c r="K947" s="72">
        <f t="shared" si="74"/>
        <v>42675</v>
      </c>
      <c r="L947" s="67">
        <f t="shared" si="70"/>
        <v>6</v>
      </c>
      <c r="M947" s="105">
        <v>2.23333E-3</v>
      </c>
      <c r="N947" s="104">
        <f t="shared" si="71"/>
        <v>103.2487218972</v>
      </c>
      <c r="O947" s="66"/>
      <c r="P947" s="71">
        <f t="shared" si="72"/>
        <v>0</v>
      </c>
      <c r="Q947" s="132"/>
      <c r="R947" s="71">
        <f t="shared" si="73"/>
        <v>117.8998786625</v>
      </c>
    </row>
    <row r="948" spans="1:18">
      <c r="A948" s="106" t="s">
        <v>29</v>
      </c>
      <c r="B948" s="103" t="s">
        <v>292</v>
      </c>
      <c r="C948" s="103" t="s">
        <v>293</v>
      </c>
      <c r="D948" s="102" t="s">
        <v>197</v>
      </c>
      <c r="E948" s="103" t="s">
        <v>294</v>
      </c>
      <c r="F948" s="102" t="s">
        <v>199</v>
      </c>
      <c r="G948" s="103" t="s">
        <v>20</v>
      </c>
      <c r="H948" s="103"/>
      <c r="I948" s="103">
        <v>201507</v>
      </c>
      <c r="J948" s="104">
        <v>14762.49</v>
      </c>
      <c r="K948" s="72">
        <f t="shared" si="74"/>
        <v>42675</v>
      </c>
      <c r="L948" s="67">
        <f t="shared" si="70"/>
        <v>6</v>
      </c>
      <c r="M948" s="105">
        <v>2.23333E-3</v>
      </c>
      <c r="N948" s="104">
        <f t="shared" si="71"/>
        <v>197.81707075019997</v>
      </c>
      <c r="O948" s="66"/>
      <c r="P948" s="71">
        <f t="shared" si="72"/>
        <v>0</v>
      </c>
      <c r="Q948" s="132"/>
      <c r="R948" s="71">
        <f t="shared" si="73"/>
        <v>225.88762563124996</v>
      </c>
    </row>
    <row r="949" spans="1:18">
      <c r="A949" s="106" t="s">
        <v>21</v>
      </c>
      <c r="B949" s="103" t="s">
        <v>1079</v>
      </c>
      <c r="C949" s="103" t="s">
        <v>1080</v>
      </c>
      <c r="D949" s="102" t="s">
        <v>1081</v>
      </c>
      <c r="E949" s="103" t="s">
        <v>102</v>
      </c>
      <c r="F949" s="102" t="s">
        <v>19</v>
      </c>
      <c r="G949" s="103" t="s">
        <v>20</v>
      </c>
      <c r="H949" s="103"/>
      <c r="I949" s="103">
        <v>201507</v>
      </c>
      <c r="J949" s="104">
        <v>-2.14</v>
      </c>
      <c r="K949" s="72">
        <f t="shared" si="74"/>
        <v>42675</v>
      </c>
      <c r="L949" s="67">
        <f t="shared" si="70"/>
        <v>6</v>
      </c>
      <c r="M949" s="105">
        <v>1.4833299999999999E-3</v>
      </c>
      <c r="N949" s="104">
        <f t="shared" si="71"/>
        <v>-1.9045957200000001E-2</v>
      </c>
      <c r="O949" s="66"/>
      <c r="P949" s="71">
        <f t="shared" si="72"/>
        <v>0</v>
      </c>
      <c r="Q949" s="132"/>
      <c r="R949" s="71">
        <f t="shared" si="73"/>
        <v>-3.2745120833333335E-2</v>
      </c>
    </row>
    <row r="950" spans="1:18">
      <c r="A950" s="102" t="s">
        <v>21</v>
      </c>
      <c r="B950" s="103" t="s">
        <v>1191</v>
      </c>
      <c r="C950" s="103" t="s">
        <v>1192</v>
      </c>
      <c r="D950" s="102" t="s">
        <v>1193</v>
      </c>
      <c r="E950" s="103" t="s">
        <v>402</v>
      </c>
      <c r="F950" s="102" t="s">
        <v>19</v>
      </c>
      <c r="G950" s="103" t="s">
        <v>20</v>
      </c>
      <c r="H950" s="103"/>
      <c r="I950" s="103">
        <v>201507</v>
      </c>
      <c r="J950" s="104">
        <v>-1265.3399999999999</v>
      </c>
      <c r="K950" s="72">
        <f t="shared" si="74"/>
        <v>42675</v>
      </c>
      <c r="L950" s="67">
        <f t="shared" si="70"/>
        <v>6</v>
      </c>
      <c r="M950" s="105">
        <v>1.4833299999999999E-3</v>
      </c>
      <c r="N950" s="104">
        <f t="shared" si="71"/>
        <v>-11.261500693199999</v>
      </c>
      <c r="O950" s="66"/>
      <c r="P950" s="71">
        <f t="shared" si="72"/>
        <v>0</v>
      </c>
      <c r="Q950" s="132"/>
      <c r="R950" s="71">
        <f t="shared" si="73"/>
        <v>-19.361547287499999</v>
      </c>
    </row>
    <row r="951" spans="1:18">
      <c r="A951" s="102" t="s">
        <v>626</v>
      </c>
      <c r="B951" s="103" t="s">
        <v>1197</v>
      </c>
      <c r="C951" s="103" t="s">
        <v>1198</v>
      </c>
      <c r="D951" s="102" t="s">
        <v>1199</v>
      </c>
      <c r="E951" s="103" t="s">
        <v>18</v>
      </c>
      <c r="F951" s="102" t="s">
        <v>19</v>
      </c>
      <c r="G951" s="103" t="s">
        <v>20</v>
      </c>
      <c r="H951" s="103"/>
      <c r="I951" s="103">
        <v>201507</v>
      </c>
      <c r="J951" s="104">
        <v>-224.8</v>
      </c>
      <c r="K951" s="72">
        <f t="shared" si="74"/>
        <v>42675</v>
      </c>
      <c r="L951" s="67">
        <f t="shared" si="70"/>
        <v>6</v>
      </c>
      <c r="M951" s="105">
        <v>1.4833299999999999E-3</v>
      </c>
      <c r="N951" s="104">
        <f t="shared" si="71"/>
        <v>-2.000715504</v>
      </c>
      <c r="O951" s="66"/>
      <c r="P951" s="71">
        <f t="shared" si="72"/>
        <v>0</v>
      </c>
      <c r="Q951" s="132"/>
      <c r="R951" s="71">
        <f t="shared" si="73"/>
        <v>-3.4397678333333332</v>
      </c>
    </row>
    <row r="952" spans="1:18">
      <c r="A952" s="106" t="s">
        <v>21</v>
      </c>
      <c r="B952" s="103" t="s">
        <v>1303</v>
      </c>
      <c r="C952" s="103" t="s">
        <v>1304</v>
      </c>
      <c r="D952" s="102" t="s">
        <v>1305</v>
      </c>
      <c r="E952" s="103" t="s">
        <v>18</v>
      </c>
      <c r="F952" s="102" t="s">
        <v>19</v>
      </c>
      <c r="G952" s="103" t="s">
        <v>20</v>
      </c>
      <c r="H952" s="103"/>
      <c r="I952" s="103">
        <v>201507</v>
      </c>
      <c r="J952" s="104">
        <v>-28.81</v>
      </c>
      <c r="K952" s="72">
        <f t="shared" si="74"/>
        <v>42675</v>
      </c>
      <c r="L952" s="67">
        <f t="shared" si="70"/>
        <v>6</v>
      </c>
      <c r="M952" s="105">
        <v>1.4833299999999999E-3</v>
      </c>
      <c r="N952" s="104">
        <f t="shared" si="71"/>
        <v>-0.25640842380000001</v>
      </c>
      <c r="O952" s="66"/>
      <c r="P952" s="71">
        <f t="shared" si="72"/>
        <v>0</v>
      </c>
      <c r="Q952" s="132"/>
      <c r="R952" s="71">
        <f t="shared" si="73"/>
        <v>-0.44083501458333324</v>
      </c>
    </row>
    <row r="953" spans="1:18">
      <c r="A953" s="102" t="s">
        <v>626</v>
      </c>
      <c r="B953" s="103" t="s">
        <v>1555</v>
      </c>
      <c r="C953" s="103" t="s">
        <v>1556</v>
      </c>
      <c r="D953" s="102" t="s">
        <v>1557</v>
      </c>
      <c r="E953" s="103" t="s">
        <v>18</v>
      </c>
      <c r="F953" s="102" t="s">
        <v>19</v>
      </c>
      <c r="G953" s="103" t="s">
        <v>20</v>
      </c>
      <c r="H953" s="103"/>
      <c r="I953" s="103">
        <v>201507</v>
      </c>
      <c r="J953" s="104">
        <v>-105.97</v>
      </c>
      <c r="K953" s="72">
        <f t="shared" si="74"/>
        <v>42675</v>
      </c>
      <c r="L953" s="67">
        <f t="shared" si="70"/>
        <v>6</v>
      </c>
      <c r="M953" s="105">
        <v>1.4833299999999999E-3</v>
      </c>
      <c r="N953" s="104">
        <f t="shared" si="71"/>
        <v>-0.94313088059999994</v>
      </c>
      <c r="O953" s="66"/>
      <c r="P953" s="71">
        <f t="shared" si="72"/>
        <v>0</v>
      </c>
      <c r="Q953" s="132"/>
      <c r="R953" s="71">
        <f t="shared" si="73"/>
        <v>-1.621495539583333</v>
      </c>
    </row>
    <row r="954" spans="1:18">
      <c r="A954" s="102" t="s">
        <v>21</v>
      </c>
      <c r="B954" s="103" t="s">
        <v>1306</v>
      </c>
      <c r="C954" s="103" t="s">
        <v>1307</v>
      </c>
      <c r="D954" s="102" t="s">
        <v>1308</v>
      </c>
      <c r="E954" s="103" t="s">
        <v>18</v>
      </c>
      <c r="F954" s="102" t="s">
        <v>19</v>
      </c>
      <c r="G954" s="103" t="s">
        <v>20</v>
      </c>
      <c r="H954" s="103"/>
      <c r="I954" s="103">
        <v>201507</v>
      </c>
      <c r="J954" s="104">
        <v>-1093.23</v>
      </c>
      <c r="K954" s="72">
        <f t="shared" si="74"/>
        <v>42675</v>
      </c>
      <c r="L954" s="67">
        <f t="shared" si="70"/>
        <v>6</v>
      </c>
      <c r="M954" s="105">
        <v>1.4833299999999999E-3</v>
      </c>
      <c r="N954" s="104">
        <f t="shared" si="71"/>
        <v>-9.7297251354000007</v>
      </c>
      <c r="O954" s="66"/>
      <c r="P954" s="71">
        <f t="shared" si="72"/>
        <v>0</v>
      </c>
      <c r="Q954" s="132"/>
      <c r="R954" s="71">
        <f t="shared" si="73"/>
        <v>-16.728013293749999</v>
      </c>
    </row>
    <row r="955" spans="1:18">
      <c r="A955" s="102" t="s">
        <v>626</v>
      </c>
      <c r="B955" s="103" t="s">
        <v>1106</v>
      </c>
      <c r="C955" s="103" t="s">
        <v>1107</v>
      </c>
      <c r="D955" s="102" t="s">
        <v>1108</v>
      </c>
      <c r="E955" s="103" t="s">
        <v>18</v>
      </c>
      <c r="F955" s="102" t="s">
        <v>19</v>
      </c>
      <c r="G955" s="103" t="s">
        <v>20</v>
      </c>
      <c r="H955" s="103"/>
      <c r="I955" s="103">
        <v>201507</v>
      </c>
      <c r="J955" s="104">
        <v>-163.03</v>
      </c>
      <c r="K955" s="72">
        <f t="shared" si="74"/>
        <v>42675</v>
      </c>
      <c r="L955" s="67">
        <f t="shared" si="70"/>
        <v>6</v>
      </c>
      <c r="M955" s="105">
        <v>1.4833299999999999E-3</v>
      </c>
      <c r="N955" s="104">
        <f t="shared" si="71"/>
        <v>-1.4509637394000001</v>
      </c>
      <c r="O955" s="66"/>
      <c r="P955" s="71">
        <f t="shared" si="72"/>
        <v>0</v>
      </c>
      <c r="Q955" s="132"/>
      <c r="R955" s="71">
        <f t="shared" si="73"/>
        <v>-2.494596752083333</v>
      </c>
    </row>
    <row r="956" spans="1:18">
      <c r="A956" s="102" t="s">
        <v>21</v>
      </c>
      <c r="B956" s="103" t="s">
        <v>978</v>
      </c>
      <c r="C956" s="103" t="s">
        <v>979</v>
      </c>
      <c r="D956" s="102" t="s">
        <v>980</v>
      </c>
      <c r="E956" s="103" t="s">
        <v>102</v>
      </c>
      <c r="F956" s="102" t="s">
        <v>19</v>
      </c>
      <c r="G956" s="103" t="s">
        <v>20</v>
      </c>
      <c r="H956" s="103"/>
      <c r="I956" s="103">
        <v>201507</v>
      </c>
      <c r="J956" s="104">
        <v>-5.55</v>
      </c>
      <c r="K956" s="72">
        <f t="shared" si="74"/>
        <v>42675</v>
      </c>
      <c r="L956" s="67">
        <f t="shared" si="70"/>
        <v>6</v>
      </c>
      <c r="M956" s="105">
        <v>1.4833299999999999E-3</v>
      </c>
      <c r="N956" s="104">
        <f t="shared" si="71"/>
        <v>-4.9394888999999997E-2</v>
      </c>
      <c r="O956" s="66"/>
      <c r="P956" s="71">
        <f t="shared" si="72"/>
        <v>0</v>
      </c>
      <c r="Q956" s="132"/>
      <c r="R956" s="71">
        <f t="shared" si="73"/>
        <v>-8.4923093749999984E-2</v>
      </c>
    </row>
    <row r="957" spans="1:18">
      <c r="A957" s="106" t="s">
        <v>626</v>
      </c>
      <c r="B957" s="103" t="s">
        <v>1053</v>
      </c>
      <c r="C957" s="103" t="s">
        <v>1054</v>
      </c>
      <c r="D957" s="102" t="s">
        <v>1055</v>
      </c>
      <c r="E957" s="103" t="s">
        <v>160</v>
      </c>
      <c r="F957" s="102" t="s">
        <v>19</v>
      </c>
      <c r="G957" s="103" t="s">
        <v>20</v>
      </c>
      <c r="H957" s="103"/>
      <c r="I957" s="103">
        <v>201507</v>
      </c>
      <c r="J957" s="104">
        <v>-4.42</v>
      </c>
      <c r="K957" s="72">
        <f t="shared" si="74"/>
        <v>42675</v>
      </c>
      <c r="L957" s="67">
        <f t="shared" si="70"/>
        <v>6</v>
      </c>
      <c r="M957" s="105">
        <v>1.4833299999999999E-3</v>
      </c>
      <c r="N957" s="104">
        <f t="shared" si="71"/>
        <v>-3.9337911599999997E-2</v>
      </c>
      <c r="O957" s="66"/>
      <c r="P957" s="71">
        <f t="shared" si="72"/>
        <v>0</v>
      </c>
      <c r="Q957" s="132"/>
      <c r="R957" s="71">
        <f t="shared" si="73"/>
        <v>-6.7632445833333332E-2</v>
      </c>
    </row>
    <row r="958" spans="1:18">
      <c r="A958" s="106" t="s">
        <v>626</v>
      </c>
      <c r="B958" s="103" t="s">
        <v>1160</v>
      </c>
      <c r="C958" s="103" t="s">
        <v>1161</v>
      </c>
      <c r="D958" s="102" t="s">
        <v>1162</v>
      </c>
      <c r="E958" s="103" t="s">
        <v>160</v>
      </c>
      <c r="F958" s="102" t="s">
        <v>19</v>
      </c>
      <c r="G958" s="103" t="s">
        <v>20</v>
      </c>
      <c r="H958" s="103"/>
      <c r="I958" s="103">
        <v>201507</v>
      </c>
      <c r="J958" s="104">
        <v>-251.63</v>
      </c>
      <c r="K958" s="72">
        <f t="shared" si="74"/>
        <v>42675</v>
      </c>
      <c r="L958" s="67">
        <f t="shared" si="70"/>
        <v>6</v>
      </c>
      <c r="M958" s="105">
        <v>1.4833299999999999E-3</v>
      </c>
      <c r="N958" s="104">
        <f t="shared" si="71"/>
        <v>-2.2395019673999998</v>
      </c>
      <c r="O958" s="66"/>
      <c r="P958" s="71">
        <f t="shared" si="72"/>
        <v>0</v>
      </c>
      <c r="Q958" s="132"/>
      <c r="R958" s="71">
        <f t="shared" si="73"/>
        <v>-3.8503059604166663</v>
      </c>
    </row>
    <row r="959" spans="1:18">
      <c r="A959" s="106" t="s">
        <v>626</v>
      </c>
      <c r="B959" s="103" t="s">
        <v>1558</v>
      </c>
      <c r="C959" s="103" t="s">
        <v>1559</v>
      </c>
      <c r="D959" s="102" t="s">
        <v>1560</v>
      </c>
      <c r="E959" s="103" t="s">
        <v>160</v>
      </c>
      <c r="F959" s="102" t="s">
        <v>19</v>
      </c>
      <c r="G959" s="103" t="s">
        <v>20</v>
      </c>
      <c r="H959" s="103"/>
      <c r="I959" s="103">
        <v>201507</v>
      </c>
      <c r="J959" s="104">
        <v>-45.52</v>
      </c>
      <c r="K959" s="72">
        <f t="shared" si="74"/>
        <v>42675</v>
      </c>
      <c r="L959" s="67">
        <f t="shared" si="70"/>
        <v>6</v>
      </c>
      <c r="M959" s="105">
        <v>1.4833299999999999E-3</v>
      </c>
      <c r="N959" s="104">
        <f t="shared" si="71"/>
        <v>-0.40512708960000005</v>
      </c>
      <c r="O959" s="66"/>
      <c r="P959" s="71">
        <f t="shared" si="72"/>
        <v>0</v>
      </c>
      <c r="Q959" s="132"/>
      <c r="R959" s="71">
        <f t="shared" si="73"/>
        <v>-0.69652238333333338</v>
      </c>
    </row>
    <row r="960" spans="1:18">
      <c r="A960" s="106" t="s">
        <v>626</v>
      </c>
      <c r="B960" s="103" t="s">
        <v>987</v>
      </c>
      <c r="C960" s="103" t="s">
        <v>988</v>
      </c>
      <c r="D960" s="102" t="s">
        <v>989</v>
      </c>
      <c r="E960" s="103" t="s">
        <v>63</v>
      </c>
      <c r="F960" s="102" t="s">
        <v>19</v>
      </c>
      <c r="G960" s="103" t="s">
        <v>20</v>
      </c>
      <c r="H960" s="103"/>
      <c r="I960" s="103">
        <v>201507</v>
      </c>
      <c r="J960" s="104">
        <v>-2.69</v>
      </c>
      <c r="K960" s="72">
        <f t="shared" si="74"/>
        <v>42675</v>
      </c>
      <c r="L960" s="67">
        <f t="shared" si="70"/>
        <v>6</v>
      </c>
      <c r="M960" s="105">
        <v>1.4833299999999999E-3</v>
      </c>
      <c r="N960" s="104">
        <f t="shared" si="71"/>
        <v>-2.39409462E-2</v>
      </c>
      <c r="O960" s="66"/>
      <c r="P960" s="71">
        <f t="shared" si="72"/>
        <v>0</v>
      </c>
      <c r="Q960" s="132"/>
      <c r="R960" s="71">
        <f t="shared" si="73"/>
        <v>-4.1160922916666662E-2</v>
      </c>
    </row>
    <row r="961" spans="1:18">
      <c r="A961" s="102" t="s">
        <v>626</v>
      </c>
      <c r="B961" s="103" t="s">
        <v>1215</v>
      </c>
      <c r="C961" s="103" t="s">
        <v>1216</v>
      </c>
      <c r="D961" s="102" t="s">
        <v>1217</v>
      </c>
      <c r="E961" s="103" t="s">
        <v>102</v>
      </c>
      <c r="F961" s="102" t="s">
        <v>19</v>
      </c>
      <c r="G961" s="103" t="s">
        <v>20</v>
      </c>
      <c r="H961" s="103"/>
      <c r="I961" s="103">
        <v>201507</v>
      </c>
      <c r="J961" s="104">
        <v>-12.05</v>
      </c>
      <c r="K961" s="72">
        <f t="shared" si="74"/>
        <v>42675</v>
      </c>
      <c r="L961" s="67">
        <f t="shared" si="70"/>
        <v>6</v>
      </c>
      <c r="M961" s="105">
        <v>1.4833299999999999E-3</v>
      </c>
      <c r="N961" s="104">
        <f t="shared" si="71"/>
        <v>-0.10724475900000001</v>
      </c>
      <c r="O961" s="66"/>
      <c r="P961" s="71">
        <f t="shared" si="72"/>
        <v>0</v>
      </c>
      <c r="Q961" s="132"/>
      <c r="R961" s="71">
        <f t="shared" si="73"/>
        <v>-0.18438257291666665</v>
      </c>
    </row>
    <row r="962" spans="1:18">
      <c r="A962" s="102" t="s">
        <v>626</v>
      </c>
      <c r="B962" s="103" t="s">
        <v>1181</v>
      </c>
      <c r="C962" s="103" t="s">
        <v>1182</v>
      </c>
      <c r="D962" s="102" t="s">
        <v>1183</v>
      </c>
      <c r="E962" s="103" t="s">
        <v>18</v>
      </c>
      <c r="F962" s="102" t="s">
        <v>19</v>
      </c>
      <c r="G962" s="103" t="s">
        <v>20</v>
      </c>
      <c r="H962" s="103"/>
      <c r="I962" s="103">
        <v>201507</v>
      </c>
      <c r="J962" s="104">
        <v>-3.13</v>
      </c>
      <c r="K962" s="72">
        <f t="shared" si="74"/>
        <v>42675</v>
      </c>
      <c r="L962" s="67">
        <f t="shared" si="70"/>
        <v>6</v>
      </c>
      <c r="M962" s="105">
        <v>1.4833299999999999E-3</v>
      </c>
      <c r="N962" s="104">
        <f t="shared" si="71"/>
        <v>-2.78569374E-2</v>
      </c>
      <c r="O962" s="66"/>
      <c r="P962" s="71">
        <f t="shared" si="72"/>
        <v>0</v>
      </c>
      <c r="Q962" s="132"/>
      <c r="R962" s="71">
        <f t="shared" si="73"/>
        <v>-4.7893564583333326E-2</v>
      </c>
    </row>
    <row r="963" spans="1:18">
      <c r="A963" s="102" t="s">
        <v>21</v>
      </c>
      <c r="B963" s="103" t="s">
        <v>1221</v>
      </c>
      <c r="C963" s="103" t="s">
        <v>1222</v>
      </c>
      <c r="D963" s="102" t="s">
        <v>1223</v>
      </c>
      <c r="E963" s="103" t="s">
        <v>360</v>
      </c>
      <c r="F963" s="102" t="s">
        <v>19</v>
      </c>
      <c r="G963" s="103" t="s">
        <v>20</v>
      </c>
      <c r="H963" s="103"/>
      <c r="I963" s="103">
        <v>201507</v>
      </c>
      <c r="J963" s="104">
        <v>-320.39</v>
      </c>
      <c r="K963" s="72">
        <f t="shared" si="74"/>
        <v>42675</v>
      </c>
      <c r="L963" s="67">
        <f t="shared" si="70"/>
        <v>6</v>
      </c>
      <c r="M963" s="105">
        <v>1.4833299999999999E-3</v>
      </c>
      <c r="N963" s="104">
        <f t="shared" si="71"/>
        <v>-2.8514645921999997</v>
      </c>
      <c r="O963" s="66"/>
      <c r="P963" s="71">
        <f t="shared" si="72"/>
        <v>0</v>
      </c>
      <c r="Q963" s="132"/>
      <c r="R963" s="71">
        <f t="shared" si="73"/>
        <v>-4.9024342354166661</v>
      </c>
    </row>
    <row r="964" spans="1:18">
      <c r="A964" s="106" t="s">
        <v>626</v>
      </c>
      <c r="B964" s="103" t="s">
        <v>1561</v>
      </c>
      <c r="C964" s="103" t="s">
        <v>1562</v>
      </c>
      <c r="D964" s="102" t="s">
        <v>1563</v>
      </c>
      <c r="E964" s="103" t="s">
        <v>160</v>
      </c>
      <c r="F964" s="102" t="s">
        <v>19</v>
      </c>
      <c r="G964" s="103" t="s">
        <v>20</v>
      </c>
      <c r="H964" s="103"/>
      <c r="I964" s="103">
        <v>201507</v>
      </c>
      <c r="J964" s="104">
        <v>-50.36</v>
      </c>
      <c r="K964" s="72">
        <f t="shared" si="74"/>
        <v>42675</v>
      </c>
      <c r="L964" s="67">
        <f t="shared" si="70"/>
        <v>6</v>
      </c>
      <c r="M964" s="105">
        <v>1.4833299999999999E-3</v>
      </c>
      <c r="N964" s="104">
        <f t="shared" si="71"/>
        <v>-0.44820299279999998</v>
      </c>
      <c r="O964" s="66"/>
      <c r="P964" s="71">
        <f t="shared" si="72"/>
        <v>0</v>
      </c>
      <c r="Q964" s="132"/>
      <c r="R964" s="71">
        <f t="shared" si="73"/>
        <v>-0.77058144166666653</v>
      </c>
    </row>
    <row r="965" spans="1:18">
      <c r="A965" s="106" t="s">
        <v>626</v>
      </c>
      <c r="B965" s="103" t="s">
        <v>1330</v>
      </c>
      <c r="C965" s="103" t="s">
        <v>1331</v>
      </c>
      <c r="D965" s="102" t="s">
        <v>1332</v>
      </c>
      <c r="E965" s="103" t="s">
        <v>102</v>
      </c>
      <c r="F965" s="102" t="s">
        <v>19</v>
      </c>
      <c r="G965" s="103" t="s">
        <v>20</v>
      </c>
      <c r="H965" s="103"/>
      <c r="I965" s="103">
        <v>201507</v>
      </c>
      <c r="J965" s="104">
        <v>-39.549999999999997</v>
      </c>
      <c r="K965" s="72">
        <f t="shared" si="74"/>
        <v>42675</v>
      </c>
      <c r="L965" s="67">
        <f t="shared" ref="L965:L1028" si="75">((YEAR($L$1)-YEAR(K965))*12+MONTH($L$1)-MONTH(K965))</f>
        <v>6</v>
      </c>
      <c r="M965" s="105">
        <v>1.4833299999999999E-3</v>
      </c>
      <c r="N965" s="104">
        <f t="shared" ref="N965:N1028" si="76">M965*L965*J965</f>
        <v>-0.351994209</v>
      </c>
      <c r="O965" s="66"/>
      <c r="P965" s="71">
        <f t="shared" si="72"/>
        <v>0</v>
      </c>
      <c r="Q965" s="132"/>
      <c r="R965" s="71">
        <f t="shared" si="73"/>
        <v>-0.60517267708333322</v>
      </c>
    </row>
    <row r="966" spans="1:18">
      <c r="A966" s="106" t="s">
        <v>21</v>
      </c>
      <c r="B966" s="103" t="s">
        <v>1564</v>
      </c>
      <c r="C966" s="103" t="s">
        <v>1565</v>
      </c>
      <c r="D966" s="102" t="s">
        <v>1566</v>
      </c>
      <c r="E966" s="103" t="s">
        <v>18</v>
      </c>
      <c r="F966" s="102" t="s">
        <v>19</v>
      </c>
      <c r="G966" s="103" t="s">
        <v>20</v>
      </c>
      <c r="H966" s="103"/>
      <c r="I966" s="103">
        <v>201507</v>
      </c>
      <c r="J966" s="104">
        <v>-168.3</v>
      </c>
      <c r="K966" s="72">
        <f t="shared" si="74"/>
        <v>42675</v>
      </c>
      <c r="L966" s="67">
        <f t="shared" si="75"/>
        <v>6</v>
      </c>
      <c r="M966" s="105">
        <v>1.4833299999999999E-3</v>
      </c>
      <c r="N966" s="104">
        <f t="shared" si="76"/>
        <v>-1.4978666340000002</v>
      </c>
      <c r="O966" s="66"/>
      <c r="P966" s="71">
        <f t="shared" ref="P966:P1029" si="77">($P$4*0.5*J966*$T$12)</f>
        <v>0</v>
      </c>
      <c r="Q966" s="132"/>
      <c r="R966" s="71">
        <f t="shared" ref="R966:R1029" si="78">($R$4*0.5*J966*$T$12)</f>
        <v>-2.5752354374999999</v>
      </c>
    </row>
    <row r="967" spans="1:18">
      <c r="A967" s="106" t="s">
        <v>21</v>
      </c>
      <c r="B967" s="103" t="s">
        <v>1230</v>
      </c>
      <c r="C967" s="103" t="s">
        <v>1231</v>
      </c>
      <c r="D967" s="102" t="s">
        <v>1232</v>
      </c>
      <c r="E967" s="103" t="s">
        <v>63</v>
      </c>
      <c r="F967" s="102" t="s">
        <v>19</v>
      </c>
      <c r="G967" s="103" t="s">
        <v>20</v>
      </c>
      <c r="H967" s="103"/>
      <c r="I967" s="103">
        <v>201507</v>
      </c>
      <c r="J967" s="104">
        <v>-50.57</v>
      </c>
      <c r="K967" s="72">
        <f t="shared" ref="K967:K1030" si="79">+K966</f>
        <v>42675</v>
      </c>
      <c r="L967" s="67">
        <f t="shared" si="75"/>
        <v>6</v>
      </c>
      <c r="M967" s="105">
        <v>1.4833299999999999E-3</v>
      </c>
      <c r="N967" s="104">
        <f t="shared" si="76"/>
        <v>-0.45007198860000003</v>
      </c>
      <c r="O967" s="66"/>
      <c r="P967" s="71">
        <f t="shared" si="77"/>
        <v>0</v>
      </c>
      <c r="Q967" s="132"/>
      <c r="R967" s="71">
        <f t="shared" si="78"/>
        <v>-0.77379474791666669</v>
      </c>
    </row>
    <row r="968" spans="1:18">
      <c r="A968" s="102" t="s">
        <v>21</v>
      </c>
      <c r="B968" s="103" t="s">
        <v>1567</v>
      </c>
      <c r="C968" s="103" t="s">
        <v>1568</v>
      </c>
      <c r="D968" s="102" t="s">
        <v>1569</v>
      </c>
      <c r="E968" s="103" t="s">
        <v>63</v>
      </c>
      <c r="F968" s="102" t="s">
        <v>19</v>
      </c>
      <c r="G968" s="103" t="s">
        <v>20</v>
      </c>
      <c r="H968" s="103"/>
      <c r="I968" s="103">
        <v>201507</v>
      </c>
      <c r="J968" s="104">
        <v>-64.83</v>
      </c>
      <c r="K968" s="72">
        <f t="shared" si="79"/>
        <v>42675</v>
      </c>
      <c r="L968" s="67">
        <f t="shared" si="75"/>
        <v>6</v>
      </c>
      <c r="M968" s="105">
        <v>1.4833299999999999E-3</v>
      </c>
      <c r="N968" s="104">
        <f t="shared" si="76"/>
        <v>-0.57698570339999999</v>
      </c>
      <c r="O968" s="66"/>
      <c r="P968" s="71">
        <f t="shared" si="77"/>
        <v>0</v>
      </c>
      <c r="Q968" s="132"/>
      <c r="R968" s="71">
        <f t="shared" si="78"/>
        <v>-0.99199354374999993</v>
      </c>
    </row>
    <row r="969" spans="1:18">
      <c r="A969" s="102" t="s">
        <v>626</v>
      </c>
      <c r="B969" s="103" t="s">
        <v>1429</v>
      </c>
      <c r="C969" s="103" t="s">
        <v>1430</v>
      </c>
      <c r="D969" s="102" t="s">
        <v>1431</v>
      </c>
      <c r="E969" s="103" t="s">
        <v>360</v>
      </c>
      <c r="F969" s="102" t="s">
        <v>19</v>
      </c>
      <c r="G969" s="103" t="s">
        <v>20</v>
      </c>
      <c r="H969" s="103"/>
      <c r="I969" s="103">
        <v>201507</v>
      </c>
      <c r="J969" s="104">
        <v>-498.78</v>
      </c>
      <c r="K969" s="72">
        <f t="shared" si="79"/>
        <v>42675</v>
      </c>
      <c r="L969" s="67">
        <f t="shared" si="75"/>
        <v>6</v>
      </c>
      <c r="M969" s="105">
        <v>1.4833299999999999E-3</v>
      </c>
      <c r="N969" s="104">
        <f t="shared" si="76"/>
        <v>-4.4391320244000001</v>
      </c>
      <c r="O969" s="66"/>
      <c r="P969" s="71">
        <f t="shared" si="77"/>
        <v>0</v>
      </c>
      <c r="Q969" s="132"/>
      <c r="R969" s="71">
        <f t="shared" si="78"/>
        <v>-7.6320613874999994</v>
      </c>
    </row>
    <row r="970" spans="1:18">
      <c r="A970" s="102" t="s">
        <v>626</v>
      </c>
      <c r="B970" s="103" t="s">
        <v>1339</v>
      </c>
      <c r="C970" s="103" t="s">
        <v>1340</v>
      </c>
      <c r="D970" s="102" t="s">
        <v>1341</v>
      </c>
      <c r="E970" s="103" t="s">
        <v>360</v>
      </c>
      <c r="F970" s="102" t="s">
        <v>19</v>
      </c>
      <c r="G970" s="103" t="s">
        <v>20</v>
      </c>
      <c r="H970" s="103"/>
      <c r="I970" s="103">
        <v>201507</v>
      </c>
      <c r="J970" s="104">
        <v>-246.64</v>
      </c>
      <c r="K970" s="72">
        <f t="shared" si="79"/>
        <v>42675</v>
      </c>
      <c r="L970" s="67">
        <f t="shared" si="75"/>
        <v>6</v>
      </c>
      <c r="M970" s="105">
        <v>1.4833299999999999E-3</v>
      </c>
      <c r="N970" s="104">
        <f t="shared" si="76"/>
        <v>-2.1950910671999999</v>
      </c>
      <c r="O970" s="66"/>
      <c r="P970" s="71">
        <f t="shared" si="77"/>
        <v>0</v>
      </c>
      <c r="Q970" s="132"/>
      <c r="R970" s="71">
        <f t="shared" si="78"/>
        <v>-3.7739516833333329</v>
      </c>
    </row>
    <row r="971" spans="1:18">
      <c r="A971" s="106" t="s">
        <v>21</v>
      </c>
      <c r="B971" s="103" t="s">
        <v>1464</v>
      </c>
      <c r="C971" s="103" t="s">
        <v>1465</v>
      </c>
      <c r="D971" s="102" t="s">
        <v>1466</v>
      </c>
      <c r="E971" s="103" t="s">
        <v>360</v>
      </c>
      <c r="F971" s="102" t="s">
        <v>19</v>
      </c>
      <c r="G971" s="103" t="s">
        <v>20</v>
      </c>
      <c r="H971" s="103"/>
      <c r="I971" s="103">
        <v>201507</v>
      </c>
      <c r="J971" s="104">
        <v>274.29000000000002</v>
      </c>
      <c r="K971" s="72">
        <f t="shared" si="79"/>
        <v>42675</v>
      </c>
      <c r="L971" s="67">
        <f t="shared" si="75"/>
        <v>6</v>
      </c>
      <c r="M971" s="105">
        <v>1.4833299999999999E-3</v>
      </c>
      <c r="N971" s="104">
        <f t="shared" si="76"/>
        <v>2.4411755142000002</v>
      </c>
      <c r="O971" s="66"/>
      <c r="P971" s="71">
        <f t="shared" si="77"/>
        <v>0</v>
      </c>
      <c r="Q971" s="132"/>
      <c r="R971" s="71">
        <f t="shared" si="78"/>
        <v>4.1970370062500004</v>
      </c>
    </row>
    <row r="972" spans="1:18">
      <c r="A972" s="102" t="s">
        <v>21</v>
      </c>
      <c r="B972" s="103" t="s">
        <v>1395</v>
      </c>
      <c r="C972" s="103" t="s">
        <v>1396</v>
      </c>
      <c r="D972" s="102" t="s">
        <v>1397</v>
      </c>
      <c r="E972" s="103" t="s">
        <v>360</v>
      </c>
      <c r="F972" s="102" t="s">
        <v>19</v>
      </c>
      <c r="G972" s="103" t="s">
        <v>20</v>
      </c>
      <c r="H972" s="103"/>
      <c r="I972" s="103">
        <v>201507</v>
      </c>
      <c r="J972" s="104">
        <v>-40.909999999999997</v>
      </c>
      <c r="K972" s="72">
        <f t="shared" si="79"/>
        <v>42675</v>
      </c>
      <c r="L972" s="67">
        <f t="shared" si="75"/>
        <v>6</v>
      </c>
      <c r="M972" s="105">
        <v>1.4833299999999999E-3</v>
      </c>
      <c r="N972" s="104">
        <f t="shared" si="76"/>
        <v>-0.36409818179999998</v>
      </c>
      <c r="O972" s="66"/>
      <c r="P972" s="71">
        <f t="shared" si="77"/>
        <v>0</v>
      </c>
      <c r="Q972" s="132"/>
      <c r="R972" s="71">
        <f t="shared" si="78"/>
        <v>-0.62598266041666661</v>
      </c>
    </row>
    <row r="973" spans="1:18">
      <c r="A973" s="102" t="s">
        <v>21</v>
      </c>
      <c r="B973" s="103" t="s">
        <v>1398</v>
      </c>
      <c r="C973" s="103" t="s">
        <v>1399</v>
      </c>
      <c r="D973" s="102" t="s">
        <v>1223</v>
      </c>
      <c r="E973" s="103" t="s">
        <v>360</v>
      </c>
      <c r="F973" s="102" t="s">
        <v>19</v>
      </c>
      <c r="G973" s="103" t="s">
        <v>20</v>
      </c>
      <c r="H973" s="103"/>
      <c r="I973" s="103">
        <v>201507</v>
      </c>
      <c r="J973" s="104">
        <v>-4.82</v>
      </c>
      <c r="K973" s="72">
        <f t="shared" si="79"/>
        <v>42675</v>
      </c>
      <c r="L973" s="67">
        <f t="shared" si="75"/>
        <v>6</v>
      </c>
      <c r="M973" s="105">
        <v>1.4833299999999999E-3</v>
      </c>
      <c r="N973" s="104">
        <f t="shared" si="76"/>
        <v>-4.2897903600000002E-2</v>
      </c>
      <c r="O973" s="66"/>
      <c r="P973" s="71">
        <f t="shared" si="77"/>
        <v>0</v>
      </c>
      <c r="Q973" s="132"/>
      <c r="R973" s="71">
        <f t="shared" si="78"/>
        <v>-7.3753029166666664E-2</v>
      </c>
    </row>
    <row r="974" spans="1:18">
      <c r="A974" s="102" t="s">
        <v>21</v>
      </c>
      <c r="B974" s="103" t="s">
        <v>1400</v>
      </c>
      <c r="C974" s="103" t="s">
        <v>1401</v>
      </c>
      <c r="D974" s="102" t="s">
        <v>1402</v>
      </c>
      <c r="E974" s="103" t="s">
        <v>360</v>
      </c>
      <c r="F974" s="102" t="s">
        <v>19</v>
      </c>
      <c r="G974" s="103" t="s">
        <v>20</v>
      </c>
      <c r="H974" s="103"/>
      <c r="I974" s="103">
        <v>201507</v>
      </c>
      <c r="J974" s="104">
        <v>-37.17</v>
      </c>
      <c r="K974" s="72">
        <f t="shared" si="79"/>
        <v>42675</v>
      </c>
      <c r="L974" s="67">
        <f t="shared" si="75"/>
        <v>6</v>
      </c>
      <c r="M974" s="105">
        <v>1.4833299999999999E-3</v>
      </c>
      <c r="N974" s="104">
        <f t="shared" si="76"/>
        <v>-0.33081225660000002</v>
      </c>
      <c r="O974" s="66"/>
      <c r="P974" s="71">
        <f t="shared" si="77"/>
        <v>0</v>
      </c>
      <c r="Q974" s="132"/>
      <c r="R974" s="71">
        <f t="shared" si="78"/>
        <v>-0.56875520624999998</v>
      </c>
    </row>
    <row r="975" spans="1:18">
      <c r="A975" s="102" t="s">
        <v>21</v>
      </c>
      <c r="B975" s="103" t="s">
        <v>1403</v>
      </c>
      <c r="C975" s="103" t="s">
        <v>1404</v>
      </c>
      <c r="D975" s="102" t="s">
        <v>1223</v>
      </c>
      <c r="E975" s="103" t="s">
        <v>360</v>
      </c>
      <c r="F975" s="102" t="s">
        <v>19</v>
      </c>
      <c r="G975" s="103" t="s">
        <v>20</v>
      </c>
      <c r="H975" s="103"/>
      <c r="I975" s="103">
        <v>201507</v>
      </c>
      <c r="J975" s="104">
        <v>-9.7799999999999994</v>
      </c>
      <c r="K975" s="72">
        <f t="shared" si="79"/>
        <v>42675</v>
      </c>
      <c r="L975" s="67">
        <f t="shared" si="75"/>
        <v>6</v>
      </c>
      <c r="M975" s="105">
        <v>1.4833299999999999E-3</v>
      </c>
      <c r="N975" s="104">
        <f t="shared" si="76"/>
        <v>-8.7041804399999992E-2</v>
      </c>
      <c r="O975" s="66"/>
      <c r="P975" s="71">
        <f t="shared" si="77"/>
        <v>0</v>
      </c>
      <c r="Q975" s="132"/>
      <c r="R975" s="71">
        <f t="shared" si="78"/>
        <v>-0.14964826249999996</v>
      </c>
    </row>
    <row r="976" spans="1:18">
      <c r="A976" s="102" t="s">
        <v>21</v>
      </c>
      <c r="B976" s="103" t="s">
        <v>1405</v>
      </c>
      <c r="C976" s="103" t="s">
        <v>1406</v>
      </c>
      <c r="D976" s="102" t="s">
        <v>1407</v>
      </c>
      <c r="E976" s="103" t="s">
        <v>360</v>
      </c>
      <c r="F976" s="102" t="s">
        <v>19</v>
      </c>
      <c r="G976" s="103" t="s">
        <v>20</v>
      </c>
      <c r="H976" s="103"/>
      <c r="I976" s="103">
        <v>201507</v>
      </c>
      <c r="J976" s="104">
        <v>-8.76</v>
      </c>
      <c r="K976" s="72">
        <f t="shared" si="79"/>
        <v>42675</v>
      </c>
      <c r="L976" s="67">
        <f t="shared" si="75"/>
        <v>6</v>
      </c>
      <c r="M976" s="105">
        <v>1.4833299999999999E-3</v>
      </c>
      <c r="N976" s="104">
        <f t="shared" si="76"/>
        <v>-7.7963824799999998E-2</v>
      </c>
      <c r="O976" s="66"/>
      <c r="P976" s="71">
        <f t="shared" si="77"/>
        <v>0</v>
      </c>
      <c r="Q976" s="132"/>
      <c r="R976" s="71">
        <f t="shared" si="78"/>
        <v>-0.13404077499999997</v>
      </c>
    </row>
    <row r="977" spans="1:18">
      <c r="A977" s="106" t="s">
        <v>29</v>
      </c>
      <c r="B977" s="103" t="s">
        <v>1024</v>
      </c>
      <c r="C977" s="103" t="s">
        <v>1025</v>
      </c>
      <c r="D977" s="102" t="s">
        <v>1026</v>
      </c>
      <c r="E977" s="103" t="s">
        <v>1027</v>
      </c>
      <c r="F977" s="102" t="s">
        <v>1028</v>
      </c>
      <c r="G977" s="103" t="s">
        <v>20</v>
      </c>
      <c r="H977" s="109"/>
      <c r="I977" s="103">
        <v>201507</v>
      </c>
      <c r="J977" s="104">
        <v>-1.05</v>
      </c>
      <c r="K977" s="72">
        <f t="shared" si="79"/>
        <v>42675</v>
      </c>
      <c r="L977" s="67">
        <f t="shared" si="75"/>
        <v>6</v>
      </c>
      <c r="M977" s="105">
        <v>2.23333E-3</v>
      </c>
      <c r="N977" s="104">
        <f t="shared" si="76"/>
        <v>-1.4069979E-2</v>
      </c>
      <c r="O977" s="66"/>
      <c r="P977" s="71">
        <f t="shared" si="77"/>
        <v>0</v>
      </c>
      <c r="Q977" s="132"/>
      <c r="R977" s="71">
        <f t="shared" si="78"/>
        <v>-1.6066531250000002E-2</v>
      </c>
    </row>
    <row r="978" spans="1:18">
      <c r="A978" s="106" t="s">
        <v>29</v>
      </c>
      <c r="B978" s="103" t="s">
        <v>1245</v>
      </c>
      <c r="C978" s="103" t="s">
        <v>1246</v>
      </c>
      <c r="D978" s="102" t="s">
        <v>1026</v>
      </c>
      <c r="E978" s="103" t="s">
        <v>1027</v>
      </c>
      <c r="F978" s="102" t="s">
        <v>1028</v>
      </c>
      <c r="G978" s="103" t="s">
        <v>20</v>
      </c>
      <c r="H978" s="109"/>
      <c r="I978" s="103">
        <v>201507</v>
      </c>
      <c r="J978" s="104">
        <v>-2.2000000000000002</v>
      </c>
      <c r="K978" s="72">
        <f t="shared" si="79"/>
        <v>42675</v>
      </c>
      <c r="L978" s="67">
        <f t="shared" si="75"/>
        <v>6</v>
      </c>
      <c r="M978" s="105">
        <v>2.23333E-3</v>
      </c>
      <c r="N978" s="104">
        <f t="shared" si="76"/>
        <v>-2.9479955999999998E-2</v>
      </c>
      <c r="O978" s="66"/>
      <c r="P978" s="71">
        <f t="shared" si="77"/>
        <v>0</v>
      </c>
      <c r="Q978" s="132"/>
      <c r="R978" s="71">
        <f t="shared" si="78"/>
        <v>-3.3663208333333333E-2</v>
      </c>
    </row>
    <row r="979" spans="1:18">
      <c r="A979" s="106" t="s">
        <v>29</v>
      </c>
      <c r="B979" s="103" t="s">
        <v>1570</v>
      </c>
      <c r="C979" s="103" t="s">
        <v>1571</v>
      </c>
      <c r="D979" s="102" t="s">
        <v>1572</v>
      </c>
      <c r="E979" s="103" t="s">
        <v>1573</v>
      </c>
      <c r="F979" s="102" t="s">
        <v>835</v>
      </c>
      <c r="G979" s="103" t="s">
        <v>20</v>
      </c>
      <c r="H979" s="109"/>
      <c r="I979" s="103">
        <v>201507</v>
      </c>
      <c r="J979" s="104">
        <v>3.95</v>
      </c>
      <c r="K979" s="72">
        <f t="shared" si="79"/>
        <v>42675</v>
      </c>
      <c r="L979" s="67">
        <f t="shared" si="75"/>
        <v>6</v>
      </c>
      <c r="M979" s="105">
        <v>2.23333E-3</v>
      </c>
      <c r="N979" s="104">
        <f t="shared" si="76"/>
        <v>5.2929920999999998E-2</v>
      </c>
      <c r="O979" s="66"/>
      <c r="P979" s="71">
        <f t="shared" si="77"/>
        <v>0</v>
      </c>
      <c r="Q979" s="132"/>
      <c r="R979" s="71">
        <f t="shared" si="78"/>
        <v>6.044076041666667E-2</v>
      </c>
    </row>
    <row r="980" spans="1:18">
      <c r="A980" s="106" t="s">
        <v>29</v>
      </c>
      <c r="B980" s="103" t="s">
        <v>1574</v>
      </c>
      <c r="C980" s="103" t="s">
        <v>1575</v>
      </c>
      <c r="D980" s="102" t="s">
        <v>1576</v>
      </c>
      <c r="E980" s="103" t="s">
        <v>834</v>
      </c>
      <c r="F980" s="102" t="s">
        <v>835</v>
      </c>
      <c r="G980" s="103" t="s">
        <v>20</v>
      </c>
      <c r="H980" s="109"/>
      <c r="I980" s="103">
        <v>201507</v>
      </c>
      <c r="J980" s="104">
        <v>-59.39</v>
      </c>
      <c r="K980" s="72">
        <f t="shared" si="79"/>
        <v>42675</v>
      </c>
      <c r="L980" s="67">
        <f t="shared" si="75"/>
        <v>6</v>
      </c>
      <c r="M980" s="105">
        <v>2.23333E-3</v>
      </c>
      <c r="N980" s="104">
        <f t="shared" si="76"/>
        <v>-0.7958248121999999</v>
      </c>
      <c r="O980" s="66"/>
      <c r="P980" s="71">
        <f t="shared" si="77"/>
        <v>0</v>
      </c>
      <c r="Q980" s="132"/>
      <c r="R980" s="71">
        <f t="shared" si="78"/>
        <v>-0.90875361041666658</v>
      </c>
    </row>
    <row r="981" spans="1:18">
      <c r="A981" s="106" t="s">
        <v>29</v>
      </c>
      <c r="B981" s="103" t="s">
        <v>1458</v>
      </c>
      <c r="C981" s="103" t="s">
        <v>1459</v>
      </c>
      <c r="D981" s="102" t="s">
        <v>1460</v>
      </c>
      <c r="E981" s="103" t="s">
        <v>834</v>
      </c>
      <c r="F981" s="102" t="s">
        <v>835</v>
      </c>
      <c r="G981" s="103" t="s">
        <v>20</v>
      </c>
      <c r="H981" s="109"/>
      <c r="I981" s="103">
        <v>201507</v>
      </c>
      <c r="J981" s="104">
        <v>-10.45</v>
      </c>
      <c r="K981" s="72">
        <f t="shared" si="79"/>
        <v>42675</v>
      </c>
      <c r="L981" s="67">
        <f t="shared" si="75"/>
        <v>6</v>
      </c>
      <c r="M981" s="105">
        <v>2.23333E-3</v>
      </c>
      <c r="N981" s="104">
        <f t="shared" si="76"/>
        <v>-0.14002979099999999</v>
      </c>
      <c r="O981" s="66"/>
      <c r="P981" s="71">
        <f t="shared" si="77"/>
        <v>0</v>
      </c>
      <c r="Q981" s="132"/>
      <c r="R981" s="71">
        <f t="shared" si="78"/>
        <v>-0.15990023958333333</v>
      </c>
    </row>
    <row r="982" spans="1:18">
      <c r="A982" s="106" t="s">
        <v>29</v>
      </c>
      <c r="B982" s="103" t="s">
        <v>1060</v>
      </c>
      <c r="C982" s="103" t="s">
        <v>1061</v>
      </c>
      <c r="D982" s="102" t="s">
        <v>1062</v>
      </c>
      <c r="E982" s="103" t="s">
        <v>834</v>
      </c>
      <c r="F982" s="102" t="s">
        <v>835</v>
      </c>
      <c r="G982" s="103" t="s">
        <v>20</v>
      </c>
      <c r="H982" s="109"/>
      <c r="I982" s="103">
        <v>201507</v>
      </c>
      <c r="J982" s="104">
        <v>-15.91</v>
      </c>
      <c r="K982" s="72">
        <f t="shared" si="79"/>
        <v>42675</v>
      </c>
      <c r="L982" s="67">
        <f t="shared" si="75"/>
        <v>6</v>
      </c>
      <c r="M982" s="105">
        <v>2.23333E-3</v>
      </c>
      <c r="N982" s="104">
        <f t="shared" si="76"/>
        <v>-0.21319368179999998</v>
      </c>
      <c r="O982" s="66"/>
      <c r="P982" s="71">
        <f t="shared" si="77"/>
        <v>0</v>
      </c>
      <c r="Q982" s="132"/>
      <c r="R982" s="71">
        <f t="shared" si="78"/>
        <v>-0.24344620208333334</v>
      </c>
    </row>
    <row r="983" spans="1:18">
      <c r="A983" s="106" t="s">
        <v>29</v>
      </c>
      <c r="B983" s="103" t="s">
        <v>1392</v>
      </c>
      <c r="C983" s="103" t="s">
        <v>1393</v>
      </c>
      <c r="D983" s="102" t="s">
        <v>1394</v>
      </c>
      <c r="E983" s="103" t="s">
        <v>834</v>
      </c>
      <c r="F983" s="102" t="s">
        <v>835</v>
      </c>
      <c r="G983" s="103" t="s">
        <v>20</v>
      </c>
      <c r="H983" s="109"/>
      <c r="I983" s="103">
        <v>201507</v>
      </c>
      <c r="J983" s="104">
        <v>-62.21</v>
      </c>
      <c r="K983" s="72">
        <f t="shared" si="79"/>
        <v>42675</v>
      </c>
      <c r="L983" s="67">
        <f t="shared" si="75"/>
        <v>6</v>
      </c>
      <c r="M983" s="105">
        <v>2.23333E-3</v>
      </c>
      <c r="N983" s="104">
        <f t="shared" si="76"/>
        <v>-0.83361275579999994</v>
      </c>
      <c r="O983" s="66"/>
      <c r="P983" s="71">
        <f t="shared" si="77"/>
        <v>0</v>
      </c>
      <c r="Q983" s="132"/>
      <c r="R983" s="71">
        <f t="shared" si="78"/>
        <v>-0.95190372291666647</v>
      </c>
    </row>
    <row r="984" spans="1:18">
      <c r="A984" s="106" t="s">
        <v>29</v>
      </c>
      <c r="B984" s="103" t="s">
        <v>706</v>
      </c>
      <c r="C984" s="103" t="s">
        <v>707</v>
      </c>
      <c r="D984" s="102" t="s">
        <v>708</v>
      </c>
      <c r="E984" s="103" t="s">
        <v>709</v>
      </c>
      <c r="F984" s="102" t="s">
        <v>710</v>
      </c>
      <c r="G984" s="103" t="s">
        <v>20</v>
      </c>
      <c r="H984" s="109"/>
      <c r="I984" s="103">
        <v>201507</v>
      </c>
      <c r="J984" s="104">
        <v>-5648.31</v>
      </c>
      <c r="K984" s="72">
        <f t="shared" si="79"/>
        <v>42675</v>
      </c>
      <c r="L984" s="67">
        <f t="shared" si="75"/>
        <v>6</v>
      </c>
      <c r="M984" s="105">
        <v>2.23333E-3</v>
      </c>
      <c r="N984" s="104">
        <f t="shared" si="76"/>
        <v>-75.687241033799992</v>
      </c>
      <c r="O984" s="66"/>
      <c r="P984" s="71">
        <f t="shared" si="77"/>
        <v>0</v>
      </c>
      <c r="Q984" s="132"/>
      <c r="R984" s="71">
        <f t="shared" si="78"/>
        <v>-86.427380118750008</v>
      </c>
    </row>
    <row r="985" spans="1:18">
      <c r="A985" s="106" t="s">
        <v>29</v>
      </c>
      <c r="B985" s="103" t="s">
        <v>37</v>
      </c>
      <c r="C985" s="103" t="s">
        <v>38</v>
      </c>
      <c r="D985" s="102" t="s">
        <v>39</v>
      </c>
      <c r="E985" s="103" t="s">
        <v>40</v>
      </c>
      <c r="F985" s="102" t="s">
        <v>41</v>
      </c>
      <c r="G985" s="103" t="s">
        <v>20</v>
      </c>
      <c r="H985" s="109"/>
      <c r="I985" s="103">
        <v>201507</v>
      </c>
      <c r="J985" s="104">
        <v>278787.48</v>
      </c>
      <c r="K985" s="72">
        <f t="shared" si="79"/>
        <v>42675</v>
      </c>
      <c r="L985" s="67">
        <f t="shared" si="75"/>
        <v>6</v>
      </c>
      <c r="M985" s="105">
        <v>2.23333E-3</v>
      </c>
      <c r="N985" s="104">
        <f t="shared" si="76"/>
        <v>3735.7466562503996</v>
      </c>
      <c r="O985" s="66"/>
      <c r="P985" s="71">
        <f t="shared" si="77"/>
        <v>0</v>
      </c>
      <c r="Q985" s="132"/>
      <c r="R985" s="71">
        <f t="shared" si="78"/>
        <v>4265.8550090749995</v>
      </c>
    </row>
    <row r="986" spans="1:18">
      <c r="A986" s="106" t="s">
        <v>29</v>
      </c>
      <c r="B986" s="103" t="s">
        <v>43</v>
      </c>
      <c r="C986" s="103" t="s">
        <v>44</v>
      </c>
      <c r="D986" s="102" t="s">
        <v>45</v>
      </c>
      <c r="E986" s="103" t="s">
        <v>46</v>
      </c>
      <c r="F986" s="102" t="s">
        <v>41</v>
      </c>
      <c r="G986" s="103" t="s">
        <v>20</v>
      </c>
      <c r="H986" s="109"/>
      <c r="I986" s="103">
        <v>201507</v>
      </c>
      <c r="J986" s="104">
        <v>2567.13</v>
      </c>
      <c r="K986" s="72">
        <f t="shared" si="79"/>
        <v>42675</v>
      </c>
      <c r="L986" s="67">
        <f t="shared" si="75"/>
        <v>6</v>
      </c>
      <c r="M986" s="105">
        <v>2.23333E-3</v>
      </c>
      <c r="N986" s="104">
        <f t="shared" si="76"/>
        <v>34.399490657400001</v>
      </c>
      <c r="O986" s="66"/>
      <c r="P986" s="71">
        <f t="shared" si="77"/>
        <v>0</v>
      </c>
      <c r="Q986" s="132"/>
      <c r="R986" s="71">
        <f t="shared" si="78"/>
        <v>39.280832731250001</v>
      </c>
    </row>
    <row r="987" spans="1:18">
      <c r="A987" s="106" t="s">
        <v>29</v>
      </c>
      <c r="B987" s="103" t="s">
        <v>555</v>
      </c>
      <c r="C987" s="103" t="s">
        <v>556</v>
      </c>
      <c r="D987" s="102" t="s">
        <v>45</v>
      </c>
      <c r="E987" s="103" t="s">
        <v>557</v>
      </c>
      <c r="F987" s="102" t="s">
        <v>41</v>
      </c>
      <c r="G987" s="103" t="s">
        <v>20</v>
      </c>
      <c r="H987" s="109"/>
      <c r="I987" s="103">
        <v>201507</v>
      </c>
      <c r="J987" s="104">
        <v>-38.11</v>
      </c>
      <c r="K987" s="72">
        <f t="shared" si="79"/>
        <v>42675</v>
      </c>
      <c r="L987" s="67">
        <f t="shared" si="75"/>
        <v>6</v>
      </c>
      <c r="M987" s="105">
        <v>2.23333E-3</v>
      </c>
      <c r="N987" s="104">
        <f t="shared" si="76"/>
        <v>-0.51067323779999996</v>
      </c>
      <c r="O987" s="66"/>
      <c r="P987" s="71">
        <f t="shared" si="77"/>
        <v>0</v>
      </c>
      <c r="Q987" s="132"/>
      <c r="R987" s="71">
        <f t="shared" si="78"/>
        <v>-0.58313857708333328</v>
      </c>
    </row>
    <row r="988" spans="1:18">
      <c r="A988" s="106" t="s">
        <v>29</v>
      </c>
      <c r="B988" s="103" t="s">
        <v>183</v>
      </c>
      <c r="C988" s="103" t="s">
        <v>184</v>
      </c>
      <c r="D988" s="102" t="s">
        <v>45</v>
      </c>
      <c r="E988" s="103" t="s">
        <v>185</v>
      </c>
      <c r="F988" s="102" t="s">
        <v>41</v>
      </c>
      <c r="G988" s="103" t="s">
        <v>20</v>
      </c>
      <c r="H988" s="109"/>
      <c r="I988" s="103">
        <v>201507</v>
      </c>
      <c r="J988" s="104">
        <v>-397.83</v>
      </c>
      <c r="K988" s="72">
        <f t="shared" si="79"/>
        <v>42675</v>
      </c>
      <c r="L988" s="67">
        <f t="shared" si="75"/>
        <v>6</v>
      </c>
      <c r="M988" s="105">
        <v>2.23333E-3</v>
      </c>
      <c r="N988" s="104">
        <f t="shared" si="76"/>
        <v>-5.3309140433999991</v>
      </c>
      <c r="O988" s="66"/>
      <c r="P988" s="71">
        <f t="shared" si="77"/>
        <v>0</v>
      </c>
      <c r="Q988" s="132"/>
      <c r="R988" s="71">
        <f t="shared" si="78"/>
        <v>-6.0873791687499992</v>
      </c>
    </row>
    <row r="989" spans="1:18">
      <c r="A989" s="106" t="s">
        <v>29</v>
      </c>
      <c r="B989" s="103" t="s">
        <v>30</v>
      </c>
      <c r="C989" s="103" t="s">
        <v>31</v>
      </c>
      <c r="D989" s="102" t="s">
        <v>32</v>
      </c>
      <c r="E989" s="103" t="s">
        <v>33</v>
      </c>
      <c r="F989" s="102" t="s">
        <v>34</v>
      </c>
      <c r="G989" s="103" t="s">
        <v>20</v>
      </c>
      <c r="H989" s="109"/>
      <c r="I989" s="103">
        <v>201507</v>
      </c>
      <c r="J989" s="104">
        <v>200706.19</v>
      </c>
      <c r="K989" s="72">
        <f t="shared" si="79"/>
        <v>42675</v>
      </c>
      <c r="L989" s="67">
        <f t="shared" si="75"/>
        <v>6</v>
      </c>
      <c r="M989" s="105">
        <v>2.23333E-3</v>
      </c>
      <c r="N989" s="104">
        <f t="shared" si="76"/>
        <v>2689.4589318761996</v>
      </c>
      <c r="O989" s="66"/>
      <c r="P989" s="71">
        <f t="shared" si="77"/>
        <v>0</v>
      </c>
      <c r="Q989" s="132"/>
      <c r="R989" s="71">
        <f t="shared" si="78"/>
        <v>3071.0974035270829</v>
      </c>
    </row>
    <row r="990" spans="1:18">
      <c r="A990" s="106" t="s">
        <v>29</v>
      </c>
      <c r="B990" s="103" t="s">
        <v>103</v>
      </c>
      <c r="C990" s="103" t="s">
        <v>104</v>
      </c>
      <c r="D990" s="102" t="s">
        <v>105</v>
      </c>
      <c r="E990" s="103" t="s">
        <v>106</v>
      </c>
      <c r="F990" s="102" t="s">
        <v>34</v>
      </c>
      <c r="G990" s="103" t="s">
        <v>20</v>
      </c>
      <c r="H990" s="109"/>
      <c r="I990" s="103">
        <v>201507</v>
      </c>
      <c r="J990" s="104">
        <v>-20.23</v>
      </c>
      <c r="K990" s="72">
        <f t="shared" si="79"/>
        <v>42675</v>
      </c>
      <c r="L990" s="67">
        <f t="shared" si="75"/>
        <v>6</v>
      </c>
      <c r="M990" s="105">
        <v>2.23333E-3</v>
      </c>
      <c r="N990" s="104">
        <f t="shared" si="76"/>
        <v>-0.27108159539999999</v>
      </c>
      <c r="O990" s="66"/>
      <c r="P990" s="71">
        <f t="shared" si="77"/>
        <v>0</v>
      </c>
      <c r="Q990" s="132"/>
      <c r="R990" s="71">
        <f t="shared" si="78"/>
        <v>-0.30954850208333334</v>
      </c>
    </row>
    <row r="991" spans="1:18">
      <c r="A991" s="106" t="s">
        <v>29</v>
      </c>
      <c r="B991" s="103" t="s">
        <v>318</v>
      </c>
      <c r="C991" s="103" t="s">
        <v>319</v>
      </c>
      <c r="D991" s="102" t="s">
        <v>105</v>
      </c>
      <c r="E991" s="103" t="s">
        <v>320</v>
      </c>
      <c r="F991" s="102" t="s">
        <v>34</v>
      </c>
      <c r="G991" s="103" t="s">
        <v>20</v>
      </c>
      <c r="H991" s="109"/>
      <c r="I991" s="103">
        <v>201507</v>
      </c>
      <c r="J991" s="104">
        <v>-19.29</v>
      </c>
      <c r="K991" s="72">
        <f t="shared" si="79"/>
        <v>42675</v>
      </c>
      <c r="L991" s="67">
        <f t="shared" si="75"/>
        <v>6</v>
      </c>
      <c r="M991" s="105">
        <v>2.23333E-3</v>
      </c>
      <c r="N991" s="104">
        <f t="shared" si="76"/>
        <v>-0.25848561419999999</v>
      </c>
      <c r="O991" s="66"/>
      <c r="P991" s="71">
        <f t="shared" si="77"/>
        <v>0</v>
      </c>
      <c r="Q991" s="132"/>
      <c r="R991" s="71">
        <f t="shared" si="78"/>
        <v>-0.29516513124999999</v>
      </c>
    </row>
    <row r="992" spans="1:18">
      <c r="A992" s="106" t="s">
        <v>29</v>
      </c>
      <c r="B992" s="103" t="s">
        <v>111</v>
      </c>
      <c r="C992" s="103" t="s">
        <v>112</v>
      </c>
      <c r="D992" s="102" t="s">
        <v>113</v>
      </c>
      <c r="E992" s="103" t="s">
        <v>114</v>
      </c>
      <c r="F992" s="102" t="s">
        <v>115</v>
      </c>
      <c r="G992" s="103" t="s">
        <v>20</v>
      </c>
      <c r="H992" s="109"/>
      <c r="I992" s="103">
        <v>201507</v>
      </c>
      <c r="J992" s="104">
        <v>227.35</v>
      </c>
      <c r="K992" s="72">
        <f t="shared" si="79"/>
        <v>42675</v>
      </c>
      <c r="L992" s="67">
        <f t="shared" si="75"/>
        <v>6</v>
      </c>
      <c r="M992" s="105">
        <v>2.23333E-3</v>
      </c>
      <c r="N992" s="104">
        <f t="shared" si="76"/>
        <v>3.0464854529999998</v>
      </c>
      <c r="O992" s="66"/>
      <c r="P992" s="71">
        <f t="shared" si="77"/>
        <v>0</v>
      </c>
      <c r="Q992" s="132"/>
      <c r="R992" s="71">
        <f t="shared" si="78"/>
        <v>3.4787865520833328</v>
      </c>
    </row>
    <row r="993" spans="1:18">
      <c r="A993" s="106" t="s">
        <v>29</v>
      </c>
      <c r="B993" s="103" t="s">
        <v>191</v>
      </c>
      <c r="C993" s="103" t="s">
        <v>192</v>
      </c>
      <c r="D993" s="102" t="s">
        <v>193</v>
      </c>
      <c r="E993" s="103" t="s">
        <v>194</v>
      </c>
      <c r="F993" s="102" t="s">
        <v>115</v>
      </c>
      <c r="G993" s="103" t="s">
        <v>20</v>
      </c>
      <c r="H993" s="109"/>
      <c r="I993" s="103">
        <v>201507</v>
      </c>
      <c r="J993" s="104">
        <v>19058.36</v>
      </c>
      <c r="K993" s="72">
        <f t="shared" si="79"/>
        <v>42675</v>
      </c>
      <c r="L993" s="67">
        <f t="shared" si="75"/>
        <v>6</v>
      </c>
      <c r="M993" s="105">
        <v>2.23333E-3</v>
      </c>
      <c r="N993" s="104">
        <f t="shared" si="76"/>
        <v>255.3816428328</v>
      </c>
      <c r="O993" s="66"/>
      <c r="P993" s="71">
        <f t="shared" si="77"/>
        <v>0</v>
      </c>
      <c r="Q993" s="132"/>
      <c r="R993" s="71">
        <f t="shared" si="78"/>
        <v>291.62070144166665</v>
      </c>
    </row>
    <row r="994" spans="1:18">
      <c r="A994" s="106" t="s">
        <v>29</v>
      </c>
      <c r="B994" s="103" t="s">
        <v>633</v>
      </c>
      <c r="C994" s="103" t="s">
        <v>634</v>
      </c>
      <c r="D994" s="102" t="s">
        <v>193</v>
      </c>
      <c r="E994" s="103" t="s">
        <v>635</v>
      </c>
      <c r="F994" s="102" t="s">
        <v>115</v>
      </c>
      <c r="G994" s="103" t="s">
        <v>20</v>
      </c>
      <c r="H994" s="109"/>
      <c r="I994" s="103">
        <v>201507</v>
      </c>
      <c r="J994" s="104">
        <v>-388.94</v>
      </c>
      <c r="K994" s="72">
        <f t="shared" si="79"/>
        <v>42675</v>
      </c>
      <c r="L994" s="67">
        <f t="shared" si="75"/>
        <v>6</v>
      </c>
      <c r="M994" s="105">
        <v>2.23333E-3</v>
      </c>
      <c r="N994" s="104">
        <f t="shared" si="76"/>
        <v>-5.2117882212</v>
      </c>
      <c r="O994" s="66"/>
      <c r="P994" s="71">
        <f t="shared" si="77"/>
        <v>0</v>
      </c>
      <c r="Q994" s="132"/>
      <c r="R994" s="71">
        <f t="shared" si="78"/>
        <v>-5.9513492041666662</v>
      </c>
    </row>
    <row r="995" spans="1:18">
      <c r="A995" s="106" t="s">
        <v>29</v>
      </c>
      <c r="B995" s="103" t="s">
        <v>267</v>
      </c>
      <c r="C995" s="103" t="s">
        <v>268</v>
      </c>
      <c r="D995" s="102" t="s">
        <v>269</v>
      </c>
      <c r="E995" s="103" t="s">
        <v>270</v>
      </c>
      <c r="F995" s="102" t="s">
        <v>115</v>
      </c>
      <c r="G995" s="103" t="s">
        <v>20</v>
      </c>
      <c r="H995" s="109"/>
      <c r="I995" s="103">
        <v>201507</v>
      </c>
      <c r="J995" s="104">
        <v>-2976.84</v>
      </c>
      <c r="K995" s="72">
        <f t="shared" si="79"/>
        <v>42675</v>
      </c>
      <c r="L995" s="67">
        <f t="shared" si="75"/>
        <v>6</v>
      </c>
      <c r="M995" s="105">
        <v>2.23333E-3</v>
      </c>
      <c r="N995" s="104">
        <f t="shared" si="76"/>
        <v>-39.8895964632</v>
      </c>
      <c r="O995" s="66"/>
      <c r="P995" s="71">
        <f t="shared" si="77"/>
        <v>0</v>
      </c>
      <c r="Q995" s="132"/>
      <c r="R995" s="71">
        <f t="shared" si="78"/>
        <v>-45.549993224999994</v>
      </c>
    </row>
    <row r="996" spans="1:18">
      <c r="A996" s="106" t="s">
        <v>29</v>
      </c>
      <c r="B996" s="103" t="s">
        <v>548</v>
      </c>
      <c r="C996" s="103" t="s">
        <v>549</v>
      </c>
      <c r="D996" s="102" t="s">
        <v>327</v>
      </c>
      <c r="E996" s="103" t="s">
        <v>550</v>
      </c>
      <c r="F996" s="102" t="s">
        <v>58</v>
      </c>
      <c r="G996" s="103" t="s">
        <v>20</v>
      </c>
      <c r="H996" s="109"/>
      <c r="I996" s="103">
        <v>201507</v>
      </c>
      <c r="J996" s="104">
        <v>0.44</v>
      </c>
      <c r="K996" s="72">
        <f t="shared" si="79"/>
        <v>42675</v>
      </c>
      <c r="L996" s="67">
        <f t="shared" si="75"/>
        <v>6</v>
      </c>
      <c r="M996" s="105">
        <v>2.23333E-3</v>
      </c>
      <c r="N996" s="104">
        <f t="shared" si="76"/>
        <v>5.8959911999999998E-3</v>
      </c>
      <c r="O996" s="66"/>
      <c r="P996" s="71">
        <f t="shared" si="77"/>
        <v>0</v>
      </c>
      <c r="Q996" s="132"/>
      <c r="R996" s="71">
        <f t="shared" si="78"/>
        <v>6.7326416666666665E-3</v>
      </c>
    </row>
    <row r="997" spans="1:18">
      <c r="A997" s="106" t="s">
        <v>29</v>
      </c>
      <c r="B997" s="103" t="s">
        <v>836</v>
      </c>
      <c r="C997" s="103" t="s">
        <v>837</v>
      </c>
      <c r="D997" s="102" t="s">
        <v>327</v>
      </c>
      <c r="E997" s="103" t="s">
        <v>838</v>
      </c>
      <c r="F997" s="102" t="s">
        <v>58</v>
      </c>
      <c r="G997" s="103" t="s">
        <v>20</v>
      </c>
      <c r="H997" s="109"/>
      <c r="I997" s="103">
        <v>201507</v>
      </c>
      <c r="J997" s="104">
        <v>229.92</v>
      </c>
      <c r="K997" s="72">
        <f t="shared" si="79"/>
        <v>42675</v>
      </c>
      <c r="L997" s="67">
        <f t="shared" si="75"/>
        <v>6</v>
      </c>
      <c r="M997" s="105">
        <v>2.23333E-3</v>
      </c>
      <c r="N997" s="104">
        <f t="shared" si="76"/>
        <v>3.0809234015999998</v>
      </c>
      <c r="O997" s="66"/>
      <c r="P997" s="71">
        <f t="shared" si="77"/>
        <v>0</v>
      </c>
      <c r="Q997" s="132"/>
      <c r="R997" s="71">
        <f t="shared" si="78"/>
        <v>3.5181112999999993</v>
      </c>
    </row>
    <row r="998" spans="1:18">
      <c r="A998" s="106" t="s">
        <v>29</v>
      </c>
      <c r="B998" s="103" t="s">
        <v>325</v>
      </c>
      <c r="C998" s="103" t="s">
        <v>326</v>
      </c>
      <c r="D998" s="102" t="s">
        <v>327</v>
      </c>
      <c r="E998" s="103" t="s">
        <v>328</v>
      </c>
      <c r="F998" s="102" t="s">
        <v>58</v>
      </c>
      <c r="G998" s="103" t="s">
        <v>20</v>
      </c>
      <c r="H998" s="109"/>
      <c r="I998" s="103">
        <v>201507</v>
      </c>
      <c r="J998" s="104">
        <v>7454.36</v>
      </c>
      <c r="K998" s="72">
        <f t="shared" si="79"/>
        <v>42675</v>
      </c>
      <c r="L998" s="67">
        <f t="shared" si="75"/>
        <v>6</v>
      </c>
      <c r="M998" s="105">
        <v>2.23333E-3</v>
      </c>
      <c r="N998" s="104">
        <f t="shared" si="76"/>
        <v>99.888274912799986</v>
      </c>
      <c r="O998" s="66"/>
      <c r="P998" s="71">
        <f t="shared" si="77"/>
        <v>0</v>
      </c>
      <c r="Q998" s="132"/>
      <c r="R998" s="71">
        <f t="shared" si="78"/>
        <v>114.06257894166664</v>
      </c>
    </row>
    <row r="999" spans="1:18">
      <c r="A999" s="106" t="s">
        <v>29</v>
      </c>
      <c r="B999" s="103" t="s">
        <v>186</v>
      </c>
      <c r="C999" s="103" t="s">
        <v>187</v>
      </c>
      <c r="D999" s="102" t="s">
        <v>188</v>
      </c>
      <c r="E999" s="103" t="s">
        <v>189</v>
      </c>
      <c r="F999" s="102" t="s">
        <v>190</v>
      </c>
      <c r="G999" s="103" t="s">
        <v>20</v>
      </c>
      <c r="H999" s="109"/>
      <c r="I999" s="103">
        <v>201507</v>
      </c>
      <c r="J999" s="104">
        <v>1604.6</v>
      </c>
      <c r="K999" s="72">
        <f t="shared" si="79"/>
        <v>42675</v>
      </c>
      <c r="L999" s="67">
        <f t="shared" si="75"/>
        <v>6</v>
      </c>
      <c r="M999" s="105">
        <v>2.23333E-3</v>
      </c>
      <c r="N999" s="104">
        <f t="shared" si="76"/>
        <v>21.501607907999997</v>
      </c>
      <c r="O999" s="66"/>
      <c r="P999" s="71">
        <f t="shared" si="77"/>
        <v>0</v>
      </c>
      <c r="Q999" s="132"/>
      <c r="R999" s="71">
        <f t="shared" si="78"/>
        <v>24.552720041666664</v>
      </c>
    </row>
    <row r="1000" spans="1:18">
      <c r="A1000" s="106" t="s">
        <v>29</v>
      </c>
      <c r="B1000" s="103" t="s">
        <v>481</v>
      </c>
      <c r="C1000" s="103" t="s">
        <v>482</v>
      </c>
      <c r="D1000" s="102" t="s">
        <v>483</v>
      </c>
      <c r="E1000" s="103" t="s">
        <v>484</v>
      </c>
      <c r="F1000" s="102" t="s">
        <v>190</v>
      </c>
      <c r="G1000" s="103" t="s">
        <v>20</v>
      </c>
      <c r="H1000" s="109"/>
      <c r="I1000" s="103">
        <v>201507</v>
      </c>
      <c r="J1000" s="104">
        <v>-6.78</v>
      </c>
      <c r="K1000" s="72">
        <f t="shared" si="79"/>
        <v>42675</v>
      </c>
      <c r="L1000" s="67">
        <f t="shared" si="75"/>
        <v>6</v>
      </c>
      <c r="M1000" s="105">
        <v>2.23333E-3</v>
      </c>
      <c r="N1000" s="104">
        <f t="shared" si="76"/>
        <v>-9.0851864399999996E-2</v>
      </c>
      <c r="O1000" s="66"/>
      <c r="P1000" s="71">
        <f t="shared" si="77"/>
        <v>0</v>
      </c>
      <c r="Q1000" s="132"/>
      <c r="R1000" s="71">
        <f t="shared" si="78"/>
        <v>-0.10374388749999999</v>
      </c>
    </row>
    <row r="1001" spans="1:18">
      <c r="A1001" s="106" t="s">
        <v>29</v>
      </c>
      <c r="B1001" s="103" t="s">
        <v>236</v>
      </c>
      <c r="C1001" s="103" t="s">
        <v>237</v>
      </c>
      <c r="D1001" s="102" t="s">
        <v>188</v>
      </c>
      <c r="E1001" s="103" t="s">
        <v>238</v>
      </c>
      <c r="F1001" s="102" t="s">
        <v>190</v>
      </c>
      <c r="G1001" s="103" t="s">
        <v>20</v>
      </c>
      <c r="H1001" s="109"/>
      <c r="I1001" s="103">
        <v>201507</v>
      </c>
      <c r="J1001" s="104">
        <v>208258.12</v>
      </c>
      <c r="K1001" s="72">
        <f t="shared" si="79"/>
        <v>42675</v>
      </c>
      <c r="L1001" s="67">
        <f t="shared" si="75"/>
        <v>6</v>
      </c>
      <c r="M1001" s="105">
        <v>2.23333E-3</v>
      </c>
      <c r="N1001" s="104">
        <f t="shared" si="76"/>
        <v>2790.6546428375996</v>
      </c>
      <c r="O1001" s="66"/>
      <c r="P1001" s="71">
        <f t="shared" si="77"/>
        <v>0</v>
      </c>
      <c r="Q1001" s="132"/>
      <c r="R1001" s="71">
        <f t="shared" si="78"/>
        <v>3186.6529457583333</v>
      </c>
    </row>
    <row r="1002" spans="1:18">
      <c r="A1002" s="102" t="s">
        <v>990</v>
      </c>
      <c r="B1002" s="103" t="s">
        <v>991</v>
      </c>
      <c r="C1002" s="103" t="s">
        <v>992</v>
      </c>
      <c r="D1002" s="102" t="s">
        <v>993</v>
      </c>
      <c r="E1002" s="103" t="s">
        <v>994</v>
      </c>
      <c r="F1002" s="102" t="s">
        <v>995</v>
      </c>
      <c r="G1002" s="103" t="s">
        <v>20</v>
      </c>
      <c r="H1002" s="109"/>
      <c r="I1002" s="103">
        <v>201507</v>
      </c>
      <c r="J1002" s="104">
        <v>3200.44</v>
      </c>
      <c r="K1002" s="72">
        <f t="shared" si="79"/>
        <v>42675</v>
      </c>
      <c r="L1002" s="67">
        <f t="shared" si="75"/>
        <v>6</v>
      </c>
      <c r="M1002" s="105">
        <v>2.0333333000000001E-3</v>
      </c>
      <c r="N1002" s="104">
        <f t="shared" si="76"/>
        <v>39.045367359911999</v>
      </c>
      <c r="O1002" s="66"/>
      <c r="P1002" s="71">
        <f t="shared" si="77"/>
        <v>0</v>
      </c>
      <c r="Q1002" s="132"/>
      <c r="R1002" s="71">
        <f t="shared" si="78"/>
        <v>48.971399308333332</v>
      </c>
    </row>
    <row r="1003" spans="1:18">
      <c r="A1003" s="106" t="s">
        <v>990</v>
      </c>
      <c r="B1003" s="103" t="s">
        <v>996</v>
      </c>
      <c r="C1003" s="103" t="s">
        <v>997</v>
      </c>
      <c r="D1003" s="102" t="s">
        <v>998</v>
      </c>
      <c r="E1003" s="103" t="s">
        <v>999</v>
      </c>
      <c r="F1003" s="102" t="s">
        <v>995</v>
      </c>
      <c r="G1003" s="103" t="s">
        <v>20</v>
      </c>
      <c r="H1003" s="109"/>
      <c r="I1003" s="103">
        <v>201507</v>
      </c>
      <c r="J1003" s="104">
        <v>496.28</v>
      </c>
      <c r="K1003" s="72">
        <f t="shared" si="79"/>
        <v>42675</v>
      </c>
      <c r="L1003" s="67">
        <f t="shared" si="75"/>
        <v>6</v>
      </c>
      <c r="M1003" s="105">
        <v>2.0333333000000001E-3</v>
      </c>
      <c r="N1003" s="104">
        <f t="shared" si="76"/>
        <v>6.0546159007439995</v>
      </c>
      <c r="O1003" s="66"/>
      <c r="P1003" s="71">
        <f t="shared" si="77"/>
        <v>0</v>
      </c>
      <c r="Q1003" s="132"/>
      <c r="R1003" s="71">
        <f t="shared" si="78"/>
        <v>7.5938077416666658</v>
      </c>
    </row>
    <row r="1004" spans="1:18">
      <c r="A1004" s="106" t="s">
        <v>990</v>
      </c>
      <c r="B1004" s="103" t="s">
        <v>1000</v>
      </c>
      <c r="C1004" s="103" t="s">
        <v>1001</v>
      </c>
      <c r="D1004" s="102" t="s">
        <v>998</v>
      </c>
      <c r="E1004" s="103" t="s">
        <v>1002</v>
      </c>
      <c r="F1004" s="102" t="s">
        <v>995</v>
      </c>
      <c r="G1004" s="103" t="s">
        <v>20</v>
      </c>
      <c r="H1004" s="109"/>
      <c r="I1004" s="103">
        <v>201507</v>
      </c>
      <c r="J1004" s="104">
        <v>56676.95</v>
      </c>
      <c r="K1004" s="72">
        <f t="shared" si="79"/>
        <v>42675</v>
      </c>
      <c r="L1004" s="67">
        <f t="shared" si="75"/>
        <v>6</v>
      </c>
      <c r="M1004" s="105">
        <v>2.0333333000000001E-3</v>
      </c>
      <c r="N1004" s="104">
        <f t="shared" si="76"/>
        <v>691.45877866461001</v>
      </c>
      <c r="O1004" s="66"/>
      <c r="P1004" s="71">
        <f t="shared" si="77"/>
        <v>0</v>
      </c>
      <c r="Q1004" s="132"/>
      <c r="R1004" s="71">
        <f t="shared" si="78"/>
        <v>867.23998888541655</v>
      </c>
    </row>
    <row r="1005" spans="1:18">
      <c r="A1005" s="106" t="s">
        <v>990</v>
      </c>
      <c r="B1005" s="103" t="s">
        <v>1003</v>
      </c>
      <c r="C1005" s="103" t="s">
        <v>1004</v>
      </c>
      <c r="D1005" s="102" t="s">
        <v>1005</v>
      </c>
      <c r="E1005" s="103" t="s">
        <v>1006</v>
      </c>
      <c r="F1005" s="102" t="s">
        <v>995</v>
      </c>
      <c r="G1005" s="103" t="s">
        <v>20</v>
      </c>
      <c r="H1005" s="109"/>
      <c r="I1005" s="103">
        <v>201507</v>
      </c>
      <c r="J1005" s="104">
        <v>105143.55</v>
      </c>
      <c r="K1005" s="72">
        <f t="shared" si="79"/>
        <v>42675</v>
      </c>
      <c r="L1005" s="67">
        <f t="shared" si="75"/>
        <v>6</v>
      </c>
      <c r="M1005" s="105">
        <v>2.0333333000000001E-3</v>
      </c>
      <c r="N1005" s="104">
        <f t="shared" si="76"/>
        <v>1282.75128897129</v>
      </c>
      <c r="O1005" s="66"/>
      <c r="P1005" s="71">
        <f t="shared" si="77"/>
        <v>0</v>
      </c>
      <c r="Q1005" s="132"/>
      <c r="R1005" s="71">
        <f t="shared" si="78"/>
        <v>1608.8496493437499</v>
      </c>
    </row>
    <row r="1006" spans="1:18">
      <c r="A1006" s="106" t="s">
        <v>990</v>
      </c>
      <c r="B1006" s="103" t="s">
        <v>1010</v>
      </c>
      <c r="C1006" s="103" t="s">
        <v>1011</v>
      </c>
      <c r="D1006" s="102" t="s">
        <v>1012</v>
      </c>
      <c r="E1006" s="103" t="s">
        <v>1013</v>
      </c>
      <c r="F1006" s="102" t="s">
        <v>995</v>
      </c>
      <c r="G1006" s="103" t="s">
        <v>20</v>
      </c>
      <c r="H1006" s="109"/>
      <c r="I1006" s="103">
        <v>201507</v>
      </c>
      <c r="J1006" s="104">
        <v>3437.07</v>
      </c>
      <c r="K1006" s="72">
        <f t="shared" si="79"/>
        <v>42675</v>
      </c>
      <c r="L1006" s="67">
        <f t="shared" si="75"/>
        <v>6</v>
      </c>
      <c r="M1006" s="105">
        <v>2.0333333000000001E-3</v>
      </c>
      <c r="N1006" s="104">
        <f t="shared" si="76"/>
        <v>41.932253312585999</v>
      </c>
      <c r="O1006" s="66"/>
      <c r="P1006" s="71">
        <f t="shared" si="77"/>
        <v>0</v>
      </c>
      <c r="Q1006" s="132"/>
      <c r="R1006" s="71">
        <f t="shared" si="78"/>
        <v>52.592183393749991</v>
      </c>
    </row>
    <row r="1007" spans="1:18">
      <c r="A1007" s="106" t="s">
        <v>990</v>
      </c>
      <c r="B1007" s="103" t="s">
        <v>1017</v>
      </c>
      <c r="C1007" s="103" t="s">
        <v>1018</v>
      </c>
      <c r="D1007" s="102" t="s">
        <v>993</v>
      </c>
      <c r="E1007" s="103" t="s">
        <v>1019</v>
      </c>
      <c r="F1007" s="102" t="s">
        <v>995</v>
      </c>
      <c r="G1007" s="103" t="s">
        <v>20</v>
      </c>
      <c r="H1007" s="109"/>
      <c r="I1007" s="103">
        <v>201507</v>
      </c>
      <c r="J1007" s="104">
        <v>-29.99</v>
      </c>
      <c r="K1007" s="72">
        <f t="shared" si="79"/>
        <v>42675</v>
      </c>
      <c r="L1007" s="67">
        <f t="shared" si="75"/>
        <v>6</v>
      </c>
      <c r="M1007" s="105">
        <v>2.0333333000000001E-3</v>
      </c>
      <c r="N1007" s="104">
        <f t="shared" si="76"/>
        <v>-0.365877994002</v>
      </c>
      <c r="O1007" s="66"/>
      <c r="P1007" s="71">
        <f t="shared" si="77"/>
        <v>0</v>
      </c>
      <c r="Q1007" s="132"/>
      <c r="R1007" s="71">
        <f t="shared" si="78"/>
        <v>-0.45889073541666658</v>
      </c>
    </row>
    <row r="1008" spans="1:18">
      <c r="A1008" s="106" t="s">
        <v>990</v>
      </c>
      <c r="B1008" s="103" t="s">
        <v>1020</v>
      </c>
      <c r="C1008" s="103" t="s">
        <v>1021</v>
      </c>
      <c r="D1008" s="102" t="s">
        <v>998</v>
      </c>
      <c r="E1008" s="103" t="s">
        <v>1022</v>
      </c>
      <c r="F1008" s="102" t="s">
        <v>995</v>
      </c>
      <c r="G1008" s="103" t="s">
        <v>20</v>
      </c>
      <c r="H1008" s="109"/>
      <c r="I1008" s="103">
        <v>201507</v>
      </c>
      <c r="J1008" s="104">
        <v>2043.65</v>
      </c>
      <c r="K1008" s="72">
        <f t="shared" si="79"/>
        <v>42675</v>
      </c>
      <c r="L1008" s="67">
        <f t="shared" si="75"/>
        <v>6</v>
      </c>
      <c r="M1008" s="105">
        <v>2.0333333000000001E-3</v>
      </c>
      <c r="N1008" s="104">
        <f t="shared" si="76"/>
        <v>24.932529591270001</v>
      </c>
      <c r="O1008" s="66"/>
      <c r="P1008" s="71">
        <f t="shared" si="77"/>
        <v>0</v>
      </c>
      <c r="Q1008" s="132"/>
      <c r="R1008" s="71">
        <f t="shared" si="78"/>
        <v>31.270825322916664</v>
      </c>
    </row>
    <row r="1009" spans="1:18">
      <c r="A1009" s="106" t="s">
        <v>29</v>
      </c>
      <c r="B1009" s="103" t="s">
        <v>48</v>
      </c>
      <c r="C1009" s="103" t="s">
        <v>49</v>
      </c>
      <c r="D1009" s="102" t="s">
        <v>50</v>
      </c>
      <c r="E1009" s="103" t="s">
        <v>51</v>
      </c>
      <c r="F1009" s="102" t="s">
        <v>52</v>
      </c>
      <c r="G1009" s="103" t="s">
        <v>20</v>
      </c>
      <c r="H1009" s="109"/>
      <c r="I1009" s="103">
        <v>201507</v>
      </c>
      <c r="J1009" s="104">
        <v>-88.08</v>
      </c>
      <c r="K1009" s="72">
        <f t="shared" si="79"/>
        <v>42675</v>
      </c>
      <c r="L1009" s="67">
        <f t="shared" si="75"/>
        <v>6</v>
      </c>
      <c r="M1009" s="105">
        <v>2.23333E-3</v>
      </c>
      <c r="N1009" s="104">
        <f t="shared" si="76"/>
        <v>-1.1802702383999999</v>
      </c>
      <c r="O1009" s="66"/>
      <c r="P1009" s="71">
        <f t="shared" si="77"/>
        <v>0</v>
      </c>
      <c r="Q1009" s="132"/>
      <c r="R1009" s="71">
        <f t="shared" si="78"/>
        <v>-1.3477524499999998</v>
      </c>
    </row>
    <row r="1010" spans="1:18">
      <c r="A1010" s="106" t="s">
        <v>29</v>
      </c>
      <c r="B1010" s="103" t="s">
        <v>107</v>
      </c>
      <c r="C1010" s="103" t="s">
        <v>108</v>
      </c>
      <c r="D1010" s="102" t="s">
        <v>109</v>
      </c>
      <c r="E1010" s="103" t="s">
        <v>110</v>
      </c>
      <c r="F1010" s="102" t="s">
        <v>52</v>
      </c>
      <c r="G1010" s="103" t="s">
        <v>20</v>
      </c>
      <c r="H1010" s="109"/>
      <c r="I1010" s="103">
        <v>201507</v>
      </c>
      <c r="J1010" s="104">
        <v>49004.959999999999</v>
      </c>
      <c r="K1010" s="72">
        <f t="shared" si="79"/>
        <v>42675</v>
      </c>
      <c r="L1010" s="67">
        <f t="shared" si="75"/>
        <v>6</v>
      </c>
      <c r="M1010" s="105">
        <v>2.23333E-3</v>
      </c>
      <c r="N1010" s="104">
        <f t="shared" si="76"/>
        <v>656.66548390079993</v>
      </c>
      <c r="O1010" s="66"/>
      <c r="P1010" s="71">
        <f t="shared" si="77"/>
        <v>0</v>
      </c>
      <c r="Q1010" s="132"/>
      <c r="R1010" s="71">
        <f t="shared" si="78"/>
        <v>749.84735356666658</v>
      </c>
    </row>
    <row r="1011" spans="1:18">
      <c r="A1011" s="106" t="s">
        <v>29</v>
      </c>
      <c r="B1011" s="103" t="s">
        <v>121</v>
      </c>
      <c r="C1011" s="103" t="s">
        <v>122</v>
      </c>
      <c r="D1011" s="102" t="s">
        <v>50</v>
      </c>
      <c r="E1011" s="103" t="s">
        <v>123</v>
      </c>
      <c r="F1011" s="102" t="s">
        <v>52</v>
      </c>
      <c r="G1011" s="103" t="s">
        <v>20</v>
      </c>
      <c r="H1011" s="109"/>
      <c r="I1011" s="103">
        <v>201507</v>
      </c>
      <c r="J1011" s="104">
        <v>4.9800000000000004</v>
      </c>
      <c r="K1011" s="72">
        <f t="shared" si="79"/>
        <v>42675</v>
      </c>
      <c r="L1011" s="67">
        <f t="shared" si="75"/>
        <v>6</v>
      </c>
      <c r="M1011" s="105">
        <v>2.23333E-3</v>
      </c>
      <c r="N1011" s="104">
        <f t="shared" si="76"/>
        <v>6.6731900400000002E-2</v>
      </c>
      <c r="O1011" s="66"/>
      <c r="P1011" s="71">
        <f t="shared" si="77"/>
        <v>0</v>
      </c>
      <c r="Q1011" s="132"/>
      <c r="R1011" s="71">
        <f t="shared" si="78"/>
        <v>7.6201262499999992E-2</v>
      </c>
    </row>
    <row r="1012" spans="1:18">
      <c r="A1012" s="106" t="s">
        <v>29</v>
      </c>
      <c r="B1012" s="103" t="s">
        <v>124</v>
      </c>
      <c r="C1012" s="103" t="s">
        <v>125</v>
      </c>
      <c r="D1012" s="102" t="s">
        <v>50</v>
      </c>
      <c r="E1012" s="103" t="s">
        <v>126</v>
      </c>
      <c r="F1012" s="102" t="s">
        <v>52</v>
      </c>
      <c r="G1012" s="103" t="s">
        <v>20</v>
      </c>
      <c r="H1012" s="109"/>
      <c r="I1012" s="103">
        <v>201507</v>
      </c>
      <c r="J1012" s="104">
        <v>-4.5599999999999996</v>
      </c>
      <c r="K1012" s="72">
        <f t="shared" si="79"/>
        <v>42675</v>
      </c>
      <c r="L1012" s="67">
        <f t="shared" si="75"/>
        <v>6</v>
      </c>
      <c r="M1012" s="105">
        <v>2.23333E-3</v>
      </c>
      <c r="N1012" s="104">
        <f t="shared" si="76"/>
        <v>-6.1103908799999988E-2</v>
      </c>
      <c r="O1012" s="66"/>
      <c r="P1012" s="71">
        <f t="shared" si="77"/>
        <v>0</v>
      </c>
      <c r="Q1012" s="132"/>
      <c r="R1012" s="71">
        <f t="shared" si="78"/>
        <v>-6.977464999999998E-2</v>
      </c>
    </row>
    <row r="1013" spans="1:18">
      <c r="A1013" s="106" t="s">
        <v>29</v>
      </c>
      <c r="B1013" s="103" t="s">
        <v>321</v>
      </c>
      <c r="C1013" s="103" t="s">
        <v>322</v>
      </c>
      <c r="D1013" s="102" t="s">
        <v>323</v>
      </c>
      <c r="E1013" s="103" t="s">
        <v>324</v>
      </c>
      <c r="F1013" s="102" t="s">
        <v>52</v>
      </c>
      <c r="G1013" s="103" t="s">
        <v>20</v>
      </c>
      <c r="H1013" s="109"/>
      <c r="I1013" s="103">
        <v>201507</v>
      </c>
      <c r="J1013" s="104">
        <v>-605.71</v>
      </c>
      <c r="K1013" s="72">
        <f t="shared" si="79"/>
        <v>42675</v>
      </c>
      <c r="L1013" s="67">
        <f t="shared" si="75"/>
        <v>6</v>
      </c>
      <c r="M1013" s="105">
        <v>2.23333E-3</v>
      </c>
      <c r="N1013" s="104">
        <f t="shared" si="76"/>
        <v>-8.1165018858</v>
      </c>
      <c r="O1013" s="66"/>
      <c r="P1013" s="71">
        <f t="shared" si="77"/>
        <v>0</v>
      </c>
      <c r="Q1013" s="132"/>
      <c r="R1013" s="71">
        <f t="shared" si="78"/>
        <v>-9.2682463270833324</v>
      </c>
    </row>
    <row r="1014" spans="1:18">
      <c r="A1014" s="106" t="s">
        <v>29</v>
      </c>
      <c r="B1014" s="103" t="s">
        <v>419</v>
      </c>
      <c r="C1014" s="103" t="s">
        <v>420</v>
      </c>
      <c r="D1014" s="102" t="s">
        <v>50</v>
      </c>
      <c r="E1014" s="103" t="s">
        <v>421</v>
      </c>
      <c r="F1014" s="102" t="s">
        <v>52</v>
      </c>
      <c r="G1014" s="103" t="s">
        <v>20</v>
      </c>
      <c r="H1014" s="109"/>
      <c r="I1014" s="103">
        <v>201507</v>
      </c>
      <c r="J1014" s="104">
        <v>-56989.82</v>
      </c>
      <c r="K1014" s="72">
        <f t="shared" si="79"/>
        <v>42675</v>
      </c>
      <c r="L1014" s="67">
        <f t="shared" si="75"/>
        <v>6</v>
      </c>
      <c r="M1014" s="105">
        <v>2.23333E-3</v>
      </c>
      <c r="N1014" s="104">
        <f t="shared" si="76"/>
        <v>-763.66244820359998</v>
      </c>
      <c r="O1014" s="66"/>
      <c r="P1014" s="71">
        <f t="shared" si="77"/>
        <v>0</v>
      </c>
      <c r="Q1014" s="132"/>
      <c r="R1014" s="71">
        <f t="shared" si="78"/>
        <v>-872.02735615416657</v>
      </c>
    </row>
    <row r="1015" spans="1:18">
      <c r="A1015" s="106" t="s">
        <v>29</v>
      </c>
      <c r="B1015" s="103" t="s">
        <v>839</v>
      </c>
      <c r="C1015" s="103" t="s">
        <v>840</v>
      </c>
      <c r="D1015" s="102" t="s">
        <v>50</v>
      </c>
      <c r="E1015" s="103" t="s">
        <v>841</v>
      </c>
      <c r="F1015" s="102" t="s">
        <v>52</v>
      </c>
      <c r="G1015" s="103" t="s">
        <v>20</v>
      </c>
      <c r="H1015" s="109"/>
      <c r="I1015" s="103">
        <v>201507</v>
      </c>
      <c r="J1015" s="104">
        <v>-2.0699999999999998</v>
      </c>
      <c r="K1015" s="72">
        <f t="shared" si="79"/>
        <v>42675</v>
      </c>
      <c r="L1015" s="67">
        <f t="shared" si="75"/>
        <v>6</v>
      </c>
      <c r="M1015" s="105">
        <v>2.23333E-3</v>
      </c>
      <c r="N1015" s="104">
        <f t="shared" si="76"/>
        <v>-2.7737958599999994E-2</v>
      </c>
      <c r="O1015" s="66"/>
      <c r="P1015" s="71">
        <f t="shared" si="77"/>
        <v>0</v>
      </c>
      <c r="Q1015" s="132"/>
      <c r="R1015" s="71">
        <f t="shared" si="78"/>
        <v>-3.1674018749999991E-2</v>
      </c>
    </row>
    <row r="1016" spans="1:18">
      <c r="A1016" s="102" t="s">
        <v>127</v>
      </c>
      <c r="B1016" s="103" t="s">
        <v>1242</v>
      </c>
      <c r="C1016" s="103" t="s">
        <v>1243</v>
      </c>
      <c r="D1016" s="102" t="s">
        <v>1244</v>
      </c>
      <c r="E1016" s="103" t="s">
        <v>131</v>
      </c>
      <c r="F1016" s="102" t="s">
        <v>132</v>
      </c>
      <c r="G1016" s="103" t="s">
        <v>20</v>
      </c>
      <c r="H1016" s="103"/>
      <c r="I1016" s="103">
        <v>201507</v>
      </c>
      <c r="J1016" s="104">
        <v>-410.71</v>
      </c>
      <c r="K1016" s="72">
        <f t="shared" si="79"/>
        <v>42675</v>
      </c>
      <c r="L1016" s="67">
        <f t="shared" si="75"/>
        <v>6</v>
      </c>
      <c r="M1016" s="105">
        <v>2.3833299999999999E-3</v>
      </c>
      <c r="N1016" s="104">
        <f t="shared" si="76"/>
        <v>-5.8731447858000001</v>
      </c>
      <c r="O1016" s="66"/>
      <c r="P1016" s="71">
        <f t="shared" si="77"/>
        <v>0</v>
      </c>
      <c r="Q1016" s="132"/>
      <c r="R1016" s="71">
        <f t="shared" si="78"/>
        <v>-6.2844619520833325</v>
      </c>
    </row>
    <row r="1017" spans="1:18">
      <c r="A1017" s="106" t="s">
        <v>127</v>
      </c>
      <c r="B1017" s="103" t="s">
        <v>388</v>
      </c>
      <c r="C1017" s="103" t="s">
        <v>389</v>
      </c>
      <c r="D1017" s="102" t="s">
        <v>390</v>
      </c>
      <c r="E1017" s="103" t="s">
        <v>131</v>
      </c>
      <c r="F1017" s="102" t="s">
        <v>132</v>
      </c>
      <c r="G1017" s="103" t="s">
        <v>20</v>
      </c>
      <c r="H1017" s="103"/>
      <c r="I1017" s="103">
        <v>201507</v>
      </c>
      <c r="J1017" s="104">
        <v>-0.91</v>
      </c>
      <c r="K1017" s="72">
        <f t="shared" si="79"/>
        <v>42675</v>
      </c>
      <c r="L1017" s="67">
        <f t="shared" si="75"/>
        <v>6</v>
      </c>
      <c r="M1017" s="105">
        <v>2.3833299999999999E-3</v>
      </c>
      <c r="N1017" s="104">
        <f t="shared" si="76"/>
        <v>-1.30129818E-2</v>
      </c>
      <c r="O1017" s="66"/>
      <c r="P1017" s="71">
        <f t="shared" si="77"/>
        <v>0</v>
      </c>
      <c r="Q1017" s="132"/>
      <c r="R1017" s="71">
        <f t="shared" si="78"/>
        <v>-1.3924327083333334E-2</v>
      </c>
    </row>
    <row r="1018" spans="1:18">
      <c r="A1018" s="102" t="s">
        <v>127</v>
      </c>
      <c r="B1018" s="103" t="s">
        <v>1130</v>
      </c>
      <c r="C1018" s="103" t="s">
        <v>1131</v>
      </c>
      <c r="D1018" s="102" t="s">
        <v>1132</v>
      </c>
      <c r="E1018" s="103" t="s">
        <v>131</v>
      </c>
      <c r="F1018" s="102" t="s">
        <v>132</v>
      </c>
      <c r="G1018" s="103" t="s">
        <v>20</v>
      </c>
      <c r="H1018" s="103"/>
      <c r="I1018" s="103">
        <v>201507</v>
      </c>
      <c r="J1018" s="104">
        <v>-5.71</v>
      </c>
      <c r="K1018" s="72">
        <f t="shared" si="79"/>
        <v>42675</v>
      </c>
      <c r="L1018" s="67">
        <f t="shared" si="75"/>
        <v>6</v>
      </c>
      <c r="M1018" s="105">
        <v>2.3833299999999999E-3</v>
      </c>
      <c r="N1018" s="104">
        <f t="shared" si="76"/>
        <v>-8.1652885800000005E-2</v>
      </c>
      <c r="O1018" s="66"/>
      <c r="P1018" s="71">
        <f t="shared" si="77"/>
        <v>0</v>
      </c>
      <c r="Q1018" s="132"/>
      <c r="R1018" s="71">
        <f t="shared" si="78"/>
        <v>-8.7371327083333311E-2</v>
      </c>
    </row>
    <row r="1019" spans="1:18">
      <c r="A1019" s="106" t="s">
        <v>127</v>
      </c>
      <c r="B1019" s="103" t="s">
        <v>1577</v>
      </c>
      <c r="C1019" s="103" t="s">
        <v>1578</v>
      </c>
      <c r="D1019" s="102" t="s">
        <v>1579</v>
      </c>
      <c r="E1019" s="103" t="s">
        <v>1580</v>
      </c>
      <c r="F1019" s="102" t="s">
        <v>217</v>
      </c>
      <c r="G1019" s="103" t="s">
        <v>20</v>
      </c>
      <c r="H1019" s="103"/>
      <c r="I1019" s="103">
        <v>201507</v>
      </c>
      <c r="J1019" s="104">
        <v>-53.69</v>
      </c>
      <c r="K1019" s="72">
        <f t="shared" si="79"/>
        <v>42675</v>
      </c>
      <c r="L1019" s="67">
        <f t="shared" si="75"/>
        <v>6</v>
      </c>
      <c r="M1019" s="105">
        <v>2.3833299999999999E-3</v>
      </c>
      <c r="N1019" s="104">
        <f t="shared" si="76"/>
        <v>-0.76776592619999995</v>
      </c>
      <c r="O1019" s="66"/>
      <c r="P1019" s="71">
        <f t="shared" si="77"/>
        <v>0</v>
      </c>
      <c r="Q1019" s="132"/>
      <c r="R1019" s="71">
        <f t="shared" si="78"/>
        <v>-0.82153529791666657</v>
      </c>
    </row>
    <row r="1020" spans="1:18">
      <c r="A1020" s="106" t="s">
        <v>127</v>
      </c>
      <c r="B1020" s="103" t="s">
        <v>1499</v>
      </c>
      <c r="C1020" s="103" t="s">
        <v>1500</v>
      </c>
      <c r="D1020" s="102" t="s">
        <v>1501</v>
      </c>
      <c r="E1020" s="103" t="s">
        <v>216</v>
      </c>
      <c r="F1020" s="102" t="s">
        <v>217</v>
      </c>
      <c r="G1020" s="103" t="s">
        <v>20</v>
      </c>
      <c r="H1020" s="103"/>
      <c r="I1020" s="103">
        <v>201507</v>
      </c>
      <c r="J1020" s="104">
        <v>-100.61</v>
      </c>
      <c r="K1020" s="72">
        <f t="shared" si="79"/>
        <v>42675</v>
      </c>
      <c r="L1020" s="67">
        <f t="shared" si="75"/>
        <v>6</v>
      </c>
      <c r="M1020" s="105">
        <v>2.3833299999999999E-3</v>
      </c>
      <c r="N1020" s="104">
        <f t="shared" si="76"/>
        <v>-1.4387209878</v>
      </c>
      <c r="O1020" s="66"/>
      <c r="P1020" s="71">
        <f t="shared" si="77"/>
        <v>0</v>
      </c>
      <c r="Q1020" s="132"/>
      <c r="R1020" s="71">
        <f t="shared" si="78"/>
        <v>-1.5394797229166666</v>
      </c>
    </row>
    <row r="1021" spans="1:18">
      <c r="A1021" s="106" t="s">
        <v>127</v>
      </c>
      <c r="B1021" s="103" t="s">
        <v>1581</v>
      </c>
      <c r="C1021" s="103" t="s">
        <v>1582</v>
      </c>
      <c r="D1021" s="102" t="s">
        <v>1583</v>
      </c>
      <c r="E1021" s="103" t="s">
        <v>216</v>
      </c>
      <c r="F1021" s="102" t="s">
        <v>217</v>
      </c>
      <c r="G1021" s="103" t="s">
        <v>20</v>
      </c>
      <c r="H1021" s="103"/>
      <c r="I1021" s="103">
        <v>201507</v>
      </c>
      <c r="J1021" s="104">
        <v>19885.34</v>
      </c>
      <c r="K1021" s="72">
        <f t="shared" si="79"/>
        <v>42675</v>
      </c>
      <c r="L1021" s="67">
        <f t="shared" si="75"/>
        <v>6</v>
      </c>
      <c r="M1021" s="105">
        <v>2.3833299999999999E-3</v>
      </c>
      <c r="N1021" s="104">
        <f t="shared" si="76"/>
        <v>284.35996429319999</v>
      </c>
      <c r="O1021" s="66"/>
      <c r="P1021" s="71">
        <f t="shared" si="77"/>
        <v>0</v>
      </c>
      <c r="Q1021" s="132"/>
      <c r="R1021" s="71">
        <f t="shared" si="78"/>
        <v>304.27470145416663</v>
      </c>
    </row>
    <row r="1022" spans="1:18">
      <c r="A1022" s="102" t="s">
        <v>127</v>
      </c>
      <c r="B1022" s="103" t="s">
        <v>1581</v>
      </c>
      <c r="C1022" s="103" t="s">
        <v>1584</v>
      </c>
      <c r="D1022" s="102" t="s">
        <v>1583</v>
      </c>
      <c r="E1022" s="103" t="s">
        <v>216</v>
      </c>
      <c r="F1022" s="102" t="s">
        <v>217</v>
      </c>
      <c r="G1022" s="103" t="s">
        <v>20</v>
      </c>
      <c r="H1022" s="103"/>
      <c r="I1022" s="103">
        <v>201507</v>
      </c>
      <c r="J1022" s="104">
        <v>552.62</v>
      </c>
      <c r="K1022" s="72">
        <f t="shared" si="79"/>
        <v>42675</v>
      </c>
      <c r="L1022" s="67">
        <f t="shared" si="75"/>
        <v>6</v>
      </c>
      <c r="M1022" s="105">
        <v>2.3833299999999999E-3</v>
      </c>
      <c r="N1022" s="104">
        <f t="shared" si="76"/>
        <v>7.9024549475999999</v>
      </c>
      <c r="O1022" s="66"/>
      <c r="P1022" s="71">
        <f t="shared" si="77"/>
        <v>0</v>
      </c>
      <c r="Q1022" s="132"/>
      <c r="R1022" s="71">
        <f t="shared" si="78"/>
        <v>8.4558919041666663</v>
      </c>
    </row>
    <row r="1023" spans="1:18">
      <c r="A1023" s="102" t="s">
        <v>626</v>
      </c>
      <c r="B1023" s="103" t="s">
        <v>930</v>
      </c>
      <c r="C1023" s="103" t="s">
        <v>931</v>
      </c>
      <c r="D1023" s="102" t="s">
        <v>932</v>
      </c>
      <c r="E1023" s="103" t="s">
        <v>93</v>
      </c>
      <c r="F1023" s="102" t="s">
        <v>88</v>
      </c>
      <c r="G1023" s="103" t="s">
        <v>20</v>
      </c>
      <c r="H1023" s="108"/>
      <c r="I1023" s="103">
        <v>201507</v>
      </c>
      <c r="J1023" s="104">
        <v>151.38</v>
      </c>
      <c r="K1023" s="72">
        <f t="shared" si="79"/>
        <v>42675</v>
      </c>
      <c r="L1023" s="67">
        <f t="shared" si="75"/>
        <v>6</v>
      </c>
      <c r="M1023" s="105">
        <v>1.4833299999999999E-3</v>
      </c>
      <c r="N1023" s="104">
        <f t="shared" si="76"/>
        <v>1.3472789724000001</v>
      </c>
      <c r="O1023" s="66"/>
      <c r="P1023" s="71">
        <f t="shared" si="77"/>
        <v>0</v>
      </c>
      <c r="Q1023" s="132"/>
      <c r="R1023" s="71">
        <f t="shared" si="78"/>
        <v>2.3163347624999995</v>
      </c>
    </row>
    <row r="1024" spans="1:18">
      <c r="A1024" s="106" t="s">
        <v>21</v>
      </c>
      <c r="B1024" s="103" t="s">
        <v>84</v>
      </c>
      <c r="C1024" s="103" t="s">
        <v>85</v>
      </c>
      <c r="D1024" s="102" t="s">
        <v>86</v>
      </c>
      <c r="E1024" s="103" t="s">
        <v>87</v>
      </c>
      <c r="F1024" s="102" t="s">
        <v>88</v>
      </c>
      <c r="G1024" s="103" t="s">
        <v>20</v>
      </c>
      <c r="H1024" s="108"/>
      <c r="I1024" s="103">
        <v>201507</v>
      </c>
      <c r="J1024" s="104">
        <v>-215.9</v>
      </c>
      <c r="K1024" s="72">
        <f t="shared" si="79"/>
        <v>42675</v>
      </c>
      <c r="L1024" s="67">
        <f t="shared" si="75"/>
        <v>6</v>
      </c>
      <c r="M1024" s="105">
        <v>1.4833299999999999E-3</v>
      </c>
      <c r="N1024" s="104">
        <f t="shared" si="76"/>
        <v>-1.921505682</v>
      </c>
      <c r="O1024" s="66"/>
      <c r="P1024" s="71">
        <f t="shared" si="77"/>
        <v>0</v>
      </c>
      <c r="Q1024" s="132"/>
      <c r="R1024" s="71">
        <f t="shared" si="78"/>
        <v>-3.3035848541666666</v>
      </c>
    </row>
    <row r="1025" spans="1:18">
      <c r="A1025" s="102" t="s">
        <v>21</v>
      </c>
      <c r="B1025" s="103" t="s">
        <v>1286</v>
      </c>
      <c r="C1025" s="103" t="s">
        <v>1287</v>
      </c>
      <c r="D1025" s="102" t="s">
        <v>1288</v>
      </c>
      <c r="E1025" s="103" t="s">
        <v>93</v>
      </c>
      <c r="F1025" s="102" t="s">
        <v>88</v>
      </c>
      <c r="G1025" s="103" t="s">
        <v>20</v>
      </c>
      <c r="H1025" s="108"/>
      <c r="I1025" s="103">
        <v>201507</v>
      </c>
      <c r="J1025" s="104">
        <v>1404.3</v>
      </c>
      <c r="K1025" s="72">
        <f t="shared" si="79"/>
        <v>42675</v>
      </c>
      <c r="L1025" s="67">
        <f t="shared" si="75"/>
        <v>6</v>
      </c>
      <c r="M1025" s="105">
        <v>1.4833299999999999E-3</v>
      </c>
      <c r="N1025" s="104">
        <f t="shared" si="76"/>
        <v>12.498241913999999</v>
      </c>
      <c r="O1025" s="66"/>
      <c r="P1025" s="71">
        <f t="shared" si="77"/>
        <v>0</v>
      </c>
      <c r="Q1025" s="132"/>
      <c r="R1025" s="71">
        <f t="shared" si="78"/>
        <v>21.487837937499997</v>
      </c>
    </row>
    <row r="1026" spans="1:18">
      <c r="A1026" s="106" t="s">
        <v>626</v>
      </c>
      <c r="B1026" s="103" t="s">
        <v>741</v>
      </c>
      <c r="C1026" s="103" t="s">
        <v>742</v>
      </c>
      <c r="D1026" s="102" t="s">
        <v>743</v>
      </c>
      <c r="E1026" s="103" t="s">
        <v>415</v>
      </c>
      <c r="F1026" s="102" t="s">
        <v>88</v>
      </c>
      <c r="G1026" s="103" t="s">
        <v>20</v>
      </c>
      <c r="H1026" s="108"/>
      <c r="I1026" s="103">
        <v>201507</v>
      </c>
      <c r="J1026" s="104">
        <v>-28.75</v>
      </c>
      <c r="K1026" s="72">
        <f t="shared" si="79"/>
        <v>42675</v>
      </c>
      <c r="L1026" s="67">
        <f t="shared" si="75"/>
        <v>6</v>
      </c>
      <c r="M1026" s="105">
        <v>1.4833299999999999E-3</v>
      </c>
      <c r="N1026" s="104">
        <f t="shared" si="76"/>
        <v>-0.25587442500000002</v>
      </c>
      <c r="O1026" s="66"/>
      <c r="P1026" s="71">
        <f t="shared" si="77"/>
        <v>0</v>
      </c>
      <c r="Q1026" s="132"/>
      <c r="R1026" s="71">
        <f t="shared" si="78"/>
        <v>-0.4399169270833333</v>
      </c>
    </row>
    <row r="1027" spans="1:18">
      <c r="A1027" s="106" t="s">
        <v>21</v>
      </c>
      <c r="B1027" s="103" t="s">
        <v>1072</v>
      </c>
      <c r="C1027" s="103" t="s">
        <v>1073</v>
      </c>
      <c r="D1027" s="102" t="s">
        <v>1074</v>
      </c>
      <c r="E1027" s="103" t="s">
        <v>857</v>
      </c>
      <c r="F1027" s="102" t="s">
        <v>88</v>
      </c>
      <c r="G1027" s="103" t="s">
        <v>20</v>
      </c>
      <c r="H1027" s="108"/>
      <c r="I1027" s="103">
        <v>201507</v>
      </c>
      <c r="J1027" s="104">
        <v>-1317.8</v>
      </c>
      <c r="K1027" s="72">
        <f t="shared" si="79"/>
        <v>42675</v>
      </c>
      <c r="L1027" s="67">
        <f t="shared" si="75"/>
        <v>6</v>
      </c>
      <c r="M1027" s="105">
        <v>1.4833299999999999E-3</v>
      </c>
      <c r="N1027" s="104">
        <f t="shared" si="76"/>
        <v>-11.728393644000001</v>
      </c>
      <c r="O1027" s="66"/>
      <c r="P1027" s="71">
        <f t="shared" si="77"/>
        <v>0</v>
      </c>
      <c r="Q1027" s="132"/>
      <c r="R1027" s="71">
        <f t="shared" si="78"/>
        <v>-20.164261791666664</v>
      </c>
    </row>
    <row r="1028" spans="1:18">
      <c r="A1028" s="102" t="s">
        <v>127</v>
      </c>
      <c r="B1028" s="103" t="s">
        <v>1032</v>
      </c>
      <c r="C1028" s="103" t="s">
        <v>1033</v>
      </c>
      <c r="D1028" s="102" t="s">
        <v>1034</v>
      </c>
      <c r="E1028" s="103" t="s">
        <v>209</v>
      </c>
      <c r="F1028" s="102" t="s">
        <v>88</v>
      </c>
      <c r="G1028" s="103" t="s">
        <v>20</v>
      </c>
      <c r="H1028" s="108"/>
      <c r="I1028" s="103">
        <v>201507</v>
      </c>
      <c r="J1028" s="104">
        <v>58837.52</v>
      </c>
      <c r="K1028" s="72">
        <f t="shared" si="79"/>
        <v>42675</v>
      </c>
      <c r="L1028" s="67">
        <f t="shared" si="75"/>
        <v>6</v>
      </c>
      <c r="M1028" s="105">
        <v>2.3833299999999999E-3</v>
      </c>
      <c r="N1028" s="104">
        <f t="shared" si="76"/>
        <v>841.37535924960002</v>
      </c>
      <c r="O1028" s="66"/>
      <c r="P1028" s="71">
        <f t="shared" si="77"/>
        <v>0</v>
      </c>
      <c r="Q1028" s="132"/>
      <c r="R1028" s="71">
        <f t="shared" si="78"/>
        <v>900.29986071666656</v>
      </c>
    </row>
    <row r="1029" spans="1:18">
      <c r="A1029" s="102" t="s">
        <v>21</v>
      </c>
      <c r="B1029" s="103" t="s">
        <v>938</v>
      </c>
      <c r="C1029" s="103" t="s">
        <v>939</v>
      </c>
      <c r="D1029" s="102" t="s">
        <v>940</v>
      </c>
      <c r="E1029" s="103" t="s">
        <v>209</v>
      </c>
      <c r="F1029" s="102" t="s">
        <v>88</v>
      </c>
      <c r="G1029" s="103" t="s">
        <v>20</v>
      </c>
      <c r="H1029" s="108"/>
      <c r="I1029" s="103">
        <v>201507</v>
      </c>
      <c r="J1029" s="104">
        <v>-0.76</v>
      </c>
      <c r="K1029" s="72">
        <f t="shared" si="79"/>
        <v>42675</v>
      </c>
      <c r="L1029" s="67">
        <f t="shared" ref="L1029:L1092" si="80">((YEAR($L$1)-YEAR(K1029))*12+MONTH($L$1)-MONTH(K1029))</f>
        <v>6</v>
      </c>
      <c r="M1029" s="105">
        <v>1.4833299999999999E-3</v>
      </c>
      <c r="N1029" s="104">
        <f t="shared" ref="N1029:N1092" si="81">M1029*L1029*J1029</f>
        <v>-6.7639848000000001E-3</v>
      </c>
      <c r="O1029" s="66"/>
      <c r="P1029" s="71">
        <f t="shared" si="77"/>
        <v>0</v>
      </c>
      <c r="Q1029" s="132"/>
      <c r="R1029" s="71">
        <f t="shared" si="78"/>
        <v>-1.1629108333333332E-2</v>
      </c>
    </row>
    <row r="1030" spans="1:18">
      <c r="A1030" s="106" t="s">
        <v>626</v>
      </c>
      <c r="B1030" s="103" t="s">
        <v>938</v>
      </c>
      <c r="C1030" s="103" t="s">
        <v>939</v>
      </c>
      <c r="D1030" s="102" t="s">
        <v>940</v>
      </c>
      <c r="E1030" s="103" t="s">
        <v>209</v>
      </c>
      <c r="F1030" s="102" t="s">
        <v>88</v>
      </c>
      <c r="G1030" s="103" t="s">
        <v>20</v>
      </c>
      <c r="H1030" s="108"/>
      <c r="I1030" s="103">
        <v>201507</v>
      </c>
      <c r="J1030" s="104">
        <v>-57.35</v>
      </c>
      <c r="K1030" s="72">
        <f t="shared" si="79"/>
        <v>42675</v>
      </c>
      <c r="L1030" s="67">
        <f t="shared" si="80"/>
        <v>6</v>
      </c>
      <c r="M1030" s="105">
        <v>1.4833299999999999E-3</v>
      </c>
      <c r="N1030" s="104">
        <f t="shared" si="81"/>
        <v>-0.51041385299999997</v>
      </c>
      <c r="O1030" s="66"/>
      <c r="P1030" s="71">
        <f t="shared" ref="P1030:P1093" si="82">($P$4*0.5*J1030*$T$12)</f>
        <v>0</v>
      </c>
      <c r="Q1030" s="132"/>
      <c r="R1030" s="71">
        <f t="shared" ref="R1030:R1093" si="83">($R$4*0.5*J1030*$T$12)</f>
        <v>-0.87753863541666666</v>
      </c>
    </row>
    <row r="1031" spans="1:18">
      <c r="A1031" s="106" t="s">
        <v>626</v>
      </c>
      <c r="B1031" s="103" t="s">
        <v>1118</v>
      </c>
      <c r="C1031" s="103" t="s">
        <v>1119</v>
      </c>
      <c r="D1031" s="102" t="s">
        <v>1120</v>
      </c>
      <c r="E1031" s="103" t="s">
        <v>93</v>
      </c>
      <c r="F1031" s="102" t="s">
        <v>88</v>
      </c>
      <c r="G1031" s="103" t="s">
        <v>20</v>
      </c>
      <c r="H1031" s="108"/>
      <c r="I1031" s="103">
        <v>201507</v>
      </c>
      <c r="J1031" s="104">
        <v>-6.39</v>
      </c>
      <c r="K1031" s="72">
        <f t="shared" ref="K1031:K1094" si="84">+K1030</f>
        <v>42675</v>
      </c>
      <c r="L1031" s="67">
        <f t="shared" si="80"/>
        <v>6</v>
      </c>
      <c r="M1031" s="105">
        <v>1.4833299999999999E-3</v>
      </c>
      <c r="N1031" s="104">
        <f t="shared" si="81"/>
        <v>-5.6870872199999999E-2</v>
      </c>
      <c r="O1031" s="66"/>
      <c r="P1031" s="71">
        <f t="shared" si="82"/>
        <v>0</v>
      </c>
      <c r="Q1031" s="132"/>
      <c r="R1031" s="71">
        <f t="shared" si="83"/>
        <v>-9.777631874999998E-2</v>
      </c>
    </row>
    <row r="1032" spans="1:18">
      <c r="A1032" s="106" t="s">
        <v>21</v>
      </c>
      <c r="B1032" s="103" t="s">
        <v>1124</v>
      </c>
      <c r="C1032" s="103" t="s">
        <v>1125</v>
      </c>
      <c r="D1032" s="102" t="s">
        <v>1126</v>
      </c>
      <c r="E1032" s="103" t="s">
        <v>87</v>
      </c>
      <c r="F1032" s="102" t="s">
        <v>88</v>
      </c>
      <c r="G1032" s="103" t="s">
        <v>20</v>
      </c>
      <c r="H1032" s="108"/>
      <c r="I1032" s="103">
        <v>201507</v>
      </c>
      <c r="J1032" s="104">
        <v>-59.43</v>
      </c>
      <c r="K1032" s="72">
        <f t="shared" si="84"/>
        <v>42675</v>
      </c>
      <c r="L1032" s="67">
        <f t="shared" si="80"/>
        <v>6</v>
      </c>
      <c r="M1032" s="105">
        <v>1.4833299999999999E-3</v>
      </c>
      <c r="N1032" s="104">
        <f t="shared" si="81"/>
        <v>-0.52892581139999995</v>
      </c>
      <c r="O1032" s="66"/>
      <c r="P1032" s="71">
        <f t="shared" si="82"/>
        <v>0</v>
      </c>
      <c r="Q1032" s="132"/>
      <c r="R1032" s="71">
        <f t="shared" si="83"/>
        <v>-0.90936566874999991</v>
      </c>
    </row>
    <row r="1033" spans="1:18">
      <c r="A1033" s="106" t="s">
        <v>626</v>
      </c>
      <c r="B1033" s="103" t="s">
        <v>1124</v>
      </c>
      <c r="C1033" s="103" t="s">
        <v>1125</v>
      </c>
      <c r="D1033" s="102" t="s">
        <v>1126</v>
      </c>
      <c r="E1033" s="103" t="s">
        <v>87</v>
      </c>
      <c r="F1033" s="102" t="s">
        <v>88</v>
      </c>
      <c r="G1033" s="103" t="s">
        <v>20</v>
      </c>
      <c r="H1033" s="108"/>
      <c r="I1033" s="103">
        <v>201507</v>
      </c>
      <c r="J1033" s="104">
        <v>-1.67</v>
      </c>
      <c r="K1033" s="72">
        <f t="shared" si="84"/>
        <v>42675</v>
      </c>
      <c r="L1033" s="67">
        <f t="shared" si="80"/>
        <v>6</v>
      </c>
      <c r="M1033" s="105">
        <v>1.4833299999999999E-3</v>
      </c>
      <c r="N1033" s="104">
        <f t="shared" si="81"/>
        <v>-1.4862966599999999E-2</v>
      </c>
      <c r="O1033" s="66"/>
      <c r="P1033" s="71">
        <f t="shared" si="82"/>
        <v>0</v>
      </c>
      <c r="Q1033" s="132"/>
      <c r="R1033" s="71">
        <f t="shared" si="83"/>
        <v>-2.5553435416666662E-2</v>
      </c>
    </row>
    <row r="1034" spans="1:18">
      <c r="A1034" s="106" t="s">
        <v>21</v>
      </c>
      <c r="B1034" s="103" t="s">
        <v>1127</v>
      </c>
      <c r="C1034" s="103" t="s">
        <v>1128</v>
      </c>
      <c r="D1034" s="102" t="s">
        <v>1129</v>
      </c>
      <c r="E1034" s="103" t="s">
        <v>87</v>
      </c>
      <c r="F1034" s="102" t="s">
        <v>88</v>
      </c>
      <c r="G1034" s="103" t="s">
        <v>20</v>
      </c>
      <c r="H1034" s="108"/>
      <c r="I1034" s="103">
        <v>201507</v>
      </c>
      <c r="J1034" s="104">
        <v>-4857.62</v>
      </c>
      <c r="K1034" s="72">
        <f t="shared" si="84"/>
        <v>42675</v>
      </c>
      <c r="L1034" s="67">
        <f t="shared" si="80"/>
        <v>6</v>
      </c>
      <c r="M1034" s="105">
        <v>1.4833299999999999E-3</v>
      </c>
      <c r="N1034" s="104">
        <f t="shared" si="81"/>
        <v>-43.2327208476</v>
      </c>
      <c r="O1034" s="66"/>
      <c r="P1034" s="71">
        <f t="shared" si="82"/>
        <v>0</v>
      </c>
      <c r="Q1034" s="132"/>
      <c r="R1034" s="71">
        <f t="shared" si="83"/>
        <v>-74.328670029166659</v>
      </c>
    </row>
    <row r="1035" spans="1:18">
      <c r="A1035" s="102" t="s">
        <v>626</v>
      </c>
      <c r="B1035" s="103" t="s">
        <v>1127</v>
      </c>
      <c r="C1035" s="103" t="s">
        <v>1128</v>
      </c>
      <c r="D1035" s="102" t="s">
        <v>1129</v>
      </c>
      <c r="E1035" s="103" t="s">
        <v>87</v>
      </c>
      <c r="F1035" s="102" t="s">
        <v>88</v>
      </c>
      <c r="G1035" s="103" t="s">
        <v>20</v>
      </c>
      <c r="H1035" s="108"/>
      <c r="I1035" s="103">
        <v>201507</v>
      </c>
      <c r="J1035" s="104">
        <v>-96.51</v>
      </c>
      <c r="K1035" s="72">
        <f t="shared" si="84"/>
        <v>42675</v>
      </c>
      <c r="L1035" s="67">
        <f t="shared" si="80"/>
        <v>6</v>
      </c>
      <c r="M1035" s="105">
        <v>1.4833299999999999E-3</v>
      </c>
      <c r="N1035" s="104">
        <f t="shared" si="81"/>
        <v>-0.85893706980000006</v>
      </c>
      <c r="O1035" s="66"/>
      <c r="P1035" s="71">
        <f t="shared" si="82"/>
        <v>0</v>
      </c>
      <c r="Q1035" s="132"/>
      <c r="R1035" s="71">
        <f t="shared" si="83"/>
        <v>-1.4767437437499999</v>
      </c>
    </row>
    <row r="1036" spans="1:18">
      <c r="A1036" s="102" t="s">
        <v>21</v>
      </c>
      <c r="B1036" s="103" t="s">
        <v>1461</v>
      </c>
      <c r="C1036" s="103" t="s">
        <v>1462</v>
      </c>
      <c r="D1036" s="102" t="s">
        <v>1463</v>
      </c>
      <c r="E1036" s="103" t="s">
        <v>209</v>
      </c>
      <c r="F1036" s="102" t="s">
        <v>88</v>
      </c>
      <c r="G1036" s="103" t="s">
        <v>20</v>
      </c>
      <c r="H1036" s="108"/>
      <c r="I1036" s="103">
        <v>201507</v>
      </c>
      <c r="J1036" s="104">
        <v>755.67</v>
      </c>
      <c r="K1036" s="72">
        <f t="shared" si="84"/>
        <v>42675</v>
      </c>
      <c r="L1036" s="67">
        <f t="shared" si="80"/>
        <v>6</v>
      </c>
      <c r="M1036" s="105">
        <v>1.4833299999999999E-3</v>
      </c>
      <c r="N1036" s="104">
        <f t="shared" si="81"/>
        <v>6.7254478865999996</v>
      </c>
      <c r="O1036" s="66"/>
      <c r="P1036" s="71">
        <f t="shared" si="82"/>
        <v>0</v>
      </c>
      <c r="Q1036" s="132"/>
      <c r="R1036" s="71">
        <f t="shared" si="83"/>
        <v>11.562853018749998</v>
      </c>
    </row>
    <row r="1037" spans="1:18">
      <c r="A1037" s="102" t="s">
        <v>626</v>
      </c>
      <c r="B1037" s="103" t="s">
        <v>848</v>
      </c>
      <c r="C1037" s="103" t="s">
        <v>849</v>
      </c>
      <c r="D1037" s="102" t="s">
        <v>850</v>
      </c>
      <c r="E1037" s="103" t="s">
        <v>93</v>
      </c>
      <c r="F1037" s="102" t="s">
        <v>88</v>
      </c>
      <c r="G1037" s="103" t="s">
        <v>20</v>
      </c>
      <c r="H1037" s="108"/>
      <c r="I1037" s="103">
        <v>201507</v>
      </c>
      <c r="J1037" s="104">
        <v>65.09</v>
      </c>
      <c r="K1037" s="72">
        <f t="shared" si="84"/>
        <v>42675</v>
      </c>
      <c r="L1037" s="67">
        <f t="shared" si="80"/>
        <v>6</v>
      </c>
      <c r="M1037" s="105">
        <v>1.4833299999999999E-3</v>
      </c>
      <c r="N1037" s="104">
        <f t="shared" si="81"/>
        <v>0.57929969820000005</v>
      </c>
      <c r="O1037" s="66"/>
      <c r="P1037" s="71">
        <f t="shared" si="82"/>
        <v>0</v>
      </c>
      <c r="Q1037" s="132"/>
      <c r="R1037" s="71">
        <f t="shared" si="83"/>
        <v>0.9959719229166667</v>
      </c>
    </row>
    <row r="1038" spans="1:18">
      <c r="A1038" s="102" t="s">
        <v>626</v>
      </c>
      <c r="B1038" s="103" t="s">
        <v>1136</v>
      </c>
      <c r="C1038" s="103" t="s">
        <v>1137</v>
      </c>
      <c r="D1038" s="102" t="s">
        <v>1138</v>
      </c>
      <c r="E1038" s="103" t="s">
        <v>962</v>
      </c>
      <c r="F1038" s="102" t="s">
        <v>88</v>
      </c>
      <c r="G1038" s="103" t="s">
        <v>20</v>
      </c>
      <c r="H1038" s="108"/>
      <c r="I1038" s="103">
        <v>201507</v>
      </c>
      <c r="J1038" s="104">
        <v>-1995.18</v>
      </c>
      <c r="K1038" s="72">
        <f t="shared" si="84"/>
        <v>42675</v>
      </c>
      <c r="L1038" s="67">
        <f t="shared" si="80"/>
        <v>6</v>
      </c>
      <c r="M1038" s="105">
        <v>1.4833299999999999E-3</v>
      </c>
      <c r="N1038" s="104">
        <f t="shared" si="81"/>
        <v>-17.757062096400002</v>
      </c>
      <c r="O1038" s="66"/>
      <c r="P1038" s="71">
        <f t="shared" si="82"/>
        <v>0</v>
      </c>
      <c r="Q1038" s="132"/>
      <c r="R1038" s="71">
        <f t="shared" si="83"/>
        <v>-30.529163637499995</v>
      </c>
    </row>
    <row r="1039" spans="1:18">
      <c r="A1039" s="102" t="s">
        <v>626</v>
      </c>
      <c r="B1039" s="103" t="s">
        <v>1410</v>
      </c>
      <c r="C1039" s="103" t="s">
        <v>1411</v>
      </c>
      <c r="D1039" s="102" t="s">
        <v>1412</v>
      </c>
      <c r="E1039" s="103" t="s">
        <v>1413</v>
      </c>
      <c r="F1039" s="102" t="s">
        <v>88</v>
      </c>
      <c r="G1039" s="103" t="s">
        <v>20</v>
      </c>
      <c r="H1039" s="108"/>
      <c r="I1039" s="103">
        <v>201507</v>
      </c>
      <c r="J1039" s="104">
        <v>20.93</v>
      </c>
      <c r="K1039" s="72">
        <f t="shared" si="84"/>
        <v>42675</v>
      </c>
      <c r="L1039" s="67">
        <f t="shared" si="80"/>
        <v>6</v>
      </c>
      <c r="M1039" s="105">
        <v>1.4833299999999999E-3</v>
      </c>
      <c r="N1039" s="104">
        <f t="shared" si="81"/>
        <v>0.1862765814</v>
      </c>
      <c r="O1039" s="66"/>
      <c r="P1039" s="71">
        <f t="shared" si="82"/>
        <v>0</v>
      </c>
      <c r="Q1039" s="132"/>
      <c r="R1039" s="71">
        <f t="shared" si="83"/>
        <v>0.32025952291666665</v>
      </c>
    </row>
    <row r="1040" spans="1:18">
      <c r="A1040" s="106" t="s">
        <v>626</v>
      </c>
      <c r="B1040" s="103" t="s">
        <v>1088</v>
      </c>
      <c r="C1040" s="103" t="s">
        <v>1089</v>
      </c>
      <c r="D1040" s="102" t="s">
        <v>1090</v>
      </c>
      <c r="E1040" s="103" t="s">
        <v>415</v>
      </c>
      <c r="F1040" s="102" t="s">
        <v>88</v>
      </c>
      <c r="G1040" s="103" t="s">
        <v>20</v>
      </c>
      <c r="H1040" s="108"/>
      <c r="I1040" s="103">
        <v>201507</v>
      </c>
      <c r="J1040" s="104">
        <v>-458.16</v>
      </c>
      <c r="K1040" s="72">
        <f t="shared" si="84"/>
        <v>42675</v>
      </c>
      <c r="L1040" s="67">
        <f t="shared" si="80"/>
        <v>6</v>
      </c>
      <c r="M1040" s="105">
        <v>1.4833299999999999E-3</v>
      </c>
      <c r="N1040" s="104">
        <f t="shared" si="81"/>
        <v>-4.0776148368000005</v>
      </c>
      <c r="O1040" s="66"/>
      <c r="P1040" s="71">
        <f t="shared" si="82"/>
        <v>0</v>
      </c>
      <c r="Q1040" s="132"/>
      <c r="R1040" s="71">
        <f t="shared" si="83"/>
        <v>-7.0105161499999999</v>
      </c>
    </row>
    <row r="1041" spans="1:18">
      <c r="A1041" s="106" t="s">
        <v>21</v>
      </c>
      <c r="B1041" s="103" t="s">
        <v>1145</v>
      </c>
      <c r="C1041" s="103" t="s">
        <v>1146</v>
      </c>
      <c r="D1041" s="102" t="s">
        <v>1147</v>
      </c>
      <c r="E1041" s="103" t="s">
        <v>962</v>
      </c>
      <c r="F1041" s="102" t="s">
        <v>88</v>
      </c>
      <c r="G1041" s="103" t="s">
        <v>20</v>
      </c>
      <c r="H1041" s="108"/>
      <c r="I1041" s="103">
        <v>201507</v>
      </c>
      <c r="J1041" s="104">
        <v>-332.51</v>
      </c>
      <c r="K1041" s="72">
        <f t="shared" si="84"/>
        <v>42675</v>
      </c>
      <c r="L1041" s="67">
        <f t="shared" si="80"/>
        <v>6</v>
      </c>
      <c r="M1041" s="105">
        <v>1.4833299999999999E-3</v>
      </c>
      <c r="N1041" s="104">
        <f t="shared" si="81"/>
        <v>-2.9593323497999999</v>
      </c>
      <c r="O1041" s="66"/>
      <c r="P1041" s="71">
        <f t="shared" si="82"/>
        <v>0</v>
      </c>
      <c r="Q1041" s="132"/>
      <c r="R1041" s="71">
        <f t="shared" si="83"/>
        <v>-5.0878879104166659</v>
      </c>
    </row>
    <row r="1042" spans="1:18">
      <c r="A1042" s="106" t="s">
        <v>626</v>
      </c>
      <c r="B1042" s="103" t="s">
        <v>1091</v>
      </c>
      <c r="C1042" s="103" t="s">
        <v>1092</v>
      </c>
      <c r="D1042" s="102" t="s">
        <v>1093</v>
      </c>
      <c r="E1042" s="103" t="s">
        <v>962</v>
      </c>
      <c r="F1042" s="102" t="s">
        <v>88</v>
      </c>
      <c r="G1042" s="103" t="s">
        <v>20</v>
      </c>
      <c r="H1042" s="108"/>
      <c r="I1042" s="103">
        <v>201507</v>
      </c>
      <c r="J1042" s="104">
        <v>-896.77</v>
      </c>
      <c r="K1042" s="72">
        <f t="shared" si="84"/>
        <v>42675</v>
      </c>
      <c r="L1042" s="67">
        <f t="shared" si="80"/>
        <v>6</v>
      </c>
      <c r="M1042" s="105">
        <v>1.4833299999999999E-3</v>
      </c>
      <c r="N1042" s="104">
        <f t="shared" si="81"/>
        <v>-7.9812350645999999</v>
      </c>
      <c r="O1042" s="66"/>
      <c r="P1042" s="71">
        <f t="shared" si="82"/>
        <v>0</v>
      </c>
      <c r="Q1042" s="132"/>
      <c r="R1042" s="71">
        <f t="shared" si="83"/>
        <v>-13.72188878958333</v>
      </c>
    </row>
    <row r="1043" spans="1:18">
      <c r="A1043" s="106" t="s">
        <v>626</v>
      </c>
      <c r="B1043" s="103" t="s">
        <v>1148</v>
      </c>
      <c r="C1043" s="103" t="s">
        <v>1149</v>
      </c>
      <c r="D1043" s="102" t="s">
        <v>1150</v>
      </c>
      <c r="E1043" s="103" t="s">
        <v>93</v>
      </c>
      <c r="F1043" s="102" t="s">
        <v>88</v>
      </c>
      <c r="G1043" s="103" t="s">
        <v>20</v>
      </c>
      <c r="H1043" s="108"/>
      <c r="I1043" s="103">
        <v>201507</v>
      </c>
      <c r="J1043" s="104">
        <v>-370.61</v>
      </c>
      <c r="K1043" s="72">
        <f t="shared" si="84"/>
        <v>42675</v>
      </c>
      <c r="L1043" s="67">
        <f t="shared" si="80"/>
        <v>6</v>
      </c>
      <c r="M1043" s="105">
        <v>1.4833299999999999E-3</v>
      </c>
      <c r="N1043" s="104">
        <f t="shared" si="81"/>
        <v>-3.2984215878000001</v>
      </c>
      <c r="O1043" s="66"/>
      <c r="P1043" s="71">
        <f t="shared" si="82"/>
        <v>0</v>
      </c>
      <c r="Q1043" s="132"/>
      <c r="R1043" s="71">
        <f t="shared" si="83"/>
        <v>-5.6708734729166661</v>
      </c>
    </row>
    <row r="1044" spans="1:18">
      <c r="A1044" s="106" t="s">
        <v>21</v>
      </c>
      <c r="B1044" s="103" t="s">
        <v>966</v>
      </c>
      <c r="C1044" s="103" t="s">
        <v>967</v>
      </c>
      <c r="D1044" s="102" t="s">
        <v>968</v>
      </c>
      <c r="E1044" s="103" t="s">
        <v>209</v>
      </c>
      <c r="F1044" s="102" t="s">
        <v>88</v>
      </c>
      <c r="G1044" s="103" t="s">
        <v>20</v>
      </c>
      <c r="H1044" s="108"/>
      <c r="I1044" s="103">
        <v>201507</v>
      </c>
      <c r="J1044" s="104">
        <v>-8.32</v>
      </c>
      <c r="K1044" s="72">
        <f t="shared" si="84"/>
        <v>42675</v>
      </c>
      <c r="L1044" s="67">
        <f t="shared" si="80"/>
        <v>6</v>
      </c>
      <c r="M1044" s="105">
        <v>1.4833299999999999E-3</v>
      </c>
      <c r="N1044" s="104">
        <f t="shared" si="81"/>
        <v>-7.4047833600000001E-2</v>
      </c>
      <c r="O1044" s="66"/>
      <c r="P1044" s="71">
        <f t="shared" si="82"/>
        <v>0</v>
      </c>
      <c r="Q1044" s="132"/>
      <c r="R1044" s="71">
        <f t="shared" si="83"/>
        <v>-0.12730813333333332</v>
      </c>
    </row>
    <row r="1045" spans="1:18">
      <c r="A1045" s="106" t="s">
        <v>21</v>
      </c>
      <c r="B1045" s="103" t="s">
        <v>882</v>
      </c>
      <c r="C1045" s="103" t="s">
        <v>883</v>
      </c>
      <c r="D1045" s="102" t="s">
        <v>884</v>
      </c>
      <c r="E1045" s="103" t="s">
        <v>87</v>
      </c>
      <c r="F1045" s="102" t="s">
        <v>88</v>
      </c>
      <c r="G1045" s="103" t="s">
        <v>20</v>
      </c>
      <c r="H1045" s="108"/>
      <c r="I1045" s="103">
        <v>201507</v>
      </c>
      <c r="J1045" s="104">
        <v>-9</v>
      </c>
      <c r="K1045" s="72">
        <f t="shared" si="84"/>
        <v>42675</v>
      </c>
      <c r="L1045" s="67">
        <f t="shared" si="80"/>
        <v>6</v>
      </c>
      <c r="M1045" s="105">
        <v>1.4833299999999999E-3</v>
      </c>
      <c r="N1045" s="104">
        <f t="shared" si="81"/>
        <v>-8.0099820000000002E-2</v>
      </c>
      <c r="O1045" s="66"/>
      <c r="P1045" s="71">
        <f t="shared" si="82"/>
        <v>0</v>
      </c>
      <c r="Q1045" s="132"/>
      <c r="R1045" s="71">
        <f t="shared" si="83"/>
        <v>-0.13771312499999999</v>
      </c>
    </row>
    <row r="1046" spans="1:18">
      <c r="A1046" s="106" t="s">
        <v>626</v>
      </c>
      <c r="B1046" s="103" t="s">
        <v>975</v>
      </c>
      <c r="C1046" s="103" t="s">
        <v>976</v>
      </c>
      <c r="D1046" s="102" t="s">
        <v>977</v>
      </c>
      <c r="E1046" s="103" t="s">
        <v>87</v>
      </c>
      <c r="F1046" s="102" t="s">
        <v>88</v>
      </c>
      <c r="G1046" s="103" t="s">
        <v>20</v>
      </c>
      <c r="H1046" s="108"/>
      <c r="I1046" s="103">
        <v>201507</v>
      </c>
      <c r="J1046" s="104">
        <v>-12.12</v>
      </c>
      <c r="K1046" s="72">
        <f t="shared" si="84"/>
        <v>42675</v>
      </c>
      <c r="L1046" s="67">
        <f t="shared" si="80"/>
        <v>6</v>
      </c>
      <c r="M1046" s="105">
        <v>1.4833299999999999E-3</v>
      </c>
      <c r="N1046" s="104">
        <f t="shared" si="81"/>
        <v>-0.10786775759999999</v>
      </c>
      <c r="O1046" s="66"/>
      <c r="P1046" s="71">
        <f t="shared" si="82"/>
        <v>0</v>
      </c>
      <c r="Q1046" s="132"/>
      <c r="R1046" s="71">
        <f t="shared" si="83"/>
        <v>-0.18545367499999996</v>
      </c>
    </row>
    <row r="1047" spans="1:18">
      <c r="A1047" s="106" t="s">
        <v>626</v>
      </c>
      <c r="B1047" s="103" t="s">
        <v>885</v>
      </c>
      <c r="C1047" s="103" t="s">
        <v>886</v>
      </c>
      <c r="D1047" s="102" t="s">
        <v>887</v>
      </c>
      <c r="E1047" s="103" t="s">
        <v>93</v>
      </c>
      <c r="F1047" s="102" t="s">
        <v>88</v>
      </c>
      <c r="G1047" s="103" t="s">
        <v>20</v>
      </c>
      <c r="H1047" s="108"/>
      <c r="I1047" s="103">
        <v>201507</v>
      </c>
      <c r="J1047" s="104">
        <v>186.96</v>
      </c>
      <c r="K1047" s="72">
        <f t="shared" si="84"/>
        <v>42675</v>
      </c>
      <c r="L1047" s="67">
        <f t="shared" si="80"/>
        <v>6</v>
      </c>
      <c r="M1047" s="105">
        <v>1.4833299999999999E-3</v>
      </c>
      <c r="N1047" s="104">
        <f t="shared" si="81"/>
        <v>1.6639402608</v>
      </c>
      <c r="O1047" s="66"/>
      <c r="P1047" s="71">
        <f t="shared" si="82"/>
        <v>0</v>
      </c>
      <c r="Q1047" s="132"/>
      <c r="R1047" s="71">
        <f t="shared" si="83"/>
        <v>2.86076065</v>
      </c>
    </row>
    <row r="1048" spans="1:18">
      <c r="A1048" s="102" t="s">
        <v>626</v>
      </c>
      <c r="B1048" s="103" t="s">
        <v>1103</v>
      </c>
      <c r="C1048" s="103" t="s">
        <v>1104</v>
      </c>
      <c r="D1048" s="102" t="s">
        <v>1105</v>
      </c>
      <c r="E1048" s="103" t="s">
        <v>87</v>
      </c>
      <c r="F1048" s="102" t="s">
        <v>88</v>
      </c>
      <c r="G1048" s="103" t="s">
        <v>20</v>
      </c>
      <c r="H1048" s="108"/>
      <c r="I1048" s="103">
        <v>201507</v>
      </c>
      <c r="J1048" s="104">
        <v>6814.61</v>
      </c>
      <c r="K1048" s="72">
        <f t="shared" si="84"/>
        <v>42675</v>
      </c>
      <c r="L1048" s="67">
        <f t="shared" si="80"/>
        <v>6</v>
      </c>
      <c r="M1048" s="105">
        <v>1.4833299999999999E-3</v>
      </c>
      <c r="N1048" s="104">
        <f t="shared" si="81"/>
        <v>60.649892707799999</v>
      </c>
      <c r="O1048" s="66"/>
      <c r="P1048" s="71">
        <f t="shared" si="82"/>
        <v>0</v>
      </c>
      <c r="Q1048" s="132"/>
      <c r="R1048" s="71">
        <f t="shared" si="83"/>
        <v>104.27347097291666</v>
      </c>
    </row>
    <row r="1049" spans="1:18">
      <c r="A1049" s="106" t="s">
        <v>626</v>
      </c>
      <c r="B1049" s="103" t="s">
        <v>1414</v>
      </c>
      <c r="C1049" s="103" t="s">
        <v>1415</v>
      </c>
      <c r="D1049" s="102" t="s">
        <v>1416</v>
      </c>
      <c r="E1049" s="103" t="s">
        <v>209</v>
      </c>
      <c r="F1049" s="102" t="s">
        <v>88</v>
      </c>
      <c r="G1049" s="103" t="s">
        <v>20</v>
      </c>
      <c r="H1049" s="108"/>
      <c r="I1049" s="103">
        <v>201507</v>
      </c>
      <c r="J1049" s="104">
        <v>1479.53</v>
      </c>
      <c r="K1049" s="72">
        <f t="shared" si="84"/>
        <v>42675</v>
      </c>
      <c r="L1049" s="67">
        <f t="shared" si="80"/>
        <v>6</v>
      </c>
      <c r="M1049" s="105">
        <v>1.4833299999999999E-3</v>
      </c>
      <c r="N1049" s="104">
        <f t="shared" si="81"/>
        <v>13.167787409400001</v>
      </c>
      <c r="O1049" s="66"/>
      <c r="P1049" s="71">
        <f t="shared" si="82"/>
        <v>0</v>
      </c>
      <c r="Q1049" s="132"/>
      <c r="R1049" s="71">
        <f t="shared" si="83"/>
        <v>22.638966647916664</v>
      </c>
    </row>
    <row r="1050" spans="1:18">
      <c r="A1050" s="106" t="s">
        <v>626</v>
      </c>
      <c r="B1050" s="103" t="s">
        <v>1292</v>
      </c>
      <c r="C1050" s="103" t="s">
        <v>1293</v>
      </c>
      <c r="D1050" s="102" t="s">
        <v>1294</v>
      </c>
      <c r="E1050" s="103" t="s">
        <v>93</v>
      </c>
      <c r="F1050" s="102" t="s">
        <v>88</v>
      </c>
      <c r="G1050" s="103" t="s">
        <v>20</v>
      </c>
      <c r="H1050" s="108"/>
      <c r="I1050" s="103">
        <v>201507</v>
      </c>
      <c r="J1050" s="104">
        <v>-337.85</v>
      </c>
      <c r="K1050" s="72">
        <f t="shared" si="84"/>
        <v>42675</v>
      </c>
      <c r="L1050" s="67">
        <f t="shared" si="80"/>
        <v>6</v>
      </c>
      <c r="M1050" s="105">
        <v>1.4833299999999999E-3</v>
      </c>
      <c r="N1050" s="104">
        <f t="shared" si="81"/>
        <v>-3.0068582430000004</v>
      </c>
      <c r="O1050" s="66"/>
      <c r="P1050" s="71">
        <f t="shared" si="82"/>
        <v>0</v>
      </c>
      <c r="Q1050" s="132"/>
      <c r="R1050" s="71">
        <f t="shared" si="83"/>
        <v>-5.1695976979166662</v>
      </c>
    </row>
    <row r="1051" spans="1:18">
      <c r="A1051" s="102" t="s">
        <v>626</v>
      </c>
      <c r="B1051" s="103" t="s">
        <v>1236</v>
      </c>
      <c r="C1051" s="103" t="s">
        <v>1237</v>
      </c>
      <c r="D1051" s="102" t="s">
        <v>1238</v>
      </c>
      <c r="E1051" s="103" t="s">
        <v>93</v>
      </c>
      <c r="F1051" s="102" t="s">
        <v>88</v>
      </c>
      <c r="G1051" s="103" t="s">
        <v>20</v>
      </c>
      <c r="H1051" s="108"/>
      <c r="I1051" s="103">
        <v>201507</v>
      </c>
      <c r="J1051" s="104">
        <v>-172.57</v>
      </c>
      <c r="K1051" s="72">
        <f t="shared" si="84"/>
        <v>42675</v>
      </c>
      <c r="L1051" s="67">
        <f t="shared" si="80"/>
        <v>6</v>
      </c>
      <c r="M1051" s="105">
        <v>1.4833299999999999E-3</v>
      </c>
      <c r="N1051" s="104">
        <f t="shared" si="81"/>
        <v>-1.5358695486</v>
      </c>
      <c r="O1051" s="66"/>
      <c r="P1051" s="71">
        <f t="shared" si="82"/>
        <v>0</v>
      </c>
      <c r="Q1051" s="132"/>
      <c r="R1051" s="71">
        <f t="shared" si="83"/>
        <v>-2.640572664583333</v>
      </c>
    </row>
    <row r="1052" spans="1:18">
      <c r="A1052" s="102" t="s">
        <v>626</v>
      </c>
      <c r="B1052" s="103" t="s">
        <v>1295</v>
      </c>
      <c r="C1052" s="103" t="s">
        <v>1296</v>
      </c>
      <c r="D1052" s="102" t="s">
        <v>1297</v>
      </c>
      <c r="E1052" s="103" t="s">
        <v>87</v>
      </c>
      <c r="F1052" s="102" t="s">
        <v>88</v>
      </c>
      <c r="G1052" s="103" t="s">
        <v>20</v>
      </c>
      <c r="H1052" s="108"/>
      <c r="I1052" s="103">
        <v>201507</v>
      </c>
      <c r="J1052" s="104">
        <v>-919.21</v>
      </c>
      <c r="K1052" s="72">
        <f t="shared" si="84"/>
        <v>42675</v>
      </c>
      <c r="L1052" s="67">
        <f t="shared" si="80"/>
        <v>6</v>
      </c>
      <c r="M1052" s="105">
        <v>1.4833299999999999E-3</v>
      </c>
      <c r="N1052" s="104">
        <f t="shared" si="81"/>
        <v>-8.1809506158000005</v>
      </c>
      <c r="O1052" s="66"/>
      <c r="P1052" s="71">
        <f t="shared" si="82"/>
        <v>0</v>
      </c>
      <c r="Q1052" s="132"/>
      <c r="R1052" s="71">
        <f t="shared" si="83"/>
        <v>-14.065253514583333</v>
      </c>
    </row>
    <row r="1053" spans="1:18">
      <c r="A1053" s="106" t="s">
        <v>626</v>
      </c>
      <c r="B1053" s="103" t="s">
        <v>1239</v>
      </c>
      <c r="C1053" s="103" t="s">
        <v>1240</v>
      </c>
      <c r="D1053" s="102" t="s">
        <v>1241</v>
      </c>
      <c r="E1053" s="103" t="s">
        <v>415</v>
      </c>
      <c r="F1053" s="102" t="s">
        <v>88</v>
      </c>
      <c r="G1053" s="103" t="s">
        <v>20</v>
      </c>
      <c r="H1053" s="108"/>
      <c r="I1053" s="103">
        <v>201507</v>
      </c>
      <c r="J1053" s="104">
        <v>-25.31</v>
      </c>
      <c r="K1053" s="72">
        <f t="shared" si="84"/>
        <v>42675</v>
      </c>
      <c r="L1053" s="67">
        <f t="shared" si="80"/>
        <v>6</v>
      </c>
      <c r="M1053" s="105">
        <v>1.4833299999999999E-3</v>
      </c>
      <c r="N1053" s="104">
        <f t="shared" si="81"/>
        <v>-0.22525849379999999</v>
      </c>
      <c r="O1053" s="66"/>
      <c r="P1053" s="71">
        <f t="shared" si="82"/>
        <v>0</v>
      </c>
      <c r="Q1053" s="132"/>
      <c r="R1053" s="71">
        <f t="shared" si="83"/>
        <v>-0.3872799104166666</v>
      </c>
    </row>
    <row r="1054" spans="1:18">
      <c r="A1054" s="102" t="s">
        <v>626</v>
      </c>
      <c r="B1054" s="103" t="s">
        <v>1298</v>
      </c>
      <c r="C1054" s="103" t="s">
        <v>1299</v>
      </c>
      <c r="D1054" s="102" t="s">
        <v>1300</v>
      </c>
      <c r="E1054" s="103" t="s">
        <v>93</v>
      </c>
      <c r="F1054" s="102" t="s">
        <v>88</v>
      </c>
      <c r="G1054" s="103" t="s">
        <v>20</v>
      </c>
      <c r="H1054" s="108"/>
      <c r="I1054" s="103">
        <v>201507</v>
      </c>
      <c r="J1054" s="104">
        <v>1028.46</v>
      </c>
      <c r="K1054" s="72">
        <f t="shared" si="84"/>
        <v>42675</v>
      </c>
      <c r="L1054" s="67">
        <f t="shared" si="80"/>
        <v>6</v>
      </c>
      <c r="M1054" s="105">
        <v>1.4833299999999999E-3</v>
      </c>
      <c r="N1054" s="104">
        <f t="shared" si="81"/>
        <v>9.1532734308000006</v>
      </c>
      <c r="O1054" s="66"/>
      <c r="P1054" s="71">
        <f t="shared" si="82"/>
        <v>0</v>
      </c>
      <c r="Q1054" s="132"/>
      <c r="R1054" s="71">
        <f t="shared" si="83"/>
        <v>15.736937837499998</v>
      </c>
    </row>
    <row r="1055" spans="1:18">
      <c r="A1055" s="102" t="s">
        <v>626</v>
      </c>
      <c r="B1055" s="103" t="s">
        <v>1366</v>
      </c>
      <c r="C1055" s="103" t="s">
        <v>1367</v>
      </c>
      <c r="D1055" s="102" t="s">
        <v>1368</v>
      </c>
      <c r="E1055" s="103" t="s">
        <v>209</v>
      </c>
      <c r="F1055" s="102" t="s">
        <v>88</v>
      </c>
      <c r="G1055" s="103" t="s">
        <v>20</v>
      </c>
      <c r="H1055" s="108"/>
      <c r="I1055" s="103">
        <v>201507</v>
      </c>
      <c r="J1055" s="104">
        <v>-98.66</v>
      </c>
      <c r="K1055" s="72">
        <f t="shared" si="84"/>
        <v>42675</v>
      </c>
      <c r="L1055" s="67">
        <f t="shared" si="80"/>
        <v>6</v>
      </c>
      <c r="M1055" s="105">
        <v>1.4833299999999999E-3</v>
      </c>
      <c r="N1055" s="104">
        <f t="shared" si="81"/>
        <v>-0.87807202679999996</v>
      </c>
      <c r="O1055" s="66"/>
      <c r="P1055" s="71">
        <f t="shared" si="82"/>
        <v>0</v>
      </c>
      <c r="Q1055" s="132"/>
      <c r="R1055" s="71">
        <f t="shared" si="83"/>
        <v>-1.5096418791666666</v>
      </c>
    </row>
    <row r="1056" spans="1:18">
      <c r="A1056" s="106" t="s">
        <v>21</v>
      </c>
      <c r="B1056" s="103" t="s">
        <v>1467</v>
      </c>
      <c r="C1056" s="103" t="s">
        <v>1468</v>
      </c>
      <c r="D1056" s="102" t="s">
        <v>1469</v>
      </c>
      <c r="E1056" s="103" t="s">
        <v>209</v>
      </c>
      <c r="F1056" s="102" t="s">
        <v>88</v>
      </c>
      <c r="G1056" s="103" t="s">
        <v>20</v>
      </c>
      <c r="H1056" s="108"/>
      <c r="I1056" s="103">
        <v>201507</v>
      </c>
      <c r="J1056" s="104">
        <v>-30.14</v>
      </c>
      <c r="K1056" s="72">
        <f t="shared" si="84"/>
        <v>42675</v>
      </c>
      <c r="L1056" s="67">
        <f t="shared" si="80"/>
        <v>6</v>
      </c>
      <c r="M1056" s="105">
        <v>1.4833299999999999E-3</v>
      </c>
      <c r="N1056" s="104">
        <f t="shared" si="81"/>
        <v>-0.26824539720000001</v>
      </c>
      <c r="O1056" s="66"/>
      <c r="P1056" s="71">
        <f t="shared" si="82"/>
        <v>0</v>
      </c>
      <c r="Q1056" s="132"/>
      <c r="R1056" s="71">
        <f t="shared" si="83"/>
        <v>-0.46118595416666663</v>
      </c>
    </row>
    <row r="1057" spans="1:18">
      <c r="A1057" s="106" t="s">
        <v>626</v>
      </c>
      <c r="B1057" s="103" t="s">
        <v>1345</v>
      </c>
      <c r="C1057" s="103" t="s">
        <v>1346</v>
      </c>
      <c r="D1057" s="102" t="s">
        <v>1347</v>
      </c>
      <c r="E1057" s="103" t="s">
        <v>87</v>
      </c>
      <c r="F1057" s="102" t="s">
        <v>88</v>
      </c>
      <c r="G1057" s="103" t="s">
        <v>20</v>
      </c>
      <c r="H1057" s="108"/>
      <c r="I1057" s="103">
        <v>201507</v>
      </c>
      <c r="J1057" s="104">
        <v>-482.18</v>
      </c>
      <c r="K1057" s="72">
        <f t="shared" si="84"/>
        <v>42675</v>
      </c>
      <c r="L1057" s="67">
        <f t="shared" si="80"/>
        <v>6</v>
      </c>
      <c r="M1057" s="105">
        <v>1.4833299999999999E-3</v>
      </c>
      <c r="N1057" s="104">
        <f t="shared" si="81"/>
        <v>-4.2913923564000003</v>
      </c>
      <c r="O1057" s="66"/>
      <c r="P1057" s="71">
        <f t="shared" si="82"/>
        <v>0</v>
      </c>
      <c r="Q1057" s="132"/>
      <c r="R1057" s="71">
        <f t="shared" si="83"/>
        <v>-7.3780571791666665</v>
      </c>
    </row>
    <row r="1058" spans="1:18">
      <c r="A1058" s="102" t="s">
        <v>626</v>
      </c>
      <c r="B1058" s="103" t="s">
        <v>1348</v>
      </c>
      <c r="C1058" s="103" t="s">
        <v>1349</v>
      </c>
      <c r="D1058" s="102" t="s">
        <v>1350</v>
      </c>
      <c r="E1058" s="103" t="s">
        <v>209</v>
      </c>
      <c r="F1058" s="102" t="s">
        <v>88</v>
      </c>
      <c r="G1058" s="103" t="s">
        <v>20</v>
      </c>
      <c r="H1058" s="108"/>
      <c r="I1058" s="103">
        <v>201507</v>
      </c>
      <c r="J1058" s="104">
        <v>-370.73</v>
      </c>
      <c r="K1058" s="72">
        <f t="shared" si="84"/>
        <v>42675</v>
      </c>
      <c r="L1058" s="67">
        <f t="shared" si="80"/>
        <v>6</v>
      </c>
      <c r="M1058" s="105">
        <v>1.4833299999999999E-3</v>
      </c>
      <c r="N1058" s="104">
        <f t="shared" si="81"/>
        <v>-3.2994895854000004</v>
      </c>
      <c r="O1058" s="66"/>
      <c r="P1058" s="71">
        <f t="shared" si="82"/>
        <v>0</v>
      </c>
      <c r="Q1058" s="132"/>
      <c r="R1058" s="71">
        <f t="shared" si="83"/>
        <v>-5.6727096479166663</v>
      </c>
    </row>
    <row r="1059" spans="1:18">
      <c r="A1059" s="102" t="s">
        <v>626</v>
      </c>
      <c r="B1059" s="103" t="s">
        <v>1441</v>
      </c>
      <c r="C1059" s="103" t="s">
        <v>1442</v>
      </c>
      <c r="D1059" s="102" t="s">
        <v>1443</v>
      </c>
      <c r="E1059" s="103" t="s">
        <v>209</v>
      </c>
      <c r="F1059" s="102" t="s">
        <v>88</v>
      </c>
      <c r="G1059" s="103" t="s">
        <v>20</v>
      </c>
      <c r="H1059" s="108"/>
      <c r="I1059" s="103">
        <v>201507</v>
      </c>
      <c r="J1059" s="104">
        <v>1283.8499999999999</v>
      </c>
      <c r="K1059" s="72">
        <f t="shared" si="84"/>
        <v>42675</v>
      </c>
      <c r="L1059" s="67">
        <f t="shared" si="80"/>
        <v>6</v>
      </c>
      <c r="M1059" s="105">
        <v>1.4833299999999999E-3</v>
      </c>
      <c r="N1059" s="104">
        <f t="shared" si="81"/>
        <v>11.426239322999999</v>
      </c>
      <c r="O1059" s="66"/>
      <c r="P1059" s="71">
        <f t="shared" si="82"/>
        <v>0</v>
      </c>
      <c r="Q1059" s="132"/>
      <c r="R1059" s="71">
        <f t="shared" si="83"/>
        <v>19.644777281249997</v>
      </c>
    </row>
    <row r="1060" spans="1:18">
      <c r="A1060" s="106" t="s">
        <v>626</v>
      </c>
      <c r="B1060" s="103" t="s">
        <v>1452</v>
      </c>
      <c r="C1060" s="103" t="s">
        <v>1453</v>
      </c>
      <c r="D1060" s="102" t="s">
        <v>1454</v>
      </c>
      <c r="E1060" s="103" t="s">
        <v>93</v>
      </c>
      <c r="F1060" s="102" t="s">
        <v>88</v>
      </c>
      <c r="G1060" s="103" t="s">
        <v>20</v>
      </c>
      <c r="H1060" s="108"/>
      <c r="I1060" s="103">
        <v>201507</v>
      </c>
      <c r="J1060" s="104">
        <v>2177.7399999999998</v>
      </c>
      <c r="K1060" s="72">
        <f t="shared" si="84"/>
        <v>42675</v>
      </c>
      <c r="L1060" s="67">
        <f t="shared" si="80"/>
        <v>6</v>
      </c>
      <c r="M1060" s="105">
        <v>1.4833299999999999E-3</v>
      </c>
      <c r="N1060" s="104">
        <f t="shared" si="81"/>
        <v>19.381842445199997</v>
      </c>
      <c r="O1060" s="66"/>
      <c r="P1060" s="71">
        <f t="shared" si="82"/>
        <v>0</v>
      </c>
      <c r="Q1060" s="132"/>
      <c r="R1060" s="71">
        <f t="shared" si="83"/>
        <v>33.322597870833327</v>
      </c>
    </row>
    <row r="1061" spans="1:18">
      <c r="A1061" s="106" t="s">
        <v>626</v>
      </c>
      <c r="B1061" s="103" t="s">
        <v>1585</v>
      </c>
      <c r="C1061" s="103" t="s">
        <v>1586</v>
      </c>
      <c r="D1061" s="102" t="s">
        <v>1587</v>
      </c>
      <c r="E1061" s="103" t="s">
        <v>87</v>
      </c>
      <c r="F1061" s="102" t="s">
        <v>88</v>
      </c>
      <c r="G1061" s="103" t="s">
        <v>20</v>
      </c>
      <c r="H1061" s="108"/>
      <c r="I1061" s="103">
        <v>201507</v>
      </c>
      <c r="J1061" s="104">
        <v>18643.150000000001</v>
      </c>
      <c r="K1061" s="72">
        <f t="shared" si="84"/>
        <v>42675</v>
      </c>
      <c r="L1061" s="67">
        <f t="shared" si="80"/>
        <v>6</v>
      </c>
      <c r="M1061" s="105">
        <v>1.4833299999999999E-3</v>
      </c>
      <c r="N1061" s="104">
        <f t="shared" si="81"/>
        <v>165.92366213700001</v>
      </c>
      <c r="O1061" s="66"/>
      <c r="P1061" s="71">
        <f t="shared" si="82"/>
        <v>0</v>
      </c>
      <c r="Q1061" s="132"/>
      <c r="R1061" s="71">
        <f t="shared" si="83"/>
        <v>285.26738292708336</v>
      </c>
    </row>
    <row r="1062" spans="1:18">
      <c r="A1062" s="106" t="s">
        <v>21</v>
      </c>
      <c r="B1062" s="103" t="s">
        <v>1588</v>
      </c>
      <c r="C1062" s="103" t="s">
        <v>1589</v>
      </c>
      <c r="D1062" s="102" t="s">
        <v>1590</v>
      </c>
      <c r="E1062" s="103" t="s">
        <v>209</v>
      </c>
      <c r="F1062" s="102" t="s">
        <v>88</v>
      </c>
      <c r="G1062" s="103" t="s">
        <v>20</v>
      </c>
      <c r="H1062" s="108"/>
      <c r="I1062" s="103">
        <v>201507</v>
      </c>
      <c r="J1062" s="104">
        <v>41517</v>
      </c>
      <c r="K1062" s="72">
        <f t="shared" si="84"/>
        <v>42675</v>
      </c>
      <c r="L1062" s="67">
        <f t="shared" si="80"/>
        <v>6</v>
      </c>
      <c r="M1062" s="105">
        <v>1.4833299999999999E-3</v>
      </c>
      <c r="N1062" s="104">
        <f t="shared" si="81"/>
        <v>369.50046966000002</v>
      </c>
      <c r="O1062" s="66"/>
      <c r="P1062" s="71">
        <f t="shared" si="82"/>
        <v>0</v>
      </c>
      <c r="Q1062" s="132"/>
      <c r="R1062" s="71">
        <f t="shared" si="83"/>
        <v>635.27064562499993</v>
      </c>
    </row>
    <row r="1063" spans="1:18">
      <c r="A1063" s="102" t="s">
        <v>626</v>
      </c>
      <c r="B1063" s="103" t="s">
        <v>1591</v>
      </c>
      <c r="C1063" s="103" t="s">
        <v>1592</v>
      </c>
      <c r="D1063" s="102" t="s">
        <v>1593</v>
      </c>
      <c r="E1063" s="103" t="s">
        <v>93</v>
      </c>
      <c r="F1063" s="102" t="s">
        <v>88</v>
      </c>
      <c r="G1063" s="103" t="s">
        <v>20</v>
      </c>
      <c r="H1063" s="108"/>
      <c r="I1063" s="103">
        <v>201507</v>
      </c>
      <c r="J1063" s="104">
        <v>11468.28</v>
      </c>
      <c r="K1063" s="72">
        <f t="shared" si="84"/>
        <v>42675</v>
      </c>
      <c r="L1063" s="67">
        <f t="shared" si="80"/>
        <v>6</v>
      </c>
      <c r="M1063" s="105">
        <v>1.4833299999999999E-3</v>
      </c>
      <c r="N1063" s="104">
        <f t="shared" si="81"/>
        <v>102.0674626344</v>
      </c>
      <c r="O1063" s="66"/>
      <c r="P1063" s="71">
        <f t="shared" si="82"/>
        <v>0</v>
      </c>
      <c r="Q1063" s="132"/>
      <c r="R1063" s="71">
        <f t="shared" si="83"/>
        <v>175.48140857499999</v>
      </c>
    </row>
    <row r="1064" spans="1:18">
      <c r="A1064" s="102" t="s">
        <v>626</v>
      </c>
      <c r="B1064" s="103" t="s">
        <v>1594</v>
      </c>
      <c r="C1064" s="103" t="s">
        <v>1595</v>
      </c>
      <c r="D1064" s="102" t="s">
        <v>1596</v>
      </c>
      <c r="E1064" s="103" t="s">
        <v>87</v>
      </c>
      <c r="F1064" s="102" t="s">
        <v>88</v>
      </c>
      <c r="G1064" s="103" t="s">
        <v>20</v>
      </c>
      <c r="H1064" s="108"/>
      <c r="I1064" s="103">
        <v>201507</v>
      </c>
      <c r="J1064" s="104">
        <v>3141.87</v>
      </c>
      <c r="K1064" s="72">
        <f t="shared" si="84"/>
        <v>42675</v>
      </c>
      <c r="L1064" s="67">
        <f t="shared" si="80"/>
        <v>6</v>
      </c>
      <c r="M1064" s="105">
        <v>1.4833299999999999E-3</v>
      </c>
      <c r="N1064" s="104">
        <f t="shared" si="81"/>
        <v>27.962580162599998</v>
      </c>
      <c r="O1064" s="66"/>
      <c r="P1064" s="71">
        <f t="shared" si="82"/>
        <v>0</v>
      </c>
      <c r="Q1064" s="132"/>
      <c r="R1064" s="71">
        <f t="shared" si="83"/>
        <v>48.075192893749993</v>
      </c>
    </row>
    <row r="1065" spans="1:18">
      <c r="A1065" s="106" t="s">
        <v>21</v>
      </c>
      <c r="B1065" s="103" t="s">
        <v>449</v>
      </c>
      <c r="C1065" s="103" t="s">
        <v>450</v>
      </c>
      <c r="D1065" s="102" t="s">
        <v>451</v>
      </c>
      <c r="E1065" s="103" t="s">
        <v>452</v>
      </c>
      <c r="F1065" s="102" t="s">
        <v>398</v>
      </c>
      <c r="G1065" s="103" t="s">
        <v>20</v>
      </c>
      <c r="H1065" s="108"/>
      <c r="I1065" s="103">
        <v>201507</v>
      </c>
      <c r="J1065" s="104">
        <v>-89.92</v>
      </c>
      <c r="K1065" s="72">
        <f t="shared" si="84"/>
        <v>42675</v>
      </c>
      <c r="L1065" s="67">
        <f t="shared" si="80"/>
        <v>6</v>
      </c>
      <c r="M1065" s="105">
        <v>1.4833299999999999E-3</v>
      </c>
      <c r="N1065" s="104">
        <f t="shared" si="81"/>
        <v>-0.80028620159999997</v>
      </c>
      <c r="O1065" s="66"/>
      <c r="P1065" s="71">
        <f t="shared" si="82"/>
        <v>0</v>
      </c>
      <c r="Q1065" s="132"/>
      <c r="R1065" s="71">
        <f t="shared" si="83"/>
        <v>-1.3759071333333333</v>
      </c>
    </row>
    <row r="1066" spans="1:18">
      <c r="A1066" s="102" t="s">
        <v>626</v>
      </c>
      <c r="B1066" s="103" t="s">
        <v>630</v>
      </c>
      <c r="C1066" s="103" t="s">
        <v>631</v>
      </c>
      <c r="D1066" s="102" t="s">
        <v>632</v>
      </c>
      <c r="E1066" s="103" t="s">
        <v>613</v>
      </c>
      <c r="F1066" s="102" t="s">
        <v>398</v>
      </c>
      <c r="G1066" s="103" t="s">
        <v>20</v>
      </c>
      <c r="H1066" s="108"/>
      <c r="I1066" s="103">
        <v>201507</v>
      </c>
      <c r="J1066" s="104">
        <v>-2.2599999999999998</v>
      </c>
      <c r="K1066" s="72">
        <f t="shared" si="84"/>
        <v>42675</v>
      </c>
      <c r="L1066" s="67">
        <f t="shared" si="80"/>
        <v>6</v>
      </c>
      <c r="M1066" s="105">
        <v>1.4833299999999999E-3</v>
      </c>
      <c r="N1066" s="104">
        <f t="shared" si="81"/>
        <v>-2.0113954799999997E-2</v>
      </c>
      <c r="O1066" s="66"/>
      <c r="P1066" s="71">
        <f t="shared" si="82"/>
        <v>0</v>
      </c>
      <c r="Q1066" s="132"/>
      <c r="R1066" s="71">
        <f t="shared" si="83"/>
        <v>-3.4581295833333331E-2</v>
      </c>
    </row>
    <row r="1067" spans="1:18">
      <c r="A1067" s="106" t="s">
        <v>626</v>
      </c>
      <c r="B1067" s="103" t="s">
        <v>1094</v>
      </c>
      <c r="C1067" s="103" t="s">
        <v>1095</v>
      </c>
      <c r="D1067" s="102" t="s">
        <v>1096</v>
      </c>
      <c r="E1067" s="103" t="s">
        <v>452</v>
      </c>
      <c r="F1067" s="102" t="s">
        <v>398</v>
      </c>
      <c r="G1067" s="103" t="s">
        <v>20</v>
      </c>
      <c r="H1067" s="108"/>
      <c r="I1067" s="103">
        <v>201507</v>
      </c>
      <c r="J1067" s="104">
        <v>-20.81</v>
      </c>
      <c r="K1067" s="72">
        <f t="shared" si="84"/>
        <v>42675</v>
      </c>
      <c r="L1067" s="67">
        <f t="shared" si="80"/>
        <v>6</v>
      </c>
      <c r="M1067" s="105">
        <v>1.4833299999999999E-3</v>
      </c>
      <c r="N1067" s="104">
        <f t="shared" si="81"/>
        <v>-0.18520858379999999</v>
      </c>
      <c r="O1067" s="66"/>
      <c r="P1067" s="71">
        <f t="shared" si="82"/>
        <v>0</v>
      </c>
      <c r="Q1067" s="132"/>
      <c r="R1067" s="71">
        <f t="shared" si="83"/>
        <v>-0.3184233479166666</v>
      </c>
    </row>
    <row r="1068" spans="1:18">
      <c r="A1068" s="106" t="s">
        <v>21</v>
      </c>
      <c r="B1068" s="103" t="s">
        <v>1097</v>
      </c>
      <c r="C1068" s="103" t="s">
        <v>1098</v>
      </c>
      <c r="D1068" s="102" t="s">
        <v>1099</v>
      </c>
      <c r="E1068" s="103" t="s">
        <v>452</v>
      </c>
      <c r="F1068" s="102" t="s">
        <v>398</v>
      </c>
      <c r="G1068" s="103" t="s">
        <v>20</v>
      </c>
      <c r="H1068" s="108"/>
      <c r="I1068" s="103">
        <v>201507</v>
      </c>
      <c r="J1068" s="104">
        <v>-18.350000000000001</v>
      </c>
      <c r="K1068" s="72">
        <f t="shared" si="84"/>
        <v>42675</v>
      </c>
      <c r="L1068" s="67">
        <f t="shared" si="80"/>
        <v>6</v>
      </c>
      <c r="M1068" s="105">
        <v>1.4833299999999999E-3</v>
      </c>
      <c r="N1068" s="104">
        <f t="shared" si="81"/>
        <v>-0.16331463300000001</v>
      </c>
      <c r="O1068" s="66"/>
      <c r="P1068" s="71">
        <f t="shared" si="82"/>
        <v>0</v>
      </c>
      <c r="Q1068" s="132"/>
      <c r="R1068" s="71">
        <f t="shared" si="83"/>
        <v>-0.28078176041666664</v>
      </c>
    </row>
    <row r="1069" spans="1:18">
      <c r="A1069" s="106" t="s">
        <v>626</v>
      </c>
      <c r="B1069" s="103" t="s">
        <v>1097</v>
      </c>
      <c r="C1069" s="103" t="s">
        <v>1098</v>
      </c>
      <c r="D1069" s="102" t="s">
        <v>1099</v>
      </c>
      <c r="E1069" s="103" t="s">
        <v>452</v>
      </c>
      <c r="F1069" s="102" t="s">
        <v>398</v>
      </c>
      <c r="G1069" s="103" t="s">
        <v>20</v>
      </c>
      <c r="H1069" s="108"/>
      <c r="I1069" s="103">
        <v>201507</v>
      </c>
      <c r="J1069" s="104">
        <v>-151.02000000000001</v>
      </c>
      <c r="K1069" s="72">
        <f t="shared" si="84"/>
        <v>42675</v>
      </c>
      <c r="L1069" s="67">
        <f t="shared" si="80"/>
        <v>6</v>
      </c>
      <c r="M1069" s="105">
        <v>1.4833299999999999E-3</v>
      </c>
      <c r="N1069" s="104">
        <f t="shared" si="81"/>
        <v>-1.3440749796</v>
      </c>
      <c r="O1069" s="66"/>
      <c r="P1069" s="71">
        <f t="shared" si="82"/>
        <v>0</v>
      </c>
      <c r="Q1069" s="132"/>
      <c r="R1069" s="71">
        <f t="shared" si="83"/>
        <v>-2.3108262374999997</v>
      </c>
    </row>
    <row r="1070" spans="1:18">
      <c r="A1070" s="106" t="s">
        <v>21</v>
      </c>
      <c r="B1070" s="103" t="s">
        <v>1100</v>
      </c>
      <c r="C1070" s="103" t="s">
        <v>1101</v>
      </c>
      <c r="D1070" s="102" t="s">
        <v>1102</v>
      </c>
      <c r="E1070" s="103" t="s">
        <v>397</v>
      </c>
      <c r="F1070" s="102" t="s">
        <v>398</v>
      </c>
      <c r="G1070" s="103" t="s">
        <v>20</v>
      </c>
      <c r="H1070" s="108"/>
      <c r="I1070" s="103">
        <v>201507</v>
      </c>
      <c r="J1070" s="104">
        <v>-278.83999999999997</v>
      </c>
      <c r="K1070" s="72">
        <f t="shared" si="84"/>
        <v>42675</v>
      </c>
      <c r="L1070" s="67">
        <f t="shared" si="80"/>
        <v>6</v>
      </c>
      <c r="M1070" s="105">
        <v>1.4833299999999999E-3</v>
      </c>
      <c r="N1070" s="104">
        <f t="shared" si="81"/>
        <v>-2.4816704231999998</v>
      </c>
      <c r="O1070" s="66"/>
      <c r="P1070" s="71">
        <f t="shared" si="82"/>
        <v>0</v>
      </c>
      <c r="Q1070" s="132"/>
      <c r="R1070" s="71">
        <f t="shared" si="83"/>
        <v>-4.2666586416666661</v>
      </c>
    </row>
    <row r="1071" spans="1:18">
      <c r="A1071" s="106" t="s">
        <v>626</v>
      </c>
      <c r="B1071" s="103" t="s">
        <v>1100</v>
      </c>
      <c r="C1071" s="103" t="s">
        <v>1101</v>
      </c>
      <c r="D1071" s="102" t="s">
        <v>1102</v>
      </c>
      <c r="E1071" s="103" t="s">
        <v>397</v>
      </c>
      <c r="F1071" s="102" t="s">
        <v>398</v>
      </c>
      <c r="G1071" s="103" t="s">
        <v>20</v>
      </c>
      <c r="H1071" s="108"/>
      <c r="I1071" s="103">
        <v>201507</v>
      </c>
      <c r="J1071" s="104">
        <v>-61.01</v>
      </c>
      <c r="K1071" s="72">
        <f t="shared" si="84"/>
        <v>42675</v>
      </c>
      <c r="L1071" s="67">
        <f t="shared" si="80"/>
        <v>6</v>
      </c>
      <c r="M1071" s="105">
        <v>1.4833299999999999E-3</v>
      </c>
      <c r="N1071" s="104">
        <f t="shared" si="81"/>
        <v>-0.54298777980000001</v>
      </c>
      <c r="O1071" s="66"/>
      <c r="P1071" s="71">
        <f t="shared" si="82"/>
        <v>0</v>
      </c>
      <c r="Q1071" s="132"/>
      <c r="R1071" s="71">
        <f t="shared" si="83"/>
        <v>-0.93354197291666663</v>
      </c>
    </row>
    <row r="1072" spans="1:18">
      <c r="A1072" s="106" t="s">
        <v>21</v>
      </c>
      <c r="B1072" s="103" t="s">
        <v>1154</v>
      </c>
      <c r="C1072" s="103" t="s">
        <v>1155</v>
      </c>
      <c r="D1072" s="102" t="s">
        <v>1156</v>
      </c>
      <c r="E1072" s="103" t="s">
        <v>397</v>
      </c>
      <c r="F1072" s="102" t="s">
        <v>398</v>
      </c>
      <c r="G1072" s="103" t="s">
        <v>20</v>
      </c>
      <c r="H1072" s="108"/>
      <c r="I1072" s="103">
        <v>201507</v>
      </c>
      <c r="J1072" s="104">
        <v>-1071.83</v>
      </c>
      <c r="K1072" s="72">
        <f t="shared" si="84"/>
        <v>42675</v>
      </c>
      <c r="L1072" s="67">
        <f t="shared" si="80"/>
        <v>6</v>
      </c>
      <c r="M1072" s="105">
        <v>1.4833299999999999E-3</v>
      </c>
      <c r="N1072" s="104">
        <f t="shared" si="81"/>
        <v>-9.539265563399999</v>
      </c>
      <c r="O1072" s="66"/>
      <c r="P1072" s="71">
        <f t="shared" si="82"/>
        <v>0</v>
      </c>
      <c r="Q1072" s="132"/>
      <c r="R1072" s="71">
        <f t="shared" si="83"/>
        <v>-16.400562085416663</v>
      </c>
    </row>
    <row r="1073" spans="1:18">
      <c r="A1073" s="102" t="s">
        <v>21</v>
      </c>
      <c r="B1073" s="103" t="s">
        <v>1321</v>
      </c>
      <c r="C1073" s="103" t="s">
        <v>1322</v>
      </c>
      <c r="D1073" s="102" t="s">
        <v>1323</v>
      </c>
      <c r="E1073" s="103" t="s">
        <v>613</v>
      </c>
      <c r="F1073" s="102" t="s">
        <v>398</v>
      </c>
      <c r="G1073" s="103" t="s">
        <v>20</v>
      </c>
      <c r="H1073" s="108"/>
      <c r="I1073" s="103">
        <v>201507</v>
      </c>
      <c r="J1073" s="104">
        <v>2922.17</v>
      </c>
      <c r="K1073" s="72">
        <f t="shared" si="84"/>
        <v>42675</v>
      </c>
      <c r="L1073" s="67">
        <f t="shared" si="80"/>
        <v>6</v>
      </c>
      <c r="M1073" s="105">
        <v>1.4833299999999999E-3</v>
      </c>
      <c r="N1073" s="104">
        <f t="shared" si="81"/>
        <v>26.0072545566</v>
      </c>
      <c r="O1073" s="66"/>
      <c r="P1073" s="71">
        <f t="shared" si="82"/>
        <v>0</v>
      </c>
      <c r="Q1073" s="132"/>
      <c r="R1073" s="71">
        <f t="shared" si="83"/>
        <v>44.713462497916659</v>
      </c>
    </row>
    <row r="1074" spans="1:18">
      <c r="A1074" s="102" t="s">
        <v>626</v>
      </c>
      <c r="B1074" s="103" t="s">
        <v>1321</v>
      </c>
      <c r="C1074" s="103" t="s">
        <v>1322</v>
      </c>
      <c r="D1074" s="102" t="s">
        <v>1323</v>
      </c>
      <c r="E1074" s="103" t="s">
        <v>613</v>
      </c>
      <c r="F1074" s="102" t="s">
        <v>398</v>
      </c>
      <c r="G1074" s="103" t="s">
        <v>20</v>
      </c>
      <c r="H1074" s="108"/>
      <c r="I1074" s="103">
        <v>201507</v>
      </c>
      <c r="J1074" s="104">
        <v>-4722.63</v>
      </c>
      <c r="K1074" s="72">
        <f t="shared" si="84"/>
        <v>42675</v>
      </c>
      <c r="L1074" s="67">
        <f t="shared" si="80"/>
        <v>6</v>
      </c>
      <c r="M1074" s="105">
        <v>1.4833299999999999E-3</v>
      </c>
      <c r="N1074" s="104">
        <f t="shared" si="81"/>
        <v>-42.031312547399999</v>
      </c>
      <c r="O1074" s="66"/>
      <c r="P1074" s="71">
        <f t="shared" si="82"/>
        <v>0</v>
      </c>
      <c r="Q1074" s="132"/>
      <c r="R1074" s="71">
        <f t="shared" si="83"/>
        <v>-72.263126168749992</v>
      </c>
    </row>
    <row r="1075" spans="1:18">
      <c r="A1075" s="102" t="s">
        <v>626</v>
      </c>
      <c r="B1075" s="103" t="s">
        <v>1438</v>
      </c>
      <c r="C1075" s="103" t="s">
        <v>1439</v>
      </c>
      <c r="D1075" s="102" t="s">
        <v>1440</v>
      </c>
      <c r="E1075" s="103" t="s">
        <v>613</v>
      </c>
      <c r="F1075" s="102" t="s">
        <v>398</v>
      </c>
      <c r="G1075" s="103" t="s">
        <v>20</v>
      </c>
      <c r="H1075" s="108"/>
      <c r="I1075" s="103">
        <v>201507</v>
      </c>
      <c r="J1075" s="104">
        <v>-471.43</v>
      </c>
      <c r="K1075" s="72">
        <f t="shared" si="84"/>
        <v>42675</v>
      </c>
      <c r="L1075" s="67">
        <f t="shared" si="80"/>
        <v>6</v>
      </c>
      <c r="M1075" s="105">
        <v>1.4833299999999999E-3</v>
      </c>
      <c r="N1075" s="104">
        <f t="shared" si="81"/>
        <v>-4.1957175714000003</v>
      </c>
      <c r="O1075" s="66"/>
      <c r="P1075" s="71">
        <f t="shared" si="82"/>
        <v>0</v>
      </c>
      <c r="Q1075" s="132"/>
      <c r="R1075" s="71">
        <f t="shared" si="83"/>
        <v>-7.2135665020833324</v>
      </c>
    </row>
    <row r="1076" spans="1:18">
      <c r="A1076" s="102" t="s">
        <v>21</v>
      </c>
      <c r="B1076" s="103" t="s">
        <v>1597</v>
      </c>
      <c r="C1076" s="103" t="s">
        <v>1598</v>
      </c>
      <c r="D1076" s="102" t="s">
        <v>1599</v>
      </c>
      <c r="E1076" s="103" t="s">
        <v>164</v>
      </c>
      <c r="F1076" s="102" t="s">
        <v>1600</v>
      </c>
      <c r="G1076" s="103" t="s">
        <v>20</v>
      </c>
      <c r="H1076" s="108"/>
      <c r="I1076" s="103">
        <v>201508</v>
      </c>
      <c r="J1076" s="104">
        <v>94199.91</v>
      </c>
      <c r="K1076" s="72">
        <f t="shared" si="84"/>
        <v>42675</v>
      </c>
      <c r="L1076" s="67">
        <f t="shared" si="80"/>
        <v>6</v>
      </c>
      <c r="M1076" s="105">
        <v>1.4833299999999999E-3</v>
      </c>
      <c r="N1076" s="104">
        <f t="shared" si="81"/>
        <v>838.37731500180007</v>
      </c>
      <c r="O1076" s="66"/>
      <c r="P1076" s="71">
        <f t="shared" si="82"/>
        <v>0</v>
      </c>
      <c r="Q1076" s="132"/>
      <c r="R1076" s="71">
        <f t="shared" si="83"/>
        <v>1441.3959978687499</v>
      </c>
    </row>
    <row r="1077" spans="1:18">
      <c r="A1077" s="102" t="s">
        <v>626</v>
      </c>
      <c r="B1077" s="103" t="s">
        <v>930</v>
      </c>
      <c r="C1077" s="103" t="s">
        <v>931</v>
      </c>
      <c r="D1077" s="102" t="s">
        <v>932</v>
      </c>
      <c r="E1077" s="103" t="s">
        <v>93</v>
      </c>
      <c r="F1077" s="102" t="s">
        <v>1601</v>
      </c>
      <c r="G1077" s="103" t="s">
        <v>20</v>
      </c>
      <c r="H1077" s="108"/>
      <c r="I1077" s="103">
        <v>201508</v>
      </c>
      <c r="J1077" s="104">
        <v>-11.41</v>
      </c>
      <c r="K1077" s="72">
        <f t="shared" si="84"/>
        <v>42675</v>
      </c>
      <c r="L1077" s="67">
        <f t="shared" si="80"/>
        <v>6</v>
      </c>
      <c r="M1077" s="105">
        <v>1.4833299999999999E-3</v>
      </c>
      <c r="N1077" s="104">
        <f t="shared" si="81"/>
        <v>-0.10154877180000001</v>
      </c>
      <c r="O1077" s="66"/>
      <c r="P1077" s="71">
        <f t="shared" si="82"/>
        <v>0</v>
      </c>
      <c r="Q1077" s="132"/>
      <c r="R1077" s="71">
        <f t="shared" si="83"/>
        <v>-0.17458963958333332</v>
      </c>
    </row>
    <row r="1078" spans="1:18">
      <c r="A1078" s="102" t="s">
        <v>626</v>
      </c>
      <c r="B1078" s="103" t="s">
        <v>1063</v>
      </c>
      <c r="C1078" s="103" t="s">
        <v>1064</v>
      </c>
      <c r="D1078" s="102" t="s">
        <v>1065</v>
      </c>
      <c r="E1078" s="103" t="s">
        <v>497</v>
      </c>
      <c r="F1078" s="102" t="s">
        <v>26</v>
      </c>
      <c r="G1078" s="103" t="s">
        <v>20</v>
      </c>
      <c r="H1078" s="108"/>
      <c r="I1078" s="103">
        <v>201508</v>
      </c>
      <c r="J1078" s="104">
        <v>-22.44</v>
      </c>
      <c r="K1078" s="72">
        <f t="shared" si="84"/>
        <v>42675</v>
      </c>
      <c r="L1078" s="67">
        <f t="shared" si="80"/>
        <v>6</v>
      </c>
      <c r="M1078" s="105">
        <v>1.4833299999999999E-3</v>
      </c>
      <c r="N1078" s="104">
        <f t="shared" si="81"/>
        <v>-0.19971555120000001</v>
      </c>
      <c r="O1078" s="66"/>
      <c r="P1078" s="71">
        <f t="shared" si="82"/>
        <v>0</v>
      </c>
      <c r="Q1078" s="132"/>
      <c r="R1078" s="71">
        <f t="shared" si="83"/>
        <v>-0.34336472499999998</v>
      </c>
    </row>
    <row r="1079" spans="1:18">
      <c r="A1079" s="106" t="s">
        <v>29</v>
      </c>
      <c r="B1079" s="103" t="s">
        <v>30</v>
      </c>
      <c r="C1079" s="103" t="s">
        <v>31</v>
      </c>
      <c r="D1079" s="102" t="s">
        <v>32</v>
      </c>
      <c r="E1079" s="103" t="s">
        <v>33</v>
      </c>
      <c r="F1079" s="102" t="s">
        <v>34</v>
      </c>
      <c r="G1079" s="103" t="s">
        <v>20</v>
      </c>
      <c r="H1079" s="108"/>
      <c r="I1079" s="103">
        <v>201508</v>
      </c>
      <c r="J1079" s="104">
        <v>218127.53</v>
      </c>
      <c r="K1079" s="72">
        <f t="shared" si="84"/>
        <v>42675</v>
      </c>
      <c r="L1079" s="67">
        <f t="shared" si="80"/>
        <v>6</v>
      </c>
      <c r="M1079" s="105">
        <v>2.23333E-3</v>
      </c>
      <c r="N1079" s="104">
        <f t="shared" si="81"/>
        <v>2922.9045394493996</v>
      </c>
      <c r="O1079" s="66"/>
      <c r="P1079" s="71">
        <f t="shared" si="82"/>
        <v>0</v>
      </c>
      <c r="Q1079" s="132"/>
      <c r="R1079" s="71">
        <f t="shared" si="83"/>
        <v>3337.6693116479164</v>
      </c>
    </row>
    <row r="1080" spans="1:18">
      <c r="A1080" s="106" t="s">
        <v>29</v>
      </c>
      <c r="B1080" s="103" t="s">
        <v>37</v>
      </c>
      <c r="C1080" s="103" t="s">
        <v>38</v>
      </c>
      <c r="D1080" s="102" t="s">
        <v>39</v>
      </c>
      <c r="E1080" s="103" t="s">
        <v>40</v>
      </c>
      <c r="F1080" s="102" t="s">
        <v>41</v>
      </c>
      <c r="G1080" s="103" t="s">
        <v>20</v>
      </c>
      <c r="H1080" s="108"/>
      <c r="I1080" s="103">
        <v>201508</v>
      </c>
      <c r="J1080" s="104">
        <v>420038.03</v>
      </c>
      <c r="K1080" s="72">
        <f t="shared" si="84"/>
        <v>42675</v>
      </c>
      <c r="L1080" s="67">
        <f t="shared" si="80"/>
        <v>6</v>
      </c>
      <c r="M1080" s="105">
        <v>2.23333E-3</v>
      </c>
      <c r="N1080" s="104">
        <f t="shared" si="81"/>
        <v>5628.5012012394</v>
      </c>
      <c r="O1080" s="66"/>
      <c r="P1080" s="71">
        <f t="shared" si="82"/>
        <v>0</v>
      </c>
      <c r="Q1080" s="132"/>
      <c r="R1080" s="71">
        <f t="shared" si="83"/>
        <v>6427.1944144604167</v>
      </c>
    </row>
    <row r="1081" spans="1:18">
      <c r="A1081" s="106" t="s">
        <v>29</v>
      </c>
      <c r="B1081" s="103" t="s">
        <v>43</v>
      </c>
      <c r="C1081" s="103" t="s">
        <v>44</v>
      </c>
      <c r="D1081" s="102" t="s">
        <v>45</v>
      </c>
      <c r="E1081" s="103" t="s">
        <v>46</v>
      </c>
      <c r="F1081" s="102" t="s">
        <v>41</v>
      </c>
      <c r="G1081" s="103" t="s">
        <v>20</v>
      </c>
      <c r="H1081" s="108"/>
      <c r="I1081" s="103">
        <v>201508</v>
      </c>
      <c r="J1081" s="104">
        <v>-2.2200000000000002</v>
      </c>
      <c r="K1081" s="72">
        <f t="shared" si="84"/>
        <v>42675</v>
      </c>
      <c r="L1081" s="67">
        <f t="shared" si="80"/>
        <v>6</v>
      </c>
      <c r="M1081" s="105">
        <v>2.23333E-3</v>
      </c>
      <c r="N1081" s="104">
        <f t="shared" si="81"/>
        <v>-2.9747955600000001E-2</v>
      </c>
      <c r="O1081" s="66"/>
      <c r="P1081" s="71">
        <f t="shared" si="82"/>
        <v>0</v>
      </c>
      <c r="Q1081" s="132"/>
      <c r="R1081" s="71">
        <f t="shared" si="83"/>
        <v>-3.3969237499999999E-2</v>
      </c>
    </row>
    <row r="1082" spans="1:18">
      <c r="A1082" s="106" t="s">
        <v>29</v>
      </c>
      <c r="B1082" s="103" t="s">
        <v>48</v>
      </c>
      <c r="C1082" s="103" t="s">
        <v>49</v>
      </c>
      <c r="D1082" s="102" t="s">
        <v>50</v>
      </c>
      <c r="E1082" s="103" t="s">
        <v>51</v>
      </c>
      <c r="F1082" s="102" t="s">
        <v>52</v>
      </c>
      <c r="G1082" s="103" t="s">
        <v>20</v>
      </c>
      <c r="H1082" s="108"/>
      <c r="I1082" s="103">
        <v>201508</v>
      </c>
      <c r="J1082" s="104">
        <v>-291.93</v>
      </c>
      <c r="K1082" s="72">
        <f t="shared" si="84"/>
        <v>42675</v>
      </c>
      <c r="L1082" s="67">
        <f t="shared" si="80"/>
        <v>6</v>
      </c>
      <c r="M1082" s="105">
        <v>2.23333E-3</v>
      </c>
      <c r="N1082" s="104">
        <f t="shared" si="81"/>
        <v>-3.9118561613999998</v>
      </c>
      <c r="O1082" s="66"/>
      <c r="P1082" s="71">
        <f t="shared" si="82"/>
        <v>0</v>
      </c>
      <c r="Q1082" s="132"/>
      <c r="R1082" s="71">
        <f t="shared" si="83"/>
        <v>-4.4669547312499995</v>
      </c>
    </row>
    <row r="1083" spans="1:18">
      <c r="A1083" s="106" t="s">
        <v>990</v>
      </c>
      <c r="B1083" s="103" t="s">
        <v>991</v>
      </c>
      <c r="C1083" s="103" t="s">
        <v>992</v>
      </c>
      <c r="D1083" s="102" t="s">
        <v>993</v>
      </c>
      <c r="E1083" s="103" t="s">
        <v>994</v>
      </c>
      <c r="F1083" s="102" t="s">
        <v>995</v>
      </c>
      <c r="G1083" s="103" t="s">
        <v>20</v>
      </c>
      <c r="H1083" s="108"/>
      <c r="I1083" s="103">
        <v>201508</v>
      </c>
      <c r="J1083" s="104">
        <v>2275.67</v>
      </c>
      <c r="K1083" s="72">
        <f t="shared" si="84"/>
        <v>42675</v>
      </c>
      <c r="L1083" s="67">
        <f t="shared" si="80"/>
        <v>6</v>
      </c>
      <c r="M1083" s="105">
        <v>2.0333333000000001E-3</v>
      </c>
      <c r="N1083" s="104">
        <f t="shared" si="81"/>
        <v>27.763173544866</v>
      </c>
      <c r="O1083" s="66"/>
      <c r="P1083" s="71">
        <f t="shared" si="82"/>
        <v>0</v>
      </c>
      <c r="Q1083" s="132"/>
      <c r="R1083" s="71">
        <f t="shared" si="83"/>
        <v>34.821069685416667</v>
      </c>
    </row>
    <row r="1084" spans="1:18">
      <c r="A1084" s="106" t="s">
        <v>626</v>
      </c>
      <c r="B1084" s="103" t="s">
        <v>1066</v>
      </c>
      <c r="C1084" s="103" t="s">
        <v>1067</v>
      </c>
      <c r="D1084" s="102" t="s">
        <v>1068</v>
      </c>
      <c r="E1084" s="103" t="s">
        <v>75</v>
      </c>
      <c r="F1084" s="102" t="s">
        <v>1602</v>
      </c>
      <c r="G1084" s="103" t="s">
        <v>20</v>
      </c>
      <c r="H1084" s="108"/>
      <c r="I1084" s="103">
        <v>201508</v>
      </c>
      <c r="J1084" s="104">
        <v>-127.17</v>
      </c>
      <c r="K1084" s="72">
        <f t="shared" si="84"/>
        <v>42675</v>
      </c>
      <c r="L1084" s="67">
        <f t="shared" si="80"/>
        <v>6</v>
      </c>
      <c r="M1084" s="105">
        <v>1.4833299999999999E-3</v>
      </c>
      <c r="N1084" s="104">
        <f t="shared" si="81"/>
        <v>-1.1318104566</v>
      </c>
      <c r="O1084" s="66"/>
      <c r="P1084" s="71">
        <f t="shared" si="82"/>
        <v>0</v>
      </c>
      <c r="Q1084" s="132"/>
      <c r="R1084" s="71">
        <f t="shared" si="83"/>
        <v>-1.9458864562499998</v>
      </c>
    </row>
    <row r="1085" spans="1:18">
      <c r="A1085" s="106" t="s">
        <v>21</v>
      </c>
      <c r="B1085" s="103" t="s">
        <v>84</v>
      </c>
      <c r="C1085" s="103" t="s">
        <v>85</v>
      </c>
      <c r="D1085" s="102" t="s">
        <v>86</v>
      </c>
      <c r="E1085" s="103" t="s">
        <v>87</v>
      </c>
      <c r="F1085" s="102" t="s">
        <v>1603</v>
      </c>
      <c r="G1085" s="103" t="s">
        <v>20</v>
      </c>
      <c r="H1085" s="108"/>
      <c r="I1085" s="103">
        <v>201508</v>
      </c>
      <c r="J1085" s="104">
        <v>-58.57</v>
      </c>
      <c r="K1085" s="72">
        <f t="shared" si="84"/>
        <v>42675</v>
      </c>
      <c r="L1085" s="67">
        <f t="shared" si="80"/>
        <v>6</v>
      </c>
      <c r="M1085" s="105">
        <v>1.4833299999999999E-3</v>
      </c>
      <c r="N1085" s="104">
        <f t="shared" si="81"/>
        <v>-0.52127182859999999</v>
      </c>
      <c r="O1085" s="66"/>
      <c r="P1085" s="71">
        <f t="shared" si="82"/>
        <v>0</v>
      </c>
      <c r="Q1085" s="132"/>
      <c r="R1085" s="71">
        <f t="shared" si="83"/>
        <v>-0.89620641458333328</v>
      </c>
    </row>
    <row r="1086" spans="1:18">
      <c r="A1086" s="106" t="s">
        <v>29</v>
      </c>
      <c r="B1086" s="103" t="s">
        <v>1024</v>
      </c>
      <c r="C1086" s="103" t="s">
        <v>1025</v>
      </c>
      <c r="D1086" s="102" t="s">
        <v>1026</v>
      </c>
      <c r="E1086" s="103" t="s">
        <v>1027</v>
      </c>
      <c r="F1086" s="102" t="s">
        <v>1028</v>
      </c>
      <c r="G1086" s="103" t="s">
        <v>20</v>
      </c>
      <c r="H1086" s="108"/>
      <c r="I1086" s="103">
        <v>201508</v>
      </c>
      <c r="J1086" s="104">
        <v>-0.31</v>
      </c>
      <c r="K1086" s="72">
        <f t="shared" si="84"/>
        <v>42675</v>
      </c>
      <c r="L1086" s="67">
        <f t="shared" si="80"/>
        <v>6</v>
      </c>
      <c r="M1086" s="105">
        <v>2.23333E-3</v>
      </c>
      <c r="N1086" s="104">
        <f t="shared" si="81"/>
        <v>-4.1539937999999993E-3</v>
      </c>
      <c r="O1086" s="66"/>
      <c r="P1086" s="71">
        <f t="shared" si="82"/>
        <v>0</v>
      </c>
      <c r="Q1086" s="132"/>
      <c r="R1086" s="71">
        <f t="shared" si="83"/>
        <v>-4.7434520833333329E-3</v>
      </c>
    </row>
    <row r="1087" spans="1:18">
      <c r="A1087" s="106" t="s">
        <v>29</v>
      </c>
      <c r="B1087" s="103" t="s">
        <v>1245</v>
      </c>
      <c r="C1087" s="103" t="s">
        <v>1246</v>
      </c>
      <c r="D1087" s="102" t="s">
        <v>1026</v>
      </c>
      <c r="E1087" s="103" t="s">
        <v>1027</v>
      </c>
      <c r="F1087" s="102" t="s">
        <v>1028</v>
      </c>
      <c r="G1087" s="103" t="s">
        <v>20</v>
      </c>
      <c r="H1087" s="108"/>
      <c r="I1087" s="103">
        <v>201508</v>
      </c>
      <c r="J1087" s="104">
        <v>-5.24</v>
      </c>
      <c r="K1087" s="72">
        <f t="shared" si="84"/>
        <v>42675</v>
      </c>
      <c r="L1087" s="67">
        <f t="shared" si="80"/>
        <v>6</v>
      </c>
      <c r="M1087" s="105">
        <v>2.23333E-3</v>
      </c>
      <c r="N1087" s="104">
        <f t="shared" si="81"/>
        <v>-7.0215895200000003E-2</v>
      </c>
      <c r="O1087" s="66"/>
      <c r="P1087" s="71">
        <f t="shared" si="82"/>
        <v>0</v>
      </c>
      <c r="Q1087" s="132"/>
      <c r="R1087" s="71">
        <f t="shared" si="83"/>
        <v>-8.0179641666666662E-2</v>
      </c>
    </row>
    <row r="1088" spans="1:18">
      <c r="A1088" s="106" t="s">
        <v>29</v>
      </c>
      <c r="B1088" s="103" t="s">
        <v>103</v>
      </c>
      <c r="C1088" s="103" t="s">
        <v>104</v>
      </c>
      <c r="D1088" s="102" t="s">
        <v>105</v>
      </c>
      <c r="E1088" s="103" t="s">
        <v>106</v>
      </c>
      <c r="F1088" s="102" t="s">
        <v>34</v>
      </c>
      <c r="G1088" s="103" t="s">
        <v>20</v>
      </c>
      <c r="H1088" s="108"/>
      <c r="I1088" s="103">
        <v>201508</v>
      </c>
      <c r="J1088" s="104">
        <v>-71.680000000000007</v>
      </c>
      <c r="K1088" s="72">
        <f t="shared" si="84"/>
        <v>42675</v>
      </c>
      <c r="L1088" s="67">
        <f t="shared" si="80"/>
        <v>6</v>
      </c>
      <c r="M1088" s="105">
        <v>2.23333E-3</v>
      </c>
      <c r="N1088" s="104">
        <f t="shared" si="81"/>
        <v>-0.96051056639999999</v>
      </c>
      <c r="O1088" s="66"/>
      <c r="P1088" s="71">
        <f t="shared" si="82"/>
        <v>0</v>
      </c>
      <c r="Q1088" s="132"/>
      <c r="R1088" s="71">
        <f t="shared" si="83"/>
        <v>-1.0968085333333333</v>
      </c>
    </row>
    <row r="1089" spans="1:18">
      <c r="A1089" s="106" t="s">
        <v>990</v>
      </c>
      <c r="B1089" s="103" t="s">
        <v>996</v>
      </c>
      <c r="C1089" s="103" t="s">
        <v>997</v>
      </c>
      <c r="D1089" s="102" t="s">
        <v>998</v>
      </c>
      <c r="E1089" s="103" t="s">
        <v>999</v>
      </c>
      <c r="F1089" s="102" t="s">
        <v>995</v>
      </c>
      <c r="G1089" s="103" t="s">
        <v>20</v>
      </c>
      <c r="H1089" s="108"/>
      <c r="I1089" s="103">
        <v>201508</v>
      </c>
      <c r="J1089" s="104">
        <v>1014.49</v>
      </c>
      <c r="K1089" s="72">
        <f t="shared" si="84"/>
        <v>42675</v>
      </c>
      <c r="L1089" s="67">
        <f t="shared" si="80"/>
        <v>6</v>
      </c>
      <c r="M1089" s="105">
        <v>2.0333333000000001E-3</v>
      </c>
      <c r="N1089" s="104">
        <f t="shared" si="81"/>
        <v>12.376777797101999</v>
      </c>
      <c r="O1089" s="66"/>
      <c r="P1089" s="71">
        <f t="shared" si="82"/>
        <v>0</v>
      </c>
      <c r="Q1089" s="132"/>
      <c r="R1089" s="71">
        <f t="shared" si="83"/>
        <v>15.523176464583333</v>
      </c>
    </row>
    <row r="1090" spans="1:18">
      <c r="A1090" s="106" t="s">
        <v>990</v>
      </c>
      <c r="B1090" s="103" t="s">
        <v>1000</v>
      </c>
      <c r="C1090" s="103" t="s">
        <v>1001</v>
      </c>
      <c r="D1090" s="102" t="s">
        <v>998</v>
      </c>
      <c r="E1090" s="103" t="s">
        <v>1002</v>
      </c>
      <c r="F1090" s="102" t="s">
        <v>1604</v>
      </c>
      <c r="G1090" s="103" t="s">
        <v>20</v>
      </c>
      <c r="H1090" s="108"/>
      <c r="I1090" s="103">
        <v>201508</v>
      </c>
      <c r="J1090" s="104">
        <v>57762.64</v>
      </c>
      <c r="K1090" s="72">
        <f t="shared" si="84"/>
        <v>42675</v>
      </c>
      <c r="L1090" s="67">
        <f t="shared" si="80"/>
        <v>6</v>
      </c>
      <c r="M1090" s="105">
        <v>2.0333333000000001E-3</v>
      </c>
      <c r="N1090" s="104">
        <f t="shared" si="81"/>
        <v>704.70419644747199</v>
      </c>
      <c r="O1090" s="66"/>
      <c r="P1090" s="71">
        <f t="shared" si="82"/>
        <v>0</v>
      </c>
      <c r="Q1090" s="132"/>
      <c r="R1090" s="71">
        <f t="shared" si="83"/>
        <v>883.85262918333319</v>
      </c>
    </row>
    <row r="1091" spans="1:18">
      <c r="A1091" s="106" t="s">
        <v>29</v>
      </c>
      <c r="B1091" s="103" t="s">
        <v>107</v>
      </c>
      <c r="C1091" s="103" t="s">
        <v>108</v>
      </c>
      <c r="D1091" s="102" t="s">
        <v>109</v>
      </c>
      <c r="E1091" s="103" t="s">
        <v>110</v>
      </c>
      <c r="F1091" s="102" t="s">
        <v>52</v>
      </c>
      <c r="G1091" s="103" t="s">
        <v>20</v>
      </c>
      <c r="H1091" s="108"/>
      <c r="I1091" s="103">
        <v>201508</v>
      </c>
      <c r="J1091" s="104">
        <v>33611.68</v>
      </c>
      <c r="K1091" s="72">
        <f t="shared" si="84"/>
        <v>42675</v>
      </c>
      <c r="L1091" s="67">
        <f t="shared" si="80"/>
        <v>6</v>
      </c>
      <c r="M1091" s="105">
        <v>2.23333E-3</v>
      </c>
      <c r="N1091" s="104">
        <f t="shared" si="81"/>
        <v>450.39583976639994</v>
      </c>
      <c r="O1091" s="66"/>
      <c r="P1091" s="71">
        <f t="shared" si="82"/>
        <v>0</v>
      </c>
      <c r="Q1091" s="132"/>
      <c r="R1091" s="71">
        <f t="shared" si="83"/>
        <v>514.30772103333322</v>
      </c>
    </row>
    <row r="1092" spans="1:18">
      <c r="A1092" s="106" t="s">
        <v>29</v>
      </c>
      <c r="B1092" s="103" t="s">
        <v>548</v>
      </c>
      <c r="C1092" s="103" t="s">
        <v>549</v>
      </c>
      <c r="D1092" s="102" t="s">
        <v>327</v>
      </c>
      <c r="E1092" s="103" t="s">
        <v>550</v>
      </c>
      <c r="F1092" s="102" t="s">
        <v>58</v>
      </c>
      <c r="G1092" s="103" t="s">
        <v>20</v>
      </c>
      <c r="H1092" s="108"/>
      <c r="I1092" s="103">
        <v>201508</v>
      </c>
      <c r="J1092" s="104">
        <v>-9.84</v>
      </c>
      <c r="K1092" s="72">
        <f t="shared" si="84"/>
        <v>42675</v>
      </c>
      <c r="L1092" s="67">
        <f t="shared" si="80"/>
        <v>6</v>
      </c>
      <c r="M1092" s="105">
        <v>2.23333E-3</v>
      </c>
      <c r="N1092" s="104">
        <f t="shared" si="81"/>
        <v>-0.13185580319999998</v>
      </c>
      <c r="O1092" s="66"/>
      <c r="P1092" s="71">
        <f t="shared" si="82"/>
        <v>0</v>
      </c>
      <c r="Q1092" s="132"/>
      <c r="R1092" s="71">
        <f t="shared" si="83"/>
        <v>-0.15056634999999999</v>
      </c>
    </row>
    <row r="1093" spans="1:18">
      <c r="A1093" s="106" t="s">
        <v>29</v>
      </c>
      <c r="B1093" s="103" t="s">
        <v>111</v>
      </c>
      <c r="C1093" s="103" t="s">
        <v>112</v>
      </c>
      <c r="D1093" s="102" t="s">
        <v>113</v>
      </c>
      <c r="E1093" s="103" t="s">
        <v>114</v>
      </c>
      <c r="F1093" s="102" t="s">
        <v>115</v>
      </c>
      <c r="G1093" s="103" t="s">
        <v>20</v>
      </c>
      <c r="H1093" s="108"/>
      <c r="I1093" s="103">
        <v>201508</v>
      </c>
      <c r="J1093" s="104">
        <v>444.96</v>
      </c>
      <c r="K1093" s="72">
        <f t="shared" si="84"/>
        <v>42675</v>
      </c>
      <c r="L1093" s="67">
        <f t="shared" ref="L1093:L1156" si="85">((YEAR($L$1)-YEAR(K1093))*12+MONTH($L$1)-MONTH(K1093))</f>
        <v>6</v>
      </c>
      <c r="M1093" s="105">
        <v>2.23333E-3</v>
      </c>
      <c r="N1093" s="104">
        <f t="shared" ref="N1093:N1156" si="86">M1093*L1093*J1093</f>
        <v>5.9624551007999989</v>
      </c>
      <c r="O1093" s="66"/>
      <c r="P1093" s="71">
        <f t="shared" si="82"/>
        <v>0</v>
      </c>
      <c r="Q1093" s="132"/>
      <c r="R1093" s="71">
        <f t="shared" si="83"/>
        <v>6.8085368999999991</v>
      </c>
    </row>
    <row r="1094" spans="1:18">
      <c r="A1094" s="106" t="s">
        <v>554</v>
      </c>
      <c r="B1094" s="103" t="s">
        <v>116</v>
      </c>
      <c r="C1094" s="103" t="s">
        <v>117</v>
      </c>
      <c r="D1094" s="102" t="s">
        <v>118</v>
      </c>
      <c r="E1094" s="103" t="s">
        <v>119</v>
      </c>
      <c r="F1094" s="102" t="s">
        <v>1605</v>
      </c>
      <c r="G1094" s="103" t="s">
        <v>20</v>
      </c>
      <c r="H1094" s="108"/>
      <c r="I1094" s="103">
        <v>201508</v>
      </c>
      <c r="J1094" s="104">
        <v>146149.6</v>
      </c>
      <c r="K1094" s="72">
        <f t="shared" si="84"/>
        <v>42675</v>
      </c>
      <c r="L1094" s="67">
        <f t="shared" si="85"/>
        <v>6</v>
      </c>
      <c r="M1094" s="105">
        <v>1.4833299999999999E-3</v>
      </c>
      <c r="N1094" s="104">
        <f t="shared" si="86"/>
        <v>1300.7285170080002</v>
      </c>
      <c r="O1094" s="66"/>
      <c r="P1094" s="71">
        <f t="shared" ref="P1094:P1157" si="87">($P$4*0.5*J1094*$T$12)</f>
        <v>0</v>
      </c>
      <c r="Q1094" s="132"/>
      <c r="R1094" s="71">
        <f t="shared" ref="R1094:R1157" si="88">($R$4*0.5*J1094*$T$12)</f>
        <v>2236.3020148333335</v>
      </c>
    </row>
    <row r="1095" spans="1:18">
      <c r="A1095" s="106" t="s">
        <v>29</v>
      </c>
      <c r="B1095" s="103" t="s">
        <v>555</v>
      </c>
      <c r="C1095" s="103" t="s">
        <v>556</v>
      </c>
      <c r="D1095" s="102" t="s">
        <v>45</v>
      </c>
      <c r="E1095" s="103" t="s">
        <v>557</v>
      </c>
      <c r="F1095" s="102" t="s">
        <v>41</v>
      </c>
      <c r="G1095" s="103" t="s">
        <v>20</v>
      </c>
      <c r="H1095" s="108"/>
      <c r="I1095" s="103">
        <v>201508</v>
      </c>
      <c r="J1095" s="104">
        <v>-4.5</v>
      </c>
      <c r="K1095" s="72">
        <f t="shared" ref="K1095:K1158" si="89">+K1094</f>
        <v>42675</v>
      </c>
      <c r="L1095" s="67">
        <f t="shared" si="85"/>
        <v>6</v>
      </c>
      <c r="M1095" s="105">
        <v>2.23333E-3</v>
      </c>
      <c r="N1095" s="104">
        <f t="shared" si="86"/>
        <v>-6.0299909999999998E-2</v>
      </c>
      <c r="O1095" s="66"/>
      <c r="P1095" s="71">
        <f t="shared" si="87"/>
        <v>0</v>
      </c>
      <c r="Q1095" s="132"/>
      <c r="R1095" s="71">
        <f t="shared" si="88"/>
        <v>-6.8856562499999996E-2</v>
      </c>
    </row>
    <row r="1096" spans="1:18">
      <c r="A1096" s="102" t="s">
        <v>990</v>
      </c>
      <c r="B1096" s="103" t="s">
        <v>1003</v>
      </c>
      <c r="C1096" s="103" t="s">
        <v>1004</v>
      </c>
      <c r="D1096" s="102" t="s">
        <v>1005</v>
      </c>
      <c r="E1096" s="103" t="s">
        <v>1006</v>
      </c>
      <c r="F1096" s="102" t="s">
        <v>1606</v>
      </c>
      <c r="G1096" s="103" t="s">
        <v>20</v>
      </c>
      <c r="H1096" s="108"/>
      <c r="I1096" s="103">
        <v>201508</v>
      </c>
      <c r="J1096" s="104">
        <v>111607.62</v>
      </c>
      <c r="K1096" s="72">
        <f t="shared" si="89"/>
        <v>42675</v>
      </c>
      <c r="L1096" s="67">
        <f t="shared" si="85"/>
        <v>6</v>
      </c>
      <c r="M1096" s="105">
        <v>2.0333333000000001E-3</v>
      </c>
      <c r="N1096" s="104">
        <f t="shared" si="86"/>
        <v>1361.6129416784759</v>
      </c>
      <c r="O1096" s="66"/>
      <c r="P1096" s="71">
        <f t="shared" si="87"/>
        <v>0</v>
      </c>
      <c r="Q1096" s="132"/>
      <c r="R1096" s="71">
        <f t="shared" si="88"/>
        <v>1707.7593471124999</v>
      </c>
    </row>
    <row r="1097" spans="1:18">
      <c r="A1097" s="106" t="s">
        <v>29</v>
      </c>
      <c r="B1097" s="103" t="s">
        <v>121</v>
      </c>
      <c r="C1097" s="103" t="s">
        <v>122</v>
      </c>
      <c r="D1097" s="102" t="s">
        <v>50</v>
      </c>
      <c r="E1097" s="103" t="s">
        <v>123</v>
      </c>
      <c r="F1097" s="102" t="s">
        <v>52</v>
      </c>
      <c r="G1097" s="103" t="s">
        <v>20</v>
      </c>
      <c r="H1097" s="108"/>
      <c r="I1097" s="103">
        <v>201508</v>
      </c>
      <c r="J1097" s="104">
        <v>2.62</v>
      </c>
      <c r="K1097" s="72">
        <f t="shared" si="89"/>
        <v>42675</v>
      </c>
      <c r="L1097" s="67">
        <f t="shared" si="85"/>
        <v>6</v>
      </c>
      <c r="M1097" s="105">
        <v>2.23333E-3</v>
      </c>
      <c r="N1097" s="104">
        <f t="shared" si="86"/>
        <v>3.5107947600000002E-2</v>
      </c>
      <c r="O1097" s="66"/>
      <c r="P1097" s="71">
        <f t="shared" si="87"/>
        <v>0</v>
      </c>
      <c r="Q1097" s="132"/>
      <c r="R1097" s="71">
        <f t="shared" si="88"/>
        <v>4.0089820833333331E-2</v>
      </c>
    </row>
    <row r="1098" spans="1:18">
      <c r="A1098" s="106" t="s">
        <v>29</v>
      </c>
      <c r="B1098" s="103" t="s">
        <v>124</v>
      </c>
      <c r="C1098" s="103" t="s">
        <v>125</v>
      </c>
      <c r="D1098" s="102" t="s">
        <v>50</v>
      </c>
      <c r="E1098" s="103" t="s">
        <v>126</v>
      </c>
      <c r="F1098" s="102" t="s">
        <v>52</v>
      </c>
      <c r="G1098" s="103" t="s">
        <v>20</v>
      </c>
      <c r="H1098" s="108"/>
      <c r="I1098" s="103">
        <v>201508</v>
      </c>
      <c r="J1098" s="104">
        <v>-29.78</v>
      </c>
      <c r="K1098" s="72">
        <f t="shared" si="89"/>
        <v>42675</v>
      </c>
      <c r="L1098" s="67">
        <f t="shared" si="85"/>
        <v>6</v>
      </c>
      <c r="M1098" s="105">
        <v>2.23333E-3</v>
      </c>
      <c r="N1098" s="104">
        <f t="shared" si="86"/>
        <v>-0.39905140439999998</v>
      </c>
      <c r="O1098" s="66"/>
      <c r="P1098" s="71">
        <f t="shared" si="87"/>
        <v>0</v>
      </c>
      <c r="Q1098" s="132"/>
      <c r="R1098" s="71">
        <f t="shared" si="88"/>
        <v>-0.45567742916666665</v>
      </c>
    </row>
    <row r="1099" spans="1:18">
      <c r="A1099" s="106" t="s">
        <v>29</v>
      </c>
      <c r="B1099" s="103" t="s">
        <v>1247</v>
      </c>
      <c r="C1099" s="103" t="s">
        <v>1248</v>
      </c>
      <c r="D1099" s="102" t="s">
        <v>708</v>
      </c>
      <c r="E1099" s="103" t="s">
        <v>1249</v>
      </c>
      <c r="F1099" s="102" t="s">
        <v>710</v>
      </c>
      <c r="G1099" s="103" t="s">
        <v>20</v>
      </c>
      <c r="H1099" s="108"/>
      <c r="I1099" s="103">
        <v>201508</v>
      </c>
      <c r="J1099" s="104">
        <v>39.19</v>
      </c>
      <c r="K1099" s="72">
        <f t="shared" si="89"/>
        <v>42675</v>
      </c>
      <c r="L1099" s="67">
        <f t="shared" si="85"/>
        <v>6</v>
      </c>
      <c r="M1099" s="105">
        <v>2.23333E-3</v>
      </c>
      <c r="N1099" s="104">
        <f t="shared" si="86"/>
        <v>0.52514521619999988</v>
      </c>
      <c r="O1099" s="66"/>
      <c r="P1099" s="71">
        <f t="shared" si="87"/>
        <v>0</v>
      </c>
      <c r="Q1099" s="132"/>
      <c r="R1099" s="71">
        <f t="shared" si="88"/>
        <v>0.59966415208333324</v>
      </c>
    </row>
    <row r="1100" spans="1:18">
      <c r="A1100" s="102" t="s">
        <v>21</v>
      </c>
      <c r="B1100" s="103" t="s">
        <v>1286</v>
      </c>
      <c r="C1100" s="103" t="s">
        <v>1287</v>
      </c>
      <c r="D1100" s="102" t="s">
        <v>1288</v>
      </c>
      <c r="E1100" s="103" t="s">
        <v>93</v>
      </c>
      <c r="F1100" s="102" t="s">
        <v>1601</v>
      </c>
      <c r="G1100" s="103" t="s">
        <v>20</v>
      </c>
      <c r="H1100" s="108"/>
      <c r="I1100" s="103">
        <v>201508</v>
      </c>
      <c r="J1100" s="104">
        <v>-139941.37</v>
      </c>
      <c r="K1100" s="72">
        <f t="shared" si="89"/>
        <v>42675</v>
      </c>
      <c r="L1100" s="67">
        <f t="shared" si="85"/>
        <v>6</v>
      </c>
      <c r="M1100" s="105">
        <v>1.4833299999999999E-3</v>
      </c>
      <c r="N1100" s="104">
        <f t="shared" si="86"/>
        <v>-1245.4753941725999</v>
      </c>
      <c r="O1100" s="66"/>
      <c r="P1100" s="71">
        <f t="shared" si="87"/>
        <v>0</v>
      </c>
      <c r="Q1100" s="132"/>
      <c r="R1100" s="71">
        <f t="shared" si="88"/>
        <v>-2141.307042164583</v>
      </c>
    </row>
    <row r="1101" spans="1:18">
      <c r="A1101" s="102" t="s">
        <v>626</v>
      </c>
      <c r="B1101" s="103" t="s">
        <v>1286</v>
      </c>
      <c r="C1101" s="103" t="s">
        <v>1287</v>
      </c>
      <c r="D1101" s="102" t="s">
        <v>1288</v>
      </c>
      <c r="E1101" s="103" t="s">
        <v>93</v>
      </c>
      <c r="F1101" s="102" t="s">
        <v>1601</v>
      </c>
      <c r="G1101" s="103" t="s">
        <v>20</v>
      </c>
      <c r="H1101" s="108"/>
      <c r="I1101" s="103">
        <v>201508</v>
      </c>
      <c r="J1101" s="104">
        <v>139685.56</v>
      </c>
      <c r="K1101" s="72">
        <f t="shared" si="89"/>
        <v>42675</v>
      </c>
      <c r="L1101" s="67">
        <f t="shared" si="85"/>
        <v>6</v>
      </c>
      <c r="M1101" s="105">
        <v>1.4833299999999999E-3</v>
      </c>
      <c r="N1101" s="104">
        <f t="shared" si="86"/>
        <v>1243.1986902888</v>
      </c>
      <c r="O1101" s="66"/>
      <c r="P1101" s="71">
        <f t="shared" si="87"/>
        <v>0</v>
      </c>
      <c r="Q1101" s="132"/>
      <c r="R1101" s="71">
        <f t="shared" si="88"/>
        <v>2137.3927761083328</v>
      </c>
    </row>
    <row r="1102" spans="1:18">
      <c r="A1102" s="102" t="s">
        <v>127</v>
      </c>
      <c r="B1102" s="103" t="s">
        <v>1242</v>
      </c>
      <c r="C1102" s="103" t="s">
        <v>1243</v>
      </c>
      <c r="D1102" s="102" t="s">
        <v>1244</v>
      </c>
      <c r="E1102" s="103" t="s">
        <v>131</v>
      </c>
      <c r="F1102" s="102" t="s">
        <v>1607</v>
      </c>
      <c r="G1102" s="103" t="s">
        <v>20</v>
      </c>
      <c r="H1102" s="108"/>
      <c r="I1102" s="103">
        <v>201508</v>
      </c>
      <c r="J1102" s="104">
        <v>-111.37</v>
      </c>
      <c r="K1102" s="72">
        <f t="shared" si="89"/>
        <v>42675</v>
      </c>
      <c r="L1102" s="67">
        <f t="shared" si="85"/>
        <v>6</v>
      </c>
      <c r="M1102" s="105">
        <v>2.3833299999999999E-3</v>
      </c>
      <c r="N1102" s="104">
        <f t="shared" si="86"/>
        <v>-1.5925887726000001</v>
      </c>
      <c r="O1102" s="66"/>
      <c r="P1102" s="71">
        <f t="shared" si="87"/>
        <v>0</v>
      </c>
      <c r="Q1102" s="132"/>
      <c r="R1102" s="71">
        <f t="shared" si="88"/>
        <v>-1.7041234145833333</v>
      </c>
    </row>
    <row r="1103" spans="1:18">
      <c r="A1103" s="102" t="s">
        <v>21</v>
      </c>
      <c r="B1103" s="103" t="s">
        <v>1112</v>
      </c>
      <c r="C1103" s="103" t="s">
        <v>1113</v>
      </c>
      <c r="D1103" s="102" t="s">
        <v>1114</v>
      </c>
      <c r="E1103" s="103" t="s">
        <v>260</v>
      </c>
      <c r="F1103" s="102" t="s">
        <v>1608</v>
      </c>
      <c r="G1103" s="103" t="s">
        <v>20</v>
      </c>
      <c r="H1103" s="108"/>
      <c r="I1103" s="103">
        <v>201508</v>
      </c>
      <c r="J1103" s="104">
        <v>2.96</v>
      </c>
      <c r="K1103" s="72">
        <f t="shared" si="89"/>
        <v>42675</v>
      </c>
      <c r="L1103" s="67">
        <f t="shared" si="85"/>
        <v>6</v>
      </c>
      <c r="M1103" s="105">
        <v>1.4833299999999999E-3</v>
      </c>
      <c r="N1103" s="104">
        <f t="shared" si="86"/>
        <v>2.63439408E-2</v>
      </c>
      <c r="O1103" s="66"/>
      <c r="P1103" s="71">
        <f t="shared" si="87"/>
        <v>0</v>
      </c>
      <c r="Q1103" s="132"/>
      <c r="R1103" s="71">
        <f t="shared" si="88"/>
        <v>4.5292316666666659E-2</v>
      </c>
    </row>
    <row r="1104" spans="1:18">
      <c r="A1104" s="106" t="s">
        <v>626</v>
      </c>
      <c r="B1104" s="103" t="s">
        <v>1112</v>
      </c>
      <c r="C1104" s="103" t="s">
        <v>1113</v>
      </c>
      <c r="D1104" s="102" t="s">
        <v>1114</v>
      </c>
      <c r="E1104" s="103" t="s">
        <v>260</v>
      </c>
      <c r="F1104" s="102" t="s">
        <v>1608</v>
      </c>
      <c r="G1104" s="103" t="s">
        <v>20</v>
      </c>
      <c r="H1104" s="108"/>
      <c r="I1104" s="103">
        <v>201508</v>
      </c>
      <c r="J1104" s="104">
        <v>0.57999999999999996</v>
      </c>
      <c r="K1104" s="72">
        <f t="shared" si="89"/>
        <v>42675</v>
      </c>
      <c r="L1104" s="67">
        <f t="shared" si="85"/>
        <v>6</v>
      </c>
      <c r="M1104" s="105">
        <v>1.4833299999999999E-3</v>
      </c>
      <c r="N1104" s="104">
        <f t="shared" si="86"/>
        <v>5.1619883999999994E-3</v>
      </c>
      <c r="O1104" s="66"/>
      <c r="P1104" s="71">
        <f t="shared" si="87"/>
        <v>0</v>
      </c>
      <c r="Q1104" s="132"/>
      <c r="R1104" s="71">
        <f t="shared" si="88"/>
        <v>8.8748458333333322E-3</v>
      </c>
    </row>
    <row r="1105" spans="1:18">
      <c r="A1105" s="106" t="s">
        <v>626</v>
      </c>
      <c r="B1105" s="103" t="s">
        <v>1069</v>
      </c>
      <c r="C1105" s="103" t="s">
        <v>1070</v>
      </c>
      <c r="D1105" s="102" t="s">
        <v>1071</v>
      </c>
      <c r="E1105" s="103" t="s">
        <v>260</v>
      </c>
      <c r="F1105" s="102" t="s">
        <v>1608</v>
      </c>
      <c r="G1105" s="103" t="s">
        <v>20</v>
      </c>
      <c r="H1105" s="108"/>
      <c r="I1105" s="103">
        <v>201508</v>
      </c>
      <c r="J1105" s="104">
        <v>-33.61</v>
      </c>
      <c r="K1105" s="72">
        <f t="shared" si="89"/>
        <v>42675</v>
      </c>
      <c r="L1105" s="67">
        <f t="shared" si="85"/>
        <v>6</v>
      </c>
      <c r="M1105" s="105">
        <v>1.4833299999999999E-3</v>
      </c>
      <c r="N1105" s="104">
        <f t="shared" si="86"/>
        <v>-0.29912832779999998</v>
      </c>
      <c r="O1105" s="66"/>
      <c r="P1105" s="71">
        <f t="shared" si="87"/>
        <v>0</v>
      </c>
      <c r="Q1105" s="132"/>
      <c r="R1105" s="71">
        <f t="shared" si="88"/>
        <v>-0.51428201458333322</v>
      </c>
    </row>
    <row r="1106" spans="1:18">
      <c r="A1106" s="106" t="s">
        <v>21</v>
      </c>
      <c r="B1106" s="103" t="s">
        <v>177</v>
      </c>
      <c r="C1106" s="103" t="s">
        <v>178</v>
      </c>
      <c r="D1106" s="102" t="s">
        <v>179</v>
      </c>
      <c r="E1106" s="103" t="s">
        <v>172</v>
      </c>
      <c r="F1106" s="102" t="s">
        <v>1609</v>
      </c>
      <c r="G1106" s="103" t="s">
        <v>20</v>
      </c>
      <c r="H1106" s="108"/>
      <c r="I1106" s="103">
        <v>201508</v>
      </c>
      <c r="J1106" s="104">
        <v>-14.08</v>
      </c>
      <c r="K1106" s="72">
        <f t="shared" si="89"/>
        <v>42675</v>
      </c>
      <c r="L1106" s="67">
        <f t="shared" si="85"/>
        <v>6</v>
      </c>
      <c r="M1106" s="105">
        <v>1.4833299999999999E-3</v>
      </c>
      <c r="N1106" s="104">
        <f t="shared" si="86"/>
        <v>-0.12531171839999999</v>
      </c>
      <c r="O1106" s="66"/>
      <c r="P1106" s="71">
        <f t="shared" si="87"/>
        <v>0</v>
      </c>
      <c r="Q1106" s="132"/>
      <c r="R1106" s="71">
        <f t="shared" si="88"/>
        <v>-0.21544453333333333</v>
      </c>
    </row>
    <row r="1107" spans="1:18">
      <c r="A1107" s="106" t="s">
        <v>127</v>
      </c>
      <c r="B1107" s="103" t="s">
        <v>388</v>
      </c>
      <c r="C1107" s="103" t="s">
        <v>389</v>
      </c>
      <c r="D1107" s="102" t="s">
        <v>390</v>
      </c>
      <c r="E1107" s="103" t="s">
        <v>131</v>
      </c>
      <c r="F1107" s="102" t="s">
        <v>1607</v>
      </c>
      <c r="G1107" s="103" t="s">
        <v>20</v>
      </c>
      <c r="H1107" s="108"/>
      <c r="I1107" s="103">
        <v>201508</v>
      </c>
      <c r="J1107" s="104">
        <v>-2.21</v>
      </c>
      <c r="K1107" s="72">
        <f t="shared" si="89"/>
        <v>42675</v>
      </c>
      <c r="L1107" s="67">
        <f t="shared" si="85"/>
        <v>6</v>
      </c>
      <c r="M1107" s="105">
        <v>2.3833299999999999E-3</v>
      </c>
      <c r="N1107" s="104">
        <f t="shared" si="86"/>
        <v>-3.1602955799999999E-2</v>
      </c>
      <c r="O1107" s="66"/>
      <c r="P1107" s="71">
        <f t="shared" si="87"/>
        <v>0</v>
      </c>
      <c r="Q1107" s="132"/>
      <c r="R1107" s="71">
        <f t="shared" si="88"/>
        <v>-3.3816222916666666E-2</v>
      </c>
    </row>
    <row r="1108" spans="1:18">
      <c r="A1108" s="106" t="s">
        <v>626</v>
      </c>
      <c r="B1108" s="103" t="s">
        <v>741</v>
      </c>
      <c r="C1108" s="103" t="s">
        <v>742</v>
      </c>
      <c r="D1108" s="102" t="s">
        <v>743</v>
      </c>
      <c r="E1108" s="103" t="s">
        <v>415</v>
      </c>
      <c r="F1108" s="102" t="s">
        <v>88</v>
      </c>
      <c r="G1108" s="103" t="s">
        <v>20</v>
      </c>
      <c r="H1108" s="108"/>
      <c r="I1108" s="103">
        <v>201508</v>
      </c>
      <c r="J1108" s="104">
        <v>-7.79</v>
      </c>
      <c r="K1108" s="72">
        <f t="shared" si="89"/>
        <v>42675</v>
      </c>
      <c r="L1108" s="67">
        <f t="shared" si="85"/>
        <v>6</v>
      </c>
      <c r="M1108" s="105">
        <v>1.4833299999999999E-3</v>
      </c>
      <c r="N1108" s="104">
        <f t="shared" si="86"/>
        <v>-6.9330844200000005E-2</v>
      </c>
      <c r="O1108" s="66"/>
      <c r="P1108" s="71">
        <f t="shared" si="87"/>
        <v>0</v>
      </c>
      <c r="Q1108" s="132"/>
      <c r="R1108" s="71">
        <f t="shared" si="88"/>
        <v>-0.11919836041666665</v>
      </c>
    </row>
    <row r="1109" spans="1:18">
      <c r="A1109" s="106" t="s">
        <v>21</v>
      </c>
      <c r="B1109" s="103" t="s">
        <v>1072</v>
      </c>
      <c r="C1109" s="103" t="s">
        <v>1073</v>
      </c>
      <c r="D1109" s="102" t="s">
        <v>1074</v>
      </c>
      <c r="E1109" s="103" t="s">
        <v>857</v>
      </c>
      <c r="F1109" s="102" t="s">
        <v>88</v>
      </c>
      <c r="G1109" s="103" t="s">
        <v>20</v>
      </c>
      <c r="H1109" s="108"/>
      <c r="I1109" s="103">
        <v>201508</v>
      </c>
      <c r="J1109" s="104">
        <v>-527.54999999999995</v>
      </c>
      <c r="K1109" s="72">
        <f t="shared" si="89"/>
        <v>42675</v>
      </c>
      <c r="L1109" s="67">
        <f t="shared" si="85"/>
        <v>6</v>
      </c>
      <c r="M1109" s="105">
        <v>1.4833299999999999E-3</v>
      </c>
      <c r="N1109" s="104">
        <f t="shared" si="86"/>
        <v>-4.6951844489999992</v>
      </c>
      <c r="O1109" s="66"/>
      <c r="P1109" s="71">
        <f t="shared" si="87"/>
        <v>0</v>
      </c>
      <c r="Q1109" s="132"/>
      <c r="R1109" s="71">
        <f t="shared" si="88"/>
        <v>-8.0722843437499989</v>
      </c>
    </row>
    <row r="1110" spans="1:18">
      <c r="A1110" s="106" t="s">
        <v>29</v>
      </c>
      <c r="B1110" s="103" t="s">
        <v>183</v>
      </c>
      <c r="C1110" s="103" t="s">
        <v>184</v>
      </c>
      <c r="D1110" s="102" t="s">
        <v>45</v>
      </c>
      <c r="E1110" s="103" t="s">
        <v>185</v>
      </c>
      <c r="F1110" s="102" t="s">
        <v>41</v>
      </c>
      <c r="G1110" s="103" t="s">
        <v>20</v>
      </c>
      <c r="H1110" s="108"/>
      <c r="I1110" s="103">
        <v>201508</v>
      </c>
      <c r="J1110" s="104">
        <v>2924.85</v>
      </c>
      <c r="K1110" s="72">
        <f t="shared" si="89"/>
        <v>42675</v>
      </c>
      <c r="L1110" s="67">
        <f t="shared" si="85"/>
        <v>6</v>
      </c>
      <c r="M1110" s="105">
        <v>2.23333E-3</v>
      </c>
      <c r="N1110" s="104">
        <f t="shared" si="86"/>
        <v>39.192931502999997</v>
      </c>
      <c r="O1110" s="66"/>
      <c r="P1110" s="71">
        <f t="shared" si="87"/>
        <v>0</v>
      </c>
      <c r="Q1110" s="132"/>
      <c r="R1110" s="71">
        <f t="shared" si="88"/>
        <v>44.754470406249993</v>
      </c>
    </row>
    <row r="1111" spans="1:18">
      <c r="A1111" s="106" t="s">
        <v>29</v>
      </c>
      <c r="B1111" s="103" t="s">
        <v>186</v>
      </c>
      <c r="C1111" s="103" t="s">
        <v>187</v>
      </c>
      <c r="D1111" s="102" t="s">
        <v>188</v>
      </c>
      <c r="E1111" s="103" t="s">
        <v>189</v>
      </c>
      <c r="F1111" s="102" t="s">
        <v>190</v>
      </c>
      <c r="G1111" s="103" t="s">
        <v>20</v>
      </c>
      <c r="H1111" s="108"/>
      <c r="I1111" s="103">
        <v>201508</v>
      </c>
      <c r="J1111" s="104">
        <v>14362.83</v>
      </c>
      <c r="K1111" s="72">
        <f t="shared" si="89"/>
        <v>42675</v>
      </c>
      <c r="L1111" s="67">
        <f t="shared" si="85"/>
        <v>6</v>
      </c>
      <c r="M1111" s="105">
        <v>2.23333E-3</v>
      </c>
      <c r="N1111" s="104">
        <f t="shared" si="86"/>
        <v>192.46163474339997</v>
      </c>
      <c r="O1111" s="66"/>
      <c r="P1111" s="71">
        <f t="shared" si="87"/>
        <v>0</v>
      </c>
      <c r="Q1111" s="132"/>
      <c r="R1111" s="71">
        <f t="shared" si="88"/>
        <v>219.77224479374999</v>
      </c>
    </row>
    <row r="1112" spans="1:18">
      <c r="A1112" s="106" t="s">
        <v>29</v>
      </c>
      <c r="B1112" s="103" t="s">
        <v>191</v>
      </c>
      <c r="C1112" s="103" t="s">
        <v>192</v>
      </c>
      <c r="D1112" s="102" t="s">
        <v>193</v>
      </c>
      <c r="E1112" s="103" t="s">
        <v>194</v>
      </c>
      <c r="F1112" s="102" t="s">
        <v>115</v>
      </c>
      <c r="G1112" s="103" t="s">
        <v>20</v>
      </c>
      <c r="H1112" s="108"/>
      <c r="I1112" s="103">
        <v>201508</v>
      </c>
      <c r="J1112" s="104">
        <v>16122.06</v>
      </c>
      <c r="K1112" s="72">
        <f t="shared" si="89"/>
        <v>42675</v>
      </c>
      <c r="L1112" s="67">
        <f t="shared" si="85"/>
        <v>6</v>
      </c>
      <c r="M1112" s="105">
        <v>2.23333E-3</v>
      </c>
      <c r="N1112" s="104">
        <f t="shared" si="86"/>
        <v>216.03528155879997</v>
      </c>
      <c r="O1112" s="66"/>
      <c r="P1112" s="71">
        <f t="shared" si="87"/>
        <v>0</v>
      </c>
      <c r="Q1112" s="132"/>
      <c r="R1112" s="71">
        <f t="shared" si="88"/>
        <v>246.69102933749997</v>
      </c>
    </row>
    <row r="1113" spans="1:18">
      <c r="A1113" s="106" t="s">
        <v>29</v>
      </c>
      <c r="B1113" s="103" t="s">
        <v>195</v>
      </c>
      <c r="C1113" s="103" t="s">
        <v>196</v>
      </c>
      <c r="D1113" s="102" t="s">
        <v>197</v>
      </c>
      <c r="E1113" s="103" t="s">
        <v>198</v>
      </c>
      <c r="F1113" s="102" t="s">
        <v>1610</v>
      </c>
      <c r="G1113" s="103" t="s">
        <v>20</v>
      </c>
      <c r="H1113" s="108"/>
      <c r="I1113" s="103">
        <v>201508</v>
      </c>
      <c r="J1113" s="104">
        <v>145620.98000000001</v>
      </c>
      <c r="K1113" s="72">
        <f t="shared" si="89"/>
        <v>42675</v>
      </c>
      <c r="L1113" s="67">
        <f t="shared" si="85"/>
        <v>6</v>
      </c>
      <c r="M1113" s="105">
        <v>2.23333E-3</v>
      </c>
      <c r="N1113" s="104">
        <f t="shared" si="86"/>
        <v>1951.3182195804</v>
      </c>
      <c r="O1113" s="66"/>
      <c r="P1113" s="71">
        <f t="shared" si="87"/>
        <v>0</v>
      </c>
      <c r="Q1113" s="132"/>
      <c r="R1113" s="71">
        <f t="shared" si="88"/>
        <v>2228.2133579291667</v>
      </c>
    </row>
    <row r="1114" spans="1:18">
      <c r="A1114" s="106" t="s">
        <v>29</v>
      </c>
      <c r="B1114" s="103" t="s">
        <v>200</v>
      </c>
      <c r="C1114" s="103" t="s">
        <v>201</v>
      </c>
      <c r="D1114" s="102" t="s">
        <v>197</v>
      </c>
      <c r="E1114" s="103" t="s">
        <v>202</v>
      </c>
      <c r="F1114" s="102" t="s">
        <v>1611</v>
      </c>
      <c r="G1114" s="103" t="s">
        <v>20</v>
      </c>
      <c r="H1114" s="108"/>
      <c r="I1114" s="103">
        <v>201508</v>
      </c>
      <c r="J1114" s="104">
        <v>14873.7</v>
      </c>
      <c r="K1114" s="72">
        <f t="shared" si="89"/>
        <v>42675</v>
      </c>
      <c r="L1114" s="67">
        <f t="shared" si="85"/>
        <v>6</v>
      </c>
      <c r="M1114" s="105">
        <v>2.23333E-3</v>
      </c>
      <c r="N1114" s="104">
        <f t="shared" si="86"/>
        <v>199.30728252599999</v>
      </c>
      <c r="O1114" s="66"/>
      <c r="P1114" s="71">
        <f t="shared" si="87"/>
        <v>0</v>
      </c>
      <c r="Q1114" s="132"/>
      <c r="R1114" s="71">
        <f t="shared" si="88"/>
        <v>227.5893008125</v>
      </c>
    </row>
    <row r="1115" spans="1:18">
      <c r="A1115" s="106" t="s">
        <v>21</v>
      </c>
      <c r="B1115" s="103" t="s">
        <v>449</v>
      </c>
      <c r="C1115" s="103" t="s">
        <v>450</v>
      </c>
      <c r="D1115" s="102" t="s">
        <v>451</v>
      </c>
      <c r="E1115" s="103" t="s">
        <v>452</v>
      </c>
      <c r="F1115" s="102" t="s">
        <v>398</v>
      </c>
      <c r="G1115" s="103" t="s">
        <v>20</v>
      </c>
      <c r="H1115" s="108"/>
      <c r="I1115" s="103">
        <v>201508</v>
      </c>
      <c r="J1115" s="104">
        <v>-29.36</v>
      </c>
      <c r="K1115" s="72">
        <f t="shared" si="89"/>
        <v>42675</v>
      </c>
      <c r="L1115" s="67">
        <f t="shared" si="85"/>
        <v>6</v>
      </c>
      <c r="M1115" s="105">
        <v>1.4833299999999999E-3</v>
      </c>
      <c r="N1115" s="104">
        <f t="shared" si="86"/>
        <v>-0.26130341280000002</v>
      </c>
      <c r="O1115" s="66"/>
      <c r="P1115" s="71">
        <f t="shared" si="87"/>
        <v>0</v>
      </c>
      <c r="Q1115" s="132"/>
      <c r="R1115" s="71">
        <f t="shared" si="88"/>
        <v>-0.44925081666666661</v>
      </c>
    </row>
    <row r="1116" spans="1:18">
      <c r="A1116" s="106" t="s">
        <v>626</v>
      </c>
      <c r="B1116" s="103" t="s">
        <v>700</v>
      </c>
      <c r="C1116" s="103" t="s">
        <v>701</v>
      </c>
      <c r="D1116" s="102" t="s">
        <v>702</v>
      </c>
      <c r="E1116" s="103" t="s">
        <v>25</v>
      </c>
      <c r="F1116" s="102" t="s">
        <v>26</v>
      </c>
      <c r="G1116" s="103" t="s">
        <v>20</v>
      </c>
      <c r="H1116" s="108"/>
      <c r="I1116" s="103">
        <v>201508</v>
      </c>
      <c r="J1116" s="104">
        <v>-0.39</v>
      </c>
      <c r="K1116" s="72">
        <f t="shared" si="89"/>
        <v>42675</v>
      </c>
      <c r="L1116" s="67">
        <f t="shared" si="85"/>
        <v>6</v>
      </c>
      <c r="M1116" s="105">
        <v>1.4833299999999999E-3</v>
      </c>
      <c r="N1116" s="104">
        <f t="shared" si="86"/>
        <v>-3.4709922000000001E-3</v>
      </c>
      <c r="O1116" s="66"/>
      <c r="P1116" s="71">
        <f t="shared" si="87"/>
        <v>0</v>
      </c>
      <c r="Q1116" s="132"/>
      <c r="R1116" s="71">
        <f t="shared" si="88"/>
        <v>-5.9675687499999991E-3</v>
      </c>
    </row>
    <row r="1117" spans="1:18">
      <c r="A1117" s="106" t="s">
        <v>626</v>
      </c>
      <c r="B1117" s="103" t="s">
        <v>750</v>
      </c>
      <c r="C1117" s="103" t="s">
        <v>751</v>
      </c>
      <c r="D1117" s="102" t="s">
        <v>752</v>
      </c>
      <c r="E1117" s="103" t="s">
        <v>164</v>
      </c>
      <c r="F1117" s="102" t="s">
        <v>1600</v>
      </c>
      <c r="G1117" s="103" t="s">
        <v>20</v>
      </c>
      <c r="H1117" s="108"/>
      <c r="I1117" s="103">
        <v>201508</v>
      </c>
      <c r="J1117" s="104">
        <v>28.74</v>
      </c>
      <c r="K1117" s="72">
        <f t="shared" si="89"/>
        <v>42675</v>
      </c>
      <c r="L1117" s="67">
        <f t="shared" si="85"/>
        <v>6</v>
      </c>
      <c r="M1117" s="105">
        <v>1.4833299999999999E-3</v>
      </c>
      <c r="N1117" s="104">
        <f t="shared" si="86"/>
        <v>0.25578542519999997</v>
      </c>
      <c r="O1117" s="66"/>
      <c r="P1117" s="71">
        <f t="shared" si="87"/>
        <v>0</v>
      </c>
      <c r="Q1117" s="132"/>
      <c r="R1117" s="71">
        <f t="shared" si="88"/>
        <v>0.43976391249999991</v>
      </c>
    </row>
    <row r="1118" spans="1:18">
      <c r="A1118" s="106" t="s">
        <v>626</v>
      </c>
      <c r="B1118" s="103" t="s">
        <v>465</v>
      </c>
      <c r="C1118" s="103" t="s">
        <v>466</v>
      </c>
      <c r="D1118" s="102" t="s">
        <v>467</v>
      </c>
      <c r="E1118" s="103" t="s">
        <v>75</v>
      </c>
      <c r="F1118" s="102" t="s">
        <v>1602</v>
      </c>
      <c r="G1118" s="103" t="s">
        <v>20</v>
      </c>
      <c r="H1118" s="108"/>
      <c r="I1118" s="103">
        <v>201508</v>
      </c>
      <c r="J1118" s="104">
        <v>-6.91</v>
      </c>
      <c r="K1118" s="72">
        <f t="shared" si="89"/>
        <v>42675</v>
      </c>
      <c r="L1118" s="67">
        <f t="shared" si="85"/>
        <v>6</v>
      </c>
      <c r="M1118" s="105">
        <v>1.4833299999999999E-3</v>
      </c>
      <c r="N1118" s="104">
        <f t="shared" si="86"/>
        <v>-6.1498861799999999E-2</v>
      </c>
      <c r="O1118" s="66"/>
      <c r="P1118" s="71">
        <f t="shared" si="87"/>
        <v>0</v>
      </c>
      <c r="Q1118" s="132"/>
      <c r="R1118" s="71">
        <f t="shared" si="88"/>
        <v>-0.10573307708333332</v>
      </c>
    </row>
    <row r="1119" spans="1:18">
      <c r="A1119" s="106" t="s">
        <v>21</v>
      </c>
      <c r="B1119" s="103" t="s">
        <v>230</v>
      </c>
      <c r="C1119" s="103" t="s">
        <v>231</v>
      </c>
      <c r="D1119" s="102" t="s">
        <v>232</v>
      </c>
      <c r="E1119" s="103" t="s">
        <v>164</v>
      </c>
      <c r="F1119" s="102" t="s">
        <v>1600</v>
      </c>
      <c r="G1119" s="103" t="s">
        <v>20</v>
      </c>
      <c r="H1119" s="108"/>
      <c r="I1119" s="103">
        <v>201508</v>
      </c>
      <c r="J1119" s="104">
        <v>-2.36</v>
      </c>
      <c r="K1119" s="72">
        <f t="shared" si="89"/>
        <v>42675</v>
      </c>
      <c r="L1119" s="67">
        <f t="shared" si="85"/>
        <v>6</v>
      </c>
      <c r="M1119" s="105">
        <v>1.4833299999999999E-3</v>
      </c>
      <c r="N1119" s="104">
        <f t="shared" si="86"/>
        <v>-2.10039528E-2</v>
      </c>
      <c r="O1119" s="66"/>
      <c r="P1119" s="71">
        <f t="shared" si="87"/>
        <v>0</v>
      </c>
      <c r="Q1119" s="132"/>
      <c r="R1119" s="71">
        <f t="shared" si="88"/>
        <v>-3.611144166666666E-2</v>
      </c>
    </row>
    <row r="1120" spans="1:18">
      <c r="A1120" s="106" t="s">
        <v>29</v>
      </c>
      <c r="B1120" s="103" t="s">
        <v>481</v>
      </c>
      <c r="C1120" s="103" t="s">
        <v>482</v>
      </c>
      <c r="D1120" s="102" t="s">
        <v>483</v>
      </c>
      <c r="E1120" s="103" t="s">
        <v>484</v>
      </c>
      <c r="F1120" s="102" t="s">
        <v>190</v>
      </c>
      <c r="G1120" s="103" t="s">
        <v>20</v>
      </c>
      <c r="H1120" s="108"/>
      <c r="I1120" s="103">
        <v>201508</v>
      </c>
      <c r="J1120" s="104">
        <v>-8.76</v>
      </c>
      <c r="K1120" s="72">
        <f t="shared" si="89"/>
        <v>42675</v>
      </c>
      <c r="L1120" s="67">
        <f t="shared" si="85"/>
        <v>6</v>
      </c>
      <c r="M1120" s="105">
        <v>2.23333E-3</v>
      </c>
      <c r="N1120" s="104">
        <f t="shared" si="86"/>
        <v>-0.11738382479999998</v>
      </c>
      <c r="O1120" s="66"/>
      <c r="P1120" s="71">
        <f t="shared" si="87"/>
        <v>0</v>
      </c>
      <c r="Q1120" s="132"/>
      <c r="R1120" s="71">
        <f t="shared" si="88"/>
        <v>-0.13404077499999997</v>
      </c>
    </row>
    <row r="1121" spans="1:18">
      <c r="A1121" s="106" t="s">
        <v>990</v>
      </c>
      <c r="B1121" s="103" t="s">
        <v>1010</v>
      </c>
      <c r="C1121" s="103" t="s">
        <v>1011</v>
      </c>
      <c r="D1121" s="102" t="s">
        <v>1012</v>
      </c>
      <c r="E1121" s="103" t="s">
        <v>1013</v>
      </c>
      <c r="F1121" s="102" t="s">
        <v>995</v>
      </c>
      <c r="G1121" s="103" t="s">
        <v>20</v>
      </c>
      <c r="H1121" s="108"/>
      <c r="I1121" s="103">
        <v>201508</v>
      </c>
      <c r="J1121" s="104">
        <v>7455.91</v>
      </c>
      <c r="K1121" s="72">
        <f t="shared" si="89"/>
        <v>42675</v>
      </c>
      <c r="L1121" s="67">
        <f t="shared" si="85"/>
        <v>6</v>
      </c>
      <c r="M1121" s="105">
        <v>2.0333333000000001E-3</v>
      </c>
      <c r="N1121" s="104">
        <f t="shared" si="86"/>
        <v>90.962100508817997</v>
      </c>
      <c r="O1121" s="66"/>
      <c r="P1121" s="71">
        <f t="shared" si="87"/>
        <v>0</v>
      </c>
      <c r="Q1121" s="132"/>
      <c r="R1121" s="71">
        <f t="shared" si="88"/>
        <v>114.08629620208332</v>
      </c>
    </row>
    <row r="1122" spans="1:18">
      <c r="A1122" s="106" t="s">
        <v>29</v>
      </c>
      <c r="B1122" s="103" t="s">
        <v>236</v>
      </c>
      <c r="C1122" s="103" t="s">
        <v>237</v>
      </c>
      <c r="D1122" s="102" t="s">
        <v>188</v>
      </c>
      <c r="E1122" s="103" t="s">
        <v>238</v>
      </c>
      <c r="F1122" s="102" t="s">
        <v>190</v>
      </c>
      <c r="G1122" s="103" t="s">
        <v>20</v>
      </c>
      <c r="H1122" s="108"/>
      <c r="I1122" s="103">
        <v>201508</v>
      </c>
      <c r="J1122" s="104">
        <v>135606.24</v>
      </c>
      <c r="K1122" s="72">
        <f t="shared" si="89"/>
        <v>42675</v>
      </c>
      <c r="L1122" s="67">
        <f t="shared" si="85"/>
        <v>6</v>
      </c>
      <c r="M1122" s="105">
        <v>2.23333E-3</v>
      </c>
      <c r="N1122" s="104">
        <f t="shared" si="86"/>
        <v>1817.1209038751997</v>
      </c>
      <c r="O1122" s="66"/>
      <c r="P1122" s="71">
        <f t="shared" si="87"/>
        <v>0</v>
      </c>
      <c r="Q1122" s="132"/>
      <c r="R1122" s="71">
        <f t="shared" si="88"/>
        <v>2074.9732310999993</v>
      </c>
    </row>
    <row r="1123" spans="1:18">
      <c r="A1123" s="106" t="s">
        <v>29</v>
      </c>
      <c r="B1123" s="103" t="s">
        <v>239</v>
      </c>
      <c r="C1123" s="103" t="s">
        <v>240</v>
      </c>
      <c r="D1123" s="102" t="s">
        <v>197</v>
      </c>
      <c r="E1123" s="103" t="s">
        <v>241</v>
      </c>
      <c r="F1123" s="102" t="s">
        <v>199</v>
      </c>
      <c r="G1123" s="103" t="s">
        <v>20</v>
      </c>
      <c r="H1123" s="108"/>
      <c r="I1123" s="103">
        <v>201508</v>
      </c>
      <c r="J1123" s="104">
        <v>15827.45</v>
      </c>
      <c r="K1123" s="72">
        <f t="shared" si="89"/>
        <v>42675</v>
      </c>
      <c r="L1123" s="67">
        <f t="shared" si="85"/>
        <v>6</v>
      </c>
      <c r="M1123" s="105">
        <v>2.23333E-3</v>
      </c>
      <c r="N1123" s="104">
        <f t="shared" si="86"/>
        <v>212.08751345099998</v>
      </c>
      <c r="O1123" s="66"/>
      <c r="P1123" s="71">
        <f t="shared" si="87"/>
        <v>0</v>
      </c>
      <c r="Q1123" s="132"/>
      <c r="R1123" s="71">
        <f t="shared" si="88"/>
        <v>242.18306669791662</v>
      </c>
    </row>
    <row r="1124" spans="1:18">
      <c r="A1124" s="102" t="s">
        <v>21</v>
      </c>
      <c r="B1124" s="103" t="s">
        <v>797</v>
      </c>
      <c r="C1124" s="103" t="s">
        <v>798</v>
      </c>
      <c r="D1124" s="102" t="s">
        <v>799</v>
      </c>
      <c r="E1124" s="103" t="s">
        <v>172</v>
      </c>
      <c r="F1124" s="102" t="s">
        <v>1609</v>
      </c>
      <c r="G1124" s="103" t="s">
        <v>20</v>
      </c>
      <c r="H1124" s="108"/>
      <c r="I1124" s="103">
        <v>201508</v>
      </c>
      <c r="J1124" s="104">
        <v>-2.82</v>
      </c>
      <c r="K1124" s="72">
        <f t="shared" si="89"/>
        <v>42675</v>
      </c>
      <c r="L1124" s="67">
        <f t="shared" si="85"/>
        <v>6</v>
      </c>
      <c r="M1124" s="105">
        <v>1.4833299999999999E-3</v>
      </c>
      <c r="N1124" s="104">
        <f t="shared" si="86"/>
        <v>-2.5097943599999999E-2</v>
      </c>
      <c r="O1124" s="66"/>
      <c r="P1124" s="71">
        <f t="shared" si="87"/>
        <v>0</v>
      </c>
      <c r="Q1124" s="132"/>
      <c r="R1124" s="71">
        <f t="shared" si="88"/>
        <v>-4.315011249999999E-2</v>
      </c>
    </row>
    <row r="1125" spans="1:18">
      <c r="A1125" s="102" t="s">
        <v>626</v>
      </c>
      <c r="B1125" s="103" t="s">
        <v>1076</v>
      </c>
      <c r="C1125" s="103" t="s">
        <v>1077</v>
      </c>
      <c r="D1125" s="102" t="s">
        <v>1078</v>
      </c>
      <c r="E1125" s="103" t="s">
        <v>75</v>
      </c>
      <c r="F1125" s="102" t="s">
        <v>1602</v>
      </c>
      <c r="G1125" s="103" t="s">
        <v>20</v>
      </c>
      <c r="H1125" s="108"/>
      <c r="I1125" s="103">
        <v>201508</v>
      </c>
      <c r="J1125" s="104">
        <v>-14.21</v>
      </c>
      <c r="K1125" s="72">
        <f t="shared" si="89"/>
        <v>42675</v>
      </c>
      <c r="L1125" s="67">
        <f t="shared" si="85"/>
        <v>6</v>
      </c>
      <c r="M1125" s="105">
        <v>1.4833299999999999E-3</v>
      </c>
      <c r="N1125" s="104">
        <f t="shared" si="86"/>
        <v>-0.12646871580000002</v>
      </c>
      <c r="O1125" s="66"/>
      <c r="P1125" s="71">
        <f t="shared" si="87"/>
        <v>0</v>
      </c>
      <c r="Q1125" s="132"/>
      <c r="R1125" s="71">
        <f t="shared" si="88"/>
        <v>-0.21743372291666666</v>
      </c>
    </row>
    <row r="1126" spans="1:18">
      <c r="A1126" s="102" t="s">
        <v>21</v>
      </c>
      <c r="B1126" s="103" t="s">
        <v>261</v>
      </c>
      <c r="C1126" s="103" t="s">
        <v>262</v>
      </c>
      <c r="D1126" s="102" t="s">
        <v>263</v>
      </c>
      <c r="E1126" s="103" t="s">
        <v>75</v>
      </c>
      <c r="F1126" s="102" t="s">
        <v>1602</v>
      </c>
      <c r="G1126" s="103" t="s">
        <v>20</v>
      </c>
      <c r="H1126" s="108"/>
      <c r="I1126" s="103">
        <v>201508</v>
      </c>
      <c r="J1126" s="104">
        <v>-103.21</v>
      </c>
      <c r="K1126" s="72">
        <f t="shared" si="89"/>
        <v>42675</v>
      </c>
      <c r="L1126" s="67">
        <f t="shared" si="85"/>
        <v>6</v>
      </c>
      <c r="M1126" s="105">
        <v>1.4833299999999999E-3</v>
      </c>
      <c r="N1126" s="104">
        <f t="shared" si="86"/>
        <v>-0.91856693579999993</v>
      </c>
      <c r="O1126" s="66"/>
      <c r="P1126" s="71">
        <f t="shared" si="87"/>
        <v>0</v>
      </c>
      <c r="Q1126" s="132"/>
      <c r="R1126" s="71">
        <f t="shared" si="88"/>
        <v>-1.5792635145833331</v>
      </c>
    </row>
    <row r="1127" spans="1:18">
      <c r="A1127" s="102" t="s">
        <v>127</v>
      </c>
      <c r="B1127" s="103" t="s">
        <v>1032</v>
      </c>
      <c r="C1127" s="103" t="s">
        <v>1033</v>
      </c>
      <c r="D1127" s="102" t="s">
        <v>1034</v>
      </c>
      <c r="E1127" s="103" t="s">
        <v>209</v>
      </c>
      <c r="F1127" s="102" t="s">
        <v>1612</v>
      </c>
      <c r="G1127" s="103" t="s">
        <v>20</v>
      </c>
      <c r="H1127" s="108"/>
      <c r="I1127" s="103">
        <v>201508</v>
      </c>
      <c r="J1127" s="104">
        <v>-186.12</v>
      </c>
      <c r="K1127" s="72">
        <f t="shared" si="89"/>
        <v>42675</v>
      </c>
      <c r="L1127" s="67">
        <f t="shared" si="85"/>
        <v>6</v>
      </c>
      <c r="M1127" s="105">
        <v>2.3833299999999999E-3</v>
      </c>
      <c r="N1127" s="104">
        <f t="shared" si="86"/>
        <v>-2.6615122776</v>
      </c>
      <c r="O1127" s="66"/>
      <c r="P1127" s="71">
        <f t="shared" si="87"/>
        <v>0</v>
      </c>
      <c r="Q1127" s="132"/>
      <c r="R1127" s="71">
        <f t="shared" si="88"/>
        <v>-2.8479074249999998</v>
      </c>
    </row>
    <row r="1128" spans="1:18">
      <c r="A1128" s="106" t="s">
        <v>21</v>
      </c>
      <c r="B1128" s="103" t="s">
        <v>264</v>
      </c>
      <c r="C1128" s="103" t="s">
        <v>265</v>
      </c>
      <c r="D1128" s="102" t="s">
        <v>266</v>
      </c>
      <c r="E1128" s="103" t="s">
        <v>172</v>
      </c>
      <c r="F1128" s="102" t="s">
        <v>1609</v>
      </c>
      <c r="G1128" s="103" t="s">
        <v>20</v>
      </c>
      <c r="H1128" s="108"/>
      <c r="I1128" s="103">
        <v>201508</v>
      </c>
      <c r="J1128" s="104">
        <v>-7.02</v>
      </c>
      <c r="K1128" s="72">
        <f t="shared" si="89"/>
        <v>42675</v>
      </c>
      <c r="L1128" s="67">
        <f t="shared" si="85"/>
        <v>6</v>
      </c>
      <c r="M1128" s="105">
        <v>1.4833299999999999E-3</v>
      </c>
      <c r="N1128" s="104">
        <f t="shared" si="86"/>
        <v>-6.2477859599999998E-2</v>
      </c>
      <c r="O1128" s="66"/>
      <c r="P1128" s="71">
        <f t="shared" si="87"/>
        <v>0</v>
      </c>
      <c r="Q1128" s="132"/>
      <c r="R1128" s="71">
        <f t="shared" si="88"/>
        <v>-0.10741623749999998</v>
      </c>
    </row>
    <row r="1129" spans="1:18">
      <c r="A1129" s="106" t="s">
        <v>626</v>
      </c>
      <c r="B1129" s="103" t="s">
        <v>630</v>
      </c>
      <c r="C1129" s="103" t="s">
        <v>631</v>
      </c>
      <c r="D1129" s="102" t="s">
        <v>632</v>
      </c>
      <c r="E1129" s="103" t="s">
        <v>613</v>
      </c>
      <c r="F1129" s="102" t="s">
        <v>398</v>
      </c>
      <c r="G1129" s="103" t="s">
        <v>20</v>
      </c>
      <c r="H1129" s="108"/>
      <c r="I1129" s="103">
        <v>201508</v>
      </c>
      <c r="J1129" s="104">
        <v>-5.35</v>
      </c>
      <c r="K1129" s="72">
        <f t="shared" si="89"/>
        <v>42675</v>
      </c>
      <c r="L1129" s="67">
        <f t="shared" si="85"/>
        <v>6</v>
      </c>
      <c r="M1129" s="105">
        <v>1.4833299999999999E-3</v>
      </c>
      <c r="N1129" s="104">
        <f t="shared" si="86"/>
        <v>-4.7614892999999998E-2</v>
      </c>
      <c r="O1129" s="66"/>
      <c r="P1129" s="71">
        <f t="shared" si="87"/>
        <v>0</v>
      </c>
      <c r="Q1129" s="132"/>
      <c r="R1129" s="71">
        <f t="shared" si="88"/>
        <v>-8.1862802083333325E-2</v>
      </c>
    </row>
    <row r="1130" spans="1:18">
      <c r="A1130" s="106" t="s">
        <v>21</v>
      </c>
      <c r="B1130" s="103" t="s">
        <v>938</v>
      </c>
      <c r="C1130" s="103" t="s">
        <v>939</v>
      </c>
      <c r="D1130" s="102" t="s">
        <v>940</v>
      </c>
      <c r="E1130" s="103" t="s">
        <v>209</v>
      </c>
      <c r="F1130" s="102" t="s">
        <v>1612</v>
      </c>
      <c r="G1130" s="103" t="s">
        <v>20</v>
      </c>
      <c r="H1130" s="108"/>
      <c r="I1130" s="103">
        <v>201508</v>
      </c>
      <c r="J1130" s="104">
        <v>-0.2</v>
      </c>
      <c r="K1130" s="72">
        <f t="shared" si="89"/>
        <v>42675</v>
      </c>
      <c r="L1130" s="67">
        <f t="shared" si="85"/>
        <v>6</v>
      </c>
      <c r="M1130" s="105">
        <v>1.4833299999999999E-3</v>
      </c>
      <c r="N1130" s="104">
        <f t="shared" si="86"/>
        <v>-1.7799960000000001E-3</v>
      </c>
      <c r="O1130" s="66"/>
      <c r="P1130" s="71">
        <f t="shared" si="87"/>
        <v>0</v>
      </c>
      <c r="Q1130" s="132"/>
      <c r="R1130" s="71">
        <f t="shared" si="88"/>
        <v>-3.0602916666666665E-3</v>
      </c>
    </row>
    <row r="1131" spans="1:18">
      <c r="A1131" s="106" t="s">
        <v>626</v>
      </c>
      <c r="B1131" s="103" t="s">
        <v>938</v>
      </c>
      <c r="C1131" s="103" t="s">
        <v>939</v>
      </c>
      <c r="D1131" s="102" t="s">
        <v>940</v>
      </c>
      <c r="E1131" s="103" t="s">
        <v>209</v>
      </c>
      <c r="F1131" s="102" t="s">
        <v>1612</v>
      </c>
      <c r="G1131" s="103" t="s">
        <v>20</v>
      </c>
      <c r="H1131" s="108"/>
      <c r="I1131" s="103">
        <v>201508</v>
      </c>
      <c r="J1131" s="104">
        <v>-15.57</v>
      </c>
      <c r="K1131" s="72">
        <f t="shared" si="89"/>
        <v>42675</v>
      </c>
      <c r="L1131" s="67">
        <f t="shared" si="85"/>
        <v>6</v>
      </c>
      <c r="M1131" s="105">
        <v>1.4833299999999999E-3</v>
      </c>
      <c r="N1131" s="104">
        <f t="shared" si="86"/>
        <v>-0.13857268859999999</v>
      </c>
      <c r="O1131" s="66"/>
      <c r="P1131" s="71">
        <f t="shared" si="87"/>
        <v>0</v>
      </c>
      <c r="Q1131" s="132"/>
      <c r="R1131" s="71">
        <f t="shared" si="88"/>
        <v>-0.23824370624999996</v>
      </c>
    </row>
    <row r="1132" spans="1:18">
      <c r="A1132" s="106" t="s">
        <v>29</v>
      </c>
      <c r="B1132" s="103" t="s">
        <v>706</v>
      </c>
      <c r="C1132" s="103" t="s">
        <v>707</v>
      </c>
      <c r="D1132" s="102" t="s">
        <v>708</v>
      </c>
      <c r="E1132" s="103" t="s">
        <v>709</v>
      </c>
      <c r="F1132" s="102" t="s">
        <v>710</v>
      </c>
      <c r="G1132" s="103" t="s">
        <v>20</v>
      </c>
      <c r="H1132" s="108"/>
      <c r="I1132" s="103">
        <v>201508</v>
      </c>
      <c r="J1132" s="104">
        <v>4297.72</v>
      </c>
      <c r="K1132" s="72">
        <f t="shared" si="89"/>
        <v>42675</v>
      </c>
      <c r="L1132" s="67">
        <f t="shared" si="85"/>
        <v>6</v>
      </c>
      <c r="M1132" s="105">
        <v>2.23333E-3</v>
      </c>
      <c r="N1132" s="104">
        <f t="shared" si="86"/>
        <v>57.589362045599998</v>
      </c>
      <c r="O1132" s="66"/>
      <c r="P1132" s="71">
        <f t="shared" si="87"/>
        <v>0</v>
      </c>
      <c r="Q1132" s="132"/>
      <c r="R1132" s="71">
        <f t="shared" si="88"/>
        <v>65.761383508333338</v>
      </c>
    </row>
    <row r="1133" spans="1:18">
      <c r="A1133" s="106" t="s">
        <v>29</v>
      </c>
      <c r="B1133" s="103" t="s">
        <v>633</v>
      </c>
      <c r="C1133" s="103" t="s">
        <v>634</v>
      </c>
      <c r="D1133" s="102" t="s">
        <v>193</v>
      </c>
      <c r="E1133" s="103" t="s">
        <v>635</v>
      </c>
      <c r="F1133" s="102" t="s">
        <v>115</v>
      </c>
      <c r="G1133" s="103" t="s">
        <v>20</v>
      </c>
      <c r="H1133" s="108"/>
      <c r="I1133" s="103">
        <v>201508</v>
      </c>
      <c r="J1133" s="104">
        <v>-6.33</v>
      </c>
      <c r="K1133" s="72">
        <f t="shared" si="89"/>
        <v>42675</v>
      </c>
      <c r="L1133" s="67">
        <f t="shared" si="85"/>
        <v>6</v>
      </c>
      <c r="M1133" s="105">
        <v>2.23333E-3</v>
      </c>
      <c r="N1133" s="104">
        <f t="shared" si="86"/>
        <v>-8.4821873399999997E-2</v>
      </c>
      <c r="O1133" s="66"/>
      <c r="P1133" s="71">
        <f t="shared" si="87"/>
        <v>0</v>
      </c>
      <c r="Q1133" s="132"/>
      <c r="R1133" s="71">
        <f t="shared" si="88"/>
        <v>-9.6858231249999996E-2</v>
      </c>
    </row>
    <row r="1134" spans="1:18">
      <c r="A1134" s="106" t="s">
        <v>29</v>
      </c>
      <c r="B1134" s="103" t="s">
        <v>267</v>
      </c>
      <c r="C1134" s="103" t="s">
        <v>268</v>
      </c>
      <c r="D1134" s="102" t="s">
        <v>269</v>
      </c>
      <c r="E1134" s="103" t="s">
        <v>270</v>
      </c>
      <c r="F1134" s="102" t="s">
        <v>115</v>
      </c>
      <c r="G1134" s="103" t="s">
        <v>20</v>
      </c>
      <c r="H1134" s="108"/>
      <c r="I1134" s="103">
        <v>201508</v>
      </c>
      <c r="J1134" s="104">
        <v>-989.93</v>
      </c>
      <c r="K1134" s="72">
        <f t="shared" si="89"/>
        <v>42675</v>
      </c>
      <c r="L1134" s="67">
        <f t="shared" si="85"/>
        <v>6</v>
      </c>
      <c r="M1134" s="105">
        <v>2.23333E-3</v>
      </c>
      <c r="N1134" s="104">
        <f t="shared" si="86"/>
        <v>-13.265042201399998</v>
      </c>
      <c r="O1134" s="66"/>
      <c r="P1134" s="71">
        <f t="shared" si="87"/>
        <v>0</v>
      </c>
      <c r="Q1134" s="132"/>
      <c r="R1134" s="71">
        <f t="shared" si="88"/>
        <v>-15.147372647916665</v>
      </c>
    </row>
    <row r="1135" spans="1:18">
      <c r="A1135" s="106" t="s">
        <v>29</v>
      </c>
      <c r="B1135" s="103" t="s">
        <v>271</v>
      </c>
      <c r="C1135" s="103" t="s">
        <v>272</v>
      </c>
      <c r="D1135" s="102" t="s">
        <v>197</v>
      </c>
      <c r="E1135" s="103" t="s">
        <v>273</v>
      </c>
      <c r="F1135" s="102" t="s">
        <v>199</v>
      </c>
      <c r="G1135" s="103" t="s">
        <v>20</v>
      </c>
      <c r="H1135" s="108"/>
      <c r="I1135" s="103">
        <v>201508</v>
      </c>
      <c r="J1135" s="104">
        <v>13683.53</v>
      </c>
      <c r="K1135" s="72">
        <f t="shared" si="89"/>
        <v>42675</v>
      </c>
      <c r="L1135" s="67">
        <f t="shared" si="85"/>
        <v>6</v>
      </c>
      <c r="M1135" s="105">
        <v>2.23333E-3</v>
      </c>
      <c r="N1135" s="104">
        <f t="shared" si="86"/>
        <v>183.35902832939999</v>
      </c>
      <c r="O1135" s="66"/>
      <c r="P1135" s="71">
        <f t="shared" si="87"/>
        <v>0</v>
      </c>
      <c r="Q1135" s="132"/>
      <c r="R1135" s="71">
        <f t="shared" si="88"/>
        <v>209.37796414791666</v>
      </c>
    </row>
    <row r="1136" spans="1:18">
      <c r="A1136" s="106" t="s">
        <v>21</v>
      </c>
      <c r="B1136" s="103" t="s">
        <v>794</v>
      </c>
      <c r="C1136" s="103" t="s">
        <v>795</v>
      </c>
      <c r="D1136" s="102" t="s">
        <v>796</v>
      </c>
      <c r="E1136" s="103" t="s">
        <v>172</v>
      </c>
      <c r="F1136" s="102" t="s">
        <v>1609</v>
      </c>
      <c r="G1136" s="103" t="s">
        <v>20</v>
      </c>
      <c r="H1136" s="108"/>
      <c r="I1136" s="103">
        <v>201508</v>
      </c>
      <c r="J1136" s="104">
        <v>6.12</v>
      </c>
      <c r="K1136" s="72">
        <f t="shared" si="89"/>
        <v>42675</v>
      </c>
      <c r="L1136" s="67">
        <f t="shared" si="85"/>
        <v>6</v>
      </c>
      <c r="M1136" s="105">
        <v>1.4833299999999999E-3</v>
      </c>
      <c r="N1136" s="104">
        <f t="shared" si="86"/>
        <v>5.4467877599999999E-2</v>
      </c>
      <c r="O1136" s="66"/>
      <c r="P1136" s="71">
        <f t="shared" si="87"/>
        <v>0</v>
      </c>
      <c r="Q1136" s="132"/>
      <c r="R1136" s="71">
        <f t="shared" si="88"/>
        <v>9.3644925000000004E-2</v>
      </c>
    </row>
    <row r="1137" spans="1:18">
      <c r="A1137" s="106" t="s">
        <v>626</v>
      </c>
      <c r="B1137" s="103" t="s">
        <v>1118</v>
      </c>
      <c r="C1137" s="103" t="s">
        <v>1119</v>
      </c>
      <c r="D1137" s="102" t="s">
        <v>1120</v>
      </c>
      <c r="E1137" s="103" t="s">
        <v>93</v>
      </c>
      <c r="F1137" s="102" t="s">
        <v>1601</v>
      </c>
      <c r="G1137" s="103" t="s">
        <v>20</v>
      </c>
      <c r="H1137" s="108"/>
      <c r="I1137" s="103">
        <v>201508</v>
      </c>
      <c r="J1137" s="104">
        <v>-1.73</v>
      </c>
      <c r="K1137" s="72">
        <f t="shared" si="89"/>
        <v>42675</v>
      </c>
      <c r="L1137" s="67">
        <f t="shared" si="85"/>
        <v>6</v>
      </c>
      <c r="M1137" s="105">
        <v>1.4833299999999999E-3</v>
      </c>
      <c r="N1137" s="104">
        <f t="shared" si="86"/>
        <v>-1.53969654E-2</v>
      </c>
      <c r="O1137" s="66"/>
      <c r="P1137" s="71">
        <f t="shared" si="87"/>
        <v>0</v>
      </c>
      <c r="Q1137" s="132"/>
      <c r="R1137" s="71">
        <f t="shared" si="88"/>
        <v>-2.6471522916666664E-2</v>
      </c>
    </row>
    <row r="1138" spans="1:18">
      <c r="A1138" s="106" t="s">
        <v>21</v>
      </c>
      <c r="B1138" s="103" t="s">
        <v>1250</v>
      </c>
      <c r="C1138" s="103" t="s">
        <v>1251</v>
      </c>
      <c r="D1138" s="102" t="s">
        <v>1252</v>
      </c>
      <c r="E1138" s="103" t="s">
        <v>260</v>
      </c>
      <c r="F1138" s="102" t="s">
        <v>1608</v>
      </c>
      <c r="G1138" s="103" t="s">
        <v>20</v>
      </c>
      <c r="H1138" s="108"/>
      <c r="I1138" s="103">
        <v>201508</v>
      </c>
      <c r="J1138" s="104">
        <v>-105687.61</v>
      </c>
      <c r="K1138" s="72">
        <f t="shared" si="89"/>
        <v>42675</v>
      </c>
      <c r="L1138" s="67">
        <f t="shared" si="85"/>
        <v>6</v>
      </c>
      <c r="M1138" s="105">
        <v>1.4833299999999999E-3</v>
      </c>
      <c r="N1138" s="104">
        <f t="shared" si="86"/>
        <v>-940.61761524780002</v>
      </c>
      <c r="O1138" s="66"/>
      <c r="P1138" s="71">
        <f t="shared" si="87"/>
        <v>0</v>
      </c>
      <c r="Q1138" s="132"/>
      <c r="R1138" s="71">
        <f t="shared" si="88"/>
        <v>-1617.1745607645832</v>
      </c>
    </row>
    <row r="1139" spans="1:18">
      <c r="A1139" s="106" t="s">
        <v>626</v>
      </c>
      <c r="B1139" s="103" t="s">
        <v>1250</v>
      </c>
      <c r="C1139" s="103" t="s">
        <v>1251</v>
      </c>
      <c r="D1139" s="102" t="s">
        <v>1252</v>
      </c>
      <c r="E1139" s="103" t="s">
        <v>260</v>
      </c>
      <c r="F1139" s="102" t="s">
        <v>1608</v>
      </c>
      <c r="G1139" s="103" t="s">
        <v>20</v>
      </c>
      <c r="H1139" s="108"/>
      <c r="I1139" s="103">
        <v>201508</v>
      </c>
      <c r="J1139" s="104">
        <v>136502.51</v>
      </c>
      <c r="K1139" s="72">
        <f t="shared" si="89"/>
        <v>42675</v>
      </c>
      <c r="L1139" s="67">
        <f t="shared" si="85"/>
        <v>6</v>
      </c>
      <c r="M1139" s="105">
        <v>1.4833299999999999E-3</v>
      </c>
      <c r="N1139" s="104">
        <f t="shared" si="86"/>
        <v>1214.8696089498001</v>
      </c>
      <c r="O1139" s="66"/>
      <c r="P1139" s="71">
        <f t="shared" si="87"/>
        <v>0</v>
      </c>
      <c r="Q1139" s="132"/>
      <c r="R1139" s="71">
        <f t="shared" si="88"/>
        <v>2088.6874691604162</v>
      </c>
    </row>
    <row r="1140" spans="1:18">
      <c r="A1140" s="106" t="s">
        <v>21</v>
      </c>
      <c r="B1140" s="103" t="s">
        <v>1079</v>
      </c>
      <c r="C1140" s="103" t="s">
        <v>1080</v>
      </c>
      <c r="D1140" s="102" t="s">
        <v>1081</v>
      </c>
      <c r="E1140" s="103" t="s">
        <v>102</v>
      </c>
      <c r="F1140" s="102" t="s">
        <v>19</v>
      </c>
      <c r="G1140" s="103" t="s">
        <v>20</v>
      </c>
      <c r="H1140" s="108"/>
      <c r="I1140" s="103">
        <v>201508</v>
      </c>
      <c r="J1140" s="104">
        <v>-4.3899999999999997</v>
      </c>
      <c r="K1140" s="72">
        <f t="shared" si="89"/>
        <v>42675</v>
      </c>
      <c r="L1140" s="67">
        <f t="shared" si="85"/>
        <v>6</v>
      </c>
      <c r="M1140" s="105">
        <v>1.4833299999999999E-3</v>
      </c>
      <c r="N1140" s="104">
        <f t="shared" si="86"/>
        <v>-3.9070912199999995E-2</v>
      </c>
      <c r="O1140" s="66"/>
      <c r="P1140" s="71">
        <f t="shared" si="87"/>
        <v>0</v>
      </c>
      <c r="Q1140" s="132"/>
      <c r="R1140" s="71">
        <f t="shared" si="88"/>
        <v>-6.717340208333332E-2</v>
      </c>
    </row>
    <row r="1141" spans="1:18">
      <c r="A1141" s="106" t="s">
        <v>990</v>
      </c>
      <c r="B1141" s="103" t="s">
        <v>1017</v>
      </c>
      <c r="C1141" s="103" t="s">
        <v>1018</v>
      </c>
      <c r="D1141" s="102" t="s">
        <v>993</v>
      </c>
      <c r="E1141" s="103" t="s">
        <v>1019</v>
      </c>
      <c r="F1141" s="102" t="s">
        <v>995</v>
      </c>
      <c r="G1141" s="103" t="s">
        <v>20</v>
      </c>
      <c r="H1141" s="108"/>
      <c r="I1141" s="103">
        <v>201508</v>
      </c>
      <c r="J1141" s="104">
        <v>380.95</v>
      </c>
      <c r="K1141" s="72">
        <f t="shared" si="89"/>
        <v>42675</v>
      </c>
      <c r="L1141" s="67">
        <f t="shared" si="85"/>
        <v>6</v>
      </c>
      <c r="M1141" s="105">
        <v>2.0333333000000001E-3</v>
      </c>
      <c r="N1141" s="104">
        <f t="shared" si="86"/>
        <v>4.64758992381</v>
      </c>
      <c r="O1141" s="66"/>
      <c r="P1141" s="71">
        <f t="shared" si="87"/>
        <v>0</v>
      </c>
      <c r="Q1141" s="132"/>
      <c r="R1141" s="71">
        <f t="shared" si="88"/>
        <v>5.8290905520833327</v>
      </c>
    </row>
    <row r="1142" spans="1:18">
      <c r="A1142" s="106" t="s">
        <v>29</v>
      </c>
      <c r="B1142" s="103" t="s">
        <v>836</v>
      </c>
      <c r="C1142" s="103" t="s">
        <v>837</v>
      </c>
      <c r="D1142" s="102" t="s">
        <v>327</v>
      </c>
      <c r="E1142" s="103" t="s">
        <v>838</v>
      </c>
      <c r="F1142" s="102" t="s">
        <v>58</v>
      </c>
      <c r="G1142" s="103" t="s">
        <v>20</v>
      </c>
      <c r="H1142" s="108"/>
      <c r="I1142" s="103">
        <v>201508</v>
      </c>
      <c r="J1142" s="104">
        <v>-0.4</v>
      </c>
      <c r="K1142" s="72">
        <f t="shared" si="89"/>
        <v>42675</v>
      </c>
      <c r="L1142" s="67">
        <f t="shared" si="85"/>
        <v>6</v>
      </c>
      <c r="M1142" s="105">
        <v>2.23333E-3</v>
      </c>
      <c r="N1142" s="104">
        <f t="shared" si="86"/>
        <v>-5.3599920000000001E-3</v>
      </c>
      <c r="O1142" s="66"/>
      <c r="P1142" s="71">
        <f t="shared" si="87"/>
        <v>0</v>
      </c>
      <c r="Q1142" s="132"/>
      <c r="R1142" s="71">
        <f t="shared" si="88"/>
        <v>-6.1205833333333329E-3</v>
      </c>
    </row>
    <row r="1143" spans="1:18">
      <c r="A1143" s="106" t="s">
        <v>29</v>
      </c>
      <c r="B1143" s="103" t="s">
        <v>292</v>
      </c>
      <c r="C1143" s="103" t="s">
        <v>293</v>
      </c>
      <c r="D1143" s="102" t="s">
        <v>197</v>
      </c>
      <c r="E1143" s="103" t="s">
        <v>294</v>
      </c>
      <c r="F1143" s="102" t="s">
        <v>1613</v>
      </c>
      <c r="G1143" s="103" t="s">
        <v>20</v>
      </c>
      <c r="H1143" s="108"/>
      <c r="I1143" s="103">
        <v>201508</v>
      </c>
      <c r="J1143" s="104">
        <v>8027.13</v>
      </c>
      <c r="K1143" s="72">
        <f t="shared" si="89"/>
        <v>42675</v>
      </c>
      <c r="L1143" s="67">
        <f t="shared" si="85"/>
        <v>6</v>
      </c>
      <c r="M1143" s="105">
        <v>2.23333E-3</v>
      </c>
      <c r="N1143" s="104">
        <f t="shared" si="86"/>
        <v>107.5633814574</v>
      </c>
      <c r="O1143" s="66"/>
      <c r="P1143" s="71">
        <f t="shared" si="87"/>
        <v>0</v>
      </c>
      <c r="Q1143" s="132"/>
      <c r="R1143" s="71">
        <f t="shared" si="88"/>
        <v>122.82679523124997</v>
      </c>
    </row>
    <row r="1144" spans="1:18">
      <c r="A1144" s="102" t="s">
        <v>21</v>
      </c>
      <c r="B1144" s="103" t="s">
        <v>494</v>
      </c>
      <c r="C1144" s="103" t="s">
        <v>495</v>
      </c>
      <c r="D1144" s="102" t="s">
        <v>496</v>
      </c>
      <c r="E1144" s="103" t="s">
        <v>497</v>
      </c>
      <c r="F1144" s="102" t="s">
        <v>26</v>
      </c>
      <c r="G1144" s="103" t="s">
        <v>20</v>
      </c>
      <c r="H1144" s="108"/>
      <c r="I1144" s="103">
        <v>201508</v>
      </c>
      <c r="J1144" s="104">
        <v>-44.64</v>
      </c>
      <c r="K1144" s="72">
        <f t="shared" si="89"/>
        <v>42675</v>
      </c>
      <c r="L1144" s="67">
        <f t="shared" si="85"/>
        <v>6</v>
      </c>
      <c r="M1144" s="105">
        <v>1.4833299999999999E-3</v>
      </c>
      <c r="N1144" s="104">
        <f t="shared" si="86"/>
        <v>-0.3972951072</v>
      </c>
      <c r="O1144" s="66"/>
      <c r="P1144" s="71">
        <f t="shared" si="87"/>
        <v>0</v>
      </c>
      <c r="Q1144" s="132"/>
      <c r="R1144" s="71">
        <f t="shared" si="88"/>
        <v>-0.68305709999999997</v>
      </c>
    </row>
    <row r="1145" spans="1:18">
      <c r="A1145" s="106" t="s">
        <v>626</v>
      </c>
      <c r="B1145" s="103" t="s">
        <v>1121</v>
      </c>
      <c r="C1145" s="103" t="s">
        <v>1122</v>
      </c>
      <c r="D1145" s="102" t="s">
        <v>1123</v>
      </c>
      <c r="E1145" s="103" t="s">
        <v>497</v>
      </c>
      <c r="F1145" s="102" t="s">
        <v>26</v>
      </c>
      <c r="G1145" s="103" t="s">
        <v>20</v>
      </c>
      <c r="H1145" s="108"/>
      <c r="I1145" s="103">
        <v>201508</v>
      </c>
      <c r="J1145" s="104">
        <v>1361.16</v>
      </c>
      <c r="K1145" s="72">
        <f t="shared" si="89"/>
        <v>42675</v>
      </c>
      <c r="L1145" s="67">
        <f t="shared" si="85"/>
        <v>6</v>
      </c>
      <c r="M1145" s="105">
        <v>1.4833299999999999E-3</v>
      </c>
      <c r="N1145" s="104">
        <f t="shared" si="86"/>
        <v>12.114296776800002</v>
      </c>
      <c r="O1145" s="66"/>
      <c r="P1145" s="71">
        <f t="shared" si="87"/>
        <v>0</v>
      </c>
      <c r="Q1145" s="132"/>
      <c r="R1145" s="71">
        <f t="shared" si="88"/>
        <v>20.827733025000001</v>
      </c>
    </row>
    <row r="1146" spans="1:18">
      <c r="A1146" s="106" t="s">
        <v>29</v>
      </c>
      <c r="B1146" s="103" t="s">
        <v>318</v>
      </c>
      <c r="C1146" s="103" t="s">
        <v>319</v>
      </c>
      <c r="D1146" s="102" t="s">
        <v>105</v>
      </c>
      <c r="E1146" s="103" t="s">
        <v>320</v>
      </c>
      <c r="F1146" s="102" t="s">
        <v>34</v>
      </c>
      <c r="G1146" s="103" t="s">
        <v>20</v>
      </c>
      <c r="H1146" s="108"/>
      <c r="I1146" s="103">
        <v>201508</v>
      </c>
      <c r="J1146" s="104">
        <v>-53.39</v>
      </c>
      <c r="K1146" s="72">
        <f t="shared" si="89"/>
        <v>42675</v>
      </c>
      <c r="L1146" s="67">
        <f t="shared" si="85"/>
        <v>6</v>
      </c>
      <c r="M1146" s="105">
        <v>2.23333E-3</v>
      </c>
      <c r="N1146" s="104">
        <f t="shared" si="86"/>
        <v>-0.71542493219999992</v>
      </c>
      <c r="O1146" s="66"/>
      <c r="P1146" s="71">
        <f t="shared" si="87"/>
        <v>0</v>
      </c>
      <c r="Q1146" s="132"/>
      <c r="R1146" s="71">
        <f t="shared" si="88"/>
        <v>-0.81694486041666659</v>
      </c>
    </row>
    <row r="1147" spans="1:18">
      <c r="A1147" s="106" t="s">
        <v>29</v>
      </c>
      <c r="B1147" s="103" t="s">
        <v>321</v>
      </c>
      <c r="C1147" s="103" t="s">
        <v>322</v>
      </c>
      <c r="D1147" s="102" t="s">
        <v>323</v>
      </c>
      <c r="E1147" s="103" t="s">
        <v>324</v>
      </c>
      <c r="F1147" s="102" t="s">
        <v>52</v>
      </c>
      <c r="G1147" s="103" t="s">
        <v>20</v>
      </c>
      <c r="H1147" s="108"/>
      <c r="I1147" s="103">
        <v>201508</v>
      </c>
      <c r="J1147" s="104">
        <v>-150.44999999999999</v>
      </c>
      <c r="K1147" s="72">
        <f t="shared" si="89"/>
        <v>42675</v>
      </c>
      <c r="L1147" s="67">
        <f t="shared" si="85"/>
        <v>6</v>
      </c>
      <c r="M1147" s="105">
        <v>2.23333E-3</v>
      </c>
      <c r="N1147" s="104">
        <f t="shared" si="86"/>
        <v>-2.0160269909999995</v>
      </c>
      <c r="O1147" s="66"/>
      <c r="P1147" s="71">
        <f t="shared" si="87"/>
        <v>0</v>
      </c>
      <c r="Q1147" s="132"/>
      <c r="R1147" s="71">
        <f t="shared" si="88"/>
        <v>-2.3021044062499998</v>
      </c>
    </row>
    <row r="1148" spans="1:18">
      <c r="A1148" s="106" t="s">
        <v>29</v>
      </c>
      <c r="B1148" s="103" t="s">
        <v>419</v>
      </c>
      <c r="C1148" s="103" t="s">
        <v>420</v>
      </c>
      <c r="D1148" s="102" t="s">
        <v>50</v>
      </c>
      <c r="E1148" s="103" t="s">
        <v>421</v>
      </c>
      <c r="F1148" s="102" t="s">
        <v>52</v>
      </c>
      <c r="G1148" s="103" t="s">
        <v>20</v>
      </c>
      <c r="H1148" s="108"/>
      <c r="I1148" s="103">
        <v>201508</v>
      </c>
      <c r="J1148" s="104">
        <v>-199.87</v>
      </c>
      <c r="K1148" s="72">
        <f t="shared" si="89"/>
        <v>42675</v>
      </c>
      <c r="L1148" s="67">
        <f t="shared" si="85"/>
        <v>6</v>
      </c>
      <c r="M1148" s="105">
        <v>2.23333E-3</v>
      </c>
      <c r="N1148" s="104">
        <f t="shared" si="86"/>
        <v>-2.6782540025999997</v>
      </c>
      <c r="O1148" s="66"/>
      <c r="P1148" s="71">
        <f t="shared" si="87"/>
        <v>0</v>
      </c>
      <c r="Q1148" s="132"/>
      <c r="R1148" s="71">
        <f t="shared" si="88"/>
        <v>-3.0583024770833331</v>
      </c>
    </row>
    <row r="1149" spans="1:18">
      <c r="A1149" s="106" t="s">
        <v>29</v>
      </c>
      <c r="B1149" s="103" t="s">
        <v>839</v>
      </c>
      <c r="C1149" s="103" t="s">
        <v>840</v>
      </c>
      <c r="D1149" s="102" t="s">
        <v>50</v>
      </c>
      <c r="E1149" s="103" t="s">
        <v>841</v>
      </c>
      <c r="F1149" s="102" t="s">
        <v>52</v>
      </c>
      <c r="G1149" s="103" t="s">
        <v>20</v>
      </c>
      <c r="H1149" s="108"/>
      <c r="I1149" s="103">
        <v>201508</v>
      </c>
      <c r="J1149" s="104">
        <v>-0.61</v>
      </c>
      <c r="K1149" s="72">
        <f t="shared" si="89"/>
        <v>42675</v>
      </c>
      <c r="L1149" s="67">
        <f t="shared" si="85"/>
        <v>6</v>
      </c>
      <c r="M1149" s="105">
        <v>2.23333E-3</v>
      </c>
      <c r="N1149" s="104">
        <f t="shared" si="86"/>
        <v>-8.1739877999999992E-3</v>
      </c>
      <c r="O1149" s="66"/>
      <c r="P1149" s="71">
        <f t="shared" si="87"/>
        <v>0</v>
      </c>
      <c r="Q1149" s="132"/>
      <c r="R1149" s="71">
        <f t="shared" si="88"/>
        <v>-9.333889583333331E-3</v>
      </c>
    </row>
    <row r="1150" spans="1:18">
      <c r="A1150" s="106" t="s">
        <v>990</v>
      </c>
      <c r="B1150" s="103" t="s">
        <v>1020</v>
      </c>
      <c r="C1150" s="103" t="s">
        <v>1021</v>
      </c>
      <c r="D1150" s="102" t="s">
        <v>998</v>
      </c>
      <c r="E1150" s="103" t="s">
        <v>1022</v>
      </c>
      <c r="F1150" s="102" t="s">
        <v>1614</v>
      </c>
      <c r="G1150" s="103" t="s">
        <v>20</v>
      </c>
      <c r="H1150" s="108"/>
      <c r="I1150" s="103">
        <v>201508</v>
      </c>
      <c r="J1150" s="104">
        <v>-101.52</v>
      </c>
      <c r="K1150" s="72">
        <f t="shared" si="89"/>
        <v>42675</v>
      </c>
      <c r="L1150" s="67">
        <f t="shared" si="85"/>
        <v>6</v>
      </c>
      <c r="M1150" s="105">
        <v>2.0333333000000001E-3</v>
      </c>
      <c r="N1150" s="104">
        <f t="shared" si="86"/>
        <v>-1.2385439796959998</v>
      </c>
      <c r="O1150" s="66"/>
      <c r="P1150" s="71">
        <f t="shared" si="87"/>
        <v>0</v>
      </c>
      <c r="Q1150" s="132"/>
      <c r="R1150" s="71">
        <f t="shared" si="88"/>
        <v>-1.5534040499999997</v>
      </c>
    </row>
    <row r="1151" spans="1:18">
      <c r="A1151" s="106" t="s">
        <v>29</v>
      </c>
      <c r="B1151" s="103" t="s">
        <v>325</v>
      </c>
      <c r="C1151" s="103" t="s">
        <v>326</v>
      </c>
      <c r="D1151" s="102" t="s">
        <v>327</v>
      </c>
      <c r="E1151" s="103" t="s">
        <v>328</v>
      </c>
      <c r="F1151" s="102" t="s">
        <v>58</v>
      </c>
      <c r="G1151" s="103" t="s">
        <v>20</v>
      </c>
      <c r="H1151" s="108"/>
      <c r="I1151" s="103">
        <v>201508</v>
      </c>
      <c r="J1151" s="104">
        <v>6844.61</v>
      </c>
      <c r="K1151" s="72">
        <f t="shared" si="89"/>
        <v>42675</v>
      </c>
      <c r="L1151" s="67">
        <f t="shared" si="85"/>
        <v>6</v>
      </c>
      <c r="M1151" s="105">
        <v>2.23333E-3</v>
      </c>
      <c r="N1151" s="104">
        <f t="shared" si="86"/>
        <v>91.717637107799987</v>
      </c>
      <c r="O1151" s="66"/>
      <c r="P1151" s="71">
        <f t="shared" si="87"/>
        <v>0</v>
      </c>
      <c r="Q1151" s="132"/>
      <c r="R1151" s="71">
        <f t="shared" si="88"/>
        <v>104.73251472291665</v>
      </c>
    </row>
    <row r="1152" spans="1:18">
      <c r="A1152" s="102" t="s">
        <v>21</v>
      </c>
      <c r="B1152" s="103" t="s">
        <v>678</v>
      </c>
      <c r="C1152" s="103" t="s">
        <v>679</v>
      </c>
      <c r="D1152" s="102" t="s">
        <v>680</v>
      </c>
      <c r="E1152" s="103" t="s">
        <v>75</v>
      </c>
      <c r="F1152" s="102" t="s">
        <v>1602</v>
      </c>
      <c r="G1152" s="103" t="s">
        <v>20</v>
      </c>
      <c r="H1152" s="108"/>
      <c r="I1152" s="103">
        <v>201508</v>
      </c>
      <c r="J1152" s="104">
        <v>-3.58</v>
      </c>
      <c r="K1152" s="72">
        <f t="shared" si="89"/>
        <v>42675</v>
      </c>
      <c r="L1152" s="67">
        <f t="shared" si="85"/>
        <v>6</v>
      </c>
      <c r="M1152" s="105">
        <v>1.4833299999999999E-3</v>
      </c>
      <c r="N1152" s="104">
        <f t="shared" si="86"/>
        <v>-3.1861928400000003E-2</v>
      </c>
      <c r="O1152" s="66"/>
      <c r="P1152" s="71">
        <f t="shared" si="87"/>
        <v>0</v>
      </c>
      <c r="Q1152" s="132"/>
      <c r="R1152" s="71">
        <f t="shared" si="88"/>
        <v>-5.4779220833333329E-2</v>
      </c>
    </row>
    <row r="1153" spans="1:18">
      <c r="A1153" s="106" t="s">
        <v>21</v>
      </c>
      <c r="B1153" s="103" t="s">
        <v>1124</v>
      </c>
      <c r="C1153" s="103" t="s">
        <v>1125</v>
      </c>
      <c r="D1153" s="102" t="s">
        <v>1126</v>
      </c>
      <c r="E1153" s="103" t="s">
        <v>87</v>
      </c>
      <c r="F1153" s="102" t="s">
        <v>1603</v>
      </c>
      <c r="G1153" s="103" t="s">
        <v>20</v>
      </c>
      <c r="H1153" s="108"/>
      <c r="I1153" s="103">
        <v>201508</v>
      </c>
      <c r="J1153" s="104">
        <v>6663.29</v>
      </c>
      <c r="K1153" s="72">
        <f t="shared" si="89"/>
        <v>42675</v>
      </c>
      <c r="L1153" s="67">
        <f t="shared" si="85"/>
        <v>6</v>
      </c>
      <c r="M1153" s="105">
        <v>1.4833299999999999E-3</v>
      </c>
      <c r="N1153" s="104">
        <f t="shared" si="86"/>
        <v>59.303147734200003</v>
      </c>
      <c r="O1153" s="66"/>
      <c r="P1153" s="71">
        <f t="shared" si="87"/>
        <v>0</v>
      </c>
      <c r="Q1153" s="132"/>
      <c r="R1153" s="71">
        <f t="shared" si="88"/>
        <v>101.95805429791665</v>
      </c>
    </row>
    <row r="1154" spans="1:18">
      <c r="A1154" s="106" t="s">
        <v>626</v>
      </c>
      <c r="B1154" s="103" t="s">
        <v>1124</v>
      </c>
      <c r="C1154" s="103" t="s">
        <v>1125</v>
      </c>
      <c r="D1154" s="102" t="s">
        <v>1126</v>
      </c>
      <c r="E1154" s="103" t="s">
        <v>87</v>
      </c>
      <c r="F1154" s="102" t="s">
        <v>1603</v>
      </c>
      <c r="G1154" s="103" t="s">
        <v>20</v>
      </c>
      <c r="H1154" s="108"/>
      <c r="I1154" s="103">
        <v>201508</v>
      </c>
      <c r="J1154" s="104">
        <v>180.24</v>
      </c>
      <c r="K1154" s="72">
        <f t="shared" si="89"/>
        <v>42675</v>
      </c>
      <c r="L1154" s="67">
        <f t="shared" si="85"/>
        <v>6</v>
      </c>
      <c r="M1154" s="105">
        <v>1.4833299999999999E-3</v>
      </c>
      <c r="N1154" s="104">
        <f t="shared" si="86"/>
        <v>1.6041323952000002</v>
      </c>
      <c r="O1154" s="66"/>
      <c r="P1154" s="71">
        <f t="shared" si="87"/>
        <v>0</v>
      </c>
      <c r="Q1154" s="132"/>
      <c r="R1154" s="71">
        <f t="shared" si="88"/>
        <v>2.7579348499999998</v>
      </c>
    </row>
    <row r="1155" spans="1:18">
      <c r="A1155" s="106" t="s">
        <v>21</v>
      </c>
      <c r="B1155" s="103" t="s">
        <v>1127</v>
      </c>
      <c r="C1155" s="103" t="s">
        <v>1128</v>
      </c>
      <c r="D1155" s="102" t="s">
        <v>1129</v>
      </c>
      <c r="E1155" s="103" t="s">
        <v>87</v>
      </c>
      <c r="F1155" s="102" t="s">
        <v>1603</v>
      </c>
      <c r="G1155" s="103" t="s">
        <v>20</v>
      </c>
      <c r="H1155" s="108"/>
      <c r="I1155" s="103">
        <v>201508</v>
      </c>
      <c r="J1155" s="104">
        <v>-1375.62</v>
      </c>
      <c r="K1155" s="72">
        <f t="shared" si="89"/>
        <v>42675</v>
      </c>
      <c r="L1155" s="67">
        <f t="shared" si="85"/>
        <v>6</v>
      </c>
      <c r="M1155" s="105">
        <v>1.4833299999999999E-3</v>
      </c>
      <c r="N1155" s="104">
        <f t="shared" si="86"/>
        <v>-12.242990487599998</v>
      </c>
      <c r="O1155" s="66"/>
      <c r="P1155" s="71">
        <f t="shared" si="87"/>
        <v>0</v>
      </c>
      <c r="Q1155" s="132"/>
      <c r="R1155" s="71">
        <f t="shared" si="88"/>
        <v>-21.048992112499995</v>
      </c>
    </row>
    <row r="1156" spans="1:18">
      <c r="A1156" s="106" t="s">
        <v>626</v>
      </c>
      <c r="B1156" s="103" t="s">
        <v>1127</v>
      </c>
      <c r="C1156" s="103" t="s">
        <v>1128</v>
      </c>
      <c r="D1156" s="102" t="s">
        <v>1129</v>
      </c>
      <c r="E1156" s="103" t="s">
        <v>87</v>
      </c>
      <c r="F1156" s="102" t="s">
        <v>1603</v>
      </c>
      <c r="G1156" s="103" t="s">
        <v>20</v>
      </c>
      <c r="H1156" s="108"/>
      <c r="I1156" s="103">
        <v>201508</v>
      </c>
      <c r="J1156" s="104">
        <v>-27.33</v>
      </c>
      <c r="K1156" s="72">
        <f t="shared" si="89"/>
        <v>42675</v>
      </c>
      <c r="L1156" s="67">
        <f t="shared" si="85"/>
        <v>6</v>
      </c>
      <c r="M1156" s="105">
        <v>1.4833299999999999E-3</v>
      </c>
      <c r="N1156" s="104">
        <f t="shared" si="86"/>
        <v>-0.2432364534</v>
      </c>
      <c r="O1156" s="66"/>
      <c r="P1156" s="71">
        <f t="shared" si="87"/>
        <v>0</v>
      </c>
      <c r="Q1156" s="132"/>
      <c r="R1156" s="71">
        <f t="shared" si="88"/>
        <v>-0.41818885624999996</v>
      </c>
    </row>
    <row r="1157" spans="1:18">
      <c r="A1157" s="102" t="s">
        <v>626</v>
      </c>
      <c r="B1157" s="103" t="s">
        <v>1082</v>
      </c>
      <c r="C1157" s="103" t="s">
        <v>1083</v>
      </c>
      <c r="D1157" s="102" t="s">
        <v>1084</v>
      </c>
      <c r="E1157" s="103" t="s">
        <v>75</v>
      </c>
      <c r="F1157" s="102" t="s">
        <v>1602</v>
      </c>
      <c r="G1157" s="103" t="s">
        <v>20</v>
      </c>
      <c r="H1157" s="108"/>
      <c r="I1157" s="103">
        <v>201508</v>
      </c>
      <c r="J1157" s="104">
        <v>3075.42</v>
      </c>
      <c r="K1157" s="72">
        <f t="shared" si="89"/>
        <v>42675</v>
      </c>
      <c r="L1157" s="67">
        <f t="shared" ref="L1157:L1220" si="90">((YEAR($L$1)-YEAR(K1157))*12+MONTH($L$1)-MONTH(K1157))</f>
        <v>6</v>
      </c>
      <c r="M1157" s="105">
        <v>1.4833299999999999E-3</v>
      </c>
      <c r="N1157" s="104">
        <f t="shared" ref="N1157:N1220" si="91">M1157*L1157*J1157</f>
        <v>27.3711764916</v>
      </c>
      <c r="O1157" s="66"/>
      <c r="P1157" s="71">
        <f t="shared" si="87"/>
        <v>0</v>
      </c>
      <c r="Q1157" s="132"/>
      <c r="R1157" s="71">
        <f t="shared" si="88"/>
        <v>47.058410987499997</v>
      </c>
    </row>
    <row r="1158" spans="1:18">
      <c r="A1158" s="102" t="s">
        <v>626</v>
      </c>
      <c r="B1158" s="103" t="s">
        <v>1188</v>
      </c>
      <c r="C1158" s="103" t="s">
        <v>1189</v>
      </c>
      <c r="D1158" s="102" t="s">
        <v>1190</v>
      </c>
      <c r="E1158" s="103" t="s">
        <v>75</v>
      </c>
      <c r="F1158" s="102" t="s">
        <v>1602</v>
      </c>
      <c r="G1158" s="103" t="s">
        <v>20</v>
      </c>
      <c r="H1158" s="108"/>
      <c r="I1158" s="103">
        <v>201508</v>
      </c>
      <c r="J1158" s="104">
        <v>-120.04</v>
      </c>
      <c r="K1158" s="72">
        <f t="shared" si="89"/>
        <v>42675</v>
      </c>
      <c r="L1158" s="67">
        <f t="shared" si="90"/>
        <v>6</v>
      </c>
      <c r="M1158" s="105">
        <v>1.4833299999999999E-3</v>
      </c>
      <c r="N1158" s="104">
        <f t="shared" si="91"/>
        <v>-1.0683535992000002</v>
      </c>
      <c r="O1158" s="66"/>
      <c r="P1158" s="71">
        <f t="shared" ref="P1158:P1221" si="92">($P$4*0.5*J1158*$T$12)</f>
        <v>0</v>
      </c>
      <c r="Q1158" s="132"/>
      <c r="R1158" s="71">
        <f t="shared" ref="R1158:R1221" si="93">($R$4*0.5*J1158*$T$12)</f>
        <v>-1.8367870583333332</v>
      </c>
    </row>
    <row r="1159" spans="1:18">
      <c r="A1159" s="102" t="s">
        <v>21</v>
      </c>
      <c r="B1159" s="103" t="s">
        <v>870</v>
      </c>
      <c r="C1159" s="103" t="s">
        <v>871</v>
      </c>
      <c r="D1159" s="102" t="s">
        <v>872</v>
      </c>
      <c r="E1159" s="103" t="s">
        <v>873</v>
      </c>
      <c r="F1159" s="102" t="s">
        <v>874</v>
      </c>
      <c r="G1159" s="103" t="s">
        <v>20</v>
      </c>
      <c r="H1159" s="108"/>
      <c r="I1159" s="103">
        <v>201508</v>
      </c>
      <c r="J1159" s="104">
        <v>-4.2699999999999996</v>
      </c>
      <c r="K1159" s="72">
        <f t="shared" ref="K1159:K1222" si="94">+K1158</f>
        <v>42675</v>
      </c>
      <c r="L1159" s="67">
        <f t="shared" si="90"/>
        <v>6</v>
      </c>
      <c r="M1159" s="105">
        <v>1.4833299999999999E-3</v>
      </c>
      <c r="N1159" s="104">
        <f t="shared" si="91"/>
        <v>-3.80029146E-2</v>
      </c>
      <c r="O1159" s="66"/>
      <c r="P1159" s="71">
        <f t="shared" si="92"/>
        <v>0</v>
      </c>
      <c r="Q1159" s="132"/>
      <c r="R1159" s="71">
        <f t="shared" si="93"/>
        <v>-6.5337227083333324E-2</v>
      </c>
    </row>
    <row r="1160" spans="1:18">
      <c r="A1160" s="102" t="s">
        <v>626</v>
      </c>
      <c r="B1160" s="103" t="s">
        <v>1085</v>
      </c>
      <c r="C1160" s="103" t="s">
        <v>1086</v>
      </c>
      <c r="D1160" s="102" t="s">
        <v>1087</v>
      </c>
      <c r="E1160" s="103" t="s">
        <v>75</v>
      </c>
      <c r="F1160" s="102" t="s">
        <v>1602</v>
      </c>
      <c r="G1160" s="103" t="s">
        <v>20</v>
      </c>
      <c r="H1160" s="108"/>
      <c r="I1160" s="103">
        <v>201508</v>
      </c>
      <c r="J1160" s="104">
        <v>-8.48</v>
      </c>
      <c r="K1160" s="72">
        <f t="shared" si="94"/>
        <v>42675</v>
      </c>
      <c r="L1160" s="67">
        <f t="shared" si="90"/>
        <v>6</v>
      </c>
      <c r="M1160" s="105">
        <v>1.4833299999999999E-3</v>
      </c>
      <c r="N1160" s="104">
        <f t="shared" si="91"/>
        <v>-7.5471830400000009E-2</v>
      </c>
      <c r="O1160" s="66"/>
      <c r="P1160" s="71">
        <f t="shared" si="92"/>
        <v>0</v>
      </c>
      <c r="Q1160" s="132"/>
      <c r="R1160" s="71">
        <f t="shared" si="93"/>
        <v>-0.12975636666666665</v>
      </c>
    </row>
    <row r="1161" spans="1:18">
      <c r="A1161" s="102" t="s">
        <v>21</v>
      </c>
      <c r="B1161" s="103" t="s">
        <v>888</v>
      </c>
      <c r="C1161" s="103" t="s">
        <v>889</v>
      </c>
      <c r="D1161" s="102" t="s">
        <v>890</v>
      </c>
      <c r="E1161" s="103" t="s">
        <v>280</v>
      </c>
      <c r="F1161" s="102" t="s">
        <v>26</v>
      </c>
      <c r="G1161" s="103" t="s">
        <v>20</v>
      </c>
      <c r="H1161" s="108"/>
      <c r="I1161" s="103">
        <v>201508</v>
      </c>
      <c r="J1161" s="104">
        <v>-4.49</v>
      </c>
      <c r="K1161" s="72">
        <f t="shared" si="94"/>
        <v>42675</v>
      </c>
      <c r="L1161" s="67">
        <f t="shared" si="90"/>
        <v>6</v>
      </c>
      <c r="M1161" s="105">
        <v>1.4833299999999999E-3</v>
      </c>
      <c r="N1161" s="104">
        <f t="shared" si="91"/>
        <v>-3.9960910200000005E-2</v>
      </c>
      <c r="O1161" s="66"/>
      <c r="P1161" s="71">
        <f t="shared" si="92"/>
        <v>0</v>
      </c>
      <c r="Q1161" s="132"/>
      <c r="R1161" s="71">
        <f t="shared" si="93"/>
        <v>-6.8703547916666663E-2</v>
      </c>
    </row>
    <row r="1162" spans="1:18">
      <c r="A1162" s="102" t="s">
        <v>626</v>
      </c>
      <c r="B1162" s="103" t="s">
        <v>944</v>
      </c>
      <c r="C1162" s="103" t="s">
        <v>945</v>
      </c>
      <c r="D1162" s="102" t="s">
        <v>946</v>
      </c>
      <c r="E1162" s="103" t="s">
        <v>164</v>
      </c>
      <c r="F1162" s="102" t="s">
        <v>1600</v>
      </c>
      <c r="G1162" s="103" t="s">
        <v>20</v>
      </c>
      <c r="H1162" s="108"/>
      <c r="I1162" s="103">
        <v>201508</v>
      </c>
      <c r="J1162" s="104">
        <v>-29.85</v>
      </c>
      <c r="K1162" s="72">
        <f t="shared" si="94"/>
        <v>42675</v>
      </c>
      <c r="L1162" s="67">
        <f t="shared" si="90"/>
        <v>6</v>
      </c>
      <c r="M1162" s="105">
        <v>1.4833299999999999E-3</v>
      </c>
      <c r="N1162" s="104">
        <f t="shared" si="91"/>
        <v>-0.26566440299999999</v>
      </c>
      <c r="O1162" s="66"/>
      <c r="P1162" s="71">
        <f t="shared" si="92"/>
        <v>0</v>
      </c>
      <c r="Q1162" s="132"/>
      <c r="R1162" s="71">
        <f t="shared" si="93"/>
        <v>-0.45674853124999998</v>
      </c>
    </row>
    <row r="1163" spans="1:18">
      <c r="A1163" s="102" t="s">
        <v>626</v>
      </c>
      <c r="B1163" s="103" t="s">
        <v>1253</v>
      </c>
      <c r="C1163" s="103" t="s">
        <v>1254</v>
      </c>
      <c r="D1163" s="102" t="s">
        <v>1255</v>
      </c>
      <c r="E1163" s="103" t="s">
        <v>25</v>
      </c>
      <c r="F1163" s="102" t="s">
        <v>26</v>
      </c>
      <c r="G1163" s="103" t="s">
        <v>20</v>
      </c>
      <c r="H1163" s="108"/>
      <c r="I1163" s="103">
        <v>201508</v>
      </c>
      <c r="J1163" s="104">
        <v>531.55999999999995</v>
      </c>
      <c r="K1163" s="72">
        <f t="shared" si="94"/>
        <v>42675</v>
      </c>
      <c r="L1163" s="67">
        <f t="shared" si="90"/>
        <v>6</v>
      </c>
      <c r="M1163" s="105">
        <v>1.4833299999999999E-3</v>
      </c>
      <c r="N1163" s="104">
        <f t="shared" si="91"/>
        <v>4.7308733687999993</v>
      </c>
      <c r="O1163" s="66"/>
      <c r="P1163" s="71">
        <f t="shared" si="92"/>
        <v>0</v>
      </c>
      <c r="Q1163" s="132"/>
      <c r="R1163" s="71">
        <f t="shared" si="93"/>
        <v>8.1336431916666658</v>
      </c>
    </row>
    <row r="1164" spans="1:18">
      <c r="A1164" s="102" t="s">
        <v>626</v>
      </c>
      <c r="B1164" s="103" t="s">
        <v>1038</v>
      </c>
      <c r="C1164" s="103" t="s">
        <v>1039</v>
      </c>
      <c r="D1164" s="102" t="s">
        <v>1040</v>
      </c>
      <c r="E1164" s="103" t="s">
        <v>75</v>
      </c>
      <c r="F1164" s="102" t="s">
        <v>1602</v>
      </c>
      <c r="G1164" s="103" t="s">
        <v>20</v>
      </c>
      <c r="H1164" s="108"/>
      <c r="I1164" s="103">
        <v>201508</v>
      </c>
      <c r="J1164" s="104">
        <v>-16.899999999999999</v>
      </c>
      <c r="K1164" s="72">
        <f t="shared" si="94"/>
        <v>42675</v>
      </c>
      <c r="L1164" s="67">
        <f t="shared" si="90"/>
        <v>6</v>
      </c>
      <c r="M1164" s="105">
        <v>1.4833299999999999E-3</v>
      </c>
      <c r="N1164" s="104">
        <f t="shared" si="91"/>
        <v>-0.150409662</v>
      </c>
      <c r="O1164" s="66"/>
      <c r="P1164" s="71">
        <f t="shared" si="92"/>
        <v>0</v>
      </c>
      <c r="Q1164" s="132"/>
      <c r="R1164" s="71">
        <f t="shared" si="93"/>
        <v>-0.2585946458333333</v>
      </c>
    </row>
    <row r="1165" spans="1:18">
      <c r="A1165" s="102" t="s">
        <v>21</v>
      </c>
      <c r="B1165" s="103" t="s">
        <v>1191</v>
      </c>
      <c r="C1165" s="103" t="s">
        <v>1192</v>
      </c>
      <c r="D1165" s="102" t="s">
        <v>1193</v>
      </c>
      <c r="E1165" s="103" t="s">
        <v>402</v>
      </c>
      <c r="F1165" s="102" t="s">
        <v>19</v>
      </c>
      <c r="G1165" s="103" t="s">
        <v>20</v>
      </c>
      <c r="H1165" s="108"/>
      <c r="I1165" s="103">
        <v>201508</v>
      </c>
      <c r="J1165" s="104">
        <v>-285.51</v>
      </c>
      <c r="K1165" s="72">
        <f t="shared" si="94"/>
        <v>42675</v>
      </c>
      <c r="L1165" s="67">
        <f t="shared" si="90"/>
        <v>6</v>
      </c>
      <c r="M1165" s="105">
        <v>1.4833299999999999E-3</v>
      </c>
      <c r="N1165" s="104">
        <f t="shared" si="91"/>
        <v>-2.5410332898000001</v>
      </c>
      <c r="O1165" s="66"/>
      <c r="P1165" s="71">
        <f t="shared" si="92"/>
        <v>0</v>
      </c>
      <c r="Q1165" s="132"/>
      <c r="R1165" s="71">
        <f t="shared" si="93"/>
        <v>-4.368719368749999</v>
      </c>
    </row>
    <row r="1166" spans="1:18">
      <c r="A1166" s="102" t="s">
        <v>21</v>
      </c>
      <c r="B1166" s="103" t="s">
        <v>1461</v>
      </c>
      <c r="C1166" s="103" t="s">
        <v>1462</v>
      </c>
      <c r="D1166" s="102" t="s">
        <v>1463</v>
      </c>
      <c r="E1166" s="103" t="s">
        <v>209</v>
      </c>
      <c r="F1166" s="102" t="s">
        <v>1612</v>
      </c>
      <c r="G1166" s="103" t="s">
        <v>20</v>
      </c>
      <c r="H1166" s="108"/>
      <c r="I1166" s="103">
        <v>201508</v>
      </c>
      <c r="J1166" s="104">
        <v>-37.81</v>
      </c>
      <c r="K1166" s="72">
        <f t="shared" si="94"/>
        <v>42675</v>
      </c>
      <c r="L1166" s="67">
        <f t="shared" si="90"/>
        <v>6</v>
      </c>
      <c r="M1166" s="105">
        <v>1.4833299999999999E-3</v>
      </c>
      <c r="N1166" s="104">
        <f t="shared" si="91"/>
        <v>-0.3365082438</v>
      </c>
      <c r="O1166" s="66"/>
      <c r="P1166" s="71">
        <f t="shared" si="92"/>
        <v>0</v>
      </c>
      <c r="Q1166" s="132"/>
      <c r="R1166" s="71">
        <f t="shared" si="93"/>
        <v>-0.57854813958333329</v>
      </c>
    </row>
    <row r="1167" spans="1:18">
      <c r="A1167" s="102" t="s">
        <v>626</v>
      </c>
      <c r="B1167" s="103" t="s">
        <v>947</v>
      </c>
      <c r="C1167" s="103" t="s">
        <v>948</v>
      </c>
      <c r="D1167" s="102" t="s">
        <v>949</v>
      </c>
      <c r="E1167" s="103" t="s">
        <v>75</v>
      </c>
      <c r="F1167" s="102" t="s">
        <v>1602</v>
      </c>
      <c r="G1167" s="103" t="s">
        <v>20</v>
      </c>
      <c r="H1167" s="108"/>
      <c r="I1167" s="103">
        <v>201508</v>
      </c>
      <c r="J1167" s="104">
        <v>-0.56000000000000005</v>
      </c>
      <c r="K1167" s="72">
        <f t="shared" si="94"/>
        <v>42675</v>
      </c>
      <c r="L1167" s="67">
        <f t="shared" si="90"/>
        <v>6</v>
      </c>
      <c r="M1167" s="105">
        <v>1.4833299999999999E-3</v>
      </c>
      <c r="N1167" s="104">
        <f t="shared" si="91"/>
        <v>-4.9839888000000002E-3</v>
      </c>
      <c r="O1167" s="66"/>
      <c r="P1167" s="71">
        <f t="shared" si="92"/>
        <v>0</v>
      </c>
      <c r="Q1167" s="132"/>
      <c r="R1167" s="71">
        <f t="shared" si="93"/>
        <v>-8.5688166666666662E-3</v>
      </c>
    </row>
    <row r="1168" spans="1:18">
      <c r="A1168" s="102" t="s">
        <v>127</v>
      </c>
      <c r="B1168" s="103" t="s">
        <v>1130</v>
      </c>
      <c r="C1168" s="103" t="s">
        <v>1131</v>
      </c>
      <c r="D1168" s="102" t="s">
        <v>1132</v>
      </c>
      <c r="E1168" s="103" t="s">
        <v>131</v>
      </c>
      <c r="F1168" s="102" t="s">
        <v>1607</v>
      </c>
      <c r="G1168" s="103" t="s">
        <v>20</v>
      </c>
      <c r="H1168" s="108"/>
      <c r="I1168" s="103">
        <v>201508</v>
      </c>
      <c r="J1168" s="104">
        <v>-5.72</v>
      </c>
      <c r="K1168" s="72">
        <f t="shared" si="94"/>
        <v>42675</v>
      </c>
      <c r="L1168" s="67">
        <f t="shared" si="90"/>
        <v>6</v>
      </c>
      <c r="M1168" s="105">
        <v>2.3833299999999999E-3</v>
      </c>
      <c r="N1168" s="104">
        <f t="shared" si="91"/>
        <v>-8.1795885599999993E-2</v>
      </c>
      <c r="O1168" s="66"/>
      <c r="P1168" s="71">
        <f t="shared" si="92"/>
        <v>0</v>
      </c>
      <c r="Q1168" s="132"/>
      <c r="R1168" s="71">
        <f t="shared" si="93"/>
        <v>-8.7524341666666644E-2</v>
      </c>
    </row>
    <row r="1169" spans="1:18">
      <c r="A1169" s="102" t="s">
        <v>626</v>
      </c>
      <c r="B1169" s="103" t="s">
        <v>1041</v>
      </c>
      <c r="C1169" s="103" t="s">
        <v>1042</v>
      </c>
      <c r="D1169" s="102" t="s">
        <v>1043</v>
      </c>
      <c r="E1169" s="103" t="s">
        <v>75</v>
      </c>
      <c r="F1169" s="102" t="s">
        <v>1602</v>
      </c>
      <c r="G1169" s="103" t="s">
        <v>20</v>
      </c>
      <c r="H1169" s="108"/>
      <c r="I1169" s="103">
        <v>201508</v>
      </c>
      <c r="J1169" s="104">
        <v>-23.44</v>
      </c>
      <c r="K1169" s="72">
        <f t="shared" si="94"/>
        <v>42675</v>
      </c>
      <c r="L1169" s="67">
        <f t="shared" si="90"/>
        <v>6</v>
      </c>
      <c r="M1169" s="105">
        <v>1.4833299999999999E-3</v>
      </c>
      <c r="N1169" s="104">
        <f t="shared" si="91"/>
        <v>-0.20861553120000001</v>
      </c>
      <c r="O1169" s="66"/>
      <c r="P1169" s="71">
        <f t="shared" si="92"/>
        <v>0</v>
      </c>
      <c r="Q1169" s="132"/>
      <c r="R1169" s="71">
        <f t="shared" si="93"/>
        <v>-0.35866618333333333</v>
      </c>
    </row>
    <row r="1170" spans="1:18">
      <c r="A1170" s="102" t="s">
        <v>626</v>
      </c>
      <c r="B1170" s="103" t="s">
        <v>1194</v>
      </c>
      <c r="C1170" s="103" t="s">
        <v>1195</v>
      </c>
      <c r="D1170" s="102" t="s">
        <v>1196</v>
      </c>
      <c r="E1170" s="103" t="s">
        <v>75</v>
      </c>
      <c r="F1170" s="102" t="s">
        <v>1602</v>
      </c>
      <c r="G1170" s="103" t="s">
        <v>20</v>
      </c>
      <c r="H1170" s="108"/>
      <c r="I1170" s="103">
        <v>201508</v>
      </c>
      <c r="J1170" s="104">
        <v>-295.08</v>
      </c>
      <c r="K1170" s="72">
        <f t="shared" si="94"/>
        <v>42675</v>
      </c>
      <c r="L1170" s="67">
        <f t="shared" si="90"/>
        <v>6</v>
      </c>
      <c r="M1170" s="105">
        <v>1.4833299999999999E-3</v>
      </c>
      <c r="N1170" s="104">
        <f t="shared" si="91"/>
        <v>-2.6262060984</v>
      </c>
      <c r="O1170" s="66"/>
      <c r="P1170" s="71">
        <f t="shared" si="92"/>
        <v>0</v>
      </c>
      <c r="Q1170" s="132"/>
      <c r="R1170" s="71">
        <f t="shared" si="93"/>
        <v>-4.5151543249999992</v>
      </c>
    </row>
    <row r="1171" spans="1:18">
      <c r="A1171" s="102" t="s">
        <v>626</v>
      </c>
      <c r="B1171" s="103" t="s">
        <v>1133</v>
      </c>
      <c r="C1171" s="103" t="s">
        <v>1134</v>
      </c>
      <c r="D1171" s="102" t="s">
        <v>1135</v>
      </c>
      <c r="E1171" s="103" t="s">
        <v>471</v>
      </c>
      <c r="F1171" s="102" t="s">
        <v>165</v>
      </c>
      <c r="G1171" s="103" t="s">
        <v>20</v>
      </c>
      <c r="H1171" s="108"/>
      <c r="I1171" s="103">
        <v>201508</v>
      </c>
      <c r="J1171" s="104">
        <v>-49.73</v>
      </c>
      <c r="K1171" s="72">
        <f t="shared" si="94"/>
        <v>42675</v>
      </c>
      <c r="L1171" s="67">
        <f t="shared" si="90"/>
        <v>6</v>
      </c>
      <c r="M1171" s="105">
        <v>1.4833299999999999E-3</v>
      </c>
      <c r="N1171" s="104">
        <f t="shared" si="91"/>
        <v>-0.44259600539999999</v>
      </c>
      <c r="O1171" s="66"/>
      <c r="P1171" s="71">
        <f t="shared" si="92"/>
        <v>0</v>
      </c>
      <c r="Q1171" s="132"/>
      <c r="R1171" s="71">
        <f t="shared" si="93"/>
        <v>-0.7609415229166665</v>
      </c>
    </row>
    <row r="1172" spans="1:18">
      <c r="A1172" s="102" t="s">
        <v>626</v>
      </c>
      <c r="B1172" s="103" t="s">
        <v>848</v>
      </c>
      <c r="C1172" s="103" t="s">
        <v>849</v>
      </c>
      <c r="D1172" s="102" t="s">
        <v>850</v>
      </c>
      <c r="E1172" s="103" t="s">
        <v>93</v>
      </c>
      <c r="F1172" s="102" t="s">
        <v>1601</v>
      </c>
      <c r="G1172" s="103" t="s">
        <v>20</v>
      </c>
      <c r="H1172" s="108"/>
      <c r="I1172" s="103">
        <v>201508</v>
      </c>
      <c r="J1172" s="104">
        <v>17.27</v>
      </c>
      <c r="K1172" s="72">
        <f t="shared" si="94"/>
        <v>42675</v>
      </c>
      <c r="L1172" s="67">
        <f t="shared" si="90"/>
        <v>6</v>
      </c>
      <c r="M1172" s="105">
        <v>1.4833299999999999E-3</v>
      </c>
      <c r="N1172" s="104">
        <f t="shared" si="91"/>
        <v>0.15370265459999999</v>
      </c>
      <c r="O1172" s="66"/>
      <c r="P1172" s="71">
        <f t="shared" si="92"/>
        <v>0</v>
      </c>
      <c r="Q1172" s="132"/>
      <c r="R1172" s="71">
        <f t="shared" si="93"/>
        <v>0.26425618541666662</v>
      </c>
    </row>
    <row r="1173" spans="1:18">
      <c r="A1173" s="102" t="s">
        <v>626</v>
      </c>
      <c r="B1173" s="103" t="s">
        <v>1136</v>
      </c>
      <c r="C1173" s="103" t="s">
        <v>1137</v>
      </c>
      <c r="D1173" s="102" t="s">
        <v>1138</v>
      </c>
      <c r="E1173" s="103" t="s">
        <v>962</v>
      </c>
      <c r="F1173" s="102" t="s">
        <v>88</v>
      </c>
      <c r="G1173" s="103" t="s">
        <v>20</v>
      </c>
      <c r="H1173" s="108"/>
      <c r="I1173" s="103">
        <v>201508</v>
      </c>
      <c r="J1173" s="104">
        <v>-695.68</v>
      </c>
      <c r="K1173" s="72">
        <f t="shared" si="94"/>
        <v>42675</v>
      </c>
      <c r="L1173" s="67">
        <f t="shared" si="90"/>
        <v>6</v>
      </c>
      <c r="M1173" s="105">
        <v>1.4833299999999999E-3</v>
      </c>
      <c r="N1173" s="104">
        <f t="shared" si="91"/>
        <v>-6.1915380863999996</v>
      </c>
      <c r="O1173" s="66"/>
      <c r="P1173" s="71">
        <f t="shared" si="92"/>
        <v>0</v>
      </c>
      <c r="Q1173" s="132"/>
      <c r="R1173" s="71">
        <f t="shared" si="93"/>
        <v>-10.644918533333332</v>
      </c>
    </row>
    <row r="1174" spans="1:18">
      <c r="A1174" s="102" t="s">
        <v>626</v>
      </c>
      <c r="B1174" s="103" t="s">
        <v>1197</v>
      </c>
      <c r="C1174" s="103" t="s">
        <v>1198</v>
      </c>
      <c r="D1174" s="102" t="s">
        <v>1199</v>
      </c>
      <c r="E1174" s="103" t="s">
        <v>18</v>
      </c>
      <c r="F1174" s="102" t="s">
        <v>19</v>
      </c>
      <c r="G1174" s="103" t="s">
        <v>20</v>
      </c>
      <c r="H1174" s="108"/>
      <c r="I1174" s="103">
        <v>201508</v>
      </c>
      <c r="J1174" s="104">
        <v>-176.21</v>
      </c>
      <c r="K1174" s="72">
        <f t="shared" si="94"/>
        <v>42675</v>
      </c>
      <c r="L1174" s="67">
        <f t="shared" si="90"/>
        <v>6</v>
      </c>
      <c r="M1174" s="105">
        <v>1.4833299999999999E-3</v>
      </c>
      <c r="N1174" s="104">
        <f t="shared" si="91"/>
        <v>-1.5682654758000001</v>
      </c>
      <c r="O1174" s="66"/>
      <c r="P1174" s="71">
        <f t="shared" si="92"/>
        <v>0</v>
      </c>
      <c r="Q1174" s="132"/>
      <c r="R1174" s="71">
        <f t="shared" si="93"/>
        <v>-2.6962699729166664</v>
      </c>
    </row>
    <row r="1175" spans="1:18">
      <c r="A1175" s="102" t="s">
        <v>21</v>
      </c>
      <c r="B1175" s="103" t="s">
        <v>1256</v>
      </c>
      <c r="C1175" s="103" t="s">
        <v>1257</v>
      </c>
      <c r="D1175" s="102" t="s">
        <v>1258</v>
      </c>
      <c r="E1175" s="103" t="s">
        <v>75</v>
      </c>
      <c r="F1175" s="102" t="s">
        <v>1602</v>
      </c>
      <c r="G1175" s="103" t="s">
        <v>20</v>
      </c>
      <c r="H1175" s="108"/>
      <c r="I1175" s="103">
        <v>201508</v>
      </c>
      <c r="J1175" s="104">
        <v>1.18</v>
      </c>
      <c r="K1175" s="72">
        <f t="shared" si="94"/>
        <v>42675</v>
      </c>
      <c r="L1175" s="67">
        <f t="shared" si="90"/>
        <v>6</v>
      </c>
      <c r="M1175" s="105">
        <v>1.4833299999999999E-3</v>
      </c>
      <c r="N1175" s="104">
        <f t="shared" si="91"/>
        <v>1.05019764E-2</v>
      </c>
      <c r="O1175" s="66"/>
      <c r="P1175" s="71">
        <f t="shared" si="92"/>
        <v>0</v>
      </c>
      <c r="Q1175" s="132"/>
      <c r="R1175" s="71">
        <f t="shared" si="93"/>
        <v>1.805572083333333E-2</v>
      </c>
    </row>
    <row r="1176" spans="1:18">
      <c r="A1176" s="102" t="s">
        <v>626</v>
      </c>
      <c r="B1176" s="103" t="s">
        <v>1256</v>
      </c>
      <c r="C1176" s="103" t="s">
        <v>1257</v>
      </c>
      <c r="D1176" s="102" t="s">
        <v>1258</v>
      </c>
      <c r="E1176" s="103" t="s">
        <v>75</v>
      </c>
      <c r="F1176" s="102" t="s">
        <v>1602</v>
      </c>
      <c r="G1176" s="103" t="s">
        <v>20</v>
      </c>
      <c r="H1176" s="108"/>
      <c r="I1176" s="103">
        <v>201508</v>
      </c>
      <c r="J1176" s="104">
        <v>2356.89</v>
      </c>
      <c r="K1176" s="72">
        <f t="shared" si="94"/>
        <v>42675</v>
      </c>
      <c r="L1176" s="67">
        <f t="shared" si="90"/>
        <v>6</v>
      </c>
      <c r="M1176" s="105">
        <v>1.4833299999999999E-3</v>
      </c>
      <c r="N1176" s="104">
        <f t="shared" si="91"/>
        <v>20.976273862199999</v>
      </c>
      <c r="O1176" s="66"/>
      <c r="P1176" s="71">
        <f t="shared" si="92"/>
        <v>0</v>
      </c>
      <c r="Q1176" s="132"/>
      <c r="R1176" s="71">
        <f t="shared" si="93"/>
        <v>36.06385413124999</v>
      </c>
    </row>
    <row r="1177" spans="1:18">
      <c r="A1177" s="102" t="s">
        <v>626</v>
      </c>
      <c r="B1177" s="103" t="s">
        <v>1139</v>
      </c>
      <c r="C1177" s="103" t="s">
        <v>1140</v>
      </c>
      <c r="D1177" s="102" t="s">
        <v>1141</v>
      </c>
      <c r="E1177" s="103" t="s">
        <v>280</v>
      </c>
      <c r="F1177" s="102" t="s">
        <v>26</v>
      </c>
      <c r="G1177" s="103" t="s">
        <v>20</v>
      </c>
      <c r="H1177" s="108"/>
      <c r="I1177" s="103">
        <v>201508</v>
      </c>
      <c r="J1177" s="104">
        <v>-225.74</v>
      </c>
      <c r="K1177" s="72">
        <f t="shared" si="94"/>
        <v>42675</v>
      </c>
      <c r="L1177" s="67">
        <f t="shared" si="90"/>
        <v>6</v>
      </c>
      <c r="M1177" s="105">
        <v>1.4833299999999999E-3</v>
      </c>
      <c r="N1177" s="104">
        <f t="shared" si="91"/>
        <v>-2.0090814852000003</v>
      </c>
      <c r="O1177" s="66"/>
      <c r="P1177" s="71">
        <f t="shared" si="92"/>
        <v>0</v>
      </c>
      <c r="Q1177" s="132"/>
      <c r="R1177" s="71">
        <f t="shared" si="93"/>
        <v>-3.4541512041666667</v>
      </c>
    </row>
    <row r="1178" spans="1:18">
      <c r="A1178" s="102" t="s">
        <v>626</v>
      </c>
      <c r="B1178" s="103" t="s">
        <v>1410</v>
      </c>
      <c r="C1178" s="103" t="s">
        <v>1411</v>
      </c>
      <c r="D1178" s="102" t="s">
        <v>1412</v>
      </c>
      <c r="E1178" s="103" t="s">
        <v>1413</v>
      </c>
      <c r="F1178" s="102" t="s">
        <v>88</v>
      </c>
      <c r="G1178" s="103" t="s">
        <v>20</v>
      </c>
      <c r="H1178" s="108"/>
      <c r="I1178" s="103">
        <v>201508</v>
      </c>
      <c r="J1178" s="104">
        <v>-16.79</v>
      </c>
      <c r="K1178" s="72">
        <f t="shared" si="94"/>
        <v>42675</v>
      </c>
      <c r="L1178" s="67">
        <f t="shared" si="90"/>
        <v>6</v>
      </c>
      <c r="M1178" s="105">
        <v>1.4833299999999999E-3</v>
      </c>
      <c r="N1178" s="104">
        <f t="shared" si="91"/>
        <v>-0.14943066419999998</v>
      </c>
      <c r="O1178" s="66"/>
      <c r="P1178" s="71">
        <f t="shared" si="92"/>
        <v>0</v>
      </c>
      <c r="Q1178" s="132"/>
      <c r="R1178" s="71">
        <f t="shared" si="93"/>
        <v>-0.25691148541666664</v>
      </c>
    </row>
    <row r="1179" spans="1:18">
      <c r="A1179" s="102" t="s">
        <v>626</v>
      </c>
      <c r="B1179" s="103" t="s">
        <v>1200</v>
      </c>
      <c r="C1179" s="103" t="s">
        <v>1201</v>
      </c>
      <c r="D1179" s="102" t="s">
        <v>1202</v>
      </c>
      <c r="E1179" s="103" t="s">
        <v>75</v>
      </c>
      <c r="F1179" s="102" t="s">
        <v>1602</v>
      </c>
      <c r="G1179" s="103" t="s">
        <v>20</v>
      </c>
      <c r="H1179" s="108"/>
      <c r="I1179" s="103">
        <v>201508</v>
      </c>
      <c r="J1179" s="104">
        <v>-888.54</v>
      </c>
      <c r="K1179" s="72">
        <f t="shared" si="94"/>
        <v>42675</v>
      </c>
      <c r="L1179" s="67">
        <f t="shared" si="90"/>
        <v>6</v>
      </c>
      <c r="M1179" s="105">
        <v>1.4833299999999999E-3</v>
      </c>
      <c r="N1179" s="104">
        <f t="shared" si="91"/>
        <v>-7.9079882291999999</v>
      </c>
      <c r="O1179" s="66"/>
      <c r="P1179" s="71">
        <f t="shared" si="92"/>
        <v>0</v>
      </c>
      <c r="Q1179" s="132"/>
      <c r="R1179" s="71">
        <f t="shared" si="93"/>
        <v>-13.595957787499998</v>
      </c>
    </row>
    <row r="1180" spans="1:18">
      <c r="A1180" s="106" t="s">
        <v>626</v>
      </c>
      <c r="B1180" s="103" t="s">
        <v>1142</v>
      </c>
      <c r="C1180" s="103" t="s">
        <v>1143</v>
      </c>
      <c r="D1180" s="102" t="s">
        <v>1144</v>
      </c>
      <c r="E1180" s="103" t="s">
        <v>164</v>
      </c>
      <c r="F1180" s="102" t="s">
        <v>1600</v>
      </c>
      <c r="G1180" s="103" t="s">
        <v>20</v>
      </c>
      <c r="H1180" s="108"/>
      <c r="I1180" s="103">
        <v>201508</v>
      </c>
      <c r="J1180" s="104">
        <v>-1508.5</v>
      </c>
      <c r="K1180" s="72">
        <f t="shared" si="94"/>
        <v>42675</v>
      </c>
      <c r="L1180" s="67">
        <f t="shared" si="90"/>
        <v>6</v>
      </c>
      <c r="M1180" s="105">
        <v>1.4833299999999999E-3</v>
      </c>
      <c r="N1180" s="104">
        <f t="shared" si="91"/>
        <v>-13.42561983</v>
      </c>
      <c r="O1180" s="66"/>
      <c r="P1180" s="71">
        <f t="shared" si="92"/>
        <v>0</v>
      </c>
      <c r="Q1180" s="132"/>
      <c r="R1180" s="71">
        <f t="shared" si="93"/>
        <v>-23.082249895833332</v>
      </c>
    </row>
    <row r="1181" spans="1:18">
      <c r="A1181" s="106" t="s">
        <v>21</v>
      </c>
      <c r="B1181" s="103" t="s">
        <v>953</v>
      </c>
      <c r="C1181" s="103" t="s">
        <v>954</v>
      </c>
      <c r="D1181" s="102" t="s">
        <v>955</v>
      </c>
      <c r="E1181" s="103" t="s">
        <v>531</v>
      </c>
      <c r="F1181" s="102" t="s">
        <v>26</v>
      </c>
      <c r="G1181" s="103" t="s">
        <v>20</v>
      </c>
      <c r="H1181" s="108"/>
      <c r="I1181" s="103">
        <v>201508</v>
      </c>
      <c r="J1181" s="104">
        <v>-0.66</v>
      </c>
      <c r="K1181" s="72">
        <f t="shared" si="94"/>
        <v>42675</v>
      </c>
      <c r="L1181" s="67">
        <f t="shared" si="90"/>
        <v>6</v>
      </c>
      <c r="M1181" s="105">
        <v>1.4833299999999999E-3</v>
      </c>
      <c r="N1181" s="104">
        <f t="shared" si="91"/>
        <v>-5.8739868000000006E-3</v>
      </c>
      <c r="O1181" s="66"/>
      <c r="P1181" s="71">
        <f t="shared" si="92"/>
        <v>0</v>
      </c>
      <c r="Q1181" s="132"/>
      <c r="R1181" s="71">
        <f t="shared" si="93"/>
        <v>-1.0098962499999999E-2</v>
      </c>
    </row>
    <row r="1182" spans="1:18">
      <c r="A1182" s="106" t="s">
        <v>626</v>
      </c>
      <c r="B1182" s="103" t="s">
        <v>1615</v>
      </c>
      <c r="C1182" s="103" t="s">
        <v>1616</v>
      </c>
      <c r="D1182" s="102" t="s">
        <v>1617</v>
      </c>
      <c r="E1182" s="103" t="s">
        <v>497</v>
      </c>
      <c r="F1182" s="102" t="s">
        <v>26</v>
      </c>
      <c r="G1182" s="103" t="s">
        <v>20</v>
      </c>
      <c r="H1182" s="108"/>
      <c r="I1182" s="103">
        <v>201508</v>
      </c>
      <c r="J1182" s="104">
        <v>907328.1</v>
      </c>
      <c r="K1182" s="72">
        <f t="shared" si="94"/>
        <v>42675</v>
      </c>
      <c r="L1182" s="67">
        <f t="shared" si="90"/>
        <v>6</v>
      </c>
      <c r="M1182" s="105">
        <v>1.4833299999999999E-3</v>
      </c>
      <c r="N1182" s="104">
        <f t="shared" si="91"/>
        <v>8075.2019434379999</v>
      </c>
      <c r="O1182" s="66"/>
      <c r="P1182" s="71">
        <f t="shared" si="92"/>
        <v>0</v>
      </c>
      <c r="Q1182" s="132"/>
      <c r="R1182" s="71">
        <f t="shared" si="93"/>
        <v>13883.443116812497</v>
      </c>
    </row>
    <row r="1183" spans="1:18">
      <c r="A1183" s="106" t="s">
        <v>626</v>
      </c>
      <c r="B1183" s="103" t="s">
        <v>909</v>
      </c>
      <c r="C1183" s="103" t="s">
        <v>910</v>
      </c>
      <c r="D1183" s="102" t="s">
        <v>911</v>
      </c>
      <c r="E1183" s="103" t="s">
        <v>79</v>
      </c>
      <c r="F1183" s="102" t="s">
        <v>26</v>
      </c>
      <c r="G1183" s="103" t="s">
        <v>20</v>
      </c>
      <c r="H1183" s="108"/>
      <c r="I1183" s="103">
        <v>201508</v>
      </c>
      <c r="J1183" s="104">
        <v>11.85</v>
      </c>
      <c r="K1183" s="72">
        <f t="shared" si="94"/>
        <v>42675</v>
      </c>
      <c r="L1183" s="67">
        <f t="shared" si="90"/>
        <v>6</v>
      </c>
      <c r="M1183" s="105">
        <v>1.4833299999999999E-3</v>
      </c>
      <c r="N1183" s="104">
        <f t="shared" si="91"/>
        <v>0.105464763</v>
      </c>
      <c r="O1183" s="66"/>
      <c r="P1183" s="71">
        <f t="shared" si="92"/>
        <v>0</v>
      </c>
      <c r="Q1183" s="132"/>
      <c r="R1183" s="71">
        <f t="shared" si="93"/>
        <v>0.18132228124999997</v>
      </c>
    </row>
    <row r="1184" spans="1:18">
      <c r="A1184" s="106" t="s">
        <v>626</v>
      </c>
      <c r="B1184" s="103" t="s">
        <v>1315</v>
      </c>
      <c r="C1184" s="103" t="s">
        <v>1316</v>
      </c>
      <c r="D1184" s="102" t="s">
        <v>1317</v>
      </c>
      <c r="E1184" s="103" t="s">
        <v>497</v>
      </c>
      <c r="F1184" s="102" t="s">
        <v>26</v>
      </c>
      <c r="G1184" s="103" t="s">
        <v>20</v>
      </c>
      <c r="H1184" s="108"/>
      <c r="I1184" s="103">
        <v>201508</v>
      </c>
      <c r="J1184" s="104">
        <v>-766.3</v>
      </c>
      <c r="K1184" s="72">
        <f t="shared" si="94"/>
        <v>42675</v>
      </c>
      <c r="L1184" s="67">
        <f t="shared" si="90"/>
        <v>6</v>
      </c>
      <c r="M1184" s="105">
        <v>1.4833299999999999E-3</v>
      </c>
      <c r="N1184" s="104">
        <f t="shared" si="91"/>
        <v>-6.8200546739999997</v>
      </c>
      <c r="O1184" s="66"/>
      <c r="P1184" s="71">
        <f t="shared" si="92"/>
        <v>0</v>
      </c>
      <c r="Q1184" s="132"/>
      <c r="R1184" s="71">
        <f t="shared" si="93"/>
        <v>-11.725507520833332</v>
      </c>
    </row>
    <row r="1185" spans="1:18">
      <c r="A1185" s="106" t="s">
        <v>626</v>
      </c>
      <c r="B1185" s="103" t="s">
        <v>1203</v>
      </c>
      <c r="C1185" s="103" t="s">
        <v>1204</v>
      </c>
      <c r="D1185" s="102" t="s">
        <v>1205</v>
      </c>
      <c r="E1185" s="103" t="s">
        <v>260</v>
      </c>
      <c r="F1185" s="102" t="s">
        <v>1608</v>
      </c>
      <c r="G1185" s="103" t="s">
        <v>20</v>
      </c>
      <c r="H1185" s="108"/>
      <c r="I1185" s="103">
        <v>201508</v>
      </c>
      <c r="J1185" s="104">
        <v>574.47</v>
      </c>
      <c r="K1185" s="72">
        <f t="shared" si="94"/>
        <v>42675</v>
      </c>
      <c r="L1185" s="67">
        <f t="shared" si="90"/>
        <v>6</v>
      </c>
      <c r="M1185" s="105">
        <v>1.4833299999999999E-3</v>
      </c>
      <c r="N1185" s="104">
        <f t="shared" si="91"/>
        <v>5.1127715106</v>
      </c>
      <c r="O1185" s="66"/>
      <c r="P1185" s="71">
        <f t="shared" si="92"/>
        <v>0</v>
      </c>
      <c r="Q1185" s="132"/>
      <c r="R1185" s="71">
        <f t="shared" si="93"/>
        <v>8.7902287687499996</v>
      </c>
    </row>
    <row r="1186" spans="1:18">
      <c r="A1186" s="106" t="s">
        <v>626</v>
      </c>
      <c r="B1186" s="103" t="s">
        <v>1088</v>
      </c>
      <c r="C1186" s="103" t="s">
        <v>1089</v>
      </c>
      <c r="D1186" s="102" t="s">
        <v>1090</v>
      </c>
      <c r="E1186" s="103" t="s">
        <v>415</v>
      </c>
      <c r="F1186" s="102" t="s">
        <v>88</v>
      </c>
      <c r="G1186" s="103" t="s">
        <v>20</v>
      </c>
      <c r="H1186" s="108"/>
      <c r="I1186" s="103">
        <v>201508</v>
      </c>
      <c r="J1186" s="104">
        <v>-179.08</v>
      </c>
      <c r="K1186" s="72">
        <f t="shared" si="94"/>
        <v>42675</v>
      </c>
      <c r="L1186" s="67">
        <f t="shared" si="90"/>
        <v>6</v>
      </c>
      <c r="M1186" s="105">
        <v>1.4833299999999999E-3</v>
      </c>
      <c r="N1186" s="104">
        <f t="shared" si="91"/>
        <v>-1.5938084184000001</v>
      </c>
      <c r="O1186" s="66"/>
      <c r="P1186" s="71">
        <f t="shared" si="92"/>
        <v>0</v>
      </c>
      <c r="Q1186" s="132"/>
      <c r="R1186" s="71">
        <f t="shared" si="93"/>
        <v>-2.7401851583333334</v>
      </c>
    </row>
    <row r="1187" spans="1:18">
      <c r="A1187" s="106" t="s">
        <v>21</v>
      </c>
      <c r="B1187" s="103" t="s">
        <v>1145</v>
      </c>
      <c r="C1187" s="103" t="s">
        <v>1146</v>
      </c>
      <c r="D1187" s="102" t="s">
        <v>1147</v>
      </c>
      <c r="E1187" s="103" t="s">
        <v>962</v>
      </c>
      <c r="F1187" s="102" t="s">
        <v>88</v>
      </c>
      <c r="G1187" s="103" t="s">
        <v>20</v>
      </c>
      <c r="H1187" s="108"/>
      <c r="I1187" s="103">
        <v>201508</v>
      </c>
      <c r="J1187" s="104">
        <v>-36170.910000000003</v>
      </c>
      <c r="K1187" s="72">
        <f t="shared" si="94"/>
        <v>42675</v>
      </c>
      <c r="L1187" s="67">
        <f t="shared" si="90"/>
        <v>6</v>
      </c>
      <c r="M1187" s="105">
        <v>1.4833299999999999E-3</v>
      </c>
      <c r="N1187" s="104">
        <f t="shared" si="91"/>
        <v>-321.92037558180004</v>
      </c>
      <c r="O1187" s="66"/>
      <c r="P1187" s="71">
        <f t="shared" si="92"/>
        <v>0</v>
      </c>
      <c r="Q1187" s="132"/>
      <c r="R1187" s="71">
        <f t="shared" si="93"/>
        <v>-553.46767224374992</v>
      </c>
    </row>
    <row r="1188" spans="1:18">
      <c r="A1188" s="106" t="s">
        <v>626</v>
      </c>
      <c r="B1188" s="103" t="s">
        <v>1145</v>
      </c>
      <c r="C1188" s="103" t="s">
        <v>1146</v>
      </c>
      <c r="D1188" s="102" t="s">
        <v>1147</v>
      </c>
      <c r="E1188" s="103" t="s">
        <v>962</v>
      </c>
      <c r="F1188" s="102" t="s">
        <v>88</v>
      </c>
      <c r="G1188" s="103" t="s">
        <v>20</v>
      </c>
      <c r="H1188" s="108"/>
      <c r="I1188" s="103">
        <v>201508</v>
      </c>
      <c r="J1188" s="104">
        <v>36059.68</v>
      </c>
      <c r="K1188" s="72">
        <f t="shared" si="94"/>
        <v>42675</v>
      </c>
      <c r="L1188" s="67">
        <f t="shared" si="90"/>
        <v>6</v>
      </c>
      <c r="M1188" s="105">
        <v>1.4833299999999999E-3</v>
      </c>
      <c r="N1188" s="104">
        <f t="shared" si="91"/>
        <v>320.93043080640001</v>
      </c>
      <c r="O1188" s="66"/>
      <c r="P1188" s="71">
        <f t="shared" si="92"/>
        <v>0</v>
      </c>
      <c r="Q1188" s="132"/>
      <c r="R1188" s="71">
        <f t="shared" si="93"/>
        <v>551.76569103333327</v>
      </c>
    </row>
    <row r="1189" spans="1:18">
      <c r="A1189" s="106" t="s">
        <v>626</v>
      </c>
      <c r="B1189" s="103" t="s">
        <v>1091</v>
      </c>
      <c r="C1189" s="103" t="s">
        <v>1092</v>
      </c>
      <c r="D1189" s="102" t="s">
        <v>1093</v>
      </c>
      <c r="E1189" s="103" t="s">
        <v>962</v>
      </c>
      <c r="F1189" s="102" t="s">
        <v>88</v>
      </c>
      <c r="G1189" s="103" t="s">
        <v>20</v>
      </c>
      <c r="H1189" s="108"/>
      <c r="I1189" s="103">
        <v>201508</v>
      </c>
      <c r="J1189" s="104">
        <v>-286.73</v>
      </c>
      <c r="K1189" s="72">
        <f t="shared" si="94"/>
        <v>42675</v>
      </c>
      <c r="L1189" s="67">
        <f t="shared" si="90"/>
        <v>6</v>
      </c>
      <c r="M1189" s="105">
        <v>1.4833299999999999E-3</v>
      </c>
      <c r="N1189" s="104">
        <f t="shared" si="91"/>
        <v>-2.5518912654000001</v>
      </c>
      <c r="O1189" s="66"/>
      <c r="P1189" s="71">
        <f t="shared" si="92"/>
        <v>0</v>
      </c>
      <c r="Q1189" s="132"/>
      <c r="R1189" s="71">
        <f t="shared" si="93"/>
        <v>-4.3873871479166668</v>
      </c>
    </row>
    <row r="1190" spans="1:18">
      <c r="A1190" s="106" t="s">
        <v>626</v>
      </c>
      <c r="B1190" s="103" t="s">
        <v>1094</v>
      </c>
      <c r="C1190" s="103" t="s">
        <v>1095</v>
      </c>
      <c r="D1190" s="102" t="s">
        <v>1096</v>
      </c>
      <c r="E1190" s="103" t="s">
        <v>452</v>
      </c>
      <c r="F1190" s="102" t="s">
        <v>398</v>
      </c>
      <c r="G1190" s="103" t="s">
        <v>20</v>
      </c>
      <c r="H1190" s="108"/>
      <c r="I1190" s="103">
        <v>201508</v>
      </c>
      <c r="J1190" s="104">
        <v>-2.25</v>
      </c>
      <c r="K1190" s="72">
        <f t="shared" si="94"/>
        <v>42675</v>
      </c>
      <c r="L1190" s="67">
        <f t="shared" si="90"/>
        <v>6</v>
      </c>
      <c r="M1190" s="105">
        <v>1.4833299999999999E-3</v>
      </c>
      <c r="N1190" s="104">
        <f t="shared" si="91"/>
        <v>-2.0024955000000001E-2</v>
      </c>
      <c r="O1190" s="66"/>
      <c r="P1190" s="71">
        <f t="shared" si="92"/>
        <v>0</v>
      </c>
      <c r="Q1190" s="132"/>
      <c r="R1190" s="71">
        <f t="shared" si="93"/>
        <v>-3.4428281249999998E-2</v>
      </c>
    </row>
    <row r="1191" spans="1:18">
      <c r="A1191" s="106" t="s">
        <v>626</v>
      </c>
      <c r="B1191" s="103" t="s">
        <v>1148</v>
      </c>
      <c r="C1191" s="103" t="s">
        <v>1149</v>
      </c>
      <c r="D1191" s="102" t="s">
        <v>1150</v>
      </c>
      <c r="E1191" s="103" t="s">
        <v>93</v>
      </c>
      <c r="F1191" s="102" t="s">
        <v>1601</v>
      </c>
      <c r="G1191" s="103" t="s">
        <v>20</v>
      </c>
      <c r="H1191" s="108"/>
      <c r="I1191" s="103">
        <v>201508</v>
      </c>
      <c r="J1191" s="104">
        <v>-62.21</v>
      </c>
      <c r="K1191" s="72">
        <f t="shared" si="94"/>
        <v>42675</v>
      </c>
      <c r="L1191" s="67">
        <f t="shared" si="90"/>
        <v>6</v>
      </c>
      <c r="M1191" s="105">
        <v>1.4833299999999999E-3</v>
      </c>
      <c r="N1191" s="104">
        <f t="shared" si="91"/>
        <v>-0.55366775580000005</v>
      </c>
      <c r="O1191" s="66"/>
      <c r="P1191" s="71">
        <f t="shared" si="92"/>
        <v>0</v>
      </c>
      <c r="Q1191" s="132"/>
      <c r="R1191" s="71">
        <f t="shared" si="93"/>
        <v>-0.95190372291666647</v>
      </c>
    </row>
    <row r="1192" spans="1:18">
      <c r="A1192" s="106" t="s">
        <v>626</v>
      </c>
      <c r="B1192" s="103" t="s">
        <v>1505</v>
      </c>
      <c r="C1192" s="103" t="s">
        <v>1506</v>
      </c>
      <c r="D1192" s="102" t="s">
        <v>1507</v>
      </c>
      <c r="E1192" s="103" t="s">
        <v>75</v>
      </c>
      <c r="F1192" s="102" t="s">
        <v>1602</v>
      </c>
      <c r="G1192" s="103" t="s">
        <v>20</v>
      </c>
      <c r="H1192" s="108"/>
      <c r="I1192" s="103">
        <v>201508</v>
      </c>
      <c r="J1192" s="104">
        <v>-151.38999999999999</v>
      </c>
      <c r="K1192" s="72">
        <f t="shared" si="94"/>
        <v>42675</v>
      </c>
      <c r="L1192" s="67">
        <f t="shared" si="90"/>
        <v>6</v>
      </c>
      <c r="M1192" s="105">
        <v>1.4833299999999999E-3</v>
      </c>
      <c r="N1192" s="104">
        <f t="shared" si="91"/>
        <v>-1.3473679721999998</v>
      </c>
      <c r="O1192" s="66"/>
      <c r="P1192" s="71">
        <f t="shared" si="92"/>
        <v>0</v>
      </c>
      <c r="Q1192" s="132"/>
      <c r="R1192" s="71">
        <f t="shared" si="93"/>
        <v>-2.3164877770833328</v>
      </c>
    </row>
    <row r="1193" spans="1:18">
      <c r="A1193" s="106" t="s">
        <v>626</v>
      </c>
      <c r="B1193" s="103" t="s">
        <v>963</v>
      </c>
      <c r="C1193" s="103" t="s">
        <v>964</v>
      </c>
      <c r="D1193" s="102" t="s">
        <v>965</v>
      </c>
      <c r="E1193" s="103" t="s">
        <v>164</v>
      </c>
      <c r="F1193" s="102" t="s">
        <v>1600</v>
      </c>
      <c r="G1193" s="103" t="s">
        <v>20</v>
      </c>
      <c r="H1193" s="108"/>
      <c r="I1193" s="103">
        <v>201508</v>
      </c>
      <c r="J1193" s="104">
        <v>-18.600000000000001</v>
      </c>
      <c r="K1193" s="72">
        <f t="shared" si="94"/>
        <v>42675</v>
      </c>
      <c r="L1193" s="67">
        <f t="shared" si="90"/>
        <v>6</v>
      </c>
      <c r="M1193" s="105">
        <v>1.4833299999999999E-3</v>
      </c>
      <c r="N1193" s="104">
        <f t="shared" si="91"/>
        <v>-0.16553962800000002</v>
      </c>
      <c r="O1193" s="66"/>
      <c r="P1193" s="71">
        <f t="shared" si="92"/>
        <v>0</v>
      </c>
      <c r="Q1193" s="132"/>
      <c r="R1193" s="71">
        <f t="shared" si="93"/>
        <v>-0.28460712499999996</v>
      </c>
    </row>
    <row r="1194" spans="1:18">
      <c r="A1194" s="106" t="s">
        <v>21</v>
      </c>
      <c r="B1194" s="103" t="s">
        <v>966</v>
      </c>
      <c r="C1194" s="103" t="s">
        <v>967</v>
      </c>
      <c r="D1194" s="102" t="s">
        <v>968</v>
      </c>
      <c r="E1194" s="103" t="s">
        <v>209</v>
      </c>
      <c r="F1194" s="102" t="s">
        <v>1612</v>
      </c>
      <c r="G1194" s="103" t="s">
        <v>20</v>
      </c>
      <c r="H1194" s="108"/>
      <c r="I1194" s="103">
        <v>201508</v>
      </c>
      <c r="J1194" s="104">
        <v>-2.2400000000000002</v>
      </c>
      <c r="K1194" s="72">
        <f t="shared" si="94"/>
        <v>42675</v>
      </c>
      <c r="L1194" s="67">
        <f t="shared" si="90"/>
        <v>6</v>
      </c>
      <c r="M1194" s="105">
        <v>1.4833299999999999E-3</v>
      </c>
      <c r="N1194" s="104">
        <f t="shared" si="91"/>
        <v>-1.9935955200000001E-2</v>
      </c>
      <c r="O1194" s="66"/>
      <c r="P1194" s="71">
        <f t="shared" si="92"/>
        <v>0</v>
      </c>
      <c r="Q1194" s="132"/>
      <c r="R1194" s="71">
        <f t="shared" si="93"/>
        <v>-3.4275266666666665E-2</v>
      </c>
    </row>
    <row r="1195" spans="1:18">
      <c r="A1195" s="106" t="s">
        <v>626</v>
      </c>
      <c r="B1195" s="103" t="s">
        <v>1044</v>
      </c>
      <c r="C1195" s="103" t="s">
        <v>1045</v>
      </c>
      <c r="D1195" s="102" t="s">
        <v>1046</v>
      </c>
      <c r="E1195" s="103" t="s">
        <v>164</v>
      </c>
      <c r="F1195" s="102" t="s">
        <v>1600</v>
      </c>
      <c r="G1195" s="103" t="s">
        <v>20</v>
      </c>
      <c r="H1195" s="108"/>
      <c r="I1195" s="103">
        <v>201508</v>
      </c>
      <c r="J1195" s="104">
        <v>-433.56</v>
      </c>
      <c r="K1195" s="72">
        <f t="shared" si="94"/>
        <v>42675</v>
      </c>
      <c r="L1195" s="67">
        <f t="shared" si="90"/>
        <v>6</v>
      </c>
      <c r="M1195" s="105">
        <v>1.4833299999999999E-3</v>
      </c>
      <c r="N1195" s="104">
        <f t="shared" si="91"/>
        <v>-3.8586753288</v>
      </c>
      <c r="O1195" s="66"/>
      <c r="P1195" s="71">
        <f t="shared" si="92"/>
        <v>0</v>
      </c>
      <c r="Q1195" s="132"/>
      <c r="R1195" s="71">
        <f t="shared" si="93"/>
        <v>-6.6341002749999998</v>
      </c>
    </row>
    <row r="1196" spans="1:18">
      <c r="A1196" s="106" t="s">
        <v>626</v>
      </c>
      <c r="B1196" s="103" t="s">
        <v>969</v>
      </c>
      <c r="C1196" s="103" t="s">
        <v>970</v>
      </c>
      <c r="D1196" s="102" t="s">
        <v>971</v>
      </c>
      <c r="E1196" s="103" t="s">
        <v>164</v>
      </c>
      <c r="F1196" s="102" t="s">
        <v>1600</v>
      </c>
      <c r="G1196" s="103" t="s">
        <v>20</v>
      </c>
      <c r="H1196" s="108"/>
      <c r="I1196" s="103">
        <v>201508</v>
      </c>
      <c r="J1196" s="104">
        <v>-63.82</v>
      </c>
      <c r="K1196" s="72">
        <f t="shared" si="94"/>
        <v>42675</v>
      </c>
      <c r="L1196" s="67">
        <f t="shared" si="90"/>
        <v>6</v>
      </c>
      <c r="M1196" s="105">
        <v>1.4833299999999999E-3</v>
      </c>
      <c r="N1196" s="104">
        <f t="shared" si="91"/>
        <v>-0.56799672359999998</v>
      </c>
      <c r="O1196" s="66"/>
      <c r="P1196" s="71">
        <f t="shared" si="92"/>
        <v>0</v>
      </c>
      <c r="Q1196" s="132"/>
      <c r="R1196" s="71">
        <f t="shared" si="93"/>
        <v>-0.97653907083333313</v>
      </c>
    </row>
    <row r="1197" spans="1:18">
      <c r="A1197" s="106" t="s">
        <v>21</v>
      </c>
      <c r="B1197" s="103" t="s">
        <v>882</v>
      </c>
      <c r="C1197" s="103" t="s">
        <v>883</v>
      </c>
      <c r="D1197" s="102" t="s">
        <v>884</v>
      </c>
      <c r="E1197" s="103" t="s">
        <v>87</v>
      </c>
      <c r="F1197" s="102" t="s">
        <v>1603</v>
      </c>
      <c r="G1197" s="103" t="s">
        <v>20</v>
      </c>
      <c r="H1197" s="108"/>
      <c r="I1197" s="103">
        <v>201508</v>
      </c>
      <c r="J1197" s="104">
        <v>-2.4</v>
      </c>
      <c r="K1197" s="72">
        <f t="shared" si="94"/>
        <v>42675</v>
      </c>
      <c r="L1197" s="67">
        <f t="shared" si="90"/>
        <v>6</v>
      </c>
      <c r="M1197" s="105">
        <v>1.4833299999999999E-3</v>
      </c>
      <c r="N1197" s="104">
        <f t="shared" si="91"/>
        <v>-2.1359951999999998E-2</v>
      </c>
      <c r="O1197" s="66"/>
      <c r="P1197" s="71">
        <f t="shared" si="92"/>
        <v>0</v>
      </c>
      <c r="Q1197" s="132"/>
      <c r="R1197" s="71">
        <f t="shared" si="93"/>
        <v>-3.6723499999999992E-2</v>
      </c>
    </row>
    <row r="1198" spans="1:18">
      <c r="A1198" s="106" t="s">
        <v>626</v>
      </c>
      <c r="B1198" s="103" t="s">
        <v>975</v>
      </c>
      <c r="C1198" s="103" t="s">
        <v>976</v>
      </c>
      <c r="D1198" s="102" t="s">
        <v>977</v>
      </c>
      <c r="E1198" s="103" t="s">
        <v>87</v>
      </c>
      <c r="F1198" s="102" t="s">
        <v>1603</v>
      </c>
      <c r="G1198" s="103" t="s">
        <v>20</v>
      </c>
      <c r="H1198" s="108"/>
      <c r="I1198" s="103">
        <v>201508</v>
      </c>
      <c r="J1198" s="104">
        <v>0.86</v>
      </c>
      <c r="K1198" s="72">
        <f t="shared" si="94"/>
        <v>42675</v>
      </c>
      <c r="L1198" s="67">
        <f t="shared" si="90"/>
        <v>6</v>
      </c>
      <c r="M1198" s="105">
        <v>1.4833299999999999E-3</v>
      </c>
      <c r="N1198" s="104">
        <f t="shared" si="91"/>
        <v>7.6539827999999996E-3</v>
      </c>
      <c r="O1198" s="66"/>
      <c r="P1198" s="71">
        <f t="shared" si="92"/>
        <v>0</v>
      </c>
      <c r="Q1198" s="132"/>
      <c r="R1198" s="71">
        <f t="shared" si="93"/>
        <v>1.3159254166666665E-2</v>
      </c>
    </row>
    <row r="1199" spans="1:18">
      <c r="A1199" s="106" t="s">
        <v>626</v>
      </c>
      <c r="B1199" s="103" t="s">
        <v>885</v>
      </c>
      <c r="C1199" s="103" t="s">
        <v>886</v>
      </c>
      <c r="D1199" s="102" t="s">
        <v>887</v>
      </c>
      <c r="E1199" s="103" t="s">
        <v>93</v>
      </c>
      <c r="F1199" s="102" t="s">
        <v>1601</v>
      </c>
      <c r="G1199" s="103" t="s">
        <v>20</v>
      </c>
      <c r="H1199" s="108"/>
      <c r="I1199" s="103">
        <v>201508</v>
      </c>
      <c r="J1199" s="104">
        <v>49.25</v>
      </c>
      <c r="K1199" s="72">
        <f t="shared" si="94"/>
        <v>42675</v>
      </c>
      <c r="L1199" s="67">
        <f t="shared" si="90"/>
        <v>6</v>
      </c>
      <c r="M1199" s="105">
        <v>1.4833299999999999E-3</v>
      </c>
      <c r="N1199" s="104">
        <f t="shared" si="91"/>
        <v>0.43832401500000001</v>
      </c>
      <c r="O1199" s="66"/>
      <c r="P1199" s="71">
        <f t="shared" si="92"/>
        <v>0</v>
      </c>
      <c r="Q1199" s="132"/>
      <c r="R1199" s="71">
        <f t="shared" si="93"/>
        <v>0.75359682291666663</v>
      </c>
    </row>
    <row r="1200" spans="1:18">
      <c r="A1200" s="102" t="s">
        <v>21</v>
      </c>
      <c r="B1200" s="103" t="s">
        <v>1303</v>
      </c>
      <c r="C1200" s="103" t="s">
        <v>1304</v>
      </c>
      <c r="D1200" s="102" t="s">
        <v>1305</v>
      </c>
      <c r="E1200" s="103" t="s">
        <v>18</v>
      </c>
      <c r="F1200" s="102" t="s">
        <v>19</v>
      </c>
      <c r="G1200" s="103" t="s">
        <v>20</v>
      </c>
      <c r="H1200" s="108"/>
      <c r="I1200" s="103">
        <v>201508</v>
      </c>
      <c r="J1200" s="104">
        <v>-32.57</v>
      </c>
      <c r="K1200" s="72">
        <f t="shared" si="94"/>
        <v>42675</v>
      </c>
      <c r="L1200" s="67">
        <f t="shared" si="90"/>
        <v>6</v>
      </c>
      <c r="M1200" s="105">
        <v>1.4833299999999999E-3</v>
      </c>
      <c r="N1200" s="104">
        <f t="shared" si="91"/>
        <v>-0.2898723486</v>
      </c>
      <c r="O1200" s="66"/>
      <c r="P1200" s="71">
        <f t="shared" si="92"/>
        <v>0</v>
      </c>
      <c r="Q1200" s="132"/>
      <c r="R1200" s="71">
        <f t="shared" si="93"/>
        <v>-0.49836849791666665</v>
      </c>
    </row>
    <row r="1201" spans="1:18">
      <c r="A1201" s="102" t="s">
        <v>21</v>
      </c>
      <c r="B1201" s="103" t="s">
        <v>1097</v>
      </c>
      <c r="C1201" s="103" t="s">
        <v>1098</v>
      </c>
      <c r="D1201" s="102" t="s">
        <v>1099</v>
      </c>
      <c r="E1201" s="103" t="s">
        <v>452</v>
      </c>
      <c r="F1201" s="102" t="s">
        <v>398</v>
      </c>
      <c r="G1201" s="103" t="s">
        <v>20</v>
      </c>
      <c r="H1201" s="108"/>
      <c r="I1201" s="103">
        <v>201508</v>
      </c>
      <c r="J1201" s="104">
        <v>-2.91</v>
      </c>
      <c r="K1201" s="72">
        <f t="shared" si="94"/>
        <v>42675</v>
      </c>
      <c r="L1201" s="67">
        <f t="shared" si="90"/>
        <v>6</v>
      </c>
      <c r="M1201" s="105">
        <v>1.4833299999999999E-3</v>
      </c>
      <c r="N1201" s="104">
        <f t="shared" si="91"/>
        <v>-2.5898941800000002E-2</v>
      </c>
      <c r="O1201" s="66"/>
      <c r="P1201" s="71">
        <f t="shared" si="92"/>
        <v>0</v>
      </c>
      <c r="Q1201" s="132"/>
      <c r="R1201" s="71">
        <f t="shared" si="93"/>
        <v>-4.4527243749999994E-2</v>
      </c>
    </row>
    <row r="1202" spans="1:18">
      <c r="A1202" s="102" t="s">
        <v>626</v>
      </c>
      <c r="B1202" s="103" t="s">
        <v>1097</v>
      </c>
      <c r="C1202" s="103" t="s">
        <v>1098</v>
      </c>
      <c r="D1202" s="102" t="s">
        <v>1099</v>
      </c>
      <c r="E1202" s="103" t="s">
        <v>452</v>
      </c>
      <c r="F1202" s="102" t="s">
        <v>398</v>
      </c>
      <c r="G1202" s="103" t="s">
        <v>20</v>
      </c>
      <c r="H1202" s="108"/>
      <c r="I1202" s="103">
        <v>201508</v>
      </c>
      <c r="J1202" s="104">
        <v>-23.98</v>
      </c>
      <c r="K1202" s="72">
        <f t="shared" si="94"/>
        <v>42675</v>
      </c>
      <c r="L1202" s="67">
        <f t="shared" si="90"/>
        <v>6</v>
      </c>
      <c r="M1202" s="105">
        <v>1.4833299999999999E-3</v>
      </c>
      <c r="N1202" s="104">
        <f t="shared" si="91"/>
        <v>-0.21342152040000001</v>
      </c>
      <c r="O1202" s="66"/>
      <c r="P1202" s="71">
        <f t="shared" si="92"/>
        <v>0</v>
      </c>
      <c r="Q1202" s="132"/>
      <c r="R1202" s="71">
        <f t="shared" si="93"/>
        <v>-0.36692897083333331</v>
      </c>
    </row>
    <row r="1203" spans="1:18">
      <c r="A1203" s="102" t="s">
        <v>21</v>
      </c>
      <c r="B1203" s="103" t="s">
        <v>1100</v>
      </c>
      <c r="C1203" s="103" t="s">
        <v>1101</v>
      </c>
      <c r="D1203" s="102" t="s">
        <v>1102</v>
      </c>
      <c r="E1203" s="103" t="s">
        <v>397</v>
      </c>
      <c r="F1203" s="102" t="s">
        <v>398</v>
      </c>
      <c r="G1203" s="103" t="s">
        <v>20</v>
      </c>
      <c r="H1203" s="108"/>
      <c r="I1203" s="103">
        <v>201508</v>
      </c>
      <c r="J1203" s="104">
        <v>-83.54</v>
      </c>
      <c r="K1203" s="72">
        <f t="shared" si="94"/>
        <v>42675</v>
      </c>
      <c r="L1203" s="67">
        <f t="shared" si="90"/>
        <v>6</v>
      </c>
      <c r="M1203" s="105">
        <v>1.4833299999999999E-3</v>
      </c>
      <c r="N1203" s="104">
        <f t="shared" si="91"/>
        <v>-0.74350432920000009</v>
      </c>
      <c r="O1203" s="66"/>
      <c r="P1203" s="71">
        <f t="shared" si="92"/>
        <v>0</v>
      </c>
      <c r="Q1203" s="132"/>
      <c r="R1203" s="71">
        <f t="shared" si="93"/>
        <v>-1.2782838291666667</v>
      </c>
    </row>
    <row r="1204" spans="1:18">
      <c r="A1204" s="102" t="s">
        <v>626</v>
      </c>
      <c r="B1204" s="103" t="s">
        <v>1100</v>
      </c>
      <c r="C1204" s="103" t="s">
        <v>1101</v>
      </c>
      <c r="D1204" s="102" t="s">
        <v>1102</v>
      </c>
      <c r="E1204" s="103" t="s">
        <v>397</v>
      </c>
      <c r="F1204" s="102" t="s">
        <v>398</v>
      </c>
      <c r="G1204" s="103" t="s">
        <v>20</v>
      </c>
      <c r="H1204" s="108"/>
      <c r="I1204" s="103">
        <v>201508</v>
      </c>
      <c r="J1204" s="104">
        <v>-18.28</v>
      </c>
      <c r="K1204" s="72">
        <f t="shared" si="94"/>
        <v>42675</v>
      </c>
      <c r="L1204" s="67">
        <f t="shared" si="90"/>
        <v>6</v>
      </c>
      <c r="M1204" s="105">
        <v>1.4833299999999999E-3</v>
      </c>
      <c r="N1204" s="104">
        <f t="shared" si="91"/>
        <v>-0.16269163440000001</v>
      </c>
      <c r="O1204" s="66"/>
      <c r="P1204" s="71">
        <f t="shared" si="92"/>
        <v>0</v>
      </c>
      <c r="Q1204" s="132"/>
      <c r="R1204" s="71">
        <f t="shared" si="93"/>
        <v>-0.27971065833333331</v>
      </c>
    </row>
    <row r="1205" spans="1:18">
      <c r="A1205" s="102" t="s">
        <v>626</v>
      </c>
      <c r="B1205" s="103" t="s">
        <v>912</v>
      </c>
      <c r="C1205" s="103" t="s">
        <v>913</v>
      </c>
      <c r="D1205" s="102" t="s">
        <v>914</v>
      </c>
      <c r="E1205" s="103" t="s">
        <v>164</v>
      </c>
      <c r="F1205" s="102" t="s">
        <v>1600</v>
      </c>
      <c r="G1205" s="103" t="s">
        <v>20</v>
      </c>
      <c r="H1205" s="108"/>
      <c r="I1205" s="103">
        <v>201508</v>
      </c>
      <c r="J1205" s="104">
        <v>-10.9</v>
      </c>
      <c r="K1205" s="72">
        <f t="shared" si="94"/>
        <v>42675</v>
      </c>
      <c r="L1205" s="67">
        <f t="shared" si="90"/>
        <v>6</v>
      </c>
      <c r="M1205" s="105">
        <v>1.4833299999999999E-3</v>
      </c>
      <c r="N1205" s="104">
        <f t="shared" si="91"/>
        <v>-9.7009782000000003E-2</v>
      </c>
      <c r="O1205" s="66"/>
      <c r="P1205" s="71">
        <f t="shared" si="92"/>
        <v>0</v>
      </c>
      <c r="Q1205" s="132"/>
      <c r="R1205" s="71">
        <f t="shared" si="93"/>
        <v>-0.16678589583333334</v>
      </c>
    </row>
    <row r="1206" spans="1:18">
      <c r="A1206" s="102" t="s">
        <v>626</v>
      </c>
      <c r="B1206" s="103" t="s">
        <v>915</v>
      </c>
      <c r="C1206" s="103" t="s">
        <v>916</v>
      </c>
      <c r="D1206" s="102" t="s">
        <v>917</v>
      </c>
      <c r="E1206" s="103" t="s">
        <v>918</v>
      </c>
      <c r="F1206" s="102" t="s">
        <v>1618</v>
      </c>
      <c r="G1206" s="103" t="s">
        <v>20</v>
      </c>
      <c r="H1206" s="108"/>
      <c r="I1206" s="103">
        <v>201508</v>
      </c>
      <c r="J1206" s="104">
        <v>-1.68</v>
      </c>
      <c r="K1206" s="72">
        <f t="shared" si="94"/>
        <v>42675</v>
      </c>
      <c r="L1206" s="67">
        <f t="shared" si="90"/>
        <v>6</v>
      </c>
      <c r="M1206" s="105">
        <v>1.4833299999999999E-3</v>
      </c>
      <c r="N1206" s="104">
        <f t="shared" si="91"/>
        <v>-1.4951966399999999E-2</v>
      </c>
      <c r="O1206" s="66"/>
      <c r="P1206" s="71">
        <f t="shared" si="92"/>
        <v>0</v>
      </c>
      <c r="Q1206" s="132"/>
      <c r="R1206" s="71">
        <f t="shared" si="93"/>
        <v>-2.5706449999999995E-2</v>
      </c>
    </row>
    <row r="1207" spans="1:18">
      <c r="A1207" s="106" t="s">
        <v>29</v>
      </c>
      <c r="B1207" s="103" t="s">
        <v>1570</v>
      </c>
      <c r="C1207" s="103" t="s">
        <v>1571</v>
      </c>
      <c r="D1207" s="102" t="s">
        <v>1572</v>
      </c>
      <c r="E1207" s="103" t="s">
        <v>1573</v>
      </c>
      <c r="F1207" s="102" t="s">
        <v>835</v>
      </c>
      <c r="G1207" s="103" t="s">
        <v>20</v>
      </c>
      <c r="H1207" s="108"/>
      <c r="I1207" s="103">
        <v>201508</v>
      </c>
      <c r="J1207" s="104">
        <v>-2.2599999999999998</v>
      </c>
      <c r="K1207" s="72">
        <f t="shared" si="94"/>
        <v>42675</v>
      </c>
      <c r="L1207" s="67">
        <f t="shared" si="90"/>
        <v>6</v>
      </c>
      <c r="M1207" s="105">
        <v>2.23333E-3</v>
      </c>
      <c r="N1207" s="104">
        <f t="shared" si="91"/>
        <v>-3.0283954799999995E-2</v>
      </c>
      <c r="O1207" s="66"/>
      <c r="P1207" s="71">
        <f t="shared" si="92"/>
        <v>0</v>
      </c>
      <c r="Q1207" s="132"/>
      <c r="R1207" s="71">
        <f t="shared" si="93"/>
        <v>-3.4581295833333331E-2</v>
      </c>
    </row>
    <row r="1208" spans="1:18">
      <c r="A1208" s="102" t="s">
        <v>626</v>
      </c>
      <c r="B1208" s="103" t="s">
        <v>1555</v>
      </c>
      <c r="C1208" s="103" t="s">
        <v>1556</v>
      </c>
      <c r="D1208" s="102" t="s">
        <v>1557</v>
      </c>
      <c r="E1208" s="103" t="s">
        <v>18</v>
      </c>
      <c r="F1208" s="102" t="s">
        <v>19</v>
      </c>
      <c r="G1208" s="103" t="s">
        <v>20</v>
      </c>
      <c r="H1208" s="108"/>
      <c r="I1208" s="103">
        <v>201508</v>
      </c>
      <c r="J1208" s="104">
        <v>-56.29</v>
      </c>
      <c r="K1208" s="72">
        <f t="shared" si="94"/>
        <v>42675</v>
      </c>
      <c r="L1208" s="67">
        <f t="shared" si="90"/>
        <v>6</v>
      </c>
      <c r="M1208" s="105">
        <v>1.4833299999999999E-3</v>
      </c>
      <c r="N1208" s="104">
        <f t="shared" si="91"/>
        <v>-0.50097987420000001</v>
      </c>
      <c r="O1208" s="66"/>
      <c r="P1208" s="71">
        <f t="shared" si="92"/>
        <v>0</v>
      </c>
      <c r="Q1208" s="132"/>
      <c r="R1208" s="71">
        <f t="shared" si="93"/>
        <v>-0.86131908958333314</v>
      </c>
    </row>
    <row r="1209" spans="1:18">
      <c r="A1209" s="102" t="s">
        <v>626</v>
      </c>
      <c r="B1209" s="103" t="s">
        <v>919</v>
      </c>
      <c r="C1209" s="103" t="s">
        <v>920</v>
      </c>
      <c r="D1209" s="102" t="s">
        <v>921</v>
      </c>
      <c r="E1209" s="103" t="s">
        <v>164</v>
      </c>
      <c r="F1209" s="102" t="s">
        <v>1600</v>
      </c>
      <c r="G1209" s="103" t="s">
        <v>20</v>
      </c>
      <c r="H1209" s="108"/>
      <c r="I1209" s="103">
        <v>201508</v>
      </c>
      <c r="J1209" s="104">
        <v>-3.9</v>
      </c>
      <c r="K1209" s="72">
        <f t="shared" si="94"/>
        <v>42675</v>
      </c>
      <c r="L1209" s="67">
        <f t="shared" si="90"/>
        <v>6</v>
      </c>
      <c r="M1209" s="105">
        <v>1.4833299999999999E-3</v>
      </c>
      <c r="N1209" s="104">
        <f t="shared" si="91"/>
        <v>-3.4709921999999997E-2</v>
      </c>
      <c r="O1209" s="66"/>
      <c r="P1209" s="71">
        <f t="shared" si="92"/>
        <v>0</v>
      </c>
      <c r="Q1209" s="132"/>
      <c r="R1209" s="71">
        <f t="shared" si="93"/>
        <v>-5.9675687499999998E-2</v>
      </c>
    </row>
    <row r="1210" spans="1:18">
      <c r="A1210" s="102" t="s">
        <v>21</v>
      </c>
      <c r="B1210" s="103" t="s">
        <v>894</v>
      </c>
      <c r="C1210" s="103" t="s">
        <v>895</v>
      </c>
      <c r="D1210" s="102" t="s">
        <v>896</v>
      </c>
      <c r="E1210" s="103" t="s">
        <v>280</v>
      </c>
      <c r="F1210" s="102" t="s">
        <v>26</v>
      </c>
      <c r="G1210" s="103" t="s">
        <v>20</v>
      </c>
      <c r="H1210" s="108"/>
      <c r="I1210" s="103">
        <v>201508</v>
      </c>
      <c r="J1210" s="104">
        <v>-1.21</v>
      </c>
      <c r="K1210" s="72">
        <f t="shared" si="94"/>
        <v>42675</v>
      </c>
      <c r="L1210" s="67">
        <f t="shared" si="90"/>
        <v>6</v>
      </c>
      <c r="M1210" s="105">
        <v>1.4833299999999999E-3</v>
      </c>
      <c r="N1210" s="104">
        <f t="shared" si="91"/>
        <v>-1.07689758E-2</v>
      </c>
      <c r="O1210" s="66"/>
      <c r="P1210" s="71">
        <f t="shared" si="92"/>
        <v>0</v>
      </c>
      <c r="Q1210" s="132"/>
      <c r="R1210" s="71">
        <f t="shared" si="93"/>
        <v>-1.8514764583333333E-2</v>
      </c>
    </row>
    <row r="1211" spans="1:18">
      <c r="A1211" s="102" t="s">
        <v>626</v>
      </c>
      <c r="B1211" s="103" t="s">
        <v>1047</v>
      </c>
      <c r="C1211" s="103" t="s">
        <v>1048</v>
      </c>
      <c r="D1211" s="102" t="s">
        <v>1049</v>
      </c>
      <c r="E1211" s="103" t="s">
        <v>164</v>
      </c>
      <c r="F1211" s="102" t="s">
        <v>1600</v>
      </c>
      <c r="G1211" s="103" t="s">
        <v>20</v>
      </c>
      <c r="H1211" s="108"/>
      <c r="I1211" s="103">
        <v>201508</v>
      </c>
      <c r="J1211" s="104">
        <v>-257.8</v>
      </c>
      <c r="K1211" s="72">
        <f t="shared" si="94"/>
        <v>42675</v>
      </c>
      <c r="L1211" s="67">
        <f t="shared" si="90"/>
        <v>6</v>
      </c>
      <c r="M1211" s="105">
        <v>1.4833299999999999E-3</v>
      </c>
      <c r="N1211" s="104">
        <f t="shared" si="91"/>
        <v>-2.2944148440000003</v>
      </c>
      <c r="O1211" s="66"/>
      <c r="P1211" s="71">
        <f t="shared" si="92"/>
        <v>0</v>
      </c>
      <c r="Q1211" s="132"/>
      <c r="R1211" s="71">
        <f t="shared" si="93"/>
        <v>-3.9447159583333331</v>
      </c>
    </row>
    <row r="1212" spans="1:18">
      <c r="A1212" s="102" t="s">
        <v>21</v>
      </c>
      <c r="B1212" s="103" t="s">
        <v>1502</v>
      </c>
      <c r="C1212" s="103" t="s">
        <v>1503</v>
      </c>
      <c r="D1212" s="102" t="s">
        <v>1504</v>
      </c>
      <c r="E1212" s="103" t="s">
        <v>172</v>
      </c>
      <c r="F1212" s="102" t="s">
        <v>1609</v>
      </c>
      <c r="G1212" s="103" t="s">
        <v>20</v>
      </c>
      <c r="H1212" s="108"/>
      <c r="I1212" s="103">
        <v>201508</v>
      </c>
      <c r="J1212" s="104">
        <v>-60.7</v>
      </c>
      <c r="K1212" s="72">
        <f t="shared" si="94"/>
        <v>42675</v>
      </c>
      <c r="L1212" s="67">
        <f t="shared" si="90"/>
        <v>6</v>
      </c>
      <c r="M1212" s="105">
        <v>1.4833299999999999E-3</v>
      </c>
      <c r="N1212" s="104">
        <f t="shared" si="91"/>
        <v>-0.54022878600000002</v>
      </c>
      <c r="O1212" s="66"/>
      <c r="P1212" s="71">
        <f t="shared" si="92"/>
        <v>0</v>
      </c>
      <c r="Q1212" s="132"/>
      <c r="R1212" s="71">
        <f t="shared" si="93"/>
        <v>-0.92879852083333336</v>
      </c>
    </row>
    <row r="1213" spans="1:18">
      <c r="A1213" s="102" t="s">
        <v>21</v>
      </c>
      <c r="B1213" s="103" t="s">
        <v>1259</v>
      </c>
      <c r="C1213" s="103" t="s">
        <v>1260</v>
      </c>
      <c r="D1213" s="102" t="s">
        <v>1261</v>
      </c>
      <c r="E1213" s="103" t="s">
        <v>756</v>
      </c>
      <c r="F1213" s="102" t="s">
        <v>757</v>
      </c>
      <c r="G1213" s="103" t="s">
        <v>20</v>
      </c>
      <c r="H1213" s="108"/>
      <c r="I1213" s="103">
        <v>201508</v>
      </c>
      <c r="J1213" s="104">
        <v>-61.71</v>
      </c>
      <c r="K1213" s="72">
        <f t="shared" si="94"/>
        <v>42675</v>
      </c>
      <c r="L1213" s="67">
        <f t="shared" si="90"/>
        <v>6</v>
      </c>
      <c r="M1213" s="105">
        <v>1.4833299999999999E-3</v>
      </c>
      <c r="N1213" s="104">
        <f t="shared" si="91"/>
        <v>-0.54921776580000004</v>
      </c>
      <c r="O1213" s="66"/>
      <c r="P1213" s="71">
        <f t="shared" si="92"/>
        <v>0</v>
      </c>
      <c r="Q1213" s="132"/>
      <c r="R1213" s="71">
        <f t="shared" si="93"/>
        <v>-0.94425299374999982</v>
      </c>
    </row>
    <row r="1214" spans="1:18">
      <c r="A1214" s="102" t="s">
        <v>21</v>
      </c>
      <c r="B1214" s="103" t="s">
        <v>1306</v>
      </c>
      <c r="C1214" s="103" t="s">
        <v>1307</v>
      </c>
      <c r="D1214" s="102" t="s">
        <v>1308</v>
      </c>
      <c r="E1214" s="103" t="s">
        <v>18</v>
      </c>
      <c r="F1214" s="102" t="s">
        <v>19</v>
      </c>
      <c r="G1214" s="103" t="s">
        <v>20</v>
      </c>
      <c r="H1214" s="108"/>
      <c r="I1214" s="103">
        <v>201508</v>
      </c>
      <c r="J1214" s="104">
        <v>-1037.55</v>
      </c>
      <c r="K1214" s="72">
        <f t="shared" si="94"/>
        <v>42675</v>
      </c>
      <c r="L1214" s="67">
        <f t="shared" si="90"/>
        <v>6</v>
      </c>
      <c r="M1214" s="105">
        <v>1.4833299999999999E-3</v>
      </c>
      <c r="N1214" s="104">
        <f t="shared" si="91"/>
        <v>-9.2341742490000005</v>
      </c>
      <c r="O1214" s="66"/>
      <c r="P1214" s="71">
        <f t="shared" si="92"/>
        <v>0</v>
      </c>
      <c r="Q1214" s="132"/>
      <c r="R1214" s="71">
        <f t="shared" si="93"/>
        <v>-15.876028093749996</v>
      </c>
    </row>
    <row r="1215" spans="1:18">
      <c r="A1215" s="102" t="s">
        <v>626</v>
      </c>
      <c r="B1215" s="103" t="s">
        <v>1103</v>
      </c>
      <c r="C1215" s="103" t="s">
        <v>1104</v>
      </c>
      <c r="D1215" s="102" t="s">
        <v>1105</v>
      </c>
      <c r="E1215" s="103" t="s">
        <v>87</v>
      </c>
      <c r="F1215" s="102" t="s">
        <v>1603</v>
      </c>
      <c r="G1215" s="103" t="s">
        <v>20</v>
      </c>
      <c r="H1215" s="108"/>
      <c r="I1215" s="103">
        <v>201508</v>
      </c>
      <c r="J1215" s="104">
        <v>-148.58000000000001</v>
      </c>
      <c r="K1215" s="72">
        <f t="shared" si="94"/>
        <v>42675</v>
      </c>
      <c r="L1215" s="67">
        <f t="shared" si="90"/>
        <v>6</v>
      </c>
      <c r="M1215" s="105">
        <v>1.4833299999999999E-3</v>
      </c>
      <c r="N1215" s="104">
        <f t="shared" si="91"/>
        <v>-1.3223590284000002</v>
      </c>
      <c r="O1215" s="66"/>
      <c r="P1215" s="71">
        <f t="shared" si="92"/>
        <v>0</v>
      </c>
      <c r="Q1215" s="132"/>
      <c r="R1215" s="71">
        <f t="shared" si="93"/>
        <v>-2.2734906791666667</v>
      </c>
    </row>
    <row r="1216" spans="1:18">
      <c r="A1216" s="102" t="s">
        <v>626</v>
      </c>
      <c r="B1216" s="103" t="s">
        <v>1106</v>
      </c>
      <c r="C1216" s="103" t="s">
        <v>1107</v>
      </c>
      <c r="D1216" s="102" t="s">
        <v>1108</v>
      </c>
      <c r="E1216" s="103" t="s">
        <v>18</v>
      </c>
      <c r="F1216" s="102" t="s">
        <v>19</v>
      </c>
      <c r="G1216" s="103" t="s">
        <v>20</v>
      </c>
      <c r="H1216" s="108"/>
      <c r="I1216" s="103">
        <v>201508</v>
      </c>
      <c r="J1216" s="104">
        <v>-66.58</v>
      </c>
      <c r="K1216" s="72">
        <f t="shared" si="94"/>
        <v>42675</v>
      </c>
      <c r="L1216" s="67">
        <f t="shared" si="90"/>
        <v>6</v>
      </c>
      <c r="M1216" s="105">
        <v>1.4833299999999999E-3</v>
      </c>
      <c r="N1216" s="104">
        <f t="shared" si="91"/>
        <v>-0.59256066839999999</v>
      </c>
      <c r="O1216" s="66"/>
      <c r="P1216" s="71">
        <f t="shared" si="92"/>
        <v>0</v>
      </c>
      <c r="Q1216" s="132"/>
      <c r="R1216" s="71">
        <f t="shared" si="93"/>
        <v>-1.0187710958333331</v>
      </c>
    </row>
    <row r="1217" spans="1:18">
      <c r="A1217" s="106" t="s">
        <v>21</v>
      </c>
      <c r="B1217" s="103" t="s">
        <v>1262</v>
      </c>
      <c r="C1217" s="103" t="s">
        <v>1263</v>
      </c>
      <c r="D1217" s="102" t="s">
        <v>1264</v>
      </c>
      <c r="E1217" s="103" t="s">
        <v>172</v>
      </c>
      <c r="F1217" s="102" t="s">
        <v>1609</v>
      </c>
      <c r="G1217" s="103" t="s">
        <v>20</v>
      </c>
      <c r="H1217" s="108"/>
      <c r="I1217" s="103">
        <v>201508</v>
      </c>
      <c r="J1217" s="104">
        <v>-65.05</v>
      </c>
      <c r="K1217" s="72">
        <f t="shared" si="94"/>
        <v>42675</v>
      </c>
      <c r="L1217" s="67">
        <f t="shared" si="90"/>
        <v>6</v>
      </c>
      <c r="M1217" s="105">
        <v>1.4833299999999999E-3</v>
      </c>
      <c r="N1217" s="104">
        <f t="shared" si="91"/>
        <v>-0.57894369899999998</v>
      </c>
      <c r="O1217" s="66"/>
      <c r="P1217" s="71">
        <f t="shared" si="92"/>
        <v>0</v>
      </c>
      <c r="Q1217" s="132"/>
      <c r="R1217" s="71">
        <f t="shared" si="93"/>
        <v>-0.99535986458333325</v>
      </c>
    </row>
    <row r="1218" spans="1:18">
      <c r="A1218" s="102" t="s">
        <v>21</v>
      </c>
      <c r="B1218" s="103" t="s">
        <v>1151</v>
      </c>
      <c r="C1218" s="103" t="s">
        <v>1152</v>
      </c>
      <c r="D1218" s="102" t="s">
        <v>1153</v>
      </c>
      <c r="E1218" s="103" t="s">
        <v>70</v>
      </c>
      <c r="F1218" s="102" t="s">
        <v>71</v>
      </c>
      <c r="G1218" s="103" t="s">
        <v>20</v>
      </c>
      <c r="H1218" s="108"/>
      <c r="I1218" s="103">
        <v>201508</v>
      </c>
      <c r="J1218" s="104">
        <v>-100.22</v>
      </c>
      <c r="K1218" s="72">
        <f t="shared" si="94"/>
        <v>42675</v>
      </c>
      <c r="L1218" s="67">
        <f t="shared" si="90"/>
        <v>6</v>
      </c>
      <c r="M1218" s="105">
        <v>1.4833299999999999E-3</v>
      </c>
      <c r="N1218" s="104">
        <f t="shared" si="91"/>
        <v>-0.89195599559999994</v>
      </c>
      <c r="O1218" s="66"/>
      <c r="P1218" s="71">
        <f t="shared" si="92"/>
        <v>0</v>
      </c>
      <c r="Q1218" s="132"/>
      <c r="R1218" s="71">
        <f t="shared" si="93"/>
        <v>-1.5335121541666665</v>
      </c>
    </row>
    <row r="1219" spans="1:18">
      <c r="A1219" s="106" t="s">
        <v>21</v>
      </c>
      <c r="B1219" s="103" t="s">
        <v>978</v>
      </c>
      <c r="C1219" s="103" t="s">
        <v>979</v>
      </c>
      <c r="D1219" s="102" t="s">
        <v>980</v>
      </c>
      <c r="E1219" s="103" t="s">
        <v>102</v>
      </c>
      <c r="F1219" s="102" t="s">
        <v>19</v>
      </c>
      <c r="G1219" s="103" t="s">
        <v>20</v>
      </c>
      <c r="H1219" s="108"/>
      <c r="I1219" s="103">
        <v>201508</v>
      </c>
      <c r="J1219" s="104">
        <v>-11.36</v>
      </c>
      <c r="K1219" s="72">
        <f t="shared" si="94"/>
        <v>42675</v>
      </c>
      <c r="L1219" s="67">
        <f t="shared" si="90"/>
        <v>6</v>
      </c>
      <c r="M1219" s="105">
        <v>1.4833299999999999E-3</v>
      </c>
      <c r="N1219" s="104">
        <f t="shared" si="91"/>
        <v>-0.10110377279999999</v>
      </c>
      <c r="O1219" s="66"/>
      <c r="P1219" s="71">
        <f t="shared" si="92"/>
        <v>0</v>
      </c>
      <c r="Q1219" s="132"/>
      <c r="R1219" s="71">
        <f t="shared" si="93"/>
        <v>-0.17382456666666665</v>
      </c>
    </row>
    <row r="1220" spans="1:18">
      <c r="A1220" s="106" t="s">
        <v>21</v>
      </c>
      <c r="B1220" s="103" t="s">
        <v>1265</v>
      </c>
      <c r="C1220" s="103" t="s">
        <v>1266</v>
      </c>
      <c r="D1220" s="102" t="s">
        <v>1267</v>
      </c>
      <c r="E1220" s="103" t="s">
        <v>172</v>
      </c>
      <c r="F1220" s="102" t="s">
        <v>1609</v>
      </c>
      <c r="G1220" s="103" t="s">
        <v>20</v>
      </c>
      <c r="H1220" s="108"/>
      <c r="I1220" s="103">
        <v>201508</v>
      </c>
      <c r="J1220" s="104">
        <v>-74.08</v>
      </c>
      <c r="K1220" s="72">
        <f t="shared" si="94"/>
        <v>42675</v>
      </c>
      <c r="L1220" s="67">
        <f t="shared" si="90"/>
        <v>6</v>
      </c>
      <c r="M1220" s="105">
        <v>1.4833299999999999E-3</v>
      </c>
      <c r="N1220" s="104">
        <f t="shared" si="91"/>
        <v>-0.65931051839999999</v>
      </c>
      <c r="O1220" s="66"/>
      <c r="P1220" s="71">
        <f t="shared" si="92"/>
        <v>0</v>
      </c>
      <c r="Q1220" s="132"/>
      <c r="R1220" s="71">
        <f t="shared" si="93"/>
        <v>-1.1335320333333332</v>
      </c>
    </row>
    <row r="1221" spans="1:18">
      <c r="A1221" s="106" t="s">
        <v>626</v>
      </c>
      <c r="B1221" s="103" t="s">
        <v>1109</v>
      </c>
      <c r="C1221" s="103" t="s">
        <v>1110</v>
      </c>
      <c r="D1221" s="102" t="s">
        <v>1111</v>
      </c>
      <c r="E1221" s="103" t="s">
        <v>260</v>
      </c>
      <c r="F1221" s="102" t="s">
        <v>1608</v>
      </c>
      <c r="G1221" s="103" t="s">
        <v>20</v>
      </c>
      <c r="H1221" s="108"/>
      <c r="I1221" s="103">
        <v>201508</v>
      </c>
      <c r="J1221" s="104">
        <v>-61.02</v>
      </c>
      <c r="K1221" s="72">
        <f t="shared" si="94"/>
        <v>42675</v>
      </c>
      <c r="L1221" s="67">
        <f t="shared" ref="L1221:L1284" si="95">((YEAR($L$1)-YEAR(K1221))*12+MONTH($L$1)-MONTH(K1221))</f>
        <v>6</v>
      </c>
      <c r="M1221" s="105">
        <v>1.4833299999999999E-3</v>
      </c>
      <c r="N1221" s="104">
        <f t="shared" ref="N1221:N1284" si="96">M1221*L1221*J1221</f>
        <v>-0.5430767796</v>
      </c>
      <c r="O1221" s="66"/>
      <c r="P1221" s="71">
        <f t="shared" si="92"/>
        <v>0</v>
      </c>
      <c r="Q1221" s="132"/>
      <c r="R1221" s="71">
        <f t="shared" si="93"/>
        <v>-0.93369498750000002</v>
      </c>
    </row>
    <row r="1222" spans="1:18">
      <c r="A1222" s="106" t="s">
        <v>626</v>
      </c>
      <c r="B1222" s="103" t="s">
        <v>1050</v>
      </c>
      <c r="C1222" s="103" t="s">
        <v>1051</v>
      </c>
      <c r="D1222" s="102" t="s">
        <v>1052</v>
      </c>
      <c r="E1222" s="103" t="s">
        <v>164</v>
      </c>
      <c r="F1222" s="102" t="s">
        <v>1600</v>
      </c>
      <c r="G1222" s="103" t="s">
        <v>20</v>
      </c>
      <c r="H1222" s="108"/>
      <c r="I1222" s="103">
        <v>201508</v>
      </c>
      <c r="J1222" s="104">
        <v>-106.1</v>
      </c>
      <c r="K1222" s="72">
        <f t="shared" si="94"/>
        <v>42675</v>
      </c>
      <c r="L1222" s="67">
        <f t="shared" si="95"/>
        <v>6</v>
      </c>
      <c r="M1222" s="105">
        <v>1.4833299999999999E-3</v>
      </c>
      <c r="N1222" s="104">
        <f t="shared" si="96"/>
        <v>-0.94428787799999991</v>
      </c>
      <c r="O1222" s="66"/>
      <c r="P1222" s="71">
        <f t="shared" ref="P1222:P1285" si="97">($P$4*0.5*J1222*$T$12)</f>
        <v>0</v>
      </c>
      <c r="Q1222" s="132"/>
      <c r="R1222" s="71">
        <f t="shared" ref="R1222:R1285" si="98">($R$4*0.5*J1222*$T$12)</f>
        <v>-1.6234847291666665</v>
      </c>
    </row>
    <row r="1223" spans="1:18">
      <c r="A1223" s="106" t="s">
        <v>626</v>
      </c>
      <c r="B1223" s="103" t="s">
        <v>1209</v>
      </c>
      <c r="C1223" s="103" t="s">
        <v>1210</v>
      </c>
      <c r="D1223" s="102" t="s">
        <v>1211</v>
      </c>
      <c r="E1223" s="103" t="s">
        <v>79</v>
      </c>
      <c r="F1223" s="102" t="s">
        <v>26</v>
      </c>
      <c r="G1223" s="103" t="s">
        <v>20</v>
      </c>
      <c r="H1223" s="108"/>
      <c r="I1223" s="103">
        <v>201508</v>
      </c>
      <c r="J1223" s="104">
        <v>-178.27</v>
      </c>
      <c r="K1223" s="72">
        <f t="shared" ref="K1223:K1286" si="99">+K1222</f>
        <v>42675</v>
      </c>
      <c r="L1223" s="67">
        <f t="shared" si="95"/>
        <v>6</v>
      </c>
      <c r="M1223" s="105">
        <v>1.4833299999999999E-3</v>
      </c>
      <c r="N1223" s="104">
        <f t="shared" si="96"/>
        <v>-1.5865994346000001</v>
      </c>
      <c r="O1223" s="66"/>
      <c r="P1223" s="71">
        <f t="shared" si="97"/>
        <v>0</v>
      </c>
      <c r="Q1223" s="132"/>
      <c r="R1223" s="71">
        <f t="shared" si="98"/>
        <v>-2.7277909770833331</v>
      </c>
    </row>
    <row r="1224" spans="1:18">
      <c r="A1224" s="106" t="s">
        <v>626</v>
      </c>
      <c r="B1224" s="103" t="s">
        <v>981</v>
      </c>
      <c r="C1224" s="103" t="s">
        <v>982</v>
      </c>
      <c r="D1224" s="102" t="s">
        <v>983</v>
      </c>
      <c r="E1224" s="103" t="s">
        <v>531</v>
      </c>
      <c r="F1224" s="102" t="s">
        <v>26</v>
      </c>
      <c r="G1224" s="103" t="s">
        <v>20</v>
      </c>
      <c r="H1224" s="108"/>
      <c r="I1224" s="103">
        <v>201508</v>
      </c>
      <c r="J1224" s="104">
        <v>-80.22</v>
      </c>
      <c r="K1224" s="72">
        <f t="shared" si="99"/>
        <v>42675</v>
      </c>
      <c r="L1224" s="67">
        <f t="shared" si="95"/>
        <v>6</v>
      </c>
      <c r="M1224" s="105">
        <v>1.4833299999999999E-3</v>
      </c>
      <c r="N1224" s="104">
        <f t="shared" si="96"/>
        <v>-0.71395639560000002</v>
      </c>
      <c r="O1224" s="66"/>
      <c r="P1224" s="71">
        <f t="shared" si="97"/>
        <v>0</v>
      </c>
      <c r="Q1224" s="132"/>
      <c r="R1224" s="71">
        <f t="shared" si="98"/>
        <v>-1.2274829875</v>
      </c>
    </row>
    <row r="1225" spans="1:18">
      <c r="A1225" s="106" t="s">
        <v>626</v>
      </c>
      <c r="B1225" s="103" t="s">
        <v>1414</v>
      </c>
      <c r="C1225" s="103" t="s">
        <v>1415</v>
      </c>
      <c r="D1225" s="102" t="s">
        <v>1416</v>
      </c>
      <c r="E1225" s="103" t="s">
        <v>209</v>
      </c>
      <c r="F1225" s="102" t="s">
        <v>1612</v>
      </c>
      <c r="G1225" s="103" t="s">
        <v>20</v>
      </c>
      <c r="H1225" s="108"/>
      <c r="I1225" s="103">
        <v>201508</v>
      </c>
      <c r="J1225" s="104">
        <v>-668.24</v>
      </c>
      <c r="K1225" s="72">
        <f t="shared" si="99"/>
        <v>42675</v>
      </c>
      <c r="L1225" s="67">
        <f t="shared" si="95"/>
        <v>6</v>
      </c>
      <c r="M1225" s="105">
        <v>1.4833299999999999E-3</v>
      </c>
      <c r="N1225" s="104">
        <f t="shared" si="96"/>
        <v>-5.9473226351999999</v>
      </c>
      <c r="O1225" s="66"/>
      <c r="P1225" s="71">
        <f t="shared" si="97"/>
        <v>0</v>
      </c>
      <c r="Q1225" s="132"/>
      <c r="R1225" s="71">
        <f t="shared" si="98"/>
        <v>-10.225046516666666</v>
      </c>
    </row>
    <row r="1226" spans="1:18">
      <c r="A1226" s="106" t="s">
        <v>626</v>
      </c>
      <c r="B1226" s="103" t="s">
        <v>1292</v>
      </c>
      <c r="C1226" s="103" t="s">
        <v>1293</v>
      </c>
      <c r="D1226" s="102" t="s">
        <v>1294</v>
      </c>
      <c r="E1226" s="103" t="s">
        <v>93</v>
      </c>
      <c r="F1226" s="102" t="s">
        <v>1601</v>
      </c>
      <c r="G1226" s="103" t="s">
        <v>20</v>
      </c>
      <c r="H1226" s="108"/>
      <c r="I1226" s="103">
        <v>201508</v>
      </c>
      <c r="J1226" s="104">
        <v>-104.27</v>
      </c>
      <c r="K1226" s="72">
        <f t="shared" si="99"/>
        <v>42675</v>
      </c>
      <c r="L1226" s="67">
        <f t="shared" si="95"/>
        <v>6</v>
      </c>
      <c r="M1226" s="105">
        <v>1.4833299999999999E-3</v>
      </c>
      <c r="N1226" s="104">
        <f t="shared" si="96"/>
        <v>-0.9280009146</v>
      </c>
      <c r="O1226" s="66"/>
      <c r="P1226" s="71">
        <f t="shared" si="97"/>
        <v>0</v>
      </c>
      <c r="Q1226" s="132"/>
      <c r="R1226" s="71">
        <f t="shared" si="98"/>
        <v>-1.5954830604166665</v>
      </c>
    </row>
    <row r="1227" spans="1:18">
      <c r="A1227" s="106" t="s">
        <v>21</v>
      </c>
      <c r="B1227" s="103" t="s">
        <v>1154</v>
      </c>
      <c r="C1227" s="103" t="s">
        <v>1155</v>
      </c>
      <c r="D1227" s="102" t="s">
        <v>1156</v>
      </c>
      <c r="E1227" s="103" t="s">
        <v>397</v>
      </c>
      <c r="F1227" s="102" t="s">
        <v>398</v>
      </c>
      <c r="G1227" s="103" t="s">
        <v>20</v>
      </c>
      <c r="H1227" s="108"/>
      <c r="I1227" s="103">
        <v>201508</v>
      </c>
      <c r="J1227" s="104">
        <v>-304.68</v>
      </c>
      <c r="K1227" s="72">
        <f t="shared" si="99"/>
        <v>42675</v>
      </c>
      <c r="L1227" s="67">
        <f t="shared" si="95"/>
        <v>6</v>
      </c>
      <c r="M1227" s="105">
        <v>1.4833299999999999E-3</v>
      </c>
      <c r="N1227" s="104">
        <f t="shared" si="96"/>
        <v>-2.7116459064000002</v>
      </c>
      <c r="O1227" s="66"/>
      <c r="P1227" s="71">
        <f t="shared" si="97"/>
        <v>0</v>
      </c>
      <c r="Q1227" s="132"/>
      <c r="R1227" s="71">
        <f t="shared" si="98"/>
        <v>-4.6620483249999998</v>
      </c>
    </row>
    <row r="1228" spans="1:18">
      <c r="A1228" s="106" t="s">
        <v>626</v>
      </c>
      <c r="B1228" s="103" t="s">
        <v>1053</v>
      </c>
      <c r="C1228" s="103" t="s">
        <v>1054</v>
      </c>
      <c r="D1228" s="102" t="s">
        <v>1055</v>
      </c>
      <c r="E1228" s="103" t="s">
        <v>160</v>
      </c>
      <c r="F1228" s="102" t="s">
        <v>19</v>
      </c>
      <c r="G1228" s="103" t="s">
        <v>20</v>
      </c>
      <c r="H1228" s="108"/>
      <c r="I1228" s="103">
        <v>201508</v>
      </c>
      <c r="J1228" s="104">
        <v>-2.65</v>
      </c>
      <c r="K1228" s="72">
        <f t="shared" si="99"/>
        <v>42675</v>
      </c>
      <c r="L1228" s="67">
        <f t="shared" si="95"/>
        <v>6</v>
      </c>
      <c r="M1228" s="105">
        <v>1.4833299999999999E-3</v>
      </c>
      <c r="N1228" s="104">
        <f t="shared" si="96"/>
        <v>-2.3584946999999998E-2</v>
      </c>
      <c r="O1228" s="66"/>
      <c r="P1228" s="71">
        <f t="shared" si="97"/>
        <v>0</v>
      </c>
      <c r="Q1228" s="132"/>
      <c r="R1228" s="71">
        <f t="shared" si="98"/>
        <v>-4.0548864583333323E-2</v>
      </c>
    </row>
    <row r="1229" spans="1:18">
      <c r="A1229" s="106" t="s">
        <v>626</v>
      </c>
      <c r="B1229" s="103" t="s">
        <v>1056</v>
      </c>
      <c r="C1229" s="103" t="s">
        <v>1057</v>
      </c>
      <c r="D1229" s="102" t="s">
        <v>1058</v>
      </c>
      <c r="E1229" s="103" t="s">
        <v>1059</v>
      </c>
      <c r="F1229" s="102" t="s">
        <v>26</v>
      </c>
      <c r="G1229" s="103" t="s">
        <v>20</v>
      </c>
      <c r="H1229" s="108"/>
      <c r="I1229" s="103">
        <v>201508</v>
      </c>
      <c r="J1229" s="104">
        <v>-43.8</v>
      </c>
      <c r="K1229" s="72">
        <f t="shared" si="99"/>
        <v>42675</v>
      </c>
      <c r="L1229" s="67">
        <f t="shared" si="95"/>
        <v>6</v>
      </c>
      <c r="M1229" s="105">
        <v>1.4833299999999999E-3</v>
      </c>
      <c r="N1229" s="104">
        <f t="shared" si="96"/>
        <v>-0.38981912399999996</v>
      </c>
      <c r="O1229" s="66"/>
      <c r="P1229" s="71">
        <f t="shared" si="97"/>
        <v>0</v>
      </c>
      <c r="Q1229" s="132"/>
      <c r="R1229" s="71">
        <f t="shared" si="98"/>
        <v>-0.67020387499999989</v>
      </c>
    </row>
    <row r="1230" spans="1:18">
      <c r="A1230" s="106" t="s">
        <v>626</v>
      </c>
      <c r="B1230" s="103" t="s">
        <v>1160</v>
      </c>
      <c r="C1230" s="103" t="s">
        <v>1161</v>
      </c>
      <c r="D1230" s="102" t="s">
        <v>1162</v>
      </c>
      <c r="E1230" s="103" t="s">
        <v>160</v>
      </c>
      <c r="F1230" s="102" t="s">
        <v>19</v>
      </c>
      <c r="G1230" s="103" t="s">
        <v>20</v>
      </c>
      <c r="H1230" s="108"/>
      <c r="I1230" s="103">
        <v>201508</v>
      </c>
      <c r="J1230" s="104">
        <v>-90.31</v>
      </c>
      <c r="K1230" s="72">
        <f t="shared" si="99"/>
        <v>42675</v>
      </c>
      <c r="L1230" s="67">
        <f t="shared" si="95"/>
        <v>6</v>
      </c>
      <c r="M1230" s="105">
        <v>1.4833299999999999E-3</v>
      </c>
      <c r="N1230" s="104">
        <f t="shared" si="96"/>
        <v>-0.80375719379999999</v>
      </c>
      <c r="O1230" s="66"/>
      <c r="P1230" s="71">
        <f t="shared" si="97"/>
        <v>0</v>
      </c>
      <c r="Q1230" s="132"/>
      <c r="R1230" s="71">
        <f t="shared" si="98"/>
        <v>-1.3818747020833333</v>
      </c>
    </row>
    <row r="1231" spans="1:18">
      <c r="A1231" s="106" t="s">
        <v>626</v>
      </c>
      <c r="B1231" s="103" t="s">
        <v>1558</v>
      </c>
      <c r="C1231" s="103" t="s">
        <v>1559</v>
      </c>
      <c r="D1231" s="102" t="s">
        <v>1560</v>
      </c>
      <c r="E1231" s="103" t="s">
        <v>160</v>
      </c>
      <c r="F1231" s="102" t="s">
        <v>19</v>
      </c>
      <c r="G1231" s="103" t="s">
        <v>20</v>
      </c>
      <c r="H1231" s="108"/>
      <c r="I1231" s="103">
        <v>201508</v>
      </c>
      <c r="J1231" s="104">
        <v>-6.16</v>
      </c>
      <c r="K1231" s="72">
        <f t="shared" si="99"/>
        <v>42675</v>
      </c>
      <c r="L1231" s="67">
        <f t="shared" si="95"/>
        <v>6</v>
      </c>
      <c r="M1231" s="105">
        <v>1.4833299999999999E-3</v>
      </c>
      <c r="N1231" s="104">
        <f t="shared" si="96"/>
        <v>-5.4823876800000004E-2</v>
      </c>
      <c r="O1231" s="66"/>
      <c r="P1231" s="71">
        <f t="shared" si="97"/>
        <v>0</v>
      </c>
      <c r="Q1231" s="132"/>
      <c r="R1231" s="71">
        <f t="shared" si="98"/>
        <v>-9.4256983333333322E-2</v>
      </c>
    </row>
    <row r="1232" spans="1:18">
      <c r="A1232" s="102" t="s">
        <v>626</v>
      </c>
      <c r="B1232" s="103" t="s">
        <v>1417</v>
      </c>
      <c r="C1232" s="103" t="s">
        <v>1418</v>
      </c>
      <c r="D1232" s="102" t="s">
        <v>1419</v>
      </c>
      <c r="E1232" s="103" t="s">
        <v>75</v>
      </c>
      <c r="F1232" s="102" t="s">
        <v>1602</v>
      </c>
      <c r="G1232" s="103" t="s">
        <v>20</v>
      </c>
      <c r="H1232" s="108"/>
      <c r="I1232" s="103">
        <v>201508</v>
      </c>
      <c r="J1232" s="104">
        <v>-90654.73</v>
      </c>
      <c r="K1232" s="72">
        <f t="shared" si="99"/>
        <v>42675</v>
      </c>
      <c r="L1232" s="67">
        <f t="shared" si="95"/>
        <v>6</v>
      </c>
      <c r="M1232" s="105">
        <v>1.4833299999999999E-3</v>
      </c>
      <c r="N1232" s="104">
        <f t="shared" si="96"/>
        <v>-806.82528390539994</v>
      </c>
      <c r="O1232" s="66"/>
      <c r="P1232" s="71">
        <f t="shared" si="97"/>
        <v>0</v>
      </c>
      <c r="Q1232" s="132"/>
      <c r="R1232" s="71">
        <f t="shared" si="98"/>
        <v>-1387.1495738145832</v>
      </c>
    </row>
    <row r="1233" spans="1:18">
      <c r="A1233" s="102" t="s">
        <v>626</v>
      </c>
      <c r="B1233" s="103" t="s">
        <v>1163</v>
      </c>
      <c r="C1233" s="103" t="s">
        <v>1164</v>
      </c>
      <c r="D1233" s="102" t="s">
        <v>1165</v>
      </c>
      <c r="E1233" s="103" t="s">
        <v>75</v>
      </c>
      <c r="F1233" s="102" t="s">
        <v>1602</v>
      </c>
      <c r="G1233" s="103" t="s">
        <v>20</v>
      </c>
      <c r="H1233" s="108"/>
      <c r="I1233" s="103">
        <v>201508</v>
      </c>
      <c r="J1233" s="104">
        <v>-68.44</v>
      </c>
      <c r="K1233" s="72">
        <f t="shared" si="99"/>
        <v>42675</v>
      </c>
      <c r="L1233" s="67">
        <f t="shared" si="95"/>
        <v>6</v>
      </c>
      <c r="M1233" s="105">
        <v>1.4833299999999999E-3</v>
      </c>
      <c r="N1233" s="104">
        <f t="shared" si="96"/>
        <v>-0.60911463119999998</v>
      </c>
      <c r="O1233" s="66"/>
      <c r="P1233" s="71">
        <f t="shared" si="97"/>
        <v>0</v>
      </c>
      <c r="Q1233" s="132"/>
      <c r="R1233" s="71">
        <f t="shared" si="98"/>
        <v>-1.0472318083333332</v>
      </c>
    </row>
    <row r="1234" spans="1:18">
      <c r="A1234" s="102" t="s">
        <v>626</v>
      </c>
      <c r="B1234" s="103" t="s">
        <v>987</v>
      </c>
      <c r="C1234" s="103" t="s">
        <v>988</v>
      </c>
      <c r="D1234" s="102" t="s">
        <v>989</v>
      </c>
      <c r="E1234" s="103" t="s">
        <v>63</v>
      </c>
      <c r="F1234" s="102" t="s">
        <v>19</v>
      </c>
      <c r="G1234" s="103" t="s">
        <v>20</v>
      </c>
      <c r="H1234" s="108"/>
      <c r="I1234" s="103">
        <v>201508</v>
      </c>
      <c r="J1234" s="104">
        <v>-0.74</v>
      </c>
      <c r="K1234" s="72">
        <f t="shared" si="99"/>
        <v>42675</v>
      </c>
      <c r="L1234" s="67">
        <f t="shared" si="95"/>
        <v>6</v>
      </c>
      <c r="M1234" s="105">
        <v>1.4833299999999999E-3</v>
      </c>
      <c r="N1234" s="104">
        <f t="shared" si="96"/>
        <v>-6.5859852E-3</v>
      </c>
      <c r="O1234" s="66"/>
      <c r="P1234" s="71">
        <f t="shared" si="97"/>
        <v>0</v>
      </c>
      <c r="Q1234" s="132"/>
      <c r="R1234" s="71">
        <f t="shared" si="98"/>
        <v>-1.1323079166666665E-2</v>
      </c>
    </row>
    <row r="1235" spans="1:18">
      <c r="A1235" s="102" t="s">
        <v>626</v>
      </c>
      <c r="B1235" s="103" t="s">
        <v>1166</v>
      </c>
      <c r="C1235" s="103" t="s">
        <v>1167</v>
      </c>
      <c r="D1235" s="102" t="s">
        <v>1168</v>
      </c>
      <c r="E1235" s="103" t="s">
        <v>75</v>
      </c>
      <c r="F1235" s="102" t="s">
        <v>1602</v>
      </c>
      <c r="G1235" s="103" t="s">
        <v>20</v>
      </c>
      <c r="H1235" s="108"/>
      <c r="I1235" s="103">
        <v>201508</v>
      </c>
      <c r="J1235" s="104">
        <v>-14.12</v>
      </c>
      <c r="K1235" s="72">
        <f t="shared" si="99"/>
        <v>42675</v>
      </c>
      <c r="L1235" s="67">
        <f t="shared" si="95"/>
        <v>6</v>
      </c>
      <c r="M1235" s="105">
        <v>1.4833299999999999E-3</v>
      </c>
      <c r="N1235" s="104">
        <f t="shared" si="96"/>
        <v>-0.12566771760000001</v>
      </c>
      <c r="O1235" s="66"/>
      <c r="P1235" s="71">
        <f t="shared" si="97"/>
        <v>0</v>
      </c>
      <c r="Q1235" s="132"/>
      <c r="R1235" s="71">
        <f t="shared" si="98"/>
        <v>-0.21605659166666663</v>
      </c>
    </row>
    <row r="1236" spans="1:18">
      <c r="A1236" s="106" t="s">
        <v>29</v>
      </c>
      <c r="B1236" s="103" t="s">
        <v>1574</v>
      </c>
      <c r="C1236" s="103" t="s">
        <v>1575</v>
      </c>
      <c r="D1236" s="102" t="s">
        <v>1576</v>
      </c>
      <c r="E1236" s="103" t="s">
        <v>834</v>
      </c>
      <c r="F1236" s="102" t="s">
        <v>835</v>
      </c>
      <c r="G1236" s="103" t="s">
        <v>20</v>
      </c>
      <c r="H1236" s="108"/>
      <c r="I1236" s="103">
        <v>201508</v>
      </c>
      <c r="J1236" s="104">
        <v>-22.7</v>
      </c>
      <c r="K1236" s="72">
        <f t="shared" si="99"/>
        <v>42675</v>
      </c>
      <c r="L1236" s="67">
        <f t="shared" si="95"/>
        <v>6</v>
      </c>
      <c r="M1236" s="105">
        <v>2.23333E-3</v>
      </c>
      <c r="N1236" s="104">
        <f t="shared" si="96"/>
        <v>-0.30417954599999997</v>
      </c>
      <c r="O1236" s="66"/>
      <c r="P1236" s="71">
        <f t="shared" si="97"/>
        <v>0</v>
      </c>
      <c r="Q1236" s="132"/>
      <c r="R1236" s="71">
        <f t="shared" si="98"/>
        <v>-0.34734310416666658</v>
      </c>
    </row>
    <row r="1237" spans="1:18">
      <c r="A1237" s="102" t="s">
        <v>626</v>
      </c>
      <c r="B1237" s="103" t="s">
        <v>1169</v>
      </c>
      <c r="C1237" s="103" t="s">
        <v>1170</v>
      </c>
      <c r="D1237" s="102" t="s">
        <v>1171</v>
      </c>
      <c r="E1237" s="103" t="s">
        <v>164</v>
      </c>
      <c r="F1237" s="102" t="s">
        <v>1600</v>
      </c>
      <c r="G1237" s="103" t="s">
        <v>20</v>
      </c>
      <c r="H1237" s="108"/>
      <c r="I1237" s="103">
        <v>201508</v>
      </c>
      <c r="J1237" s="104">
        <v>-311.33999999999997</v>
      </c>
      <c r="K1237" s="72">
        <f t="shared" si="99"/>
        <v>42675</v>
      </c>
      <c r="L1237" s="67">
        <f t="shared" si="95"/>
        <v>6</v>
      </c>
      <c r="M1237" s="105">
        <v>1.4833299999999999E-3</v>
      </c>
      <c r="N1237" s="104">
        <f t="shared" si="96"/>
        <v>-2.7709197731999997</v>
      </c>
      <c r="O1237" s="66"/>
      <c r="P1237" s="71">
        <f t="shared" si="97"/>
        <v>0</v>
      </c>
      <c r="Q1237" s="132"/>
      <c r="R1237" s="71">
        <f t="shared" si="98"/>
        <v>-4.763956037499999</v>
      </c>
    </row>
    <row r="1238" spans="1:18">
      <c r="A1238" s="102" t="s">
        <v>626</v>
      </c>
      <c r="B1238" s="103" t="s">
        <v>1172</v>
      </c>
      <c r="C1238" s="103" t="s">
        <v>1173</v>
      </c>
      <c r="D1238" s="102" t="s">
        <v>1174</v>
      </c>
      <c r="E1238" s="103" t="s">
        <v>156</v>
      </c>
      <c r="F1238" s="102" t="s">
        <v>26</v>
      </c>
      <c r="G1238" s="103" t="s">
        <v>20</v>
      </c>
      <c r="H1238" s="108"/>
      <c r="I1238" s="103">
        <v>201508</v>
      </c>
      <c r="J1238" s="104">
        <v>-116.88</v>
      </c>
      <c r="K1238" s="72">
        <f t="shared" si="99"/>
        <v>42675</v>
      </c>
      <c r="L1238" s="67">
        <f t="shared" si="95"/>
        <v>6</v>
      </c>
      <c r="M1238" s="105">
        <v>1.4833299999999999E-3</v>
      </c>
      <c r="N1238" s="104">
        <f t="shared" si="96"/>
        <v>-1.0402296624</v>
      </c>
      <c r="O1238" s="66"/>
      <c r="P1238" s="71">
        <f t="shared" si="97"/>
        <v>0</v>
      </c>
      <c r="Q1238" s="132"/>
      <c r="R1238" s="71">
        <f t="shared" si="98"/>
        <v>-1.7884344499999998</v>
      </c>
    </row>
    <row r="1239" spans="1:18">
      <c r="A1239" s="102" t="s">
        <v>626</v>
      </c>
      <c r="B1239" s="103" t="s">
        <v>1318</v>
      </c>
      <c r="C1239" s="103" t="s">
        <v>1319</v>
      </c>
      <c r="D1239" s="102" t="s">
        <v>1320</v>
      </c>
      <c r="E1239" s="103" t="s">
        <v>1059</v>
      </c>
      <c r="F1239" s="102" t="s">
        <v>26</v>
      </c>
      <c r="G1239" s="103" t="s">
        <v>20</v>
      </c>
      <c r="H1239" s="108"/>
      <c r="I1239" s="103">
        <v>201508</v>
      </c>
      <c r="J1239" s="104">
        <v>-52.38</v>
      </c>
      <c r="K1239" s="72">
        <f t="shared" si="99"/>
        <v>42675</v>
      </c>
      <c r="L1239" s="67">
        <f t="shared" si="95"/>
        <v>6</v>
      </c>
      <c r="M1239" s="105">
        <v>1.4833299999999999E-3</v>
      </c>
      <c r="N1239" s="104">
        <f t="shared" si="96"/>
        <v>-0.46618095240000001</v>
      </c>
      <c r="O1239" s="66"/>
      <c r="P1239" s="71">
        <f t="shared" si="97"/>
        <v>0</v>
      </c>
      <c r="Q1239" s="132"/>
      <c r="R1239" s="71">
        <f t="shared" si="98"/>
        <v>-0.80149038750000001</v>
      </c>
    </row>
    <row r="1240" spans="1:18">
      <c r="A1240" s="102" t="s">
        <v>626</v>
      </c>
      <c r="B1240" s="103" t="s">
        <v>1545</v>
      </c>
      <c r="C1240" s="103" t="s">
        <v>1546</v>
      </c>
      <c r="D1240" s="102" t="s">
        <v>1547</v>
      </c>
      <c r="E1240" s="103" t="s">
        <v>164</v>
      </c>
      <c r="F1240" s="102" t="s">
        <v>1600</v>
      </c>
      <c r="G1240" s="103" t="s">
        <v>20</v>
      </c>
      <c r="H1240" s="108"/>
      <c r="I1240" s="103">
        <v>201508</v>
      </c>
      <c r="J1240" s="104">
        <v>-6417.11</v>
      </c>
      <c r="K1240" s="72">
        <f t="shared" si="99"/>
        <v>42675</v>
      </c>
      <c r="L1240" s="67">
        <f t="shared" si="95"/>
        <v>6</v>
      </c>
      <c r="M1240" s="105">
        <v>1.4833299999999999E-3</v>
      </c>
      <c r="N1240" s="104">
        <f t="shared" si="96"/>
        <v>-57.112150657800001</v>
      </c>
      <c r="O1240" s="66"/>
      <c r="P1240" s="71">
        <f t="shared" si="97"/>
        <v>0</v>
      </c>
      <c r="Q1240" s="132"/>
      <c r="R1240" s="71">
        <f t="shared" si="98"/>
        <v>-98.191141285416649</v>
      </c>
    </row>
    <row r="1241" spans="1:18">
      <c r="A1241" s="102" t="s">
        <v>626</v>
      </c>
      <c r="B1241" s="103" t="s">
        <v>1212</v>
      </c>
      <c r="C1241" s="103" t="s">
        <v>1213</v>
      </c>
      <c r="D1241" s="102" t="s">
        <v>1214</v>
      </c>
      <c r="E1241" s="103" t="s">
        <v>260</v>
      </c>
      <c r="F1241" s="102" t="s">
        <v>1608</v>
      </c>
      <c r="G1241" s="103" t="s">
        <v>20</v>
      </c>
      <c r="H1241" s="108"/>
      <c r="I1241" s="103">
        <v>201508</v>
      </c>
      <c r="J1241" s="104">
        <v>-134.13</v>
      </c>
      <c r="K1241" s="72">
        <f t="shared" si="99"/>
        <v>42675</v>
      </c>
      <c r="L1241" s="67">
        <f t="shared" si="95"/>
        <v>6</v>
      </c>
      <c r="M1241" s="105">
        <v>1.4833299999999999E-3</v>
      </c>
      <c r="N1241" s="104">
        <f t="shared" si="96"/>
        <v>-1.1937543174</v>
      </c>
      <c r="O1241" s="66"/>
      <c r="P1241" s="71">
        <f t="shared" si="97"/>
        <v>0</v>
      </c>
      <c r="Q1241" s="132"/>
      <c r="R1241" s="71">
        <f t="shared" si="98"/>
        <v>-2.0523846062499995</v>
      </c>
    </row>
    <row r="1242" spans="1:18">
      <c r="A1242" s="102" t="s">
        <v>626</v>
      </c>
      <c r="B1242" s="103" t="s">
        <v>1420</v>
      </c>
      <c r="C1242" s="103" t="s">
        <v>1421</v>
      </c>
      <c r="D1242" s="102" t="s">
        <v>1422</v>
      </c>
      <c r="E1242" s="103" t="s">
        <v>260</v>
      </c>
      <c r="F1242" s="102" t="s">
        <v>1608</v>
      </c>
      <c r="G1242" s="103" t="s">
        <v>20</v>
      </c>
      <c r="H1242" s="108"/>
      <c r="I1242" s="103">
        <v>201508</v>
      </c>
      <c r="J1242" s="104">
        <v>4355.72</v>
      </c>
      <c r="K1242" s="72">
        <f t="shared" si="99"/>
        <v>42675</v>
      </c>
      <c r="L1242" s="67">
        <f t="shared" si="95"/>
        <v>6</v>
      </c>
      <c r="M1242" s="105">
        <v>1.4833299999999999E-3</v>
      </c>
      <c r="N1242" s="104">
        <f t="shared" si="96"/>
        <v>38.7658208856</v>
      </c>
      <c r="O1242" s="66"/>
      <c r="P1242" s="71">
        <f t="shared" si="97"/>
        <v>0</v>
      </c>
      <c r="Q1242" s="132"/>
      <c r="R1242" s="71">
        <f t="shared" si="98"/>
        <v>66.648868091666671</v>
      </c>
    </row>
    <row r="1243" spans="1:18">
      <c r="A1243" s="102" t="s">
        <v>626</v>
      </c>
      <c r="B1243" s="103" t="s">
        <v>1175</v>
      </c>
      <c r="C1243" s="103" t="s">
        <v>1176</v>
      </c>
      <c r="D1243" s="102" t="s">
        <v>1177</v>
      </c>
      <c r="E1243" s="103" t="s">
        <v>1059</v>
      </c>
      <c r="F1243" s="102" t="s">
        <v>26</v>
      </c>
      <c r="G1243" s="103" t="s">
        <v>20</v>
      </c>
      <c r="H1243" s="108"/>
      <c r="I1243" s="103">
        <v>201508</v>
      </c>
      <c r="J1243" s="104">
        <v>-20.13</v>
      </c>
      <c r="K1243" s="72">
        <f t="shared" si="99"/>
        <v>42675</v>
      </c>
      <c r="L1243" s="67">
        <f t="shared" si="95"/>
        <v>6</v>
      </c>
      <c r="M1243" s="105">
        <v>1.4833299999999999E-3</v>
      </c>
      <c r="N1243" s="104">
        <f t="shared" si="96"/>
        <v>-0.17915659739999998</v>
      </c>
      <c r="O1243" s="66"/>
      <c r="P1243" s="71">
        <f t="shared" si="97"/>
        <v>0</v>
      </c>
      <c r="Q1243" s="132"/>
      <c r="R1243" s="71">
        <f t="shared" si="98"/>
        <v>-0.30801835624999996</v>
      </c>
    </row>
    <row r="1244" spans="1:18">
      <c r="A1244" s="102" t="s">
        <v>626</v>
      </c>
      <c r="B1244" s="103" t="s">
        <v>1178</v>
      </c>
      <c r="C1244" s="103" t="s">
        <v>1179</v>
      </c>
      <c r="D1244" s="102" t="s">
        <v>1180</v>
      </c>
      <c r="E1244" s="103" t="s">
        <v>260</v>
      </c>
      <c r="F1244" s="102" t="s">
        <v>1608</v>
      </c>
      <c r="G1244" s="103" t="s">
        <v>20</v>
      </c>
      <c r="H1244" s="108"/>
      <c r="I1244" s="103">
        <v>201508</v>
      </c>
      <c r="J1244" s="104">
        <v>-29.5</v>
      </c>
      <c r="K1244" s="72">
        <f t="shared" si="99"/>
        <v>42675</v>
      </c>
      <c r="L1244" s="67">
        <f t="shared" si="95"/>
        <v>6</v>
      </c>
      <c r="M1244" s="105">
        <v>1.4833299999999999E-3</v>
      </c>
      <c r="N1244" s="104">
        <f t="shared" si="96"/>
        <v>-0.26254940999999998</v>
      </c>
      <c r="O1244" s="66"/>
      <c r="P1244" s="71">
        <f t="shared" si="97"/>
        <v>0</v>
      </c>
      <c r="Q1244" s="132"/>
      <c r="R1244" s="71">
        <f t="shared" si="98"/>
        <v>-0.45139302083333327</v>
      </c>
    </row>
    <row r="1245" spans="1:18">
      <c r="A1245" s="102" t="s">
        <v>626</v>
      </c>
      <c r="B1245" s="103" t="s">
        <v>1268</v>
      </c>
      <c r="C1245" s="103" t="s">
        <v>1269</v>
      </c>
      <c r="D1245" s="102" t="s">
        <v>1270</v>
      </c>
      <c r="E1245" s="103" t="s">
        <v>260</v>
      </c>
      <c r="F1245" s="102" t="s">
        <v>1608</v>
      </c>
      <c r="G1245" s="103" t="s">
        <v>20</v>
      </c>
      <c r="H1245" s="108"/>
      <c r="I1245" s="103">
        <v>201508</v>
      </c>
      <c r="J1245" s="104">
        <v>-1350.65</v>
      </c>
      <c r="K1245" s="72">
        <f t="shared" si="99"/>
        <v>42675</v>
      </c>
      <c r="L1245" s="67">
        <f t="shared" si="95"/>
        <v>6</v>
      </c>
      <c r="M1245" s="105">
        <v>1.4833299999999999E-3</v>
      </c>
      <c r="N1245" s="104">
        <f t="shared" si="96"/>
        <v>-12.020757987000001</v>
      </c>
      <c r="O1245" s="66"/>
      <c r="P1245" s="71">
        <f t="shared" si="97"/>
        <v>0</v>
      </c>
      <c r="Q1245" s="132"/>
      <c r="R1245" s="71">
        <f t="shared" si="98"/>
        <v>-20.666914697916667</v>
      </c>
    </row>
    <row r="1246" spans="1:18">
      <c r="A1246" s="102" t="s">
        <v>626</v>
      </c>
      <c r="B1246" s="103" t="s">
        <v>1215</v>
      </c>
      <c r="C1246" s="103" t="s">
        <v>1216</v>
      </c>
      <c r="D1246" s="102" t="s">
        <v>1217</v>
      </c>
      <c r="E1246" s="103" t="s">
        <v>102</v>
      </c>
      <c r="F1246" s="102" t="s">
        <v>19</v>
      </c>
      <c r="G1246" s="103" t="s">
        <v>20</v>
      </c>
      <c r="H1246" s="108"/>
      <c r="I1246" s="103">
        <v>201508</v>
      </c>
      <c r="J1246" s="104">
        <v>-12.75</v>
      </c>
      <c r="K1246" s="72">
        <f t="shared" si="99"/>
        <v>42675</v>
      </c>
      <c r="L1246" s="67">
        <f t="shared" si="95"/>
        <v>6</v>
      </c>
      <c r="M1246" s="105">
        <v>1.4833299999999999E-3</v>
      </c>
      <c r="N1246" s="104">
        <f t="shared" si="96"/>
        <v>-0.113474745</v>
      </c>
      <c r="O1246" s="66"/>
      <c r="P1246" s="71">
        <f t="shared" si="97"/>
        <v>0</v>
      </c>
      <c r="Q1246" s="132"/>
      <c r="R1246" s="71">
        <f t="shared" si="98"/>
        <v>-0.19509359374999999</v>
      </c>
    </row>
    <row r="1247" spans="1:18">
      <c r="A1247" s="102" t="s">
        <v>626</v>
      </c>
      <c r="B1247" s="103" t="s">
        <v>1508</v>
      </c>
      <c r="C1247" s="103" t="s">
        <v>1509</v>
      </c>
      <c r="D1247" s="102" t="s">
        <v>1510</v>
      </c>
      <c r="E1247" s="103" t="s">
        <v>75</v>
      </c>
      <c r="F1247" s="102" t="s">
        <v>1602</v>
      </c>
      <c r="G1247" s="103" t="s">
        <v>20</v>
      </c>
      <c r="H1247" s="108"/>
      <c r="I1247" s="103">
        <v>201508</v>
      </c>
      <c r="J1247" s="104">
        <v>26694.27</v>
      </c>
      <c r="K1247" s="72">
        <f t="shared" si="99"/>
        <v>42675</v>
      </c>
      <c r="L1247" s="67">
        <f t="shared" si="95"/>
        <v>6</v>
      </c>
      <c r="M1247" s="105">
        <v>1.4833299999999999E-3</v>
      </c>
      <c r="N1247" s="104">
        <f t="shared" si="96"/>
        <v>237.57846911460001</v>
      </c>
      <c r="O1247" s="66"/>
      <c r="P1247" s="71">
        <f t="shared" si="97"/>
        <v>0</v>
      </c>
      <c r="Q1247" s="132"/>
      <c r="R1247" s="71">
        <f t="shared" si="98"/>
        <v>408.46126014375</v>
      </c>
    </row>
    <row r="1248" spans="1:18">
      <c r="A1248" s="102" t="s">
        <v>133</v>
      </c>
      <c r="B1248" s="103" t="s">
        <v>1312</v>
      </c>
      <c r="C1248" s="103" t="s">
        <v>1313</v>
      </c>
      <c r="D1248" s="102" t="s">
        <v>1314</v>
      </c>
      <c r="E1248" s="103" t="s">
        <v>137</v>
      </c>
      <c r="F1248" s="102" t="s">
        <v>138</v>
      </c>
      <c r="G1248" s="103" t="s">
        <v>20</v>
      </c>
      <c r="H1248" s="108"/>
      <c r="I1248" s="103">
        <v>201508</v>
      </c>
      <c r="J1248" s="104">
        <v>-511.28</v>
      </c>
      <c r="K1248" s="72">
        <f t="shared" si="99"/>
        <v>42675</v>
      </c>
      <c r="L1248" s="67">
        <f t="shared" si="95"/>
        <v>6</v>
      </c>
      <c r="M1248" s="105">
        <v>1.4833299999999999E-3</v>
      </c>
      <c r="N1248" s="104">
        <f t="shared" si="96"/>
        <v>-4.5503817743999999</v>
      </c>
      <c r="O1248" s="66"/>
      <c r="P1248" s="71">
        <f t="shared" si="97"/>
        <v>0</v>
      </c>
      <c r="Q1248" s="132"/>
      <c r="R1248" s="71">
        <f t="shared" si="98"/>
        <v>-7.8233296166666646</v>
      </c>
    </row>
    <row r="1249" spans="1:18">
      <c r="A1249" s="106" t="s">
        <v>29</v>
      </c>
      <c r="B1249" s="103" t="s">
        <v>1458</v>
      </c>
      <c r="C1249" s="103" t="s">
        <v>1459</v>
      </c>
      <c r="D1249" s="102" t="s">
        <v>1460</v>
      </c>
      <c r="E1249" s="103" t="s">
        <v>834</v>
      </c>
      <c r="F1249" s="102" t="s">
        <v>835</v>
      </c>
      <c r="G1249" s="103" t="s">
        <v>20</v>
      </c>
      <c r="H1249" s="108"/>
      <c r="I1249" s="103">
        <v>201508</v>
      </c>
      <c r="J1249" s="104">
        <v>-2.79</v>
      </c>
      <c r="K1249" s="72">
        <f t="shared" si="99"/>
        <v>42675</v>
      </c>
      <c r="L1249" s="67">
        <f t="shared" si="95"/>
        <v>6</v>
      </c>
      <c r="M1249" s="105">
        <v>2.23333E-3</v>
      </c>
      <c r="N1249" s="104">
        <f t="shared" si="96"/>
        <v>-3.73859442E-2</v>
      </c>
      <c r="O1249" s="66"/>
      <c r="P1249" s="71">
        <f t="shared" si="97"/>
        <v>0</v>
      </c>
      <c r="Q1249" s="132"/>
      <c r="R1249" s="71">
        <f t="shared" si="98"/>
        <v>-4.2691068749999998E-2</v>
      </c>
    </row>
    <row r="1250" spans="1:18">
      <c r="A1250" s="106" t="s">
        <v>29</v>
      </c>
      <c r="B1250" s="103" t="s">
        <v>1060</v>
      </c>
      <c r="C1250" s="103" t="s">
        <v>1061</v>
      </c>
      <c r="D1250" s="102" t="s">
        <v>1062</v>
      </c>
      <c r="E1250" s="103" t="s">
        <v>834</v>
      </c>
      <c r="F1250" s="102" t="s">
        <v>835</v>
      </c>
      <c r="G1250" s="103" t="s">
        <v>20</v>
      </c>
      <c r="H1250" s="108"/>
      <c r="I1250" s="103">
        <v>201508</v>
      </c>
      <c r="J1250" s="104">
        <v>-11.72</v>
      </c>
      <c r="K1250" s="72">
        <f t="shared" si="99"/>
        <v>42675</v>
      </c>
      <c r="L1250" s="67">
        <f t="shared" si="95"/>
        <v>6</v>
      </c>
      <c r="M1250" s="105">
        <v>2.23333E-3</v>
      </c>
      <c r="N1250" s="104">
        <f t="shared" si="96"/>
        <v>-0.1570477656</v>
      </c>
      <c r="O1250" s="66"/>
      <c r="P1250" s="71">
        <f t="shared" si="97"/>
        <v>0</v>
      </c>
      <c r="Q1250" s="132"/>
      <c r="R1250" s="71">
        <f t="shared" si="98"/>
        <v>-0.17933309166666667</v>
      </c>
    </row>
    <row r="1251" spans="1:18">
      <c r="A1251" s="102" t="s">
        <v>21</v>
      </c>
      <c r="B1251" s="103" t="s">
        <v>1321</v>
      </c>
      <c r="C1251" s="103" t="s">
        <v>1322</v>
      </c>
      <c r="D1251" s="102" t="s">
        <v>1323</v>
      </c>
      <c r="E1251" s="103" t="s">
        <v>613</v>
      </c>
      <c r="F1251" s="102" t="s">
        <v>398</v>
      </c>
      <c r="G1251" s="103" t="s">
        <v>20</v>
      </c>
      <c r="H1251" s="108"/>
      <c r="I1251" s="103">
        <v>201508</v>
      </c>
      <c r="J1251" s="104">
        <v>-19.12</v>
      </c>
      <c r="K1251" s="72">
        <f t="shared" si="99"/>
        <v>42675</v>
      </c>
      <c r="L1251" s="67">
        <f t="shared" si="95"/>
        <v>6</v>
      </c>
      <c r="M1251" s="105">
        <v>1.4833299999999999E-3</v>
      </c>
      <c r="N1251" s="104">
        <f t="shared" si="96"/>
        <v>-0.17016761760000002</v>
      </c>
      <c r="O1251" s="66"/>
      <c r="P1251" s="71">
        <f t="shared" si="97"/>
        <v>0</v>
      </c>
      <c r="Q1251" s="132"/>
      <c r="R1251" s="71">
        <f t="shared" si="98"/>
        <v>-0.29256388333333333</v>
      </c>
    </row>
    <row r="1252" spans="1:18">
      <c r="A1252" s="102" t="s">
        <v>626</v>
      </c>
      <c r="B1252" s="103" t="s">
        <v>1321</v>
      </c>
      <c r="C1252" s="103" t="s">
        <v>1322</v>
      </c>
      <c r="D1252" s="102" t="s">
        <v>1323</v>
      </c>
      <c r="E1252" s="103" t="s">
        <v>613</v>
      </c>
      <c r="F1252" s="102" t="s">
        <v>398</v>
      </c>
      <c r="G1252" s="103" t="s">
        <v>20</v>
      </c>
      <c r="H1252" s="108"/>
      <c r="I1252" s="103">
        <v>201508</v>
      </c>
      <c r="J1252" s="104">
        <v>-1238.8</v>
      </c>
      <c r="K1252" s="72">
        <f t="shared" si="99"/>
        <v>42675</v>
      </c>
      <c r="L1252" s="67">
        <f t="shared" si="95"/>
        <v>6</v>
      </c>
      <c r="M1252" s="105">
        <v>1.4833299999999999E-3</v>
      </c>
      <c r="N1252" s="104">
        <f t="shared" si="96"/>
        <v>-11.025295223999999</v>
      </c>
      <c r="O1252" s="66"/>
      <c r="P1252" s="71">
        <f t="shared" si="97"/>
        <v>0</v>
      </c>
      <c r="Q1252" s="132"/>
      <c r="R1252" s="71">
        <f t="shared" si="98"/>
        <v>-18.95544658333333</v>
      </c>
    </row>
    <row r="1253" spans="1:18">
      <c r="A1253" s="102" t="s">
        <v>626</v>
      </c>
      <c r="B1253" s="103" t="s">
        <v>1236</v>
      </c>
      <c r="C1253" s="103" t="s">
        <v>1237</v>
      </c>
      <c r="D1253" s="102" t="s">
        <v>1238</v>
      </c>
      <c r="E1253" s="103" t="s">
        <v>93</v>
      </c>
      <c r="F1253" s="102" t="s">
        <v>1601</v>
      </c>
      <c r="G1253" s="103" t="s">
        <v>20</v>
      </c>
      <c r="H1253" s="108"/>
      <c r="I1253" s="103">
        <v>201508</v>
      </c>
      <c r="J1253" s="104">
        <v>-29.3</v>
      </c>
      <c r="K1253" s="72">
        <f t="shared" si="99"/>
        <v>42675</v>
      </c>
      <c r="L1253" s="67">
        <f t="shared" si="95"/>
        <v>6</v>
      </c>
      <c r="M1253" s="105">
        <v>1.4833299999999999E-3</v>
      </c>
      <c r="N1253" s="104">
        <f t="shared" si="96"/>
        <v>-0.26076941400000003</v>
      </c>
      <c r="O1253" s="66"/>
      <c r="P1253" s="71">
        <f t="shared" si="97"/>
        <v>0</v>
      </c>
      <c r="Q1253" s="132"/>
      <c r="R1253" s="71">
        <f t="shared" si="98"/>
        <v>-0.44833272916666667</v>
      </c>
    </row>
    <row r="1254" spans="1:18">
      <c r="A1254" s="102" t="s">
        <v>626</v>
      </c>
      <c r="B1254" s="103" t="s">
        <v>1271</v>
      </c>
      <c r="C1254" s="103" t="s">
        <v>1272</v>
      </c>
      <c r="D1254" s="102" t="s">
        <v>1273</v>
      </c>
      <c r="E1254" s="103" t="s">
        <v>75</v>
      </c>
      <c r="F1254" s="102" t="s">
        <v>1602</v>
      </c>
      <c r="G1254" s="103" t="s">
        <v>20</v>
      </c>
      <c r="H1254" s="108"/>
      <c r="I1254" s="103">
        <v>201508</v>
      </c>
      <c r="J1254" s="104">
        <v>-172.79</v>
      </c>
      <c r="K1254" s="72">
        <f t="shared" si="99"/>
        <v>42675</v>
      </c>
      <c r="L1254" s="67">
        <f t="shared" si="95"/>
        <v>6</v>
      </c>
      <c r="M1254" s="105">
        <v>1.4833299999999999E-3</v>
      </c>
      <c r="N1254" s="104">
        <f t="shared" si="96"/>
        <v>-1.5378275442</v>
      </c>
      <c r="O1254" s="66"/>
      <c r="P1254" s="71">
        <f t="shared" si="97"/>
        <v>0</v>
      </c>
      <c r="Q1254" s="132"/>
      <c r="R1254" s="71">
        <f t="shared" si="98"/>
        <v>-2.6439389854166664</v>
      </c>
    </row>
    <row r="1255" spans="1:18">
      <c r="A1255" s="102" t="s">
        <v>626</v>
      </c>
      <c r="B1255" s="103" t="s">
        <v>1218</v>
      </c>
      <c r="C1255" s="103" t="s">
        <v>1219</v>
      </c>
      <c r="D1255" s="102" t="s">
        <v>1220</v>
      </c>
      <c r="E1255" s="103" t="s">
        <v>809</v>
      </c>
      <c r="F1255" s="102" t="s">
        <v>26</v>
      </c>
      <c r="G1255" s="103" t="s">
        <v>20</v>
      </c>
      <c r="H1255" s="108"/>
      <c r="I1255" s="103">
        <v>201508</v>
      </c>
      <c r="J1255" s="104">
        <v>-34.99</v>
      </c>
      <c r="K1255" s="72">
        <f t="shared" si="99"/>
        <v>42675</v>
      </c>
      <c r="L1255" s="67">
        <f t="shared" si="95"/>
        <v>6</v>
      </c>
      <c r="M1255" s="105">
        <v>1.4833299999999999E-3</v>
      </c>
      <c r="N1255" s="104">
        <f t="shared" si="96"/>
        <v>-0.31141030020000005</v>
      </c>
      <c r="O1255" s="66"/>
      <c r="P1255" s="71">
        <f t="shared" si="97"/>
        <v>0</v>
      </c>
      <c r="Q1255" s="132"/>
      <c r="R1255" s="71">
        <f t="shared" si="98"/>
        <v>-0.53539802708333339</v>
      </c>
    </row>
    <row r="1256" spans="1:18">
      <c r="A1256" s="102" t="s">
        <v>626</v>
      </c>
      <c r="B1256" s="103" t="s">
        <v>1181</v>
      </c>
      <c r="C1256" s="103" t="s">
        <v>1182</v>
      </c>
      <c r="D1256" s="102" t="s">
        <v>1183</v>
      </c>
      <c r="E1256" s="103" t="s">
        <v>18</v>
      </c>
      <c r="F1256" s="102" t="s">
        <v>19</v>
      </c>
      <c r="G1256" s="103" t="s">
        <v>20</v>
      </c>
      <c r="H1256" s="108"/>
      <c r="I1256" s="103">
        <v>201508</v>
      </c>
      <c r="J1256" s="104">
        <v>-7.81</v>
      </c>
      <c r="K1256" s="72">
        <f t="shared" si="99"/>
        <v>42675</v>
      </c>
      <c r="L1256" s="67">
        <f t="shared" si="95"/>
        <v>6</v>
      </c>
      <c r="M1256" s="105">
        <v>1.4833299999999999E-3</v>
      </c>
      <c r="N1256" s="104">
        <f t="shared" si="96"/>
        <v>-6.9508843799999998E-2</v>
      </c>
      <c r="O1256" s="66"/>
      <c r="P1256" s="71">
        <f t="shared" si="97"/>
        <v>0</v>
      </c>
      <c r="Q1256" s="132"/>
      <c r="R1256" s="71">
        <f t="shared" si="98"/>
        <v>-0.11950438958333331</v>
      </c>
    </row>
    <row r="1257" spans="1:18">
      <c r="A1257" s="102" t="s">
        <v>626</v>
      </c>
      <c r="B1257" s="103" t="s">
        <v>1324</v>
      </c>
      <c r="C1257" s="103" t="s">
        <v>1325</v>
      </c>
      <c r="D1257" s="102" t="s">
        <v>1326</v>
      </c>
      <c r="E1257" s="103" t="s">
        <v>142</v>
      </c>
      <c r="F1257" s="102" t="s">
        <v>1619</v>
      </c>
      <c r="G1257" s="103" t="s">
        <v>20</v>
      </c>
      <c r="H1257" s="108"/>
      <c r="I1257" s="103">
        <v>201508</v>
      </c>
      <c r="J1257" s="104">
        <v>-217.97</v>
      </c>
      <c r="K1257" s="72">
        <f t="shared" si="99"/>
        <v>42675</v>
      </c>
      <c r="L1257" s="67">
        <f t="shared" si="95"/>
        <v>6</v>
      </c>
      <c r="M1257" s="105">
        <v>1.4833299999999999E-3</v>
      </c>
      <c r="N1257" s="104">
        <f t="shared" si="96"/>
        <v>-1.9399286406</v>
      </c>
      <c r="O1257" s="66"/>
      <c r="P1257" s="71">
        <f t="shared" si="97"/>
        <v>0</v>
      </c>
      <c r="Q1257" s="132"/>
      <c r="R1257" s="71">
        <f t="shared" si="98"/>
        <v>-3.3352588729166666</v>
      </c>
    </row>
    <row r="1258" spans="1:18">
      <c r="A1258" s="102" t="s">
        <v>21</v>
      </c>
      <c r="B1258" s="103" t="s">
        <v>1274</v>
      </c>
      <c r="C1258" s="103" t="s">
        <v>1275</v>
      </c>
      <c r="D1258" s="102" t="s">
        <v>1276</v>
      </c>
      <c r="E1258" s="103" t="s">
        <v>164</v>
      </c>
      <c r="F1258" s="102" t="s">
        <v>1600</v>
      </c>
      <c r="G1258" s="103" t="s">
        <v>20</v>
      </c>
      <c r="H1258" s="108"/>
      <c r="I1258" s="103">
        <v>201508</v>
      </c>
      <c r="J1258" s="104">
        <v>29674.62</v>
      </c>
      <c r="K1258" s="72">
        <f t="shared" si="99"/>
        <v>42675</v>
      </c>
      <c r="L1258" s="67">
        <f t="shared" si="95"/>
        <v>6</v>
      </c>
      <c r="M1258" s="105">
        <v>1.4833299999999999E-3</v>
      </c>
      <c r="N1258" s="104">
        <f t="shared" si="96"/>
        <v>264.10352450760001</v>
      </c>
      <c r="O1258" s="66"/>
      <c r="P1258" s="71">
        <f t="shared" si="97"/>
        <v>0</v>
      </c>
      <c r="Q1258" s="132"/>
      <c r="R1258" s="71">
        <f t="shared" si="98"/>
        <v>454.06496148749994</v>
      </c>
    </row>
    <row r="1259" spans="1:18">
      <c r="A1259" s="102" t="s">
        <v>626</v>
      </c>
      <c r="B1259" s="103" t="s">
        <v>1274</v>
      </c>
      <c r="C1259" s="103" t="s">
        <v>1275</v>
      </c>
      <c r="D1259" s="102" t="s">
        <v>1276</v>
      </c>
      <c r="E1259" s="103" t="s">
        <v>164</v>
      </c>
      <c r="F1259" s="102" t="s">
        <v>1600</v>
      </c>
      <c r="G1259" s="103" t="s">
        <v>20</v>
      </c>
      <c r="H1259" s="108"/>
      <c r="I1259" s="103">
        <v>201508</v>
      </c>
      <c r="J1259" s="104">
        <v>-30593.33</v>
      </c>
      <c r="K1259" s="72">
        <f t="shared" si="99"/>
        <v>42675</v>
      </c>
      <c r="L1259" s="67">
        <f t="shared" si="95"/>
        <v>6</v>
      </c>
      <c r="M1259" s="105">
        <v>1.4833299999999999E-3</v>
      </c>
      <c r="N1259" s="104">
        <f t="shared" si="96"/>
        <v>-272.28002513340004</v>
      </c>
      <c r="O1259" s="66"/>
      <c r="P1259" s="71">
        <f t="shared" si="97"/>
        <v>0</v>
      </c>
      <c r="Q1259" s="132"/>
      <c r="R1259" s="71">
        <f t="shared" si="98"/>
        <v>-468.12256427291663</v>
      </c>
    </row>
    <row r="1260" spans="1:18">
      <c r="A1260" s="102" t="s">
        <v>626</v>
      </c>
      <c r="B1260" s="103" t="s">
        <v>1423</v>
      </c>
      <c r="C1260" s="103" t="s">
        <v>1424</v>
      </c>
      <c r="D1260" s="102" t="s">
        <v>1425</v>
      </c>
      <c r="E1260" s="103" t="s">
        <v>75</v>
      </c>
      <c r="F1260" s="102" t="s">
        <v>1602</v>
      </c>
      <c r="G1260" s="103" t="s">
        <v>20</v>
      </c>
      <c r="H1260" s="108"/>
      <c r="I1260" s="103">
        <v>201508</v>
      </c>
      <c r="J1260" s="104">
        <v>313.33999999999997</v>
      </c>
      <c r="K1260" s="72">
        <f t="shared" si="99"/>
        <v>42675</v>
      </c>
      <c r="L1260" s="67">
        <f t="shared" si="95"/>
        <v>6</v>
      </c>
      <c r="M1260" s="105">
        <v>1.4833299999999999E-3</v>
      </c>
      <c r="N1260" s="104">
        <f t="shared" si="96"/>
        <v>2.7887197331999998</v>
      </c>
      <c r="O1260" s="66"/>
      <c r="P1260" s="71">
        <f t="shared" si="97"/>
        <v>0</v>
      </c>
      <c r="Q1260" s="132"/>
      <c r="R1260" s="71">
        <f t="shared" si="98"/>
        <v>4.794558954166666</v>
      </c>
    </row>
    <row r="1261" spans="1:18">
      <c r="A1261" s="102" t="s">
        <v>626</v>
      </c>
      <c r="B1261" s="103" t="s">
        <v>1357</v>
      </c>
      <c r="C1261" s="103" t="s">
        <v>1358</v>
      </c>
      <c r="D1261" s="102" t="s">
        <v>1359</v>
      </c>
      <c r="E1261" s="103" t="s">
        <v>75</v>
      </c>
      <c r="F1261" s="102" t="s">
        <v>1602</v>
      </c>
      <c r="G1261" s="103" t="s">
        <v>20</v>
      </c>
      <c r="H1261" s="108"/>
      <c r="I1261" s="103">
        <v>201508</v>
      </c>
      <c r="J1261" s="104">
        <v>-434.67</v>
      </c>
      <c r="K1261" s="72">
        <f t="shared" si="99"/>
        <v>42675</v>
      </c>
      <c r="L1261" s="67">
        <f t="shared" si="95"/>
        <v>6</v>
      </c>
      <c r="M1261" s="105">
        <v>1.4833299999999999E-3</v>
      </c>
      <c r="N1261" s="104">
        <f t="shared" si="96"/>
        <v>-3.8685543066000001</v>
      </c>
      <c r="O1261" s="66"/>
      <c r="P1261" s="71">
        <f t="shared" si="97"/>
        <v>0</v>
      </c>
      <c r="Q1261" s="132"/>
      <c r="R1261" s="71">
        <f t="shared" si="98"/>
        <v>-6.6510848937500002</v>
      </c>
    </row>
    <row r="1262" spans="1:18">
      <c r="A1262" s="106" t="s">
        <v>21</v>
      </c>
      <c r="B1262" s="103" t="s">
        <v>1221</v>
      </c>
      <c r="C1262" s="103" t="s">
        <v>1222</v>
      </c>
      <c r="D1262" s="102" t="s">
        <v>1223</v>
      </c>
      <c r="E1262" s="103" t="s">
        <v>360</v>
      </c>
      <c r="F1262" s="102" t="s">
        <v>19</v>
      </c>
      <c r="G1262" s="103" t="s">
        <v>20</v>
      </c>
      <c r="H1262" s="108"/>
      <c r="I1262" s="103">
        <v>201508</v>
      </c>
      <c r="J1262" s="104">
        <v>-90.71</v>
      </c>
      <c r="K1262" s="72">
        <f t="shared" si="99"/>
        <v>42675</v>
      </c>
      <c r="L1262" s="67">
        <f t="shared" si="95"/>
        <v>6</v>
      </c>
      <c r="M1262" s="105">
        <v>1.4833299999999999E-3</v>
      </c>
      <c r="N1262" s="104">
        <f t="shared" si="96"/>
        <v>-0.8073171858</v>
      </c>
      <c r="O1262" s="66"/>
      <c r="P1262" s="71">
        <f t="shared" si="97"/>
        <v>0</v>
      </c>
      <c r="Q1262" s="132"/>
      <c r="R1262" s="71">
        <f t="shared" si="98"/>
        <v>-1.3879952854166664</v>
      </c>
    </row>
    <row r="1263" spans="1:18">
      <c r="A1263" s="106" t="s">
        <v>626</v>
      </c>
      <c r="B1263" s="103" t="s">
        <v>1360</v>
      </c>
      <c r="C1263" s="103" t="s">
        <v>1361</v>
      </c>
      <c r="D1263" s="102" t="s">
        <v>1362</v>
      </c>
      <c r="E1263" s="103" t="s">
        <v>75</v>
      </c>
      <c r="F1263" s="102" t="s">
        <v>1602</v>
      </c>
      <c r="G1263" s="103" t="s">
        <v>20</v>
      </c>
      <c r="H1263" s="108"/>
      <c r="I1263" s="103">
        <v>201508</v>
      </c>
      <c r="J1263" s="104">
        <v>-1489.79</v>
      </c>
      <c r="K1263" s="72">
        <f t="shared" si="99"/>
        <v>42675</v>
      </c>
      <c r="L1263" s="67">
        <f t="shared" si="95"/>
        <v>6</v>
      </c>
      <c r="M1263" s="105">
        <v>1.4833299999999999E-3</v>
      </c>
      <c r="N1263" s="104">
        <f t="shared" si="96"/>
        <v>-13.2591012042</v>
      </c>
      <c r="O1263" s="66"/>
      <c r="P1263" s="71">
        <f t="shared" si="97"/>
        <v>0</v>
      </c>
      <c r="Q1263" s="132"/>
      <c r="R1263" s="71">
        <f t="shared" si="98"/>
        <v>-22.795959610416663</v>
      </c>
    </row>
    <row r="1264" spans="1:18">
      <c r="A1264" s="106" t="s">
        <v>626</v>
      </c>
      <c r="B1264" s="103" t="s">
        <v>1327</v>
      </c>
      <c r="C1264" s="103" t="s">
        <v>1328</v>
      </c>
      <c r="D1264" s="102" t="s">
        <v>1329</v>
      </c>
      <c r="E1264" s="103" t="s">
        <v>75</v>
      </c>
      <c r="F1264" s="102" t="s">
        <v>1602</v>
      </c>
      <c r="G1264" s="103" t="s">
        <v>20</v>
      </c>
      <c r="H1264" s="108"/>
      <c r="I1264" s="103">
        <v>201508</v>
      </c>
      <c r="J1264" s="104">
        <v>-184.13</v>
      </c>
      <c r="K1264" s="72">
        <f t="shared" si="99"/>
        <v>42675</v>
      </c>
      <c r="L1264" s="67">
        <f t="shared" si="95"/>
        <v>6</v>
      </c>
      <c r="M1264" s="105">
        <v>1.4833299999999999E-3</v>
      </c>
      <c r="N1264" s="104">
        <f t="shared" si="96"/>
        <v>-1.6387533174</v>
      </c>
      <c r="O1264" s="66"/>
      <c r="P1264" s="71">
        <f t="shared" si="97"/>
        <v>0</v>
      </c>
      <c r="Q1264" s="132"/>
      <c r="R1264" s="71">
        <f t="shared" si="98"/>
        <v>-2.8174575229166661</v>
      </c>
    </row>
    <row r="1265" spans="1:18">
      <c r="A1265" s="106" t="s">
        <v>626</v>
      </c>
      <c r="B1265" s="103" t="s">
        <v>1426</v>
      </c>
      <c r="C1265" s="103" t="s">
        <v>1427</v>
      </c>
      <c r="D1265" s="102" t="s">
        <v>1428</v>
      </c>
      <c r="E1265" s="103" t="s">
        <v>75</v>
      </c>
      <c r="F1265" s="102" t="s">
        <v>1602</v>
      </c>
      <c r="G1265" s="103" t="s">
        <v>20</v>
      </c>
      <c r="H1265" s="108"/>
      <c r="I1265" s="103">
        <v>201508</v>
      </c>
      <c r="J1265" s="104">
        <v>1562.97</v>
      </c>
      <c r="K1265" s="72">
        <f t="shared" si="99"/>
        <v>42675</v>
      </c>
      <c r="L1265" s="67">
        <f t="shared" si="95"/>
        <v>6</v>
      </c>
      <c r="M1265" s="105">
        <v>1.4833299999999999E-3</v>
      </c>
      <c r="N1265" s="104">
        <f t="shared" si="96"/>
        <v>13.910401740600001</v>
      </c>
      <c r="O1265" s="66"/>
      <c r="P1265" s="71">
        <f t="shared" si="97"/>
        <v>0</v>
      </c>
      <c r="Q1265" s="132"/>
      <c r="R1265" s="71">
        <f t="shared" si="98"/>
        <v>23.91572033125</v>
      </c>
    </row>
    <row r="1266" spans="1:18">
      <c r="A1266" s="106" t="s">
        <v>626</v>
      </c>
      <c r="B1266" s="103" t="s">
        <v>1184</v>
      </c>
      <c r="C1266" s="103" t="s">
        <v>1185</v>
      </c>
      <c r="D1266" s="102" t="s">
        <v>1186</v>
      </c>
      <c r="E1266" s="103" t="s">
        <v>471</v>
      </c>
      <c r="F1266" s="102" t="s">
        <v>165</v>
      </c>
      <c r="G1266" s="103" t="s">
        <v>20</v>
      </c>
      <c r="H1266" s="108"/>
      <c r="I1266" s="103">
        <v>201508</v>
      </c>
      <c r="J1266" s="104">
        <v>-66.69</v>
      </c>
      <c r="K1266" s="72">
        <f t="shared" si="99"/>
        <v>42675</v>
      </c>
      <c r="L1266" s="67">
        <f t="shared" si="95"/>
        <v>6</v>
      </c>
      <c r="M1266" s="105">
        <v>1.4833299999999999E-3</v>
      </c>
      <c r="N1266" s="104">
        <f t="shared" si="96"/>
        <v>-0.59353966619999998</v>
      </c>
      <c r="O1266" s="66"/>
      <c r="P1266" s="71">
        <f t="shared" si="97"/>
        <v>0</v>
      </c>
      <c r="Q1266" s="132"/>
      <c r="R1266" s="71">
        <f t="shared" si="98"/>
        <v>-1.0204542562499999</v>
      </c>
    </row>
    <row r="1267" spans="1:18">
      <c r="A1267" s="106" t="s">
        <v>626</v>
      </c>
      <c r="B1267" s="103" t="s">
        <v>1295</v>
      </c>
      <c r="C1267" s="103" t="s">
        <v>1296</v>
      </c>
      <c r="D1267" s="102" t="s">
        <v>1297</v>
      </c>
      <c r="E1267" s="103" t="s">
        <v>87</v>
      </c>
      <c r="F1267" s="102" t="s">
        <v>1603</v>
      </c>
      <c r="G1267" s="103" t="s">
        <v>20</v>
      </c>
      <c r="H1267" s="108"/>
      <c r="I1267" s="103">
        <v>201508</v>
      </c>
      <c r="J1267" s="104">
        <v>-274.75</v>
      </c>
      <c r="K1267" s="72">
        <f t="shared" si="99"/>
        <v>42675</v>
      </c>
      <c r="L1267" s="67">
        <f t="shared" si="95"/>
        <v>6</v>
      </c>
      <c r="M1267" s="105">
        <v>1.4833299999999999E-3</v>
      </c>
      <c r="N1267" s="104">
        <f t="shared" si="96"/>
        <v>-2.4452695050000002</v>
      </c>
      <c r="O1267" s="66"/>
      <c r="P1267" s="71">
        <f t="shared" si="97"/>
        <v>0</v>
      </c>
      <c r="Q1267" s="132"/>
      <c r="R1267" s="71">
        <f t="shared" si="98"/>
        <v>-4.204075677083333</v>
      </c>
    </row>
    <row r="1268" spans="1:18">
      <c r="A1268" s="106" t="s">
        <v>626</v>
      </c>
      <c r="B1268" s="103" t="s">
        <v>1277</v>
      </c>
      <c r="C1268" s="103" t="s">
        <v>1278</v>
      </c>
      <c r="D1268" s="102" t="s">
        <v>1279</v>
      </c>
      <c r="E1268" s="103" t="s">
        <v>471</v>
      </c>
      <c r="F1268" s="102" t="s">
        <v>165</v>
      </c>
      <c r="G1268" s="103" t="s">
        <v>20</v>
      </c>
      <c r="H1268" s="108"/>
      <c r="I1268" s="103">
        <v>201508</v>
      </c>
      <c r="J1268" s="104">
        <v>-710.43</v>
      </c>
      <c r="K1268" s="72">
        <f t="shared" si="99"/>
        <v>42675</v>
      </c>
      <c r="L1268" s="67">
        <f t="shared" si="95"/>
        <v>6</v>
      </c>
      <c r="M1268" s="105">
        <v>1.4833299999999999E-3</v>
      </c>
      <c r="N1268" s="104">
        <f t="shared" si="96"/>
        <v>-6.3228127913999996</v>
      </c>
      <c r="O1268" s="66"/>
      <c r="P1268" s="71">
        <f t="shared" si="97"/>
        <v>0</v>
      </c>
      <c r="Q1268" s="132"/>
      <c r="R1268" s="71">
        <f t="shared" si="98"/>
        <v>-10.870615043749998</v>
      </c>
    </row>
    <row r="1269" spans="1:18">
      <c r="A1269" s="106" t="s">
        <v>626</v>
      </c>
      <c r="B1269" s="103" t="s">
        <v>1224</v>
      </c>
      <c r="C1269" s="103" t="s">
        <v>1225</v>
      </c>
      <c r="D1269" s="102" t="s">
        <v>1226</v>
      </c>
      <c r="E1269" s="103" t="s">
        <v>164</v>
      </c>
      <c r="F1269" s="102" t="s">
        <v>1600</v>
      </c>
      <c r="G1269" s="103" t="s">
        <v>20</v>
      </c>
      <c r="H1269" s="108"/>
      <c r="I1269" s="103">
        <v>201508</v>
      </c>
      <c r="J1269" s="104">
        <v>-189.42</v>
      </c>
      <c r="K1269" s="72">
        <f t="shared" si="99"/>
        <v>42675</v>
      </c>
      <c r="L1269" s="67">
        <f t="shared" si="95"/>
        <v>6</v>
      </c>
      <c r="M1269" s="105">
        <v>1.4833299999999999E-3</v>
      </c>
      <c r="N1269" s="104">
        <f t="shared" si="96"/>
        <v>-1.6858342115999998</v>
      </c>
      <c r="O1269" s="66"/>
      <c r="P1269" s="71">
        <f t="shared" si="97"/>
        <v>0</v>
      </c>
      <c r="Q1269" s="132"/>
      <c r="R1269" s="71">
        <f t="shared" si="98"/>
        <v>-2.8984022374999996</v>
      </c>
    </row>
    <row r="1270" spans="1:18">
      <c r="A1270" s="106" t="s">
        <v>626</v>
      </c>
      <c r="B1270" s="103" t="s">
        <v>1511</v>
      </c>
      <c r="C1270" s="103" t="s">
        <v>1512</v>
      </c>
      <c r="D1270" s="102" t="s">
        <v>1513</v>
      </c>
      <c r="E1270" s="103" t="s">
        <v>260</v>
      </c>
      <c r="F1270" s="102" t="s">
        <v>1608</v>
      </c>
      <c r="G1270" s="103" t="s">
        <v>20</v>
      </c>
      <c r="H1270" s="108"/>
      <c r="I1270" s="103">
        <v>201508</v>
      </c>
      <c r="J1270" s="104">
        <v>2218.38</v>
      </c>
      <c r="K1270" s="72">
        <f t="shared" si="99"/>
        <v>42675</v>
      </c>
      <c r="L1270" s="67">
        <f t="shared" si="95"/>
        <v>6</v>
      </c>
      <c r="M1270" s="105">
        <v>1.4833299999999999E-3</v>
      </c>
      <c r="N1270" s="104">
        <f t="shared" si="96"/>
        <v>19.743537632400002</v>
      </c>
      <c r="O1270" s="66"/>
      <c r="P1270" s="71">
        <f t="shared" si="97"/>
        <v>0</v>
      </c>
      <c r="Q1270" s="132"/>
      <c r="R1270" s="71">
        <f t="shared" si="98"/>
        <v>33.944449137499994</v>
      </c>
    </row>
    <row r="1271" spans="1:18">
      <c r="A1271" s="106" t="s">
        <v>626</v>
      </c>
      <c r="B1271" s="103" t="s">
        <v>1227</v>
      </c>
      <c r="C1271" s="103" t="s">
        <v>1228</v>
      </c>
      <c r="D1271" s="102" t="s">
        <v>1229</v>
      </c>
      <c r="E1271" s="103" t="s">
        <v>280</v>
      </c>
      <c r="F1271" s="102" t="s">
        <v>26</v>
      </c>
      <c r="G1271" s="103" t="s">
        <v>20</v>
      </c>
      <c r="H1271" s="108"/>
      <c r="I1271" s="103">
        <v>201508</v>
      </c>
      <c r="J1271" s="104">
        <v>-86.18</v>
      </c>
      <c r="K1271" s="72">
        <f t="shared" si="99"/>
        <v>42675</v>
      </c>
      <c r="L1271" s="67">
        <f t="shared" si="95"/>
        <v>6</v>
      </c>
      <c r="M1271" s="105">
        <v>1.4833299999999999E-3</v>
      </c>
      <c r="N1271" s="104">
        <f t="shared" si="96"/>
        <v>-0.76700027640000001</v>
      </c>
      <c r="O1271" s="66"/>
      <c r="P1271" s="71">
        <f t="shared" si="97"/>
        <v>0</v>
      </c>
      <c r="Q1271" s="132"/>
      <c r="R1271" s="71">
        <f t="shared" si="98"/>
        <v>-1.3186796791666666</v>
      </c>
    </row>
    <row r="1272" spans="1:18">
      <c r="A1272" s="106" t="s">
        <v>626</v>
      </c>
      <c r="B1272" s="103" t="s">
        <v>1514</v>
      </c>
      <c r="C1272" s="103" t="s">
        <v>1515</v>
      </c>
      <c r="D1272" s="102" t="s">
        <v>1516</v>
      </c>
      <c r="E1272" s="103" t="s">
        <v>809</v>
      </c>
      <c r="F1272" s="102" t="s">
        <v>26</v>
      </c>
      <c r="G1272" s="103" t="s">
        <v>20</v>
      </c>
      <c r="H1272" s="108"/>
      <c r="I1272" s="103">
        <v>201508</v>
      </c>
      <c r="J1272" s="104">
        <v>26393.14</v>
      </c>
      <c r="K1272" s="72">
        <f t="shared" si="99"/>
        <v>42675</v>
      </c>
      <c r="L1272" s="67">
        <f t="shared" si="95"/>
        <v>6</v>
      </c>
      <c r="M1272" s="105">
        <v>1.4833299999999999E-3</v>
      </c>
      <c r="N1272" s="104">
        <f t="shared" si="96"/>
        <v>234.8984181372</v>
      </c>
      <c r="O1272" s="66"/>
      <c r="P1272" s="71">
        <f t="shared" si="97"/>
        <v>0</v>
      </c>
      <c r="Q1272" s="132"/>
      <c r="R1272" s="71">
        <f t="shared" si="98"/>
        <v>403.85353199583329</v>
      </c>
    </row>
    <row r="1273" spans="1:18">
      <c r="A1273" s="106" t="s">
        <v>626</v>
      </c>
      <c r="B1273" s="103" t="s">
        <v>1473</v>
      </c>
      <c r="C1273" s="103" t="s">
        <v>1474</v>
      </c>
      <c r="D1273" s="102" t="s">
        <v>1475</v>
      </c>
      <c r="E1273" s="103" t="s">
        <v>1059</v>
      </c>
      <c r="F1273" s="102" t="s">
        <v>26</v>
      </c>
      <c r="G1273" s="103" t="s">
        <v>20</v>
      </c>
      <c r="H1273" s="108"/>
      <c r="I1273" s="103">
        <v>201508</v>
      </c>
      <c r="J1273" s="104">
        <v>-88.9</v>
      </c>
      <c r="K1273" s="72">
        <f t="shared" si="99"/>
        <v>42675</v>
      </c>
      <c r="L1273" s="67">
        <f t="shared" si="95"/>
        <v>6</v>
      </c>
      <c r="M1273" s="105">
        <v>1.4833299999999999E-3</v>
      </c>
      <c r="N1273" s="104">
        <f t="shared" si="96"/>
        <v>-0.79120822200000007</v>
      </c>
      <c r="O1273" s="66"/>
      <c r="P1273" s="71">
        <f t="shared" si="97"/>
        <v>0</v>
      </c>
      <c r="Q1273" s="132"/>
      <c r="R1273" s="71">
        <f t="shared" si="98"/>
        <v>-1.3602996458333332</v>
      </c>
    </row>
    <row r="1274" spans="1:18">
      <c r="A1274" s="106" t="s">
        <v>626</v>
      </c>
      <c r="B1274" s="103" t="s">
        <v>1561</v>
      </c>
      <c r="C1274" s="103" t="s">
        <v>1562</v>
      </c>
      <c r="D1274" s="102" t="s">
        <v>1563</v>
      </c>
      <c r="E1274" s="103" t="s">
        <v>160</v>
      </c>
      <c r="F1274" s="102" t="s">
        <v>19</v>
      </c>
      <c r="G1274" s="103" t="s">
        <v>20</v>
      </c>
      <c r="H1274" s="108"/>
      <c r="I1274" s="103">
        <v>201508</v>
      </c>
      <c r="J1274" s="104">
        <v>-25.1</v>
      </c>
      <c r="K1274" s="72">
        <f t="shared" si="99"/>
        <v>42675</v>
      </c>
      <c r="L1274" s="67">
        <f t="shared" si="95"/>
        <v>6</v>
      </c>
      <c r="M1274" s="105">
        <v>1.4833299999999999E-3</v>
      </c>
      <c r="N1274" s="104">
        <f t="shared" si="96"/>
        <v>-0.22338949800000002</v>
      </c>
      <c r="O1274" s="66"/>
      <c r="P1274" s="71">
        <f t="shared" si="97"/>
        <v>0</v>
      </c>
      <c r="Q1274" s="132"/>
      <c r="R1274" s="71">
        <f t="shared" si="98"/>
        <v>-0.38406660416666666</v>
      </c>
    </row>
    <row r="1275" spans="1:18">
      <c r="A1275" s="106" t="s">
        <v>127</v>
      </c>
      <c r="B1275" s="103" t="s">
        <v>1577</v>
      </c>
      <c r="C1275" s="103" t="s">
        <v>1578</v>
      </c>
      <c r="D1275" s="102" t="s">
        <v>1579</v>
      </c>
      <c r="E1275" s="103" t="s">
        <v>1580</v>
      </c>
      <c r="F1275" s="102" t="s">
        <v>217</v>
      </c>
      <c r="G1275" s="103" t="s">
        <v>20</v>
      </c>
      <c r="H1275" s="108"/>
      <c r="I1275" s="103">
        <v>201508</v>
      </c>
      <c r="J1275" s="104">
        <v>-42.98</v>
      </c>
      <c r="K1275" s="72">
        <f t="shared" si="99"/>
        <v>42675</v>
      </c>
      <c r="L1275" s="67">
        <f t="shared" si="95"/>
        <v>6</v>
      </c>
      <c r="M1275" s="105">
        <v>2.3833299999999999E-3</v>
      </c>
      <c r="N1275" s="104">
        <f t="shared" si="96"/>
        <v>-0.61461314039999992</v>
      </c>
      <c r="O1275" s="66"/>
      <c r="P1275" s="71">
        <f t="shared" si="97"/>
        <v>0</v>
      </c>
      <c r="Q1275" s="132"/>
      <c r="R1275" s="71">
        <f t="shared" si="98"/>
        <v>-0.65765667916666648</v>
      </c>
    </row>
    <row r="1276" spans="1:18">
      <c r="A1276" s="102" t="s">
        <v>626</v>
      </c>
      <c r="B1276" s="103" t="s">
        <v>1330</v>
      </c>
      <c r="C1276" s="103" t="s">
        <v>1331</v>
      </c>
      <c r="D1276" s="102" t="s">
        <v>1332</v>
      </c>
      <c r="E1276" s="103" t="s">
        <v>102</v>
      </c>
      <c r="F1276" s="102" t="s">
        <v>19</v>
      </c>
      <c r="G1276" s="103" t="s">
        <v>20</v>
      </c>
      <c r="H1276" s="108"/>
      <c r="I1276" s="103">
        <v>201508</v>
      </c>
      <c r="J1276" s="104">
        <v>-59.27</v>
      </c>
      <c r="K1276" s="72">
        <f t="shared" si="99"/>
        <v>42675</v>
      </c>
      <c r="L1276" s="67">
        <f t="shared" si="95"/>
        <v>6</v>
      </c>
      <c r="M1276" s="105">
        <v>1.4833299999999999E-3</v>
      </c>
      <c r="N1276" s="104">
        <f t="shared" si="96"/>
        <v>-0.52750181460000001</v>
      </c>
      <c r="O1276" s="66"/>
      <c r="P1276" s="71">
        <f t="shared" si="97"/>
        <v>0</v>
      </c>
      <c r="Q1276" s="132"/>
      <c r="R1276" s="71">
        <f t="shared" si="98"/>
        <v>-0.9069174354166667</v>
      </c>
    </row>
    <row r="1277" spans="1:18">
      <c r="A1277" s="102" t="s">
        <v>21</v>
      </c>
      <c r="B1277" s="103" t="s">
        <v>1564</v>
      </c>
      <c r="C1277" s="103" t="s">
        <v>1565</v>
      </c>
      <c r="D1277" s="102" t="s">
        <v>1566</v>
      </c>
      <c r="E1277" s="103" t="s">
        <v>18</v>
      </c>
      <c r="F1277" s="102" t="s">
        <v>19</v>
      </c>
      <c r="G1277" s="103" t="s">
        <v>20</v>
      </c>
      <c r="H1277" s="108"/>
      <c r="I1277" s="103">
        <v>201508</v>
      </c>
      <c r="J1277" s="104">
        <v>-79.61</v>
      </c>
      <c r="K1277" s="72">
        <f t="shared" si="99"/>
        <v>42675</v>
      </c>
      <c r="L1277" s="67">
        <f t="shared" si="95"/>
        <v>6</v>
      </c>
      <c r="M1277" s="105">
        <v>1.4833299999999999E-3</v>
      </c>
      <c r="N1277" s="104">
        <f t="shared" si="96"/>
        <v>-0.70852740780000001</v>
      </c>
      <c r="O1277" s="66"/>
      <c r="P1277" s="71">
        <f t="shared" si="97"/>
        <v>0</v>
      </c>
      <c r="Q1277" s="132"/>
      <c r="R1277" s="71">
        <f t="shared" si="98"/>
        <v>-1.2181490979166665</v>
      </c>
    </row>
    <row r="1278" spans="1:18">
      <c r="A1278" s="102" t="s">
        <v>626</v>
      </c>
      <c r="B1278" s="103" t="s">
        <v>1239</v>
      </c>
      <c r="C1278" s="103" t="s">
        <v>1240</v>
      </c>
      <c r="D1278" s="102" t="s">
        <v>1241</v>
      </c>
      <c r="E1278" s="103" t="s">
        <v>415</v>
      </c>
      <c r="F1278" s="102" t="s">
        <v>88</v>
      </c>
      <c r="G1278" s="103" t="s">
        <v>20</v>
      </c>
      <c r="H1278" s="108"/>
      <c r="I1278" s="103">
        <v>201508</v>
      </c>
      <c r="J1278" s="104">
        <v>-35.96</v>
      </c>
      <c r="K1278" s="72">
        <f t="shared" si="99"/>
        <v>42675</v>
      </c>
      <c r="L1278" s="67">
        <f t="shared" si="95"/>
        <v>6</v>
      </c>
      <c r="M1278" s="105">
        <v>1.4833299999999999E-3</v>
      </c>
      <c r="N1278" s="104">
        <f t="shared" si="96"/>
        <v>-0.3200432808</v>
      </c>
      <c r="O1278" s="66"/>
      <c r="P1278" s="71">
        <f t="shared" si="97"/>
        <v>0</v>
      </c>
      <c r="Q1278" s="132"/>
      <c r="R1278" s="71">
        <f t="shared" si="98"/>
        <v>-0.55024044166666664</v>
      </c>
    </row>
    <row r="1279" spans="1:18">
      <c r="A1279" s="102" t="s">
        <v>21</v>
      </c>
      <c r="B1279" s="103" t="s">
        <v>1309</v>
      </c>
      <c r="C1279" s="103" t="s">
        <v>1310</v>
      </c>
      <c r="D1279" s="102" t="s">
        <v>1311</v>
      </c>
      <c r="E1279" s="103" t="s">
        <v>79</v>
      </c>
      <c r="F1279" s="102" t="s">
        <v>26</v>
      </c>
      <c r="G1279" s="103" t="s">
        <v>20</v>
      </c>
      <c r="H1279" s="108"/>
      <c r="I1279" s="103">
        <v>201508</v>
      </c>
      <c r="J1279" s="104">
        <v>-46.25</v>
      </c>
      <c r="K1279" s="72">
        <f t="shared" si="99"/>
        <v>42675</v>
      </c>
      <c r="L1279" s="67">
        <f t="shared" si="95"/>
        <v>6</v>
      </c>
      <c r="M1279" s="105">
        <v>1.4833299999999999E-3</v>
      </c>
      <c r="N1279" s="104">
        <f t="shared" si="96"/>
        <v>-0.41162407499999998</v>
      </c>
      <c r="O1279" s="66"/>
      <c r="P1279" s="71">
        <f t="shared" si="97"/>
        <v>0</v>
      </c>
      <c r="Q1279" s="132"/>
      <c r="R1279" s="71">
        <f t="shared" si="98"/>
        <v>-0.70769244791666663</v>
      </c>
    </row>
    <row r="1280" spans="1:18">
      <c r="A1280" s="102" t="s">
        <v>626</v>
      </c>
      <c r="B1280" s="103" t="s">
        <v>1363</v>
      </c>
      <c r="C1280" s="103" t="s">
        <v>1364</v>
      </c>
      <c r="D1280" s="102" t="s">
        <v>1365</v>
      </c>
      <c r="E1280" s="103" t="s">
        <v>497</v>
      </c>
      <c r="F1280" s="102" t="s">
        <v>26</v>
      </c>
      <c r="G1280" s="103" t="s">
        <v>20</v>
      </c>
      <c r="H1280" s="108"/>
      <c r="I1280" s="103">
        <v>201508</v>
      </c>
      <c r="J1280" s="104">
        <v>-12.04</v>
      </c>
      <c r="K1280" s="72">
        <f t="shared" si="99"/>
        <v>42675</v>
      </c>
      <c r="L1280" s="67">
        <f t="shared" si="95"/>
        <v>6</v>
      </c>
      <c r="M1280" s="105">
        <v>1.4833299999999999E-3</v>
      </c>
      <c r="N1280" s="104">
        <f t="shared" si="96"/>
        <v>-0.10715575919999999</v>
      </c>
      <c r="O1280" s="66"/>
      <c r="P1280" s="71">
        <f t="shared" si="97"/>
        <v>0</v>
      </c>
      <c r="Q1280" s="132"/>
      <c r="R1280" s="71">
        <f t="shared" si="98"/>
        <v>-0.18422955833333332</v>
      </c>
    </row>
    <row r="1281" spans="1:18">
      <c r="A1281" s="102" t="s">
        <v>21</v>
      </c>
      <c r="B1281" s="103" t="s">
        <v>1230</v>
      </c>
      <c r="C1281" s="103" t="s">
        <v>1231</v>
      </c>
      <c r="D1281" s="102" t="s">
        <v>1232</v>
      </c>
      <c r="E1281" s="103" t="s">
        <v>63</v>
      </c>
      <c r="F1281" s="102" t="s">
        <v>19</v>
      </c>
      <c r="G1281" s="103" t="s">
        <v>20</v>
      </c>
      <c r="H1281" s="108"/>
      <c r="I1281" s="103">
        <v>201508</v>
      </c>
      <c r="J1281" s="104">
        <v>-20.5</v>
      </c>
      <c r="K1281" s="72">
        <f t="shared" si="99"/>
        <v>42675</v>
      </c>
      <c r="L1281" s="67">
        <f t="shared" si="95"/>
        <v>6</v>
      </c>
      <c r="M1281" s="105">
        <v>1.4833299999999999E-3</v>
      </c>
      <c r="N1281" s="104">
        <f t="shared" si="96"/>
        <v>-0.18244958999999999</v>
      </c>
      <c r="O1281" s="66"/>
      <c r="P1281" s="71">
        <f t="shared" si="97"/>
        <v>0</v>
      </c>
      <c r="Q1281" s="132"/>
      <c r="R1281" s="71">
        <f t="shared" si="98"/>
        <v>-0.31367989583333328</v>
      </c>
    </row>
    <row r="1282" spans="1:18">
      <c r="A1282" s="102" t="s">
        <v>626</v>
      </c>
      <c r="B1282" s="103" t="s">
        <v>1476</v>
      </c>
      <c r="C1282" s="103" t="s">
        <v>1477</v>
      </c>
      <c r="D1282" s="102" t="s">
        <v>1478</v>
      </c>
      <c r="E1282" s="103" t="s">
        <v>531</v>
      </c>
      <c r="F1282" s="102" t="s">
        <v>26</v>
      </c>
      <c r="G1282" s="103" t="s">
        <v>20</v>
      </c>
      <c r="H1282" s="108"/>
      <c r="I1282" s="103">
        <v>201508</v>
      </c>
      <c r="J1282" s="104">
        <v>-118.36</v>
      </c>
      <c r="K1282" s="72">
        <f t="shared" si="99"/>
        <v>42675</v>
      </c>
      <c r="L1282" s="67">
        <f t="shared" si="95"/>
        <v>6</v>
      </c>
      <c r="M1282" s="105">
        <v>1.4833299999999999E-3</v>
      </c>
      <c r="N1282" s="104">
        <f t="shared" si="96"/>
        <v>-1.0534016328</v>
      </c>
      <c r="O1282" s="66"/>
      <c r="P1282" s="71">
        <f t="shared" si="97"/>
        <v>0</v>
      </c>
      <c r="Q1282" s="132"/>
      <c r="R1282" s="71">
        <f t="shared" si="98"/>
        <v>-1.8110806083333331</v>
      </c>
    </row>
    <row r="1283" spans="1:18">
      <c r="A1283" s="102" t="s">
        <v>21</v>
      </c>
      <c r="B1283" s="103" t="s">
        <v>1567</v>
      </c>
      <c r="C1283" s="103" t="s">
        <v>1568</v>
      </c>
      <c r="D1283" s="102" t="s">
        <v>1569</v>
      </c>
      <c r="E1283" s="103" t="s">
        <v>63</v>
      </c>
      <c r="F1283" s="102" t="s">
        <v>19</v>
      </c>
      <c r="G1283" s="103" t="s">
        <v>20</v>
      </c>
      <c r="H1283" s="108"/>
      <c r="I1283" s="103">
        <v>201508</v>
      </c>
      <c r="J1283" s="104">
        <v>-49.04</v>
      </c>
      <c r="K1283" s="72">
        <f t="shared" si="99"/>
        <v>42675</v>
      </c>
      <c r="L1283" s="67">
        <f t="shared" si="95"/>
        <v>6</v>
      </c>
      <c r="M1283" s="105">
        <v>1.4833299999999999E-3</v>
      </c>
      <c r="N1283" s="104">
        <f t="shared" si="96"/>
        <v>-0.43645501920000002</v>
      </c>
      <c r="O1283" s="66"/>
      <c r="P1283" s="71">
        <f t="shared" si="97"/>
        <v>0</v>
      </c>
      <c r="Q1283" s="132"/>
      <c r="R1283" s="71">
        <f t="shared" si="98"/>
        <v>-0.75038351666666658</v>
      </c>
    </row>
    <row r="1284" spans="1:18">
      <c r="A1284" s="102" t="s">
        <v>626</v>
      </c>
      <c r="B1284" s="103" t="s">
        <v>1517</v>
      </c>
      <c r="C1284" s="103" t="s">
        <v>1518</v>
      </c>
      <c r="D1284" s="102" t="s">
        <v>1211</v>
      </c>
      <c r="E1284" s="103" t="s">
        <v>280</v>
      </c>
      <c r="F1284" s="102" t="s">
        <v>26</v>
      </c>
      <c r="G1284" s="103" t="s">
        <v>20</v>
      </c>
      <c r="H1284" s="108"/>
      <c r="I1284" s="103">
        <v>201508</v>
      </c>
      <c r="J1284" s="104">
        <v>-12445.49</v>
      </c>
      <c r="K1284" s="72">
        <f t="shared" si="99"/>
        <v>42675</v>
      </c>
      <c r="L1284" s="67">
        <f t="shared" si="95"/>
        <v>6</v>
      </c>
      <c r="M1284" s="105">
        <v>1.4833299999999999E-3</v>
      </c>
      <c r="N1284" s="104">
        <f t="shared" si="96"/>
        <v>-110.7646120902</v>
      </c>
      <c r="O1284" s="66"/>
      <c r="P1284" s="71">
        <f t="shared" si="97"/>
        <v>0</v>
      </c>
      <c r="Q1284" s="132"/>
      <c r="R1284" s="71">
        <f t="shared" si="98"/>
        <v>-190.43414667291663</v>
      </c>
    </row>
    <row r="1285" spans="1:18">
      <c r="A1285" s="102" t="s">
        <v>626</v>
      </c>
      <c r="B1285" s="103" t="s">
        <v>1280</v>
      </c>
      <c r="C1285" s="103" t="s">
        <v>1281</v>
      </c>
      <c r="D1285" s="102" t="s">
        <v>1282</v>
      </c>
      <c r="E1285" s="103" t="s">
        <v>164</v>
      </c>
      <c r="F1285" s="102" t="s">
        <v>1600</v>
      </c>
      <c r="G1285" s="103" t="s">
        <v>20</v>
      </c>
      <c r="H1285" s="108"/>
      <c r="I1285" s="103">
        <v>201508</v>
      </c>
      <c r="J1285" s="104">
        <v>-68.11</v>
      </c>
      <c r="K1285" s="72">
        <f t="shared" si="99"/>
        <v>42675</v>
      </c>
      <c r="L1285" s="67">
        <f t="shared" ref="L1285:L1348" si="100">((YEAR($L$1)-YEAR(K1285))*12+MONTH($L$1)-MONTH(K1285))</f>
        <v>6</v>
      </c>
      <c r="M1285" s="105">
        <v>1.4833299999999999E-3</v>
      </c>
      <c r="N1285" s="104">
        <f t="shared" ref="N1285:N1348" si="101">M1285*L1285*J1285</f>
        <v>-0.6061776378</v>
      </c>
      <c r="O1285" s="66"/>
      <c r="P1285" s="71">
        <f t="shared" si="97"/>
        <v>0</v>
      </c>
      <c r="Q1285" s="132"/>
      <c r="R1285" s="71">
        <f t="shared" si="98"/>
        <v>-1.0421823270833332</v>
      </c>
    </row>
    <row r="1286" spans="1:18">
      <c r="A1286" s="102" t="s">
        <v>626</v>
      </c>
      <c r="B1286" s="103" t="s">
        <v>1333</v>
      </c>
      <c r="C1286" s="103" t="s">
        <v>1334</v>
      </c>
      <c r="D1286" s="102" t="s">
        <v>1335</v>
      </c>
      <c r="E1286" s="103" t="s">
        <v>164</v>
      </c>
      <c r="F1286" s="102" t="s">
        <v>1600</v>
      </c>
      <c r="G1286" s="103" t="s">
        <v>20</v>
      </c>
      <c r="H1286" s="108"/>
      <c r="I1286" s="103">
        <v>201508</v>
      </c>
      <c r="J1286" s="104">
        <v>-126.07</v>
      </c>
      <c r="K1286" s="72">
        <f t="shared" si="99"/>
        <v>42675</v>
      </c>
      <c r="L1286" s="67">
        <f t="shared" si="100"/>
        <v>6</v>
      </c>
      <c r="M1286" s="105">
        <v>1.4833299999999999E-3</v>
      </c>
      <c r="N1286" s="104">
        <f t="shared" si="101"/>
        <v>-1.1220204785999999</v>
      </c>
      <c r="O1286" s="66"/>
      <c r="P1286" s="71">
        <f t="shared" ref="P1286:P1349" si="102">($P$4*0.5*J1286*$T$12)</f>
        <v>0</v>
      </c>
      <c r="Q1286" s="132"/>
      <c r="R1286" s="71">
        <f t="shared" ref="R1286:R1349" si="103">($R$4*0.5*J1286*$T$12)</f>
        <v>-1.9290548520833333</v>
      </c>
    </row>
    <row r="1287" spans="1:18">
      <c r="A1287" s="102" t="s">
        <v>626</v>
      </c>
      <c r="B1287" s="103" t="s">
        <v>1429</v>
      </c>
      <c r="C1287" s="103" t="s">
        <v>1430</v>
      </c>
      <c r="D1287" s="102" t="s">
        <v>1431</v>
      </c>
      <c r="E1287" s="103" t="s">
        <v>360</v>
      </c>
      <c r="F1287" s="102" t="s">
        <v>19</v>
      </c>
      <c r="G1287" s="103" t="s">
        <v>20</v>
      </c>
      <c r="H1287" s="108"/>
      <c r="I1287" s="103">
        <v>201508</v>
      </c>
      <c r="J1287" s="104">
        <v>-350.81</v>
      </c>
      <c r="K1287" s="72">
        <f t="shared" ref="K1287:K1350" si="104">+K1286</f>
        <v>42675</v>
      </c>
      <c r="L1287" s="67">
        <f t="shared" si="100"/>
        <v>6</v>
      </c>
      <c r="M1287" s="105">
        <v>1.4833299999999999E-3</v>
      </c>
      <c r="N1287" s="104">
        <f t="shared" si="101"/>
        <v>-3.1222019838000001</v>
      </c>
      <c r="O1287" s="66"/>
      <c r="P1287" s="71">
        <f t="shared" si="102"/>
        <v>0</v>
      </c>
      <c r="Q1287" s="132"/>
      <c r="R1287" s="71">
        <f t="shared" si="103"/>
        <v>-5.3679045979166657</v>
      </c>
    </row>
    <row r="1288" spans="1:18">
      <c r="A1288" s="102" t="s">
        <v>626</v>
      </c>
      <c r="B1288" s="103" t="s">
        <v>1479</v>
      </c>
      <c r="C1288" s="103" t="s">
        <v>1480</v>
      </c>
      <c r="D1288" s="102" t="s">
        <v>1481</v>
      </c>
      <c r="E1288" s="103" t="s">
        <v>1059</v>
      </c>
      <c r="F1288" s="102" t="s">
        <v>26</v>
      </c>
      <c r="G1288" s="103" t="s">
        <v>20</v>
      </c>
      <c r="H1288" s="108"/>
      <c r="I1288" s="103">
        <v>201508</v>
      </c>
      <c r="J1288" s="104">
        <v>-332.58</v>
      </c>
      <c r="K1288" s="72">
        <f t="shared" si="104"/>
        <v>42675</v>
      </c>
      <c r="L1288" s="67">
        <f t="shared" si="100"/>
        <v>6</v>
      </c>
      <c r="M1288" s="105">
        <v>1.4833299999999999E-3</v>
      </c>
      <c r="N1288" s="104">
        <f t="shared" si="101"/>
        <v>-2.9599553483999999</v>
      </c>
      <c r="O1288" s="66"/>
      <c r="P1288" s="71">
        <f t="shared" si="102"/>
        <v>0</v>
      </c>
      <c r="Q1288" s="132"/>
      <c r="R1288" s="71">
        <f t="shared" si="103"/>
        <v>-5.0889590124999993</v>
      </c>
    </row>
    <row r="1289" spans="1:18">
      <c r="A1289" s="102" t="s">
        <v>626</v>
      </c>
      <c r="B1289" s="103" t="s">
        <v>1298</v>
      </c>
      <c r="C1289" s="103" t="s">
        <v>1299</v>
      </c>
      <c r="D1289" s="102" t="s">
        <v>1300</v>
      </c>
      <c r="E1289" s="103" t="s">
        <v>93</v>
      </c>
      <c r="F1289" s="102" t="s">
        <v>1601</v>
      </c>
      <c r="G1289" s="103" t="s">
        <v>20</v>
      </c>
      <c r="H1289" s="108"/>
      <c r="I1289" s="103">
        <v>201508</v>
      </c>
      <c r="J1289" s="104">
        <v>-25.65</v>
      </c>
      <c r="K1289" s="72">
        <f t="shared" si="104"/>
        <v>42675</v>
      </c>
      <c r="L1289" s="67">
        <f t="shared" si="100"/>
        <v>6</v>
      </c>
      <c r="M1289" s="105">
        <v>1.4833299999999999E-3</v>
      </c>
      <c r="N1289" s="104">
        <f t="shared" si="101"/>
        <v>-0.22828448699999998</v>
      </c>
      <c r="O1289" s="66"/>
      <c r="P1289" s="71">
        <f t="shared" si="102"/>
        <v>0</v>
      </c>
      <c r="Q1289" s="132"/>
      <c r="R1289" s="71">
        <f t="shared" si="103"/>
        <v>-0.39248240624999997</v>
      </c>
    </row>
    <row r="1290" spans="1:18">
      <c r="A1290" s="102" t="s">
        <v>626</v>
      </c>
      <c r="B1290" s="103" t="s">
        <v>1336</v>
      </c>
      <c r="C1290" s="103" t="s">
        <v>1337</v>
      </c>
      <c r="D1290" s="102" t="s">
        <v>1338</v>
      </c>
      <c r="E1290" s="103" t="s">
        <v>75</v>
      </c>
      <c r="F1290" s="102" t="s">
        <v>1602</v>
      </c>
      <c r="G1290" s="103" t="s">
        <v>20</v>
      </c>
      <c r="H1290" s="108"/>
      <c r="I1290" s="103">
        <v>201508</v>
      </c>
      <c r="J1290" s="104">
        <v>-116.47</v>
      </c>
      <c r="K1290" s="72">
        <f t="shared" si="104"/>
        <v>42675</v>
      </c>
      <c r="L1290" s="67">
        <f t="shared" si="100"/>
        <v>6</v>
      </c>
      <c r="M1290" s="105">
        <v>1.4833299999999999E-3</v>
      </c>
      <c r="N1290" s="104">
        <f t="shared" si="101"/>
        <v>-1.0365806706</v>
      </c>
      <c r="O1290" s="66"/>
      <c r="P1290" s="71">
        <f t="shared" si="102"/>
        <v>0</v>
      </c>
      <c r="Q1290" s="132"/>
      <c r="R1290" s="71">
        <f t="shared" si="103"/>
        <v>-1.782160852083333</v>
      </c>
    </row>
    <row r="1291" spans="1:18">
      <c r="A1291" s="102" t="s">
        <v>21</v>
      </c>
      <c r="B1291" s="103" t="s">
        <v>1233</v>
      </c>
      <c r="C1291" s="103" t="s">
        <v>1234</v>
      </c>
      <c r="D1291" s="102" t="s">
        <v>1235</v>
      </c>
      <c r="E1291" s="103" t="s">
        <v>172</v>
      </c>
      <c r="F1291" s="102" t="s">
        <v>1609</v>
      </c>
      <c r="G1291" s="103" t="s">
        <v>20</v>
      </c>
      <c r="H1291" s="108"/>
      <c r="I1291" s="103">
        <v>201508</v>
      </c>
      <c r="J1291" s="104">
        <v>-32.119999999999997</v>
      </c>
      <c r="K1291" s="72">
        <f t="shared" si="104"/>
        <v>42675</v>
      </c>
      <c r="L1291" s="67">
        <f t="shared" si="100"/>
        <v>6</v>
      </c>
      <c r="M1291" s="105">
        <v>1.4833299999999999E-3</v>
      </c>
      <c r="N1291" s="104">
        <f t="shared" si="101"/>
        <v>-0.28586735759999998</v>
      </c>
      <c r="O1291" s="66"/>
      <c r="P1291" s="71">
        <f t="shared" si="102"/>
        <v>0</v>
      </c>
      <c r="Q1291" s="132"/>
      <c r="R1291" s="71">
        <f t="shared" si="103"/>
        <v>-0.49148284166666656</v>
      </c>
    </row>
    <row r="1292" spans="1:18">
      <c r="A1292" s="102" t="s">
        <v>626</v>
      </c>
      <c r="B1292" s="103" t="s">
        <v>1366</v>
      </c>
      <c r="C1292" s="103" t="s">
        <v>1367</v>
      </c>
      <c r="D1292" s="102" t="s">
        <v>1368</v>
      </c>
      <c r="E1292" s="103" t="s">
        <v>209</v>
      </c>
      <c r="F1292" s="102" t="s">
        <v>1612</v>
      </c>
      <c r="G1292" s="103" t="s">
        <v>20</v>
      </c>
      <c r="H1292" s="108"/>
      <c r="I1292" s="103">
        <v>201508</v>
      </c>
      <c r="J1292" s="104">
        <v>-75.650000000000006</v>
      </c>
      <c r="K1292" s="72">
        <f t="shared" si="104"/>
        <v>42675</v>
      </c>
      <c r="L1292" s="67">
        <f t="shared" si="100"/>
        <v>6</v>
      </c>
      <c r="M1292" s="105">
        <v>1.4833299999999999E-3</v>
      </c>
      <c r="N1292" s="104">
        <f t="shared" si="101"/>
        <v>-0.67328348700000007</v>
      </c>
      <c r="O1292" s="66"/>
      <c r="P1292" s="71">
        <f t="shared" si="102"/>
        <v>0</v>
      </c>
      <c r="Q1292" s="132"/>
      <c r="R1292" s="71">
        <f t="shared" si="103"/>
        <v>-1.1575553229166666</v>
      </c>
    </row>
    <row r="1293" spans="1:18">
      <c r="A1293" s="106" t="s">
        <v>626</v>
      </c>
      <c r="B1293" s="103" t="s">
        <v>1620</v>
      </c>
      <c r="C1293" s="103" t="s">
        <v>1621</v>
      </c>
      <c r="D1293" s="102" t="s">
        <v>1622</v>
      </c>
      <c r="E1293" s="103" t="s">
        <v>497</v>
      </c>
      <c r="F1293" s="102" t="s">
        <v>26</v>
      </c>
      <c r="G1293" s="103" t="s">
        <v>20</v>
      </c>
      <c r="H1293" s="108"/>
      <c r="I1293" s="103">
        <v>201508</v>
      </c>
      <c r="J1293" s="104">
        <v>172484.83</v>
      </c>
      <c r="K1293" s="72">
        <f t="shared" si="104"/>
        <v>42675</v>
      </c>
      <c r="L1293" s="67">
        <f t="shared" si="100"/>
        <v>6</v>
      </c>
      <c r="M1293" s="105">
        <v>1.4833299999999999E-3</v>
      </c>
      <c r="N1293" s="104">
        <f t="shared" si="101"/>
        <v>1535.1115373033999</v>
      </c>
      <c r="O1293" s="66"/>
      <c r="P1293" s="71">
        <f t="shared" si="102"/>
        <v>0</v>
      </c>
      <c r="Q1293" s="132"/>
      <c r="R1293" s="71">
        <f t="shared" si="103"/>
        <v>2639.2694393770826</v>
      </c>
    </row>
    <row r="1294" spans="1:18">
      <c r="A1294" s="106" t="s">
        <v>626</v>
      </c>
      <c r="B1294" s="103" t="s">
        <v>1339</v>
      </c>
      <c r="C1294" s="103" t="s">
        <v>1340</v>
      </c>
      <c r="D1294" s="102" t="s">
        <v>1341</v>
      </c>
      <c r="E1294" s="103" t="s">
        <v>360</v>
      </c>
      <c r="F1294" s="102" t="s">
        <v>19</v>
      </c>
      <c r="G1294" s="103" t="s">
        <v>20</v>
      </c>
      <c r="H1294" s="108"/>
      <c r="I1294" s="103">
        <v>201508</v>
      </c>
      <c r="J1294" s="104">
        <v>-53.29</v>
      </c>
      <c r="K1294" s="72">
        <f t="shared" si="104"/>
        <v>42675</v>
      </c>
      <c r="L1294" s="67">
        <f t="shared" si="100"/>
        <v>6</v>
      </c>
      <c r="M1294" s="105">
        <v>1.4833299999999999E-3</v>
      </c>
      <c r="N1294" s="104">
        <f t="shared" si="101"/>
        <v>-0.47427993419999998</v>
      </c>
      <c r="O1294" s="66"/>
      <c r="P1294" s="71">
        <f t="shared" si="102"/>
        <v>0</v>
      </c>
      <c r="Q1294" s="132"/>
      <c r="R1294" s="71">
        <f t="shared" si="103"/>
        <v>-0.81541471458333314</v>
      </c>
    </row>
    <row r="1295" spans="1:18">
      <c r="A1295" s="106" t="s">
        <v>626</v>
      </c>
      <c r="B1295" s="103" t="s">
        <v>1283</v>
      </c>
      <c r="C1295" s="103" t="s">
        <v>1284</v>
      </c>
      <c r="D1295" s="102" t="s">
        <v>1285</v>
      </c>
      <c r="E1295" s="103" t="s">
        <v>809</v>
      </c>
      <c r="F1295" s="102" t="s">
        <v>26</v>
      </c>
      <c r="G1295" s="103" t="s">
        <v>20</v>
      </c>
      <c r="H1295" s="108"/>
      <c r="I1295" s="103">
        <v>201508</v>
      </c>
      <c r="J1295" s="104">
        <v>-61.7</v>
      </c>
      <c r="K1295" s="72">
        <f t="shared" si="104"/>
        <v>42675</v>
      </c>
      <c r="L1295" s="67">
        <f t="shared" si="100"/>
        <v>6</v>
      </c>
      <c r="M1295" s="105">
        <v>1.4833299999999999E-3</v>
      </c>
      <c r="N1295" s="104">
        <f t="shared" si="101"/>
        <v>-0.54912876600000005</v>
      </c>
      <c r="O1295" s="66"/>
      <c r="P1295" s="71">
        <f t="shared" si="102"/>
        <v>0</v>
      </c>
      <c r="Q1295" s="132"/>
      <c r="R1295" s="71">
        <f t="shared" si="103"/>
        <v>-0.94409997916666666</v>
      </c>
    </row>
    <row r="1296" spans="1:18">
      <c r="A1296" s="106" t="s">
        <v>21</v>
      </c>
      <c r="B1296" s="103" t="s">
        <v>1354</v>
      </c>
      <c r="C1296" s="103" t="s">
        <v>1355</v>
      </c>
      <c r="D1296" s="102" t="s">
        <v>1356</v>
      </c>
      <c r="E1296" s="103" t="s">
        <v>75</v>
      </c>
      <c r="F1296" s="102" t="s">
        <v>1602</v>
      </c>
      <c r="G1296" s="103" t="s">
        <v>20</v>
      </c>
      <c r="H1296" s="108"/>
      <c r="I1296" s="103">
        <v>201508</v>
      </c>
      <c r="J1296" s="104">
        <v>-98.53</v>
      </c>
      <c r="K1296" s="72">
        <f t="shared" si="104"/>
        <v>42675</v>
      </c>
      <c r="L1296" s="67">
        <f t="shared" si="100"/>
        <v>6</v>
      </c>
      <c r="M1296" s="105">
        <v>1.4833299999999999E-3</v>
      </c>
      <c r="N1296" s="104">
        <f t="shared" si="101"/>
        <v>-0.87691502939999999</v>
      </c>
      <c r="O1296" s="66"/>
      <c r="P1296" s="71">
        <f t="shared" si="102"/>
        <v>0</v>
      </c>
      <c r="Q1296" s="132"/>
      <c r="R1296" s="71">
        <f t="shared" si="103"/>
        <v>-1.5076526895833333</v>
      </c>
    </row>
    <row r="1297" spans="1:18">
      <c r="A1297" s="106" t="s">
        <v>626</v>
      </c>
      <c r="B1297" s="103" t="s">
        <v>1519</v>
      </c>
      <c r="C1297" s="103" t="s">
        <v>1520</v>
      </c>
      <c r="D1297" s="102" t="s">
        <v>1521</v>
      </c>
      <c r="E1297" s="103" t="s">
        <v>75</v>
      </c>
      <c r="F1297" s="102" t="s">
        <v>1602</v>
      </c>
      <c r="G1297" s="103" t="s">
        <v>20</v>
      </c>
      <c r="H1297" s="108"/>
      <c r="I1297" s="103">
        <v>201508</v>
      </c>
      <c r="J1297" s="104">
        <v>1701.17</v>
      </c>
      <c r="K1297" s="72">
        <f t="shared" si="104"/>
        <v>42675</v>
      </c>
      <c r="L1297" s="67">
        <f t="shared" si="100"/>
        <v>6</v>
      </c>
      <c r="M1297" s="105">
        <v>1.4833299999999999E-3</v>
      </c>
      <c r="N1297" s="104">
        <f t="shared" si="101"/>
        <v>15.140378976600001</v>
      </c>
      <c r="O1297" s="66"/>
      <c r="P1297" s="71">
        <f t="shared" si="102"/>
        <v>0</v>
      </c>
      <c r="Q1297" s="132"/>
      <c r="R1297" s="71">
        <f t="shared" si="103"/>
        <v>26.030381872916667</v>
      </c>
    </row>
    <row r="1298" spans="1:18">
      <c r="A1298" s="106" t="s">
        <v>626</v>
      </c>
      <c r="B1298" s="103" t="s">
        <v>1432</v>
      </c>
      <c r="C1298" s="103" t="s">
        <v>1433</v>
      </c>
      <c r="D1298" s="102" t="s">
        <v>1434</v>
      </c>
      <c r="E1298" s="103" t="s">
        <v>497</v>
      </c>
      <c r="F1298" s="102" t="s">
        <v>26</v>
      </c>
      <c r="G1298" s="103" t="s">
        <v>20</v>
      </c>
      <c r="H1298" s="108"/>
      <c r="I1298" s="103">
        <v>201508</v>
      </c>
      <c r="J1298" s="104">
        <v>-503.97</v>
      </c>
      <c r="K1298" s="72">
        <f t="shared" si="104"/>
        <v>42675</v>
      </c>
      <c r="L1298" s="67">
        <f t="shared" si="100"/>
        <v>6</v>
      </c>
      <c r="M1298" s="105">
        <v>1.4833299999999999E-3</v>
      </c>
      <c r="N1298" s="104">
        <f t="shared" si="101"/>
        <v>-4.4853229206000007</v>
      </c>
      <c r="O1298" s="66"/>
      <c r="P1298" s="71">
        <f t="shared" si="102"/>
        <v>0</v>
      </c>
      <c r="Q1298" s="132"/>
      <c r="R1298" s="71">
        <f t="shared" si="103"/>
        <v>-7.7114759562500002</v>
      </c>
    </row>
    <row r="1299" spans="1:18">
      <c r="A1299" s="106" t="s">
        <v>626</v>
      </c>
      <c r="B1299" s="103" t="s">
        <v>1623</v>
      </c>
      <c r="C1299" s="103" t="s">
        <v>1624</v>
      </c>
      <c r="D1299" s="102" t="s">
        <v>1625</v>
      </c>
      <c r="E1299" s="103" t="s">
        <v>260</v>
      </c>
      <c r="F1299" s="102" t="s">
        <v>1608</v>
      </c>
      <c r="G1299" s="103" t="s">
        <v>20</v>
      </c>
      <c r="H1299" s="108"/>
      <c r="I1299" s="103">
        <v>201508</v>
      </c>
      <c r="J1299" s="104">
        <v>79261.27</v>
      </c>
      <c r="K1299" s="72">
        <f t="shared" si="104"/>
        <v>42675</v>
      </c>
      <c r="L1299" s="67">
        <f t="shared" si="100"/>
        <v>6</v>
      </c>
      <c r="M1299" s="105">
        <v>1.4833299999999999E-3</v>
      </c>
      <c r="N1299" s="104">
        <f t="shared" si="101"/>
        <v>705.42371777460005</v>
      </c>
      <c r="O1299" s="66"/>
      <c r="P1299" s="71">
        <f t="shared" si="102"/>
        <v>0</v>
      </c>
      <c r="Q1299" s="132"/>
      <c r="R1299" s="71">
        <f t="shared" si="103"/>
        <v>1212.8130203520832</v>
      </c>
    </row>
    <row r="1300" spans="1:18">
      <c r="A1300" s="106" t="s">
        <v>626</v>
      </c>
      <c r="B1300" s="103" t="s">
        <v>1482</v>
      </c>
      <c r="C1300" s="103" t="s">
        <v>1483</v>
      </c>
      <c r="D1300" s="102" t="s">
        <v>1484</v>
      </c>
      <c r="E1300" s="103" t="s">
        <v>75</v>
      </c>
      <c r="F1300" s="102" t="s">
        <v>1602</v>
      </c>
      <c r="G1300" s="103" t="s">
        <v>20</v>
      </c>
      <c r="H1300" s="108"/>
      <c r="I1300" s="103">
        <v>201508</v>
      </c>
      <c r="J1300" s="104">
        <v>-254.79</v>
      </c>
      <c r="K1300" s="72">
        <f t="shared" si="104"/>
        <v>42675</v>
      </c>
      <c r="L1300" s="67">
        <f t="shared" si="100"/>
        <v>6</v>
      </c>
      <c r="M1300" s="105">
        <v>1.4833299999999999E-3</v>
      </c>
      <c r="N1300" s="104">
        <f t="shared" si="101"/>
        <v>-2.2676259042</v>
      </c>
      <c r="O1300" s="66"/>
      <c r="P1300" s="71">
        <f t="shared" si="102"/>
        <v>0</v>
      </c>
      <c r="Q1300" s="132"/>
      <c r="R1300" s="71">
        <f t="shared" si="103"/>
        <v>-3.8986585687499997</v>
      </c>
    </row>
    <row r="1301" spans="1:18">
      <c r="A1301" s="102" t="s">
        <v>626</v>
      </c>
      <c r="B1301" s="103" t="s">
        <v>1485</v>
      </c>
      <c r="C1301" s="103" t="s">
        <v>1486</v>
      </c>
      <c r="D1301" s="102" t="s">
        <v>1487</v>
      </c>
      <c r="E1301" s="103" t="s">
        <v>164</v>
      </c>
      <c r="F1301" s="102" t="s">
        <v>1600</v>
      </c>
      <c r="G1301" s="103" t="s">
        <v>20</v>
      </c>
      <c r="H1301" s="108"/>
      <c r="I1301" s="103">
        <v>201508</v>
      </c>
      <c r="J1301" s="104">
        <v>-4</v>
      </c>
      <c r="K1301" s="72">
        <f t="shared" si="104"/>
        <v>42675</v>
      </c>
      <c r="L1301" s="67">
        <f t="shared" si="100"/>
        <v>6</v>
      </c>
      <c r="M1301" s="105">
        <v>1.4833299999999999E-3</v>
      </c>
      <c r="N1301" s="104">
        <f t="shared" si="101"/>
        <v>-3.559992E-2</v>
      </c>
      <c r="O1301" s="66"/>
      <c r="P1301" s="71">
        <f t="shared" si="102"/>
        <v>0</v>
      </c>
      <c r="Q1301" s="132"/>
      <c r="R1301" s="71">
        <f t="shared" si="103"/>
        <v>-6.1205833333333327E-2</v>
      </c>
    </row>
    <row r="1302" spans="1:18">
      <c r="A1302" s="102" t="s">
        <v>626</v>
      </c>
      <c r="B1302" s="103" t="s">
        <v>1522</v>
      </c>
      <c r="C1302" s="103" t="s">
        <v>1523</v>
      </c>
      <c r="D1302" s="102" t="s">
        <v>1524</v>
      </c>
      <c r="E1302" s="103" t="s">
        <v>75</v>
      </c>
      <c r="F1302" s="102" t="s">
        <v>1602</v>
      </c>
      <c r="G1302" s="103" t="s">
        <v>20</v>
      </c>
      <c r="H1302" s="108"/>
      <c r="I1302" s="103">
        <v>201508</v>
      </c>
      <c r="J1302" s="104">
        <v>10266.870000000001</v>
      </c>
      <c r="K1302" s="72">
        <f t="shared" si="104"/>
        <v>42675</v>
      </c>
      <c r="L1302" s="67">
        <f t="shared" si="100"/>
        <v>6</v>
      </c>
      <c r="M1302" s="105">
        <v>1.4833299999999999E-3</v>
      </c>
      <c r="N1302" s="104">
        <f t="shared" si="101"/>
        <v>91.374937662600004</v>
      </c>
      <c r="O1302" s="66"/>
      <c r="P1302" s="71">
        <f t="shared" si="102"/>
        <v>0</v>
      </c>
      <c r="Q1302" s="132"/>
      <c r="R1302" s="71">
        <f t="shared" si="103"/>
        <v>157.09808351875</v>
      </c>
    </row>
    <row r="1303" spans="1:18">
      <c r="A1303" s="102" t="s">
        <v>127</v>
      </c>
      <c r="B1303" s="103" t="s">
        <v>1499</v>
      </c>
      <c r="C1303" s="103" t="s">
        <v>1500</v>
      </c>
      <c r="D1303" s="102" t="s">
        <v>1501</v>
      </c>
      <c r="E1303" s="103" t="s">
        <v>216</v>
      </c>
      <c r="F1303" s="102" t="s">
        <v>217</v>
      </c>
      <c r="G1303" s="103" t="s">
        <v>20</v>
      </c>
      <c r="H1303" s="108"/>
      <c r="I1303" s="103">
        <v>201508</v>
      </c>
      <c r="J1303" s="104">
        <v>-35.06</v>
      </c>
      <c r="K1303" s="72">
        <f t="shared" si="104"/>
        <v>42675</v>
      </c>
      <c r="L1303" s="67">
        <f t="shared" si="100"/>
        <v>6</v>
      </c>
      <c r="M1303" s="105">
        <v>2.3833299999999999E-3</v>
      </c>
      <c r="N1303" s="104">
        <f t="shared" si="101"/>
        <v>-0.50135729880000002</v>
      </c>
      <c r="O1303" s="66"/>
      <c r="P1303" s="71">
        <f t="shared" si="102"/>
        <v>0</v>
      </c>
      <c r="Q1303" s="132"/>
      <c r="R1303" s="71">
        <f t="shared" si="103"/>
        <v>-0.53646912916666667</v>
      </c>
    </row>
    <row r="1304" spans="1:18">
      <c r="A1304" s="102" t="s">
        <v>626</v>
      </c>
      <c r="B1304" s="103" t="s">
        <v>1342</v>
      </c>
      <c r="C1304" s="103" t="s">
        <v>1343</v>
      </c>
      <c r="D1304" s="102" t="s">
        <v>1344</v>
      </c>
      <c r="E1304" s="103" t="s">
        <v>164</v>
      </c>
      <c r="F1304" s="102" t="s">
        <v>1600</v>
      </c>
      <c r="G1304" s="103" t="s">
        <v>20</v>
      </c>
      <c r="H1304" s="108"/>
      <c r="I1304" s="103">
        <v>201508</v>
      </c>
      <c r="J1304" s="104">
        <v>-380.85</v>
      </c>
      <c r="K1304" s="72">
        <f t="shared" si="104"/>
        <v>42675</v>
      </c>
      <c r="L1304" s="67">
        <f t="shared" si="100"/>
        <v>6</v>
      </c>
      <c r="M1304" s="105">
        <v>1.4833299999999999E-3</v>
      </c>
      <c r="N1304" s="104">
        <f t="shared" si="101"/>
        <v>-3.3895573830000001</v>
      </c>
      <c r="O1304" s="66"/>
      <c r="P1304" s="71">
        <f t="shared" si="102"/>
        <v>0</v>
      </c>
      <c r="Q1304" s="132"/>
      <c r="R1304" s="71">
        <f t="shared" si="103"/>
        <v>-5.827560406249999</v>
      </c>
    </row>
    <row r="1305" spans="1:18">
      <c r="A1305" s="102" t="s">
        <v>626</v>
      </c>
      <c r="B1305" s="103" t="s">
        <v>1548</v>
      </c>
      <c r="C1305" s="103" t="s">
        <v>1549</v>
      </c>
      <c r="D1305" s="102" t="s">
        <v>1550</v>
      </c>
      <c r="E1305" s="103" t="s">
        <v>164</v>
      </c>
      <c r="F1305" s="102" t="s">
        <v>1600</v>
      </c>
      <c r="G1305" s="103" t="s">
        <v>20</v>
      </c>
      <c r="H1305" s="108"/>
      <c r="I1305" s="103">
        <v>201508</v>
      </c>
      <c r="J1305" s="104">
        <v>6326.5</v>
      </c>
      <c r="K1305" s="72">
        <f t="shared" si="104"/>
        <v>42675</v>
      </c>
      <c r="L1305" s="67">
        <f t="shared" si="100"/>
        <v>6</v>
      </c>
      <c r="M1305" s="105">
        <v>1.4833299999999999E-3</v>
      </c>
      <c r="N1305" s="104">
        <f t="shared" si="101"/>
        <v>56.305723470000004</v>
      </c>
      <c r="O1305" s="66"/>
      <c r="P1305" s="71">
        <f t="shared" si="102"/>
        <v>0</v>
      </c>
      <c r="Q1305" s="132"/>
      <c r="R1305" s="71">
        <f t="shared" si="103"/>
        <v>96.804676145833326</v>
      </c>
    </row>
    <row r="1306" spans="1:18">
      <c r="A1306" s="102" t="s">
        <v>21</v>
      </c>
      <c r="B1306" s="103" t="s">
        <v>1464</v>
      </c>
      <c r="C1306" s="103" t="s">
        <v>1465</v>
      </c>
      <c r="D1306" s="102" t="s">
        <v>1466</v>
      </c>
      <c r="E1306" s="103" t="s">
        <v>360</v>
      </c>
      <c r="F1306" s="102" t="s">
        <v>19</v>
      </c>
      <c r="G1306" s="103" t="s">
        <v>20</v>
      </c>
      <c r="H1306" s="108"/>
      <c r="I1306" s="103">
        <v>201508</v>
      </c>
      <c r="J1306" s="104">
        <v>-54.65</v>
      </c>
      <c r="K1306" s="72">
        <f t="shared" si="104"/>
        <v>42675</v>
      </c>
      <c r="L1306" s="67">
        <f t="shared" si="100"/>
        <v>6</v>
      </c>
      <c r="M1306" s="105">
        <v>1.4833299999999999E-3</v>
      </c>
      <c r="N1306" s="104">
        <f t="shared" si="101"/>
        <v>-0.486383907</v>
      </c>
      <c r="O1306" s="66"/>
      <c r="P1306" s="71">
        <f t="shared" si="102"/>
        <v>0</v>
      </c>
      <c r="Q1306" s="132"/>
      <c r="R1306" s="71">
        <f t="shared" si="103"/>
        <v>-0.83622469791666654</v>
      </c>
    </row>
    <row r="1307" spans="1:18">
      <c r="A1307" s="102" t="s">
        <v>21</v>
      </c>
      <c r="B1307" s="103" t="s">
        <v>1467</v>
      </c>
      <c r="C1307" s="103" t="s">
        <v>1468</v>
      </c>
      <c r="D1307" s="102" t="s">
        <v>1469</v>
      </c>
      <c r="E1307" s="103" t="s">
        <v>209</v>
      </c>
      <c r="F1307" s="102" t="s">
        <v>1612</v>
      </c>
      <c r="G1307" s="103" t="s">
        <v>20</v>
      </c>
      <c r="H1307" s="108"/>
      <c r="I1307" s="103">
        <v>201508</v>
      </c>
      <c r="J1307" s="104">
        <v>-32.65</v>
      </c>
      <c r="K1307" s="72">
        <f t="shared" si="104"/>
        <v>42675</v>
      </c>
      <c r="L1307" s="67">
        <f t="shared" si="100"/>
        <v>6</v>
      </c>
      <c r="M1307" s="105">
        <v>1.4833299999999999E-3</v>
      </c>
      <c r="N1307" s="104">
        <f t="shared" si="101"/>
        <v>-0.29058434699999997</v>
      </c>
      <c r="O1307" s="66"/>
      <c r="P1307" s="71">
        <f t="shared" si="102"/>
        <v>0</v>
      </c>
      <c r="Q1307" s="132"/>
      <c r="R1307" s="71">
        <f t="shared" si="103"/>
        <v>-0.49959261458333321</v>
      </c>
    </row>
    <row r="1308" spans="1:18">
      <c r="A1308" s="102" t="s">
        <v>626</v>
      </c>
      <c r="B1308" s="103" t="s">
        <v>1345</v>
      </c>
      <c r="C1308" s="103" t="s">
        <v>1346</v>
      </c>
      <c r="D1308" s="102" t="s">
        <v>1347</v>
      </c>
      <c r="E1308" s="103" t="s">
        <v>87</v>
      </c>
      <c r="F1308" s="102" t="s">
        <v>1603</v>
      </c>
      <c r="G1308" s="103" t="s">
        <v>20</v>
      </c>
      <c r="H1308" s="108"/>
      <c r="I1308" s="103">
        <v>201508</v>
      </c>
      <c r="J1308" s="104">
        <v>-236.03</v>
      </c>
      <c r="K1308" s="72">
        <f t="shared" si="104"/>
        <v>42675</v>
      </c>
      <c r="L1308" s="67">
        <f t="shared" si="100"/>
        <v>6</v>
      </c>
      <c r="M1308" s="105">
        <v>1.4833299999999999E-3</v>
      </c>
      <c r="N1308" s="104">
        <f t="shared" si="101"/>
        <v>-2.1006622793999998</v>
      </c>
      <c r="O1308" s="66"/>
      <c r="P1308" s="71">
        <f t="shared" si="102"/>
        <v>0</v>
      </c>
      <c r="Q1308" s="132"/>
      <c r="R1308" s="71">
        <f t="shared" si="103"/>
        <v>-3.6116032104166664</v>
      </c>
    </row>
    <row r="1309" spans="1:18">
      <c r="A1309" s="102" t="s">
        <v>626</v>
      </c>
      <c r="B1309" s="103" t="s">
        <v>1435</v>
      </c>
      <c r="C1309" s="103" t="s">
        <v>1436</v>
      </c>
      <c r="D1309" s="102" t="s">
        <v>1437</v>
      </c>
      <c r="E1309" s="103" t="s">
        <v>75</v>
      </c>
      <c r="F1309" s="102" t="s">
        <v>1602</v>
      </c>
      <c r="G1309" s="103" t="s">
        <v>20</v>
      </c>
      <c r="H1309" s="108"/>
      <c r="I1309" s="103">
        <v>201508</v>
      </c>
      <c r="J1309" s="104">
        <v>-2.08</v>
      </c>
      <c r="K1309" s="72">
        <f t="shared" si="104"/>
        <v>42675</v>
      </c>
      <c r="L1309" s="67">
        <f t="shared" si="100"/>
        <v>6</v>
      </c>
      <c r="M1309" s="105">
        <v>1.4833299999999999E-3</v>
      </c>
      <c r="N1309" s="104">
        <f t="shared" si="101"/>
        <v>-1.85119584E-2</v>
      </c>
      <c r="O1309" s="66"/>
      <c r="P1309" s="71">
        <f t="shared" si="102"/>
        <v>0</v>
      </c>
      <c r="Q1309" s="132"/>
      <c r="R1309" s="71">
        <f t="shared" si="103"/>
        <v>-3.1827033333333331E-2</v>
      </c>
    </row>
    <row r="1310" spans="1:18">
      <c r="A1310" s="106" t="s">
        <v>626</v>
      </c>
      <c r="B1310" s="103" t="s">
        <v>1438</v>
      </c>
      <c r="C1310" s="103" t="s">
        <v>1439</v>
      </c>
      <c r="D1310" s="102" t="s">
        <v>1440</v>
      </c>
      <c r="E1310" s="103" t="s">
        <v>613</v>
      </c>
      <c r="F1310" s="102" t="s">
        <v>398</v>
      </c>
      <c r="G1310" s="103" t="s">
        <v>20</v>
      </c>
      <c r="H1310" s="108"/>
      <c r="I1310" s="103">
        <v>201508</v>
      </c>
      <c r="J1310" s="104">
        <v>-268.47000000000003</v>
      </c>
      <c r="K1310" s="72">
        <f t="shared" si="104"/>
        <v>42675</v>
      </c>
      <c r="L1310" s="67">
        <f t="shared" si="100"/>
        <v>6</v>
      </c>
      <c r="M1310" s="105">
        <v>1.4833299999999999E-3</v>
      </c>
      <c r="N1310" s="104">
        <f t="shared" si="101"/>
        <v>-2.3893776306000003</v>
      </c>
      <c r="O1310" s="66"/>
      <c r="P1310" s="71">
        <f t="shared" si="102"/>
        <v>0</v>
      </c>
      <c r="Q1310" s="132"/>
      <c r="R1310" s="71">
        <f t="shared" si="103"/>
        <v>-4.1079825187500001</v>
      </c>
    </row>
    <row r="1311" spans="1:18">
      <c r="A1311" s="106" t="s">
        <v>626</v>
      </c>
      <c r="B1311" s="103" t="s">
        <v>1348</v>
      </c>
      <c r="C1311" s="103" t="s">
        <v>1349</v>
      </c>
      <c r="D1311" s="102" t="s">
        <v>1350</v>
      </c>
      <c r="E1311" s="103" t="s">
        <v>209</v>
      </c>
      <c r="F1311" s="102" t="s">
        <v>1612</v>
      </c>
      <c r="G1311" s="103" t="s">
        <v>20</v>
      </c>
      <c r="H1311" s="108"/>
      <c r="I1311" s="103">
        <v>201508</v>
      </c>
      <c r="J1311" s="104">
        <v>-321.61</v>
      </c>
      <c r="K1311" s="72">
        <f t="shared" si="104"/>
        <v>42675</v>
      </c>
      <c r="L1311" s="67">
        <f t="shared" si="100"/>
        <v>6</v>
      </c>
      <c r="M1311" s="105">
        <v>1.4833299999999999E-3</v>
      </c>
      <c r="N1311" s="104">
        <f t="shared" si="101"/>
        <v>-2.8623225678000002</v>
      </c>
      <c r="O1311" s="66"/>
      <c r="P1311" s="71">
        <f t="shared" si="102"/>
        <v>0</v>
      </c>
      <c r="Q1311" s="132"/>
      <c r="R1311" s="71">
        <f t="shared" si="103"/>
        <v>-4.9211020145833331</v>
      </c>
    </row>
    <row r="1312" spans="1:18">
      <c r="A1312" s="106" t="s">
        <v>626</v>
      </c>
      <c r="B1312" s="103" t="s">
        <v>1369</v>
      </c>
      <c r="C1312" s="103" t="s">
        <v>1370</v>
      </c>
      <c r="D1312" s="102" t="s">
        <v>1371</v>
      </c>
      <c r="E1312" s="103" t="s">
        <v>809</v>
      </c>
      <c r="F1312" s="102" t="s">
        <v>26</v>
      </c>
      <c r="G1312" s="103" t="s">
        <v>20</v>
      </c>
      <c r="H1312" s="108"/>
      <c r="I1312" s="103">
        <v>201508</v>
      </c>
      <c r="J1312" s="104">
        <v>-317.68</v>
      </c>
      <c r="K1312" s="72">
        <f t="shared" si="104"/>
        <v>42675</v>
      </c>
      <c r="L1312" s="67">
        <f t="shared" si="100"/>
        <v>6</v>
      </c>
      <c r="M1312" s="105">
        <v>1.4833299999999999E-3</v>
      </c>
      <c r="N1312" s="104">
        <f t="shared" si="101"/>
        <v>-2.8273456464</v>
      </c>
      <c r="O1312" s="66"/>
      <c r="P1312" s="71">
        <f t="shared" si="102"/>
        <v>0</v>
      </c>
      <c r="Q1312" s="132"/>
      <c r="R1312" s="71">
        <f t="shared" si="103"/>
        <v>-4.8609672833333333</v>
      </c>
    </row>
    <row r="1313" spans="1:18">
      <c r="A1313" s="106" t="s">
        <v>626</v>
      </c>
      <c r="B1313" s="103" t="s">
        <v>1372</v>
      </c>
      <c r="C1313" s="103" t="s">
        <v>1373</v>
      </c>
      <c r="D1313" s="102" t="s">
        <v>1374</v>
      </c>
      <c r="E1313" s="103" t="s">
        <v>497</v>
      </c>
      <c r="F1313" s="102" t="s">
        <v>26</v>
      </c>
      <c r="G1313" s="103" t="s">
        <v>20</v>
      </c>
      <c r="H1313" s="108"/>
      <c r="I1313" s="103">
        <v>201508</v>
      </c>
      <c r="J1313" s="104">
        <v>-27.91</v>
      </c>
      <c r="K1313" s="72">
        <f t="shared" si="104"/>
        <v>42675</v>
      </c>
      <c r="L1313" s="67">
        <f t="shared" si="100"/>
        <v>6</v>
      </c>
      <c r="M1313" s="105">
        <v>1.4833299999999999E-3</v>
      </c>
      <c r="N1313" s="104">
        <f t="shared" si="101"/>
        <v>-0.24839844180000001</v>
      </c>
      <c r="O1313" s="66"/>
      <c r="P1313" s="71">
        <f t="shared" si="102"/>
        <v>0</v>
      </c>
      <c r="Q1313" s="132"/>
      <c r="R1313" s="71">
        <f t="shared" si="103"/>
        <v>-0.42706370208333333</v>
      </c>
    </row>
    <row r="1314" spans="1:18">
      <c r="A1314" s="106" t="s">
        <v>626</v>
      </c>
      <c r="B1314" s="103" t="s">
        <v>1351</v>
      </c>
      <c r="C1314" s="103" t="s">
        <v>1352</v>
      </c>
      <c r="D1314" s="102" t="s">
        <v>1353</v>
      </c>
      <c r="E1314" s="103" t="s">
        <v>809</v>
      </c>
      <c r="F1314" s="102" t="s">
        <v>26</v>
      </c>
      <c r="G1314" s="103" t="s">
        <v>20</v>
      </c>
      <c r="H1314" s="108"/>
      <c r="I1314" s="103">
        <v>201508</v>
      </c>
      <c r="J1314" s="104">
        <v>-30.26</v>
      </c>
      <c r="K1314" s="72">
        <f t="shared" si="104"/>
        <v>42675</v>
      </c>
      <c r="L1314" s="67">
        <f t="shared" si="100"/>
        <v>6</v>
      </c>
      <c r="M1314" s="105">
        <v>1.4833299999999999E-3</v>
      </c>
      <c r="N1314" s="104">
        <f t="shared" si="101"/>
        <v>-0.26931339479999999</v>
      </c>
      <c r="O1314" s="66"/>
      <c r="P1314" s="71">
        <f t="shared" si="102"/>
        <v>0</v>
      </c>
      <c r="Q1314" s="132"/>
      <c r="R1314" s="71">
        <f t="shared" si="103"/>
        <v>-0.46302212916666663</v>
      </c>
    </row>
    <row r="1315" spans="1:18">
      <c r="A1315" s="106" t="s">
        <v>626</v>
      </c>
      <c r="B1315" s="103" t="s">
        <v>1441</v>
      </c>
      <c r="C1315" s="103" t="s">
        <v>1442</v>
      </c>
      <c r="D1315" s="102" t="s">
        <v>1443</v>
      </c>
      <c r="E1315" s="103" t="s">
        <v>209</v>
      </c>
      <c r="F1315" s="102" t="s">
        <v>1612</v>
      </c>
      <c r="G1315" s="103" t="s">
        <v>20</v>
      </c>
      <c r="H1315" s="108"/>
      <c r="I1315" s="103">
        <v>201508</v>
      </c>
      <c r="J1315" s="104">
        <v>-87.55</v>
      </c>
      <c r="K1315" s="72">
        <f t="shared" si="104"/>
        <v>42675</v>
      </c>
      <c r="L1315" s="67">
        <f t="shared" si="100"/>
        <v>6</v>
      </c>
      <c r="M1315" s="105">
        <v>1.4833299999999999E-3</v>
      </c>
      <c r="N1315" s="104">
        <f t="shared" si="101"/>
        <v>-0.77919324899999998</v>
      </c>
      <c r="O1315" s="66"/>
      <c r="P1315" s="71">
        <f t="shared" si="102"/>
        <v>0</v>
      </c>
      <c r="Q1315" s="132"/>
      <c r="R1315" s="71">
        <f t="shared" si="103"/>
        <v>-1.3396426770833332</v>
      </c>
    </row>
    <row r="1316" spans="1:18">
      <c r="A1316" s="106" t="s">
        <v>626</v>
      </c>
      <c r="B1316" s="103" t="s">
        <v>1375</v>
      </c>
      <c r="C1316" s="103" t="s">
        <v>1376</v>
      </c>
      <c r="D1316" s="102" t="s">
        <v>1374</v>
      </c>
      <c r="E1316" s="103" t="s">
        <v>497</v>
      </c>
      <c r="F1316" s="102" t="s">
        <v>26</v>
      </c>
      <c r="G1316" s="103" t="s">
        <v>20</v>
      </c>
      <c r="H1316" s="108"/>
      <c r="I1316" s="103">
        <v>201508</v>
      </c>
      <c r="J1316" s="104">
        <v>1688.8</v>
      </c>
      <c r="K1316" s="72">
        <f t="shared" si="104"/>
        <v>42675</v>
      </c>
      <c r="L1316" s="67">
        <f t="shared" si="100"/>
        <v>6</v>
      </c>
      <c r="M1316" s="105">
        <v>1.4833299999999999E-3</v>
      </c>
      <c r="N1316" s="104">
        <f t="shared" si="101"/>
        <v>15.030286223999999</v>
      </c>
      <c r="O1316" s="66"/>
      <c r="P1316" s="71">
        <f t="shared" si="102"/>
        <v>0</v>
      </c>
      <c r="Q1316" s="132"/>
      <c r="R1316" s="71">
        <f t="shared" si="103"/>
        <v>25.841102833333331</v>
      </c>
    </row>
    <row r="1317" spans="1:18">
      <c r="A1317" s="106" t="s">
        <v>626</v>
      </c>
      <c r="B1317" s="103" t="s">
        <v>1444</v>
      </c>
      <c r="C1317" s="103" t="s">
        <v>1445</v>
      </c>
      <c r="D1317" s="102" t="s">
        <v>1282</v>
      </c>
      <c r="E1317" s="103" t="s">
        <v>164</v>
      </c>
      <c r="F1317" s="102" t="s">
        <v>1600</v>
      </c>
      <c r="G1317" s="103" t="s">
        <v>20</v>
      </c>
      <c r="H1317" s="108"/>
      <c r="I1317" s="103">
        <v>201508</v>
      </c>
      <c r="J1317" s="104">
        <v>5192.45</v>
      </c>
      <c r="K1317" s="72">
        <f t="shared" si="104"/>
        <v>42675</v>
      </c>
      <c r="L1317" s="67">
        <f t="shared" si="100"/>
        <v>6</v>
      </c>
      <c r="M1317" s="105">
        <v>1.4833299999999999E-3</v>
      </c>
      <c r="N1317" s="104">
        <f t="shared" si="101"/>
        <v>46.212701150999997</v>
      </c>
      <c r="O1317" s="66"/>
      <c r="P1317" s="71">
        <f t="shared" si="102"/>
        <v>0</v>
      </c>
      <c r="Q1317" s="132"/>
      <c r="R1317" s="71">
        <f t="shared" si="103"/>
        <v>79.452057322916659</v>
      </c>
    </row>
    <row r="1318" spans="1:18">
      <c r="A1318" s="106" t="s">
        <v>626</v>
      </c>
      <c r="B1318" s="103" t="s">
        <v>1525</v>
      </c>
      <c r="C1318" s="103" t="s">
        <v>1526</v>
      </c>
      <c r="D1318" s="102" t="s">
        <v>1527</v>
      </c>
      <c r="E1318" s="103" t="s">
        <v>75</v>
      </c>
      <c r="F1318" s="102" t="s">
        <v>1602</v>
      </c>
      <c r="G1318" s="103" t="s">
        <v>20</v>
      </c>
      <c r="H1318" s="108"/>
      <c r="I1318" s="103">
        <v>201508</v>
      </c>
      <c r="J1318" s="104">
        <v>104.38</v>
      </c>
      <c r="K1318" s="72">
        <f t="shared" si="104"/>
        <v>42675</v>
      </c>
      <c r="L1318" s="67">
        <f t="shared" si="100"/>
        <v>6</v>
      </c>
      <c r="M1318" s="105">
        <v>1.4833299999999999E-3</v>
      </c>
      <c r="N1318" s="104">
        <f t="shared" si="101"/>
        <v>0.9289799124</v>
      </c>
      <c r="O1318" s="66"/>
      <c r="P1318" s="71">
        <f t="shared" si="102"/>
        <v>0</v>
      </c>
      <c r="Q1318" s="132"/>
      <c r="R1318" s="71">
        <f t="shared" si="103"/>
        <v>1.597166220833333</v>
      </c>
    </row>
    <row r="1319" spans="1:18">
      <c r="A1319" s="106" t="s">
        <v>626</v>
      </c>
      <c r="B1319" s="103" t="s">
        <v>1377</v>
      </c>
      <c r="C1319" s="103" t="s">
        <v>1378</v>
      </c>
      <c r="D1319" s="102" t="s">
        <v>1379</v>
      </c>
      <c r="E1319" s="103" t="s">
        <v>1059</v>
      </c>
      <c r="F1319" s="102" t="s">
        <v>26</v>
      </c>
      <c r="G1319" s="103" t="s">
        <v>20</v>
      </c>
      <c r="H1319" s="108"/>
      <c r="I1319" s="103">
        <v>201508</v>
      </c>
      <c r="J1319" s="104">
        <v>-7.62</v>
      </c>
      <c r="K1319" s="72">
        <f t="shared" si="104"/>
        <v>42675</v>
      </c>
      <c r="L1319" s="67">
        <f t="shared" si="100"/>
        <v>6</v>
      </c>
      <c r="M1319" s="105">
        <v>1.4833299999999999E-3</v>
      </c>
      <c r="N1319" s="104">
        <f t="shared" si="101"/>
        <v>-6.7817847599999995E-2</v>
      </c>
      <c r="O1319" s="66"/>
      <c r="P1319" s="71">
        <f t="shared" si="102"/>
        <v>0</v>
      </c>
      <c r="Q1319" s="132"/>
      <c r="R1319" s="71">
        <f t="shared" si="103"/>
        <v>-0.11659711249999999</v>
      </c>
    </row>
    <row r="1320" spans="1:18">
      <c r="A1320" s="106" t="s">
        <v>626</v>
      </c>
      <c r="B1320" s="103" t="s">
        <v>1380</v>
      </c>
      <c r="C1320" s="103" t="s">
        <v>1381</v>
      </c>
      <c r="D1320" s="102" t="s">
        <v>1382</v>
      </c>
      <c r="E1320" s="103" t="s">
        <v>809</v>
      </c>
      <c r="F1320" s="102" t="s">
        <v>26</v>
      </c>
      <c r="G1320" s="103" t="s">
        <v>20</v>
      </c>
      <c r="H1320" s="108"/>
      <c r="I1320" s="103">
        <v>201508</v>
      </c>
      <c r="J1320" s="104">
        <v>-127.51</v>
      </c>
      <c r="K1320" s="72">
        <f t="shared" si="104"/>
        <v>42675</v>
      </c>
      <c r="L1320" s="67">
        <f t="shared" si="100"/>
        <v>6</v>
      </c>
      <c r="M1320" s="105">
        <v>1.4833299999999999E-3</v>
      </c>
      <c r="N1320" s="104">
        <f t="shared" si="101"/>
        <v>-1.1348364498000001</v>
      </c>
      <c r="O1320" s="66"/>
      <c r="P1320" s="71">
        <f t="shared" si="102"/>
        <v>0</v>
      </c>
      <c r="Q1320" s="132"/>
      <c r="R1320" s="71">
        <f t="shared" si="103"/>
        <v>-1.9510889520833332</v>
      </c>
    </row>
    <row r="1321" spans="1:18">
      <c r="A1321" s="106" t="s">
        <v>626</v>
      </c>
      <c r="B1321" s="103" t="s">
        <v>1383</v>
      </c>
      <c r="C1321" s="103" t="s">
        <v>1384</v>
      </c>
      <c r="D1321" s="102" t="s">
        <v>1385</v>
      </c>
      <c r="E1321" s="103" t="s">
        <v>809</v>
      </c>
      <c r="F1321" s="102" t="s">
        <v>26</v>
      </c>
      <c r="G1321" s="103" t="s">
        <v>20</v>
      </c>
      <c r="H1321" s="108"/>
      <c r="I1321" s="103">
        <v>201508</v>
      </c>
      <c r="J1321" s="104">
        <v>-18.260000000000002</v>
      </c>
      <c r="K1321" s="72">
        <f t="shared" si="104"/>
        <v>42675</v>
      </c>
      <c r="L1321" s="67">
        <f t="shared" si="100"/>
        <v>6</v>
      </c>
      <c r="M1321" s="105">
        <v>1.4833299999999999E-3</v>
      </c>
      <c r="N1321" s="104">
        <f t="shared" si="101"/>
        <v>-0.16251363480000003</v>
      </c>
      <c r="O1321" s="66"/>
      <c r="P1321" s="71">
        <f t="shared" si="102"/>
        <v>0</v>
      </c>
      <c r="Q1321" s="132"/>
      <c r="R1321" s="71">
        <f t="shared" si="103"/>
        <v>-0.2794046291666667</v>
      </c>
    </row>
    <row r="1322" spans="1:18">
      <c r="A1322" s="106" t="s">
        <v>626</v>
      </c>
      <c r="B1322" s="103" t="s">
        <v>1446</v>
      </c>
      <c r="C1322" s="103" t="s">
        <v>1447</v>
      </c>
      <c r="D1322" s="102" t="s">
        <v>1448</v>
      </c>
      <c r="E1322" s="103" t="s">
        <v>809</v>
      </c>
      <c r="F1322" s="102" t="s">
        <v>26</v>
      </c>
      <c r="G1322" s="103" t="s">
        <v>20</v>
      </c>
      <c r="H1322" s="108"/>
      <c r="I1322" s="103">
        <v>201508</v>
      </c>
      <c r="J1322" s="104">
        <v>-52.72</v>
      </c>
      <c r="K1322" s="72">
        <f t="shared" si="104"/>
        <v>42675</v>
      </c>
      <c r="L1322" s="67">
        <f t="shared" si="100"/>
        <v>6</v>
      </c>
      <c r="M1322" s="105">
        <v>1.4833299999999999E-3</v>
      </c>
      <c r="N1322" s="104">
        <f t="shared" si="101"/>
        <v>-0.46920694559999998</v>
      </c>
      <c r="O1322" s="66"/>
      <c r="P1322" s="71">
        <f t="shared" si="102"/>
        <v>0</v>
      </c>
      <c r="Q1322" s="132"/>
      <c r="R1322" s="71">
        <f t="shared" si="103"/>
        <v>-0.80669288333333322</v>
      </c>
    </row>
    <row r="1323" spans="1:18">
      <c r="A1323" s="106" t="s">
        <v>626</v>
      </c>
      <c r="B1323" s="103" t="s">
        <v>1386</v>
      </c>
      <c r="C1323" s="103" t="s">
        <v>1387</v>
      </c>
      <c r="D1323" s="102" t="s">
        <v>1388</v>
      </c>
      <c r="E1323" s="103" t="s">
        <v>164</v>
      </c>
      <c r="F1323" s="102" t="s">
        <v>1600</v>
      </c>
      <c r="G1323" s="103" t="s">
        <v>20</v>
      </c>
      <c r="H1323" s="108"/>
      <c r="I1323" s="103">
        <v>201508</v>
      </c>
      <c r="J1323" s="104">
        <v>-74.62</v>
      </c>
      <c r="K1323" s="72">
        <f t="shared" si="104"/>
        <v>42675</v>
      </c>
      <c r="L1323" s="67">
        <f t="shared" si="100"/>
        <v>6</v>
      </c>
      <c r="M1323" s="105">
        <v>1.4833299999999999E-3</v>
      </c>
      <c r="N1323" s="104">
        <f t="shared" si="101"/>
        <v>-0.66411650760000007</v>
      </c>
      <c r="O1323" s="66"/>
      <c r="P1323" s="71">
        <f t="shared" si="102"/>
        <v>0</v>
      </c>
      <c r="Q1323" s="132"/>
      <c r="R1323" s="71">
        <f t="shared" si="103"/>
        <v>-1.1417948208333333</v>
      </c>
    </row>
    <row r="1324" spans="1:18">
      <c r="A1324" s="106" t="s">
        <v>626</v>
      </c>
      <c r="B1324" s="103" t="s">
        <v>1528</v>
      </c>
      <c r="C1324" s="103" t="s">
        <v>1529</v>
      </c>
      <c r="D1324" s="102" t="s">
        <v>1495</v>
      </c>
      <c r="E1324" s="103" t="s">
        <v>75</v>
      </c>
      <c r="F1324" s="102" t="s">
        <v>1602</v>
      </c>
      <c r="G1324" s="103" t="s">
        <v>20</v>
      </c>
      <c r="H1324" s="108"/>
      <c r="I1324" s="103">
        <v>201508</v>
      </c>
      <c r="J1324" s="104">
        <v>142.13999999999999</v>
      </c>
      <c r="K1324" s="72">
        <f t="shared" si="104"/>
        <v>42675</v>
      </c>
      <c r="L1324" s="67">
        <f t="shared" si="100"/>
        <v>6</v>
      </c>
      <c r="M1324" s="105">
        <v>1.4833299999999999E-3</v>
      </c>
      <c r="N1324" s="104">
        <f t="shared" si="101"/>
        <v>1.2650431571999998</v>
      </c>
      <c r="O1324" s="66"/>
      <c r="P1324" s="71">
        <f t="shared" si="102"/>
        <v>0</v>
      </c>
      <c r="Q1324" s="132"/>
      <c r="R1324" s="71">
        <f t="shared" si="103"/>
        <v>2.1749492874999996</v>
      </c>
    </row>
    <row r="1325" spans="1:18">
      <c r="A1325" s="106" t="s">
        <v>626</v>
      </c>
      <c r="B1325" s="103" t="s">
        <v>1626</v>
      </c>
      <c r="C1325" s="103" t="s">
        <v>1627</v>
      </c>
      <c r="D1325" s="102" t="s">
        <v>1628</v>
      </c>
      <c r="E1325" s="103" t="s">
        <v>164</v>
      </c>
      <c r="F1325" s="102" t="s">
        <v>1600</v>
      </c>
      <c r="G1325" s="103" t="s">
        <v>20</v>
      </c>
      <c r="H1325" s="108"/>
      <c r="I1325" s="103">
        <v>201508</v>
      </c>
      <c r="J1325" s="104">
        <v>221708.94</v>
      </c>
      <c r="K1325" s="72">
        <f t="shared" si="104"/>
        <v>42675</v>
      </c>
      <c r="L1325" s="67">
        <f t="shared" si="100"/>
        <v>6</v>
      </c>
      <c r="M1325" s="105">
        <v>1.4833299999999999E-3</v>
      </c>
      <c r="N1325" s="104">
        <f t="shared" si="101"/>
        <v>1973.2051318212</v>
      </c>
      <c r="O1325" s="66"/>
      <c r="P1325" s="71">
        <f t="shared" si="102"/>
        <v>0</v>
      </c>
      <c r="Q1325" s="132"/>
      <c r="R1325" s="71">
        <f t="shared" si="103"/>
        <v>3392.4701075374996</v>
      </c>
    </row>
    <row r="1326" spans="1:18">
      <c r="A1326" s="106" t="s">
        <v>626</v>
      </c>
      <c r="B1326" s="103" t="s">
        <v>1530</v>
      </c>
      <c r="C1326" s="103" t="s">
        <v>1531</v>
      </c>
      <c r="D1326" s="102" t="s">
        <v>1532</v>
      </c>
      <c r="E1326" s="103" t="s">
        <v>531</v>
      </c>
      <c r="F1326" s="102" t="s">
        <v>26</v>
      </c>
      <c r="G1326" s="103" t="s">
        <v>20</v>
      </c>
      <c r="H1326" s="108"/>
      <c r="I1326" s="103">
        <v>201508</v>
      </c>
      <c r="J1326" s="104">
        <v>-261.8</v>
      </c>
      <c r="K1326" s="72">
        <f t="shared" si="104"/>
        <v>42675</v>
      </c>
      <c r="L1326" s="67">
        <f t="shared" si="100"/>
        <v>6</v>
      </c>
      <c r="M1326" s="105">
        <v>1.4833299999999999E-3</v>
      </c>
      <c r="N1326" s="104">
        <f t="shared" si="101"/>
        <v>-2.330014764</v>
      </c>
      <c r="O1326" s="66"/>
      <c r="P1326" s="71">
        <f t="shared" si="102"/>
        <v>0</v>
      </c>
      <c r="Q1326" s="132"/>
      <c r="R1326" s="71">
        <f t="shared" si="103"/>
        <v>-4.0059217916666663</v>
      </c>
    </row>
    <row r="1327" spans="1:18">
      <c r="A1327" s="106" t="s">
        <v>626</v>
      </c>
      <c r="B1327" s="103" t="s">
        <v>1629</v>
      </c>
      <c r="C1327" s="103" t="s">
        <v>1630</v>
      </c>
      <c r="D1327" s="102" t="s">
        <v>1631</v>
      </c>
      <c r="E1327" s="103" t="s">
        <v>164</v>
      </c>
      <c r="F1327" s="102" t="s">
        <v>1600</v>
      </c>
      <c r="G1327" s="103" t="s">
        <v>20</v>
      </c>
      <c r="H1327" s="108"/>
      <c r="I1327" s="103">
        <v>201508</v>
      </c>
      <c r="J1327" s="104">
        <v>616192.18999999994</v>
      </c>
      <c r="K1327" s="72">
        <f t="shared" si="104"/>
        <v>42675</v>
      </c>
      <c r="L1327" s="67">
        <f t="shared" si="100"/>
        <v>6</v>
      </c>
      <c r="M1327" s="105">
        <v>1.4833299999999999E-3</v>
      </c>
      <c r="N1327" s="104">
        <f t="shared" si="101"/>
        <v>5484.0981671561995</v>
      </c>
      <c r="O1327" s="66"/>
      <c r="P1327" s="71">
        <f t="shared" si="102"/>
        <v>0</v>
      </c>
      <c r="Q1327" s="132"/>
      <c r="R1327" s="71">
        <f t="shared" si="103"/>
        <v>9428.6391206104145</v>
      </c>
    </row>
    <row r="1328" spans="1:18">
      <c r="A1328" s="106" t="s">
        <v>626</v>
      </c>
      <c r="B1328" s="103" t="s">
        <v>1488</v>
      </c>
      <c r="C1328" s="103" t="s">
        <v>1489</v>
      </c>
      <c r="D1328" s="102" t="s">
        <v>1374</v>
      </c>
      <c r="E1328" s="103" t="s">
        <v>531</v>
      </c>
      <c r="F1328" s="102" t="s">
        <v>26</v>
      </c>
      <c r="G1328" s="103" t="s">
        <v>20</v>
      </c>
      <c r="H1328" s="108"/>
      <c r="I1328" s="103">
        <v>201508</v>
      </c>
      <c r="J1328" s="104">
        <v>4133.55</v>
      </c>
      <c r="K1328" s="72">
        <f t="shared" si="104"/>
        <v>42675</v>
      </c>
      <c r="L1328" s="67">
        <f t="shared" si="100"/>
        <v>6</v>
      </c>
      <c r="M1328" s="105">
        <v>1.4833299999999999E-3</v>
      </c>
      <c r="N1328" s="104">
        <f t="shared" si="101"/>
        <v>36.788512329</v>
      </c>
      <c r="O1328" s="66"/>
      <c r="P1328" s="71">
        <f t="shared" si="102"/>
        <v>0</v>
      </c>
      <c r="Q1328" s="132"/>
      <c r="R1328" s="71">
        <f t="shared" si="103"/>
        <v>63.249343093749999</v>
      </c>
    </row>
    <row r="1329" spans="1:18">
      <c r="A1329" s="106" t="s">
        <v>626</v>
      </c>
      <c r="B1329" s="103" t="s">
        <v>1449</v>
      </c>
      <c r="C1329" s="103" t="s">
        <v>1450</v>
      </c>
      <c r="D1329" s="102" t="s">
        <v>1451</v>
      </c>
      <c r="E1329" s="103" t="s">
        <v>809</v>
      </c>
      <c r="F1329" s="102" t="s">
        <v>26</v>
      </c>
      <c r="G1329" s="103" t="s">
        <v>20</v>
      </c>
      <c r="H1329" s="108"/>
      <c r="I1329" s="103">
        <v>201508</v>
      </c>
      <c r="J1329" s="104">
        <v>-70.099999999999994</v>
      </c>
      <c r="K1329" s="72">
        <f t="shared" si="104"/>
        <v>42675</v>
      </c>
      <c r="L1329" s="67">
        <f t="shared" si="100"/>
        <v>6</v>
      </c>
      <c r="M1329" s="105">
        <v>1.4833299999999999E-3</v>
      </c>
      <c r="N1329" s="104">
        <f t="shared" si="101"/>
        <v>-0.62388859799999996</v>
      </c>
      <c r="O1329" s="66"/>
      <c r="P1329" s="71">
        <f t="shared" si="102"/>
        <v>0</v>
      </c>
      <c r="Q1329" s="132"/>
      <c r="R1329" s="71">
        <f t="shared" si="103"/>
        <v>-1.0726322291666666</v>
      </c>
    </row>
    <row r="1330" spans="1:18">
      <c r="A1330" s="102" t="s">
        <v>626</v>
      </c>
      <c r="B1330" s="103" t="s">
        <v>1452</v>
      </c>
      <c r="C1330" s="103" t="s">
        <v>1453</v>
      </c>
      <c r="D1330" s="102" t="s">
        <v>1454</v>
      </c>
      <c r="E1330" s="103" t="s">
        <v>93</v>
      </c>
      <c r="F1330" s="102" t="s">
        <v>1601</v>
      </c>
      <c r="G1330" s="103" t="s">
        <v>20</v>
      </c>
      <c r="H1330" s="108"/>
      <c r="I1330" s="103">
        <v>201508</v>
      </c>
      <c r="J1330" s="104">
        <v>-391.54</v>
      </c>
      <c r="K1330" s="72">
        <f t="shared" si="104"/>
        <v>42675</v>
      </c>
      <c r="L1330" s="67">
        <f t="shared" si="100"/>
        <v>6</v>
      </c>
      <c r="M1330" s="105">
        <v>1.4833299999999999E-3</v>
      </c>
      <c r="N1330" s="104">
        <f t="shared" si="101"/>
        <v>-3.4846981692000001</v>
      </c>
      <c r="O1330" s="66"/>
      <c r="P1330" s="71">
        <f t="shared" si="102"/>
        <v>0</v>
      </c>
      <c r="Q1330" s="132"/>
      <c r="R1330" s="71">
        <f t="shared" si="103"/>
        <v>-5.9911329958333335</v>
      </c>
    </row>
    <row r="1331" spans="1:18">
      <c r="A1331" s="102" t="s">
        <v>554</v>
      </c>
      <c r="B1331" s="103" t="s">
        <v>1408</v>
      </c>
      <c r="C1331" s="103" t="s">
        <v>1409</v>
      </c>
      <c r="D1331" s="102" t="s">
        <v>1335</v>
      </c>
      <c r="E1331" s="103" t="s">
        <v>164</v>
      </c>
      <c r="F1331" s="102" t="s">
        <v>1600</v>
      </c>
      <c r="G1331" s="103" t="s">
        <v>20</v>
      </c>
      <c r="H1331" s="108"/>
      <c r="I1331" s="103">
        <v>201508</v>
      </c>
      <c r="J1331" s="104">
        <v>1242.6500000000001</v>
      </c>
      <c r="K1331" s="72">
        <f t="shared" si="104"/>
        <v>42675</v>
      </c>
      <c r="L1331" s="67">
        <f t="shared" si="100"/>
        <v>6</v>
      </c>
      <c r="M1331" s="105">
        <v>1.4833299999999999E-3</v>
      </c>
      <c r="N1331" s="104">
        <f t="shared" si="101"/>
        <v>11.059560147000001</v>
      </c>
      <c r="O1331" s="66"/>
      <c r="P1331" s="71">
        <f t="shared" si="102"/>
        <v>0</v>
      </c>
      <c r="Q1331" s="132"/>
      <c r="R1331" s="71">
        <f t="shared" si="103"/>
        <v>19.014357197916667</v>
      </c>
    </row>
    <row r="1332" spans="1:18">
      <c r="A1332" s="102" t="s">
        <v>626</v>
      </c>
      <c r="B1332" s="103" t="s">
        <v>1408</v>
      </c>
      <c r="C1332" s="103" t="s">
        <v>1409</v>
      </c>
      <c r="D1332" s="102" t="s">
        <v>1335</v>
      </c>
      <c r="E1332" s="103" t="s">
        <v>164</v>
      </c>
      <c r="F1332" s="102" t="s">
        <v>1600</v>
      </c>
      <c r="G1332" s="103" t="s">
        <v>20</v>
      </c>
      <c r="H1332" s="108"/>
      <c r="I1332" s="103">
        <v>201508</v>
      </c>
      <c r="J1332" s="104">
        <v>599.51</v>
      </c>
      <c r="K1332" s="72">
        <f t="shared" si="104"/>
        <v>42675</v>
      </c>
      <c r="L1332" s="67">
        <f t="shared" si="100"/>
        <v>6</v>
      </c>
      <c r="M1332" s="105">
        <v>1.4833299999999999E-3</v>
      </c>
      <c r="N1332" s="104">
        <f t="shared" si="101"/>
        <v>5.3356270097999996</v>
      </c>
      <c r="O1332" s="66"/>
      <c r="P1332" s="71">
        <f t="shared" si="102"/>
        <v>0</v>
      </c>
      <c r="Q1332" s="132"/>
      <c r="R1332" s="71">
        <f t="shared" si="103"/>
        <v>9.1733772854166649</v>
      </c>
    </row>
    <row r="1333" spans="1:18">
      <c r="A1333" s="102" t="s">
        <v>626</v>
      </c>
      <c r="B1333" s="103" t="s">
        <v>1455</v>
      </c>
      <c r="C1333" s="103" t="s">
        <v>1456</v>
      </c>
      <c r="D1333" s="102" t="s">
        <v>1457</v>
      </c>
      <c r="E1333" s="103" t="s">
        <v>156</v>
      </c>
      <c r="F1333" s="102" t="s">
        <v>26</v>
      </c>
      <c r="G1333" s="103" t="s">
        <v>20</v>
      </c>
      <c r="H1333" s="108"/>
      <c r="I1333" s="103">
        <v>201508</v>
      </c>
      <c r="J1333" s="104">
        <v>1202.06</v>
      </c>
      <c r="K1333" s="72">
        <f t="shared" si="104"/>
        <v>42675</v>
      </c>
      <c r="L1333" s="67">
        <f t="shared" si="100"/>
        <v>6</v>
      </c>
      <c r="M1333" s="105">
        <v>1.4833299999999999E-3</v>
      </c>
      <c r="N1333" s="104">
        <f t="shared" si="101"/>
        <v>10.698309958799999</v>
      </c>
      <c r="O1333" s="66"/>
      <c r="P1333" s="71">
        <f t="shared" si="102"/>
        <v>0</v>
      </c>
      <c r="Q1333" s="132"/>
      <c r="R1333" s="71">
        <f t="shared" si="103"/>
        <v>18.393271004166664</v>
      </c>
    </row>
    <row r="1334" spans="1:18">
      <c r="A1334" s="102" t="s">
        <v>626</v>
      </c>
      <c r="B1334" s="103" t="s">
        <v>1490</v>
      </c>
      <c r="C1334" s="103" t="s">
        <v>1491</v>
      </c>
      <c r="D1334" s="102" t="s">
        <v>1492</v>
      </c>
      <c r="E1334" s="103" t="s">
        <v>809</v>
      </c>
      <c r="F1334" s="102" t="s">
        <v>26</v>
      </c>
      <c r="G1334" s="103" t="s">
        <v>20</v>
      </c>
      <c r="H1334" s="108"/>
      <c r="I1334" s="103">
        <v>201508</v>
      </c>
      <c r="J1334" s="104">
        <v>3211.65</v>
      </c>
      <c r="K1334" s="72">
        <f t="shared" si="104"/>
        <v>42675</v>
      </c>
      <c r="L1334" s="67">
        <f t="shared" si="100"/>
        <v>6</v>
      </c>
      <c r="M1334" s="105">
        <v>1.4833299999999999E-3</v>
      </c>
      <c r="N1334" s="104">
        <f t="shared" si="101"/>
        <v>28.583620766999999</v>
      </c>
      <c r="O1334" s="66"/>
      <c r="P1334" s="71">
        <f t="shared" si="102"/>
        <v>0</v>
      </c>
      <c r="Q1334" s="132"/>
      <c r="R1334" s="71">
        <f t="shared" si="103"/>
        <v>49.14292865625</v>
      </c>
    </row>
    <row r="1335" spans="1:18">
      <c r="A1335" s="102" t="s">
        <v>626</v>
      </c>
      <c r="B1335" s="103" t="s">
        <v>1493</v>
      </c>
      <c r="C1335" s="103" t="s">
        <v>1494</v>
      </c>
      <c r="D1335" s="102" t="s">
        <v>1495</v>
      </c>
      <c r="E1335" s="103" t="s">
        <v>75</v>
      </c>
      <c r="F1335" s="102" t="s">
        <v>1602</v>
      </c>
      <c r="G1335" s="103" t="s">
        <v>20</v>
      </c>
      <c r="H1335" s="108"/>
      <c r="I1335" s="103">
        <v>201508</v>
      </c>
      <c r="J1335" s="104">
        <v>-49.26</v>
      </c>
      <c r="K1335" s="72">
        <f t="shared" si="104"/>
        <v>42675</v>
      </c>
      <c r="L1335" s="67">
        <f t="shared" si="100"/>
        <v>6</v>
      </c>
      <c r="M1335" s="105">
        <v>1.4833299999999999E-3</v>
      </c>
      <c r="N1335" s="104">
        <f t="shared" si="101"/>
        <v>-0.4384130148</v>
      </c>
      <c r="O1335" s="66"/>
      <c r="P1335" s="71">
        <f t="shared" si="102"/>
        <v>0</v>
      </c>
      <c r="Q1335" s="132"/>
      <c r="R1335" s="71">
        <f t="shared" si="103"/>
        <v>-0.75374983749999991</v>
      </c>
    </row>
    <row r="1336" spans="1:18">
      <c r="A1336" s="102" t="s">
        <v>626</v>
      </c>
      <c r="B1336" s="103" t="s">
        <v>1585</v>
      </c>
      <c r="C1336" s="103" t="s">
        <v>1586</v>
      </c>
      <c r="D1336" s="102" t="s">
        <v>1587</v>
      </c>
      <c r="E1336" s="103" t="s">
        <v>87</v>
      </c>
      <c r="F1336" s="102" t="s">
        <v>1603</v>
      </c>
      <c r="G1336" s="103" t="s">
        <v>20</v>
      </c>
      <c r="H1336" s="108"/>
      <c r="I1336" s="103">
        <v>201508</v>
      </c>
      <c r="J1336" s="104">
        <v>33.47</v>
      </c>
      <c r="K1336" s="72">
        <f t="shared" si="104"/>
        <v>42675</v>
      </c>
      <c r="L1336" s="67">
        <f t="shared" si="100"/>
        <v>6</v>
      </c>
      <c r="M1336" s="105">
        <v>1.4833299999999999E-3</v>
      </c>
      <c r="N1336" s="104">
        <f t="shared" si="101"/>
        <v>0.29788233059999997</v>
      </c>
      <c r="O1336" s="66"/>
      <c r="P1336" s="71">
        <f t="shared" si="102"/>
        <v>0</v>
      </c>
      <c r="Q1336" s="132"/>
      <c r="R1336" s="71">
        <f t="shared" si="103"/>
        <v>0.51213981041666656</v>
      </c>
    </row>
    <row r="1337" spans="1:18">
      <c r="A1337" s="102" t="s">
        <v>21</v>
      </c>
      <c r="B1337" s="103" t="s">
        <v>1533</v>
      </c>
      <c r="C1337" s="103" t="s">
        <v>1534</v>
      </c>
      <c r="D1337" s="102" t="s">
        <v>1535</v>
      </c>
      <c r="E1337" s="103" t="s">
        <v>75</v>
      </c>
      <c r="F1337" s="102" t="s">
        <v>1602</v>
      </c>
      <c r="G1337" s="103" t="s">
        <v>20</v>
      </c>
      <c r="H1337" s="108"/>
      <c r="I1337" s="103">
        <v>201508</v>
      </c>
      <c r="J1337" s="104">
        <v>14214.31</v>
      </c>
      <c r="K1337" s="72">
        <f t="shared" si="104"/>
        <v>42675</v>
      </c>
      <c r="L1337" s="67">
        <f t="shared" si="100"/>
        <v>6</v>
      </c>
      <c r="M1337" s="105">
        <v>1.4833299999999999E-3</v>
      </c>
      <c r="N1337" s="104">
        <f t="shared" si="101"/>
        <v>126.50707471379999</v>
      </c>
      <c r="O1337" s="66"/>
      <c r="P1337" s="71">
        <f t="shared" si="102"/>
        <v>0</v>
      </c>
      <c r="Q1337" s="132"/>
      <c r="R1337" s="71">
        <f t="shared" si="103"/>
        <v>217.4996722020833</v>
      </c>
    </row>
    <row r="1338" spans="1:18">
      <c r="A1338" s="102" t="s">
        <v>626</v>
      </c>
      <c r="B1338" s="103" t="s">
        <v>1389</v>
      </c>
      <c r="C1338" s="103" t="s">
        <v>1390</v>
      </c>
      <c r="D1338" s="102" t="s">
        <v>1391</v>
      </c>
      <c r="E1338" s="103" t="s">
        <v>280</v>
      </c>
      <c r="F1338" s="102" t="s">
        <v>26</v>
      </c>
      <c r="G1338" s="103" t="s">
        <v>20</v>
      </c>
      <c r="H1338" s="108"/>
      <c r="I1338" s="103">
        <v>201508</v>
      </c>
      <c r="J1338" s="104">
        <v>-36.200000000000003</v>
      </c>
      <c r="K1338" s="72">
        <f t="shared" si="104"/>
        <v>42675</v>
      </c>
      <c r="L1338" s="67">
        <f t="shared" si="100"/>
        <v>6</v>
      </c>
      <c r="M1338" s="105">
        <v>1.4833299999999999E-3</v>
      </c>
      <c r="N1338" s="104">
        <f t="shared" si="101"/>
        <v>-0.32217927600000001</v>
      </c>
      <c r="O1338" s="66"/>
      <c r="P1338" s="71">
        <f t="shared" si="102"/>
        <v>0</v>
      </c>
      <c r="Q1338" s="132"/>
      <c r="R1338" s="71">
        <f t="shared" si="103"/>
        <v>-0.55391279166666663</v>
      </c>
    </row>
    <row r="1339" spans="1:18">
      <c r="A1339" s="102" t="s">
        <v>21</v>
      </c>
      <c r="B1339" s="103" t="s">
        <v>1588</v>
      </c>
      <c r="C1339" s="103" t="s">
        <v>1589</v>
      </c>
      <c r="D1339" s="102" t="s">
        <v>1590</v>
      </c>
      <c r="E1339" s="103" t="s">
        <v>209</v>
      </c>
      <c r="F1339" s="102" t="s">
        <v>1612</v>
      </c>
      <c r="G1339" s="103" t="s">
        <v>20</v>
      </c>
      <c r="H1339" s="108"/>
      <c r="I1339" s="103">
        <v>201508</v>
      </c>
      <c r="J1339" s="104">
        <v>42.55</v>
      </c>
      <c r="K1339" s="72">
        <f t="shared" si="104"/>
        <v>42675</v>
      </c>
      <c r="L1339" s="67">
        <f t="shared" si="100"/>
        <v>6</v>
      </c>
      <c r="M1339" s="105">
        <v>1.4833299999999999E-3</v>
      </c>
      <c r="N1339" s="104">
        <f t="shared" si="101"/>
        <v>0.37869414899999998</v>
      </c>
      <c r="O1339" s="66"/>
      <c r="P1339" s="71">
        <f t="shared" si="102"/>
        <v>0</v>
      </c>
      <c r="Q1339" s="132"/>
      <c r="R1339" s="71">
        <f t="shared" si="103"/>
        <v>0.65107705208333322</v>
      </c>
    </row>
    <row r="1340" spans="1:18">
      <c r="A1340" s="106" t="s">
        <v>29</v>
      </c>
      <c r="B1340" s="103" t="s">
        <v>1392</v>
      </c>
      <c r="C1340" s="103" t="s">
        <v>1393</v>
      </c>
      <c r="D1340" s="102" t="s">
        <v>1394</v>
      </c>
      <c r="E1340" s="103" t="s">
        <v>834</v>
      </c>
      <c r="F1340" s="102" t="s">
        <v>835</v>
      </c>
      <c r="G1340" s="103" t="s">
        <v>20</v>
      </c>
      <c r="H1340" s="108"/>
      <c r="I1340" s="103">
        <v>201508</v>
      </c>
      <c r="J1340" s="104">
        <v>-16.48</v>
      </c>
      <c r="K1340" s="72">
        <f t="shared" si="104"/>
        <v>42675</v>
      </c>
      <c r="L1340" s="67">
        <f t="shared" si="100"/>
        <v>6</v>
      </c>
      <c r="M1340" s="105">
        <v>2.23333E-3</v>
      </c>
      <c r="N1340" s="104">
        <f t="shared" si="101"/>
        <v>-0.22083167039999999</v>
      </c>
      <c r="O1340" s="66"/>
      <c r="P1340" s="71">
        <f t="shared" si="102"/>
        <v>0</v>
      </c>
      <c r="Q1340" s="132"/>
      <c r="R1340" s="71">
        <f t="shared" si="103"/>
        <v>-0.25216803333333332</v>
      </c>
    </row>
    <row r="1341" spans="1:18">
      <c r="A1341" s="102" t="s">
        <v>626</v>
      </c>
      <c r="B1341" s="103" t="s">
        <v>1536</v>
      </c>
      <c r="C1341" s="103" t="s">
        <v>1537</v>
      </c>
      <c r="D1341" s="102" t="s">
        <v>1538</v>
      </c>
      <c r="E1341" s="103" t="s">
        <v>260</v>
      </c>
      <c r="F1341" s="102" t="s">
        <v>1608</v>
      </c>
      <c r="G1341" s="103" t="s">
        <v>20</v>
      </c>
      <c r="H1341" s="108"/>
      <c r="I1341" s="103">
        <v>201508</v>
      </c>
      <c r="J1341" s="104">
        <v>141.37</v>
      </c>
      <c r="K1341" s="72">
        <f t="shared" si="104"/>
        <v>42675</v>
      </c>
      <c r="L1341" s="67">
        <f t="shared" si="100"/>
        <v>6</v>
      </c>
      <c r="M1341" s="105">
        <v>1.4833299999999999E-3</v>
      </c>
      <c r="N1341" s="104">
        <f t="shared" si="101"/>
        <v>1.2581901726</v>
      </c>
      <c r="O1341" s="66"/>
      <c r="P1341" s="71">
        <f t="shared" si="102"/>
        <v>0</v>
      </c>
      <c r="Q1341" s="132"/>
      <c r="R1341" s="71">
        <f t="shared" si="103"/>
        <v>2.1631671645833332</v>
      </c>
    </row>
    <row r="1342" spans="1:18">
      <c r="A1342" s="102" t="s">
        <v>127</v>
      </c>
      <c r="B1342" s="103" t="s">
        <v>1581</v>
      </c>
      <c r="C1342" s="103" t="s">
        <v>1582</v>
      </c>
      <c r="D1342" s="102" t="s">
        <v>1583</v>
      </c>
      <c r="E1342" s="103" t="s">
        <v>216</v>
      </c>
      <c r="F1342" s="102" t="s">
        <v>217</v>
      </c>
      <c r="G1342" s="103" t="s">
        <v>20</v>
      </c>
      <c r="H1342" s="108"/>
      <c r="I1342" s="103">
        <v>201508</v>
      </c>
      <c r="J1342" s="104">
        <v>-55.72</v>
      </c>
      <c r="K1342" s="72">
        <f t="shared" si="104"/>
        <v>42675</v>
      </c>
      <c r="L1342" s="67">
        <f t="shared" si="100"/>
        <v>6</v>
      </c>
      <c r="M1342" s="105">
        <v>2.3833299999999999E-3</v>
      </c>
      <c r="N1342" s="104">
        <f t="shared" si="101"/>
        <v>-0.7967948856</v>
      </c>
      <c r="O1342" s="66"/>
      <c r="P1342" s="71">
        <f t="shared" si="102"/>
        <v>0</v>
      </c>
      <c r="Q1342" s="132"/>
      <c r="R1342" s="71">
        <f t="shared" si="103"/>
        <v>-0.85259725833333322</v>
      </c>
    </row>
    <row r="1343" spans="1:18">
      <c r="A1343" s="102" t="s">
        <v>127</v>
      </c>
      <c r="B1343" s="103" t="s">
        <v>1581</v>
      </c>
      <c r="C1343" s="103" t="s">
        <v>1584</v>
      </c>
      <c r="D1343" s="102" t="s">
        <v>1583</v>
      </c>
      <c r="E1343" s="103" t="s">
        <v>216</v>
      </c>
      <c r="F1343" s="102" t="s">
        <v>217</v>
      </c>
      <c r="G1343" s="103" t="s">
        <v>20</v>
      </c>
      <c r="H1343" s="108"/>
      <c r="I1343" s="103">
        <v>201508</v>
      </c>
      <c r="J1343" s="104">
        <v>3084.72</v>
      </c>
      <c r="K1343" s="72">
        <f t="shared" si="104"/>
        <v>42675</v>
      </c>
      <c r="L1343" s="67">
        <f t="shared" si="100"/>
        <v>6</v>
      </c>
      <c r="M1343" s="105">
        <v>2.3833299999999999E-3</v>
      </c>
      <c r="N1343" s="104">
        <f t="shared" si="101"/>
        <v>44.1114343056</v>
      </c>
      <c r="O1343" s="66"/>
      <c r="P1343" s="71">
        <f t="shared" si="102"/>
        <v>0</v>
      </c>
      <c r="Q1343" s="132"/>
      <c r="R1343" s="71">
        <f t="shared" si="103"/>
        <v>47.200714549999994</v>
      </c>
    </row>
    <row r="1344" spans="1:18">
      <c r="A1344" s="102" t="s">
        <v>626</v>
      </c>
      <c r="B1344" s="103" t="s">
        <v>1496</v>
      </c>
      <c r="C1344" s="103" t="s">
        <v>1497</v>
      </c>
      <c r="D1344" s="102" t="s">
        <v>1498</v>
      </c>
      <c r="E1344" s="103" t="s">
        <v>164</v>
      </c>
      <c r="F1344" s="102" t="s">
        <v>1600</v>
      </c>
      <c r="G1344" s="103" t="s">
        <v>20</v>
      </c>
      <c r="H1344" s="108"/>
      <c r="I1344" s="103">
        <v>201508</v>
      </c>
      <c r="J1344" s="104">
        <v>-296.67</v>
      </c>
      <c r="K1344" s="72">
        <f t="shared" si="104"/>
        <v>42675</v>
      </c>
      <c r="L1344" s="67">
        <f t="shared" si="100"/>
        <v>6</v>
      </c>
      <c r="M1344" s="105">
        <v>1.4833299999999999E-3</v>
      </c>
      <c r="N1344" s="104">
        <f t="shared" si="101"/>
        <v>-2.6403570666</v>
      </c>
      <c r="O1344" s="66"/>
      <c r="P1344" s="71">
        <f t="shared" si="102"/>
        <v>0</v>
      </c>
      <c r="Q1344" s="132"/>
      <c r="R1344" s="71">
        <f t="shared" si="103"/>
        <v>-4.5394836437500006</v>
      </c>
    </row>
    <row r="1345" spans="1:18">
      <c r="A1345" s="102" t="s">
        <v>626</v>
      </c>
      <c r="B1345" s="103" t="s">
        <v>1551</v>
      </c>
      <c r="C1345" s="103" t="s">
        <v>1552</v>
      </c>
      <c r="D1345" s="102" t="s">
        <v>1344</v>
      </c>
      <c r="E1345" s="103" t="s">
        <v>164</v>
      </c>
      <c r="F1345" s="102" t="s">
        <v>1600</v>
      </c>
      <c r="G1345" s="103" t="s">
        <v>20</v>
      </c>
      <c r="H1345" s="108"/>
      <c r="I1345" s="103">
        <v>201508</v>
      </c>
      <c r="J1345" s="104">
        <v>-1612.27</v>
      </c>
      <c r="K1345" s="72">
        <f t="shared" si="104"/>
        <v>42675</v>
      </c>
      <c r="L1345" s="67">
        <f t="shared" si="100"/>
        <v>6</v>
      </c>
      <c r="M1345" s="105">
        <v>1.4833299999999999E-3</v>
      </c>
      <c r="N1345" s="104">
        <f t="shared" si="101"/>
        <v>-14.349170754599999</v>
      </c>
      <c r="O1345" s="66"/>
      <c r="P1345" s="71">
        <f t="shared" si="102"/>
        <v>0</v>
      </c>
      <c r="Q1345" s="132"/>
      <c r="R1345" s="71">
        <f t="shared" si="103"/>
        <v>-24.670082227083331</v>
      </c>
    </row>
    <row r="1346" spans="1:18">
      <c r="A1346" s="102" t="s">
        <v>626</v>
      </c>
      <c r="B1346" s="103" t="s">
        <v>1591</v>
      </c>
      <c r="C1346" s="103" t="s">
        <v>1592</v>
      </c>
      <c r="D1346" s="102" t="s">
        <v>1593</v>
      </c>
      <c r="E1346" s="103" t="s">
        <v>93</v>
      </c>
      <c r="F1346" s="102" t="s">
        <v>1601</v>
      </c>
      <c r="G1346" s="103" t="s">
        <v>20</v>
      </c>
      <c r="H1346" s="108"/>
      <c r="I1346" s="103">
        <v>201508</v>
      </c>
      <c r="J1346" s="104">
        <v>-39.4</v>
      </c>
      <c r="K1346" s="72">
        <f t="shared" si="104"/>
        <v>42675</v>
      </c>
      <c r="L1346" s="67">
        <f t="shared" si="100"/>
        <v>6</v>
      </c>
      <c r="M1346" s="105">
        <v>1.4833299999999999E-3</v>
      </c>
      <c r="N1346" s="104">
        <f t="shared" si="101"/>
        <v>-0.350659212</v>
      </c>
      <c r="O1346" s="66"/>
      <c r="P1346" s="71">
        <f t="shared" si="102"/>
        <v>0</v>
      </c>
      <c r="Q1346" s="132"/>
      <c r="R1346" s="71">
        <f t="shared" si="103"/>
        <v>-0.60287745833333317</v>
      </c>
    </row>
    <row r="1347" spans="1:18">
      <c r="A1347" s="102" t="s">
        <v>626</v>
      </c>
      <c r="B1347" s="103" t="s">
        <v>1594</v>
      </c>
      <c r="C1347" s="103" t="s">
        <v>1595</v>
      </c>
      <c r="D1347" s="102" t="s">
        <v>1596</v>
      </c>
      <c r="E1347" s="103" t="s">
        <v>87</v>
      </c>
      <c r="F1347" s="102" t="s">
        <v>1603</v>
      </c>
      <c r="G1347" s="103" t="s">
        <v>20</v>
      </c>
      <c r="H1347" s="108"/>
      <c r="I1347" s="103">
        <v>201508</v>
      </c>
      <c r="J1347" s="104">
        <v>-8.4499999999999993</v>
      </c>
      <c r="K1347" s="72">
        <f t="shared" si="104"/>
        <v>42675</v>
      </c>
      <c r="L1347" s="67">
        <f t="shared" si="100"/>
        <v>6</v>
      </c>
      <c r="M1347" s="105">
        <v>1.4833299999999999E-3</v>
      </c>
      <c r="N1347" s="104">
        <f t="shared" si="101"/>
        <v>-7.5204831E-2</v>
      </c>
      <c r="O1347" s="66"/>
      <c r="P1347" s="71">
        <f t="shared" si="102"/>
        <v>0</v>
      </c>
      <c r="Q1347" s="132"/>
      <c r="R1347" s="71">
        <f t="shared" si="103"/>
        <v>-0.12929732291666665</v>
      </c>
    </row>
    <row r="1348" spans="1:18">
      <c r="A1348" s="102" t="s">
        <v>21</v>
      </c>
      <c r="B1348" s="103" t="s">
        <v>1395</v>
      </c>
      <c r="C1348" s="103" t="s">
        <v>1396</v>
      </c>
      <c r="D1348" s="102" t="s">
        <v>1397</v>
      </c>
      <c r="E1348" s="103" t="s">
        <v>360</v>
      </c>
      <c r="F1348" s="102" t="s">
        <v>19</v>
      </c>
      <c r="G1348" s="103" t="s">
        <v>20</v>
      </c>
      <c r="H1348" s="108"/>
      <c r="I1348" s="103">
        <v>201508</v>
      </c>
      <c r="J1348" s="104">
        <v>-36.75</v>
      </c>
      <c r="K1348" s="72">
        <f t="shared" si="104"/>
        <v>42675</v>
      </c>
      <c r="L1348" s="67">
        <f t="shared" si="100"/>
        <v>6</v>
      </c>
      <c r="M1348" s="105">
        <v>1.4833299999999999E-3</v>
      </c>
      <c r="N1348" s="104">
        <f t="shared" si="101"/>
        <v>-0.32707426499999998</v>
      </c>
      <c r="O1348" s="66"/>
      <c r="P1348" s="71">
        <f t="shared" si="102"/>
        <v>0</v>
      </c>
      <c r="Q1348" s="132"/>
      <c r="R1348" s="71">
        <f t="shared" si="103"/>
        <v>-0.56232859374999999</v>
      </c>
    </row>
    <row r="1349" spans="1:18">
      <c r="A1349" s="102" t="s">
        <v>626</v>
      </c>
      <c r="B1349" s="103" t="s">
        <v>1539</v>
      </c>
      <c r="C1349" s="103" t="s">
        <v>1540</v>
      </c>
      <c r="D1349" s="102" t="s">
        <v>1541</v>
      </c>
      <c r="E1349" s="103" t="s">
        <v>156</v>
      </c>
      <c r="F1349" s="102" t="s">
        <v>26</v>
      </c>
      <c r="G1349" s="103" t="s">
        <v>20</v>
      </c>
      <c r="H1349" s="108"/>
      <c r="I1349" s="103">
        <v>201508</v>
      </c>
      <c r="J1349" s="104">
        <v>5057.8</v>
      </c>
      <c r="K1349" s="72">
        <f t="shared" si="104"/>
        <v>42675</v>
      </c>
      <c r="L1349" s="67">
        <f t="shared" ref="L1349:L1370" si="105">((YEAR($L$1)-YEAR(K1349))*12+MONTH($L$1)-MONTH(K1349))</f>
        <v>6</v>
      </c>
      <c r="M1349" s="105">
        <v>1.4833299999999999E-3</v>
      </c>
      <c r="N1349" s="104">
        <f t="shared" ref="N1349:N1370" si="106">M1349*L1349*J1349</f>
        <v>45.014318844000002</v>
      </c>
      <c r="O1349" s="66"/>
      <c r="P1349" s="71">
        <f t="shared" si="102"/>
        <v>0</v>
      </c>
      <c r="Q1349" s="132"/>
      <c r="R1349" s="71">
        <f t="shared" si="103"/>
        <v>77.391715958333322</v>
      </c>
    </row>
    <row r="1350" spans="1:18">
      <c r="A1350" s="102" t="s">
        <v>626</v>
      </c>
      <c r="B1350" s="103" t="s">
        <v>1632</v>
      </c>
      <c r="C1350" s="103" t="s">
        <v>1633</v>
      </c>
      <c r="D1350" s="102" t="s">
        <v>1634</v>
      </c>
      <c r="E1350" s="103" t="s">
        <v>471</v>
      </c>
      <c r="F1350" s="102" t="s">
        <v>165</v>
      </c>
      <c r="G1350" s="103" t="s">
        <v>20</v>
      </c>
      <c r="H1350" s="108"/>
      <c r="I1350" s="103">
        <v>201508</v>
      </c>
      <c r="J1350" s="104">
        <v>38753.050000000003</v>
      </c>
      <c r="K1350" s="72">
        <f t="shared" si="104"/>
        <v>42675</v>
      </c>
      <c r="L1350" s="67">
        <f t="shared" si="105"/>
        <v>6</v>
      </c>
      <c r="M1350" s="105">
        <v>1.4833299999999999E-3</v>
      </c>
      <c r="N1350" s="104">
        <f t="shared" si="106"/>
        <v>344.90136993900001</v>
      </c>
      <c r="O1350" s="66"/>
      <c r="P1350" s="71">
        <f t="shared" ref="P1350:P1370" si="107">($P$4*0.5*J1350*$T$12)</f>
        <v>0</v>
      </c>
      <c r="Q1350" s="132"/>
      <c r="R1350" s="71">
        <f t="shared" ref="R1350:R1370" si="108">($R$4*0.5*J1350*$T$12)</f>
        <v>592.97817986458335</v>
      </c>
    </row>
    <row r="1351" spans="1:18">
      <c r="A1351" s="102" t="s">
        <v>21</v>
      </c>
      <c r="B1351" s="103" t="s">
        <v>1398</v>
      </c>
      <c r="C1351" s="103" t="s">
        <v>1399</v>
      </c>
      <c r="D1351" s="102" t="s">
        <v>1223</v>
      </c>
      <c r="E1351" s="103" t="s">
        <v>360</v>
      </c>
      <c r="F1351" s="102" t="s">
        <v>19</v>
      </c>
      <c r="G1351" s="103" t="s">
        <v>20</v>
      </c>
      <c r="H1351" s="108"/>
      <c r="I1351" s="103">
        <v>201508</v>
      </c>
      <c r="J1351" s="104">
        <v>1475.73</v>
      </c>
      <c r="K1351" s="72">
        <f t="shared" ref="K1351:K1370" si="109">+K1350</f>
        <v>42675</v>
      </c>
      <c r="L1351" s="67">
        <f t="shared" si="105"/>
        <v>6</v>
      </c>
      <c r="M1351" s="105">
        <v>1.4833299999999999E-3</v>
      </c>
      <c r="N1351" s="104">
        <f t="shared" si="106"/>
        <v>13.133967485399999</v>
      </c>
      <c r="O1351" s="66"/>
      <c r="P1351" s="71">
        <f t="shared" si="107"/>
        <v>0</v>
      </c>
      <c r="Q1351" s="132"/>
      <c r="R1351" s="71">
        <f t="shared" si="108"/>
        <v>22.580821106249999</v>
      </c>
    </row>
    <row r="1352" spans="1:18">
      <c r="A1352" s="102" t="s">
        <v>21</v>
      </c>
      <c r="B1352" s="103" t="s">
        <v>1400</v>
      </c>
      <c r="C1352" s="103" t="s">
        <v>1401</v>
      </c>
      <c r="D1352" s="102" t="s">
        <v>1402</v>
      </c>
      <c r="E1352" s="103" t="s">
        <v>360</v>
      </c>
      <c r="F1352" s="102" t="s">
        <v>19</v>
      </c>
      <c r="G1352" s="103" t="s">
        <v>20</v>
      </c>
      <c r="H1352" s="108"/>
      <c r="I1352" s="103">
        <v>201508</v>
      </c>
      <c r="J1352" s="104">
        <v>-26.86</v>
      </c>
      <c r="K1352" s="72">
        <f t="shared" si="109"/>
        <v>42675</v>
      </c>
      <c r="L1352" s="67">
        <f t="shared" si="105"/>
        <v>6</v>
      </c>
      <c r="M1352" s="105">
        <v>1.4833299999999999E-3</v>
      </c>
      <c r="N1352" s="104">
        <f t="shared" si="106"/>
        <v>-0.23905346280000001</v>
      </c>
      <c r="O1352" s="66"/>
      <c r="P1352" s="71">
        <f t="shared" si="107"/>
        <v>0</v>
      </c>
      <c r="Q1352" s="132"/>
      <c r="R1352" s="71">
        <f t="shared" si="108"/>
        <v>-0.41099717083333331</v>
      </c>
    </row>
    <row r="1353" spans="1:18">
      <c r="A1353" s="102" t="s">
        <v>21</v>
      </c>
      <c r="B1353" s="103" t="s">
        <v>1635</v>
      </c>
      <c r="C1353" s="103" t="s">
        <v>1636</v>
      </c>
      <c r="D1353" s="102" t="s">
        <v>1637</v>
      </c>
      <c r="E1353" s="103" t="s">
        <v>360</v>
      </c>
      <c r="F1353" s="102" t="s">
        <v>19</v>
      </c>
      <c r="G1353" s="103" t="s">
        <v>20</v>
      </c>
      <c r="H1353" s="108"/>
      <c r="I1353" s="103">
        <v>201508</v>
      </c>
      <c r="J1353" s="104">
        <v>1011.64</v>
      </c>
      <c r="K1353" s="72">
        <f t="shared" si="109"/>
        <v>42675</v>
      </c>
      <c r="L1353" s="67">
        <f t="shared" si="105"/>
        <v>6</v>
      </c>
      <c r="M1353" s="105">
        <v>1.4833299999999999E-3</v>
      </c>
      <c r="N1353" s="104">
        <f t="shared" si="106"/>
        <v>9.0035757671999992</v>
      </c>
      <c r="O1353" s="66"/>
      <c r="P1353" s="71">
        <f t="shared" si="107"/>
        <v>0</v>
      </c>
      <c r="Q1353" s="132"/>
      <c r="R1353" s="71">
        <f t="shared" si="108"/>
        <v>15.479567308333332</v>
      </c>
    </row>
    <row r="1354" spans="1:18">
      <c r="A1354" s="102" t="s">
        <v>21</v>
      </c>
      <c r="B1354" s="103" t="s">
        <v>1403</v>
      </c>
      <c r="C1354" s="103" t="s">
        <v>1404</v>
      </c>
      <c r="D1354" s="102" t="s">
        <v>1223</v>
      </c>
      <c r="E1354" s="103" t="s">
        <v>360</v>
      </c>
      <c r="F1354" s="102" t="s">
        <v>19</v>
      </c>
      <c r="G1354" s="103" t="s">
        <v>20</v>
      </c>
      <c r="H1354" s="108"/>
      <c r="I1354" s="103">
        <v>201508</v>
      </c>
      <c r="J1354" s="104">
        <v>-24.06</v>
      </c>
      <c r="K1354" s="72">
        <f t="shared" si="109"/>
        <v>42675</v>
      </c>
      <c r="L1354" s="67">
        <f t="shared" si="105"/>
        <v>6</v>
      </c>
      <c r="M1354" s="105">
        <v>1.4833299999999999E-3</v>
      </c>
      <c r="N1354" s="104">
        <f t="shared" si="106"/>
        <v>-0.21413351879999998</v>
      </c>
      <c r="O1354" s="66"/>
      <c r="P1354" s="71">
        <f t="shared" si="107"/>
        <v>0</v>
      </c>
      <c r="Q1354" s="132"/>
      <c r="R1354" s="71">
        <f t="shared" si="108"/>
        <v>-0.36815308749999992</v>
      </c>
    </row>
    <row r="1355" spans="1:18">
      <c r="A1355" s="102" t="s">
        <v>21</v>
      </c>
      <c r="B1355" s="103" t="s">
        <v>1470</v>
      </c>
      <c r="C1355" s="103" t="s">
        <v>1471</v>
      </c>
      <c r="D1355" s="102" t="s">
        <v>1472</v>
      </c>
      <c r="E1355" s="103" t="s">
        <v>497</v>
      </c>
      <c r="F1355" s="102" t="s">
        <v>26</v>
      </c>
      <c r="G1355" s="103" t="s">
        <v>20</v>
      </c>
      <c r="H1355" s="108"/>
      <c r="I1355" s="103">
        <v>201508</v>
      </c>
      <c r="J1355" s="104">
        <v>-30.6</v>
      </c>
      <c r="K1355" s="72">
        <f t="shared" si="109"/>
        <v>42675</v>
      </c>
      <c r="L1355" s="67">
        <f t="shared" si="105"/>
        <v>6</v>
      </c>
      <c r="M1355" s="105">
        <v>1.4833299999999999E-3</v>
      </c>
      <c r="N1355" s="104">
        <f t="shared" si="106"/>
        <v>-0.27233938800000002</v>
      </c>
      <c r="O1355" s="66"/>
      <c r="P1355" s="71">
        <f t="shared" si="107"/>
        <v>0</v>
      </c>
      <c r="Q1355" s="132"/>
      <c r="R1355" s="71">
        <f t="shared" si="108"/>
        <v>-0.46822462500000001</v>
      </c>
    </row>
    <row r="1356" spans="1:18">
      <c r="A1356" s="102" t="s">
        <v>21</v>
      </c>
      <c r="B1356" s="103" t="s">
        <v>1405</v>
      </c>
      <c r="C1356" s="103" t="s">
        <v>1406</v>
      </c>
      <c r="D1356" s="102" t="s">
        <v>1407</v>
      </c>
      <c r="E1356" s="103" t="s">
        <v>360</v>
      </c>
      <c r="F1356" s="102" t="s">
        <v>19</v>
      </c>
      <c r="G1356" s="103" t="s">
        <v>20</v>
      </c>
      <c r="H1356" s="108"/>
      <c r="I1356" s="103">
        <v>201508</v>
      </c>
      <c r="J1356" s="104">
        <v>-24.17</v>
      </c>
      <c r="K1356" s="72">
        <f t="shared" si="109"/>
        <v>42675</v>
      </c>
      <c r="L1356" s="67">
        <f t="shared" si="105"/>
        <v>6</v>
      </c>
      <c r="M1356" s="105">
        <v>1.4833299999999999E-3</v>
      </c>
      <c r="N1356" s="104">
        <f t="shared" si="106"/>
        <v>-0.21511251660000003</v>
      </c>
      <c r="O1356" s="66"/>
      <c r="P1356" s="71">
        <f t="shared" si="107"/>
        <v>0</v>
      </c>
      <c r="Q1356" s="132"/>
      <c r="R1356" s="71">
        <f t="shared" si="108"/>
        <v>-0.36983624791666664</v>
      </c>
    </row>
    <row r="1357" spans="1:18">
      <c r="A1357" s="102" t="s">
        <v>626</v>
      </c>
      <c r="B1357" s="103" t="s">
        <v>1638</v>
      </c>
      <c r="C1357" s="103" t="s">
        <v>1639</v>
      </c>
      <c r="D1357" s="102" t="s">
        <v>1640</v>
      </c>
      <c r="E1357" s="103" t="s">
        <v>164</v>
      </c>
      <c r="F1357" s="102" t="s">
        <v>1600</v>
      </c>
      <c r="G1357" s="103" t="s">
        <v>20</v>
      </c>
      <c r="H1357" s="108"/>
      <c r="I1357" s="103">
        <v>201508</v>
      </c>
      <c r="J1357" s="104">
        <v>55677.2</v>
      </c>
      <c r="K1357" s="72">
        <f t="shared" si="109"/>
        <v>42675</v>
      </c>
      <c r="L1357" s="67">
        <f t="shared" si="105"/>
        <v>6</v>
      </c>
      <c r="M1357" s="105">
        <v>1.4833299999999999E-3</v>
      </c>
      <c r="N1357" s="104">
        <f t="shared" si="106"/>
        <v>495.52596645599999</v>
      </c>
      <c r="O1357" s="66"/>
      <c r="P1357" s="71">
        <f t="shared" si="107"/>
        <v>0</v>
      </c>
      <c r="Q1357" s="132"/>
      <c r="R1357" s="71">
        <f t="shared" si="108"/>
        <v>851.94235591666654</v>
      </c>
    </row>
    <row r="1358" spans="1:18">
      <c r="A1358" s="102" t="s">
        <v>626</v>
      </c>
      <c r="B1358" s="103" t="s">
        <v>1553</v>
      </c>
      <c r="C1358" s="103" t="s">
        <v>1554</v>
      </c>
      <c r="D1358" s="102" t="s">
        <v>1344</v>
      </c>
      <c r="E1358" s="103" t="s">
        <v>164</v>
      </c>
      <c r="F1358" s="102" t="s">
        <v>1600</v>
      </c>
      <c r="G1358" s="103" t="s">
        <v>20</v>
      </c>
      <c r="H1358" s="108"/>
      <c r="I1358" s="103">
        <v>201508</v>
      </c>
      <c r="J1358" s="104">
        <v>27666.7</v>
      </c>
      <c r="K1358" s="72">
        <f t="shared" si="109"/>
        <v>42675</v>
      </c>
      <c r="L1358" s="67">
        <f t="shared" si="105"/>
        <v>6</v>
      </c>
      <c r="M1358" s="105">
        <v>1.4833299999999999E-3</v>
      </c>
      <c r="N1358" s="104">
        <f t="shared" si="106"/>
        <v>246.23307666600002</v>
      </c>
      <c r="O1358" s="66"/>
      <c r="P1358" s="71">
        <f t="shared" si="107"/>
        <v>0</v>
      </c>
      <c r="Q1358" s="132"/>
      <c r="R1358" s="71">
        <f t="shared" si="108"/>
        <v>423.34085727083328</v>
      </c>
    </row>
    <row r="1359" spans="1:18">
      <c r="A1359" s="102" t="s">
        <v>626</v>
      </c>
      <c r="B1359" s="103" t="s">
        <v>1641</v>
      </c>
      <c r="C1359" s="103" t="s">
        <v>1642</v>
      </c>
      <c r="D1359" s="102" t="s">
        <v>1388</v>
      </c>
      <c r="E1359" s="103" t="s">
        <v>164</v>
      </c>
      <c r="F1359" s="102" t="s">
        <v>1600</v>
      </c>
      <c r="G1359" s="103" t="s">
        <v>20</v>
      </c>
      <c r="H1359" s="108"/>
      <c r="I1359" s="103">
        <v>201508</v>
      </c>
      <c r="J1359" s="104">
        <v>43555.6</v>
      </c>
      <c r="K1359" s="72">
        <f t="shared" si="109"/>
        <v>42675</v>
      </c>
      <c r="L1359" s="67">
        <f t="shared" si="105"/>
        <v>6</v>
      </c>
      <c r="M1359" s="105">
        <v>1.4833299999999999E-3</v>
      </c>
      <c r="N1359" s="104">
        <f t="shared" si="106"/>
        <v>387.64396888799996</v>
      </c>
      <c r="O1359" s="66"/>
      <c r="P1359" s="71">
        <f t="shared" si="107"/>
        <v>0</v>
      </c>
      <c r="Q1359" s="132"/>
      <c r="R1359" s="71">
        <f t="shared" si="108"/>
        <v>666.4641985833332</v>
      </c>
    </row>
    <row r="1360" spans="1:18">
      <c r="A1360" s="102" t="s">
        <v>626</v>
      </c>
      <c r="B1360" s="103" t="s">
        <v>1542</v>
      </c>
      <c r="C1360" s="103" t="s">
        <v>1543</v>
      </c>
      <c r="D1360" s="102" t="s">
        <v>1544</v>
      </c>
      <c r="E1360" s="103" t="s">
        <v>531</v>
      </c>
      <c r="F1360" s="102" t="s">
        <v>26</v>
      </c>
      <c r="G1360" s="103" t="s">
        <v>20</v>
      </c>
      <c r="H1360" s="108"/>
      <c r="I1360" s="103">
        <v>201508</v>
      </c>
      <c r="J1360" s="104">
        <v>1.88</v>
      </c>
      <c r="K1360" s="72">
        <f t="shared" si="109"/>
        <v>42675</v>
      </c>
      <c r="L1360" s="67">
        <f t="shared" si="105"/>
        <v>6</v>
      </c>
      <c r="M1360" s="105">
        <v>1.4833299999999999E-3</v>
      </c>
      <c r="N1360" s="104">
        <f t="shared" si="106"/>
        <v>1.6731962399999998E-2</v>
      </c>
      <c r="O1360" s="66"/>
      <c r="P1360" s="71">
        <f t="shared" si="107"/>
        <v>0</v>
      </c>
      <c r="Q1360" s="132"/>
      <c r="R1360" s="71">
        <f t="shared" si="108"/>
        <v>2.8766741666666661E-2</v>
      </c>
    </row>
    <row r="1361" spans="1:18">
      <c r="A1361" s="102" t="s">
        <v>626</v>
      </c>
      <c r="B1361" s="103" t="s">
        <v>1643</v>
      </c>
      <c r="C1361" s="103" t="s">
        <v>1644</v>
      </c>
      <c r="D1361" s="102" t="s">
        <v>1645</v>
      </c>
      <c r="E1361" s="103" t="s">
        <v>209</v>
      </c>
      <c r="F1361" s="102" t="s">
        <v>1612</v>
      </c>
      <c r="G1361" s="103" t="s">
        <v>20</v>
      </c>
      <c r="H1361" s="108"/>
      <c r="I1361" s="103">
        <v>201508</v>
      </c>
      <c r="J1361" s="104">
        <v>258.37</v>
      </c>
      <c r="K1361" s="72">
        <f t="shared" si="109"/>
        <v>42675</v>
      </c>
      <c r="L1361" s="67">
        <f t="shared" si="105"/>
        <v>6</v>
      </c>
      <c r="M1361" s="105">
        <v>1.4833299999999999E-3</v>
      </c>
      <c r="N1361" s="104">
        <f t="shared" si="106"/>
        <v>2.2994878326000001</v>
      </c>
      <c r="O1361" s="66"/>
      <c r="P1361" s="71">
        <f t="shared" si="107"/>
        <v>0</v>
      </c>
      <c r="Q1361" s="132"/>
      <c r="R1361" s="71">
        <f t="shared" si="108"/>
        <v>3.953437789583333</v>
      </c>
    </row>
    <row r="1362" spans="1:18">
      <c r="A1362" s="102" t="s">
        <v>21</v>
      </c>
      <c r="B1362" s="103" t="s">
        <v>1646</v>
      </c>
      <c r="C1362" s="103" t="s">
        <v>1647</v>
      </c>
      <c r="D1362" s="102" t="s">
        <v>1648</v>
      </c>
      <c r="E1362" s="103" t="s">
        <v>402</v>
      </c>
      <c r="F1362" s="102" t="s">
        <v>19</v>
      </c>
      <c r="G1362" s="103" t="s">
        <v>20</v>
      </c>
      <c r="H1362" s="108"/>
      <c r="I1362" s="103">
        <v>201508</v>
      </c>
      <c r="J1362" s="104">
        <v>1520.03</v>
      </c>
      <c r="K1362" s="72">
        <f t="shared" si="109"/>
        <v>42675</v>
      </c>
      <c r="L1362" s="67">
        <f t="shared" si="105"/>
        <v>6</v>
      </c>
      <c r="M1362" s="105">
        <v>1.4833299999999999E-3</v>
      </c>
      <c r="N1362" s="104">
        <f t="shared" si="106"/>
        <v>13.5282365994</v>
      </c>
      <c r="O1362" s="66"/>
      <c r="P1362" s="71">
        <f t="shared" si="107"/>
        <v>0</v>
      </c>
      <c r="Q1362" s="132"/>
      <c r="R1362" s="71">
        <f t="shared" si="108"/>
        <v>23.258675710416664</v>
      </c>
    </row>
    <row r="1363" spans="1:18">
      <c r="A1363" s="102" t="s">
        <v>626</v>
      </c>
      <c r="B1363" s="103" t="s">
        <v>1649</v>
      </c>
      <c r="C1363" s="103" t="s">
        <v>1650</v>
      </c>
      <c r="D1363" s="102" t="s">
        <v>1651</v>
      </c>
      <c r="E1363" s="103" t="s">
        <v>209</v>
      </c>
      <c r="F1363" s="102" t="s">
        <v>1612</v>
      </c>
      <c r="G1363" s="103" t="s">
        <v>20</v>
      </c>
      <c r="H1363" s="108"/>
      <c r="I1363" s="103">
        <v>201508</v>
      </c>
      <c r="J1363" s="104">
        <v>8749.15</v>
      </c>
      <c r="K1363" s="72">
        <f t="shared" si="109"/>
        <v>42675</v>
      </c>
      <c r="L1363" s="67">
        <f t="shared" si="105"/>
        <v>6</v>
      </c>
      <c r="M1363" s="105">
        <v>1.4833299999999999E-3</v>
      </c>
      <c r="N1363" s="104">
        <f t="shared" si="106"/>
        <v>77.867260016999992</v>
      </c>
      <c r="O1363" s="66"/>
      <c r="P1363" s="71">
        <f t="shared" si="107"/>
        <v>0</v>
      </c>
      <c r="Q1363" s="132"/>
      <c r="R1363" s="71">
        <f t="shared" si="108"/>
        <v>133.8747541770833</v>
      </c>
    </row>
    <row r="1364" spans="1:18">
      <c r="A1364" s="102" t="s">
        <v>626</v>
      </c>
      <c r="B1364" s="103" t="s">
        <v>1652</v>
      </c>
      <c r="C1364" s="103" t="s">
        <v>1653</v>
      </c>
      <c r="D1364" s="102" t="s">
        <v>1654</v>
      </c>
      <c r="E1364" s="103" t="s">
        <v>75</v>
      </c>
      <c r="F1364" s="102" t="s">
        <v>1602</v>
      </c>
      <c r="G1364" s="103" t="s">
        <v>20</v>
      </c>
      <c r="H1364" s="108"/>
      <c r="I1364" s="103">
        <v>201508</v>
      </c>
      <c r="J1364" s="104">
        <v>26902.51</v>
      </c>
      <c r="K1364" s="72">
        <f t="shared" si="109"/>
        <v>42675</v>
      </c>
      <c r="L1364" s="67">
        <f t="shared" si="105"/>
        <v>6</v>
      </c>
      <c r="M1364" s="105">
        <v>1.4833299999999999E-3</v>
      </c>
      <c r="N1364" s="104">
        <f t="shared" si="106"/>
        <v>239.43180094979999</v>
      </c>
      <c r="O1364" s="66"/>
      <c r="P1364" s="71">
        <f t="shared" si="107"/>
        <v>0</v>
      </c>
      <c r="Q1364" s="132"/>
      <c r="R1364" s="71">
        <f t="shared" si="108"/>
        <v>411.64763582708326</v>
      </c>
    </row>
    <row r="1365" spans="1:18">
      <c r="A1365" s="102" t="s">
        <v>626</v>
      </c>
      <c r="B1365" s="103" t="s">
        <v>1655</v>
      </c>
      <c r="C1365" s="103" t="s">
        <v>1656</v>
      </c>
      <c r="D1365" s="102" t="s">
        <v>1657</v>
      </c>
      <c r="E1365" s="103" t="s">
        <v>75</v>
      </c>
      <c r="F1365" s="102" t="s">
        <v>1602</v>
      </c>
      <c r="G1365" s="103" t="s">
        <v>20</v>
      </c>
      <c r="H1365" s="108"/>
      <c r="I1365" s="103">
        <v>201508</v>
      </c>
      <c r="J1365" s="104">
        <v>33895.67</v>
      </c>
      <c r="K1365" s="72">
        <f t="shared" si="109"/>
        <v>42675</v>
      </c>
      <c r="L1365" s="67">
        <f t="shared" si="105"/>
        <v>6</v>
      </c>
      <c r="M1365" s="105">
        <v>1.4833299999999999E-3</v>
      </c>
      <c r="N1365" s="104">
        <f t="shared" si="106"/>
        <v>301.67078508660001</v>
      </c>
      <c r="O1365" s="66"/>
      <c r="P1365" s="71">
        <f t="shared" si="107"/>
        <v>0</v>
      </c>
      <c r="Q1365" s="132"/>
      <c r="R1365" s="71">
        <f t="shared" si="108"/>
        <v>518.65318218541654</v>
      </c>
    </row>
    <row r="1366" spans="1:18">
      <c r="A1366" s="102" t="s">
        <v>626</v>
      </c>
      <c r="B1366" s="103" t="s">
        <v>1658</v>
      </c>
      <c r="C1366" s="103" t="s">
        <v>1659</v>
      </c>
      <c r="D1366" s="102" t="s">
        <v>1660</v>
      </c>
      <c r="E1366" s="103" t="s">
        <v>209</v>
      </c>
      <c r="F1366" s="102" t="s">
        <v>1612</v>
      </c>
      <c r="G1366" s="103" t="s">
        <v>20</v>
      </c>
      <c r="H1366" s="108"/>
      <c r="I1366" s="103">
        <v>201508</v>
      </c>
      <c r="J1366" s="104">
        <v>2443.52</v>
      </c>
      <c r="K1366" s="72">
        <f t="shared" si="109"/>
        <v>42675</v>
      </c>
      <c r="L1366" s="67">
        <f t="shared" si="105"/>
        <v>6</v>
      </c>
      <c r="M1366" s="105">
        <v>1.4833299999999999E-3</v>
      </c>
      <c r="N1366" s="104">
        <f t="shared" si="106"/>
        <v>21.747279129599999</v>
      </c>
      <c r="O1366" s="66"/>
      <c r="P1366" s="71">
        <f t="shared" si="107"/>
        <v>0</v>
      </c>
      <c r="Q1366" s="132"/>
      <c r="R1366" s="71">
        <f t="shared" si="108"/>
        <v>37.389419466666659</v>
      </c>
    </row>
    <row r="1367" spans="1:18">
      <c r="A1367" s="106" t="s">
        <v>29</v>
      </c>
      <c r="B1367" s="103" t="s">
        <v>1661</v>
      </c>
      <c r="C1367" s="103" t="s">
        <v>1662</v>
      </c>
      <c r="D1367" s="102" t="s">
        <v>1663</v>
      </c>
      <c r="E1367" s="103" t="s">
        <v>284</v>
      </c>
      <c r="F1367" s="102" t="s">
        <v>285</v>
      </c>
      <c r="G1367" s="103" t="s">
        <v>20</v>
      </c>
      <c r="H1367" s="108"/>
      <c r="I1367" s="103">
        <v>201508</v>
      </c>
      <c r="J1367" s="104">
        <v>4220.95</v>
      </c>
      <c r="K1367" s="72">
        <f t="shared" si="109"/>
        <v>42675</v>
      </c>
      <c r="L1367" s="67">
        <f t="shared" si="105"/>
        <v>6</v>
      </c>
      <c r="M1367" s="105">
        <v>2.23333E-3</v>
      </c>
      <c r="N1367" s="104">
        <f t="shared" si="106"/>
        <v>56.560645580999996</v>
      </c>
      <c r="O1367" s="66"/>
      <c r="P1367" s="71">
        <f t="shared" si="107"/>
        <v>0</v>
      </c>
      <c r="Q1367" s="132"/>
      <c r="R1367" s="71">
        <f t="shared" si="108"/>
        <v>64.586690552083326</v>
      </c>
    </row>
    <row r="1368" spans="1:18">
      <c r="A1368" s="102" t="s">
        <v>21</v>
      </c>
      <c r="B1368" s="103" t="s">
        <v>1664</v>
      </c>
      <c r="C1368" s="103" t="s">
        <v>1665</v>
      </c>
      <c r="D1368" s="102" t="s">
        <v>1666</v>
      </c>
      <c r="E1368" s="103" t="s">
        <v>87</v>
      </c>
      <c r="F1368" s="102" t="s">
        <v>1603</v>
      </c>
      <c r="G1368" s="103" t="s">
        <v>20</v>
      </c>
      <c r="H1368" s="108"/>
      <c r="I1368" s="103">
        <v>201508</v>
      </c>
      <c r="J1368" s="104">
        <v>77386.429999999993</v>
      </c>
      <c r="K1368" s="72">
        <f t="shared" si="109"/>
        <v>42675</v>
      </c>
      <c r="L1368" s="67">
        <f t="shared" si="105"/>
        <v>6</v>
      </c>
      <c r="M1368" s="105">
        <v>1.4833299999999999E-3</v>
      </c>
      <c r="N1368" s="104">
        <f t="shared" si="106"/>
        <v>688.7376792714</v>
      </c>
      <c r="O1368" s="66"/>
      <c r="P1368" s="71">
        <f t="shared" si="107"/>
        <v>0</v>
      </c>
      <c r="Q1368" s="132"/>
      <c r="R1368" s="71">
        <f t="shared" si="108"/>
        <v>1184.1252342104165</v>
      </c>
    </row>
    <row r="1369" spans="1:18">
      <c r="A1369" s="102" t="s">
        <v>21</v>
      </c>
      <c r="B1369" s="103" t="s">
        <v>1667</v>
      </c>
      <c r="C1369" s="103" t="s">
        <v>1668</v>
      </c>
      <c r="D1369" s="102" t="s">
        <v>1651</v>
      </c>
      <c r="E1369" s="103" t="s">
        <v>209</v>
      </c>
      <c r="F1369" s="102" t="s">
        <v>1612</v>
      </c>
      <c r="G1369" s="103" t="s">
        <v>20</v>
      </c>
      <c r="H1369" s="108"/>
      <c r="I1369" s="103">
        <v>201508</v>
      </c>
      <c r="J1369" s="104">
        <v>18048.560000000001</v>
      </c>
      <c r="K1369" s="72">
        <f t="shared" si="109"/>
        <v>42675</v>
      </c>
      <c r="L1369" s="67">
        <f t="shared" si="105"/>
        <v>6</v>
      </c>
      <c r="M1369" s="105">
        <v>1.4833299999999999E-3</v>
      </c>
      <c r="N1369" s="104">
        <f t="shared" si="106"/>
        <v>160.6318230288</v>
      </c>
      <c r="O1369" s="66"/>
      <c r="P1369" s="71">
        <f t="shared" si="107"/>
        <v>0</v>
      </c>
      <c r="Q1369" s="132"/>
      <c r="R1369" s="71">
        <f t="shared" si="108"/>
        <v>276.16928881666666</v>
      </c>
    </row>
    <row r="1370" spans="1:18">
      <c r="A1370" s="102" t="s">
        <v>626</v>
      </c>
      <c r="B1370" s="103" t="s">
        <v>1669</v>
      </c>
      <c r="C1370" s="103" t="s">
        <v>1670</v>
      </c>
      <c r="D1370" s="102" t="s">
        <v>1671</v>
      </c>
      <c r="E1370" s="103" t="s">
        <v>415</v>
      </c>
      <c r="F1370" s="102" t="s">
        <v>88</v>
      </c>
      <c r="G1370" s="103" t="s">
        <v>20</v>
      </c>
      <c r="H1370" s="108"/>
      <c r="I1370" s="103">
        <v>201508</v>
      </c>
      <c r="J1370" s="104">
        <v>62905.65</v>
      </c>
      <c r="K1370" s="72">
        <f t="shared" si="109"/>
        <v>42675</v>
      </c>
      <c r="L1370" s="67">
        <f t="shared" si="105"/>
        <v>6</v>
      </c>
      <c r="M1370" s="105">
        <v>1.4833299999999999E-3</v>
      </c>
      <c r="N1370" s="104">
        <f t="shared" si="106"/>
        <v>559.85902688700003</v>
      </c>
      <c r="O1370" s="66"/>
      <c r="P1370" s="71">
        <f t="shared" si="107"/>
        <v>0</v>
      </c>
      <c r="Q1370" s="132"/>
      <c r="R1370" s="71">
        <f t="shared" si="108"/>
        <v>962.54818240625002</v>
      </c>
    </row>
    <row r="1372" spans="1:18">
      <c r="J1372" s="54">
        <f>SUM(J5:J1371)</f>
        <v>17602129.319999978</v>
      </c>
      <c r="N1372" s="54">
        <f>SUM(N5:N1371)</f>
        <v>181544.45206188402</v>
      </c>
      <c r="P1372" s="54">
        <f>SUM(P5:P1371)</f>
        <v>0</v>
      </c>
      <c r="R1372" s="54">
        <f>SUM(R5:R1371)</f>
        <v>269338.24836792494</v>
      </c>
    </row>
    <row r="1373" spans="1:18">
      <c r="H1373" s="108"/>
    </row>
    <row r="1430" spans="14:14">
      <c r="N1430" s="54">
        <f>SUM(N5:N1429)</f>
        <v>363088.90412376804</v>
      </c>
    </row>
  </sheetData>
  <mergeCells count="12">
    <mergeCell ref="K4:N4"/>
    <mergeCell ref="U6:W6"/>
    <mergeCell ref="Q1:R1"/>
    <mergeCell ref="Q2:Q3"/>
    <mergeCell ref="R2:R3"/>
    <mergeCell ref="K1:K3"/>
    <mergeCell ref="M1:M3"/>
    <mergeCell ref="N1:N3"/>
    <mergeCell ref="O1:P1"/>
    <mergeCell ref="L2:L3"/>
    <mergeCell ref="O2:O3"/>
    <mergeCell ref="P2:P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929"/>
  <sheetViews>
    <sheetView topLeftCell="K1" zoomScale="85" zoomScaleNormal="85" workbookViewId="0">
      <pane ySplit="4" topLeftCell="A895" activePane="bottomLeft" state="frozen"/>
      <selection activeCell="P694" sqref="P694"/>
      <selection pane="bottomLeft" activeCell="P289" sqref="P289"/>
    </sheetView>
  </sheetViews>
  <sheetFormatPr defaultColWidth="9.140625" defaultRowHeight="15"/>
  <cols>
    <col min="1" max="1" width="37" style="53" customWidth="1"/>
    <col min="2" max="2" width="17.28515625" style="52" customWidth="1"/>
    <col min="3" max="3" width="13.85546875" style="52" customWidth="1"/>
    <col min="4" max="4" width="34.5703125" style="53" customWidth="1"/>
    <col min="5" max="5" width="8.7109375" style="52" customWidth="1"/>
    <col min="6" max="6" width="36.7109375" style="53" bestFit="1" customWidth="1"/>
    <col min="7" max="8" width="14.140625" style="52" customWidth="1"/>
    <col min="9" max="9" width="9.28515625" style="52" customWidth="1"/>
    <col min="10" max="18" width="14.7109375" style="54" customWidth="1"/>
    <col min="19" max="19" width="24.5703125" style="53" customWidth="1"/>
    <col min="20" max="16384" width="9.140625" style="53"/>
  </cols>
  <sheetData>
    <row r="1" spans="1:24">
      <c r="A1" s="51" t="s">
        <v>0</v>
      </c>
      <c r="K1" s="447" t="s">
        <v>1</v>
      </c>
      <c r="L1" s="55">
        <v>42856</v>
      </c>
      <c r="M1" s="450" t="s">
        <v>2</v>
      </c>
      <c r="N1" s="450" t="s">
        <v>2455</v>
      </c>
      <c r="O1" s="441">
        <v>2016</v>
      </c>
      <c r="P1" s="442"/>
      <c r="Q1" s="441">
        <v>2017</v>
      </c>
      <c r="R1" s="442"/>
    </row>
    <row r="2" spans="1:24">
      <c r="A2" s="51" t="s">
        <v>2430</v>
      </c>
      <c r="K2" s="448"/>
      <c r="L2" s="453" t="s">
        <v>3</v>
      </c>
      <c r="M2" s="451"/>
      <c r="N2" s="451"/>
      <c r="O2" s="443" t="s">
        <v>4</v>
      </c>
      <c r="P2" s="445" t="s">
        <v>5</v>
      </c>
      <c r="Q2" s="443" t="s">
        <v>4</v>
      </c>
      <c r="R2" s="445" t="s">
        <v>5</v>
      </c>
    </row>
    <row r="3" spans="1:24" ht="15.75" thickBot="1">
      <c r="K3" s="449"/>
      <c r="L3" s="454"/>
      <c r="M3" s="452"/>
      <c r="N3" s="452"/>
      <c r="O3" s="444"/>
      <c r="P3" s="446"/>
      <c r="Q3" s="444"/>
      <c r="R3" s="446"/>
    </row>
    <row r="4" spans="1:24" s="63" customFormat="1" ht="35.25" customHeight="1">
      <c r="A4" s="56" t="s">
        <v>6</v>
      </c>
      <c r="B4" s="57" t="s">
        <v>7</v>
      </c>
      <c r="C4" s="57" t="s">
        <v>8</v>
      </c>
      <c r="D4" s="56" t="s">
        <v>9</v>
      </c>
      <c r="E4" s="57" t="s">
        <v>10</v>
      </c>
      <c r="F4" s="56" t="s">
        <v>11</v>
      </c>
      <c r="G4" s="58" t="s">
        <v>12</v>
      </c>
      <c r="H4" s="58"/>
      <c r="I4" s="57" t="s">
        <v>1</v>
      </c>
      <c r="J4" s="59" t="s">
        <v>13</v>
      </c>
      <c r="K4" s="436"/>
      <c r="L4" s="437"/>
      <c r="M4" s="437"/>
      <c r="N4" s="437"/>
      <c r="O4" s="60"/>
      <c r="P4" s="61">
        <v>0</v>
      </c>
      <c r="Q4" s="60"/>
      <c r="R4" s="61">
        <v>6.6769999999999996E-2</v>
      </c>
      <c r="S4" s="62"/>
    </row>
    <row r="5" spans="1:24">
      <c r="A5" s="110" t="s">
        <v>14</v>
      </c>
      <c r="B5" s="111" t="s">
        <v>30</v>
      </c>
      <c r="C5" s="111" t="s">
        <v>31</v>
      </c>
      <c r="D5" s="112" t="s">
        <v>32</v>
      </c>
      <c r="E5" s="111" t="s">
        <v>33</v>
      </c>
      <c r="F5" s="112" t="s">
        <v>34</v>
      </c>
      <c r="G5" s="111" t="s">
        <v>20</v>
      </c>
      <c r="H5" s="111" t="s">
        <v>933</v>
      </c>
      <c r="I5" s="111">
        <v>201509</v>
      </c>
      <c r="J5" s="113">
        <v>86708.75</v>
      </c>
      <c r="K5" s="72">
        <v>42675</v>
      </c>
      <c r="L5" s="67">
        <f t="shared" ref="L5:L68" si="0">((YEAR($L$1)-YEAR(K5))*12+MONTH($L$1)-MONTH(K5))</f>
        <v>6</v>
      </c>
      <c r="M5" s="114">
        <v>2.23333E-3</v>
      </c>
      <c r="N5" s="104">
        <f t="shared" ref="N5:N68" si="1">M5*L5*J5</f>
        <v>1161.8955158249998</v>
      </c>
      <c r="O5" s="66"/>
      <c r="P5" s="66">
        <f>($P$4*0.5*J5*$U$11)</f>
        <v>0</v>
      </c>
      <c r="Q5" s="66"/>
      <c r="R5" s="66">
        <f>($R$4*0.5*J5*$U$11)</f>
        <v>1326.7703252604167</v>
      </c>
      <c r="S5" s="64"/>
    </row>
    <row r="6" spans="1:24">
      <c r="A6" s="110" t="s">
        <v>14</v>
      </c>
      <c r="B6" s="111" t="s">
        <v>37</v>
      </c>
      <c r="C6" s="111" t="s">
        <v>38</v>
      </c>
      <c r="D6" s="112" t="s">
        <v>39</v>
      </c>
      <c r="E6" s="111" t="s">
        <v>40</v>
      </c>
      <c r="F6" s="112" t="s">
        <v>41</v>
      </c>
      <c r="G6" s="111" t="s">
        <v>20</v>
      </c>
      <c r="H6" s="111" t="s">
        <v>933</v>
      </c>
      <c r="I6" s="111">
        <v>201509</v>
      </c>
      <c r="J6" s="113">
        <v>476619.53</v>
      </c>
      <c r="K6" s="72">
        <f>+K5</f>
        <v>42675</v>
      </c>
      <c r="L6" s="67">
        <f t="shared" si="0"/>
        <v>6</v>
      </c>
      <c r="M6" s="114">
        <v>2.23333E-3</v>
      </c>
      <c r="N6" s="104">
        <f t="shared" si="1"/>
        <v>6386.6921696093996</v>
      </c>
      <c r="O6" s="66"/>
      <c r="P6" s="66">
        <f t="shared" ref="P6:P69" si="2">($P$4*0.5*J6*$U$11)</f>
        <v>0</v>
      </c>
      <c r="Q6" s="66"/>
      <c r="R6" s="66">
        <f t="shared" ref="R6:R69" si="3">($R$4*0.5*J6*$U$11)</f>
        <v>7292.9738791479158</v>
      </c>
      <c r="S6" s="64"/>
      <c r="U6" s="73" t="s">
        <v>27</v>
      </c>
      <c r="V6" s="438" t="s">
        <v>28</v>
      </c>
      <c r="W6" s="439"/>
      <c r="X6" s="440"/>
    </row>
    <row r="7" spans="1:24">
      <c r="A7" s="110" t="s">
        <v>14</v>
      </c>
      <c r="B7" s="111" t="s">
        <v>43</v>
      </c>
      <c r="C7" s="111" t="s">
        <v>44</v>
      </c>
      <c r="D7" s="112" t="s">
        <v>45</v>
      </c>
      <c r="E7" s="111" t="s">
        <v>46</v>
      </c>
      <c r="F7" s="112" t="s">
        <v>41</v>
      </c>
      <c r="G7" s="111" t="s">
        <v>20</v>
      </c>
      <c r="H7" s="111" t="s">
        <v>933</v>
      </c>
      <c r="I7" s="111">
        <v>201509</v>
      </c>
      <c r="J7" s="113">
        <v>12844.81</v>
      </c>
      <c r="K7" s="72">
        <f t="shared" ref="K7:K70" si="4">+K6</f>
        <v>42675</v>
      </c>
      <c r="L7" s="67">
        <f t="shared" si="0"/>
        <v>6</v>
      </c>
      <c r="M7" s="114">
        <v>2.23333E-3</v>
      </c>
      <c r="N7" s="104">
        <f t="shared" si="1"/>
        <v>172.12019710379997</v>
      </c>
      <c r="O7" s="66"/>
      <c r="P7" s="66">
        <f t="shared" si="2"/>
        <v>0</v>
      </c>
      <c r="Q7" s="66"/>
      <c r="R7" s="66">
        <f t="shared" si="3"/>
        <v>196.54432501458331</v>
      </c>
      <c r="S7" s="64"/>
      <c r="U7" s="74">
        <f>12/12</f>
        <v>1</v>
      </c>
      <c r="V7" s="75"/>
      <c r="W7" s="76" t="s">
        <v>35</v>
      </c>
      <c r="X7" s="77" t="s">
        <v>36</v>
      </c>
    </row>
    <row r="8" spans="1:24">
      <c r="A8" s="110" t="s">
        <v>14</v>
      </c>
      <c r="B8" s="111" t="s">
        <v>48</v>
      </c>
      <c r="C8" s="111" t="s">
        <v>49</v>
      </c>
      <c r="D8" s="112" t="s">
        <v>50</v>
      </c>
      <c r="E8" s="111" t="s">
        <v>51</v>
      </c>
      <c r="F8" s="112" t="s">
        <v>52</v>
      </c>
      <c r="G8" s="111" t="s">
        <v>20</v>
      </c>
      <c r="H8" s="111" t="s">
        <v>933</v>
      </c>
      <c r="I8" s="111">
        <v>201509</v>
      </c>
      <c r="J8" s="113">
        <v>-267.19</v>
      </c>
      <c r="K8" s="72">
        <f t="shared" si="4"/>
        <v>42675</v>
      </c>
      <c r="L8" s="67">
        <f t="shared" si="0"/>
        <v>6</v>
      </c>
      <c r="M8" s="114">
        <v>2.23333E-3</v>
      </c>
      <c r="N8" s="104">
        <f t="shared" si="1"/>
        <v>-3.5803406561999997</v>
      </c>
      <c r="O8" s="66"/>
      <c r="P8" s="66">
        <f t="shared" si="2"/>
        <v>0</v>
      </c>
      <c r="Q8" s="66"/>
      <c r="R8" s="66">
        <f t="shared" si="3"/>
        <v>-4.0883966520833326</v>
      </c>
      <c r="S8" s="64"/>
      <c r="T8" s="115"/>
      <c r="U8" s="78">
        <f>1.5/12</f>
        <v>0.125</v>
      </c>
      <c r="V8" s="79" t="s">
        <v>42</v>
      </c>
      <c r="W8" s="80">
        <v>0.05</v>
      </c>
      <c r="X8" s="81">
        <v>3.7499999999999999E-2</v>
      </c>
    </row>
    <row r="9" spans="1:24">
      <c r="A9" s="116" t="s">
        <v>990</v>
      </c>
      <c r="B9" s="111" t="s">
        <v>991</v>
      </c>
      <c r="C9" s="111" t="s">
        <v>992</v>
      </c>
      <c r="D9" s="112" t="s">
        <v>993</v>
      </c>
      <c r="E9" s="111" t="s">
        <v>994</v>
      </c>
      <c r="F9" s="112" t="s">
        <v>995</v>
      </c>
      <c r="G9" s="111" t="s">
        <v>20</v>
      </c>
      <c r="H9" s="111" t="s">
        <v>933</v>
      </c>
      <c r="I9" s="111">
        <v>201509</v>
      </c>
      <c r="J9" s="113">
        <v>1663.6</v>
      </c>
      <c r="K9" s="72">
        <f t="shared" si="4"/>
        <v>42675</v>
      </c>
      <c r="L9" s="67">
        <f t="shared" si="0"/>
        <v>6</v>
      </c>
      <c r="M9" s="114">
        <v>2.0333333000000001E-3</v>
      </c>
      <c r="N9" s="104">
        <f t="shared" si="1"/>
        <v>20.29591966728</v>
      </c>
      <c r="O9" s="66"/>
      <c r="P9" s="66">
        <f t="shared" si="2"/>
        <v>0</v>
      </c>
      <c r="Q9" s="66"/>
      <c r="R9" s="66">
        <f t="shared" si="3"/>
        <v>25.455506083333329</v>
      </c>
      <c r="S9" s="64"/>
      <c r="U9" s="78">
        <f>7.5/12</f>
        <v>0.625</v>
      </c>
      <c r="V9" s="79" t="s">
        <v>47</v>
      </c>
      <c r="W9" s="80">
        <v>9.5000000000000001E-2</v>
      </c>
      <c r="X9" s="81">
        <v>7.2190000000000004E-2</v>
      </c>
    </row>
    <row r="10" spans="1:24">
      <c r="A10" s="110" t="s">
        <v>14</v>
      </c>
      <c r="B10" s="111" t="s">
        <v>1024</v>
      </c>
      <c r="C10" s="111" t="s">
        <v>1025</v>
      </c>
      <c r="D10" s="112" t="s">
        <v>1026</v>
      </c>
      <c r="E10" s="111" t="s">
        <v>1027</v>
      </c>
      <c r="F10" s="112" t="s">
        <v>1028</v>
      </c>
      <c r="G10" s="111" t="s">
        <v>20</v>
      </c>
      <c r="H10" s="111" t="s">
        <v>933</v>
      </c>
      <c r="I10" s="111">
        <v>201509</v>
      </c>
      <c r="J10" s="113">
        <v>-0.22</v>
      </c>
      <c r="K10" s="72">
        <f t="shared" si="4"/>
        <v>42675</v>
      </c>
      <c r="L10" s="67">
        <f t="shared" si="0"/>
        <v>6</v>
      </c>
      <c r="M10" s="114">
        <v>2.23333E-3</v>
      </c>
      <c r="N10" s="104">
        <f t="shared" si="1"/>
        <v>-2.9479955999999999E-3</v>
      </c>
      <c r="O10" s="66"/>
      <c r="P10" s="66">
        <f t="shared" si="2"/>
        <v>0</v>
      </c>
      <c r="Q10" s="66"/>
      <c r="R10" s="66">
        <f t="shared" si="3"/>
        <v>-3.3663208333333332E-3</v>
      </c>
      <c r="S10" s="64"/>
      <c r="U10" s="78">
        <f>6.5/12</f>
        <v>0.54166666666666663</v>
      </c>
      <c r="V10" s="79" t="s">
        <v>53</v>
      </c>
      <c r="W10" s="80">
        <v>8.5500000000000007E-2</v>
      </c>
      <c r="X10" s="81">
        <v>6.6769999999999996E-2</v>
      </c>
    </row>
    <row r="11" spans="1:24">
      <c r="A11" s="110" t="s">
        <v>14</v>
      </c>
      <c r="B11" s="111" t="s">
        <v>103</v>
      </c>
      <c r="C11" s="111" t="s">
        <v>104</v>
      </c>
      <c r="D11" s="112" t="s">
        <v>105</v>
      </c>
      <c r="E11" s="111" t="s">
        <v>106</v>
      </c>
      <c r="F11" s="112" t="s">
        <v>34</v>
      </c>
      <c r="G11" s="111" t="s">
        <v>20</v>
      </c>
      <c r="H11" s="111" t="s">
        <v>933</v>
      </c>
      <c r="I11" s="111">
        <v>201509</v>
      </c>
      <c r="J11" s="113">
        <v>-65.959999999999994</v>
      </c>
      <c r="K11" s="72">
        <f t="shared" si="4"/>
        <v>42675</v>
      </c>
      <c r="L11" s="67">
        <f t="shared" si="0"/>
        <v>6</v>
      </c>
      <c r="M11" s="114">
        <v>2.23333E-3</v>
      </c>
      <c r="N11" s="104">
        <f t="shared" si="1"/>
        <v>-0.88386268079999986</v>
      </c>
      <c r="O11" s="66"/>
      <c r="P11" s="66">
        <f t="shared" si="2"/>
        <v>0</v>
      </c>
      <c r="Q11" s="66"/>
      <c r="R11" s="66">
        <f t="shared" si="3"/>
        <v>-1.0092841916666664</v>
      </c>
      <c r="S11" s="64"/>
      <c r="U11" s="78">
        <f>5.5/12</f>
        <v>0.45833333333333331</v>
      </c>
      <c r="V11" s="79" t="s">
        <v>59</v>
      </c>
      <c r="W11" s="80">
        <v>7.6999999999999999E-2</v>
      </c>
      <c r="X11" s="81">
        <v>6.1769999999999999E-2</v>
      </c>
    </row>
    <row r="12" spans="1:24">
      <c r="A12" s="116" t="s">
        <v>990</v>
      </c>
      <c r="B12" s="111" t="s">
        <v>996</v>
      </c>
      <c r="C12" s="111" t="s">
        <v>997</v>
      </c>
      <c r="D12" s="112" t="s">
        <v>998</v>
      </c>
      <c r="E12" s="111" t="s">
        <v>999</v>
      </c>
      <c r="F12" s="112" t="s">
        <v>995</v>
      </c>
      <c r="G12" s="111" t="s">
        <v>20</v>
      </c>
      <c r="H12" s="111" t="s">
        <v>933</v>
      </c>
      <c r="I12" s="111">
        <v>201509</v>
      </c>
      <c r="J12" s="113">
        <v>1485.27</v>
      </c>
      <c r="K12" s="72">
        <f t="shared" si="4"/>
        <v>42675</v>
      </c>
      <c r="L12" s="67">
        <f t="shared" si="0"/>
        <v>6</v>
      </c>
      <c r="M12" s="114">
        <v>2.0333333000000001E-3</v>
      </c>
      <c r="N12" s="104">
        <f t="shared" si="1"/>
        <v>18.120293702946</v>
      </c>
      <c r="O12" s="66"/>
      <c r="P12" s="66">
        <f t="shared" si="2"/>
        <v>0</v>
      </c>
      <c r="Q12" s="66"/>
      <c r="R12" s="66">
        <f t="shared" si="3"/>
        <v>22.726797018749998</v>
      </c>
      <c r="S12" s="64"/>
      <c r="U12" s="78"/>
      <c r="V12" s="82"/>
      <c r="W12" s="83"/>
      <c r="X12" s="84"/>
    </row>
    <row r="13" spans="1:24">
      <c r="A13" s="116" t="s">
        <v>990</v>
      </c>
      <c r="B13" s="111" t="s">
        <v>1000</v>
      </c>
      <c r="C13" s="111" t="s">
        <v>1001</v>
      </c>
      <c r="D13" s="112" t="s">
        <v>1672</v>
      </c>
      <c r="E13" s="111" t="s">
        <v>1002</v>
      </c>
      <c r="F13" s="112" t="s">
        <v>1604</v>
      </c>
      <c r="G13" s="111" t="s">
        <v>20</v>
      </c>
      <c r="H13" s="111" t="s">
        <v>933</v>
      </c>
      <c r="I13" s="111">
        <v>201509</v>
      </c>
      <c r="J13" s="113">
        <v>25739.18</v>
      </c>
      <c r="K13" s="72">
        <f t="shared" si="4"/>
        <v>42675</v>
      </c>
      <c r="L13" s="67">
        <f t="shared" si="0"/>
        <v>6</v>
      </c>
      <c r="M13" s="114">
        <v>2.0333333000000001E-3</v>
      </c>
      <c r="N13" s="104">
        <f t="shared" si="1"/>
        <v>314.01799085216402</v>
      </c>
      <c r="O13" s="66"/>
      <c r="P13" s="66">
        <f t="shared" si="2"/>
        <v>0</v>
      </c>
      <c r="Q13" s="66"/>
      <c r="R13" s="66">
        <f t="shared" si="3"/>
        <v>393.84699030416664</v>
      </c>
      <c r="S13" s="64"/>
    </row>
    <row r="14" spans="1:24">
      <c r="A14" s="110" t="s">
        <v>14</v>
      </c>
      <c r="B14" s="111" t="s">
        <v>107</v>
      </c>
      <c r="C14" s="111" t="s">
        <v>108</v>
      </c>
      <c r="D14" s="112" t="s">
        <v>109</v>
      </c>
      <c r="E14" s="111" t="s">
        <v>110</v>
      </c>
      <c r="F14" s="112" t="s">
        <v>52</v>
      </c>
      <c r="G14" s="111" t="s">
        <v>20</v>
      </c>
      <c r="H14" s="111" t="s">
        <v>933</v>
      </c>
      <c r="I14" s="111">
        <v>201509</v>
      </c>
      <c r="J14" s="113">
        <v>18371.14</v>
      </c>
      <c r="K14" s="72">
        <f t="shared" si="4"/>
        <v>42675</v>
      </c>
      <c r="L14" s="67">
        <f t="shared" si="0"/>
        <v>6</v>
      </c>
      <c r="M14" s="114">
        <v>2.23333E-3</v>
      </c>
      <c r="N14" s="104">
        <f t="shared" si="1"/>
        <v>246.17290857719996</v>
      </c>
      <c r="O14" s="66"/>
      <c r="P14" s="66">
        <f t="shared" si="2"/>
        <v>0</v>
      </c>
      <c r="Q14" s="66"/>
      <c r="R14" s="66">
        <f t="shared" si="3"/>
        <v>281.10523324583329</v>
      </c>
      <c r="S14" s="64"/>
    </row>
    <row r="15" spans="1:24">
      <c r="A15" s="110" t="s">
        <v>14</v>
      </c>
      <c r="B15" s="111" t="s">
        <v>548</v>
      </c>
      <c r="C15" s="111" t="s">
        <v>549</v>
      </c>
      <c r="D15" s="112" t="s">
        <v>327</v>
      </c>
      <c r="E15" s="111" t="s">
        <v>550</v>
      </c>
      <c r="F15" s="112" t="s">
        <v>58</v>
      </c>
      <c r="G15" s="111" t="s">
        <v>20</v>
      </c>
      <c r="H15" s="111" t="s">
        <v>933</v>
      </c>
      <c r="I15" s="111">
        <v>201509</v>
      </c>
      <c r="J15" s="113">
        <v>5691.02</v>
      </c>
      <c r="K15" s="72">
        <f t="shared" si="4"/>
        <v>42675</v>
      </c>
      <c r="L15" s="67">
        <f t="shared" si="0"/>
        <v>6</v>
      </c>
      <c r="M15" s="114">
        <v>2.23333E-3</v>
      </c>
      <c r="N15" s="104">
        <f t="shared" si="1"/>
        <v>76.259554179600002</v>
      </c>
      <c r="O15" s="66"/>
      <c r="P15" s="66">
        <f t="shared" si="2"/>
        <v>0</v>
      </c>
      <c r="Q15" s="66"/>
      <c r="R15" s="66">
        <f t="shared" si="3"/>
        <v>87.080905404166671</v>
      </c>
      <c r="S15" s="64"/>
    </row>
    <row r="16" spans="1:24">
      <c r="A16" s="110" t="s">
        <v>14</v>
      </c>
      <c r="B16" s="111" t="s">
        <v>111</v>
      </c>
      <c r="C16" s="111" t="s">
        <v>112</v>
      </c>
      <c r="D16" s="112" t="s">
        <v>113</v>
      </c>
      <c r="E16" s="111" t="s">
        <v>114</v>
      </c>
      <c r="F16" s="112" t="s">
        <v>115</v>
      </c>
      <c r="G16" s="111" t="s">
        <v>20</v>
      </c>
      <c r="H16" s="111" t="s">
        <v>933</v>
      </c>
      <c r="I16" s="111">
        <v>201509</v>
      </c>
      <c r="J16" s="113">
        <v>-3.64</v>
      </c>
      <c r="K16" s="72">
        <f t="shared" si="4"/>
        <v>42675</v>
      </c>
      <c r="L16" s="67">
        <f t="shared" si="0"/>
        <v>6</v>
      </c>
      <c r="M16" s="114">
        <v>2.23333E-3</v>
      </c>
      <c r="N16" s="104">
        <f t="shared" si="1"/>
        <v>-4.8775927199999999E-2</v>
      </c>
      <c r="O16" s="66"/>
      <c r="P16" s="66">
        <f t="shared" si="2"/>
        <v>0</v>
      </c>
      <c r="Q16" s="66"/>
      <c r="R16" s="66">
        <f t="shared" si="3"/>
        <v>-5.5697308333333334E-2</v>
      </c>
      <c r="S16" s="64"/>
    </row>
    <row r="17" spans="1:19">
      <c r="A17" s="110" t="s">
        <v>14</v>
      </c>
      <c r="B17" s="111" t="s">
        <v>555</v>
      </c>
      <c r="C17" s="111" t="s">
        <v>556</v>
      </c>
      <c r="D17" s="112" t="s">
        <v>45</v>
      </c>
      <c r="E17" s="111" t="s">
        <v>557</v>
      </c>
      <c r="F17" s="112" t="s">
        <v>41</v>
      </c>
      <c r="G17" s="111" t="s">
        <v>20</v>
      </c>
      <c r="H17" s="111" t="s">
        <v>933</v>
      </c>
      <c r="I17" s="111">
        <v>201509</v>
      </c>
      <c r="J17" s="113">
        <v>3671.65</v>
      </c>
      <c r="K17" s="72">
        <f t="shared" si="4"/>
        <v>42675</v>
      </c>
      <c r="L17" s="67">
        <f t="shared" si="0"/>
        <v>6</v>
      </c>
      <c r="M17" s="114">
        <v>2.23333E-3</v>
      </c>
      <c r="N17" s="104">
        <f t="shared" si="1"/>
        <v>49.200036566999998</v>
      </c>
      <c r="O17" s="66"/>
      <c r="P17" s="66">
        <f t="shared" si="2"/>
        <v>0</v>
      </c>
      <c r="Q17" s="66"/>
      <c r="R17" s="66">
        <f t="shared" si="3"/>
        <v>56.181599489583334</v>
      </c>
      <c r="S17" s="64"/>
    </row>
    <row r="18" spans="1:19">
      <c r="A18" s="116" t="s">
        <v>990</v>
      </c>
      <c r="B18" s="111" t="s">
        <v>1003</v>
      </c>
      <c r="C18" s="111" t="s">
        <v>1004</v>
      </c>
      <c r="D18" s="112" t="s">
        <v>1673</v>
      </c>
      <c r="E18" s="111" t="s">
        <v>1006</v>
      </c>
      <c r="F18" s="112" t="s">
        <v>1606</v>
      </c>
      <c r="G18" s="111" t="s">
        <v>20</v>
      </c>
      <c r="H18" s="111" t="s">
        <v>933</v>
      </c>
      <c r="I18" s="111">
        <v>201509</v>
      </c>
      <c r="J18" s="113">
        <v>95286.61</v>
      </c>
      <c r="K18" s="72">
        <f t="shared" si="4"/>
        <v>42675</v>
      </c>
      <c r="L18" s="67">
        <f t="shared" si="0"/>
        <v>6</v>
      </c>
      <c r="M18" s="114">
        <v>2.0333333000000001E-3</v>
      </c>
      <c r="N18" s="104">
        <f t="shared" si="1"/>
        <v>1162.496622942678</v>
      </c>
      <c r="O18" s="66"/>
      <c r="P18" s="66">
        <f t="shared" si="2"/>
        <v>0</v>
      </c>
      <c r="Q18" s="66"/>
      <c r="R18" s="66">
        <f t="shared" si="3"/>
        <v>1458.0240926395832</v>
      </c>
      <c r="S18" s="64"/>
    </row>
    <row r="19" spans="1:19">
      <c r="A19" s="110" t="s">
        <v>14</v>
      </c>
      <c r="B19" s="111" t="s">
        <v>121</v>
      </c>
      <c r="C19" s="111" t="s">
        <v>122</v>
      </c>
      <c r="D19" s="112" t="s">
        <v>50</v>
      </c>
      <c r="E19" s="111" t="s">
        <v>123</v>
      </c>
      <c r="F19" s="112" t="s">
        <v>52</v>
      </c>
      <c r="G19" s="111" t="s">
        <v>20</v>
      </c>
      <c r="H19" s="111" t="s">
        <v>933</v>
      </c>
      <c r="I19" s="111">
        <v>201509</v>
      </c>
      <c r="J19" s="113">
        <v>1.17</v>
      </c>
      <c r="K19" s="72">
        <f t="shared" si="4"/>
        <v>42675</v>
      </c>
      <c r="L19" s="67">
        <f t="shared" si="0"/>
        <v>6</v>
      </c>
      <c r="M19" s="114">
        <v>2.23333E-3</v>
      </c>
      <c r="N19" s="104">
        <f t="shared" si="1"/>
        <v>1.5677976599999997E-2</v>
      </c>
      <c r="O19" s="66"/>
      <c r="P19" s="66">
        <f t="shared" si="2"/>
        <v>0</v>
      </c>
      <c r="Q19" s="66"/>
      <c r="R19" s="66">
        <f t="shared" si="3"/>
        <v>1.7902706249999997E-2</v>
      </c>
      <c r="S19" s="64"/>
    </row>
    <row r="20" spans="1:19">
      <c r="A20" s="110" t="s">
        <v>14</v>
      </c>
      <c r="B20" s="111" t="s">
        <v>124</v>
      </c>
      <c r="C20" s="111" t="s">
        <v>125</v>
      </c>
      <c r="D20" s="112" t="s">
        <v>50</v>
      </c>
      <c r="E20" s="111" t="s">
        <v>126</v>
      </c>
      <c r="F20" s="112" t="s">
        <v>52</v>
      </c>
      <c r="G20" s="111" t="s">
        <v>20</v>
      </c>
      <c r="H20" s="111" t="s">
        <v>933</v>
      </c>
      <c r="I20" s="111">
        <v>201509</v>
      </c>
      <c r="J20" s="113">
        <v>-30.66</v>
      </c>
      <c r="K20" s="72">
        <f t="shared" si="4"/>
        <v>42675</v>
      </c>
      <c r="L20" s="67">
        <f t="shared" si="0"/>
        <v>6</v>
      </c>
      <c r="M20" s="114">
        <v>2.23333E-3</v>
      </c>
      <c r="N20" s="104">
        <f t="shared" si="1"/>
        <v>-0.41084338679999999</v>
      </c>
      <c r="O20" s="66"/>
      <c r="P20" s="66">
        <f t="shared" si="2"/>
        <v>0</v>
      </c>
      <c r="Q20" s="66"/>
      <c r="R20" s="66">
        <f t="shared" si="3"/>
        <v>-0.46914271249999995</v>
      </c>
      <c r="S20" s="64"/>
    </row>
    <row r="21" spans="1:19">
      <c r="A21" s="110" t="s">
        <v>14</v>
      </c>
      <c r="B21" s="111" t="s">
        <v>1247</v>
      </c>
      <c r="C21" s="111" t="s">
        <v>1248</v>
      </c>
      <c r="D21" s="112" t="s">
        <v>708</v>
      </c>
      <c r="E21" s="111" t="s">
        <v>1249</v>
      </c>
      <c r="F21" s="112" t="s">
        <v>710</v>
      </c>
      <c r="G21" s="111" t="s">
        <v>20</v>
      </c>
      <c r="H21" s="111" t="s">
        <v>933</v>
      </c>
      <c r="I21" s="111">
        <v>201509</v>
      </c>
      <c r="J21" s="113">
        <v>14.49</v>
      </c>
      <c r="K21" s="72">
        <f t="shared" si="4"/>
        <v>42675</v>
      </c>
      <c r="L21" s="67">
        <f t="shared" si="0"/>
        <v>6</v>
      </c>
      <c r="M21" s="114">
        <v>2.23333E-3</v>
      </c>
      <c r="N21" s="104">
        <f t="shared" si="1"/>
        <v>0.19416571019999998</v>
      </c>
      <c r="O21" s="66"/>
      <c r="P21" s="66">
        <f t="shared" si="2"/>
        <v>0</v>
      </c>
      <c r="Q21" s="66"/>
      <c r="R21" s="66">
        <f t="shared" si="3"/>
        <v>0.22171813125000001</v>
      </c>
      <c r="S21" s="64"/>
    </row>
    <row r="22" spans="1:19">
      <c r="A22" s="110" t="s">
        <v>14</v>
      </c>
      <c r="B22" s="111" t="s">
        <v>183</v>
      </c>
      <c r="C22" s="111" t="s">
        <v>184</v>
      </c>
      <c r="D22" s="112" t="s">
        <v>45</v>
      </c>
      <c r="E22" s="111" t="s">
        <v>185</v>
      </c>
      <c r="F22" s="112" t="s">
        <v>41</v>
      </c>
      <c r="G22" s="111" t="s">
        <v>20</v>
      </c>
      <c r="H22" s="111" t="s">
        <v>933</v>
      </c>
      <c r="I22" s="111">
        <v>201509</v>
      </c>
      <c r="J22" s="113">
        <v>6963.76</v>
      </c>
      <c r="K22" s="72">
        <f t="shared" si="4"/>
        <v>42675</v>
      </c>
      <c r="L22" s="67">
        <f t="shared" si="0"/>
        <v>6</v>
      </c>
      <c r="M22" s="114">
        <v>2.23333E-3</v>
      </c>
      <c r="N22" s="104">
        <f t="shared" si="1"/>
        <v>93.314244724799991</v>
      </c>
      <c r="O22" s="66"/>
      <c r="P22" s="66">
        <f t="shared" si="2"/>
        <v>0</v>
      </c>
      <c r="Q22" s="66"/>
      <c r="R22" s="66">
        <f t="shared" si="3"/>
        <v>106.55568348333333</v>
      </c>
      <c r="S22" s="64"/>
    </row>
    <row r="23" spans="1:19">
      <c r="A23" s="110" t="s">
        <v>14</v>
      </c>
      <c r="B23" s="111" t="s">
        <v>186</v>
      </c>
      <c r="C23" s="111" t="s">
        <v>187</v>
      </c>
      <c r="D23" s="112" t="s">
        <v>188</v>
      </c>
      <c r="E23" s="111" t="s">
        <v>189</v>
      </c>
      <c r="F23" s="112" t="s">
        <v>190</v>
      </c>
      <c r="G23" s="111" t="s">
        <v>20</v>
      </c>
      <c r="H23" s="111" t="s">
        <v>933</v>
      </c>
      <c r="I23" s="111">
        <v>201509</v>
      </c>
      <c r="J23" s="113">
        <v>693.68</v>
      </c>
      <c r="K23" s="72">
        <f t="shared" si="4"/>
        <v>42675</v>
      </c>
      <c r="L23" s="67">
        <f t="shared" si="0"/>
        <v>6</v>
      </c>
      <c r="M23" s="114">
        <v>2.23333E-3</v>
      </c>
      <c r="N23" s="104">
        <f t="shared" si="1"/>
        <v>9.2952981263999988</v>
      </c>
      <c r="O23" s="66"/>
      <c r="P23" s="66">
        <f t="shared" si="2"/>
        <v>0</v>
      </c>
      <c r="Q23" s="66"/>
      <c r="R23" s="66">
        <f t="shared" si="3"/>
        <v>10.614315616666666</v>
      </c>
      <c r="S23" s="64"/>
    </row>
    <row r="24" spans="1:19">
      <c r="A24" s="110" t="s">
        <v>14</v>
      </c>
      <c r="B24" s="111" t="s">
        <v>191</v>
      </c>
      <c r="C24" s="111" t="s">
        <v>192</v>
      </c>
      <c r="D24" s="112" t="s">
        <v>193</v>
      </c>
      <c r="E24" s="111" t="s">
        <v>194</v>
      </c>
      <c r="F24" s="112" t="s">
        <v>115</v>
      </c>
      <c r="G24" s="111" t="s">
        <v>20</v>
      </c>
      <c r="H24" s="111" t="s">
        <v>933</v>
      </c>
      <c r="I24" s="111">
        <v>201509</v>
      </c>
      <c r="J24" s="113">
        <v>8988.74</v>
      </c>
      <c r="K24" s="72">
        <f t="shared" si="4"/>
        <v>42675</v>
      </c>
      <c r="L24" s="67">
        <f t="shared" si="0"/>
        <v>6</v>
      </c>
      <c r="M24" s="114">
        <v>2.23333E-3</v>
      </c>
      <c r="N24" s="104">
        <f t="shared" si="1"/>
        <v>120.44893622519999</v>
      </c>
      <c r="O24" s="66"/>
      <c r="P24" s="66">
        <f t="shared" si="2"/>
        <v>0</v>
      </c>
      <c r="Q24" s="66"/>
      <c r="R24" s="66">
        <f t="shared" si="3"/>
        <v>137.54083057916665</v>
      </c>
      <c r="S24" s="64"/>
    </row>
    <row r="25" spans="1:19">
      <c r="A25" s="110" t="s">
        <v>14</v>
      </c>
      <c r="B25" s="111" t="s">
        <v>195</v>
      </c>
      <c r="C25" s="111" t="s">
        <v>196</v>
      </c>
      <c r="D25" s="112" t="s">
        <v>1674</v>
      </c>
      <c r="E25" s="111" t="s">
        <v>198</v>
      </c>
      <c r="F25" s="112" t="s">
        <v>1610</v>
      </c>
      <c r="G25" s="111" t="s">
        <v>20</v>
      </c>
      <c r="H25" s="111" t="s">
        <v>933</v>
      </c>
      <c r="I25" s="111">
        <v>201509</v>
      </c>
      <c r="J25" s="113">
        <v>219111.83</v>
      </c>
      <c r="K25" s="72">
        <f t="shared" si="4"/>
        <v>42675</v>
      </c>
      <c r="L25" s="67">
        <f t="shared" si="0"/>
        <v>6</v>
      </c>
      <c r="M25" s="114">
        <v>2.23333E-3</v>
      </c>
      <c r="N25" s="104">
        <f t="shared" si="1"/>
        <v>2936.0941397633997</v>
      </c>
      <c r="O25" s="66"/>
      <c r="P25" s="66">
        <f t="shared" si="2"/>
        <v>0</v>
      </c>
      <c r="Q25" s="66"/>
      <c r="R25" s="66">
        <f t="shared" si="3"/>
        <v>3352.730537085416</v>
      </c>
      <c r="S25" s="64"/>
    </row>
    <row r="26" spans="1:19">
      <c r="A26" s="110" t="s">
        <v>14</v>
      </c>
      <c r="B26" s="111" t="s">
        <v>200</v>
      </c>
      <c r="C26" s="111" t="s">
        <v>201</v>
      </c>
      <c r="D26" s="112" t="s">
        <v>1675</v>
      </c>
      <c r="E26" s="111" t="s">
        <v>202</v>
      </c>
      <c r="F26" s="112" t="s">
        <v>1611</v>
      </c>
      <c r="G26" s="111" t="s">
        <v>20</v>
      </c>
      <c r="H26" s="111" t="s">
        <v>933</v>
      </c>
      <c r="I26" s="111">
        <v>201509</v>
      </c>
      <c r="J26" s="113">
        <v>39673.339999999997</v>
      </c>
      <c r="K26" s="72">
        <f t="shared" si="4"/>
        <v>42675</v>
      </c>
      <c r="L26" s="67">
        <f t="shared" si="0"/>
        <v>6</v>
      </c>
      <c r="M26" s="114">
        <v>2.23333E-3</v>
      </c>
      <c r="N26" s="104">
        <f t="shared" si="1"/>
        <v>531.62196253319996</v>
      </c>
      <c r="O26" s="66"/>
      <c r="P26" s="66">
        <f t="shared" si="2"/>
        <v>0</v>
      </c>
      <c r="Q26" s="66"/>
      <c r="R26" s="66">
        <f t="shared" si="3"/>
        <v>607.05995895416652</v>
      </c>
      <c r="S26" s="117"/>
    </row>
    <row r="27" spans="1:19">
      <c r="A27" s="110" t="s">
        <v>14</v>
      </c>
      <c r="B27" s="111" t="s">
        <v>481</v>
      </c>
      <c r="C27" s="111" t="s">
        <v>482</v>
      </c>
      <c r="D27" s="112" t="s">
        <v>483</v>
      </c>
      <c r="E27" s="111" t="s">
        <v>484</v>
      </c>
      <c r="F27" s="112" t="s">
        <v>190</v>
      </c>
      <c r="G27" s="111" t="s">
        <v>20</v>
      </c>
      <c r="H27" s="111" t="s">
        <v>933</v>
      </c>
      <c r="I27" s="111">
        <v>201509</v>
      </c>
      <c r="J27" s="113">
        <v>-8</v>
      </c>
      <c r="K27" s="72">
        <f t="shared" si="4"/>
        <v>42675</v>
      </c>
      <c r="L27" s="67">
        <f t="shared" si="0"/>
        <v>6</v>
      </c>
      <c r="M27" s="114">
        <v>2.23333E-3</v>
      </c>
      <c r="N27" s="104">
        <f t="shared" si="1"/>
        <v>-0.10719983999999999</v>
      </c>
      <c r="O27" s="66"/>
      <c r="P27" s="66">
        <f t="shared" si="2"/>
        <v>0</v>
      </c>
      <c r="Q27" s="66"/>
      <c r="R27" s="66">
        <f t="shared" si="3"/>
        <v>-0.12241166666666665</v>
      </c>
      <c r="S27" s="117"/>
    </row>
    <row r="28" spans="1:19">
      <c r="A28" s="116" t="s">
        <v>990</v>
      </c>
      <c r="B28" s="111" t="s">
        <v>1010</v>
      </c>
      <c r="C28" s="111" t="s">
        <v>1011</v>
      </c>
      <c r="D28" s="112" t="s">
        <v>1012</v>
      </c>
      <c r="E28" s="111" t="s">
        <v>1013</v>
      </c>
      <c r="F28" s="112" t="s">
        <v>995</v>
      </c>
      <c r="G28" s="111" t="s">
        <v>20</v>
      </c>
      <c r="H28" s="111" t="s">
        <v>933</v>
      </c>
      <c r="I28" s="111">
        <v>201509</v>
      </c>
      <c r="J28" s="113">
        <v>1732.15</v>
      </c>
      <c r="K28" s="72">
        <f t="shared" si="4"/>
        <v>42675</v>
      </c>
      <c r="L28" s="67">
        <f t="shared" si="0"/>
        <v>6</v>
      </c>
      <c r="M28" s="114">
        <v>2.0333333000000001E-3</v>
      </c>
      <c r="N28" s="104">
        <f t="shared" si="1"/>
        <v>21.13222965357</v>
      </c>
      <c r="O28" s="66"/>
      <c r="P28" s="66">
        <f t="shared" si="2"/>
        <v>0</v>
      </c>
      <c r="Q28" s="66"/>
      <c r="R28" s="66">
        <f t="shared" si="3"/>
        <v>26.50442105208333</v>
      </c>
      <c r="S28" s="117"/>
    </row>
    <row r="29" spans="1:19">
      <c r="A29" s="110" t="s">
        <v>14</v>
      </c>
      <c r="B29" s="111" t="s">
        <v>236</v>
      </c>
      <c r="C29" s="111" t="s">
        <v>237</v>
      </c>
      <c r="D29" s="112" t="s">
        <v>188</v>
      </c>
      <c r="E29" s="111" t="s">
        <v>238</v>
      </c>
      <c r="F29" s="112" t="s">
        <v>190</v>
      </c>
      <c r="G29" s="111" t="s">
        <v>20</v>
      </c>
      <c r="H29" s="111" t="s">
        <v>933</v>
      </c>
      <c r="I29" s="111">
        <v>201509</v>
      </c>
      <c r="J29" s="113">
        <v>52023.1</v>
      </c>
      <c r="K29" s="72">
        <f t="shared" si="4"/>
        <v>42675</v>
      </c>
      <c r="L29" s="67">
        <f t="shared" si="0"/>
        <v>6</v>
      </c>
      <c r="M29" s="114">
        <v>2.23333E-3</v>
      </c>
      <c r="N29" s="104">
        <f t="shared" si="1"/>
        <v>697.10849953799993</v>
      </c>
      <c r="O29" s="66"/>
      <c r="P29" s="66">
        <f t="shared" si="2"/>
        <v>0</v>
      </c>
      <c r="Q29" s="66"/>
      <c r="R29" s="66">
        <f t="shared" si="3"/>
        <v>796.02929702083316</v>
      </c>
      <c r="S29" s="117"/>
    </row>
    <row r="30" spans="1:19">
      <c r="A30" s="110" t="s">
        <v>14</v>
      </c>
      <c r="B30" s="111" t="s">
        <v>239</v>
      </c>
      <c r="C30" s="111" t="s">
        <v>240</v>
      </c>
      <c r="D30" s="112" t="s">
        <v>197</v>
      </c>
      <c r="E30" s="111" t="s">
        <v>241</v>
      </c>
      <c r="F30" s="112" t="s">
        <v>199</v>
      </c>
      <c r="G30" s="111" t="s">
        <v>20</v>
      </c>
      <c r="H30" s="111" t="s">
        <v>933</v>
      </c>
      <c r="I30" s="111">
        <v>201509</v>
      </c>
      <c r="J30" s="113">
        <v>6028.23</v>
      </c>
      <c r="K30" s="72">
        <f t="shared" si="4"/>
        <v>42675</v>
      </c>
      <c r="L30" s="67">
        <f t="shared" si="0"/>
        <v>6</v>
      </c>
      <c r="M30" s="114">
        <v>2.23333E-3</v>
      </c>
      <c r="N30" s="104">
        <f t="shared" si="1"/>
        <v>80.778161435399994</v>
      </c>
      <c r="O30" s="66"/>
      <c r="P30" s="66">
        <f t="shared" si="2"/>
        <v>0</v>
      </c>
      <c r="Q30" s="66"/>
      <c r="R30" s="66">
        <f t="shared" si="3"/>
        <v>92.240710168749985</v>
      </c>
      <c r="S30" s="117"/>
    </row>
    <row r="31" spans="1:19">
      <c r="A31" s="110" t="s">
        <v>14</v>
      </c>
      <c r="B31" s="111" t="s">
        <v>706</v>
      </c>
      <c r="C31" s="111" t="s">
        <v>707</v>
      </c>
      <c r="D31" s="112" t="s">
        <v>708</v>
      </c>
      <c r="E31" s="111" t="s">
        <v>709</v>
      </c>
      <c r="F31" s="112" t="s">
        <v>710</v>
      </c>
      <c r="G31" s="111" t="s">
        <v>20</v>
      </c>
      <c r="H31" s="111" t="s">
        <v>933</v>
      </c>
      <c r="I31" s="111">
        <v>201509</v>
      </c>
      <c r="J31" s="113">
        <v>8665.57</v>
      </c>
      <c r="K31" s="72">
        <f t="shared" si="4"/>
        <v>42675</v>
      </c>
      <c r="L31" s="67">
        <f t="shared" si="0"/>
        <v>6</v>
      </c>
      <c r="M31" s="114">
        <v>2.23333E-3</v>
      </c>
      <c r="N31" s="104">
        <f t="shared" si="1"/>
        <v>116.11846468859999</v>
      </c>
      <c r="O31" s="66"/>
      <c r="P31" s="66">
        <f t="shared" si="2"/>
        <v>0</v>
      </c>
      <c r="Q31" s="66"/>
      <c r="R31" s="66">
        <f t="shared" si="3"/>
        <v>132.5958582895833</v>
      </c>
      <c r="S31" s="117"/>
    </row>
    <row r="32" spans="1:19">
      <c r="A32" s="110" t="s">
        <v>14</v>
      </c>
      <c r="B32" s="111" t="s">
        <v>633</v>
      </c>
      <c r="C32" s="111" t="s">
        <v>634</v>
      </c>
      <c r="D32" s="112" t="s">
        <v>193</v>
      </c>
      <c r="E32" s="111" t="s">
        <v>635</v>
      </c>
      <c r="F32" s="112" t="s">
        <v>115</v>
      </c>
      <c r="G32" s="111" t="s">
        <v>20</v>
      </c>
      <c r="H32" s="111" t="s">
        <v>933</v>
      </c>
      <c r="I32" s="111">
        <v>201509</v>
      </c>
      <c r="J32" s="113">
        <v>-4.12</v>
      </c>
      <c r="K32" s="72">
        <f t="shared" si="4"/>
        <v>42675</v>
      </c>
      <c r="L32" s="67">
        <f t="shared" si="0"/>
        <v>6</v>
      </c>
      <c r="M32" s="114">
        <v>2.23333E-3</v>
      </c>
      <c r="N32" s="104">
        <f t="shared" si="1"/>
        <v>-5.5207917599999996E-2</v>
      </c>
      <c r="O32" s="66"/>
      <c r="P32" s="66">
        <f t="shared" si="2"/>
        <v>0</v>
      </c>
      <c r="Q32" s="66"/>
      <c r="R32" s="66">
        <f t="shared" si="3"/>
        <v>-6.304200833333333E-2</v>
      </c>
      <c r="S32" s="117"/>
    </row>
    <row r="33" spans="1:19">
      <c r="A33" s="110" t="s">
        <v>14</v>
      </c>
      <c r="B33" s="111" t="s">
        <v>267</v>
      </c>
      <c r="C33" s="111" t="s">
        <v>268</v>
      </c>
      <c r="D33" s="112" t="s">
        <v>269</v>
      </c>
      <c r="E33" s="111" t="s">
        <v>270</v>
      </c>
      <c r="F33" s="112" t="s">
        <v>115</v>
      </c>
      <c r="G33" s="111" t="s">
        <v>20</v>
      </c>
      <c r="H33" s="111" t="s">
        <v>933</v>
      </c>
      <c r="I33" s="111">
        <v>201509</v>
      </c>
      <c r="J33" s="113">
        <v>5750.43</v>
      </c>
      <c r="K33" s="72">
        <f t="shared" si="4"/>
        <v>42675</v>
      </c>
      <c r="L33" s="67">
        <f t="shared" si="0"/>
        <v>6</v>
      </c>
      <c r="M33" s="114">
        <v>2.23333E-3</v>
      </c>
      <c r="N33" s="104">
        <f t="shared" si="1"/>
        <v>77.055646991399996</v>
      </c>
      <c r="O33" s="66"/>
      <c r="P33" s="66">
        <f t="shared" si="2"/>
        <v>0</v>
      </c>
      <c r="Q33" s="66"/>
      <c r="R33" s="66">
        <f t="shared" si="3"/>
        <v>87.989965043750004</v>
      </c>
      <c r="S33" s="117"/>
    </row>
    <row r="34" spans="1:19">
      <c r="A34" s="110" t="s">
        <v>14</v>
      </c>
      <c r="B34" s="111" t="s">
        <v>271</v>
      </c>
      <c r="C34" s="111" t="s">
        <v>272</v>
      </c>
      <c r="D34" s="112" t="s">
        <v>197</v>
      </c>
      <c r="E34" s="111" t="s">
        <v>273</v>
      </c>
      <c r="F34" s="112" t="s">
        <v>199</v>
      </c>
      <c r="G34" s="111" t="s">
        <v>20</v>
      </c>
      <c r="H34" s="111" t="s">
        <v>933</v>
      </c>
      <c r="I34" s="111">
        <v>201509</v>
      </c>
      <c r="J34" s="113">
        <v>-863.66</v>
      </c>
      <c r="K34" s="72">
        <f t="shared" si="4"/>
        <v>42675</v>
      </c>
      <c r="L34" s="67">
        <f t="shared" si="0"/>
        <v>6</v>
      </c>
      <c r="M34" s="114">
        <v>2.23333E-3</v>
      </c>
      <c r="N34" s="104">
        <f t="shared" si="1"/>
        <v>-11.573026726799998</v>
      </c>
      <c r="O34" s="66"/>
      <c r="P34" s="66">
        <f t="shared" si="2"/>
        <v>0</v>
      </c>
      <c r="Q34" s="66"/>
      <c r="R34" s="66">
        <f t="shared" si="3"/>
        <v>-13.215257504166665</v>
      </c>
      <c r="S34" s="117"/>
    </row>
    <row r="35" spans="1:19">
      <c r="A35" s="110" t="s">
        <v>14</v>
      </c>
      <c r="B35" s="111" t="s">
        <v>1676</v>
      </c>
      <c r="C35" s="111" t="s">
        <v>1677</v>
      </c>
      <c r="D35" s="112" t="s">
        <v>50</v>
      </c>
      <c r="E35" s="111" t="s">
        <v>1678</v>
      </c>
      <c r="F35" s="112" t="s">
        <v>52</v>
      </c>
      <c r="G35" s="111" t="s">
        <v>20</v>
      </c>
      <c r="H35" s="111" t="s">
        <v>933</v>
      </c>
      <c r="I35" s="111">
        <v>201509</v>
      </c>
      <c r="J35" s="113">
        <v>287.68</v>
      </c>
      <c r="K35" s="72">
        <f t="shared" si="4"/>
        <v>42675</v>
      </c>
      <c r="L35" s="67">
        <f t="shared" si="0"/>
        <v>6</v>
      </c>
      <c r="M35" s="114">
        <v>2.23333E-3</v>
      </c>
      <c r="N35" s="104">
        <f t="shared" si="1"/>
        <v>3.8549062463999997</v>
      </c>
      <c r="O35" s="66"/>
      <c r="P35" s="66">
        <f t="shared" si="2"/>
        <v>0</v>
      </c>
      <c r="Q35" s="66"/>
      <c r="R35" s="66">
        <f t="shared" si="3"/>
        <v>4.4019235333333331</v>
      </c>
      <c r="S35" s="117"/>
    </row>
    <row r="36" spans="1:19">
      <c r="A36" s="116" t="s">
        <v>990</v>
      </c>
      <c r="B36" s="111" t="s">
        <v>1017</v>
      </c>
      <c r="C36" s="111" t="s">
        <v>1018</v>
      </c>
      <c r="D36" s="112" t="s">
        <v>993</v>
      </c>
      <c r="E36" s="111" t="s">
        <v>1019</v>
      </c>
      <c r="F36" s="112" t="s">
        <v>995</v>
      </c>
      <c r="G36" s="111" t="s">
        <v>20</v>
      </c>
      <c r="H36" s="111" t="s">
        <v>933</v>
      </c>
      <c r="I36" s="111">
        <v>201509</v>
      </c>
      <c r="J36" s="113">
        <v>76.040000000000006</v>
      </c>
      <c r="K36" s="72">
        <f t="shared" si="4"/>
        <v>42675</v>
      </c>
      <c r="L36" s="67">
        <f t="shared" si="0"/>
        <v>6</v>
      </c>
      <c r="M36" s="114">
        <v>2.0333333000000001E-3</v>
      </c>
      <c r="N36" s="104">
        <f t="shared" si="1"/>
        <v>0.9276879847920001</v>
      </c>
      <c r="O36" s="66"/>
      <c r="P36" s="66">
        <f t="shared" si="2"/>
        <v>0</v>
      </c>
      <c r="Q36" s="66"/>
      <c r="R36" s="66">
        <f t="shared" si="3"/>
        <v>1.1635228916666667</v>
      </c>
      <c r="S36" s="117"/>
    </row>
    <row r="37" spans="1:19">
      <c r="A37" s="110" t="s">
        <v>14</v>
      </c>
      <c r="B37" s="111" t="s">
        <v>836</v>
      </c>
      <c r="C37" s="111" t="s">
        <v>837</v>
      </c>
      <c r="D37" s="112" t="s">
        <v>327</v>
      </c>
      <c r="E37" s="111" t="s">
        <v>838</v>
      </c>
      <c r="F37" s="112" t="s">
        <v>58</v>
      </c>
      <c r="G37" s="111" t="s">
        <v>20</v>
      </c>
      <c r="H37" s="111" t="s">
        <v>933</v>
      </c>
      <c r="I37" s="111">
        <v>201509</v>
      </c>
      <c r="J37" s="113">
        <v>-0.44</v>
      </c>
      <c r="K37" s="72">
        <f t="shared" si="4"/>
        <v>42675</v>
      </c>
      <c r="L37" s="67">
        <f t="shared" si="0"/>
        <v>6</v>
      </c>
      <c r="M37" s="114">
        <v>2.23333E-3</v>
      </c>
      <c r="N37" s="104">
        <f t="shared" si="1"/>
        <v>-5.8959911999999998E-3</v>
      </c>
      <c r="O37" s="66"/>
      <c r="P37" s="66">
        <f t="shared" si="2"/>
        <v>0</v>
      </c>
      <c r="Q37" s="66"/>
      <c r="R37" s="66">
        <f t="shared" si="3"/>
        <v>-6.7326416666666665E-3</v>
      </c>
      <c r="S37" s="117"/>
    </row>
    <row r="38" spans="1:19">
      <c r="A38" s="110" t="s">
        <v>14</v>
      </c>
      <c r="B38" s="111" t="s">
        <v>292</v>
      </c>
      <c r="C38" s="111" t="s">
        <v>293</v>
      </c>
      <c r="D38" s="112" t="s">
        <v>1679</v>
      </c>
      <c r="E38" s="111" t="s">
        <v>294</v>
      </c>
      <c r="F38" s="112" t="s">
        <v>1613</v>
      </c>
      <c r="G38" s="111" t="s">
        <v>20</v>
      </c>
      <c r="H38" s="111" t="s">
        <v>933</v>
      </c>
      <c r="I38" s="111">
        <v>201509</v>
      </c>
      <c r="J38" s="113">
        <v>44471.17</v>
      </c>
      <c r="K38" s="72">
        <f t="shared" si="4"/>
        <v>42675</v>
      </c>
      <c r="L38" s="67">
        <f t="shared" si="0"/>
        <v>6</v>
      </c>
      <c r="M38" s="114">
        <v>2.23333E-3</v>
      </c>
      <c r="N38" s="104">
        <f t="shared" si="1"/>
        <v>595.91278857659995</v>
      </c>
      <c r="O38" s="66"/>
      <c r="P38" s="66">
        <f t="shared" si="2"/>
        <v>0</v>
      </c>
      <c r="Q38" s="66"/>
      <c r="R38" s="66">
        <f t="shared" si="3"/>
        <v>680.47375478958327</v>
      </c>
      <c r="S38" s="117"/>
    </row>
    <row r="39" spans="1:19">
      <c r="A39" s="110" t="s">
        <v>14</v>
      </c>
      <c r="B39" s="111" t="s">
        <v>318</v>
      </c>
      <c r="C39" s="111" t="s">
        <v>319</v>
      </c>
      <c r="D39" s="112" t="s">
        <v>105</v>
      </c>
      <c r="E39" s="111" t="s">
        <v>320</v>
      </c>
      <c r="F39" s="112" t="s">
        <v>34</v>
      </c>
      <c r="G39" s="111" t="s">
        <v>20</v>
      </c>
      <c r="H39" s="111" t="s">
        <v>933</v>
      </c>
      <c r="I39" s="111">
        <v>201509</v>
      </c>
      <c r="J39" s="113">
        <v>-48.36</v>
      </c>
      <c r="K39" s="72">
        <f t="shared" si="4"/>
        <v>42675</v>
      </c>
      <c r="L39" s="67">
        <f t="shared" si="0"/>
        <v>6</v>
      </c>
      <c r="M39" s="114">
        <v>2.23333E-3</v>
      </c>
      <c r="N39" s="104">
        <f t="shared" si="1"/>
        <v>-0.64802303279999995</v>
      </c>
      <c r="O39" s="66"/>
      <c r="P39" s="66">
        <f t="shared" si="2"/>
        <v>0</v>
      </c>
      <c r="Q39" s="66"/>
      <c r="R39" s="66">
        <f t="shared" si="3"/>
        <v>-0.73997852499999994</v>
      </c>
      <c r="S39" s="117"/>
    </row>
    <row r="40" spans="1:19">
      <c r="A40" s="110" t="s">
        <v>14</v>
      </c>
      <c r="B40" s="111" t="s">
        <v>321</v>
      </c>
      <c r="C40" s="111" t="s">
        <v>322</v>
      </c>
      <c r="D40" s="112" t="s">
        <v>323</v>
      </c>
      <c r="E40" s="111" t="s">
        <v>324</v>
      </c>
      <c r="F40" s="112" t="s">
        <v>52</v>
      </c>
      <c r="G40" s="111" t="s">
        <v>20</v>
      </c>
      <c r="H40" s="111" t="s">
        <v>933</v>
      </c>
      <c r="I40" s="111">
        <v>201509</v>
      </c>
      <c r="J40" s="113">
        <v>-162.83000000000001</v>
      </c>
      <c r="K40" s="72">
        <f t="shared" si="4"/>
        <v>42675</v>
      </c>
      <c r="L40" s="67">
        <f t="shared" si="0"/>
        <v>6</v>
      </c>
      <c r="M40" s="114">
        <v>2.23333E-3</v>
      </c>
      <c r="N40" s="104">
        <f t="shared" si="1"/>
        <v>-2.1819187433999998</v>
      </c>
      <c r="O40" s="66"/>
      <c r="P40" s="66">
        <f t="shared" si="2"/>
        <v>0</v>
      </c>
      <c r="Q40" s="66"/>
      <c r="R40" s="66">
        <f t="shared" si="3"/>
        <v>-2.491536460416667</v>
      </c>
      <c r="S40" s="117"/>
    </row>
    <row r="41" spans="1:19">
      <c r="A41" s="110" t="s">
        <v>14</v>
      </c>
      <c r="B41" s="111" t="s">
        <v>419</v>
      </c>
      <c r="C41" s="111" t="s">
        <v>420</v>
      </c>
      <c r="D41" s="112" t="s">
        <v>50</v>
      </c>
      <c r="E41" s="111" t="s">
        <v>421</v>
      </c>
      <c r="F41" s="112" t="s">
        <v>52</v>
      </c>
      <c r="G41" s="111" t="s">
        <v>20</v>
      </c>
      <c r="H41" s="111" t="s">
        <v>933</v>
      </c>
      <c r="I41" s="111">
        <v>201509</v>
      </c>
      <c r="J41" s="113">
        <v>-147.61000000000001</v>
      </c>
      <c r="K41" s="72">
        <f t="shared" si="4"/>
        <v>42675</v>
      </c>
      <c r="L41" s="67">
        <f t="shared" si="0"/>
        <v>6</v>
      </c>
      <c r="M41" s="114">
        <v>2.23333E-3</v>
      </c>
      <c r="N41" s="104">
        <f t="shared" si="1"/>
        <v>-1.9779710478000001</v>
      </c>
      <c r="O41" s="66"/>
      <c r="P41" s="66">
        <f t="shared" si="2"/>
        <v>0</v>
      </c>
      <c r="Q41" s="66"/>
      <c r="R41" s="66">
        <f t="shared" si="3"/>
        <v>-2.2586482645833335</v>
      </c>
      <c r="S41" s="117"/>
    </row>
    <row r="42" spans="1:19">
      <c r="A42" s="110" t="s">
        <v>14</v>
      </c>
      <c r="B42" s="111" t="s">
        <v>839</v>
      </c>
      <c r="C42" s="111" t="s">
        <v>840</v>
      </c>
      <c r="D42" s="112" t="s">
        <v>50</v>
      </c>
      <c r="E42" s="111" t="s">
        <v>841</v>
      </c>
      <c r="F42" s="112" t="s">
        <v>52</v>
      </c>
      <c r="G42" s="111" t="s">
        <v>20</v>
      </c>
      <c r="H42" s="111" t="s">
        <v>933</v>
      </c>
      <c r="I42" s="111">
        <v>201509</v>
      </c>
      <c r="J42" s="113">
        <v>-0.5</v>
      </c>
      <c r="K42" s="72">
        <f t="shared" si="4"/>
        <v>42675</v>
      </c>
      <c r="L42" s="67">
        <f t="shared" si="0"/>
        <v>6</v>
      </c>
      <c r="M42" s="114">
        <v>2.23333E-3</v>
      </c>
      <c r="N42" s="104">
        <f t="shared" si="1"/>
        <v>-6.6999899999999994E-3</v>
      </c>
      <c r="O42" s="66"/>
      <c r="P42" s="66">
        <f t="shared" si="2"/>
        <v>0</v>
      </c>
      <c r="Q42" s="66"/>
      <c r="R42" s="66">
        <f t="shared" si="3"/>
        <v>-7.6507291666666659E-3</v>
      </c>
      <c r="S42" s="117"/>
    </row>
    <row r="43" spans="1:19">
      <c r="A43" s="116" t="s">
        <v>990</v>
      </c>
      <c r="B43" s="111" t="s">
        <v>1020</v>
      </c>
      <c r="C43" s="111" t="s">
        <v>1021</v>
      </c>
      <c r="D43" s="112" t="s">
        <v>1680</v>
      </c>
      <c r="E43" s="111" t="s">
        <v>1022</v>
      </c>
      <c r="F43" s="112" t="s">
        <v>1614</v>
      </c>
      <c r="G43" s="111" t="s">
        <v>20</v>
      </c>
      <c r="H43" s="111" t="s">
        <v>933</v>
      </c>
      <c r="I43" s="111">
        <v>201509</v>
      </c>
      <c r="J43" s="113">
        <v>1387.35</v>
      </c>
      <c r="K43" s="72">
        <f t="shared" si="4"/>
        <v>42675</v>
      </c>
      <c r="L43" s="67">
        <f t="shared" si="0"/>
        <v>6</v>
      </c>
      <c r="M43" s="114">
        <v>2.0333333000000001E-3</v>
      </c>
      <c r="N43" s="104">
        <f t="shared" si="1"/>
        <v>16.925669722529999</v>
      </c>
      <c r="O43" s="66"/>
      <c r="P43" s="66">
        <f t="shared" si="2"/>
        <v>0</v>
      </c>
      <c r="Q43" s="66"/>
      <c r="R43" s="66">
        <f t="shared" si="3"/>
        <v>21.228478218749995</v>
      </c>
      <c r="S43" s="117"/>
    </row>
    <row r="44" spans="1:19">
      <c r="A44" s="110" t="s">
        <v>14</v>
      </c>
      <c r="B44" s="111" t="s">
        <v>325</v>
      </c>
      <c r="C44" s="111" t="s">
        <v>326</v>
      </c>
      <c r="D44" s="112" t="s">
        <v>327</v>
      </c>
      <c r="E44" s="111" t="s">
        <v>328</v>
      </c>
      <c r="F44" s="112" t="s">
        <v>58</v>
      </c>
      <c r="G44" s="111" t="s">
        <v>20</v>
      </c>
      <c r="H44" s="111" t="s">
        <v>933</v>
      </c>
      <c r="I44" s="111">
        <v>201509</v>
      </c>
      <c r="J44" s="113">
        <v>6653.93</v>
      </c>
      <c r="K44" s="72">
        <f t="shared" si="4"/>
        <v>42675</v>
      </c>
      <c r="L44" s="67">
        <f t="shared" si="0"/>
        <v>6</v>
      </c>
      <c r="M44" s="114">
        <v>2.23333E-3</v>
      </c>
      <c r="N44" s="104">
        <f t="shared" si="1"/>
        <v>89.162528921399996</v>
      </c>
      <c r="O44" s="66"/>
      <c r="P44" s="66">
        <f t="shared" si="2"/>
        <v>0</v>
      </c>
      <c r="Q44" s="66"/>
      <c r="R44" s="66">
        <f t="shared" si="3"/>
        <v>101.81483264791666</v>
      </c>
      <c r="S44" s="117"/>
    </row>
    <row r="45" spans="1:19">
      <c r="A45" s="110" t="s">
        <v>14</v>
      </c>
      <c r="B45" s="118" t="s">
        <v>1681</v>
      </c>
      <c r="C45" s="111" t="s">
        <v>1682</v>
      </c>
      <c r="D45" s="112" t="s">
        <v>1683</v>
      </c>
      <c r="E45" s="111" t="s">
        <v>198</v>
      </c>
      <c r="F45" s="112" t="s">
        <v>1610</v>
      </c>
      <c r="G45" s="111" t="s">
        <v>20</v>
      </c>
      <c r="H45" s="111" t="s">
        <v>933</v>
      </c>
      <c r="I45" s="111">
        <v>201509</v>
      </c>
      <c r="J45" s="113">
        <v>861.58</v>
      </c>
      <c r="K45" s="72">
        <f t="shared" si="4"/>
        <v>42675</v>
      </c>
      <c r="L45" s="67">
        <f t="shared" si="0"/>
        <v>6</v>
      </c>
      <c r="M45" s="114">
        <v>2.23333E-3</v>
      </c>
      <c r="N45" s="104">
        <f t="shared" si="1"/>
        <v>11.5451547684</v>
      </c>
      <c r="O45" s="66"/>
      <c r="P45" s="66">
        <f t="shared" si="2"/>
        <v>0</v>
      </c>
      <c r="Q45" s="66"/>
      <c r="R45" s="66">
        <f t="shared" si="3"/>
        <v>13.183430470833333</v>
      </c>
      <c r="S45" s="117"/>
    </row>
    <row r="46" spans="1:19">
      <c r="A46" s="116" t="s">
        <v>554</v>
      </c>
      <c r="B46" s="111" t="s">
        <v>116</v>
      </c>
      <c r="C46" s="111" t="s">
        <v>117</v>
      </c>
      <c r="D46" s="112" t="s">
        <v>118</v>
      </c>
      <c r="E46" s="111" t="s">
        <v>119</v>
      </c>
      <c r="F46" s="112" t="s">
        <v>1605</v>
      </c>
      <c r="G46" s="111" t="s">
        <v>20</v>
      </c>
      <c r="H46" s="111" t="s">
        <v>936</v>
      </c>
      <c r="I46" s="111">
        <v>201509</v>
      </c>
      <c r="J46" s="113">
        <v>140688.53</v>
      </c>
      <c r="K46" s="72">
        <f t="shared" si="4"/>
        <v>42675</v>
      </c>
      <c r="L46" s="67">
        <f t="shared" si="0"/>
        <v>6</v>
      </c>
      <c r="M46" s="114">
        <v>1.4833299999999999E-3</v>
      </c>
      <c r="N46" s="104">
        <f t="shared" si="1"/>
        <v>1252.1251032293999</v>
      </c>
      <c r="O46" s="66"/>
      <c r="P46" s="66">
        <f t="shared" si="2"/>
        <v>0</v>
      </c>
      <c r="Q46" s="66"/>
      <c r="R46" s="66">
        <f t="shared" si="3"/>
        <v>2152.7396797729166</v>
      </c>
      <c r="S46" s="117"/>
    </row>
    <row r="47" spans="1:19">
      <c r="A47" s="116" t="s">
        <v>21</v>
      </c>
      <c r="B47" s="111" t="s">
        <v>1597</v>
      </c>
      <c r="C47" s="111" t="s">
        <v>1598</v>
      </c>
      <c r="D47" s="112" t="s">
        <v>1599</v>
      </c>
      <c r="E47" s="111" t="s">
        <v>164</v>
      </c>
      <c r="F47" s="112" t="s">
        <v>1600</v>
      </c>
      <c r="G47" s="111" t="s">
        <v>20</v>
      </c>
      <c r="H47" s="111" t="s">
        <v>1684</v>
      </c>
      <c r="I47" s="111">
        <v>201509</v>
      </c>
      <c r="J47" s="113">
        <v>266.08</v>
      </c>
      <c r="K47" s="72">
        <f t="shared" si="4"/>
        <v>42675</v>
      </c>
      <c r="L47" s="67">
        <f t="shared" si="0"/>
        <v>6</v>
      </c>
      <c r="M47" s="114">
        <v>1.4833299999999999E-3</v>
      </c>
      <c r="N47" s="104">
        <f t="shared" si="1"/>
        <v>2.3681066783999998</v>
      </c>
      <c r="O47" s="66"/>
      <c r="P47" s="66">
        <f t="shared" si="2"/>
        <v>0</v>
      </c>
      <c r="Q47" s="66"/>
      <c r="R47" s="66">
        <f t="shared" si="3"/>
        <v>4.0714120333333321</v>
      </c>
      <c r="S47" s="117"/>
    </row>
    <row r="48" spans="1:19">
      <c r="A48" s="116" t="s">
        <v>626</v>
      </c>
      <c r="B48" s="111" t="s">
        <v>1063</v>
      </c>
      <c r="C48" s="111" t="s">
        <v>1064</v>
      </c>
      <c r="D48" s="112" t="s">
        <v>1065</v>
      </c>
      <c r="E48" s="111" t="s">
        <v>497</v>
      </c>
      <c r="F48" s="112" t="s">
        <v>26</v>
      </c>
      <c r="G48" s="111" t="s">
        <v>20</v>
      </c>
      <c r="H48" s="111" t="s">
        <v>1684</v>
      </c>
      <c r="I48" s="111">
        <v>201509</v>
      </c>
      <c r="J48" s="113">
        <v>-19.95</v>
      </c>
      <c r="K48" s="72">
        <f t="shared" si="4"/>
        <v>42675</v>
      </c>
      <c r="L48" s="67">
        <f t="shared" si="0"/>
        <v>6</v>
      </c>
      <c r="M48" s="114">
        <v>1.4833299999999999E-3</v>
      </c>
      <c r="N48" s="104">
        <f t="shared" si="1"/>
        <v>-0.17755460100000001</v>
      </c>
      <c r="O48" s="66"/>
      <c r="P48" s="66">
        <f t="shared" si="2"/>
        <v>0</v>
      </c>
      <c r="Q48" s="66"/>
      <c r="R48" s="66">
        <f t="shared" si="3"/>
        <v>-0.30526409374999997</v>
      </c>
      <c r="S48" s="117"/>
    </row>
    <row r="49" spans="1:19">
      <c r="A49" s="116" t="s">
        <v>626</v>
      </c>
      <c r="B49" s="111" t="s">
        <v>1066</v>
      </c>
      <c r="C49" s="111" t="s">
        <v>1067</v>
      </c>
      <c r="D49" s="112" t="s">
        <v>1068</v>
      </c>
      <c r="E49" s="111" t="s">
        <v>75</v>
      </c>
      <c r="F49" s="112" t="s">
        <v>1602</v>
      </c>
      <c r="G49" s="111" t="s">
        <v>20</v>
      </c>
      <c r="H49" s="111" t="s">
        <v>1684</v>
      </c>
      <c r="I49" s="111">
        <v>201509</v>
      </c>
      <c r="J49" s="113">
        <v>-108.81</v>
      </c>
      <c r="K49" s="72">
        <f t="shared" si="4"/>
        <v>42675</v>
      </c>
      <c r="L49" s="67">
        <f t="shared" si="0"/>
        <v>6</v>
      </c>
      <c r="M49" s="114">
        <v>1.4833299999999999E-3</v>
      </c>
      <c r="N49" s="104">
        <f t="shared" si="1"/>
        <v>-0.96840682379999998</v>
      </c>
      <c r="O49" s="66"/>
      <c r="P49" s="66">
        <f t="shared" si="2"/>
        <v>0</v>
      </c>
      <c r="Q49" s="66"/>
      <c r="R49" s="66">
        <f t="shared" si="3"/>
        <v>-1.66495168125</v>
      </c>
      <c r="S49" s="117"/>
    </row>
    <row r="50" spans="1:19">
      <c r="A50" s="116" t="s">
        <v>127</v>
      </c>
      <c r="B50" s="111" t="s">
        <v>1242</v>
      </c>
      <c r="C50" s="111" t="s">
        <v>1243</v>
      </c>
      <c r="D50" s="112" t="s">
        <v>1244</v>
      </c>
      <c r="E50" s="111" t="s">
        <v>131</v>
      </c>
      <c r="F50" s="112" t="s">
        <v>1607</v>
      </c>
      <c r="G50" s="111" t="s">
        <v>20</v>
      </c>
      <c r="H50" s="111" t="s">
        <v>1684</v>
      </c>
      <c r="I50" s="111">
        <v>201509</v>
      </c>
      <c r="J50" s="113">
        <v>-1455.9</v>
      </c>
      <c r="K50" s="72">
        <f t="shared" si="4"/>
        <v>42675</v>
      </c>
      <c r="L50" s="67">
        <f t="shared" si="0"/>
        <v>6</v>
      </c>
      <c r="M50" s="114">
        <v>2.3833299999999999E-3</v>
      </c>
      <c r="N50" s="104">
        <f t="shared" si="1"/>
        <v>-20.819340882000002</v>
      </c>
      <c r="O50" s="66"/>
      <c r="P50" s="66">
        <f t="shared" si="2"/>
        <v>0</v>
      </c>
      <c r="Q50" s="66"/>
      <c r="R50" s="66">
        <f t="shared" si="3"/>
        <v>-22.2773931875</v>
      </c>
      <c r="S50" s="117"/>
    </row>
    <row r="51" spans="1:19">
      <c r="A51" s="110" t="s">
        <v>21</v>
      </c>
      <c r="B51" s="111" t="s">
        <v>1112</v>
      </c>
      <c r="C51" s="111" t="s">
        <v>1113</v>
      </c>
      <c r="D51" s="112" t="s">
        <v>1114</v>
      </c>
      <c r="E51" s="111" t="s">
        <v>260</v>
      </c>
      <c r="F51" s="112" t="s">
        <v>1608</v>
      </c>
      <c r="G51" s="111" t="s">
        <v>20</v>
      </c>
      <c r="H51" s="111" t="s">
        <v>1684</v>
      </c>
      <c r="I51" s="111">
        <v>201509</v>
      </c>
      <c r="J51" s="113">
        <v>2.4700000000000002</v>
      </c>
      <c r="K51" s="72">
        <f t="shared" si="4"/>
        <v>42675</v>
      </c>
      <c r="L51" s="67">
        <f t="shared" si="0"/>
        <v>6</v>
      </c>
      <c r="M51" s="114">
        <v>1.4833299999999999E-3</v>
      </c>
      <c r="N51" s="104">
        <f t="shared" si="1"/>
        <v>2.1982950600000002E-2</v>
      </c>
      <c r="O51" s="66"/>
      <c r="P51" s="66">
        <f t="shared" si="2"/>
        <v>0</v>
      </c>
      <c r="Q51" s="66"/>
      <c r="R51" s="66">
        <f t="shared" si="3"/>
        <v>3.7794602083333337E-2</v>
      </c>
      <c r="S51" s="117"/>
    </row>
    <row r="52" spans="1:19">
      <c r="A52" s="116" t="s">
        <v>626</v>
      </c>
      <c r="B52" s="111" t="s">
        <v>1112</v>
      </c>
      <c r="C52" s="111" t="s">
        <v>1113</v>
      </c>
      <c r="D52" s="112" t="s">
        <v>1114</v>
      </c>
      <c r="E52" s="111" t="s">
        <v>260</v>
      </c>
      <c r="F52" s="112" t="s">
        <v>1608</v>
      </c>
      <c r="G52" s="111" t="s">
        <v>20</v>
      </c>
      <c r="H52" s="111" t="s">
        <v>1684</v>
      </c>
      <c r="I52" s="111">
        <v>201509</v>
      </c>
      <c r="J52" s="113">
        <v>0.49</v>
      </c>
      <c r="K52" s="72">
        <f t="shared" si="4"/>
        <v>42675</v>
      </c>
      <c r="L52" s="67">
        <f t="shared" si="0"/>
        <v>6</v>
      </c>
      <c r="M52" s="114">
        <v>1.4833299999999999E-3</v>
      </c>
      <c r="N52" s="104">
        <f t="shared" si="1"/>
        <v>4.3609901999999996E-3</v>
      </c>
      <c r="O52" s="66"/>
      <c r="P52" s="66">
        <f t="shared" si="2"/>
        <v>0</v>
      </c>
      <c r="Q52" s="66"/>
      <c r="R52" s="66">
        <f t="shared" si="3"/>
        <v>7.4977145833333321E-3</v>
      </c>
      <c r="S52" s="117"/>
    </row>
    <row r="53" spans="1:19">
      <c r="A53" s="116" t="s">
        <v>626</v>
      </c>
      <c r="B53" s="111" t="s">
        <v>1069</v>
      </c>
      <c r="C53" s="111" t="s">
        <v>1070</v>
      </c>
      <c r="D53" s="112" t="s">
        <v>1071</v>
      </c>
      <c r="E53" s="111" t="s">
        <v>260</v>
      </c>
      <c r="F53" s="112" t="s">
        <v>1608</v>
      </c>
      <c r="G53" s="111" t="s">
        <v>20</v>
      </c>
      <c r="H53" s="111" t="s">
        <v>1684</v>
      </c>
      <c r="I53" s="111">
        <v>201509</v>
      </c>
      <c r="J53" s="113">
        <v>-29.22</v>
      </c>
      <c r="K53" s="72">
        <f t="shared" si="4"/>
        <v>42675</v>
      </c>
      <c r="L53" s="67">
        <f t="shared" si="0"/>
        <v>6</v>
      </c>
      <c r="M53" s="114">
        <v>1.4833299999999999E-3</v>
      </c>
      <c r="N53" s="104">
        <f t="shared" si="1"/>
        <v>-0.26005741560000001</v>
      </c>
      <c r="O53" s="66"/>
      <c r="P53" s="66">
        <f t="shared" si="2"/>
        <v>0</v>
      </c>
      <c r="Q53" s="66"/>
      <c r="R53" s="66">
        <f t="shared" si="3"/>
        <v>-0.44710861249999995</v>
      </c>
      <c r="S53" s="117"/>
    </row>
    <row r="54" spans="1:19">
      <c r="A54" s="116" t="s">
        <v>21</v>
      </c>
      <c r="B54" s="111" t="s">
        <v>177</v>
      </c>
      <c r="C54" s="111" t="s">
        <v>178</v>
      </c>
      <c r="D54" s="112" t="s">
        <v>179</v>
      </c>
      <c r="E54" s="111" t="s">
        <v>172</v>
      </c>
      <c r="F54" s="112" t="s">
        <v>1609</v>
      </c>
      <c r="G54" s="111" t="s">
        <v>20</v>
      </c>
      <c r="H54" s="111" t="s">
        <v>1684</v>
      </c>
      <c r="I54" s="111">
        <v>201509</v>
      </c>
      <c r="J54" s="113">
        <v>-12.93</v>
      </c>
      <c r="K54" s="72">
        <f t="shared" si="4"/>
        <v>42675</v>
      </c>
      <c r="L54" s="67">
        <f t="shared" si="0"/>
        <v>6</v>
      </c>
      <c r="M54" s="114">
        <v>1.4833299999999999E-3</v>
      </c>
      <c r="N54" s="104">
        <f t="shared" si="1"/>
        <v>-0.1150767414</v>
      </c>
      <c r="O54" s="66"/>
      <c r="P54" s="66">
        <f t="shared" si="2"/>
        <v>0</v>
      </c>
      <c r="Q54" s="66"/>
      <c r="R54" s="66">
        <f t="shared" si="3"/>
        <v>-0.19784785624999998</v>
      </c>
      <c r="S54" s="117"/>
    </row>
    <row r="55" spans="1:19">
      <c r="A55" s="116" t="s">
        <v>127</v>
      </c>
      <c r="B55" s="111" t="s">
        <v>388</v>
      </c>
      <c r="C55" s="111" t="s">
        <v>389</v>
      </c>
      <c r="D55" s="112" t="s">
        <v>390</v>
      </c>
      <c r="E55" s="111" t="s">
        <v>131</v>
      </c>
      <c r="F55" s="112" t="s">
        <v>1607</v>
      </c>
      <c r="G55" s="111" t="s">
        <v>20</v>
      </c>
      <c r="H55" s="111" t="s">
        <v>1684</v>
      </c>
      <c r="I55" s="111">
        <v>201509</v>
      </c>
      <c r="J55" s="113">
        <v>-1.88</v>
      </c>
      <c r="K55" s="72">
        <f t="shared" si="4"/>
        <v>42675</v>
      </c>
      <c r="L55" s="67">
        <f t="shared" si="0"/>
        <v>6</v>
      </c>
      <c r="M55" s="114">
        <v>2.3833299999999999E-3</v>
      </c>
      <c r="N55" s="104">
        <f t="shared" si="1"/>
        <v>-2.6883962399999999E-2</v>
      </c>
      <c r="O55" s="66"/>
      <c r="P55" s="66">
        <f t="shared" si="2"/>
        <v>0</v>
      </c>
      <c r="Q55" s="66"/>
      <c r="R55" s="66">
        <f t="shared" si="3"/>
        <v>-2.8766741666666661E-2</v>
      </c>
      <c r="S55" s="117"/>
    </row>
    <row r="56" spans="1:19">
      <c r="A56" s="110" t="s">
        <v>626</v>
      </c>
      <c r="B56" s="111" t="s">
        <v>700</v>
      </c>
      <c r="C56" s="111" t="s">
        <v>701</v>
      </c>
      <c r="D56" s="112" t="s">
        <v>702</v>
      </c>
      <c r="E56" s="111" t="s">
        <v>25</v>
      </c>
      <c r="F56" s="112" t="s">
        <v>26</v>
      </c>
      <c r="G56" s="111" t="s">
        <v>20</v>
      </c>
      <c r="H56" s="111" t="s">
        <v>1684</v>
      </c>
      <c r="I56" s="111">
        <v>201509</v>
      </c>
      <c r="J56" s="113">
        <v>-0.31</v>
      </c>
      <c r="K56" s="72">
        <f t="shared" si="4"/>
        <v>42675</v>
      </c>
      <c r="L56" s="67">
        <f t="shared" si="0"/>
        <v>6</v>
      </c>
      <c r="M56" s="114">
        <v>1.4833299999999999E-3</v>
      </c>
      <c r="N56" s="104">
        <f t="shared" si="1"/>
        <v>-2.7589937999999998E-3</v>
      </c>
      <c r="O56" s="66"/>
      <c r="P56" s="66">
        <f t="shared" si="2"/>
        <v>0</v>
      </c>
      <c r="Q56" s="66"/>
      <c r="R56" s="66">
        <f t="shared" si="3"/>
        <v>-4.7434520833333329E-3</v>
      </c>
      <c r="S56" s="117"/>
    </row>
    <row r="57" spans="1:19">
      <c r="A57" s="110" t="s">
        <v>626</v>
      </c>
      <c r="B57" s="111" t="s">
        <v>750</v>
      </c>
      <c r="C57" s="111" t="s">
        <v>751</v>
      </c>
      <c r="D57" s="112" t="s">
        <v>752</v>
      </c>
      <c r="E57" s="111" t="s">
        <v>164</v>
      </c>
      <c r="F57" s="112" t="s">
        <v>1600</v>
      </c>
      <c r="G57" s="111" t="s">
        <v>20</v>
      </c>
      <c r="H57" s="111" t="s">
        <v>1684</v>
      </c>
      <c r="I57" s="111">
        <v>201509</v>
      </c>
      <c r="J57" s="113">
        <v>24.18</v>
      </c>
      <c r="K57" s="72">
        <f t="shared" si="4"/>
        <v>42675</v>
      </c>
      <c r="L57" s="67">
        <f t="shared" si="0"/>
        <v>6</v>
      </c>
      <c r="M57" s="114">
        <v>1.4833299999999999E-3</v>
      </c>
      <c r="N57" s="104">
        <f t="shared" si="1"/>
        <v>0.21520151639999999</v>
      </c>
      <c r="O57" s="66"/>
      <c r="P57" s="66">
        <f t="shared" si="2"/>
        <v>0</v>
      </c>
      <c r="Q57" s="66"/>
      <c r="R57" s="66">
        <f t="shared" si="3"/>
        <v>0.36998926249999997</v>
      </c>
      <c r="S57" s="117"/>
    </row>
    <row r="58" spans="1:19">
      <c r="A58" s="110" t="s">
        <v>626</v>
      </c>
      <c r="B58" s="111" t="s">
        <v>465</v>
      </c>
      <c r="C58" s="111" t="s">
        <v>466</v>
      </c>
      <c r="D58" s="112" t="s">
        <v>467</v>
      </c>
      <c r="E58" s="111" t="s">
        <v>75</v>
      </c>
      <c r="F58" s="112" t="s">
        <v>1602</v>
      </c>
      <c r="G58" s="111" t="s">
        <v>20</v>
      </c>
      <c r="H58" s="111" t="s">
        <v>1684</v>
      </c>
      <c r="I58" s="111">
        <v>201509</v>
      </c>
      <c r="J58" s="113">
        <v>-5.05</v>
      </c>
      <c r="K58" s="72">
        <f t="shared" si="4"/>
        <v>42675</v>
      </c>
      <c r="L58" s="67">
        <f t="shared" si="0"/>
        <v>6</v>
      </c>
      <c r="M58" s="114">
        <v>1.4833299999999999E-3</v>
      </c>
      <c r="N58" s="104">
        <f t="shared" si="1"/>
        <v>-4.4944898999999996E-2</v>
      </c>
      <c r="O58" s="66"/>
      <c r="P58" s="66">
        <f t="shared" si="2"/>
        <v>0</v>
      </c>
      <c r="Q58" s="66"/>
      <c r="R58" s="66">
        <f t="shared" si="3"/>
        <v>-7.7272364583333322E-2</v>
      </c>
      <c r="S58" s="117"/>
    </row>
    <row r="59" spans="1:19">
      <c r="A59" s="110" t="s">
        <v>21</v>
      </c>
      <c r="B59" s="111" t="s">
        <v>230</v>
      </c>
      <c r="C59" s="111" t="s">
        <v>231</v>
      </c>
      <c r="D59" s="112" t="s">
        <v>232</v>
      </c>
      <c r="E59" s="111" t="s">
        <v>164</v>
      </c>
      <c r="F59" s="112" t="s">
        <v>1600</v>
      </c>
      <c r="G59" s="111" t="s">
        <v>20</v>
      </c>
      <c r="H59" s="111" t="s">
        <v>1684</v>
      </c>
      <c r="I59" s="111">
        <v>201509</v>
      </c>
      <c r="J59" s="113">
        <v>-1.22</v>
      </c>
      <c r="K59" s="72">
        <f t="shared" si="4"/>
        <v>42675</v>
      </c>
      <c r="L59" s="67">
        <f t="shared" si="0"/>
        <v>6</v>
      </c>
      <c r="M59" s="114">
        <v>1.4833299999999999E-3</v>
      </c>
      <c r="N59" s="104">
        <f t="shared" si="1"/>
        <v>-1.08579756E-2</v>
      </c>
      <c r="O59" s="66"/>
      <c r="P59" s="66">
        <f t="shared" si="2"/>
        <v>0</v>
      </c>
      <c r="Q59" s="66"/>
      <c r="R59" s="66">
        <f t="shared" si="3"/>
        <v>-1.8667779166666662E-2</v>
      </c>
      <c r="S59" s="117"/>
    </row>
    <row r="60" spans="1:19">
      <c r="A60" s="116" t="s">
        <v>21</v>
      </c>
      <c r="B60" s="111" t="s">
        <v>797</v>
      </c>
      <c r="C60" s="111" t="s">
        <v>798</v>
      </c>
      <c r="D60" s="112" t="s">
        <v>799</v>
      </c>
      <c r="E60" s="111" t="s">
        <v>172</v>
      </c>
      <c r="F60" s="112" t="s">
        <v>1609</v>
      </c>
      <c r="G60" s="111" t="s">
        <v>20</v>
      </c>
      <c r="H60" s="111" t="s">
        <v>1684</v>
      </c>
      <c r="I60" s="111">
        <v>201509</v>
      </c>
      <c r="J60" s="113">
        <v>-2.72</v>
      </c>
      <c r="K60" s="72">
        <f t="shared" si="4"/>
        <v>42675</v>
      </c>
      <c r="L60" s="67">
        <f t="shared" si="0"/>
        <v>6</v>
      </c>
      <c r="M60" s="114">
        <v>1.4833299999999999E-3</v>
      </c>
      <c r="N60" s="104">
        <f t="shared" si="1"/>
        <v>-2.4207945600000003E-2</v>
      </c>
      <c r="O60" s="66"/>
      <c r="P60" s="66">
        <f t="shared" si="2"/>
        <v>0</v>
      </c>
      <c r="Q60" s="66"/>
      <c r="R60" s="66">
        <f t="shared" si="3"/>
        <v>-4.1619966666666668E-2</v>
      </c>
      <c r="S60" s="117"/>
    </row>
    <row r="61" spans="1:19">
      <c r="A61" s="116" t="s">
        <v>626</v>
      </c>
      <c r="B61" s="111" t="s">
        <v>1076</v>
      </c>
      <c r="C61" s="111" t="s">
        <v>1077</v>
      </c>
      <c r="D61" s="112" t="s">
        <v>1078</v>
      </c>
      <c r="E61" s="111" t="s">
        <v>75</v>
      </c>
      <c r="F61" s="112" t="s">
        <v>1602</v>
      </c>
      <c r="G61" s="111" t="s">
        <v>20</v>
      </c>
      <c r="H61" s="111" t="s">
        <v>1684</v>
      </c>
      <c r="I61" s="111">
        <v>201509</v>
      </c>
      <c r="J61" s="113">
        <v>-11.98</v>
      </c>
      <c r="K61" s="72">
        <f t="shared" si="4"/>
        <v>42675</v>
      </c>
      <c r="L61" s="67">
        <f t="shared" si="0"/>
        <v>6</v>
      </c>
      <c r="M61" s="114">
        <v>1.4833299999999999E-3</v>
      </c>
      <c r="N61" s="104">
        <f t="shared" si="1"/>
        <v>-0.1066217604</v>
      </c>
      <c r="O61" s="66"/>
      <c r="P61" s="66">
        <f t="shared" si="2"/>
        <v>0</v>
      </c>
      <c r="Q61" s="66"/>
      <c r="R61" s="66">
        <f t="shared" si="3"/>
        <v>-0.18331147083333332</v>
      </c>
      <c r="S61" s="117"/>
    </row>
    <row r="62" spans="1:19">
      <c r="A62" s="116" t="s">
        <v>21</v>
      </c>
      <c r="B62" s="111" t="s">
        <v>261</v>
      </c>
      <c r="C62" s="111" t="s">
        <v>262</v>
      </c>
      <c r="D62" s="112" t="s">
        <v>263</v>
      </c>
      <c r="E62" s="111" t="s">
        <v>75</v>
      </c>
      <c r="F62" s="112" t="s">
        <v>1602</v>
      </c>
      <c r="G62" s="111" t="s">
        <v>20</v>
      </c>
      <c r="H62" s="111" t="s">
        <v>1684</v>
      </c>
      <c r="I62" s="111">
        <v>201509</v>
      </c>
      <c r="J62" s="113">
        <v>23.43</v>
      </c>
      <c r="K62" s="72">
        <f t="shared" si="4"/>
        <v>42675</v>
      </c>
      <c r="L62" s="67">
        <f t="shared" si="0"/>
        <v>6</v>
      </c>
      <c r="M62" s="114">
        <v>1.4833299999999999E-3</v>
      </c>
      <c r="N62" s="104">
        <f t="shared" si="1"/>
        <v>0.20852653139999999</v>
      </c>
      <c r="O62" s="66"/>
      <c r="P62" s="66">
        <f t="shared" si="2"/>
        <v>0</v>
      </c>
      <c r="Q62" s="66"/>
      <c r="R62" s="66">
        <f t="shared" si="3"/>
        <v>0.35851316874999994</v>
      </c>
      <c r="S62" s="117"/>
    </row>
    <row r="63" spans="1:19">
      <c r="A63" s="110" t="s">
        <v>21</v>
      </c>
      <c r="B63" s="111" t="s">
        <v>264</v>
      </c>
      <c r="C63" s="111" t="s">
        <v>265</v>
      </c>
      <c r="D63" s="112" t="s">
        <v>266</v>
      </c>
      <c r="E63" s="111" t="s">
        <v>172</v>
      </c>
      <c r="F63" s="112" t="s">
        <v>1609</v>
      </c>
      <c r="G63" s="111" t="s">
        <v>20</v>
      </c>
      <c r="H63" s="111" t="s">
        <v>1684</v>
      </c>
      <c r="I63" s="111">
        <v>201509</v>
      </c>
      <c r="J63" s="113">
        <v>4.6500000000000004</v>
      </c>
      <c r="K63" s="72">
        <f t="shared" si="4"/>
        <v>42675</v>
      </c>
      <c r="L63" s="67">
        <f t="shared" si="0"/>
        <v>6</v>
      </c>
      <c r="M63" s="114">
        <v>1.4833299999999999E-3</v>
      </c>
      <c r="N63" s="104">
        <f t="shared" si="1"/>
        <v>4.1384907000000005E-2</v>
      </c>
      <c r="O63" s="66"/>
      <c r="P63" s="66">
        <f t="shared" si="2"/>
        <v>0</v>
      </c>
      <c r="Q63" s="66"/>
      <c r="R63" s="66">
        <f t="shared" si="3"/>
        <v>7.115178124999999E-2</v>
      </c>
      <c r="S63" s="117"/>
    </row>
    <row r="64" spans="1:19">
      <c r="A64" s="110" t="s">
        <v>21</v>
      </c>
      <c r="B64" s="111" t="s">
        <v>403</v>
      </c>
      <c r="C64" s="111" t="s">
        <v>404</v>
      </c>
      <c r="D64" s="112" t="s">
        <v>405</v>
      </c>
      <c r="E64" s="111" t="s">
        <v>75</v>
      </c>
      <c r="F64" s="112" t="s">
        <v>1602</v>
      </c>
      <c r="G64" s="111" t="s">
        <v>20</v>
      </c>
      <c r="H64" s="111" t="s">
        <v>1684</v>
      </c>
      <c r="I64" s="111">
        <v>201509</v>
      </c>
      <c r="J64" s="113">
        <v>94.48</v>
      </c>
      <c r="K64" s="72">
        <f t="shared" si="4"/>
        <v>42675</v>
      </c>
      <c r="L64" s="67">
        <f t="shared" si="0"/>
        <v>6</v>
      </c>
      <c r="M64" s="114">
        <v>1.4833299999999999E-3</v>
      </c>
      <c r="N64" s="104">
        <f t="shared" si="1"/>
        <v>0.84087011040000004</v>
      </c>
      <c r="O64" s="66"/>
      <c r="P64" s="66">
        <f t="shared" si="2"/>
        <v>0</v>
      </c>
      <c r="Q64" s="66"/>
      <c r="R64" s="66">
        <f t="shared" si="3"/>
        <v>1.4456817833333333</v>
      </c>
      <c r="S64" s="117"/>
    </row>
    <row r="65" spans="1:19">
      <c r="A65" s="116" t="s">
        <v>21</v>
      </c>
      <c r="B65" s="111" t="s">
        <v>794</v>
      </c>
      <c r="C65" s="111" t="s">
        <v>795</v>
      </c>
      <c r="D65" s="112" t="s">
        <v>796</v>
      </c>
      <c r="E65" s="111" t="s">
        <v>172</v>
      </c>
      <c r="F65" s="112" t="s">
        <v>1609</v>
      </c>
      <c r="G65" s="111" t="s">
        <v>20</v>
      </c>
      <c r="H65" s="111" t="s">
        <v>1684</v>
      </c>
      <c r="I65" s="111">
        <v>201509</v>
      </c>
      <c r="J65" s="113">
        <v>5.19</v>
      </c>
      <c r="K65" s="72">
        <f t="shared" si="4"/>
        <v>42675</v>
      </c>
      <c r="L65" s="67">
        <f t="shared" si="0"/>
        <v>6</v>
      </c>
      <c r="M65" s="114">
        <v>1.4833299999999999E-3</v>
      </c>
      <c r="N65" s="104">
        <f t="shared" si="1"/>
        <v>4.6190896200000005E-2</v>
      </c>
      <c r="O65" s="66"/>
      <c r="P65" s="66">
        <f t="shared" si="2"/>
        <v>0</v>
      </c>
      <c r="Q65" s="66"/>
      <c r="R65" s="66">
        <f t="shared" si="3"/>
        <v>7.9414568749999997E-2</v>
      </c>
      <c r="S65" s="117"/>
    </row>
    <row r="66" spans="1:19">
      <c r="A66" s="116" t="s">
        <v>626</v>
      </c>
      <c r="B66" s="111" t="s">
        <v>1250</v>
      </c>
      <c r="C66" s="111" t="s">
        <v>1251</v>
      </c>
      <c r="D66" s="112" t="s">
        <v>1252</v>
      </c>
      <c r="E66" s="111" t="s">
        <v>260</v>
      </c>
      <c r="F66" s="112" t="s">
        <v>1608</v>
      </c>
      <c r="G66" s="111" t="s">
        <v>20</v>
      </c>
      <c r="H66" s="111" t="s">
        <v>1684</v>
      </c>
      <c r="I66" s="111">
        <v>201509</v>
      </c>
      <c r="J66" s="113">
        <v>17217.080000000002</v>
      </c>
      <c r="K66" s="72">
        <f t="shared" si="4"/>
        <v>42675</v>
      </c>
      <c r="L66" s="67">
        <f t="shared" si="0"/>
        <v>6</v>
      </c>
      <c r="M66" s="114">
        <v>1.4833299999999999E-3</v>
      </c>
      <c r="N66" s="104">
        <f t="shared" si="1"/>
        <v>153.23166765840003</v>
      </c>
      <c r="O66" s="66"/>
      <c r="P66" s="66">
        <f t="shared" si="2"/>
        <v>0</v>
      </c>
      <c r="Q66" s="66"/>
      <c r="R66" s="66">
        <f t="shared" si="3"/>
        <v>263.44643224166668</v>
      </c>
      <c r="S66" s="117"/>
    </row>
    <row r="67" spans="1:19">
      <c r="A67" s="116" t="s">
        <v>21</v>
      </c>
      <c r="B67" s="111" t="s">
        <v>1079</v>
      </c>
      <c r="C67" s="111" t="s">
        <v>1080</v>
      </c>
      <c r="D67" s="112" t="s">
        <v>1081</v>
      </c>
      <c r="E67" s="111" t="s">
        <v>102</v>
      </c>
      <c r="F67" s="112" t="s">
        <v>19</v>
      </c>
      <c r="G67" s="111" t="s">
        <v>20</v>
      </c>
      <c r="H67" s="111" t="s">
        <v>1684</v>
      </c>
      <c r="I67" s="111">
        <v>201509</v>
      </c>
      <c r="J67" s="113">
        <v>2.9</v>
      </c>
      <c r="K67" s="72">
        <f t="shared" si="4"/>
        <v>42675</v>
      </c>
      <c r="L67" s="67">
        <f t="shared" si="0"/>
        <v>6</v>
      </c>
      <c r="M67" s="114">
        <v>1.4833299999999999E-3</v>
      </c>
      <c r="N67" s="104">
        <f t="shared" si="1"/>
        <v>2.5809941999999999E-2</v>
      </c>
      <c r="O67" s="66"/>
      <c r="P67" s="66">
        <f t="shared" si="2"/>
        <v>0</v>
      </c>
      <c r="Q67" s="66"/>
      <c r="R67" s="66">
        <f t="shared" si="3"/>
        <v>4.4374229166666661E-2</v>
      </c>
      <c r="S67" s="117"/>
    </row>
    <row r="68" spans="1:19">
      <c r="A68" s="110" t="s">
        <v>21</v>
      </c>
      <c r="B68" s="111" t="s">
        <v>494</v>
      </c>
      <c r="C68" s="111" t="s">
        <v>495</v>
      </c>
      <c r="D68" s="112" t="s">
        <v>496</v>
      </c>
      <c r="E68" s="111" t="s">
        <v>497</v>
      </c>
      <c r="F68" s="112" t="s">
        <v>26</v>
      </c>
      <c r="G68" s="111" t="s">
        <v>20</v>
      </c>
      <c r="H68" s="111" t="s">
        <v>1684</v>
      </c>
      <c r="I68" s="111">
        <v>201509</v>
      </c>
      <c r="J68" s="113">
        <v>-37.67</v>
      </c>
      <c r="K68" s="72">
        <f t="shared" si="4"/>
        <v>42675</v>
      </c>
      <c r="L68" s="67">
        <f t="shared" si="0"/>
        <v>6</v>
      </c>
      <c r="M68" s="114">
        <v>1.4833299999999999E-3</v>
      </c>
      <c r="N68" s="104">
        <f t="shared" si="1"/>
        <v>-0.33526224660000004</v>
      </c>
      <c r="O68" s="66"/>
      <c r="P68" s="66">
        <f t="shared" si="2"/>
        <v>0</v>
      </c>
      <c r="Q68" s="66"/>
      <c r="R68" s="66">
        <f t="shared" si="3"/>
        <v>-0.57640593541666663</v>
      </c>
      <c r="S68" s="117"/>
    </row>
    <row r="69" spans="1:19">
      <c r="A69" s="110" t="s">
        <v>626</v>
      </c>
      <c r="B69" s="111" t="s">
        <v>1121</v>
      </c>
      <c r="C69" s="111" t="s">
        <v>1122</v>
      </c>
      <c r="D69" s="112" t="s">
        <v>1123</v>
      </c>
      <c r="E69" s="111" t="s">
        <v>497</v>
      </c>
      <c r="F69" s="112" t="s">
        <v>26</v>
      </c>
      <c r="G69" s="111" t="s">
        <v>20</v>
      </c>
      <c r="H69" s="111" t="s">
        <v>1684</v>
      </c>
      <c r="I69" s="111">
        <v>201509</v>
      </c>
      <c r="J69" s="113">
        <v>-35.119999999999997</v>
      </c>
      <c r="K69" s="72">
        <f t="shared" si="4"/>
        <v>42675</v>
      </c>
      <c r="L69" s="67">
        <f t="shared" ref="L69:L132" si="5">((YEAR($L$1)-YEAR(K69))*12+MONTH($L$1)-MONTH(K69))</f>
        <v>6</v>
      </c>
      <c r="M69" s="114">
        <v>1.4833299999999999E-3</v>
      </c>
      <c r="N69" s="104">
        <f t="shared" ref="N69:N132" si="6">M69*L69*J69</f>
        <v>-0.31256729759999996</v>
      </c>
      <c r="O69" s="66"/>
      <c r="P69" s="66">
        <f t="shared" si="2"/>
        <v>0</v>
      </c>
      <c r="Q69" s="66"/>
      <c r="R69" s="66">
        <f t="shared" si="3"/>
        <v>-0.53738721666666656</v>
      </c>
      <c r="S69" s="117"/>
    </row>
    <row r="70" spans="1:19">
      <c r="A70" s="110" t="s">
        <v>21</v>
      </c>
      <c r="B70" s="111" t="s">
        <v>678</v>
      </c>
      <c r="C70" s="111" t="s">
        <v>679</v>
      </c>
      <c r="D70" s="112" t="s">
        <v>680</v>
      </c>
      <c r="E70" s="111" t="s">
        <v>75</v>
      </c>
      <c r="F70" s="112" t="s">
        <v>1602</v>
      </c>
      <c r="G70" s="111" t="s">
        <v>20</v>
      </c>
      <c r="H70" s="111" t="s">
        <v>1684</v>
      </c>
      <c r="I70" s="111">
        <v>201509</v>
      </c>
      <c r="J70" s="113">
        <v>2.37</v>
      </c>
      <c r="K70" s="72">
        <f t="shared" si="4"/>
        <v>42675</v>
      </c>
      <c r="L70" s="67">
        <f t="shared" si="5"/>
        <v>6</v>
      </c>
      <c r="M70" s="114">
        <v>1.4833299999999999E-3</v>
      </c>
      <c r="N70" s="104">
        <f t="shared" si="6"/>
        <v>2.1092952600000003E-2</v>
      </c>
      <c r="O70" s="66"/>
      <c r="P70" s="66">
        <f t="shared" ref="P70:P133" si="7">($P$4*0.5*J70*$U$11)</f>
        <v>0</v>
      </c>
      <c r="Q70" s="66"/>
      <c r="R70" s="66">
        <f t="shared" ref="R70:R133" si="8">($R$4*0.5*J70*$U$11)</f>
        <v>3.626445625E-2</v>
      </c>
      <c r="S70" s="117"/>
    </row>
    <row r="71" spans="1:19">
      <c r="A71" s="110" t="s">
        <v>626</v>
      </c>
      <c r="B71" s="111" t="s">
        <v>1082</v>
      </c>
      <c r="C71" s="111" t="s">
        <v>1083</v>
      </c>
      <c r="D71" s="112" t="s">
        <v>1084</v>
      </c>
      <c r="E71" s="111" t="s">
        <v>75</v>
      </c>
      <c r="F71" s="112" t="s">
        <v>1602</v>
      </c>
      <c r="G71" s="111" t="s">
        <v>20</v>
      </c>
      <c r="H71" s="111" t="s">
        <v>1684</v>
      </c>
      <c r="I71" s="111">
        <v>201509</v>
      </c>
      <c r="J71" s="113">
        <v>-436.66</v>
      </c>
      <c r="K71" s="72">
        <f t="shared" ref="K71:K134" si="9">+K70</f>
        <v>42675</v>
      </c>
      <c r="L71" s="67">
        <f t="shared" si="5"/>
        <v>6</v>
      </c>
      <c r="M71" s="114">
        <v>1.4833299999999999E-3</v>
      </c>
      <c r="N71" s="104">
        <f t="shared" si="6"/>
        <v>-3.8862652668000002</v>
      </c>
      <c r="O71" s="66"/>
      <c r="P71" s="66">
        <f t="shared" si="7"/>
        <v>0</v>
      </c>
      <c r="Q71" s="66"/>
      <c r="R71" s="66">
        <f t="shared" si="8"/>
        <v>-6.6815347958333327</v>
      </c>
      <c r="S71" s="117"/>
    </row>
    <row r="72" spans="1:19">
      <c r="A72" s="110" t="s">
        <v>626</v>
      </c>
      <c r="B72" s="111" t="s">
        <v>1188</v>
      </c>
      <c r="C72" s="111" t="s">
        <v>1189</v>
      </c>
      <c r="D72" s="112" t="s">
        <v>1190</v>
      </c>
      <c r="E72" s="111" t="s">
        <v>75</v>
      </c>
      <c r="F72" s="112" t="s">
        <v>1602</v>
      </c>
      <c r="G72" s="111" t="s">
        <v>20</v>
      </c>
      <c r="H72" s="111" t="s">
        <v>1684</v>
      </c>
      <c r="I72" s="111">
        <v>201509</v>
      </c>
      <c r="J72" s="113">
        <v>-103.02</v>
      </c>
      <c r="K72" s="72">
        <f t="shared" si="9"/>
        <v>42675</v>
      </c>
      <c r="L72" s="67">
        <f t="shared" si="5"/>
        <v>6</v>
      </c>
      <c r="M72" s="114">
        <v>1.4833299999999999E-3</v>
      </c>
      <c r="N72" s="104">
        <f t="shared" si="6"/>
        <v>-0.91687593960000002</v>
      </c>
      <c r="O72" s="66"/>
      <c r="P72" s="66">
        <f t="shared" si="7"/>
        <v>0</v>
      </c>
      <c r="Q72" s="66"/>
      <c r="R72" s="66">
        <f t="shared" si="8"/>
        <v>-1.5763562374999998</v>
      </c>
      <c r="S72" s="117"/>
    </row>
    <row r="73" spans="1:19">
      <c r="A73" s="116" t="s">
        <v>626</v>
      </c>
      <c r="B73" s="111" t="s">
        <v>1085</v>
      </c>
      <c r="C73" s="111" t="s">
        <v>1086</v>
      </c>
      <c r="D73" s="112" t="s">
        <v>1087</v>
      </c>
      <c r="E73" s="111" t="s">
        <v>75</v>
      </c>
      <c r="F73" s="112" t="s">
        <v>1602</v>
      </c>
      <c r="G73" s="111" t="s">
        <v>20</v>
      </c>
      <c r="H73" s="111" t="s">
        <v>1684</v>
      </c>
      <c r="I73" s="111">
        <v>201509</v>
      </c>
      <c r="J73" s="113">
        <v>-8.1199999999999992</v>
      </c>
      <c r="K73" s="72">
        <f t="shared" si="9"/>
        <v>42675</v>
      </c>
      <c r="L73" s="67">
        <f t="shared" si="5"/>
        <v>6</v>
      </c>
      <c r="M73" s="114">
        <v>1.4833299999999999E-3</v>
      </c>
      <c r="N73" s="104">
        <f t="shared" si="6"/>
        <v>-7.2267837599999996E-2</v>
      </c>
      <c r="O73" s="66"/>
      <c r="P73" s="66">
        <f t="shared" si="7"/>
        <v>0</v>
      </c>
      <c r="Q73" s="66"/>
      <c r="R73" s="66">
        <f t="shared" si="8"/>
        <v>-0.12424784166666664</v>
      </c>
      <c r="S73" s="117"/>
    </row>
    <row r="74" spans="1:19">
      <c r="A74" s="116" t="s">
        <v>21</v>
      </c>
      <c r="B74" s="111" t="s">
        <v>888</v>
      </c>
      <c r="C74" s="111" t="s">
        <v>889</v>
      </c>
      <c r="D74" s="112" t="s">
        <v>890</v>
      </c>
      <c r="E74" s="111" t="s">
        <v>280</v>
      </c>
      <c r="F74" s="112" t="s">
        <v>26</v>
      </c>
      <c r="G74" s="111" t="s">
        <v>20</v>
      </c>
      <c r="H74" s="111" t="s">
        <v>1684</v>
      </c>
      <c r="I74" s="111">
        <v>201509</v>
      </c>
      <c r="J74" s="113">
        <v>-3.83</v>
      </c>
      <c r="K74" s="72">
        <f t="shared" si="9"/>
        <v>42675</v>
      </c>
      <c r="L74" s="67">
        <f t="shared" si="5"/>
        <v>6</v>
      </c>
      <c r="M74" s="114">
        <v>1.4833299999999999E-3</v>
      </c>
      <c r="N74" s="104">
        <f t="shared" si="6"/>
        <v>-3.4086923400000003E-2</v>
      </c>
      <c r="O74" s="66"/>
      <c r="P74" s="66">
        <f t="shared" si="7"/>
        <v>0</v>
      </c>
      <c r="Q74" s="66"/>
      <c r="R74" s="66">
        <f t="shared" si="8"/>
        <v>-5.860458541666666E-2</v>
      </c>
      <c r="S74" s="117"/>
    </row>
    <row r="75" spans="1:19">
      <c r="A75" s="116" t="s">
        <v>626</v>
      </c>
      <c r="B75" s="111" t="s">
        <v>944</v>
      </c>
      <c r="C75" s="111" t="s">
        <v>945</v>
      </c>
      <c r="D75" s="112" t="s">
        <v>946</v>
      </c>
      <c r="E75" s="111" t="s">
        <v>164</v>
      </c>
      <c r="F75" s="112" t="s">
        <v>1600</v>
      </c>
      <c r="G75" s="111" t="s">
        <v>20</v>
      </c>
      <c r="H75" s="111" t="s">
        <v>1684</v>
      </c>
      <c r="I75" s="111">
        <v>201509</v>
      </c>
      <c r="J75" s="113">
        <v>-26.05</v>
      </c>
      <c r="K75" s="72">
        <f t="shared" si="9"/>
        <v>42675</v>
      </c>
      <c r="L75" s="67">
        <f t="shared" si="5"/>
        <v>6</v>
      </c>
      <c r="M75" s="114">
        <v>1.4833299999999999E-3</v>
      </c>
      <c r="N75" s="104">
        <f t="shared" si="6"/>
        <v>-0.23184447900000002</v>
      </c>
      <c r="O75" s="66"/>
      <c r="P75" s="66">
        <f t="shared" si="7"/>
        <v>0</v>
      </c>
      <c r="Q75" s="66"/>
      <c r="R75" s="66">
        <f t="shared" si="8"/>
        <v>-0.39860298958333334</v>
      </c>
      <c r="S75" s="117"/>
    </row>
    <row r="76" spans="1:19">
      <c r="A76" s="116" t="s">
        <v>626</v>
      </c>
      <c r="B76" s="111" t="s">
        <v>1253</v>
      </c>
      <c r="C76" s="111" t="s">
        <v>1254</v>
      </c>
      <c r="D76" s="112" t="s">
        <v>1255</v>
      </c>
      <c r="E76" s="111" t="s">
        <v>25</v>
      </c>
      <c r="F76" s="112" t="s">
        <v>26</v>
      </c>
      <c r="G76" s="111" t="s">
        <v>20</v>
      </c>
      <c r="H76" s="111" t="s">
        <v>1684</v>
      </c>
      <c r="I76" s="111">
        <v>201509</v>
      </c>
      <c r="J76" s="113">
        <v>-330.94</v>
      </c>
      <c r="K76" s="72">
        <f t="shared" si="9"/>
        <v>42675</v>
      </c>
      <c r="L76" s="67">
        <f t="shared" si="5"/>
        <v>6</v>
      </c>
      <c r="M76" s="114">
        <v>1.4833299999999999E-3</v>
      </c>
      <c r="N76" s="104">
        <f t="shared" si="6"/>
        <v>-2.9453593811999998</v>
      </c>
      <c r="O76" s="66"/>
      <c r="P76" s="66">
        <f t="shared" si="7"/>
        <v>0</v>
      </c>
      <c r="Q76" s="66"/>
      <c r="R76" s="66">
        <f t="shared" si="8"/>
        <v>-5.0638646208333329</v>
      </c>
      <c r="S76" s="117"/>
    </row>
    <row r="77" spans="1:19">
      <c r="A77" s="116" t="s">
        <v>626</v>
      </c>
      <c r="B77" s="111" t="s">
        <v>1038</v>
      </c>
      <c r="C77" s="111" t="s">
        <v>1039</v>
      </c>
      <c r="D77" s="112" t="s">
        <v>1040</v>
      </c>
      <c r="E77" s="111" t="s">
        <v>75</v>
      </c>
      <c r="F77" s="112" t="s">
        <v>1602</v>
      </c>
      <c r="G77" s="111" t="s">
        <v>20</v>
      </c>
      <c r="H77" s="111" t="s">
        <v>1684</v>
      </c>
      <c r="I77" s="111">
        <v>201509</v>
      </c>
      <c r="J77" s="113">
        <v>-14.42</v>
      </c>
      <c r="K77" s="72">
        <f t="shared" si="9"/>
        <v>42675</v>
      </c>
      <c r="L77" s="67">
        <f t="shared" si="5"/>
        <v>6</v>
      </c>
      <c r="M77" s="114">
        <v>1.4833299999999999E-3</v>
      </c>
      <c r="N77" s="104">
        <f t="shared" si="6"/>
        <v>-0.12833771159999999</v>
      </c>
      <c r="O77" s="66"/>
      <c r="P77" s="66">
        <f t="shared" si="7"/>
        <v>0</v>
      </c>
      <c r="Q77" s="66"/>
      <c r="R77" s="66">
        <f t="shared" si="8"/>
        <v>-0.22064702916666662</v>
      </c>
      <c r="S77" s="117"/>
    </row>
    <row r="78" spans="1:19">
      <c r="A78" s="116" t="s">
        <v>21</v>
      </c>
      <c r="B78" s="111" t="s">
        <v>1191</v>
      </c>
      <c r="C78" s="111" t="s">
        <v>1192</v>
      </c>
      <c r="D78" s="112" t="s">
        <v>1193</v>
      </c>
      <c r="E78" s="111" t="s">
        <v>402</v>
      </c>
      <c r="F78" s="112" t="s">
        <v>19</v>
      </c>
      <c r="G78" s="111" t="s">
        <v>20</v>
      </c>
      <c r="H78" s="111" t="s">
        <v>1684</v>
      </c>
      <c r="I78" s="111">
        <v>201509</v>
      </c>
      <c r="J78" s="113">
        <v>-244.47</v>
      </c>
      <c r="K78" s="72">
        <f t="shared" si="9"/>
        <v>42675</v>
      </c>
      <c r="L78" s="67">
        <f t="shared" si="5"/>
        <v>6</v>
      </c>
      <c r="M78" s="114">
        <v>1.4833299999999999E-3</v>
      </c>
      <c r="N78" s="104">
        <f t="shared" si="6"/>
        <v>-2.1757781106</v>
      </c>
      <c r="O78" s="66"/>
      <c r="P78" s="66">
        <f t="shared" si="7"/>
        <v>0</v>
      </c>
      <c r="Q78" s="66"/>
      <c r="R78" s="66">
        <f t="shared" si="8"/>
        <v>-3.7407475187499997</v>
      </c>
      <c r="S78" s="117"/>
    </row>
    <row r="79" spans="1:19">
      <c r="A79" s="116" t="s">
        <v>626</v>
      </c>
      <c r="B79" s="111" t="s">
        <v>947</v>
      </c>
      <c r="C79" s="111" t="s">
        <v>948</v>
      </c>
      <c r="D79" s="112" t="s">
        <v>949</v>
      </c>
      <c r="E79" s="111" t="s">
        <v>75</v>
      </c>
      <c r="F79" s="112" t="s">
        <v>1602</v>
      </c>
      <c r="G79" s="111" t="s">
        <v>20</v>
      </c>
      <c r="H79" s="111" t="s">
        <v>1684</v>
      </c>
      <c r="I79" s="111">
        <v>201509</v>
      </c>
      <c r="J79" s="113">
        <v>-0.46</v>
      </c>
      <c r="K79" s="72">
        <f t="shared" si="9"/>
        <v>42675</v>
      </c>
      <c r="L79" s="67">
        <f t="shared" si="5"/>
        <v>6</v>
      </c>
      <c r="M79" s="114">
        <v>1.4833299999999999E-3</v>
      </c>
      <c r="N79" s="104">
        <f t="shared" si="6"/>
        <v>-4.0939907999999999E-3</v>
      </c>
      <c r="O79" s="66"/>
      <c r="P79" s="66">
        <f t="shared" si="7"/>
        <v>0</v>
      </c>
      <c r="Q79" s="66"/>
      <c r="R79" s="66">
        <f t="shared" si="8"/>
        <v>-7.0386708333333332E-3</v>
      </c>
      <c r="S79" s="117"/>
    </row>
    <row r="80" spans="1:19">
      <c r="A80" s="110" t="s">
        <v>626</v>
      </c>
      <c r="B80" s="111" t="s">
        <v>1041</v>
      </c>
      <c r="C80" s="111" t="s">
        <v>1042</v>
      </c>
      <c r="D80" s="112" t="s">
        <v>1043</v>
      </c>
      <c r="E80" s="111" t="s">
        <v>75</v>
      </c>
      <c r="F80" s="112" t="s">
        <v>1602</v>
      </c>
      <c r="G80" s="111" t="s">
        <v>20</v>
      </c>
      <c r="H80" s="111" t="s">
        <v>1684</v>
      </c>
      <c r="I80" s="111">
        <v>201509</v>
      </c>
      <c r="J80" s="113">
        <v>-19.68</v>
      </c>
      <c r="K80" s="72">
        <f t="shared" si="9"/>
        <v>42675</v>
      </c>
      <c r="L80" s="67">
        <f t="shared" si="5"/>
        <v>6</v>
      </c>
      <c r="M80" s="114">
        <v>1.4833299999999999E-3</v>
      </c>
      <c r="N80" s="104">
        <f t="shared" si="6"/>
        <v>-0.17515160639999999</v>
      </c>
      <c r="O80" s="66"/>
      <c r="P80" s="66">
        <f t="shared" si="7"/>
        <v>0</v>
      </c>
      <c r="Q80" s="66"/>
      <c r="R80" s="66">
        <f t="shared" si="8"/>
        <v>-0.30113269999999998</v>
      </c>
      <c r="S80" s="117"/>
    </row>
    <row r="81" spans="1:19">
      <c r="A81" s="110" t="s">
        <v>626</v>
      </c>
      <c r="B81" s="111" t="s">
        <v>1194</v>
      </c>
      <c r="C81" s="111" t="s">
        <v>1195</v>
      </c>
      <c r="D81" s="112" t="s">
        <v>1196</v>
      </c>
      <c r="E81" s="111" t="s">
        <v>75</v>
      </c>
      <c r="F81" s="112" t="s">
        <v>1602</v>
      </c>
      <c r="G81" s="111" t="s">
        <v>20</v>
      </c>
      <c r="H81" s="111" t="s">
        <v>1684</v>
      </c>
      <c r="I81" s="111">
        <v>201509</v>
      </c>
      <c r="J81" s="113">
        <v>-252</v>
      </c>
      <c r="K81" s="72">
        <f t="shared" si="9"/>
        <v>42675</v>
      </c>
      <c r="L81" s="67">
        <f t="shared" si="5"/>
        <v>6</v>
      </c>
      <c r="M81" s="114">
        <v>1.4833299999999999E-3</v>
      </c>
      <c r="N81" s="104">
        <f t="shared" si="6"/>
        <v>-2.2427949599999999</v>
      </c>
      <c r="O81" s="66"/>
      <c r="P81" s="66">
        <f t="shared" si="7"/>
        <v>0</v>
      </c>
      <c r="Q81" s="66"/>
      <c r="R81" s="66">
        <f t="shared" si="8"/>
        <v>-3.8559674999999998</v>
      </c>
      <c r="S81" s="117"/>
    </row>
    <row r="82" spans="1:19">
      <c r="A82" s="110" t="s">
        <v>626</v>
      </c>
      <c r="B82" s="111" t="s">
        <v>1133</v>
      </c>
      <c r="C82" s="111" t="s">
        <v>1134</v>
      </c>
      <c r="D82" s="112" t="s">
        <v>1135</v>
      </c>
      <c r="E82" s="111" t="s">
        <v>471</v>
      </c>
      <c r="F82" s="112" t="s">
        <v>165</v>
      </c>
      <c r="G82" s="111" t="s">
        <v>20</v>
      </c>
      <c r="H82" s="111" t="s">
        <v>1684</v>
      </c>
      <c r="I82" s="111">
        <v>201509</v>
      </c>
      <c r="J82" s="113">
        <v>-42.58</v>
      </c>
      <c r="K82" s="72">
        <f t="shared" si="9"/>
        <v>42675</v>
      </c>
      <c r="L82" s="67">
        <f t="shared" si="5"/>
        <v>6</v>
      </c>
      <c r="M82" s="114">
        <v>1.4833299999999999E-3</v>
      </c>
      <c r="N82" s="104">
        <f t="shared" si="6"/>
        <v>-0.3789611484</v>
      </c>
      <c r="O82" s="66"/>
      <c r="P82" s="66">
        <f t="shared" si="7"/>
        <v>0</v>
      </c>
      <c r="Q82" s="66"/>
      <c r="R82" s="66">
        <f t="shared" si="8"/>
        <v>-0.65153609583333327</v>
      </c>
      <c r="S82" s="117"/>
    </row>
    <row r="83" spans="1:19">
      <c r="A83" s="110" t="s">
        <v>626</v>
      </c>
      <c r="B83" s="111" t="s">
        <v>1197</v>
      </c>
      <c r="C83" s="111" t="s">
        <v>1198</v>
      </c>
      <c r="D83" s="112" t="s">
        <v>1199</v>
      </c>
      <c r="E83" s="111" t="s">
        <v>18</v>
      </c>
      <c r="F83" s="112" t="s">
        <v>19</v>
      </c>
      <c r="G83" s="111" t="s">
        <v>20</v>
      </c>
      <c r="H83" s="111" t="s">
        <v>1684</v>
      </c>
      <c r="I83" s="111">
        <v>201509</v>
      </c>
      <c r="J83" s="113">
        <v>-51.02</v>
      </c>
      <c r="K83" s="72">
        <f t="shared" si="9"/>
        <v>42675</v>
      </c>
      <c r="L83" s="67">
        <f t="shared" si="5"/>
        <v>6</v>
      </c>
      <c r="M83" s="114">
        <v>1.4833299999999999E-3</v>
      </c>
      <c r="N83" s="104">
        <f t="shared" si="6"/>
        <v>-0.45407697960000004</v>
      </c>
      <c r="O83" s="66"/>
      <c r="P83" s="66">
        <f t="shared" si="7"/>
        <v>0</v>
      </c>
      <c r="Q83" s="66"/>
      <c r="R83" s="66">
        <f t="shared" si="8"/>
        <v>-0.78068040416666662</v>
      </c>
      <c r="S83" s="117"/>
    </row>
    <row r="84" spans="1:19">
      <c r="A84" s="110" t="s">
        <v>21</v>
      </c>
      <c r="B84" s="111" t="s">
        <v>1256</v>
      </c>
      <c r="C84" s="111" t="s">
        <v>1257</v>
      </c>
      <c r="D84" s="112" t="s">
        <v>1258</v>
      </c>
      <c r="E84" s="111" t="s">
        <v>75</v>
      </c>
      <c r="F84" s="112" t="s">
        <v>1602</v>
      </c>
      <c r="G84" s="111" t="s">
        <v>20</v>
      </c>
      <c r="H84" s="111" t="s">
        <v>1684</v>
      </c>
      <c r="I84" s="111">
        <v>201509</v>
      </c>
      <c r="J84" s="113">
        <v>-0.59</v>
      </c>
      <c r="K84" s="72">
        <f t="shared" si="9"/>
        <v>42675</v>
      </c>
      <c r="L84" s="67">
        <f t="shared" si="5"/>
        <v>6</v>
      </c>
      <c r="M84" s="114">
        <v>1.4833299999999999E-3</v>
      </c>
      <c r="N84" s="104">
        <f t="shared" si="6"/>
        <v>-5.2509881999999999E-3</v>
      </c>
      <c r="O84" s="66"/>
      <c r="P84" s="66">
        <f t="shared" si="7"/>
        <v>0</v>
      </c>
      <c r="Q84" s="66"/>
      <c r="R84" s="66">
        <f t="shared" si="8"/>
        <v>-9.0278604166666651E-3</v>
      </c>
      <c r="S84" s="117"/>
    </row>
    <row r="85" spans="1:19">
      <c r="A85" s="110" t="s">
        <v>626</v>
      </c>
      <c r="B85" s="111" t="s">
        <v>1256</v>
      </c>
      <c r="C85" s="111" t="s">
        <v>1257</v>
      </c>
      <c r="D85" s="112" t="s">
        <v>1258</v>
      </c>
      <c r="E85" s="111" t="s">
        <v>75</v>
      </c>
      <c r="F85" s="112" t="s">
        <v>1602</v>
      </c>
      <c r="G85" s="111" t="s">
        <v>20</v>
      </c>
      <c r="H85" s="111" t="s">
        <v>1684</v>
      </c>
      <c r="I85" s="111">
        <v>201509</v>
      </c>
      <c r="J85" s="113">
        <v>-1172.8399999999999</v>
      </c>
      <c r="K85" s="72">
        <f t="shared" si="9"/>
        <v>42675</v>
      </c>
      <c r="L85" s="67">
        <f t="shared" si="5"/>
        <v>6</v>
      </c>
      <c r="M85" s="114">
        <v>1.4833299999999999E-3</v>
      </c>
      <c r="N85" s="104">
        <f t="shared" si="6"/>
        <v>-10.438252543199999</v>
      </c>
      <c r="O85" s="66"/>
      <c r="P85" s="66">
        <f t="shared" si="7"/>
        <v>0</v>
      </c>
      <c r="Q85" s="66"/>
      <c r="R85" s="66">
        <f t="shared" si="8"/>
        <v>-17.946162391666665</v>
      </c>
      <c r="S85" s="117"/>
    </row>
    <row r="86" spans="1:19">
      <c r="A86" s="110" t="s">
        <v>626</v>
      </c>
      <c r="B86" s="111" t="s">
        <v>1139</v>
      </c>
      <c r="C86" s="111" t="s">
        <v>1140</v>
      </c>
      <c r="D86" s="112" t="s">
        <v>1141</v>
      </c>
      <c r="E86" s="111" t="s">
        <v>280</v>
      </c>
      <c r="F86" s="112" t="s">
        <v>26</v>
      </c>
      <c r="G86" s="111" t="s">
        <v>20</v>
      </c>
      <c r="H86" s="111" t="s">
        <v>1684</v>
      </c>
      <c r="I86" s="111">
        <v>201509</v>
      </c>
      <c r="J86" s="113">
        <v>-192.94</v>
      </c>
      <c r="K86" s="72">
        <f t="shared" si="9"/>
        <v>42675</v>
      </c>
      <c r="L86" s="67">
        <f t="shared" si="5"/>
        <v>6</v>
      </c>
      <c r="M86" s="114">
        <v>1.4833299999999999E-3</v>
      </c>
      <c r="N86" s="104">
        <f t="shared" si="6"/>
        <v>-1.7171621412</v>
      </c>
      <c r="O86" s="66"/>
      <c r="P86" s="66">
        <f t="shared" si="7"/>
        <v>0</v>
      </c>
      <c r="Q86" s="66"/>
      <c r="R86" s="66">
        <f t="shared" si="8"/>
        <v>-2.9522633708333328</v>
      </c>
      <c r="S86" s="117"/>
    </row>
    <row r="87" spans="1:19">
      <c r="A87" s="110" t="s">
        <v>626</v>
      </c>
      <c r="B87" s="111" t="s">
        <v>1200</v>
      </c>
      <c r="C87" s="111" t="s">
        <v>1201</v>
      </c>
      <c r="D87" s="112" t="s">
        <v>1202</v>
      </c>
      <c r="E87" s="111" t="s">
        <v>75</v>
      </c>
      <c r="F87" s="112" t="s">
        <v>1602</v>
      </c>
      <c r="G87" s="111" t="s">
        <v>20</v>
      </c>
      <c r="H87" s="111" t="s">
        <v>1684</v>
      </c>
      <c r="I87" s="111">
        <v>201509</v>
      </c>
      <c r="J87" s="113">
        <v>-759.11</v>
      </c>
      <c r="K87" s="72">
        <f t="shared" si="9"/>
        <v>42675</v>
      </c>
      <c r="L87" s="67">
        <f t="shared" si="5"/>
        <v>6</v>
      </c>
      <c r="M87" s="114">
        <v>1.4833299999999999E-3</v>
      </c>
      <c r="N87" s="104">
        <f t="shared" si="6"/>
        <v>-6.7560638178000003</v>
      </c>
      <c r="O87" s="66"/>
      <c r="P87" s="66">
        <f t="shared" si="7"/>
        <v>0</v>
      </c>
      <c r="Q87" s="66"/>
      <c r="R87" s="66">
        <f t="shared" si="8"/>
        <v>-11.615490035416665</v>
      </c>
      <c r="S87" s="117"/>
    </row>
    <row r="88" spans="1:19">
      <c r="A88" s="110" t="s">
        <v>626</v>
      </c>
      <c r="B88" s="111" t="s">
        <v>1142</v>
      </c>
      <c r="C88" s="111" t="s">
        <v>1143</v>
      </c>
      <c r="D88" s="112" t="s">
        <v>1144</v>
      </c>
      <c r="E88" s="111" t="s">
        <v>164</v>
      </c>
      <c r="F88" s="112" t="s">
        <v>1600</v>
      </c>
      <c r="G88" s="111" t="s">
        <v>20</v>
      </c>
      <c r="H88" s="111" t="s">
        <v>1684</v>
      </c>
      <c r="I88" s="111">
        <v>201509</v>
      </c>
      <c r="J88" s="113">
        <v>-1290.57</v>
      </c>
      <c r="K88" s="72">
        <f t="shared" si="9"/>
        <v>42675</v>
      </c>
      <c r="L88" s="67">
        <f t="shared" si="5"/>
        <v>6</v>
      </c>
      <c r="M88" s="114">
        <v>1.4833299999999999E-3</v>
      </c>
      <c r="N88" s="104">
        <f t="shared" si="6"/>
        <v>-11.486047188599999</v>
      </c>
      <c r="O88" s="66"/>
      <c r="P88" s="66">
        <f t="shared" si="7"/>
        <v>0</v>
      </c>
      <c r="Q88" s="66"/>
      <c r="R88" s="66">
        <f t="shared" si="8"/>
        <v>-19.747603081249995</v>
      </c>
      <c r="S88" s="117"/>
    </row>
    <row r="89" spans="1:19">
      <c r="A89" s="110" t="s">
        <v>626</v>
      </c>
      <c r="B89" s="111" t="s">
        <v>906</v>
      </c>
      <c r="C89" s="111" t="s">
        <v>907</v>
      </c>
      <c r="D89" s="112" t="s">
        <v>908</v>
      </c>
      <c r="E89" s="111" t="s">
        <v>471</v>
      </c>
      <c r="F89" s="112" t="s">
        <v>165</v>
      </c>
      <c r="G89" s="111" t="s">
        <v>20</v>
      </c>
      <c r="H89" s="111" t="s">
        <v>1684</v>
      </c>
      <c r="I89" s="111">
        <v>201509</v>
      </c>
      <c r="J89" s="113">
        <v>215.5</v>
      </c>
      <c r="K89" s="72">
        <f t="shared" si="9"/>
        <v>42675</v>
      </c>
      <c r="L89" s="67">
        <f t="shared" si="5"/>
        <v>6</v>
      </c>
      <c r="M89" s="114">
        <v>1.4833299999999999E-3</v>
      </c>
      <c r="N89" s="104">
        <f t="shared" si="6"/>
        <v>1.91794569</v>
      </c>
      <c r="O89" s="66"/>
      <c r="P89" s="66">
        <f t="shared" si="7"/>
        <v>0</v>
      </c>
      <c r="Q89" s="66"/>
      <c r="R89" s="66">
        <f t="shared" si="8"/>
        <v>3.2974642708333333</v>
      </c>
      <c r="S89" s="117"/>
    </row>
    <row r="90" spans="1:19">
      <c r="A90" s="110" t="s">
        <v>21</v>
      </c>
      <c r="B90" s="111" t="s">
        <v>953</v>
      </c>
      <c r="C90" s="111" t="s">
        <v>954</v>
      </c>
      <c r="D90" s="112" t="s">
        <v>955</v>
      </c>
      <c r="E90" s="111" t="s">
        <v>531</v>
      </c>
      <c r="F90" s="112" t="s">
        <v>26</v>
      </c>
      <c r="G90" s="111" t="s">
        <v>20</v>
      </c>
      <c r="H90" s="111" t="s">
        <v>1684</v>
      </c>
      <c r="I90" s="111">
        <v>201509</v>
      </c>
      <c r="J90" s="113">
        <v>-0.59</v>
      </c>
      <c r="K90" s="72">
        <f t="shared" si="9"/>
        <v>42675</v>
      </c>
      <c r="L90" s="67">
        <f t="shared" si="5"/>
        <v>6</v>
      </c>
      <c r="M90" s="114">
        <v>1.4833299999999999E-3</v>
      </c>
      <c r="N90" s="104">
        <f t="shared" si="6"/>
        <v>-5.2509881999999999E-3</v>
      </c>
      <c r="O90" s="66"/>
      <c r="P90" s="66">
        <f t="shared" si="7"/>
        <v>0</v>
      </c>
      <c r="Q90" s="66"/>
      <c r="R90" s="66">
        <f t="shared" si="8"/>
        <v>-9.0278604166666651E-3</v>
      </c>
      <c r="S90" s="117"/>
    </row>
    <row r="91" spans="1:19">
      <c r="A91" s="116" t="s">
        <v>626</v>
      </c>
      <c r="B91" s="111" t="s">
        <v>1615</v>
      </c>
      <c r="C91" s="111" t="s">
        <v>1616</v>
      </c>
      <c r="D91" s="112" t="s">
        <v>1617</v>
      </c>
      <c r="E91" s="111" t="s">
        <v>497</v>
      </c>
      <c r="F91" s="112" t="s">
        <v>26</v>
      </c>
      <c r="G91" s="111" t="s">
        <v>20</v>
      </c>
      <c r="H91" s="111" t="s">
        <v>1684</v>
      </c>
      <c r="I91" s="111">
        <v>201509</v>
      </c>
      <c r="J91" s="113">
        <v>-953.31</v>
      </c>
      <c r="K91" s="72">
        <f t="shared" si="9"/>
        <v>42675</v>
      </c>
      <c r="L91" s="67">
        <f t="shared" si="5"/>
        <v>6</v>
      </c>
      <c r="M91" s="114">
        <v>1.4833299999999999E-3</v>
      </c>
      <c r="N91" s="104">
        <f t="shared" si="6"/>
        <v>-8.4844399337999992</v>
      </c>
      <c r="O91" s="66"/>
      <c r="P91" s="66">
        <f t="shared" si="7"/>
        <v>0</v>
      </c>
      <c r="Q91" s="66"/>
      <c r="R91" s="66">
        <f t="shared" si="8"/>
        <v>-14.587033243749998</v>
      </c>
      <c r="S91" s="117"/>
    </row>
    <row r="92" spans="1:19">
      <c r="A92" s="116" t="s">
        <v>626</v>
      </c>
      <c r="B92" s="111" t="s">
        <v>909</v>
      </c>
      <c r="C92" s="111" t="s">
        <v>910</v>
      </c>
      <c r="D92" s="112" t="s">
        <v>911</v>
      </c>
      <c r="E92" s="111" t="s">
        <v>79</v>
      </c>
      <c r="F92" s="112" t="s">
        <v>26</v>
      </c>
      <c r="G92" s="111" t="s">
        <v>20</v>
      </c>
      <c r="H92" s="111" t="s">
        <v>1684</v>
      </c>
      <c r="I92" s="111">
        <v>201509</v>
      </c>
      <c r="J92" s="113">
        <v>8.61</v>
      </c>
      <c r="K92" s="72">
        <f t="shared" si="9"/>
        <v>42675</v>
      </c>
      <c r="L92" s="67">
        <f t="shared" si="5"/>
        <v>6</v>
      </c>
      <c r="M92" s="114">
        <v>1.4833299999999999E-3</v>
      </c>
      <c r="N92" s="104">
        <f t="shared" si="6"/>
        <v>7.6628827799999993E-2</v>
      </c>
      <c r="O92" s="66"/>
      <c r="P92" s="66">
        <f t="shared" si="7"/>
        <v>0</v>
      </c>
      <c r="Q92" s="66"/>
      <c r="R92" s="66">
        <f t="shared" si="8"/>
        <v>0.13174555624999998</v>
      </c>
      <c r="S92" s="117"/>
    </row>
    <row r="93" spans="1:19">
      <c r="A93" s="116" t="s">
        <v>626</v>
      </c>
      <c r="B93" s="111" t="s">
        <v>1315</v>
      </c>
      <c r="C93" s="111" t="s">
        <v>1316</v>
      </c>
      <c r="D93" s="112" t="s">
        <v>1317</v>
      </c>
      <c r="E93" s="111" t="s">
        <v>497</v>
      </c>
      <c r="F93" s="112" t="s">
        <v>26</v>
      </c>
      <c r="G93" s="111" t="s">
        <v>20</v>
      </c>
      <c r="H93" s="111" t="s">
        <v>1684</v>
      </c>
      <c r="I93" s="111">
        <v>201509</v>
      </c>
      <c r="J93" s="113">
        <v>-96.38</v>
      </c>
      <c r="K93" s="72">
        <f t="shared" si="9"/>
        <v>42675</v>
      </c>
      <c r="L93" s="67">
        <f t="shared" si="5"/>
        <v>6</v>
      </c>
      <c r="M93" s="114">
        <v>1.4833299999999999E-3</v>
      </c>
      <c r="N93" s="104">
        <f t="shared" si="6"/>
        <v>-0.85778007239999998</v>
      </c>
      <c r="O93" s="66"/>
      <c r="P93" s="66">
        <f t="shared" si="7"/>
        <v>0</v>
      </c>
      <c r="Q93" s="66"/>
      <c r="R93" s="66">
        <f t="shared" si="8"/>
        <v>-1.4747545541666665</v>
      </c>
      <c r="S93" s="117"/>
    </row>
    <row r="94" spans="1:19">
      <c r="A94" s="116" t="s">
        <v>626</v>
      </c>
      <c r="B94" s="111" t="s">
        <v>1203</v>
      </c>
      <c r="C94" s="111" t="s">
        <v>1204</v>
      </c>
      <c r="D94" s="112" t="s">
        <v>1205</v>
      </c>
      <c r="E94" s="111" t="s">
        <v>260</v>
      </c>
      <c r="F94" s="112" t="s">
        <v>1608</v>
      </c>
      <c r="G94" s="111" t="s">
        <v>20</v>
      </c>
      <c r="H94" s="111" t="s">
        <v>1684</v>
      </c>
      <c r="I94" s="111">
        <v>201509</v>
      </c>
      <c r="J94" s="113">
        <v>-96.95</v>
      </c>
      <c r="K94" s="72">
        <f t="shared" si="9"/>
        <v>42675</v>
      </c>
      <c r="L94" s="67">
        <f t="shared" si="5"/>
        <v>6</v>
      </c>
      <c r="M94" s="114">
        <v>1.4833299999999999E-3</v>
      </c>
      <c r="N94" s="104">
        <f t="shared" si="6"/>
        <v>-0.86285306100000003</v>
      </c>
      <c r="O94" s="66"/>
      <c r="P94" s="66">
        <f t="shared" si="7"/>
        <v>0</v>
      </c>
      <c r="Q94" s="66"/>
      <c r="R94" s="66">
        <f t="shared" si="8"/>
        <v>-1.4834763854166666</v>
      </c>
      <c r="S94" s="117"/>
    </row>
    <row r="95" spans="1:19">
      <c r="A95" s="110" t="s">
        <v>626</v>
      </c>
      <c r="B95" s="111" t="s">
        <v>1505</v>
      </c>
      <c r="C95" s="111" t="s">
        <v>1506</v>
      </c>
      <c r="D95" s="112" t="s">
        <v>1507</v>
      </c>
      <c r="E95" s="111" t="s">
        <v>75</v>
      </c>
      <c r="F95" s="112" t="s">
        <v>1602</v>
      </c>
      <c r="G95" s="111" t="s">
        <v>20</v>
      </c>
      <c r="H95" s="111" t="s">
        <v>1684</v>
      </c>
      <c r="I95" s="111">
        <v>201509</v>
      </c>
      <c r="J95" s="113">
        <v>-136.19</v>
      </c>
      <c r="K95" s="72">
        <f t="shared" si="9"/>
        <v>42675</v>
      </c>
      <c r="L95" s="67">
        <f t="shared" si="5"/>
        <v>6</v>
      </c>
      <c r="M95" s="114">
        <v>1.4833299999999999E-3</v>
      </c>
      <c r="N95" s="104">
        <f t="shared" si="6"/>
        <v>-1.2120882762</v>
      </c>
      <c r="O95" s="66"/>
      <c r="P95" s="66">
        <f t="shared" si="7"/>
        <v>0</v>
      </c>
      <c r="Q95" s="66"/>
      <c r="R95" s="66">
        <f t="shared" si="8"/>
        <v>-2.0839056104166667</v>
      </c>
      <c r="S95" s="117"/>
    </row>
    <row r="96" spans="1:19">
      <c r="A96" s="116" t="s">
        <v>626</v>
      </c>
      <c r="B96" s="111" t="s">
        <v>963</v>
      </c>
      <c r="C96" s="111" t="s">
        <v>964</v>
      </c>
      <c r="D96" s="112" t="s">
        <v>965</v>
      </c>
      <c r="E96" s="111" t="s">
        <v>164</v>
      </c>
      <c r="F96" s="112" t="s">
        <v>1600</v>
      </c>
      <c r="G96" s="111" t="s">
        <v>20</v>
      </c>
      <c r="H96" s="111" t="s">
        <v>1684</v>
      </c>
      <c r="I96" s="111">
        <v>201509</v>
      </c>
      <c r="J96" s="113">
        <v>-16.5</v>
      </c>
      <c r="K96" s="72">
        <f t="shared" si="9"/>
        <v>42675</v>
      </c>
      <c r="L96" s="67">
        <f t="shared" si="5"/>
        <v>6</v>
      </c>
      <c r="M96" s="114">
        <v>1.4833299999999999E-3</v>
      </c>
      <c r="N96" s="104">
        <f t="shared" si="6"/>
        <v>-0.14684966999999999</v>
      </c>
      <c r="O96" s="66"/>
      <c r="P96" s="66">
        <f t="shared" si="7"/>
        <v>0</v>
      </c>
      <c r="Q96" s="66"/>
      <c r="R96" s="66">
        <f t="shared" si="8"/>
        <v>-0.25247406249999998</v>
      </c>
      <c r="S96" s="117"/>
    </row>
    <row r="97" spans="1:19">
      <c r="A97" s="116" t="s">
        <v>626</v>
      </c>
      <c r="B97" s="111" t="s">
        <v>1044</v>
      </c>
      <c r="C97" s="111" t="s">
        <v>1045</v>
      </c>
      <c r="D97" s="112" t="s">
        <v>1046</v>
      </c>
      <c r="E97" s="111" t="s">
        <v>164</v>
      </c>
      <c r="F97" s="112" t="s">
        <v>1600</v>
      </c>
      <c r="G97" s="111" t="s">
        <v>20</v>
      </c>
      <c r="H97" s="111" t="s">
        <v>1684</v>
      </c>
      <c r="I97" s="111">
        <v>201509</v>
      </c>
      <c r="J97" s="113">
        <v>-369.47</v>
      </c>
      <c r="K97" s="72">
        <f t="shared" si="9"/>
        <v>42675</v>
      </c>
      <c r="L97" s="67">
        <f t="shared" si="5"/>
        <v>6</v>
      </c>
      <c r="M97" s="114">
        <v>1.4833299999999999E-3</v>
      </c>
      <c r="N97" s="104">
        <f t="shared" si="6"/>
        <v>-3.2882756106000004</v>
      </c>
      <c r="O97" s="66"/>
      <c r="P97" s="66">
        <f t="shared" si="7"/>
        <v>0</v>
      </c>
      <c r="Q97" s="66"/>
      <c r="R97" s="66">
        <f t="shared" si="8"/>
        <v>-5.6534298104166663</v>
      </c>
      <c r="S97" s="117"/>
    </row>
    <row r="98" spans="1:19">
      <c r="A98" s="116" t="s">
        <v>626</v>
      </c>
      <c r="B98" s="111" t="s">
        <v>969</v>
      </c>
      <c r="C98" s="111" t="s">
        <v>970</v>
      </c>
      <c r="D98" s="112" t="s">
        <v>971</v>
      </c>
      <c r="E98" s="111" t="s">
        <v>164</v>
      </c>
      <c r="F98" s="112" t="s">
        <v>1600</v>
      </c>
      <c r="G98" s="111" t="s">
        <v>20</v>
      </c>
      <c r="H98" s="111" t="s">
        <v>1684</v>
      </c>
      <c r="I98" s="111">
        <v>201509</v>
      </c>
      <c r="J98" s="113">
        <v>-55.14</v>
      </c>
      <c r="K98" s="72">
        <f t="shared" si="9"/>
        <v>42675</v>
      </c>
      <c r="L98" s="67">
        <f t="shared" si="5"/>
        <v>6</v>
      </c>
      <c r="M98" s="114">
        <v>1.4833299999999999E-3</v>
      </c>
      <c r="N98" s="104">
        <f t="shared" si="6"/>
        <v>-0.49074489720000003</v>
      </c>
      <c r="O98" s="66"/>
      <c r="P98" s="66">
        <f t="shared" si="7"/>
        <v>0</v>
      </c>
      <c r="Q98" s="66"/>
      <c r="R98" s="66">
        <f t="shared" si="8"/>
        <v>-0.84372241249999991</v>
      </c>
      <c r="S98" s="117"/>
    </row>
    <row r="99" spans="1:19">
      <c r="A99" s="116" t="s">
        <v>21</v>
      </c>
      <c r="B99" s="111" t="s">
        <v>1303</v>
      </c>
      <c r="C99" s="111" t="s">
        <v>1304</v>
      </c>
      <c r="D99" s="112" t="s">
        <v>1305</v>
      </c>
      <c r="E99" s="111" t="s">
        <v>18</v>
      </c>
      <c r="F99" s="112" t="s">
        <v>19</v>
      </c>
      <c r="G99" s="111" t="s">
        <v>20</v>
      </c>
      <c r="H99" s="111" t="s">
        <v>1684</v>
      </c>
      <c r="I99" s="111">
        <v>201509</v>
      </c>
      <c r="J99" s="113">
        <v>-27.94</v>
      </c>
      <c r="K99" s="72">
        <f t="shared" si="9"/>
        <v>42675</v>
      </c>
      <c r="L99" s="67">
        <f t="shared" si="5"/>
        <v>6</v>
      </c>
      <c r="M99" s="114">
        <v>1.4833299999999999E-3</v>
      </c>
      <c r="N99" s="104">
        <f t="shared" si="6"/>
        <v>-0.2486654412</v>
      </c>
      <c r="O99" s="66"/>
      <c r="P99" s="66">
        <f t="shared" si="7"/>
        <v>0</v>
      </c>
      <c r="Q99" s="66"/>
      <c r="R99" s="66">
        <f t="shared" si="8"/>
        <v>-0.42752274583333333</v>
      </c>
      <c r="S99" s="117"/>
    </row>
    <row r="100" spans="1:19">
      <c r="A100" s="116" t="s">
        <v>626</v>
      </c>
      <c r="B100" s="111" t="s">
        <v>912</v>
      </c>
      <c r="C100" s="111" t="s">
        <v>913</v>
      </c>
      <c r="D100" s="112" t="s">
        <v>914</v>
      </c>
      <c r="E100" s="111" t="s">
        <v>164</v>
      </c>
      <c r="F100" s="112" t="s">
        <v>1600</v>
      </c>
      <c r="G100" s="111" t="s">
        <v>20</v>
      </c>
      <c r="H100" s="111" t="s">
        <v>1684</v>
      </c>
      <c r="I100" s="111">
        <v>201509</v>
      </c>
      <c r="J100" s="113">
        <v>-9.32</v>
      </c>
      <c r="K100" s="72">
        <f t="shared" si="9"/>
        <v>42675</v>
      </c>
      <c r="L100" s="67">
        <f t="shared" si="5"/>
        <v>6</v>
      </c>
      <c r="M100" s="114">
        <v>1.4833299999999999E-3</v>
      </c>
      <c r="N100" s="104">
        <f t="shared" si="6"/>
        <v>-8.2947813600000003E-2</v>
      </c>
      <c r="O100" s="66"/>
      <c r="P100" s="66">
        <f t="shared" si="7"/>
        <v>0</v>
      </c>
      <c r="Q100" s="66"/>
      <c r="R100" s="66">
        <f t="shared" si="8"/>
        <v>-0.14260959166666665</v>
      </c>
      <c r="S100" s="117"/>
    </row>
    <row r="101" spans="1:19">
      <c r="A101" s="116" t="s">
        <v>626</v>
      </c>
      <c r="B101" s="111" t="s">
        <v>1555</v>
      </c>
      <c r="C101" s="111" t="s">
        <v>1556</v>
      </c>
      <c r="D101" s="112" t="s">
        <v>1557</v>
      </c>
      <c r="E101" s="111" t="s">
        <v>18</v>
      </c>
      <c r="F101" s="112" t="s">
        <v>19</v>
      </c>
      <c r="G101" s="111" t="s">
        <v>20</v>
      </c>
      <c r="H101" s="111" t="s">
        <v>1684</v>
      </c>
      <c r="I101" s="111">
        <v>201509</v>
      </c>
      <c r="J101" s="113">
        <v>-41.32</v>
      </c>
      <c r="K101" s="72">
        <f t="shared" si="9"/>
        <v>42675</v>
      </c>
      <c r="L101" s="67">
        <f t="shared" si="5"/>
        <v>6</v>
      </c>
      <c r="M101" s="114">
        <v>1.4833299999999999E-3</v>
      </c>
      <c r="N101" s="104">
        <f t="shared" si="6"/>
        <v>-0.36774717359999998</v>
      </c>
      <c r="O101" s="66"/>
      <c r="P101" s="66">
        <f t="shared" si="7"/>
        <v>0</v>
      </c>
      <c r="Q101" s="66"/>
      <c r="R101" s="66">
        <f t="shared" si="8"/>
        <v>-0.63225625833333332</v>
      </c>
      <c r="S101" s="117"/>
    </row>
    <row r="102" spans="1:19">
      <c r="A102" s="116" t="s">
        <v>626</v>
      </c>
      <c r="B102" s="111" t="s">
        <v>919</v>
      </c>
      <c r="C102" s="111" t="s">
        <v>920</v>
      </c>
      <c r="D102" s="112" t="s">
        <v>921</v>
      </c>
      <c r="E102" s="111" t="s">
        <v>164</v>
      </c>
      <c r="F102" s="112" t="s">
        <v>1600</v>
      </c>
      <c r="G102" s="111" t="s">
        <v>20</v>
      </c>
      <c r="H102" s="111" t="s">
        <v>1684</v>
      </c>
      <c r="I102" s="111">
        <v>201509</v>
      </c>
      <c r="J102" s="113">
        <v>-3.35</v>
      </c>
      <c r="K102" s="72">
        <f t="shared" si="9"/>
        <v>42675</v>
      </c>
      <c r="L102" s="67">
        <f t="shared" si="5"/>
        <v>6</v>
      </c>
      <c r="M102" s="114">
        <v>1.4833299999999999E-3</v>
      </c>
      <c r="N102" s="104">
        <f t="shared" si="6"/>
        <v>-2.9814933000000002E-2</v>
      </c>
      <c r="O102" s="66"/>
      <c r="P102" s="66">
        <f t="shared" si="7"/>
        <v>0</v>
      </c>
      <c r="Q102" s="66"/>
      <c r="R102" s="66">
        <f t="shared" si="8"/>
        <v>-5.1259885416666665E-2</v>
      </c>
      <c r="S102" s="117"/>
    </row>
    <row r="103" spans="1:19">
      <c r="A103" s="116" t="s">
        <v>21</v>
      </c>
      <c r="B103" s="111" t="s">
        <v>894</v>
      </c>
      <c r="C103" s="111" t="s">
        <v>895</v>
      </c>
      <c r="D103" s="112" t="s">
        <v>896</v>
      </c>
      <c r="E103" s="111" t="s">
        <v>280</v>
      </c>
      <c r="F103" s="112" t="s">
        <v>26</v>
      </c>
      <c r="G103" s="111" t="s">
        <v>20</v>
      </c>
      <c r="H103" s="111" t="s">
        <v>1684</v>
      </c>
      <c r="I103" s="111">
        <v>201509</v>
      </c>
      <c r="J103" s="113">
        <v>-0.99</v>
      </c>
      <c r="K103" s="72">
        <f t="shared" si="9"/>
        <v>42675</v>
      </c>
      <c r="L103" s="67">
        <f t="shared" si="5"/>
        <v>6</v>
      </c>
      <c r="M103" s="114">
        <v>1.4833299999999999E-3</v>
      </c>
      <c r="N103" s="104">
        <f t="shared" si="6"/>
        <v>-8.8109802000000004E-3</v>
      </c>
      <c r="O103" s="66"/>
      <c r="P103" s="66">
        <f t="shared" si="7"/>
        <v>0</v>
      </c>
      <c r="Q103" s="66"/>
      <c r="R103" s="66">
        <f t="shared" si="8"/>
        <v>-1.5148443749999997E-2</v>
      </c>
      <c r="S103" s="117"/>
    </row>
    <row r="104" spans="1:19">
      <c r="A104" s="116" t="s">
        <v>626</v>
      </c>
      <c r="B104" s="111" t="s">
        <v>1047</v>
      </c>
      <c r="C104" s="111" t="s">
        <v>1048</v>
      </c>
      <c r="D104" s="112" t="s">
        <v>1049</v>
      </c>
      <c r="E104" s="111" t="s">
        <v>164</v>
      </c>
      <c r="F104" s="112" t="s">
        <v>1600</v>
      </c>
      <c r="G104" s="111" t="s">
        <v>20</v>
      </c>
      <c r="H104" s="111" t="s">
        <v>1684</v>
      </c>
      <c r="I104" s="111">
        <v>201509</v>
      </c>
      <c r="J104" s="113">
        <v>-219.94</v>
      </c>
      <c r="K104" s="72">
        <f t="shared" si="9"/>
        <v>42675</v>
      </c>
      <c r="L104" s="67">
        <f t="shared" si="5"/>
        <v>6</v>
      </c>
      <c r="M104" s="114">
        <v>1.4833299999999999E-3</v>
      </c>
      <c r="N104" s="104">
        <f t="shared" si="6"/>
        <v>-1.9574616011999999</v>
      </c>
      <c r="O104" s="66"/>
      <c r="P104" s="66">
        <f t="shared" si="7"/>
        <v>0</v>
      </c>
      <c r="Q104" s="66"/>
      <c r="R104" s="66">
        <f t="shared" si="8"/>
        <v>-3.3654027458333329</v>
      </c>
      <c r="S104" s="117"/>
    </row>
    <row r="105" spans="1:19">
      <c r="A105" s="116" t="s">
        <v>21</v>
      </c>
      <c r="B105" s="111" t="s">
        <v>1502</v>
      </c>
      <c r="C105" s="111" t="s">
        <v>1503</v>
      </c>
      <c r="D105" s="112" t="s">
        <v>1504</v>
      </c>
      <c r="E105" s="111" t="s">
        <v>172</v>
      </c>
      <c r="F105" s="112" t="s">
        <v>1609</v>
      </c>
      <c r="G105" s="111" t="s">
        <v>20</v>
      </c>
      <c r="H105" s="111" t="s">
        <v>1684</v>
      </c>
      <c r="I105" s="111">
        <v>201509</v>
      </c>
      <c r="J105" s="113">
        <v>-53.13</v>
      </c>
      <c r="K105" s="72">
        <f t="shared" si="9"/>
        <v>42675</v>
      </c>
      <c r="L105" s="67">
        <f t="shared" si="5"/>
        <v>6</v>
      </c>
      <c r="M105" s="114">
        <v>1.4833299999999999E-3</v>
      </c>
      <c r="N105" s="104">
        <f t="shared" si="6"/>
        <v>-0.47285593740000004</v>
      </c>
      <c r="O105" s="66"/>
      <c r="P105" s="66">
        <f t="shared" si="7"/>
        <v>0</v>
      </c>
      <c r="Q105" s="66"/>
      <c r="R105" s="66">
        <f t="shared" si="8"/>
        <v>-0.81296648125000004</v>
      </c>
      <c r="S105" s="117"/>
    </row>
    <row r="106" spans="1:19">
      <c r="A106" s="110" t="s">
        <v>21</v>
      </c>
      <c r="B106" s="111" t="s">
        <v>1259</v>
      </c>
      <c r="C106" s="111" t="s">
        <v>1260</v>
      </c>
      <c r="D106" s="112" t="s">
        <v>1261</v>
      </c>
      <c r="E106" s="111" t="s">
        <v>756</v>
      </c>
      <c r="F106" s="112" t="s">
        <v>757</v>
      </c>
      <c r="G106" s="111" t="s">
        <v>20</v>
      </c>
      <c r="H106" s="111" t="s">
        <v>1684</v>
      </c>
      <c r="I106" s="111">
        <v>201509</v>
      </c>
      <c r="J106" s="113">
        <v>-51.99</v>
      </c>
      <c r="K106" s="72">
        <f t="shared" si="9"/>
        <v>42675</v>
      </c>
      <c r="L106" s="67">
        <f t="shared" si="5"/>
        <v>6</v>
      </c>
      <c r="M106" s="114">
        <v>1.4833299999999999E-3</v>
      </c>
      <c r="N106" s="104">
        <f t="shared" si="6"/>
        <v>-0.46270996019999999</v>
      </c>
      <c r="O106" s="66"/>
      <c r="P106" s="66">
        <f t="shared" si="7"/>
        <v>0</v>
      </c>
      <c r="Q106" s="66"/>
      <c r="R106" s="66">
        <f t="shared" si="8"/>
        <v>-0.79552281874999997</v>
      </c>
      <c r="S106" s="117"/>
    </row>
    <row r="107" spans="1:19">
      <c r="A107" s="110" t="s">
        <v>21</v>
      </c>
      <c r="B107" s="111" t="s">
        <v>1306</v>
      </c>
      <c r="C107" s="111" t="s">
        <v>1307</v>
      </c>
      <c r="D107" s="112" t="s">
        <v>1308</v>
      </c>
      <c r="E107" s="111" t="s">
        <v>18</v>
      </c>
      <c r="F107" s="112" t="s">
        <v>19</v>
      </c>
      <c r="G107" s="111" t="s">
        <v>20</v>
      </c>
      <c r="H107" s="111" t="s">
        <v>1684</v>
      </c>
      <c r="I107" s="111">
        <v>201509</v>
      </c>
      <c r="J107" s="113">
        <v>-270.38</v>
      </c>
      <c r="K107" s="72">
        <f t="shared" si="9"/>
        <v>42675</v>
      </c>
      <c r="L107" s="67">
        <f t="shared" si="5"/>
        <v>6</v>
      </c>
      <c r="M107" s="114">
        <v>1.4833299999999999E-3</v>
      </c>
      <c r="N107" s="104">
        <f t="shared" si="6"/>
        <v>-2.4063765924</v>
      </c>
      <c r="O107" s="66"/>
      <c r="P107" s="66">
        <f t="shared" si="7"/>
        <v>0</v>
      </c>
      <c r="Q107" s="66"/>
      <c r="R107" s="66">
        <f t="shared" si="8"/>
        <v>-4.1372083041666663</v>
      </c>
      <c r="S107" s="117"/>
    </row>
    <row r="108" spans="1:19">
      <c r="A108" s="110" t="s">
        <v>626</v>
      </c>
      <c r="B108" s="111" t="s">
        <v>1106</v>
      </c>
      <c r="C108" s="111" t="s">
        <v>1107</v>
      </c>
      <c r="D108" s="112" t="s">
        <v>1108</v>
      </c>
      <c r="E108" s="111" t="s">
        <v>18</v>
      </c>
      <c r="F108" s="112" t="s">
        <v>19</v>
      </c>
      <c r="G108" s="111" t="s">
        <v>20</v>
      </c>
      <c r="H108" s="111" t="s">
        <v>1684</v>
      </c>
      <c r="I108" s="111">
        <v>201509</v>
      </c>
      <c r="J108" s="113">
        <v>-57.75</v>
      </c>
      <c r="K108" s="72">
        <f t="shared" si="9"/>
        <v>42675</v>
      </c>
      <c r="L108" s="67">
        <f t="shared" si="5"/>
        <v>6</v>
      </c>
      <c r="M108" s="114">
        <v>1.4833299999999999E-3</v>
      </c>
      <c r="N108" s="104">
        <f t="shared" si="6"/>
        <v>-0.51397384499999998</v>
      </c>
      <c r="O108" s="66"/>
      <c r="P108" s="66">
        <f t="shared" si="7"/>
        <v>0</v>
      </c>
      <c r="Q108" s="66"/>
      <c r="R108" s="66">
        <f t="shared" si="8"/>
        <v>-0.88365921874999986</v>
      </c>
      <c r="S108" s="117"/>
    </row>
    <row r="109" spans="1:19">
      <c r="A109" s="110" t="s">
        <v>21</v>
      </c>
      <c r="B109" s="111" t="s">
        <v>1262</v>
      </c>
      <c r="C109" s="111" t="s">
        <v>1263</v>
      </c>
      <c r="D109" s="112" t="s">
        <v>1264</v>
      </c>
      <c r="E109" s="111" t="s">
        <v>172</v>
      </c>
      <c r="F109" s="112" t="s">
        <v>1609</v>
      </c>
      <c r="G109" s="111" t="s">
        <v>20</v>
      </c>
      <c r="H109" s="111" t="s">
        <v>1684</v>
      </c>
      <c r="I109" s="111">
        <v>201509</v>
      </c>
      <c r="J109" s="113">
        <v>-54.69</v>
      </c>
      <c r="K109" s="72">
        <f t="shared" si="9"/>
        <v>42675</v>
      </c>
      <c r="L109" s="67">
        <f t="shared" si="5"/>
        <v>6</v>
      </c>
      <c r="M109" s="114">
        <v>1.4833299999999999E-3</v>
      </c>
      <c r="N109" s="104">
        <f t="shared" si="6"/>
        <v>-0.48673990619999996</v>
      </c>
      <c r="O109" s="66"/>
      <c r="P109" s="66">
        <f t="shared" si="7"/>
        <v>0</v>
      </c>
      <c r="Q109" s="66"/>
      <c r="R109" s="66">
        <f t="shared" si="8"/>
        <v>-0.83683675624999987</v>
      </c>
      <c r="S109" s="117"/>
    </row>
    <row r="110" spans="1:19">
      <c r="A110" s="110" t="s">
        <v>21</v>
      </c>
      <c r="B110" s="111" t="s">
        <v>1151</v>
      </c>
      <c r="C110" s="111" t="s">
        <v>1152</v>
      </c>
      <c r="D110" s="112" t="s">
        <v>1153</v>
      </c>
      <c r="E110" s="111" t="s">
        <v>70</v>
      </c>
      <c r="F110" s="112" t="s">
        <v>71</v>
      </c>
      <c r="G110" s="111" t="s">
        <v>20</v>
      </c>
      <c r="H110" s="111" t="s">
        <v>1684</v>
      </c>
      <c r="I110" s="111">
        <v>201509</v>
      </c>
      <c r="J110" s="113">
        <v>-87.12</v>
      </c>
      <c r="K110" s="72">
        <f t="shared" si="9"/>
        <v>42675</v>
      </c>
      <c r="L110" s="67">
        <f t="shared" si="5"/>
        <v>6</v>
      </c>
      <c r="M110" s="114">
        <v>1.4833299999999999E-3</v>
      </c>
      <c r="N110" s="104">
        <f t="shared" si="6"/>
        <v>-0.7753662576</v>
      </c>
      <c r="O110" s="66"/>
      <c r="P110" s="66">
        <f t="shared" si="7"/>
        <v>0</v>
      </c>
      <c r="Q110" s="66"/>
      <c r="R110" s="66">
        <f t="shared" si="8"/>
        <v>-1.3330630499999998</v>
      </c>
      <c r="S110" s="117"/>
    </row>
    <row r="111" spans="1:19">
      <c r="A111" s="110" t="s">
        <v>21</v>
      </c>
      <c r="B111" s="111" t="s">
        <v>978</v>
      </c>
      <c r="C111" s="111" t="s">
        <v>979</v>
      </c>
      <c r="D111" s="112" t="s">
        <v>980</v>
      </c>
      <c r="E111" s="111" t="s">
        <v>102</v>
      </c>
      <c r="F111" s="112" t="s">
        <v>19</v>
      </c>
      <c r="G111" s="111" t="s">
        <v>20</v>
      </c>
      <c r="H111" s="111" t="s">
        <v>1684</v>
      </c>
      <c r="I111" s="111">
        <v>201509</v>
      </c>
      <c r="J111" s="113">
        <v>-66.5</v>
      </c>
      <c r="K111" s="72">
        <f t="shared" si="9"/>
        <v>42675</v>
      </c>
      <c r="L111" s="67">
        <f t="shared" si="5"/>
        <v>6</v>
      </c>
      <c r="M111" s="114">
        <v>1.4833299999999999E-3</v>
      </c>
      <c r="N111" s="104">
        <f t="shared" si="6"/>
        <v>-0.59184866999999997</v>
      </c>
      <c r="O111" s="66"/>
      <c r="P111" s="66">
        <f t="shared" si="7"/>
        <v>0</v>
      </c>
      <c r="Q111" s="66"/>
      <c r="R111" s="66">
        <f t="shared" si="8"/>
        <v>-1.0175469791666665</v>
      </c>
      <c r="S111" s="117"/>
    </row>
    <row r="112" spans="1:19">
      <c r="A112" s="110" t="s">
        <v>21</v>
      </c>
      <c r="B112" s="111" t="s">
        <v>1265</v>
      </c>
      <c r="C112" s="111" t="s">
        <v>1266</v>
      </c>
      <c r="D112" s="112" t="s">
        <v>1267</v>
      </c>
      <c r="E112" s="111" t="s">
        <v>172</v>
      </c>
      <c r="F112" s="112" t="s">
        <v>1609</v>
      </c>
      <c r="G112" s="111" t="s">
        <v>20</v>
      </c>
      <c r="H112" s="111" t="s">
        <v>1684</v>
      </c>
      <c r="I112" s="111">
        <v>201509</v>
      </c>
      <c r="J112" s="113">
        <v>-64.790000000000006</v>
      </c>
      <c r="K112" s="72">
        <f t="shared" si="9"/>
        <v>42675</v>
      </c>
      <c r="L112" s="67">
        <f t="shared" si="5"/>
        <v>6</v>
      </c>
      <c r="M112" s="114">
        <v>1.4833299999999999E-3</v>
      </c>
      <c r="N112" s="104">
        <f t="shared" si="6"/>
        <v>-0.57662970420000004</v>
      </c>
      <c r="O112" s="66"/>
      <c r="P112" s="66">
        <f t="shared" si="7"/>
        <v>0</v>
      </c>
      <c r="Q112" s="66"/>
      <c r="R112" s="66">
        <f t="shared" si="8"/>
        <v>-0.9913814854166666</v>
      </c>
      <c r="S112" s="117"/>
    </row>
    <row r="113" spans="1:19">
      <c r="A113" s="110" t="s">
        <v>626</v>
      </c>
      <c r="B113" s="111" t="s">
        <v>1109</v>
      </c>
      <c r="C113" s="111" t="s">
        <v>1110</v>
      </c>
      <c r="D113" s="112" t="s">
        <v>1111</v>
      </c>
      <c r="E113" s="111" t="s">
        <v>260</v>
      </c>
      <c r="F113" s="112" t="s">
        <v>1608</v>
      </c>
      <c r="G113" s="111" t="s">
        <v>20</v>
      </c>
      <c r="H113" s="111" t="s">
        <v>1684</v>
      </c>
      <c r="I113" s="111">
        <v>201509</v>
      </c>
      <c r="J113" s="113">
        <v>-51.62</v>
      </c>
      <c r="K113" s="72">
        <f t="shared" si="9"/>
        <v>42675</v>
      </c>
      <c r="L113" s="67">
        <f t="shared" si="5"/>
        <v>6</v>
      </c>
      <c r="M113" s="114">
        <v>1.4833299999999999E-3</v>
      </c>
      <c r="N113" s="104">
        <f t="shared" si="6"/>
        <v>-0.4594169676</v>
      </c>
      <c r="O113" s="66"/>
      <c r="P113" s="66">
        <f t="shared" si="7"/>
        <v>0</v>
      </c>
      <c r="Q113" s="66"/>
      <c r="R113" s="66">
        <f t="shared" si="8"/>
        <v>-0.78986127916666649</v>
      </c>
      <c r="S113" s="117"/>
    </row>
    <row r="114" spans="1:19">
      <c r="A114" s="110" t="s">
        <v>626</v>
      </c>
      <c r="B114" s="111" t="s">
        <v>1050</v>
      </c>
      <c r="C114" s="111" t="s">
        <v>1051</v>
      </c>
      <c r="D114" s="112" t="s">
        <v>1052</v>
      </c>
      <c r="E114" s="111" t="s">
        <v>164</v>
      </c>
      <c r="F114" s="112" t="s">
        <v>1600</v>
      </c>
      <c r="G114" s="111" t="s">
        <v>20</v>
      </c>
      <c r="H114" s="111" t="s">
        <v>1684</v>
      </c>
      <c r="I114" s="111">
        <v>201509</v>
      </c>
      <c r="J114" s="113">
        <v>-90.77</v>
      </c>
      <c r="K114" s="72">
        <f t="shared" si="9"/>
        <v>42675</v>
      </c>
      <c r="L114" s="67">
        <f t="shared" si="5"/>
        <v>6</v>
      </c>
      <c r="M114" s="114">
        <v>1.4833299999999999E-3</v>
      </c>
      <c r="N114" s="104">
        <f t="shared" si="6"/>
        <v>-0.80785118459999994</v>
      </c>
      <c r="O114" s="66"/>
      <c r="P114" s="66">
        <f t="shared" si="7"/>
        <v>0</v>
      </c>
      <c r="Q114" s="66"/>
      <c r="R114" s="66">
        <f t="shared" si="8"/>
        <v>-1.3889133729166665</v>
      </c>
      <c r="S114" s="117"/>
    </row>
    <row r="115" spans="1:19">
      <c r="A115" s="110" t="s">
        <v>626</v>
      </c>
      <c r="B115" s="111" t="s">
        <v>1209</v>
      </c>
      <c r="C115" s="111" t="s">
        <v>1210</v>
      </c>
      <c r="D115" s="112" t="s">
        <v>1211</v>
      </c>
      <c r="E115" s="111" t="s">
        <v>79</v>
      </c>
      <c r="F115" s="112" t="s">
        <v>26</v>
      </c>
      <c r="G115" s="111" t="s">
        <v>20</v>
      </c>
      <c r="H115" s="111" t="s">
        <v>1684</v>
      </c>
      <c r="I115" s="111">
        <v>201509</v>
      </c>
      <c r="J115" s="113">
        <v>-133.91</v>
      </c>
      <c r="K115" s="72">
        <f t="shared" si="9"/>
        <v>42675</v>
      </c>
      <c r="L115" s="67">
        <f t="shared" si="5"/>
        <v>6</v>
      </c>
      <c r="M115" s="114">
        <v>1.4833299999999999E-3</v>
      </c>
      <c r="N115" s="104">
        <f t="shared" si="6"/>
        <v>-1.1917963218000001</v>
      </c>
      <c r="O115" s="66"/>
      <c r="P115" s="66">
        <f t="shared" si="7"/>
        <v>0</v>
      </c>
      <c r="Q115" s="66"/>
      <c r="R115" s="66">
        <f t="shared" si="8"/>
        <v>-2.0490182854166665</v>
      </c>
      <c r="S115" s="117"/>
    </row>
    <row r="116" spans="1:19">
      <c r="A116" s="110" t="s">
        <v>626</v>
      </c>
      <c r="B116" s="111" t="s">
        <v>981</v>
      </c>
      <c r="C116" s="111" t="s">
        <v>982</v>
      </c>
      <c r="D116" s="112" t="s">
        <v>983</v>
      </c>
      <c r="E116" s="111" t="s">
        <v>531</v>
      </c>
      <c r="F116" s="112" t="s">
        <v>26</v>
      </c>
      <c r="G116" s="111" t="s">
        <v>20</v>
      </c>
      <c r="H116" s="111" t="s">
        <v>1684</v>
      </c>
      <c r="I116" s="111">
        <v>201509</v>
      </c>
      <c r="J116" s="113">
        <v>-68.8</v>
      </c>
      <c r="K116" s="72">
        <f t="shared" si="9"/>
        <v>42675</v>
      </c>
      <c r="L116" s="67">
        <f t="shared" si="5"/>
        <v>6</v>
      </c>
      <c r="M116" s="114">
        <v>1.4833299999999999E-3</v>
      </c>
      <c r="N116" s="104">
        <f t="shared" si="6"/>
        <v>-0.61231862399999992</v>
      </c>
      <c r="O116" s="66"/>
      <c r="P116" s="66">
        <f t="shared" si="7"/>
        <v>0</v>
      </c>
      <c r="Q116" s="66"/>
      <c r="R116" s="66">
        <f t="shared" si="8"/>
        <v>-1.0527403333333332</v>
      </c>
      <c r="S116" s="117"/>
    </row>
    <row r="117" spans="1:19">
      <c r="A117" s="110" t="s">
        <v>626</v>
      </c>
      <c r="B117" s="111" t="s">
        <v>1053</v>
      </c>
      <c r="C117" s="111" t="s">
        <v>1054</v>
      </c>
      <c r="D117" s="112" t="s">
        <v>1055</v>
      </c>
      <c r="E117" s="111" t="s">
        <v>160</v>
      </c>
      <c r="F117" s="112" t="s">
        <v>19</v>
      </c>
      <c r="G117" s="111" t="s">
        <v>20</v>
      </c>
      <c r="H117" s="111" t="s">
        <v>1684</v>
      </c>
      <c r="I117" s="111">
        <v>201509</v>
      </c>
      <c r="J117" s="113">
        <v>-10.69</v>
      </c>
      <c r="K117" s="72">
        <f t="shared" si="9"/>
        <v>42675</v>
      </c>
      <c r="L117" s="67">
        <f t="shared" si="5"/>
        <v>6</v>
      </c>
      <c r="M117" s="114">
        <v>1.4833299999999999E-3</v>
      </c>
      <c r="N117" s="104">
        <f t="shared" si="6"/>
        <v>-9.5140786199999994E-2</v>
      </c>
      <c r="O117" s="66"/>
      <c r="P117" s="66">
        <f t="shared" si="7"/>
        <v>0</v>
      </c>
      <c r="Q117" s="66"/>
      <c r="R117" s="66">
        <f t="shared" si="8"/>
        <v>-0.16357258958333329</v>
      </c>
      <c r="S117" s="117"/>
    </row>
    <row r="118" spans="1:19">
      <c r="A118" s="110" t="s">
        <v>626</v>
      </c>
      <c r="B118" s="111" t="s">
        <v>1056</v>
      </c>
      <c r="C118" s="111" t="s">
        <v>1057</v>
      </c>
      <c r="D118" s="112" t="s">
        <v>1058</v>
      </c>
      <c r="E118" s="111" t="s">
        <v>1059</v>
      </c>
      <c r="F118" s="112" t="s">
        <v>26</v>
      </c>
      <c r="G118" s="111" t="s">
        <v>20</v>
      </c>
      <c r="H118" s="111" t="s">
        <v>1684</v>
      </c>
      <c r="I118" s="111">
        <v>201509</v>
      </c>
      <c r="J118" s="113">
        <v>-233.24</v>
      </c>
      <c r="K118" s="72">
        <f t="shared" si="9"/>
        <v>42675</v>
      </c>
      <c r="L118" s="67">
        <f t="shared" si="5"/>
        <v>6</v>
      </c>
      <c r="M118" s="114">
        <v>1.4833299999999999E-3</v>
      </c>
      <c r="N118" s="104">
        <f t="shared" si="6"/>
        <v>-2.0758313352000002</v>
      </c>
      <c r="O118" s="66"/>
      <c r="P118" s="66">
        <f t="shared" si="7"/>
        <v>0</v>
      </c>
      <c r="Q118" s="66"/>
      <c r="R118" s="66">
        <f t="shared" si="8"/>
        <v>-3.5689121416666665</v>
      </c>
      <c r="S118" s="117"/>
    </row>
    <row r="119" spans="1:19">
      <c r="A119" s="110" t="s">
        <v>626</v>
      </c>
      <c r="B119" s="111" t="s">
        <v>1160</v>
      </c>
      <c r="C119" s="111" t="s">
        <v>1161</v>
      </c>
      <c r="D119" s="112" t="s">
        <v>1162</v>
      </c>
      <c r="E119" s="111" t="s">
        <v>160</v>
      </c>
      <c r="F119" s="112" t="s">
        <v>19</v>
      </c>
      <c r="G119" s="111" t="s">
        <v>20</v>
      </c>
      <c r="H119" s="111" t="s">
        <v>1684</v>
      </c>
      <c r="I119" s="111">
        <v>201509</v>
      </c>
      <c r="J119" s="113">
        <v>-492.44</v>
      </c>
      <c r="K119" s="72">
        <f t="shared" si="9"/>
        <v>42675</v>
      </c>
      <c r="L119" s="67">
        <f t="shared" si="5"/>
        <v>6</v>
      </c>
      <c r="M119" s="114">
        <v>1.4833299999999999E-3</v>
      </c>
      <c r="N119" s="104">
        <f t="shared" si="6"/>
        <v>-4.3827061511999998</v>
      </c>
      <c r="O119" s="66"/>
      <c r="P119" s="66">
        <f t="shared" si="7"/>
        <v>0</v>
      </c>
      <c r="Q119" s="66"/>
      <c r="R119" s="66">
        <f t="shared" si="8"/>
        <v>-7.5350501416666651</v>
      </c>
      <c r="S119" s="117"/>
    </row>
    <row r="120" spans="1:19">
      <c r="A120" s="110" t="s">
        <v>626</v>
      </c>
      <c r="B120" s="111" t="s">
        <v>1558</v>
      </c>
      <c r="C120" s="111" t="s">
        <v>1559</v>
      </c>
      <c r="D120" s="112" t="s">
        <v>1560</v>
      </c>
      <c r="E120" s="111" t="s">
        <v>160</v>
      </c>
      <c r="F120" s="112" t="s">
        <v>19</v>
      </c>
      <c r="G120" s="111" t="s">
        <v>20</v>
      </c>
      <c r="H120" s="111" t="s">
        <v>1684</v>
      </c>
      <c r="I120" s="111">
        <v>201509</v>
      </c>
      <c r="J120" s="113">
        <v>-4.41</v>
      </c>
      <c r="K120" s="72">
        <f t="shared" si="9"/>
        <v>42675</v>
      </c>
      <c r="L120" s="67">
        <f t="shared" si="5"/>
        <v>6</v>
      </c>
      <c r="M120" s="114">
        <v>1.4833299999999999E-3</v>
      </c>
      <c r="N120" s="104">
        <f t="shared" si="6"/>
        <v>-3.9248911800000001E-2</v>
      </c>
      <c r="O120" s="66"/>
      <c r="P120" s="66">
        <f t="shared" si="7"/>
        <v>0</v>
      </c>
      <c r="Q120" s="66"/>
      <c r="R120" s="66">
        <f t="shared" si="8"/>
        <v>-6.7479431249999999E-2</v>
      </c>
      <c r="S120" s="117"/>
    </row>
    <row r="121" spans="1:19">
      <c r="A121" s="110" t="s">
        <v>626</v>
      </c>
      <c r="B121" s="111" t="s">
        <v>1417</v>
      </c>
      <c r="C121" s="111" t="s">
        <v>1418</v>
      </c>
      <c r="D121" s="112" t="s">
        <v>1419</v>
      </c>
      <c r="E121" s="111" t="s">
        <v>75</v>
      </c>
      <c r="F121" s="112" t="s">
        <v>1602</v>
      </c>
      <c r="G121" s="111" t="s">
        <v>20</v>
      </c>
      <c r="H121" s="111" t="s">
        <v>1684</v>
      </c>
      <c r="I121" s="111">
        <v>201509</v>
      </c>
      <c r="J121" s="113">
        <v>-1968.19</v>
      </c>
      <c r="K121" s="72">
        <f t="shared" si="9"/>
        <v>42675</v>
      </c>
      <c r="L121" s="67">
        <f t="shared" si="5"/>
        <v>6</v>
      </c>
      <c r="M121" s="114">
        <v>1.4833299999999999E-3</v>
      </c>
      <c r="N121" s="104">
        <f t="shared" si="6"/>
        <v>-17.516851636200002</v>
      </c>
      <c r="O121" s="66"/>
      <c r="P121" s="66">
        <f t="shared" si="7"/>
        <v>0</v>
      </c>
      <c r="Q121" s="66"/>
      <c r="R121" s="66">
        <f t="shared" si="8"/>
        <v>-30.116177277083334</v>
      </c>
      <c r="S121" s="117"/>
    </row>
    <row r="122" spans="1:19">
      <c r="A122" s="110" t="s">
        <v>626</v>
      </c>
      <c r="B122" s="111" t="s">
        <v>1163</v>
      </c>
      <c r="C122" s="111" t="s">
        <v>1164</v>
      </c>
      <c r="D122" s="112" t="s">
        <v>1165</v>
      </c>
      <c r="E122" s="111" t="s">
        <v>75</v>
      </c>
      <c r="F122" s="112" t="s">
        <v>1602</v>
      </c>
      <c r="G122" s="111" t="s">
        <v>20</v>
      </c>
      <c r="H122" s="111" t="s">
        <v>1684</v>
      </c>
      <c r="I122" s="111">
        <v>201509</v>
      </c>
      <c r="J122" s="113">
        <v>-58.52</v>
      </c>
      <c r="K122" s="72">
        <f t="shared" si="9"/>
        <v>42675</v>
      </c>
      <c r="L122" s="67">
        <f t="shared" si="5"/>
        <v>6</v>
      </c>
      <c r="M122" s="114">
        <v>1.4833299999999999E-3</v>
      </c>
      <c r="N122" s="104">
        <f t="shared" si="6"/>
        <v>-0.52082682960000004</v>
      </c>
      <c r="O122" s="66"/>
      <c r="P122" s="66">
        <f t="shared" si="7"/>
        <v>0</v>
      </c>
      <c r="Q122" s="66"/>
      <c r="R122" s="66">
        <f t="shared" si="8"/>
        <v>-0.89544134166666667</v>
      </c>
      <c r="S122" s="117"/>
    </row>
    <row r="123" spans="1:19">
      <c r="A123" s="110" t="s">
        <v>626</v>
      </c>
      <c r="B123" s="111" t="s">
        <v>987</v>
      </c>
      <c r="C123" s="111" t="s">
        <v>988</v>
      </c>
      <c r="D123" s="112" t="s">
        <v>989</v>
      </c>
      <c r="E123" s="111" t="s">
        <v>63</v>
      </c>
      <c r="F123" s="112" t="s">
        <v>19</v>
      </c>
      <c r="G123" s="111" t="s">
        <v>20</v>
      </c>
      <c r="H123" s="111" t="s">
        <v>1684</v>
      </c>
      <c r="I123" s="111">
        <v>201509</v>
      </c>
      <c r="J123" s="113">
        <v>-0.61</v>
      </c>
      <c r="K123" s="72">
        <f t="shared" si="9"/>
        <v>42675</v>
      </c>
      <c r="L123" s="67">
        <f t="shared" si="5"/>
        <v>6</v>
      </c>
      <c r="M123" s="114">
        <v>1.4833299999999999E-3</v>
      </c>
      <c r="N123" s="104">
        <f t="shared" si="6"/>
        <v>-5.4289878E-3</v>
      </c>
      <c r="O123" s="66"/>
      <c r="P123" s="66">
        <f t="shared" si="7"/>
        <v>0</v>
      </c>
      <c r="Q123" s="66"/>
      <c r="R123" s="66">
        <f t="shared" si="8"/>
        <v>-9.333889583333331E-3</v>
      </c>
      <c r="S123" s="117"/>
    </row>
    <row r="124" spans="1:19">
      <c r="A124" s="110" t="s">
        <v>626</v>
      </c>
      <c r="B124" s="111" t="s">
        <v>1166</v>
      </c>
      <c r="C124" s="111" t="s">
        <v>1167</v>
      </c>
      <c r="D124" s="112" t="s">
        <v>1168</v>
      </c>
      <c r="E124" s="111" t="s">
        <v>75</v>
      </c>
      <c r="F124" s="112" t="s">
        <v>1602</v>
      </c>
      <c r="G124" s="111" t="s">
        <v>20</v>
      </c>
      <c r="H124" s="111" t="s">
        <v>1684</v>
      </c>
      <c r="I124" s="111">
        <v>201509</v>
      </c>
      <c r="J124" s="113">
        <v>-12.11</v>
      </c>
      <c r="K124" s="72">
        <f t="shared" si="9"/>
        <v>42675</v>
      </c>
      <c r="L124" s="67">
        <f t="shared" si="5"/>
        <v>6</v>
      </c>
      <c r="M124" s="114">
        <v>1.4833299999999999E-3</v>
      </c>
      <c r="N124" s="104">
        <f t="shared" si="6"/>
        <v>-0.1077787578</v>
      </c>
      <c r="O124" s="66"/>
      <c r="P124" s="66">
        <f t="shared" si="7"/>
        <v>0</v>
      </c>
      <c r="Q124" s="66"/>
      <c r="R124" s="66">
        <f t="shared" si="8"/>
        <v>-0.18530066041666665</v>
      </c>
      <c r="S124" s="117"/>
    </row>
    <row r="125" spans="1:19">
      <c r="A125" s="110" t="s">
        <v>626</v>
      </c>
      <c r="B125" s="111" t="s">
        <v>1169</v>
      </c>
      <c r="C125" s="111" t="s">
        <v>1170</v>
      </c>
      <c r="D125" s="112" t="s">
        <v>1171</v>
      </c>
      <c r="E125" s="111" t="s">
        <v>164</v>
      </c>
      <c r="F125" s="112" t="s">
        <v>1600</v>
      </c>
      <c r="G125" s="111" t="s">
        <v>20</v>
      </c>
      <c r="H125" s="111" t="s">
        <v>1684</v>
      </c>
      <c r="I125" s="111">
        <v>201509</v>
      </c>
      <c r="J125" s="113">
        <v>-884.14</v>
      </c>
      <c r="K125" s="72">
        <f t="shared" si="9"/>
        <v>42675</v>
      </c>
      <c r="L125" s="67">
        <f t="shared" si="5"/>
        <v>6</v>
      </c>
      <c r="M125" s="114">
        <v>1.4833299999999999E-3</v>
      </c>
      <c r="N125" s="104">
        <f t="shared" si="6"/>
        <v>-7.8688283172000002</v>
      </c>
      <c r="O125" s="66"/>
      <c r="P125" s="66">
        <f t="shared" si="7"/>
        <v>0</v>
      </c>
      <c r="Q125" s="66"/>
      <c r="R125" s="66">
        <f t="shared" si="8"/>
        <v>-13.528631370833333</v>
      </c>
      <c r="S125" s="117"/>
    </row>
    <row r="126" spans="1:19">
      <c r="A126" s="110" t="s">
        <v>626</v>
      </c>
      <c r="B126" s="111" t="s">
        <v>1172</v>
      </c>
      <c r="C126" s="111" t="s">
        <v>1173</v>
      </c>
      <c r="D126" s="112" t="s">
        <v>1174</v>
      </c>
      <c r="E126" s="111" t="s">
        <v>156</v>
      </c>
      <c r="F126" s="112" t="s">
        <v>26</v>
      </c>
      <c r="G126" s="111" t="s">
        <v>20</v>
      </c>
      <c r="H126" s="111" t="s">
        <v>1684</v>
      </c>
      <c r="I126" s="111">
        <v>201509</v>
      </c>
      <c r="J126" s="113">
        <v>-99.57</v>
      </c>
      <c r="K126" s="72">
        <f t="shared" si="9"/>
        <v>42675</v>
      </c>
      <c r="L126" s="67">
        <f t="shared" si="5"/>
        <v>6</v>
      </c>
      <c r="M126" s="114">
        <v>1.4833299999999999E-3</v>
      </c>
      <c r="N126" s="104">
        <f t="shared" si="6"/>
        <v>-0.88617100859999998</v>
      </c>
      <c r="O126" s="66"/>
      <c r="P126" s="66">
        <f t="shared" si="7"/>
        <v>0</v>
      </c>
      <c r="Q126" s="66"/>
      <c r="R126" s="66">
        <f t="shared" si="8"/>
        <v>-1.5235662062499997</v>
      </c>
      <c r="S126" s="117"/>
    </row>
    <row r="127" spans="1:19">
      <c r="A127" s="110" t="s">
        <v>626</v>
      </c>
      <c r="B127" s="111" t="s">
        <v>1318</v>
      </c>
      <c r="C127" s="111" t="s">
        <v>1319</v>
      </c>
      <c r="D127" s="112" t="s">
        <v>1320</v>
      </c>
      <c r="E127" s="111" t="s">
        <v>1059</v>
      </c>
      <c r="F127" s="112" t="s">
        <v>26</v>
      </c>
      <c r="G127" s="111" t="s">
        <v>20</v>
      </c>
      <c r="H127" s="111" t="s">
        <v>1684</v>
      </c>
      <c r="I127" s="111">
        <v>201509</v>
      </c>
      <c r="J127" s="113">
        <v>-164.03</v>
      </c>
      <c r="K127" s="72">
        <f t="shared" si="9"/>
        <v>42675</v>
      </c>
      <c r="L127" s="67">
        <f t="shared" si="5"/>
        <v>6</v>
      </c>
      <c r="M127" s="114">
        <v>1.4833299999999999E-3</v>
      </c>
      <c r="N127" s="104">
        <f t="shared" si="6"/>
        <v>-1.4598637193999999</v>
      </c>
      <c r="O127" s="66"/>
      <c r="P127" s="66">
        <f t="shared" si="7"/>
        <v>0</v>
      </c>
      <c r="Q127" s="66"/>
      <c r="R127" s="66">
        <f t="shared" si="8"/>
        <v>-2.5098982104166665</v>
      </c>
      <c r="S127" s="117"/>
    </row>
    <row r="128" spans="1:19">
      <c r="A128" s="110" t="s">
        <v>626</v>
      </c>
      <c r="B128" s="111" t="s">
        <v>1545</v>
      </c>
      <c r="C128" s="111" t="s">
        <v>1546</v>
      </c>
      <c r="D128" s="112" t="s">
        <v>1547</v>
      </c>
      <c r="E128" s="111" t="s">
        <v>164</v>
      </c>
      <c r="F128" s="112" t="s">
        <v>1600</v>
      </c>
      <c r="G128" s="111" t="s">
        <v>20</v>
      </c>
      <c r="H128" s="111" t="s">
        <v>1684</v>
      </c>
      <c r="I128" s="111">
        <v>201509</v>
      </c>
      <c r="J128" s="113">
        <v>-3525.77</v>
      </c>
      <c r="K128" s="72">
        <f t="shared" si="9"/>
        <v>42675</v>
      </c>
      <c r="L128" s="67">
        <f t="shared" si="5"/>
        <v>6</v>
      </c>
      <c r="M128" s="114">
        <v>1.4833299999999999E-3</v>
      </c>
      <c r="N128" s="104">
        <f t="shared" si="6"/>
        <v>-31.379282484600001</v>
      </c>
      <c r="O128" s="66"/>
      <c r="P128" s="66">
        <f t="shared" si="7"/>
        <v>0</v>
      </c>
      <c r="Q128" s="66"/>
      <c r="R128" s="66">
        <f t="shared" si="8"/>
        <v>-53.949422747916657</v>
      </c>
      <c r="S128" s="117"/>
    </row>
    <row r="129" spans="1:19">
      <c r="A129" s="110" t="s">
        <v>626</v>
      </c>
      <c r="B129" s="111" t="s">
        <v>1212</v>
      </c>
      <c r="C129" s="111" t="s">
        <v>1213</v>
      </c>
      <c r="D129" s="112" t="s">
        <v>1214</v>
      </c>
      <c r="E129" s="111" t="s">
        <v>260</v>
      </c>
      <c r="F129" s="112" t="s">
        <v>1608</v>
      </c>
      <c r="G129" s="111" t="s">
        <v>20</v>
      </c>
      <c r="H129" s="111" t="s">
        <v>1684</v>
      </c>
      <c r="I129" s="111">
        <v>201509</v>
      </c>
      <c r="J129" s="113">
        <v>-107.85</v>
      </c>
      <c r="K129" s="72">
        <f t="shared" si="9"/>
        <v>42675</v>
      </c>
      <c r="L129" s="67">
        <f t="shared" si="5"/>
        <v>6</v>
      </c>
      <c r="M129" s="114">
        <v>1.4833299999999999E-3</v>
      </c>
      <c r="N129" s="104">
        <f t="shared" si="6"/>
        <v>-0.95986284299999991</v>
      </c>
      <c r="O129" s="66"/>
      <c r="P129" s="66">
        <f t="shared" si="7"/>
        <v>0</v>
      </c>
      <c r="Q129" s="66"/>
      <c r="R129" s="66">
        <f t="shared" si="8"/>
        <v>-1.6502622812499996</v>
      </c>
      <c r="S129" s="117"/>
    </row>
    <row r="130" spans="1:19">
      <c r="A130" s="110" t="s">
        <v>21</v>
      </c>
      <c r="B130" s="111" t="s">
        <v>1420</v>
      </c>
      <c r="C130" s="111" t="s">
        <v>1421</v>
      </c>
      <c r="D130" s="112" t="s">
        <v>1422</v>
      </c>
      <c r="E130" s="111" t="s">
        <v>260</v>
      </c>
      <c r="F130" s="112" t="s">
        <v>1608</v>
      </c>
      <c r="G130" s="111" t="s">
        <v>20</v>
      </c>
      <c r="H130" s="111" t="s">
        <v>1684</v>
      </c>
      <c r="I130" s="111">
        <v>201509</v>
      </c>
      <c r="J130" s="113">
        <v>9661.58</v>
      </c>
      <c r="K130" s="72">
        <f t="shared" si="9"/>
        <v>42675</v>
      </c>
      <c r="L130" s="67">
        <f t="shared" si="5"/>
        <v>6</v>
      </c>
      <c r="M130" s="114">
        <v>1.4833299999999999E-3</v>
      </c>
      <c r="N130" s="104">
        <f t="shared" si="6"/>
        <v>85.987868768400006</v>
      </c>
      <c r="O130" s="66"/>
      <c r="P130" s="66">
        <f t="shared" si="7"/>
        <v>0</v>
      </c>
      <c r="Q130" s="66"/>
      <c r="R130" s="66">
        <f t="shared" si="8"/>
        <v>147.83626380416663</v>
      </c>
      <c r="S130" s="117"/>
    </row>
    <row r="131" spans="1:19">
      <c r="A131" s="110" t="s">
        <v>626</v>
      </c>
      <c r="B131" s="111" t="s">
        <v>1420</v>
      </c>
      <c r="C131" s="111" t="s">
        <v>1421</v>
      </c>
      <c r="D131" s="112" t="s">
        <v>1422</v>
      </c>
      <c r="E131" s="111" t="s">
        <v>260</v>
      </c>
      <c r="F131" s="112" t="s">
        <v>1608</v>
      </c>
      <c r="G131" s="111" t="s">
        <v>20</v>
      </c>
      <c r="H131" s="111" t="s">
        <v>1684</v>
      </c>
      <c r="I131" s="111">
        <v>201509</v>
      </c>
      <c r="J131" s="113">
        <v>-9726.8700000000008</v>
      </c>
      <c r="K131" s="72">
        <f t="shared" si="9"/>
        <v>42675</v>
      </c>
      <c r="L131" s="67">
        <f t="shared" si="5"/>
        <v>6</v>
      </c>
      <c r="M131" s="114">
        <v>1.4833299999999999E-3</v>
      </c>
      <c r="N131" s="104">
        <f t="shared" si="6"/>
        <v>-86.568948462600005</v>
      </c>
      <c r="O131" s="66"/>
      <c r="P131" s="66">
        <f t="shared" si="7"/>
        <v>0</v>
      </c>
      <c r="Q131" s="66"/>
      <c r="R131" s="66">
        <f t="shared" si="8"/>
        <v>-148.83529601875</v>
      </c>
      <c r="S131" s="117"/>
    </row>
    <row r="132" spans="1:19">
      <c r="A132" s="110" t="s">
        <v>626</v>
      </c>
      <c r="B132" s="111" t="s">
        <v>1175</v>
      </c>
      <c r="C132" s="111" t="s">
        <v>1176</v>
      </c>
      <c r="D132" s="112" t="s">
        <v>1177</v>
      </c>
      <c r="E132" s="111" t="s">
        <v>1059</v>
      </c>
      <c r="F132" s="112" t="s">
        <v>26</v>
      </c>
      <c r="G132" s="111" t="s">
        <v>20</v>
      </c>
      <c r="H132" s="111" t="s">
        <v>1684</v>
      </c>
      <c r="I132" s="111">
        <v>201509</v>
      </c>
      <c r="J132" s="113">
        <v>-17.329999999999998</v>
      </c>
      <c r="K132" s="72">
        <f t="shared" si="9"/>
        <v>42675</v>
      </c>
      <c r="L132" s="67">
        <f t="shared" si="5"/>
        <v>6</v>
      </c>
      <c r="M132" s="114">
        <v>1.4833299999999999E-3</v>
      </c>
      <c r="N132" s="104">
        <f t="shared" si="6"/>
        <v>-0.15423665339999998</v>
      </c>
      <c r="O132" s="66"/>
      <c r="P132" s="66">
        <f t="shared" si="7"/>
        <v>0</v>
      </c>
      <c r="Q132" s="66"/>
      <c r="R132" s="66">
        <f t="shared" si="8"/>
        <v>-0.26517427291666662</v>
      </c>
      <c r="S132" s="117"/>
    </row>
    <row r="133" spans="1:19">
      <c r="A133" s="110" t="s">
        <v>626</v>
      </c>
      <c r="B133" s="111" t="s">
        <v>1178</v>
      </c>
      <c r="C133" s="111" t="s">
        <v>1179</v>
      </c>
      <c r="D133" s="112" t="s">
        <v>1180</v>
      </c>
      <c r="E133" s="111" t="s">
        <v>260</v>
      </c>
      <c r="F133" s="112" t="s">
        <v>1608</v>
      </c>
      <c r="G133" s="111" t="s">
        <v>20</v>
      </c>
      <c r="H133" s="111" t="s">
        <v>1684</v>
      </c>
      <c r="I133" s="111">
        <v>201509</v>
      </c>
      <c r="J133" s="113">
        <v>-25.2</v>
      </c>
      <c r="K133" s="72">
        <f t="shared" si="9"/>
        <v>42675</v>
      </c>
      <c r="L133" s="67">
        <f t="shared" ref="L133:L196" si="10">((YEAR($L$1)-YEAR(K133))*12+MONTH($L$1)-MONTH(K133))</f>
        <v>6</v>
      </c>
      <c r="M133" s="114">
        <v>1.4833299999999999E-3</v>
      </c>
      <c r="N133" s="104">
        <f t="shared" ref="N133:N196" si="11">M133*L133*J133</f>
        <v>-0.22427949599999999</v>
      </c>
      <c r="O133" s="66"/>
      <c r="P133" s="66">
        <f t="shared" si="7"/>
        <v>0</v>
      </c>
      <c r="Q133" s="66"/>
      <c r="R133" s="66">
        <f t="shared" si="8"/>
        <v>-0.38559674999999993</v>
      </c>
      <c r="S133" s="117"/>
    </row>
    <row r="134" spans="1:19">
      <c r="A134" s="110" t="s">
        <v>626</v>
      </c>
      <c r="B134" s="111" t="s">
        <v>1268</v>
      </c>
      <c r="C134" s="111" t="s">
        <v>1269</v>
      </c>
      <c r="D134" s="112" t="s">
        <v>1270</v>
      </c>
      <c r="E134" s="111" t="s">
        <v>260</v>
      </c>
      <c r="F134" s="112" t="s">
        <v>1608</v>
      </c>
      <c r="G134" s="111" t="s">
        <v>20</v>
      </c>
      <c r="H134" s="111" t="s">
        <v>1684</v>
      </c>
      <c r="I134" s="111">
        <v>201509</v>
      </c>
      <c r="J134" s="113">
        <v>-114.52</v>
      </c>
      <c r="K134" s="72">
        <f t="shared" si="9"/>
        <v>42675</v>
      </c>
      <c r="L134" s="67">
        <f t="shared" si="10"/>
        <v>6</v>
      </c>
      <c r="M134" s="114">
        <v>1.4833299999999999E-3</v>
      </c>
      <c r="N134" s="104">
        <f t="shared" si="11"/>
        <v>-1.0192257095999999</v>
      </c>
      <c r="O134" s="66"/>
      <c r="P134" s="66">
        <f t="shared" ref="P134:P197" si="12">($P$4*0.5*J134*$U$11)</f>
        <v>0</v>
      </c>
      <c r="Q134" s="66"/>
      <c r="R134" s="66">
        <f t="shared" ref="R134:R197" si="13">($R$4*0.5*J134*$U$11)</f>
        <v>-1.752323008333333</v>
      </c>
      <c r="S134" s="117"/>
    </row>
    <row r="135" spans="1:19">
      <c r="A135" s="110" t="s">
        <v>626</v>
      </c>
      <c r="B135" s="111" t="s">
        <v>1215</v>
      </c>
      <c r="C135" s="111" t="s">
        <v>1216</v>
      </c>
      <c r="D135" s="112" t="s">
        <v>1217</v>
      </c>
      <c r="E135" s="111" t="s">
        <v>102</v>
      </c>
      <c r="F135" s="112" t="s">
        <v>19</v>
      </c>
      <c r="G135" s="111" t="s">
        <v>20</v>
      </c>
      <c r="H135" s="111" t="s">
        <v>1684</v>
      </c>
      <c r="I135" s="111">
        <v>201509</v>
      </c>
      <c r="J135" s="113">
        <v>58.11</v>
      </c>
      <c r="K135" s="72">
        <f t="shared" ref="K135:K198" si="14">+K134</f>
        <v>42675</v>
      </c>
      <c r="L135" s="67">
        <f t="shared" si="10"/>
        <v>6</v>
      </c>
      <c r="M135" s="114">
        <v>1.4833299999999999E-3</v>
      </c>
      <c r="N135" s="104">
        <f t="shared" si="11"/>
        <v>0.51717783780000004</v>
      </c>
      <c r="O135" s="66"/>
      <c r="P135" s="66">
        <f t="shared" si="12"/>
        <v>0</v>
      </c>
      <c r="Q135" s="66"/>
      <c r="R135" s="66">
        <f t="shared" si="13"/>
        <v>0.88916774374999996</v>
      </c>
      <c r="S135" s="117"/>
    </row>
    <row r="136" spans="1:19">
      <c r="A136" s="110" t="s">
        <v>626</v>
      </c>
      <c r="B136" s="111" t="s">
        <v>1508</v>
      </c>
      <c r="C136" s="111" t="s">
        <v>1509</v>
      </c>
      <c r="D136" s="112" t="s">
        <v>1510</v>
      </c>
      <c r="E136" s="111" t="s">
        <v>75</v>
      </c>
      <c r="F136" s="112" t="s">
        <v>1602</v>
      </c>
      <c r="G136" s="111" t="s">
        <v>20</v>
      </c>
      <c r="H136" s="111" t="s">
        <v>1684</v>
      </c>
      <c r="I136" s="111">
        <v>201509</v>
      </c>
      <c r="J136" s="113">
        <v>-1107.83</v>
      </c>
      <c r="K136" s="72">
        <f t="shared" si="14"/>
        <v>42675</v>
      </c>
      <c r="L136" s="67">
        <f t="shared" si="10"/>
        <v>6</v>
      </c>
      <c r="M136" s="114">
        <v>1.4833299999999999E-3</v>
      </c>
      <c r="N136" s="104">
        <f t="shared" si="11"/>
        <v>-9.8596648433999992</v>
      </c>
      <c r="O136" s="66"/>
      <c r="P136" s="66">
        <f t="shared" si="12"/>
        <v>0</v>
      </c>
      <c r="Q136" s="66"/>
      <c r="R136" s="66">
        <f t="shared" si="13"/>
        <v>-16.951414585416664</v>
      </c>
      <c r="S136" s="117"/>
    </row>
    <row r="137" spans="1:19">
      <c r="A137" s="110" t="s">
        <v>133</v>
      </c>
      <c r="B137" s="111" t="s">
        <v>1312</v>
      </c>
      <c r="C137" s="111" t="s">
        <v>1313</v>
      </c>
      <c r="D137" s="112" t="s">
        <v>1314</v>
      </c>
      <c r="E137" s="111" t="s">
        <v>137</v>
      </c>
      <c r="F137" s="112" t="s">
        <v>138</v>
      </c>
      <c r="G137" s="111" t="s">
        <v>20</v>
      </c>
      <c r="H137" s="111" t="s">
        <v>1684</v>
      </c>
      <c r="I137" s="111">
        <v>201509</v>
      </c>
      <c r="J137" s="113">
        <v>-432.73</v>
      </c>
      <c r="K137" s="72">
        <f t="shared" si="14"/>
        <v>42675</v>
      </c>
      <c r="L137" s="67">
        <f t="shared" si="10"/>
        <v>6</v>
      </c>
      <c r="M137" s="114">
        <v>1.4833299999999999E-3</v>
      </c>
      <c r="N137" s="104">
        <f t="shared" si="11"/>
        <v>-3.8512883454</v>
      </c>
      <c r="O137" s="66"/>
      <c r="P137" s="66">
        <f t="shared" si="12"/>
        <v>0</v>
      </c>
      <c r="Q137" s="66"/>
      <c r="R137" s="66">
        <f t="shared" si="13"/>
        <v>-6.6214000645833329</v>
      </c>
      <c r="S137" s="117"/>
    </row>
    <row r="138" spans="1:19">
      <c r="A138" s="110" t="s">
        <v>626</v>
      </c>
      <c r="B138" s="111" t="s">
        <v>1271</v>
      </c>
      <c r="C138" s="111" t="s">
        <v>1272</v>
      </c>
      <c r="D138" s="112" t="s">
        <v>1273</v>
      </c>
      <c r="E138" s="111" t="s">
        <v>75</v>
      </c>
      <c r="F138" s="112" t="s">
        <v>1602</v>
      </c>
      <c r="G138" s="111" t="s">
        <v>20</v>
      </c>
      <c r="H138" s="111" t="s">
        <v>1684</v>
      </c>
      <c r="I138" s="111">
        <v>201509</v>
      </c>
      <c r="J138" s="113">
        <v>-77.87</v>
      </c>
      <c r="K138" s="72">
        <f t="shared" si="14"/>
        <v>42675</v>
      </c>
      <c r="L138" s="67">
        <f t="shared" si="10"/>
        <v>6</v>
      </c>
      <c r="M138" s="114">
        <v>1.4833299999999999E-3</v>
      </c>
      <c r="N138" s="104">
        <f t="shared" si="11"/>
        <v>-0.6930414426</v>
      </c>
      <c r="O138" s="66"/>
      <c r="P138" s="66">
        <f t="shared" si="12"/>
        <v>0</v>
      </c>
      <c r="Q138" s="66"/>
      <c r="R138" s="66">
        <f t="shared" si="13"/>
        <v>-1.1915245604166667</v>
      </c>
      <c r="S138" s="117"/>
    </row>
    <row r="139" spans="1:19">
      <c r="A139" s="110" t="s">
        <v>626</v>
      </c>
      <c r="B139" s="111" t="s">
        <v>1218</v>
      </c>
      <c r="C139" s="111" t="s">
        <v>1219</v>
      </c>
      <c r="D139" s="112" t="s">
        <v>1220</v>
      </c>
      <c r="E139" s="111" t="s">
        <v>809</v>
      </c>
      <c r="F139" s="112" t="s">
        <v>26</v>
      </c>
      <c r="G139" s="111" t="s">
        <v>20</v>
      </c>
      <c r="H139" s="111" t="s">
        <v>1684</v>
      </c>
      <c r="I139" s="111">
        <v>201509</v>
      </c>
      <c r="J139" s="113">
        <v>-125.42</v>
      </c>
      <c r="K139" s="72">
        <f t="shared" si="14"/>
        <v>42675</v>
      </c>
      <c r="L139" s="67">
        <f t="shared" si="10"/>
        <v>6</v>
      </c>
      <c r="M139" s="114">
        <v>1.4833299999999999E-3</v>
      </c>
      <c r="N139" s="104">
        <f t="shared" si="11"/>
        <v>-1.1162354916000001</v>
      </c>
      <c r="O139" s="66"/>
      <c r="P139" s="66">
        <f t="shared" si="12"/>
        <v>0</v>
      </c>
      <c r="Q139" s="66"/>
      <c r="R139" s="66">
        <f t="shared" si="13"/>
        <v>-1.9191089041666665</v>
      </c>
      <c r="S139" s="117"/>
    </row>
    <row r="140" spans="1:19">
      <c r="A140" s="110" t="s">
        <v>626</v>
      </c>
      <c r="B140" s="111" t="s">
        <v>1181</v>
      </c>
      <c r="C140" s="111" t="s">
        <v>1182</v>
      </c>
      <c r="D140" s="112" t="s">
        <v>1183</v>
      </c>
      <c r="E140" s="111" t="s">
        <v>18</v>
      </c>
      <c r="F140" s="112" t="s">
        <v>19</v>
      </c>
      <c r="G140" s="111" t="s">
        <v>20</v>
      </c>
      <c r="H140" s="111" t="s">
        <v>1684</v>
      </c>
      <c r="I140" s="111">
        <v>201509</v>
      </c>
      <c r="J140" s="113">
        <v>2.19</v>
      </c>
      <c r="K140" s="72">
        <f t="shared" si="14"/>
        <v>42675</v>
      </c>
      <c r="L140" s="67">
        <f t="shared" si="10"/>
        <v>6</v>
      </c>
      <c r="M140" s="114">
        <v>1.4833299999999999E-3</v>
      </c>
      <c r="N140" s="104">
        <f t="shared" si="11"/>
        <v>1.9490956199999999E-2</v>
      </c>
      <c r="O140" s="66"/>
      <c r="P140" s="66">
        <f t="shared" si="12"/>
        <v>0</v>
      </c>
      <c r="Q140" s="66"/>
      <c r="R140" s="66">
        <f t="shared" si="13"/>
        <v>3.3510193749999993E-2</v>
      </c>
      <c r="S140" s="117"/>
    </row>
    <row r="141" spans="1:19">
      <c r="A141" s="110" t="s">
        <v>21</v>
      </c>
      <c r="B141" s="111" t="s">
        <v>1274</v>
      </c>
      <c r="C141" s="111" t="s">
        <v>1275</v>
      </c>
      <c r="D141" s="112" t="s">
        <v>1276</v>
      </c>
      <c r="E141" s="111" t="s">
        <v>164</v>
      </c>
      <c r="F141" s="112" t="s">
        <v>1600</v>
      </c>
      <c r="G141" s="111" t="s">
        <v>20</v>
      </c>
      <c r="H141" s="111" t="s">
        <v>1684</v>
      </c>
      <c r="I141" s="111">
        <v>201509</v>
      </c>
      <c r="J141" s="113">
        <v>-75.400000000000006</v>
      </c>
      <c r="K141" s="72">
        <f t="shared" si="14"/>
        <v>42675</v>
      </c>
      <c r="L141" s="67">
        <f t="shared" si="10"/>
        <v>6</v>
      </c>
      <c r="M141" s="114">
        <v>1.4833299999999999E-3</v>
      </c>
      <c r="N141" s="104">
        <f t="shared" si="11"/>
        <v>-0.67105849200000001</v>
      </c>
      <c r="O141" s="66"/>
      <c r="P141" s="66">
        <f t="shared" si="12"/>
        <v>0</v>
      </c>
      <c r="Q141" s="66"/>
      <c r="R141" s="66">
        <f t="shared" si="13"/>
        <v>-1.1537299583333334</v>
      </c>
      <c r="S141" s="117"/>
    </row>
    <row r="142" spans="1:19">
      <c r="A142" s="110" t="s">
        <v>626</v>
      </c>
      <c r="B142" s="111" t="s">
        <v>1274</v>
      </c>
      <c r="C142" s="111" t="s">
        <v>1275</v>
      </c>
      <c r="D142" s="112" t="s">
        <v>1276</v>
      </c>
      <c r="E142" s="111" t="s">
        <v>164</v>
      </c>
      <c r="F142" s="112" t="s">
        <v>1600</v>
      </c>
      <c r="G142" s="111" t="s">
        <v>20</v>
      </c>
      <c r="H142" s="111" t="s">
        <v>1684</v>
      </c>
      <c r="I142" s="111">
        <v>201509</v>
      </c>
      <c r="J142" s="113">
        <v>-342.28</v>
      </c>
      <c r="K142" s="72">
        <f t="shared" si="14"/>
        <v>42675</v>
      </c>
      <c r="L142" s="67">
        <f t="shared" si="10"/>
        <v>6</v>
      </c>
      <c r="M142" s="114">
        <v>1.4833299999999999E-3</v>
      </c>
      <c r="N142" s="104">
        <f t="shared" si="11"/>
        <v>-3.0462851543999996</v>
      </c>
      <c r="O142" s="66"/>
      <c r="P142" s="66">
        <f t="shared" si="12"/>
        <v>0</v>
      </c>
      <c r="Q142" s="66"/>
      <c r="R142" s="66">
        <f t="shared" si="13"/>
        <v>-5.2373831583333326</v>
      </c>
      <c r="S142" s="117"/>
    </row>
    <row r="143" spans="1:19">
      <c r="A143" s="110" t="s">
        <v>626</v>
      </c>
      <c r="B143" s="111" t="s">
        <v>1423</v>
      </c>
      <c r="C143" s="111" t="s">
        <v>1424</v>
      </c>
      <c r="D143" s="112" t="s">
        <v>1425</v>
      </c>
      <c r="E143" s="111" t="s">
        <v>75</v>
      </c>
      <c r="F143" s="112" t="s">
        <v>1602</v>
      </c>
      <c r="G143" s="111" t="s">
        <v>20</v>
      </c>
      <c r="H143" s="111" t="s">
        <v>1684</v>
      </c>
      <c r="I143" s="111">
        <v>201509</v>
      </c>
      <c r="J143" s="113">
        <v>-316.13</v>
      </c>
      <c r="K143" s="72">
        <f t="shared" si="14"/>
        <v>42675</v>
      </c>
      <c r="L143" s="67">
        <f t="shared" si="10"/>
        <v>6</v>
      </c>
      <c r="M143" s="114">
        <v>1.4833299999999999E-3</v>
      </c>
      <c r="N143" s="104">
        <f t="shared" si="11"/>
        <v>-2.8135506773999999</v>
      </c>
      <c r="O143" s="66"/>
      <c r="P143" s="66">
        <f t="shared" si="12"/>
        <v>0</v>
      </c>
      <c r="Q143" s="66"/>
      <c r="R143" s="66">
        <f t="shared" si="13"/>
        <v>-4.8372500229166659</v>
      </c>
      <c r="S143" s="117"/>
    </row>
    <row r="144" spans="1:19">
      <c r="A144" s="110" t="s">
        <v>626</v>
      </c>
      <c r="B144" s="111" t="s">
        <v>1357</v>
      </c>
      <c r="C144" s="111" t="s">
        <v>1358</v>
      </c>
      <c r="D144" s="112" t="s">
        <v>1359</v>
      </c>
      <c r="E144" s="111" t="s">
        <v>75</v>
      </c>
      <c r="F144" s="112" t="s">
        <v>1602</v>
      </c>
      <c r="G144" s="111" t="s">
        <v>20</v>
      </c>
      <c r="H144" s="111" t="s">
        <v>1684</v>
      </c>
      <c r="I144" s="111">
        <v>201509</v>
      </c>
      <c r="J144" s="113">
        <v>-178.78</v>
      </c>
      <c r="K144" s="72">
        <f t="shared" si="14"/>
        <v>42675</v>
      </c>
      <c r="L144" s="67">
        <f t="shared" si="10"/>
        <v>6</v>
      </c>
      <c r="M144" s="114">
        <v>1.4833299999999999E-3</v>
      </c>
      <c r="N144" s="104">
        <f t="shared" si="11"/>
        <v>-1.5911384244</v>
      </c>
      <c r="O144" s="66"/>
      <c r="P144" s="66">
        <f t="shared" si="12"/>
        <v>0</v>
      </c>
      <c r="Q144" s="66"/>
      <c r="R144" s="66">
        <f t="shared" si="13"/>
        <v>-2.7355947208333329</v>
      </c>
      <c r="S144" s="117"/>
    </row>
    <row r="145" spans="1:19">
      <c r="A145" s="110" t="s">
        <v>21</v>
      </c>
      <c r="B145" s="111" t="s">
        <v>1221</v>
      </c>
      <c r="C145" s="111" t="s">
        <v>1222</v>
      </c>
      <c r="D145" s="112" t="s">
        <v>1223</v>
      </c>
      <c r="E145" s="111" t="s">
        <v>360</v>
      </c>
      <c r="F145" s="112" t="s">
        <v>19</v>
      </c>
      <c r="G145" s="111" t="s">
        <v>20</v>
      </c>
      <c r="H145" s="111" t="s">
        <v>1684</v>
      </c>
      <c r="I145" s="111">
        <v>201509</v>
      </c>
      <c r="J145" s="113">
        <v>-77.66</v>
      </c>
      <c r="K145" s="72">
        <f t="shared" si="14"/>
        <v>42675</v>
      </c>
      <c r="L145" s="67">
        <f t="shared" si="10"/>
        <v>6</v>
      </c>
      <c r="M145" s="114">
        <v>1.4833299999999999E-3</v>
      </c>
      <c r="N145" s="104">
        <f t="shared" si="11"/>
        <v>-0.69117244680000001</v>
      </c>
      <c r="O145" s="66"/>
      <c r="P145" s="66">
        <f t="shared" si="12"/>
        <v>0</v>
      </c>
      <c r="Q145" s="66"/>
      <c r="R145" s="66">
        <f t="shared" si="13"/>
        <v>-1.1883112541666665</v>
      </c>
      <c r="S145" s="117"/>
    </row>
    <row r="146" spans="1:19">
      <c r="A146" s="110" t="s">
        <v>626</v>
      </c>
      <c r="B146" s="111" t="s">
        <v>1360</v>
      </c>
      <c r="C146" s="111" t="s">
        <v>1361</v>
      </c>
      <c r="D146" s="112" t="s">
        <v>1362</v>
      </c>
      <c r="E146" s="111" t="s">
        <v>75</v>
      </c>
      <c r="F146" s="112" t="s">
        <v>1602</v>
      </c>
      <c r="G146" s="111" t="s">
        <v>20</v>
      </c>
      <c r="H146" s="111" t="s">
        <v>1684</v>
      </c>
      <c r="I146" s="111">
        <v>201509</v>
      </c>
      <c r="J146" s="113">
        <v>-584.91</v>
      </c>
      <c r="K146" s="72">
        <f t="shared" si="14"/>
        <v>42675</v>
      </c>
      <c r="L146" s="67">
        <f t="shared" si="10"/>
        <v>6</v>
      </c>
      <c r="M146" s="114">
        <v>1.4833299999999999E-3</v>
      </c>
      <c r="N146" s="104">
        <f t="shared" si="11"/>
        <v>-5.2056873017999994</v>
      </c>
      <c r="O146" s="66"/>
      <c r="P146" s="66">
        <f t="shared" si="12"/>
        <v>0</v>
      </c>
      <c r="Q146" s="66"/>
      <c r="R146" s="66">
        <f t="shared" si="13"/>
        <v>-8.9499759937499981</v>
      </c>
      <c r="S146" s="117"/>
    </row>
    <row r="147" spans="1:19">
      <c r="A147" s="110" t="s">
        <v>626</v>
      </c>
      <c r="B147" s="111" t="s">
        <v>1327</v>
      </c>
      <c r="C147" s="111" t="s">
        <v>1328</v>
      </c>
      <c r="D147" s="112" t="s">
        <v>1329</v>
      </c>
      <c r="E147" s="111" t="s">
        <v>75</v>
      </c>
      <c r="F147" s="112" t="s">
        <v>1602</v>
      </c>
      <c r="G147" s="111" t="s">
        <v>20</v>
      </c>
      <c r="H147" s="111" t="s">
        <v>1684</v>
      </c>
      <c r="I147" s="111">
        <v>201509</v>
      </c>
      <c r="J147" s="113">
        <v>-157.63999999999999</v>
      </c>
      <c r="K147" s="72">
        <f t="shared" si="14"/>
        <v>42675</v>
      </c>
      <c r="L147" s="67">
        <f t="shared" si="10"/>
        <v>6</v>
      </c>
      <c r="M147" s="114">
        <v>1.4833299999999999E-3</v>
      </c>
      <c r="N147" s="104">
        <f t="shared" si="11"/>
        <v>-1.4029928471999999</v>
      </c>
      <c r="O147" s="66"/>
      <c r="P147" s="66">
        <f t="shared" si="12"/>
        <v>0</v>
      </c>
      <c r="Q147" s="66"/>
      <c r="R147" s="66">
        <f t="shared" si="13"/>
        <v>-2.4121218916666662</v>
      </c>
      <c r="S147" s="117"/>
    </row>
    <row r="148" spans="1:19">
      <c r="A148" s="110" t="s">
        <v>626</v>
      </c>
      <c r="B148" s="111" t="s">
        <v>1426</v>
      </c>
      <c r="C148" s="111" t="s">
        <v>1427</v>
      </c>
      <c r="D148" s="112" t="s">
        <v>1428</v>
      </c>
      <c r="E148" s="111" t="s">
        <v>75</v>
      </c>
      <c r="F148" s="112" t="s">
        <v>1602</v>
      </c>
      <c r="G148" s="111" t="s">
        <v>20</v>
      </c>
      <c r="H148" s="111" t="s">
        <v>1684</v>
      </c>
      <c r="I148" s="111">
        <v>201509</v>
      </c>
      <c r="J148" s="113">
        <v>-101.6</v>
      </c>
      <c r="K148" s="72">
        <f t="shared" si="14"/>
        <v>42675</v>
      </c>
      <c r="L148" s="67">
        <f t="shared" si="10"/>
        <v>6</v>
      </c>
      <c r="M148" s="114">
        <v>1.4833299999999999E-3</v>
      </c>
      <c r="N148" s="104">
        <f t="shared" si="11"/>
        <v>-0.904237968</v>
      </c>
      <c r="O148" s="66"/>
      <c r="P148" s="66">
        <f t="shared" si="12"/>
        <v>0</v>
      </c>
      <c r="Q148" s="66"/>
      <c r="R148" s="66">
        <f t="shared" si="13"/>
        <v>-1.5546281666666664</v>
      </c>
      <c r="S148" s="117"/>
    </row>
    <row r="149" spans="1:19">
      <c r="A149" s="110" t="s">
        <v>626</v>
      </c>
      <c r="B149" s="111" t="s">
        <v>1184</v>
      </c>
      <c r="C149" s="111" t="s">
        <v>1185</v>
      </c>
      <c r="D149" s="112" t="s">
        <v>1186</v>
      </c>
      <c r="E149" s="111" t="s">
        <v>471</v>
      </c>
      <c r="F149" s="112" t="s">
        <v>165</v>
      </c>
      <c r="G149" s="111" t="s">
        <v>20</v>
      </c>
      <c r="H149" s="111" t="s">
        <v>1684</v>
      </c>
      <c r="I149" s="111">
        <v>201509</v>
      </c>
      <c r="J149" s="113">
        <v>-57.31</v>
      </c>
      <c r="K149" s="72">
        <f t="shared" si="14"/>
        <v>42675</v>
      </c>
      <c r="L149" s="67">
        <f t="shared" si="10"/>
        <v>6</v>
      </c>
      <c r="M149" s="114">
        <v>1.4833299999999999E-3</v>
      </c>
      <c r="N149" s="104">
        <f t="shared" si="11"/>
        <v>-0.51005785380000002</v>
      </c>
      <c r="O149" s="66"/>
      <c r="P149" s="66">
        <f t="shared" si="12"/>
        <v>0</v>
      </c>
      <c r="Q149" s="66"/>
      <c r="R149" s="66">
        <f t="shared" si="13"/>
        <v>-0.87692657708333321</v>
      </c>
      <c r="S149" s="117"/>
    </row>
    <row r="150" spans="1:19">
      <c r="A150" s="110" t="s">
        <v>626</v>
      </c>
      <c r="B150" s="111" t="s">
        <v>1277</v>
      </c>
      <c r="C150" s="111" t="s">
        <v>1278</v>
      </c>
      <c r="D150" s="112" t="s">
        <v>1279</v>
      </c>
      <c r="E150" s="111" t="s">
        <v>471</v>
      </c>
      <c r="F150" s="112" t="s">
        <v>165</v>
      </c>
      <c r="G150" s="111" t="s">
        <v>20</v>
      </c>
      <c r="H150" s="111" t="s">
        <v>1684</v>
      </c>
      <c r="I150" s="111">
        <v>201509</v>
      </c>
      <c r="J150" s="113">
        <v>-606.66</v>
      </c>
      <c r="K150" s="72">
        <f t="shared" si="14"/>
        <v>42675</v>
      </c>
      <c r="L150" s="67">
        <f t="shared" si="10"/>
        <v>6</v>
      </c>
      <c r="M150" s="114">
        <v>1.4833299999999999E-3</v>
      </c>
      <c r="N150" s="104">
        <f t="shared" si="11"/>
        <v>-5.3992618667999999</v>
      </c>
      <c r="O150" s="66"/>
      <c r="P150" s="66">
        <f t="shared" si="12"/>
        <v>0</v>
      </c>
      <c r="Q150" s="66"/>
      <c r="R150" s="66">
        <f t="shared" si="13"/>
        <v>-9.2827827124999978</v>
      </c>
      <c r="S150" s="117"/>
    </row>
    <row r="151" spans="1:19">
      <c r="A151" s="110" t="s">
        <v>626</v>
      </c>
      <c r="B151" s="111" t="s">
        <v>1224</v>
      </c>
      <c r="C151" s="111" t="s">
        <v>1225</v>
      </c>
      <c r="D151" s="112" t="s">
        <v>1226</v>
      </c>
      <c r="E151" s="111" t="s">
        <v>164</v>
      </c>
      <c r="F151" s="112" t="s">
        <v>1600</v>
      </c>
      <c r="G151" s="111" t="s">
        <v>20</v>
      </c>
      <c r="H151" s="111" t="s">
        <v>1684</v>
      </c>
      <c r="I151" s="111">
        <v>201509</v>
      </c>
      <c r="J151" s="113">
        <v>-161.71</v>
      </c>
      <c r="K151" s="72">
        <f t="shared" si="14"/>
        <v>42675</v>
      </c>
      <c r="L151" s="67">
        <f t="shared" si="10"/>
        <v>6</v>
      </c>
      <c r="M151" s="114">
        <v>1.4833299999999999E-3</v>
      </c>
      <c r="N151" s="104">
        <f t="shared" si="11"/>
        <v>-1.4392157658</v>
      </c>
      <c r="O151" s="66"/>
      <c r="P151" s="66">
        <f t="shared" si="12"/>
        <v>0</v>
      </c>
      <c r="Q151" s="66"/>
      <c r="R151" s="66">
        <f t="shared" si="13"/>
        <v>-2.4743988270833333</v>
      </c>
      <c r="S151" s="117"/>
    </row>
    <row r="152" spans="1:19">
      <c r="A152" s="110" t="s">
        <v>626</v>
      </c>
      <c r="B152" s="111" t="s">
        <v>1511</v>
      </c>
      <c r="C152" s="111" t="s">
        <v>1512</v>
      </c>
      <c r="D152" s="112" t="s">
        <v>1513</v>
      </c>
      <c r="E152" s="111" t="s">
        <v>260</v>
      </c>
      <c r="F152" s="112" t="s">
        <v>1608</v>
      </c>
      <c r="G152" s="111" t="s">
        <v>20</v>
      </c>
      <c r="H152" s="111" t="s">
        <v>1684</v>
      </c>
      <c r="I152" s="111">
        <v>201509</v>
      </c>
      <c r="J152" s="113">
        <v>-529.94000000000005</v>
      </c>
      <c r="K152" s="72">
        <f t="shared" si="14"/>
        <v>42675</v>
      </c>
      <c r="L152" s="67">
        <f t="shared" si="10"/>
        <v>6</v>
      </c>
      <c r="M152" s="114">
        <v>1.4833299999999999E-3</v>
      </c>
      <c r="N152" s="104">
        <f t="shared" si="11"/>
        <v>-4.7164554012000002</v>
      </c>
      <c r="O152" s="66"/>
      <c r="P152" s="66">
        <f t="shared" si="12"/>
        <v>0</v>
      </c>
      <c r="Q152" s="66"/>
      <c r="R152" s="66">
        <f t="shared" si="13"/>
        <v>-8.1088548291666669</v>
      </c>
      <c r="S152" s="117"/>
    </row>
    <row r="153" spans="1:19">
      <c r="A153" s="110" t="s">
        <v>626</v>
      </c>
      <c r="B153" s="111" t="s">
        <v>1227</v>
      </c>
      <c r="C153" s="111" t="s">
        <v>1228</v>
      </c>
      <c r="D153" s="112" t="s">
        <v>1229</v>
      </c>
      <c r="E153" s="111" t="s">
        <v>280</v>
      </c>
      <c r="F153" s="112" t="s">
        <v>26</v>
      </c>
      <c r="G153" s="111" t="s">
        <v>20</v>
      </c>
      <c r="H153" s="111" t="s">
        <v>1684</v>
      </c>
      <c r="I153" s="111">
        <v>201509</v>
      </c>
      <c r="J153" s="113">
        <v>-73.69</v>
      </c>
      <c r="K153" s="72">
        <f t="shared" si="14"/>
        <v>42675</v>
      </c>
      <c r="L153" s="67">
        <f t="shared" si="10"/>
        <v>6</v>
      </c>
      <c r="M153" s="114">
        <v>1.4833299999999999E-3</v>
      </c>
      <c r="N153" s="104">
        <f t="shared" si="11"/>
        <v>-0.65583952619999997</v>
      </c>
      <c r="O153" s="66"/>
      <c r="P153" s="66">
        <f t="shared" si="12"/>
        <v>0</v>
      </c>
      <c r="Q153" s="66"/>
      <c r="R153" s="66">
        <f t="shared" si="13"/>
        <v>-1.1275644645833331</v>
      </c>
      <c r="S153" s="117"/>
    </row>
    <row r="154" spans="1:19">
      <c r="A154" s="110" t="s">
        <v>626</v>
      </c>
      <c r="B154" s="111" t="s">
        <v>1514</v>
      </c>
      <c r="C154" s="111" t="s">
        <v>1515</v>
      </c>
      <c r="D154" s="112" t="s">
        <v>1516</v>
      </c>
      <c r="E154" s="111" t="s">
        <v>809</v>
      </c>
      <c r="F154" s="112" t="s">
        <v>26</v>
      </c>
      <c r="G154" s="111" t="s">
        <v>20</v>
      </c>
      <c r="H154" s="111" t="s">
        <v>1684</v>
      </c>
      <c r="I154" s="111">
        <v>201509</v>
      </c>
      <c r="J154" s="113">
        <v>22312.78</v>
      </c>
      <c r="K154" s="72">
        <f t="shared" si="14"/>
        <v>42675</v>
      </c>
      <c r="L154" s="67">
        <f t="shared" si="10"/>
        <v>6</v>
      </c>
      <c r="M154" s="114">
        <v>1.4833299999999999E-3</v>
      </c>
      <c r="N154" s="104">
        <f t="shared" si="11"/>
        <v>198.5832957444</v>
      </c>
      <c r="O154" s="66"/>
      <c r="P154" s="66">
        <f t="shared" si="12"/>
        <v>0</v>
      </c>
      <c r="Q154" s="66"/>
      <c r="R154" s="66">
        <f t="shared" si="13"/>
        <v>341.41807347083324</v>
      </c>
      <c r="S154" s="117"/>
    </row>
    <row r="155" spans="1:19">
      <c r="A155" s="110" t="s">
        <v>626</v>
      </c>
      <c r="B155" s="111" t="s">
        <v>1473</v>
      </c>
      <c r="C155" s="111" t="s">
        <v>1474</v>
      </c>
      <c r="D155" s="112" t="s">
        <v>1475</v>
      </c>
      <c r="E155" s="111" t="s">
        <v>1059</v>
      </c>
      <c r="F155" s="112" t="s">
        <v>26</v>
      </c>
      <c r="G155" s="111" t="s">
        <v>20</v>
      </c>
      <c r="H155" s="111" t="s">
        <v>1684</v>
      </c>
      <c r="I155" s="111">
        <v>201509</v>
      </c>
      <c r="J155" s="113">
        <v>-107.66</v>
      </c>
      <c r="K155" s="72">
        <f t="shared" si="14"/>
        <v>42675</v>
      </c>
      <c r="L155" s="67">
        <f t="shared" si="10"/>
        <v>6</v>
      </c>
      <c r="M155" s="114">
        <v>1.4833299999999999E-3</v>
      </c>
      <c r="N155" s="104">
        <f t="shared" si="11"/>
        <v>-0.9581718468</v>
      </c>
      <c r="O155" s="66"/>
      <c r="P155" s="66">
        <f t="shared" si="12"/>
        <v>0</v>
      </c>
      <c r="Q155" s="66"/>
      <c r="R155" s="66">
        <f t="shared" si="13"/>
        <v>-1.6473550041666665</v>
      </c>
      <c r="S155" s="117"/>
    </row>
    <row r="156" spans="1:19">
      <c r="A156" s="110" t="s">
        <v>626</v>
      </c>
      <c r="B156" s="111" t="s">
        <v>1561</v>
      </c>
      <c r="C156" s="111" t="s">
        <v>1562</v>
      </c>
      <c r="D156" s="112" t="s">
        <v>1563</v>
      </c>
      <c r="E156" s="111" t="s">
        <v>160</v>
      </c>
      <c r="F156" s="112" t="s">
        <v>19</v>
      </c>
      <c r="G156" s="111" t="s">
        <v>20</v>
      </c>
      <c r="H156" s="111" t="s">
        <v>1684</v>
      </c>
      <c r="I156" s="111">
        <v>201509</v>
      </c>
      <c r="J156" s="113">
        <v>-21.87</v>
      </c>
      <c r="K156" s="72">
        <f t="shared" si="14"/>
        <v>42675</v>
      </c>
      <c r="L156" s="67">
        <f t="shared" si="10"/>
        <v>6</v>
      </c>
      <c r="M156" s="114">
        <v>1.4833299999999999E-3</v>
      </c>
      <c r="N156" s="104">
        <f t="shared" si="11"/>
        <v>-0.19464256260000001</v>
      </c>
      <c r="O156" s="66"/>
      <c r="P156" s="66">
        <f t="shared" si="12"/>
        <v>0</v>
      </c>
      <c r="Q156" s="66"/>
      <c r="R156" s="66">
        <f t="shared" si="13"/>
        <v>-0.33464289375</v>
      </c>
      <c r="S156" s="117"/>
    </row>
    <row r="157" spans="1:19">
      <c r="A157" s="110" t="s">
        <v>626</v>
      </c>
      <c r="B157" s="111" t="s">
        <v>1330</v>
      </c>
      <c r="C157" s="111" t="s">
        <v>1331</v>
      </c>
      <c r="D157" s="112" t="s">
        <v>1332</v>
      </c>
      <c r="E157" s="111" t="s">
        <v>102</v>
      </c>
      <c r="F157" s="112" t="s">
        <v>19</v>
      </c>
      <c r="G157" s="111" t="s">
        <v>20</v>
      </c>
      <c r="H157" s="111" t="s">
        <v>1684</v>
      </c>
      <c r="I157" s="111">
        <v>201509</v>
      </c>
      <c r="J157" s="113">
        <v>-161.94</v>
      </c>
      <c r="K157" s="72">
        <f t="shared" si="14"/>
        <v>42675</v>
      </c>
      <c r="L157" s="67">
        <f t="shared" si="10"/>
        <v>6</v>
      </c>
      <c r="M157" s="114">
        <v>1.4833299999999999E-3</v>
      </c>
      <c r="N157" s="104">
        <f t="shared" si="11"/>
        <v>-1.4412627612</v>
      </c>
      <c r="O157" s="66"/>
      <c r="P157" s="66">
        <f t="shared" si="12"/>
        <v>0</v>
      </c>
      <c r="Q157" s="66"/>
      <c r="R157" s="66">
        <f t="shared" si="13"/>
        <v>-2.4779181624999995</v>
      </c>
      <c r="S157" s="117"/>
    </row>
    <row r="158" spans="1:19">
      <c r="A158" s="110" t="s">
        <v>21</v>
      </c>
      <c r="B158" s="111" t="s">
        <v>1564</v>
      </c>
      <c r="C158" s="111" t="s">
        <v>1565</v>
      </c>
      <c r="D158" s="112" t="s">
        <v>1566</v>
      </c>
      <c r="E158" s="111" t="s">
        <v>18</v>
      </c>
      <c r="F158" s="112" t="s">
        <v>19</v>
      </c>
      <c r="G158" s="111" t="s">
        <v>20</v>
      </c>
      <c r="H158" s="111" t="s">
        <v>1684</v>
      </c>
      <c r="I158" s="111">
        <v>201509</v>
      </c>
      <c r="J158" s="113">
        <v>-42.17</v>
      </c>
      <c r="K158" s="72">
        <f t="shared" si="14"/>
        <v>42675</v>
      </c>
      <c r="L158" s="67">
        <f t="shared" si="10"/>
        <v>6</v>
      </c>
      <c r="M158" s="114">
        <v>1.4833299999999999E-3</v>
      </c>
      <c r="N158" s="104">
        <f t="shared" si="11"/>
        <v>-0.3753121566</v>
      </c>
      <c r="O158" s="66"/>
      <c r="P158" s="66">
        <f t="shared" si="12"/>
        <v>0</v>
      </c>
      <c r="Q158" s="66"/>
      <c r="R158" s="66">
        <f t="shared" si="13"/>
        <v>-0.64526249791666657</v>
      </c>
      <c r="S158" s="117"/>
    </row>
    <row r="159" spans="1:19">
      <c r="A159" s="110" t="s">
        <v>21</v>
      </c>
      <c r="B159" s="111" t="s">
        <v>1309</v>
      </c>
      <c r="C159" s="111" t="s">
        <v>1310</v>
      </c>
      <c r="D159" s="112" t="s">
        <v>1311</v>
      </c>
      <c r="E159" s="111" t="s">
        <v>79</v>
      </c>
      <c r="F159" s="112" t="s">
        <v>26</v>
      </c>
      <c r="G159" s="111" t="s">
        <v>20</v>
      </c>
      <c r="H159" s="111" t="s">
        <v>1684</v>
      </c>
      <c r="I159" s="111">
        <v>201509</v>
      </c>
      <c r="J159" s="113">
        <v>-1046.23</v>
      </c>
      <c r="K159" s="72">
        <f t="shared" si="14"/>
        <v>42675</v>
      </c>
      <c r="L159" s="67">
        <f t="shared" si="10"/>
        <v>6</v>
      </c>
      <c r="M159" s="114">
        <v>1.4833299999999999E-3</v>
      </c>
      <c r="N159" s="104">
        <f t="shared" si="11"/>
        <v>-9.3114260754</v>
      </c>
      <c r="O159" s="66"/>
      <c r="P159" s="66">
        <f t="shared" si="12"/>
        <v>0</v>
      </c>
      <c r="Q159" s="66"/>
      <c r="R159" s="66">
        <f t="shared" si="13"/>
        <v>-16.008844752083334</v>
      </c>
      <c r="S159" s="117"/>
    </row>
    <row r="160" spans="1:19">
      <c r="A160" s="110" t="s">
        <v>626</v>
      </c>
      <c r="B160" s="111" t="s">
        <v>1309</v>
      </c>
      <c r="C160" s="111" t="s">
        <v>1310</v>
      </c>
      <c r="D160" s="112" t="s">
        <v>1311</v>
      </c>
      <c r="E160" s="111" t="s">
        <v>79</v>
      </c>
      <c r="F160" s="112" t="s">
        <v>26</v>
      </c>
      <c r="G160" s="111" t="s">
        <v>20</v>
      </c>
      <c r="H160" s="111" t="s">
        <v>1684</v>
      </c>
      <c r="I160" s="111">
        <v>201509</v>
      </c>
      <c r="J160" s="113">
        <v>203.44</v>
      </c>
      <c r="K160" s="72">
        <f t="shared" si="14"/>
        <v>42675</v>
      </c>
      <c r="L160" s="67">
        <f t="shared" si="10"/>
        <v>6</v>
      </c>
      <c r="M160" s="114">
        <v>1.4833299999999999E-3</v>
      </c>
      <c r="N160" s="104">
        <f t="shared" si="11"/>
        <v>1.8106119312</v>
      </c>
      <c r="O160" s="66"/>
      <c r="P160" s="66">
        <f t="shared" si="12"/>
        <v>0</v>
      </c>
      <c r="Q160" s="66"/>
      <c r="R160" s="66">
        <f t="shared" si="13"/>
        <v>3.1129286833333332</v>
      </c>
      <c r="S160" s="117"/>
    </row>
    <row r="161" spans="1:19">
      <c r="A161" s="110" t="s">
        <v>626</v>
      </c>
      <c r="B161" s="111" t="s">
        <v>1363</v>
      </c>
      <c r="C161" s="111" t="s">
        <v>1364</v>
      </c>
      <c r="D161" s="112" t="s">
        <v>1365</v>
      </c>
      <c r="E161" s="111" t="s">
        <v>497</v>
      </c>
      <c r="F161" s="112" t="s">
        <v>26</v>
      </c>
      <c r="G161" s="111" t="s">
        <v>20</v>
      </c>
      <c r="H161" s="111" t="s">
        <v>1684</v>
      </c>
      <c r="I161" s="111">
        <v>201509</v>
      </c>
      <c r="J161" s="113">
        <v>-33.630000000000003</v>
      </c>
      <c r="K161" s="72">
        <f t="shared" si="14"/>
        <v>42675</v>
      </c>
      <c r="L161" s="67">
        <f t="shared" si="10"/>
        <v>6</v>
      </c>
      <c r="M161" s="114">
        <v>1.4833299999999999E-3</v>
      </c>
      <c r="N161" s="104">
        <f t="shared" si="11"/>
        <v>-0.29930632740000002</v>
      </c>
      <c r="O161" s="66"/>
      <c r="P161" s="66">
        <f t="shared" si="12"/>
        <v>0</v>
      </c>
      <c r="Q161" s="66"/>
      <c r="R161" s="66">
        <f t="shared" si="13"/>
        <v>-0.51458804375</v>
      </c>
      <c r="S161" s="117"/>
    </row>
    <row r="162" spans="1:19">
      <c r="A162" s="110" t="s">
        <v>21</v>
      </c>
      <c r="B162" s="111" t="s">
        <v>1230</v>
      </c>
      <c r="C162" s="111" t="s">
        <v>1231</v>
      </c>
      <c r="D162" s="112" t="s">
        <v>1232</v>
      </c>
      <c r="E162" s="111" t="s">
        <v>63</v>
      </c>
      <c r="F162" s="112" t="s">
        <v>19</v>
      </c>
      <c r="G162" s="111" t="s">
        <v>20</v>
      </c>
      <c r="H162" s="111" t="s">
        <v>1684</v>
      </c>
      <c r="I162" s="111">
        <v>201509</v>
      </c>
      <c r="J162" s="113">
        <v>-22.98</v>
      </c>
      <c r="K162" s="72">
        <f t="shared" si="14"/>
        <v>42675</v>
      </c>
      <c r="L162" s="67">
        <f t="shared" si="10"/>
        <v>6</v>
      </c>
      <c r="M162" s="114">
        <v>1.4833299999999999E-3</v>
      </c>
      <c r="N162" s="104">
        <f t="shared" si="11"/>
        <v>-0.20452154040000001</v>
      </c>
      <c r="O162" s="66"/>
      <c r="P162" s="66">
        <f t="shared" si="12"/>
        <v>0</v>
      </c>
      <c r="Q162" s="66"/>
      <c r="R162" s="66">
        <f t="shared" si="13"/>
        <v>-0.35162751250000002</v>
      </c>
      <c r="S162" s="117"/>
    </row>
    <row r="163" spans="1:19">
      <c r="A163" s="110" t="s">
        <v>626</v>
      </c>
      <c r="B163" s="111" t="s">
        <v>1476</v>
      </c>
      <c r="C163" s="111" t="s">
        <v>1477</v>
      </c>
      <c r="D163" s="112" t="s">
        <v>1478</v>
      </c>
      <c r="E163" s="111" t="s">
        <v>531</v>
      </c>
      <c r="F163" s="112" t="s">
        <v>26</v>
      </c>
      <c r="G163" s="111" t="s">
        <v>20</v>
      </c>
      <c r="H163" s="111" t="s">
        <v>1684</v>
      </c>
      <c r="I163" s="111">
        <v>201509</v>
      </c>
      <c r="J163" s="113">
        <v>-147.47999999999999</v>
      </c>
      <c r="K163" s="72">
        <f t="shared" si="14"/>
        <v>42675</v>
      </c>
      <c r="L163" s="67">
        <f t="shared" si="10"/>
        <v>6</v>
      </c>
      <c r="M163" s="114">
        <v>1.4833299999999999E-3</v>
      </c>
      <c r="N163" s="104">
        <f t="shared" si="11"/>
        <v>-1.3125690503999998</v>
      </c>
      <c r="O163" s="66"/>
      <c r="P163" s="66">
        <f t="shared" si="12"/>
        <v>0</v>
      </c>
      <c r="Q163" s="66"/>
      <c r="R163" s="66">
        <f t="shared" si="13"/>
        <v>-2.2566590749999995</v>
      </c>
      <c r="S163" s="117"/>
    </row>
    <row r="164" spans="1:19">
      <c r="A164" s="110" t="s">
        <v>21</v>
      </c>
      <c r="B164" s="111" t="s">
        <v>1567</v>
      </c>
      <c r="C164" s="111" t="s">
        <v>1568</v>
      </c>
      <c r="D164" s="112" t="s">
        <v>1569</v>
      </c>
      <c r="E164" s="111" t="s">
        <v>63</v>
      </c>
      <c r="F164" s="112" t="s">
        <v>19</v>
      </c>
      <c r="G164" s="111" t="s">
        <v>20</v>
      </c>
      <c r="H164" s="111" t="s">
        <v>1684</v>
      </c>
      <c r="I164" s="111">
        <v>201509</v>
      </c>
      <c r="J164" s="113">
        <v>-54.83</v>
      </c>
      <c r="K164" s="72">
        <f t="shared" si="14"/>
        <v>42675</v>
      </c>
      <c r="L164" s="67">
        <f t="shared" si="10"/>
        <v>6</v>
      </c>
      <c r="M164" s="114">
        <v>1.4833299999999999E-3</v>
      </c>
      <c r="N164" s="104">
        <f t="shared" si="11"/>
        <v>-0.48798590339999998</v>
      </c>
      <c r="O164" s="66"/>
      <c r="P164" s="66">
        <f t="shared" si="12"/>
        <v>0</v>
      </c>
      <c r="Q164" s="66"/>
      <c r="R164" s="66">
        <f t="shared" si="13"/>
        <v>-0.83897896041666653</v>
      </c>
      <c r="S164" s="117"/>
    </row>
    <row r="165" spans="1:19">
      <c r="A165" s="110" t="s">
        <v>626</v>
      </c>
      <c r="B165" s="111" t="s">
        <v>1517</v>
      </c>
      <c r="C165" s="111" t="s">
        <v>1518</v>
      </c>
      <c r="D165" s="112" t="s">
        <v>1211</v>
      </c>
      <c r="E165" s="111" t="s">
        <v>280</v>
      </c>
      <c r="F165" s="112" t="s">
        <v>26</v>
      </c>
      <c r="G165" s="111" t="s">
        <v>20</v>
      </c>
      <c r="H165" s="111" t="s">
        <v>1684</v>
      </c>
      <c r="I165" s="111">
        <v>201509</v>
      </c>
      <c r="J165" s="113">
        <v>-542.24</v>
      </c>
      <c r="K165" s="72">
        <f t="shared" si="14"/>
        <v>42675</v>
      </c>
      <c r="L165" s="67">
        <f t="shared" si="10"/>
        <v>6</v>
      </c>
      <c r="M165" s="114">
        <v>1.4833299999999999E-3</v>
      </c>
      <c r="N165" s="104">
        <f t="shared" si="11"/>
        <v>-4.8259251552000002</v>
      </c>
      <c r="O165" s="66"/>
      <c r="P165" s="66">
        <f t="shared" si="12"/>
        <v>0</v>
      </c>
      <c r="Q165" s="66"/>
      <c r="R165" s="66">
        <f t="shared" si="13"/>
        <v>-8.2970627666666665</v>
      </c>
      <c r="S165" s="117"/>
    </row>
    <row r="166" spans="1:19">
      <c r="A166" s="110" t="s">
        <v>626</v>
      </c>
      <c r="B166" s="111" t="s">
        <v>1280</v>
      </c>
      <c r="C166" s="111" t="s">
        <v>1281</v>
      </c>
      <c r="D166" s="112" t="s">
        <v>1282</v>
      </c>
      <c r="E166" s="111" t="s">
        <v>164</v>
      </c>
      <c r="F166" s="112" t="s">
        <v>1600</v>
      </c>
      <c r="G166" s="111" t="s">
        <v>20</v>
      </c>
      <c r="H166" s="111" t="s">
        <v>1684</v>
      </c>
      <c r="I166" s="111">
        <v>201509</v>
      </c>
      <c r="J166" s="113">
        <v>-58.08</v>
      </c>
      <c r="K166" s="72">
        <f t="shared" si="14"/>
        <v>42675</v>
      </c>
      <c r="L166" s="67">
        <f t="shared" si="10"/>
        <v>6</v>
      </c>
      <c r="M166" s="114">
        <v>1.4833299999999999E-3</v>
      </c>
      <c r="N166" s="104">
        <f t="shared" si="11"/>
        <v>-0.51691083839999996</v>
      </c>
      <c r="O166" s="66"/>
      <c r="P166" s="66">
        <f t="shared" si="12"/>
        <v>0</v>
      </c>
      <c r="Q166" s="66"/>
      <c r="R166" s="66">
        <f t="shared" si="13"/>
        <v>-0.88870869999999991</v>
      </c>
      <c r="S166" s="117"/>
    </row>
    <row r="167" spans="1:19">
      <c r="A167" s="110" t="s">
        <v>626</v>
      </c>
      <c r="B167" s="111" t="s">
        <v>1333</v>
      </c>
      <c r="C167" s="111" t="s">
        <v>1334</v>
      </c>
      <c r="D167" s="112" t="s">
        <v>1335</v>
      </c>
      <c r="E167" s="111" t="s">
        <v>164</v>
      </c>
      <c r="F167" s="112" t="s">
        <v>1600</v>
      </c>
      <c r="G167" s="111" t="s">
        <v>20</v>
      </c>
      <c r="H167" s="111" t="s">
        <v>1684</v>
      </c>
      <c r="I167" s="111">
        <v>201509</v>
      </c>
      <c r="J167" s="113">
        <v>-107.72</v>
      </c>
      <c r="K167" s="72">
        <f t="shared" si="14"/>
        <v>42675</v>
      </c>
      <c r="L167" s="67">
        <f t="shared" si="10"/>
        <v>6</v>
      </c>
      <c r="M167" s="114">
        <v>1.4833299999999999E-3</v>
      </c>
      <c r="N167" s="104">
        <f t="shared" si="11"/>
        <v>-0.95870584559999994</v>
      </c>
      <c r="O167" s="66"/>
      <c r="P167" s="66">
        <f t="shared" si="12"/>
        <v>0</v>
      </c>
      <c r="Q167" s="66"/>
      <c r="R167" s="66">
        <f t="shared" si="13"/>
        <v>-1.6482730916666666</v>
      </c>
      <c r="S167" s="117"/>
    </row>
    <row r="168" spans="1:19">
      <c r="A168" s="110" t="s">
        <v>626</v>
      </c>
      <c r="B168" s="111" t="s">
        <v>1429</v>
      </c>
      <c r="C168" s="111" t="s">
        <v>1430</v>
      </c>
      <c r="D168" s="112" t="s">
        <v>1431</v>
      </c>
      <c r="E168" s="111" t="s">
        <v>360</v>
      </c>
      <c r="F168" s="112" t="s">
        <v>19</v>
      </c>
      <c r="G168" s="111" t="s">
        <v>20</v>
      </c>
      <c r="H168" s="111" t="s">
        <v>1684</v>
      </c>
      <c r="I168" s="111">
        <v>201509</v>
      </c>
      <c r="J168" s="113">
        <v>-159.16</v>
      </c>
      <c r="K168" s="72">
        <f t="shared" si="14"/>
        <v>42675</v>
      </c>
      <c r="L168" s="67">
        <f t="shared" si="10"/>
        <v>6</v>
      </c>
      <c r="M168" s="114">
        <v>1.4833299999999999E-3</v>
      </c>
      <c r="N168" s="104">
        <f t="shared" si="11"/>
        <v>-1.4165208168000001</v>
      </c>
      <c r="O168" s="66"/>
      <c r="P168" s="66">
        <f t="shared" si="12"/>
        <v>0</v>
      </c>
      <c r="Q168" s="66"/>
      <c r="R168" s="66">
        <f t="shared" si="13"/>
        <v>-2.4353801083333328</v>
      </c>
      <c r="S168" s="117"/>
    </row>
    <row r="169" spans="1:19">
      <c r="A169" s="110" t="s">
        <v>21</v>
      </c>
      <c r="B169" s="111" t="s">
        <v>1479</v>
      </c>
      <c r="C169" s="111" t="s">
        <v>1480</v>
      </c>
      <c r="D169" s="112" t="s">
        <v>1481</v>
      </c>
      <c r="E169" s="111" t="s">
        <v>1059</v>
      </c>
      <c r="F169" s="112" t="s">
        <v>26</v>
      </c>
      <c r="G169" s="111" t="s">
        <v>20</v>
      </c>
      <c r="H169" s="111" t="s">
        <v>1684</v>
      </c>
      <c r="I169" s="111">
        <v>201509</v>
      </c>
      <c r="J169" s="113">
        <v>112650.74</v>
      </c>
      <c r="K169" s="72">
        <f t="shared" si="14"/>
        <v>42675</v>
      </c>
      <c r="L169" s="67">
        <f t="shared" si="10"/>
        <v>6</v>
      </c>
      <c r="M169" s="114">
        <v>1.4833299999999999E-3</v>
      </c>
      <c r="N169" s="104">
        <f t="shared" si="11"/>
        <v>1002.5893329852</v>
      </c>
      <c r="O169" s="66"/>
      <c r="P169" s="66">
        <f t="shared" si="12"/>
        <v>0</v>
      </c>
      <c r="Q169" s="66"/>
      <c r="R169" s="66">
        <f t="shared" si="13"/>
        <v>1723.7206043291667</v>
      </c>
      <c r="S169" s="117"/>
    </row>
    <row r="170" spans="1:19">
      <c r="A170" s="110" t="s">
        <v>626</v>
      </c>
      <c r="B170" s="111" t="s">
        <v>1479</v>
      </c>
      <c r="C170" s="111" t="s">
        <v>1480</v>
      </c>
      <c r="D170" s="112" t="s">
        <v>1481</v>
      </c>
      <c r="E170" s="111" t="s">
        <v>1059</v>
      </c>
      <c r="F170" s="112" t="s">
        <v>26</v>
      </c>
      <c r="G170" s="111" t="s">
        <v>20</v>
      </c>
      <c r="H170" s="111" t="s">
        <v>1684</v>
      </c>
      <c r="I170" s="111">
        <v>201509</v>
      </c>
      <c r="J170" s="113">
        <v>-106632.89</v>
      </c>
      <c r="K170" s="72">
        <f t="shared" si="14"/>
        <v>42675</v>
      </c>
      <c r="L170" s="67">
        <f t="shared" si="10"/>
        <v>6</v>
      </c>
      <c r="M170" s="114">
        <v>1.4833299999999999E-3</v>
      </c>
      <c r="N170" s="104">
        <f t="shared" si="11"/>
        <v>-949.03058834219996</v>
      </c>
      <c r="O170" s="66"/>
      <c r="P170" s="66">
        <f t="shared" si="12"/>
        <v>0</v>
      </c>
      <c r="Q170" s="66"/>
      <c r="R170" s="66">
        <f t="shared" si="13"/>
        <v>-1631.6387232979164</v>
      </c>
      <c r="S170" s="117"/>
    </row>
    <row r="171" spans="1:19">
      <c r="A171" s="110" t="s">
        <v>626</v>
      </c>
      <c r="B171" s="111" t="s">
        <v>1336</v>
      </c>
      <c r="C171" s="111" t="s">
        <v>1337</v>
      </c>
      <c r="D171" s="112" t="s">
        <v>1338</v>
      </c>
      <c r="E171" s="111" t="s">
        <v>75</v>
      </c>
      <c r="F171" s="112" t="s">
        <v>1602</v>
      </c>
      <c r="G171" s="111" t="s">
        <v>20</v>
      </c>
      <c r="H171" s="111" t="s">
        <v>1684</v>
      </c>
      <c r="I171" s="111">
        <v>201509</v>
      </c>
      <c r="J171" s="113">
        <v>-99.7</v>
      </c>
      <c r="K171" s="72">
        <f t="shared" si="14"/>
        <v>42675</v>
      </c>
      <c r="L171" s="67">
        <f t="shared" si="10"/>
        <v>6</v>
      </c>
      <c r="M171" s="114">
        <v>1.4833299999999999E-3</v>
      </c>
      <c r="N171" s="104">
        <f t="shared" si="11"/>
        <v>-0.88732800600000006</v>
      </c>
      <c r="O171" s="66"/>
      <c r="P171" s="66">
        <f t="shared" si="12"/>
        <v>0</v>
      </c>
      <c r="Q171" s="66"/>
      <c r="R171" s="66">
        <f t="shared" si="13"/>
        <v>-1.5255553958333332</v>
      </c>
      <c r="S171" s="117"/>
    </row>
    <row r="172" spans="1:19">
      <c r="A172" s="110" t="s">
        <v>21</v>
      </c>
      <c r="B172" s="111" t="s">
        <v>1233</v>
      </c>
      <c r="C172" s="111" t="s">
        <v>1234</v>
      </c>
      <c r="D172" s="112" t="s">
        <v>1235</v>
      </c>
      <c r="E172" s="111" t="s">
        <v>172</v>
      </c>
      <c r="F172" s="112" t="s">
        <v>1609</v>
      </c>
      <c r="G172" s="111" t="s">
        <v>20</v>
      </c>
      <c r="H172" s="111" t="s">
        <v>1684</v>
      </c>
      <c r="I172" s="111">
        <v>201509</v>
      </c>
      <c r="J172" s="113">
        <v>-27.68</v>
      </c>
      <c r="K172" s="72">
        <f t="shared" si="14"/>
        <v>42675</v>
      </c>
      <c r="L172" s="67">
        <f t="shared" si="10"/>
        <v>6</v>
      </c>
      <c r="M172" s="114">
        <v>1.4833299999999999E-3</v>
      </c>
      <c r="N172" s="104">
        <f t="shared" si="11"/>
        <v>-0.24635144640000001</v>
      </c>
      <c r="O172" s="66"/>
      <c r="P172" s="66">
        <f t="shared" si="12"/>
        <v>0</v>
      </c>
      <c r="Q172" s="66"/>
      <c r="R172" s="66">
        <f t="shared" si="13"/>
        <v>-0.42354436666666662</v>
      </c>
      <c r="S172" s="117"/>
    </row>
    <row r="173" spans="1:19">
      <c r="A173" s="110" t="s">
        <v>626</v>
      </c>
      <c r="B173" s="111" t="s">
        <v>1620</v>
      </c>
      <c r="C173" s="111" t="s">
        <v>1621</v>
      </c>
      <c r="D173" s="112" t="s">
        <v>1622</v>
      </c>
      <c r="E173" s="111" t="s">
        <v>497</v>
      </c>
      <c r="F173" s="112" t="s">
        <v>26</v>
      </c>
      <c r="G173" s="111" t="s">
        <v>20</v>
      </c>
      <c r="H173" s="111" t="s">
        <v>1684</v>
      </c>
      <c r="I173" s="111">
        <v>201509</v>
      </c>
      <c r="J173" s="113">
        <v>-426.5</v>
      </c>
      <c r="K173" s="72">
        <f t="shared" si="14"/>
        <v>42675</v>
      </c>
      <c r="L173" s="67">
        <f t="shared" si="10"/>
        <v>6</v>
      </c>
      <c r="M173" s="114">
        <v>1.4833299999999999E-3</v>
      </c>
      <c r="N173" s="104">
        <f t="shared" si="11"/>
        <v>-3.7958414700000001</v>
      </c>
      <c r="O173" s="66"/>
      <c r="P173" s="66">
        <f t="shared" si="12"/>
        <v>0</v>
      </c>
      <c r="Q173" s="66"/>
      <c r="R173" s="66">
        <f t="shared" si="13"/>
        <v>-6.5260719791666659</v>
      </c>
      <c r="S173" s="117"/>
    </row>
    <row r="174" spans="1:19">
      <c r="A174" s="110" t="s">
        <v>626</v>
      </c>
      <c r="B174" s="111" t="s">
        <v>1339</v>
      </c>
      <c r="C174" s="111" t="s">
        <v>1340</v>
      </c>
      <c r="D174" s="112" t="s">
        <v>1341</v>
      </c>
      <c r="E174" s="111" t="s">
        <v>360</v>
      </c>
      <c r="F174" s="112" t="s">
        <v>19</v>
      </c>
      <c r="G174" s="111" t="s">
        <v>20</v>
      </c>
      <c r="H174" s="111" t="s">
        <v>1684</v>
      </c>
      <c r="I174" s="111">
        <v>201509</v>
      </c>
      <c r="J174" s="113">
        <v>-45.17</v>
      </c>
      <c r="K174" s="72">
        <f t="shared" si="14"/>
        <v>42675</v>
      </c>
      <c r="L174" s="67">
        <f t="shared" si="10"/>
        <v>6</v>
      </c>
      <c r="M174" s="114">
        <v>1.4833299999999999E-3</v>
      </c>
      <c r="N174" s="104">
        <f t="shared" si="11"/>
        <v>-0.40201209660000004</v>
      </c>
      <c r="O174" s="66"/>
      <c r="P174" s="66">
        <f t="shared" si="12"/>
        <v>0</v>
      </c>
      <c r="Q174" s="66"/>
      <c r="R174" s="66">
        <f t="shared" si="13"/>
        <v>-0.69116687291666656</v>
      </c>
      <c r="S174" s="117"/>
    </row>
    <row r="175" spans="1:19">
      <c r="A175" s="110" t="s">
        <v>626</v>
      </c>
      <c r="B175" s="111" t="s">
        <v>1283</v>
      </c>
      <c r="C175" s="111" t="s">
        <v>1284</v>
      </c>
      <c r="D175" s="112" t="s">
        <v>1285</v>
      </c>
      <c r="E175" s="111" t="s">
        <v>809</v>
      </c>
      <c r="F175" s="112" t="s">
        <v>26</v>
      </c>
      <c r="G175" s="111" t="s">
        <v>20</v>
      </c>
      <c r="H175" s="111" t="s">
        <v>1684</v>
      </c>
      <c r="I175" s="111">
        <v>201509</v>
      </c>
      <c r="J175" s="113">
        <v>-29.92</v>
      </c>
      <c r="K175" s="72">
        <f t="shared" si="14"/>
        <v>42675</v>
      </c>
      <c r="L175" s="67">
        <f t="shared" si="10"/>
        <v>6</v>
      </c>
      <c r="M175" s="114">
        <v>1.4833299999999999E-3</v>
      </c>
      <c r="N175" s="104">
        <f t="shared" si="11"/>
        <v>-0.26628740160000003</v>
      </c>
      <c r="O175" s="66"/>
      <c r="P175" s="66">
        <f t="shared" si="12"/>
        <v>0</v>
      </c>
      <c r="Q175" s="66"/>
      <c r="R175" s="66">
        <f t="shared" si="13"/>
        <v>-0.45781963333333331</v>
      </c>
      <c r="S175" s="117"/>
    </row>
    <row r="176" spans="1:19">
      <c r="A176" s="110" t="s">
        <v>21</v>
      </c>
      <c r="B176" s="111" t="s">
        <v>1354</v>
      </c>
      <c r="C176" s="111" t="s">
        <v>1355</v>
      </c>
      <c r="D176" s="112" t="s">
        <v>1356</v>
      </c>
      <c r="E176" s="111" t="s">
        <v>75</v>
      </c>
      <c r="F176" s="112" t="s">
        <v>1602</v>
      </c>
      <c r="G176" s="111" t="s">
        <v>20</v>
      </c>
      <c r="H176" s="111" t="s">
        <v>1684</v>
      </c>
      <c r="I176" s="111">
        <v>201509</v>
      </c>
      <c r="J176" s="113">
        <v>-31268.86</v>
      </c>
      <c r="K176" s="72">
        <f t="shared" si="14"/>
        <v>42675</v>
      </c>
      <c r="L176" s="67">
        <f t="shared" si="10"/>
        <v>6</v>
      </c>
      <c r="M176" s="114">
        <v>1.4833299999999999E-3</v>
      </c>
      <c r="N176" s="104">
        <f t="shared" si="11"/>
        <v>-278.2922286228</v>
      </c>
      <c r="O176" s="66"/>
      <c r="P176" s="66">
        <f t="shared" si="12"/>
        <v>0</v>
      </c>
      <c r="Q176" s="66"/>
      <c r="R176" s="66">
        <f t="shared" si="13"/>
        <v>-478.45915842083326</v>
      </c>
      <c r="S176" s="117"/>
    </row>
    <row r="177" spans="1:19">
      <c r="A177" s="116" t="s">
        <v>626</v>
      </c>
      <c r="B177" s="111" t="s">
        <v>1354</v>
      </c>
      <c r="C177" s="111" t="s">
        <v>1355</v>
      </c>
      <c r="D177" s="112" t="s">
        <v>1356</v>
      </c>
      <c r="E177" s="111" t="s">
        <v>75</v>
      </c>
      <c r="F177" s="112" t="s">
        <v>1602</v>
      </c>
      <c r="G177" s="111" t="s">
        <v>20</v>
      </c>
      <c r="H177" s="111" t="s">
        <v>1684</v>
      </c>
      <c r="I177" s="111">
        <v>201509</v>
      </c>
      <c r="J177" s="113">
        <v>31119.79</v>
      </c>
      <c r="K177" s="72">
        <f t="shared" si="14"/>
        <v>42675</v>
      </c>
      <c r="L177" s="67">
        <f t="shared" si="10"/>
        <v>6</v>
      </c>
      <c r="M177" s="114">
        <v>1.4833299999999999E-3</v>
      </c>
      <c r="N177" s="104">
        <f t="shared" si="11"/>
        <v>276.96550860420001</v>
      </c>
      <c r="O177" s="66"/>
      <c r="P177" s="66">
        <f t="shared" si="12"/>
        <v>0</v>
      </c>
      <c r="Q177" s="66"/>
      <c r="R177" s="66">
        <f t="shared" si="13"/>
        <v>476.17817002708335</v>
      </c>
      <c r="S177" s="117"/>
    </row>
    <row r="178" spans="1:19">
      <c r="A178" s="116" t="s">
        <v>626</v>
      </c>
      <c r="B178" s="111" t="s">
        <v>1519</v>
      </c>
      <c r="C178" s="111" t="s">
        <v>1520</v>
      </c>
      <c r="D178" s="112" t="s">
        <v>1521</v>
      </c>
      <c r="E178" s="111" t="s">
        <v>75</v>
      </c>
      <c r="F178" s="112" t="s">
        <v>1602</v>
      </c>
      <c r="G178" s="111" t="s">
        <v>20</v>
      </c>
      <c r="H178" s="111" t="s">
        <v>1684</v>
      </c>
      <c r="I178" s="111">
        <v>201509</v>
      </c>
      <c r="J178" s="113">
        <v>1469.04</v>
      </c>
      <c r="K178" s="72">
        <f t="shared" si="14"/>
        <v>42675</v>
      </c>
      <c r="L178" s="67">
        <f t="shared" si="10"/>
        <v>6</v>
      </c>
      <c r="M178" s="114">
        <v>1.4833299999999999E-3</v>
      </c>
      <c r="N178" s="104">
        <f t="shared" si="11"/>
        <v>13.0744266192</v>
      </c>
      <c r="O178" s="66"/>
      <c r="P178" s="66">
        <f t="shared" si="12"/>
        <v>0</v>
      </c>
      <c r="Q178" s="66"/>
      <c r="R178" s="66">
        <f t="shared" si="13"/>
        <v>22.47845435</v>
      </c>
      <c r="S178" s="117"/>
    </row>
    <row r="179" spans="1:19">
      <c r="A179" s="116" t="s">
        <v>626</v>
      </c>
      <c r="B179" s="111" t="s">
        <v>1432</v>
      </c>
      <c r="C179" s="111" t="s">
        <v>1433</v>
      </c>
      <c r="D179" s="112" t="s">
        <v>1434</v>
      </c>
      <c r="E179" s="111" t="s">
        <v>497</v>
      </c>
      <c r="F179" s="112" t="s">
        <v>26</v>
      </c>
      <c r="G179" s="111" t="s">
        <v>20</v>
      </c>
      <c r="H179" s="111" t="s">
        <v>1684</v>
      </c>
      <c r="I179" s="111">
        <v>201509</v>
      </c>
      <c r="J179" s="113">
        <v>-397.51</v>
      </c>
      <c r="K179" s="72">
        <f t="shared" si="14"/>
        <v>42675</v>
      </c>
      <c r="L179" s="67">
        <f t="shared" si="10"/>
        <v>6</v>
      </c>
      <c r="M179" s="114">
        <v>1.4833299999999999E-3</v>
      </c>
      <c r="N179" s="104">
        <f t="shared" si="11"/>
        <v>-3.5378310497999998</v>
      </c>
      <c r="O179" s="66"/>
      <c r="P179" s="66">
        <f t="shared" si="12"/>
        <v>0</v>
      </c>
      <c r="Q179" s="66"/>
      <c r="R179" s="66">
        <f t="shared" si="13"/>
        <v>-6.0824827020833325</v>
      </c>
      <c r="S179" s="117"/>
    </row>
    <row r="180" spans="1:19">
      <c r="A180" s="116" t="s">
        <v>626</v>
      </c>
      <c r="B180" s="111" t="s">
        <v>1623</v>
      </c>
      <c r="C180" s="111" t="s">
        <v>1624</v>
      </c>
      <c r="D180" s="112" t="s">
        <v>1625</v>
      </c>
      <c r="E180" s="111" t="s">
        <v>260</v>
      </c>
      <c r="F180" s="112" t="s">
        <v>1608</v>
      </c>
      <c r="G180" s="111" t="s">
        <v>20</v>
      </c>
      <c r="H180" s="111" t="s">
        <v>1684</v>
      </c>
      <c r="I180" s="111">
        <v>201509</v>
      </c>
      <c r="J180" s="113">
        <v>-219.28</v>
      </c>
      <c r="K180" s="72">
        <f t="shared" si="14"/>
        <v>42675</v>
      </c>
      <c r="L180" s="67">
        <f t="shared" si="10"/>
        <v>6</v>
      </c>
      <c r="M180" s="114">
        <v>1.4833299999999999E-3</v>
      </c>
      <c r="N180" s="104">
        <f t="shared" si="11"/>
        <v>-1.9515876143999999</v>
      </c>
      <c r="O180" s="66"/>
      <c r="P180" s="66">
        <f t="shared" si="12"/>
        <v>0</v>
      </c>
      <c r="Q180" s="66"/>
      <c r="R180" s="66">
        <f t="shared" si="13"/>
        <v>-3.355303783333333</v>
      </c>
      <c r="S180" s="117"/>
    </row>
    <row r="181" spans="1:19">
      <c r="A181" s="110" t="s">
        <v>626</v>
      </c>
      <c r="B181" s="111" t="s">
        <v>1482</v>
      </c>
      <c r="C181" s="111" t="s">
        <v>1483</v>
      </c>
      <c r="D181" s="112" t="s">
        <v>1484</v>
      </c>
      <c r="E181" s="111" t="s">
        <v>75</v>
      </c>
      <c r="F181" s="112" t="s">
        <v>1602</v>
      </c>
      <c r="G181" s="111" t="s">
        <v>20</v>
      </c>
      <c r="H181" s="111" t="s">
        <v>1684</v>
      </c>
      <c r="I181" s="111">
        <v>201509</v>
      </c>
      <c r="J181" s="113">
        <v>-299.94</v>
      </c>
      <c r="K181" s="72">
        <f t="shared" si="14"/>
        <v>42675</v>
      </c>
      <c r="L181" s="67">
        <f t="shared" si="10"/>
        <v>6</v>
      </c>
      <c r="M181" s="114">
        <v>1.4833299999999999E-3</v>
      </c>
      <c r="N181" s="104">
        <f t="shared" si="11"/>
        <v>-2.6694600012</v>
      </c>
      <c r="O181" s="66"/>
      <c r="P181" s="66">
        <f t="shared" si="12"/>
        <v>0</v>
      </c>
      <c r="Q181" s="66"/>
      <c r="R181" s="66">
        <f t="shared" si="13"/>
        <v>-4.5895194124999996</v>
      </c>
      <c r="S181" s="117"/>
    </row>
    <row r="182" spans="1:19">
      <c r="A182" s="110" t="s">
        <v>626</v>
      </c>
      <c r="B182" s="111" t="s">
        <v>1485</v>
      </c>
      <c r="C182" s="111" t="s">
        <v>1486</v>
      </c>
      <c r="D182" s="112" t="s">
        <v>1487</v>
      </c>
      <c r="E182" s="111" t="s">
        <v>164</v>
      </c>
      <c r="F182" s="112" t="s">
        <v>1600</v>
      </c>
      <c r="G182" s="111" t="s">
        <v>20</v>
      </c>
      <c r="H182" s="111" t="s">
        <v>1684</v>
      </c>
      <c r="I182" s="111">
        <v>201509</v>
      </c>
      <c r="J182" s="113">
        <v>-4.37</v>
      </c>
      <c r="K182" s="72">
        <f t="shared" si="14"/>
        <v>42675</v>
      </c>
      <c r="L182" s="67">
        <f t="shared" si="10"/>
        <v>6</v>
      </c>
      <c r="M182" s="114">
        <v>1.4833299999999999E-3</v>
      </c>
      <c r="N182" s="104">
        <f t="shared" si="11"/>
        <v>-3.8892912600000003E-2</v>
      </c>
      <c r="O182" s="66"/>
      <c r="P182" s="66">
        <f t="shared" si="12"/>
        <v>0</v>
      </c>
      <c r="Q182" s="66"/>
      <c r="R182" s="66">
        <f t="shared" si="13"/>
        <v>-6.6867372916666667E-2</v>
      </c>
      <c r="S182" s="117"/>
    </row>
    <row r="183" spans="1:19">
      <c r="A183" s="116" t="s">
        <v>626</v>
      </c>
      <c r="B183" s="111" t="s">
        <v>1522</v>
      </c>
      <c r="C183" s="111" t="s">
        <v>1523</v>
      </c>
      <c r="D183" s="112" t="s">
        <v>1524</v>
      </c>
      <c r="E183" s="111" t="s">
        <v>75</v>
      </c>
      <c r="F183" s="112" t="s">
        <v>1602</v>
      </c>
      <c r="G183" s="111" t="s">
        <v>20</v>
      </c>
      <c r="H183" s="111" t="s">
        <v>1684</v>
      </c>
      <c r="I183" s="111">
        <v>201509</v>
      </c>
      <c r="J183" s="113">
        <v>4396.17</v>
      </c>
      <c r="K183" s="72">
        <f t="shared" si="14"/>
        <v>42675</v>
      </c>
      <c r="L183" s="67">
        <f t="shared" si="10"/>
        <v>6</v>
      </c>
      <c r="M183" s="114">
        <v>1.4833299999999999E-3</v>
      </c>
      <c r="N183" s="104">
        <f t="shared" si="11"/>
        <v>39.125825076600002</v>
      </c>
      <c r="O183" s="66"/>
      <c r="P183" s="66">
        <f t="shared" si="12"/>
        <v>0</v>
      </c>
      <c r="Q183" s="66"/>
      <c r="R183" s="66">
        <f t="shared" si="13"/>
        <v>67.26781208125</v>
      </c>
      <c r="S183" s="117"/>
    </row>
    <row r="184" spans="1:19">
      <c r="A184" s="116" t="s">
        <v>127</v>
      </c>
      <c r="B184" s="111" t="s">
        <v>1499</v>
      </c>
      <c r="C184" s="111" t="s">
        <v>1500</v>
      </c>
      <c r="D184" s="112" t="s">
        <v>1501</v>
      </c>
      <c r="E184" s="111" t="s">
        <v>216</v>
      </c>
      <c r="F184" s="112" t="s">
        <v>217</v>
      </c>
      <c r="G184" s="111" t="s">
        <v>20</v>
      </c>
      <c r="H184" s="111" t="s">
        <v>1684</v>
      </c>
      <c r="I184" s="111">
        <v>201509</v>
      </c>
      <c r="J184" s="113">
        <v>-30.02</v>
      </c>
      <c r="K184" s="72">
        <f t="shared" si="14"/>
        <v>42675</v>
      </c>
      <c r="L184" s="67">
        <f t="shared" si="10"/>
        <v>6</v>
      </c>
      <c r="M184" s="114">
        <v>2.3833299999999999E-3</v>
      </c>
      <c r="N184" s="104">
        <f t="shared" si="11"/>
        <v>-0.42928539960000001</v>
      </c>
      <c r="O184" s="66"/>
      <c r="P184" s="66">
        <f t="shared" si="12"/>
        <v>0</v>
      </c>
      <c r="Q184" s="66"/>
      <c r="R184" s="66">
        <f t="shared" si="13"/>
        <v>-0.45934977916666658</v>
      </c>
      <c r="S184" s="117"/>
    </row>
    <row r="185" spans="1:19">
      <c r="A185" s="116" t="s">
        <v>626</v>
      </c>
      <c r="B185" s="111" t="s">
        <v>1342</v>
      </c>
      <c r="C185" s="111" t="s">
        <v>1343</v>
      </c>
      <c r="D185" s="112" t="s">
        <v>1344</v>
      </c>
      <c r="E185" s="111" t="s">
        <v>164</v>
      </c>
      <c r="F185" s="112" t="s">
        <v>1600</v>
      </c>
      <c r="G185" s="111" t="s">
        <v>20</v>
      </c>
      <c r="H185" s="111" t="s">
        <v>1684</v>
      </c>
      <c r="I185" s="111">
        <v>201509</v>
      </c>
      <c r="J185" s="113">
        <v>-325.75</v>
      </c>
      <c r="K185" s="72">
        <f t="shared" si="14"/>
        <v>42675</v>
      </c>
      <c r="L185" s="67">
        <f t="shared" si="10"/>
        <v>6</v>
      </c>
      <c r="M185" s="114">
        <v>1.4833299999999999E-3</v>
      </c>
      <c r="N185" s="104">
        <f t="shared" si="11"/>
        <v>-2.8991684850000001</v>
      </c>
      <c r="O185" s="66"/>
      <c r="P185" s="66">
        <f t="shared" si="12"/>
        <v>0</v>
      </c>
      <c r="Q185" s="66"/>
      <c r="R185" s="66">
        <f t="shared" si="13"/>
        <v>-4.9844500520833321</v>
      </c>
      <c r="S185" s="117"/>
    </row>
    <row r="186" spans="1:19">
      <c r="A186" s="116" t="s">
        <v>626</v>
      </c>
      <c r="B186" s="111" t="s">
        <v>1548</v>
      </c>
      <c r="C186" s="111" t="s">
        <v>1549</v>
      </c>
      <c r="D186" s="112" t="s">
        <v>1550</v>
      </c>
      <c r="E186" s="111" t="s">
        <v>164</v>
      </c>
      <c r="F186" s="112" t="s">
        <v>1600</v>
      </c>
      <c r="G186" s="111" t="s">
        <v>20</v>
      </c>
      <c r="H186" s="111" t="s">
        <v>1684</v>
      </c>
      <c r="I186" s="111">
        <v>201509</v>
      </c>
      <c r="J186" s="113">
        <v>16561.45</v>
      </c>
      <c r="K186" s="72">
        <f t="shared" si="14"/>
        <v>42675</v>
      </c>
      <c r="L186" s="67">
        <f t="shared" si="10"/>
        <v>6</v>
      </c>
      <c r="M186" s="114">
        <v>1.4833299999999999E-3</v>
      </c>
      <c r="N186" s="104">
        <f t="shared" si="11"/>
        <v>147.39657377100002</v>
      </c>
      <c r="O186" s="66"/>
      <c r="P186" s="66">
        <f t="shared" si="12"/>
        <v>0</v>
      </c>
      <c r="Q186" s="66"/>
      <c r="R186" s="66">
        <f t="shared" si="13"/>
        <v>253.4143371145833</v>
      </c>
      <c r="S186" s="117"/>
    </row>
    <row r="187" spans="1:19">
      <c r="A187" s="116" t="s">
        <v>21</v>
      </c>
      <c r="B187" s="111" t="s">
        <v>1464</v>
      </c>
      <c r="C187" s="111" t="s">
        <v>1465</v>
      </c>
      <c r="D187" s="112" t="s">
        <v>1466</v>
      </c>
      <c r="E187" s="111" t="s">
        <v>360</v>
      </c>
      <c r="F187" s="112" t="s">
        <v>19</v>
      </c>
      <c r="G187" s="111" t="s">
        <v>20</v>
      </c>
      <c r="H187" s="111" t="s">
        <v>1684</v>
      </c>
      <c r="I187" s="111">
        <v>201509</v>
      </c>
      <c r="J187" s="113">
        <v>-61.15</v>
      </c>
      <c r="K187" s="72">
        <f t="shared" si="14"/>
        <v>42675</v>
      </c>
      <c r="L187" s="67">
        <f t="shared" si="10"/>
        <v>6</v>
      </c>
      <c r="M187" s="114">
        <v>1.4833299999999999E-3</v>
      </c>
      <c r="N187" s="104">
        <f t="shared" si="11"/>
        <v>-0.54423377699999997</v>
      </c>
      <c r="O187" s="66"/>
      <c r="P187" s="66">
        <f t="shared" si="12"/>
        <v>0</v>
      </c>
      <c r="Q187" s="66"/>
      <c r="R187" s="66">
        <f t="shared" si="13"/>
        <v>-0.93568417708333318</v>
      </c>
      <c r="S187" s="117"/>
    </row>
    <row r="188" spans="1:19">
      <c r="A188" s="110" t="s">
        <v>626</v>
      </c>
      <c r="B188" s="111" t="s">
        <v>1435</v>
      </c>
      <c r="C188" s="111" t="s">
        <v>1436</v>
      </c>
      <c r="D188" s="112" t="s">
        <v>1437</v>
      </c>
      <c r="E188" s="111" t="s">
        <v>75</v>
      </c>
      <c r="F188" s="112" t="s">
        <v>1602</v>
      </c>
      <c r="G188" s="111" t="s">
        <v>20</v>
      </c>
      <c r="H188" s="111" t="s">
        <v>1684</v>
      </c>
      <c r="I188" s="111">
        <v>201509</v>
      </c>
      <c r="J188" s="113">
        <v>1.37</v>
      </c>
      <c r="K188" s="72">
        <f t="shared" si="14"/>
        <v>42675</v>
      </c>
      <c r="L188" s="67">
        <f t="shared" si="10"/>
        <v>6</v>
      </c>
      <c r="M188" s="114">
        <v>1.4833299999999999E-3</v>
      </c>
      <c r="N188" s="104">
        <f t="shared" si="11"/>
        <v>1.2192972600000001E-2</v>
      </c>
      <c r="O188" s="66"/>
      <c r="P188" s="66">
        <f t="shared" si="12"/>
        <v>0</v>
      </c>
      <c r="Q188" s="66"/>
      <c r="R188" s="66">
        <f t="shared" si="13"/>
        <v>2.0962997916666667E-2</v>
      </c>
      <c r="S188" s="117"/>
    </row>
    <row r="189" spans="1:19">
      <c r="A189" s="110" t="s">
        <v>626</v>
      </c>
      <c r="B189" s="111" t="s">
        <v>1369</v>
      </c>
      <c r="C189" s="111" t="s">
        <v>1370</v>
      </c>
      <c r="D189" s="112" t="s">
        <v>1371</v>
      </c>
      <c r="E189" s="111" t="s">
        <v>809</v>
      </c>
      <c r="F189" s="112" t="s">
        <v>26</v>
      </c>
      <c r="G189" s="111" t="s">
        <v>20</v>
      </c>
      <c r="H189" s="111" t="s">
        <v>1684</v>
      </c>
      <c r="I189" s="111">
        <v>201509</v>
      </c>
      <c r="J189" s="113">
        <v>-9205</v>
      </c>
      <c r="K189" s="72">
        <f t="shared" si="14"/>
        <v>42675</v>
      </c>
      <c r="L189" s="67">
        <f t="shared" si="10"/>
        <v>6</v>
      </c>
      <c r="M189" s="114">
        <v>1.4833299999999999E-3</v>
      </c>
      <c r="N189" s="104">
        <f t="shared" si="11"/>
        <v>-81.924315899999996</v>
      </c>
      <c r="O189" s="66"/>
      <c r="P189" s="66">
        <f t="shared" si="12"/>
        <v>0</v>
      </c>
      <c r="Q189" s="66"/>
      <c r="R189" s="66">
        <f t="shared" si="13"/>
        <v>-140.84992395833333</v>
      </c>
      <c r="S189" s="117"/>
    </row>
    <row r="190" spans="1:19">
      <c r="A190" s="110" t="s">
        <v>626</v>
      </c>
      <c r="B190" s="111" t="s">
        <v>1372</v>
      </c>
      <c r="C190" s="111" t="s">
        <v>1373</v>
      </c>
      <c r="D190" s="112" t="s">
        <v>1374</v>
      </c>
      <c r="E190" s="111" t="s">
        <v>497</v>
      </c>
      <c r="F190" s="112" t="s">
        <v>26</v>
      </c>
      <c r="G190" s="111" t="s">
        <v>20</v>
      </c>
      <c r="H190" s="111" t="s">
        <v>1684</v>
      </c>
      <c r="I190" s="111">
        <v>201509</v>
      </c>
      <c r="J190" s="113">
        <v>-64.790000000000006</v>
      </c>
      <c r="K190" s="72">
        <f t="shared" si="14"/>
        <v>42675</v>
      </c>
      <c r="L190" s="67">
        <f t="shared" si="10"/>
        <v>6</v>
      </c>
      <c r="M190" s="114">
        <v>1.4833299999999999E-3</v>
      </c>
      <c r="N190" s="104">
        <f t="shared" si="11"/>
        <v>-0.57662970420000004</v>
      </c>
      <c r="O190" s="66"/>
      <c r="P190" s="66">
        <f t="shared" si="12"/>
        <v>0</v>
      </c>
      <c r="Q190" s="66"/>
      <c r="R190" s="66">
        <f t="shared" si="13"/>
        <v>-0.9913814854166666</v>
      </c>
      <c r="S190" s="117"/>
    </row>
    <row r="191" spans="1:19">
      <c r="A191" s="110" t="s">
        <v>626</v>
      </c>
      <c r="B191" s="111" t="s">
        <v>1351</v>
      </c>
      <c r="C191" s="111" t="s">
        <v>1352</v>
      </c>
      <c r="D191" s="112" t="s">
        <v>1353</v>
      </c>
      <c r="E191" s="111" t="s">
        <v>809</v>
      </c>
      <c r="F191" s="112" t="s">
        <v>26</v>
      </c>
      <c r="G191" s="111" t="s">
        <v>20</v>
      </c>
      <c r="H191" s="111" t="s">
        <v>1684</v>
      </c>
      <c r="I191" s="111">
        <v>201509</v>
      </c>
      <c r="J191" s="113">
        <v>-82.51</v>
      </c>
      <c r="K191" s="72">
        <f t="shared" si="14"/>
        <v>42675</v>
      </c>
      <c r="L191" s="67">
        <f t="shared" si="10"/>
        <v>6</v>
      </c>
      <c r="M191" s="114">
        <v>1.4833299999999999E-3</v>
      </c>
      <c r="N191" s="104">
        <f t="shared" si="11"/>
        <v>-0.73433734980000009</v>
      </c>
      <c r="O191" s="66"/>
      <c r="P191" s="66">
        <f t="shared" si="12"/>
        <v>0</v>
      </c>
      <c r="Q191" s="66"/>
      <c r="R191" s="66">
        <f t="shared" si="13"/>
        <v>-1.2625233270833331</v>
      </c>
      <c r="S191" s="117"/>
    </row>
    <row r="192" spans="1:19">
      <c r="A192" s="110" t="s">
        <v>626</v>
      </c>
      <c r="B192" s="111" t="s">
        <v>1375</v>
      </c>
      <c r="C192" s="111" t="s">
        <v>1376</v>
      </c>
      <c r="D192" s="112" t="s">
        <v>1374</v>
      </c>
      <c r="E192" s="111" t="s">
        <v>497</v>
      </c>
      <c r="F192" s="112" t="s">
        <v>26</v>
      </c>
      <c r="G192" s="111" t="s">
        <v>20</v>
      </c>
      <c r="H192" s="111" t="s">
        <v>1684</v>
      </c>
      <c r="I192" s="111">
        <v>201509</v>
      </c>
      <c r="J192" s="113">
        <v>3722.31</v>
      </c>
      <c r="K192" s="72">
        <f t="shared" si="14"/>
        <v>42675</v>
      </c>
      <c r="L192" s="67">
        <f t="shared" si="10"/>
        <v>6</v>
      </c>
      <c r="M192" s="114">
        <v>1.4833299999999999E-3</v>
      </c>
      <c r="N192" s="104">
        <f t="shared" si="11"/>
        <v>33.1284845538</v>
      </c>
      <c r="O192" s="66"/>
      <c r="P192" s="66">
        <f t="shared" si="12"/>
        <v>0</v>
      </c>
      <c r="Q192" s="66"/>
      <c r="R192" s="66">
        <f t="shared" si="13"/>
        <v>56.95677136874999</v>
      </c>
      <c r="S192" s="117"/>
    </row>
    <row r="193" spans="1:19">
      <c r="A193" s="110" t="s">
        <v>626</v>
      </c>
      <c r="B193" s="111" t="s">
        <v>1444</v>
      </c>
      <c r="C193" s="111" t="s">
        <v>1445</v>
      </c>
      <c r="D193" s="112" t="s">
        <v>1282</v>
      </c>
      <c r="E193" s="111" t="s">
        <v>164</v>
      </c>
      <c r="F193" s="112" t="s">
        <v>1600</v>
      </c>
      <c r="G193" s="111" t="s">
        <v>20</v>
      </c>
      <c r="H193" s="111" t="s">
        <v>1684</v>
      </c>
      <c r="I193" s="111">
        <v>201509</v>
      </c>
      <c r="J193" s="113">
        <v>3565.71</v>
      </c>
      <c r="K193" s="72">
        <f t="shared" si="14"/>
        <v>42675</v>
      </c>
      <c r="L193" s="67">
        <f t="shared" si="10"/>
        <v>6</v>
      </c>
      <c r="M193" s="114">
        <v>1.4833299999999999E-3</v>
      </c>
      <c r="N193" s="104">
        <f t="shared" si="11"/>
        <v>31.734747685800002</v>
      </c>
      <c r="O193" s="66"/>
      <c r="P193" s="66">
        <f t="shared" si="12"/>
        <v>0</v>
      </c>
      <c r="Q193" s="66"/>
      <c r="R193" s="66">
        <f t="shared" si="13"/>
        <v>54.560562993749997</v>
      </c>
      <c r="S193" s="117"/>
    </row>
    <row r="194" spans="1:19">
      <c r="A194" s="110" t="s">
        <v>626</v>
      </c>
      <c r="B194" s="111" t="s">
        <v>1525</v>
      </c>
      <c r="C194" s="111" t="s">
        <v>1526</v>
      </c>
      <c r="D194" s="112" t="s">
        <v>1527</v>
      </c>
      <c r="E194" s="111" t="s">
        <v>75</v>
      </c>
      <c r="F194" s="112" t="s">
        <v>1602</v>
      </c>
      <c r="G194" s="111" t="s">
        <v>20</v>
      </c>
      <c r="H194" s="111" t="s">
        <v>1684</v>
      </c>
      <c r="I194" s="111">
        <v>201509</v>
      </c>
      <c r="J194" s="113">
        <v>-106.4</v>
      </c>
      <c r="K194" s="72">
        <f t="shared" si="14"/>
        <v>42675</v>
      </c>
      <c r="L194" s="67">
        <f t="shared" si="10"/>
        <v>6</v>
      </c>
      <c r="M194" s="114">
        <v>1.4833299999999999E-3</v>
      </c>
      <c r="N194" s="104">
        <f t="shared" si="11"/>
        <v>-0.94695787200000003</v>
      </c>
      <c r="O194" s="66"/>
      <c r="P194" s="66">
        <f t="shared" si="12"/>
        <v>0</v>
      </c>
      <c r="Q194" s="66"/>
      <c r="R194" s="66">
        <f t="shared" si="13"/>
        <v>-1.6280751666666666</v>
      </c>
      <c r="S194" s="117"/>
    </row>
    <row r="195" spans="1:19">
      <c r="A195" s="110" t="s">
        <v>626</v>
      </c>
      <c r="B195" s="111" t="s">
        <v>1377</v>
      </c>
      <c r="C195" s="111" t="s">
        <v>1378</v>
      </c>
      <c r="D195" s="112" t="s">
        <v>1379</v>
      </c>
      <c r="E195" s="111" t="s">
        <v>1059</v>
      </c>
      <c r="F195" s="112" t="s">
        <v>26</v>
      </c>
      <c r="G195" s="111" t="s">
        <v>20</v>
      </c>
      <c r="H195" s="111" t="s">
        <v>1684</v>
      </c>
      <c r="I195" s="111">
        <v>201509</v>
      </c>
      <c r="J195" s="113">
        <v>-17.66</v>
      </c>
      <c r="K195" s="72">
        <f t="shared" si="14"/>
        <v>42675</v>
      </c>
      <c r="L195" s="67">
        <f t="shared" si="10"/>
        <v>6</v>
      </c>
      <c r="M195" s="114">
        <v>1.4833299999999999E-3</v>
      </c>
      <c r="N195" s="104">
        <f t="shared" si="11"/>
        <v>-0.15717364680000001</v>
      </c>
      <c r="O195" s="66"/>
      <c r="P195" s="66">
        <f t="shared" si="12"/>
        <v>0</v>
      </c>
      <c r="Q195" s="66"/>
      <c r="R195" s="66">
        <f t="shared" si="13"/>
        <v>-0.27022375416666666</v>
      </c>
      <c r="S195" s="117"/>
    </row>
    <row r="196" spans="1:19">
      <c r="A196" s="110" t="s">
        <v>626</v>
      </c>
      <c r="B196" s="111" t="s">
        <v>1380</v>
      </c>
      <c r="C196" s="111" t="s">
        <v>1381</v>
      </c>
      <c r="D196" s="112" t="s">
        <v>1382</v>
      </c>
      <c r="E196" s="111" t="s">
        <v>809</v>
      </c>
      <c r="F196" s="112" t="s">
        <v>26</v>
      </c>
      <c r="G196" s="111" t="s">
        <v>20</v>
      </c>
      <c r="H196" s="111" t="s">
        <v>1684</v>
      </c>
      <c r="I196" s="111">
        <v>201509</v>
      </c>
      <c r="J196" s="113">
        <v>-233.55</v>
      </c>
      <c r="K196" s="72">
        <f t="shared" si="14"/>
        <v>42675</v>
      </c>
      <c r="L196" s="67">
        <f t="shared" si="10"/>
        <v>6</v>
      </c>
      <c r="M196" s="114">
        <v>1.4833299999999999E-3</v>
      </c>
      <c r="N196" s="104">
        <f t="shared" si="11"/>
        <v>-2.0785903290000003</v>
      </c>
      <c r="O196" s="66"/>
      <c r="P196" s="66">
        <f t="shared" si="12"/>
        <v>0</v>
      </c>
      <c r="Q196" s="66"/>
      <c r="R196" s="66">
        <f t="shared" si="13"/>
        <v>-3.5736555937499999</v>
      </c>
      <c r="S196" s="117"/>
    </row>
    <row r="197" spans="1:19">
      <c r="A197" s="110" t="s">
        <v>626</v>
      </c>
      <c r="B197" s="111" t="s">
        <v>1383</v>
      </c>
      <c r="C197" s="111" t="s">
        <v>1384</v>
      </c>
      <c r="D197" s="112" t="s">
        <v>1385</v>
      </c>
      <c r="E197" s="111" t="s">
        <v>809</v>
      </c>
      <c r="F197" s="112" t="s">
        <v>26</v>
      </c>
      <c r="G197" s="111" t="s">
        <v>20</v>
      </c>
      <c r="H197" s="111" t="s">
        <v>1684</v>
      </c>
      <c r="I197" s="111">
        <v>201509</v>
      </c>
      <c r="J197" s="113">
        <v>-19.25</v>
      </c>
      <c r="K197" s="72">
        <f t="shared" si="14"/>
        <v>42675</v>
      </c>
      <c r="L197" s="67">
        <f t="shared" ref="L197:L260" si="15">((YEAR($L$1)-YEAR(K197))*12+MONTH($L$1)-MONTH(K197))</f>
        <v>6</v>
      </c>
      <c r="M197" s="114">
        <v>1.4833299999999999E-3</v>
      </c>
      <c r="N197" s="104">
        <f t="shared" ref="N197:N260" si="16">M197*L197*J197</f>
        <v>-0.17132461500000001</v>
      </c>
      <c r="O197" s="66"/>
      <c r="P197" s="66">
        <f t="shared" si="12"/>
        <v>0</v>
      </c>
      <c r="Q197" s="66"/>
      <c r="R197" s="66">
        <f t="shared" si="13"/>
        <v>-0.29455307291666666</v>
      </c>
      <c r="S197" s="117"/>
    </row>
    <row r="198" spans="1:19">
      <c r="A198" s="110" t="s">
        <v>626</v>
      </c>
      <c r="B198" s="111" t="s">
        <v>1446</v>
      </c>
      <c r="C198" s="111" t="s">
        <v>1447</v>
      </c>
      <c r="D198" s="112" t="s">
        <v>1448</v>
      </c>
      <c r="E198" s="111" t="s">
        <v>809</v>
      </c>
      <c r="F198" s="112" t="s">
        <v>26</v>
      </c>
      <c r="G198" s="111" t="s">
        <v>20</v>
      </c>
      <c r="H198" s="111" t="s">
        <v>1684</v>
      </c>
      <c r="I198" s="111">
        <v>201509</v>
      </c>
      <c r="J198" s="113">
        <v>16.760000000000002</v>
      </c>
      <c r="K198" s="72">
        <f t="shared" si="14"/>
        <v>42675</v>
      </c>
      <c r="L198" s="67">
        <f t="shared" si="15"/>
        <v>6</v>
      </c>
      <c r="M198" s="114">
        <v>1.4833299999999999E-3</v>
      </c>
      <c r="N198" s="104">
        <f t="shared" si="16"/>
        <v>0.14916366480000001</v>
      </c>
      <c r="O198" s="66"/>
      <c r="P198" s="66">
        <f t="shared" ref="P198:P261" si="17">($P$4*0.5*J198*$U$11)</f>
        <v>0</v>
      </c>
      <c r="Q198" s="66"/>
      <c r="R198" s="66">
        <f t="shared" ref="R198:R261" si="18">($R$4*0.5*J198*$U$11)</f>
        <v>0.2564524416666667</v>
      </c>
      <c r="S198" s="117"/>
    </row>
    <row r="199" spans="1:19">
      <c r="A199" s="110" t="s">
        <v>626</v>
      </c>
      <c r="B199" s="111" t="s">
        <v>1386</v>
      </c>
      <c r="C199" s="111" t="s">
        <v>1387</v>
      </c>
      <c r="D199" s="112" t="s">
        <v>1388</v>
      </c>
      <c r="E199" s="111" t="s">
        <v>164</v>
      </c>
      <c r="F199" s="112" t="s">
        <v>1600</v>
      </c>
      <c r="G199" s="111" t="s">
        <v>20</v>
      </c>
      <c r="H199" s="111" t="s">
        <v>1684</v>
      </c>
      <c r="I199" s="111">
        <v>201509</v>
      </c>
      <c r="J199" s="113">
        <v>-115.4</v>
      </c>
      <c r="K199" s="72">
        <f t="shared" ref="K199:K262" si="19">+K198</f>
        <v>42675</v>
      </c>
      <c r="L199" s="67">
        <f t="shared" si="15"/>
        <v>6</v>
      </c>
      <c r="M199" s="114">
        <v>1.4833299999999999E-3</v>
      </c>
      <c r="N199" s="104">
        <f t="shared" si="16"/>
        <v>-1.0270576920000001</v>
      </c>
      <c r="O199" s="66"/>
      <c r="P199" s="66">
        <f t="shared" si="17"/>
        <v>0</v>
      </c>
      <c r="Q199" s="66"/>
      <c r="R199" s="66">
        <f t="shared" si="18"/>
        <v>-1.7657882916666665</v>
      </c>
      <c r="S199" s="117"/>
    </row>
    <row r="200" spans="1:19">
      <c r="A200" s="110" t="s">
        <v>626</v>
      </c>
      <c r="B200" s="111" t="s">
        <v>1528</v>
      </c>
      <c r="C200" s="111" t="s">
        <v>1529</v>
      </c>
      <c r="D200" s="112" t="s">
        <v>1495</v>
      </c>
      <c r="E200" s="111" t="s">
        <v>75</v>
      </c>
      <c r="F200" s="112" t="s">
        <v>1602</v>
      </c>
      <c r="G200" s="111" t="s">
        <v>20</v>
      </c>
      <c r="H200" s="111" t="s">
        <v>1684</v>
      </c>
      <c r="I200" s="111">
        <v>201509</v>
      </c>
      <c r="J200" s="113">
        <v>3196.2</v>
      </c>
      <c r="K200" s="72">
        <f t="shared" si="19"/>
        <v>42675</v>
      </c>
      <c r="L200" s="67">
        <f t="shared" si="15"/>
        <v>6</v>
      </c>
      <c r="M200" s="114">
        <v>1.4833299999999999E-3</v>
      </c>
      <c r="N200" s="104">
        <f t="shared" si="16"/>
        <v>28.446116075999999</v>
      </c>
      <c r="O200" s="66"/>
      <c r="P200" s="66">
        <f t="shared" si="17"/>
        <v>0</v>
      </c>
      <c r="Q200" s="66"/>
      <c r="R200" s="66">
        <f t="shared" si="18"/>
        <v>48.906521124999998</v>
      </c>
      <c r="S200" s="117"/>
    </row>
    <row r="201" spans="1:19">
      <c r="A201" s="110" t="s">
        <v>626</v>
      </c>
      <c r="B201" s="111" t="s">
        <v>1626</v>
      </c>
      <c r="C201" s="111" t="s">
        <v>1627</v>
      </c>
      <c r="D201" s="112" t="s">
        <v>1628</v>
      </c>
      <c r="E201" s="111" t="s">
        <v>164</v>
      </c>
      <c r="F201" s="112" t="s">
        <v>1600</v>
      </c>
      <c r="G201" s="111" t="s">
        <v>20</v>
      </c>
      <c r="H201" s="111" t="s">
        <v>1684</v>
      </c>
      <c r="I201" s="111">
        <v>201509</v>
      </c>
      <c r="J201" s="113">
        <v>2614.9</v>
      </c>
      <c r="K201" s="72">
        <f t="shared" si="19"/>
        <v>42675</v>
      </c>
      <c r="L201" s="67">
        <f t="shared" si="15"/>
        <v>6</v>
      </c>
      <c r="M201" s="114">
        <v>1.4833299999999999E-3</v>
      </c>
      <c r="N201" s="104">
        <f t="shared" si="16"/>
        <v>23.272557702</v>
      </c>
      <c r="O201" s="66"/>
      <c r="P201" s="66">
        <f t="shared" si="17"/>
        <v>0</v>
      </c>
      <c r="Q201" s="66"/>
      <c r="R201" s="66">
        <f t="shared" si="18"/>
        <v>40.011783395833326</v>
      </c>
      <c r="S201" s="117"/>
    </row>
    <row r="202" spans="1:19">
      <c r="A202" s="110" t="s">
        <v>626</v>
      </c>
      <c r="B202" s="111" t="s">
        <v>1530</v>
      </c>
      <c r="C202" s="111" t="s">
        <v>1531</v>
      </c>
      <c r="D202" s="112" t="s">
        <v>1532</v>
      </c>
      <c r="E202" s="111" t="s">
        <v>531</v>
      </c>
      <c r="F202" s="112" t="s">
        <v>26</v>
      </c>
      <c r="G202" s="111" t="s">
        <v>20</v>
      </c>
      <c r="H202" s="111" t="s">
        <v>1684</v>
      </c>
      <c r="I202" s="111">
        <v>201509</v>
      </c>
      <c r="J202" s="113">
        <v>-111.25</v>
      </c>
      <c r="K202" s="72">
        <f t="shared" si="19"/>
        <v>42675</v>
      </c>
      <c r="L202" s="67">
        <f t="shared" si="15"/>
        <v>6</v>
      </c>
      <c r="M202" s="114">
        <v>1.4833299999999999E-3</v>
      </c>
      <c r="N202" s="104">
        <f t="shared" si="16"/>
        <v>-0.99012277500000001</v>
      </c>
      <c r="O202" s="66"/>
      <c r="P202" s="66">
        <f t="shared" si="17"/>
        <v>0</v>
      </c>
      <c r="Q202" s="66"/>
      <c r="R202" s="66">
        <f t="shared" si="18"/>
        <v>-1.7022872395833331</v>
      </c>
      <c r="S202" s="117"/>
    </row>
    <row r="203" spans="1:19">
      <c r="A203" s="116" t="s">
        <v>626</v>
      </c>
      <c r="B203" s="111" t="s">
        <v>1629</v>
      </c>
      <c r="C203" s="111" t="s">
        <v>1630</v>
      </c>
      <c r="D203" s="112" t="s">
        <v>1631</v>
      </c>
      <c r="E203" s="111" t="s">
        <v>164</v>
      </c>
      <c r="F203" s="112" t="s">
        <v>1600</v>
      </c>
      <c r="G203" s="111" t="s">
        <v>20</v>
      </c>
      <c r="H203" s="111" t="s">
        <v>1684</v>
      </c>
      <c r="I203" s="111">
        <v>201509</v>
      </c>
      <c r="J203" s="113">
        <v>14593.09</v>
      </c>
      <c r="K203" s="72">
        <f t="shared" si="19"/>
        <v>42675</v>
      </c>
      <c r="L203" s="67">
        <f t="shared" si="15"/>
        <v>6</v>
      </c>
      <c r="M203" s="114">
        <v>1.4833299999999999E-3</v>
      </c>
      <c r="N203" s="104">
        <f t="shared" si="16"/>
        <v>129.87820913819999</v>
      </c>
      <c r="O203" s="66"/>
      <c r="P203" s="66">
        <f t="shared" si="17"/>
        <v>0</v>
      </c>
      <c r="Q203" s="66"/>
      <c r="R203" s="66">
        <f t="shared" si="18"/>
        <v>223.29555858958329</v>
      </c>
      <c r="S203" s="117"/>
    </row>
    <row r="204" spans="1:19">
      <c r="A204" s="116" t="s">
        <v>626</v>
      </c>
      <c r="B204" s="111" t="s">
        <v>1488</v>
      </c>
      <c r="C204" s="111" t="s">
        <v>1489</v>
      </c>
      <c r="D204" s="112" t="s">
        <v>1374</v>
      </c>
      <c r="E204" s="111" t="s">
        <v>531</v>
      </c>
      <c r="F204" s="112" t="s">
        <v>26</v>
      </c>
      <c r="G204" s="111" t="s">
        <v>20</v>
      </c>
      <c r="H204" s="111" t="s">
        <v>1684</v>
      </c>
      <c r="I204" s="111">
        <v>201509</v>
      </c>
      <c r="J204" s="113">
        <v>-99.26</v>
      </c>
      <c r="K204" s="72">
        <f t="shared" si="19"/>
        <v>42675</v>
      </c>
      <c r="L204" s="67">
        <f t="shared" si="15"/>
        <v>6</v>
      </c>
      <c r="M204" s="114">
        <v>1.4833299999999999E-3</v>
      </c>
      <c r="N204" s="104">
        <f t="shared" si="16"/>
        <v>-0.88341201480000009</v>
      </c>
      <c r="O204" s="66"/>
      <c r="P204" s="66">
        <f t="shared" si="17"/>
        <v>0</v>
      </c>
      <c r="Q204" s="66"/>
      <c r="R204" s="66">
        <f t="shared" si="18"/>
        <v>-1.5188227541666666</v>
      </c>
      <c r="S204" s="117"/>
    </row>
    <row r="205" spans="1:19">
      <c r="A205" s="116" t="s">
        <v>626</v>
      </c>
      <c r="B205" s="111" t="s">
        <v>1449</v>
      </c>
      <c r="C205" s="111" t="s">
        <v>1450</v>
      </c>
      <c r="D205" s="112" t="s">
        <v>1451</v>
      </c>
      <c r="E205" s="111" t="s">
        <v>809</v>
      </c>
      <c r="F205" s="112" t="s">
        <v>26</v>
      </c>
      <c r="G205" s="111" t="s">
        <v>20</v>
      </c>
      <c r="H205" s="111" t="s">
        <v>1684</v>
      </c>
      <c r="I205" s="111">
        <v>201509</v>
      </c>
      <c r="J205" s="113">
        <v>214.5</v>
      </c>
      <c r="K205" s="72">
        <f t="shared" si="19"/>
        <v>42675</v>
      </c>
      <c r="L205" s="67">
        <f t="shared" si="15"/>
        <v>6</v>
      </c>
      <c r="M205" s="114">
        <v>1.4833299999999999E-3</v>
      </c>
      <c r="N205" s="104">
        <f t="shared" si="16"/>
        <v>1.90904571</v>
      </c>
      <c r="O205" s="66"/>
      <c r="P205" s="66">
        <f t="shared" si="17"/>
        <v>0</v>
      </c>
      <c r="Q205" s="66"/>
      <c r="R205" s="66">
        <f t="shared" si="18"/>
        <v>3.2821628124999993</v>
      </c>
      <c r="S205" s="117"/>
    </row>
    <row r="206" spans="1:19">
      <c r="A206" s="110" t="s">
        <v>554</v>
      </c>
      <c r="B206" s="111" t="s">
        <v>1408</v>
      </c>
      <c r="C206" s="111" t="s">
        <v>1409</v>
      </c>
      <c r="D206" s="112" t="s">
        <v>1335</v>
      </c>
      <c r="E206" s="111" t="s">
        <v>164</v>
      </c>
      <c r="F206" s="112" t="s">
        <v>1600</v>
      </c>
      <c r="G206" s="111" t="s">
        <v>20</v>
      </c>
      <c r="H206" s="111" t="s">
        <v>1684</v>
      </c>
      <c r="I206" s="111">
        <v>201509</v>
      </c>
      <c r="J206" s="113">
        <v>-93114.83</v>
      </c>
      <c r="K206" s="72">
        <f t="shared" si="19"/>
        <v>42675</v>
      </c>
      <c r="L206" s="67">
        <f t="shared" si="15"/>
        <v>6</v>
      </c>
      <c r="M206" s="114">
        <v>1.4833299999999999E-3</v>
      </c>
      <c r="N206" s="104">
        <f t="shared" si="16"/>
        <v>-828.72012470340007</v>
      </c>
      <c r="O206" s="66"/>
      <c r="P206" s="66">
        <f t="shared" si="17"/>
        <v>0</v>
      </c>
      <c r="Q206" s="66"/>
      <c r="R206" s="66">
        <f t="shared" si="18"/>
        <v>-1424.7926914604166</v>
      </c>
      <c r="S206" s="117"/>
    </row>
    <row r="207" spans="1:19">
      <c r="A207" s="116" t="s">
        <v>626</v>
      </c>
      <c r="B207" s="111" t="s">
        <v>1408</v>
      </c>
      <c r="C207" s="111" t="s">
        <v>1409</v>
      </c>
      <c r="D207" s="112" t="s">
        <v>1335</v>
      </c>
      <c r="E207" s="111" t="s">
        <v>164</v>
      </c>
      <c r="F207" s="112" t="s">
        <v>1600</v>
      </c>
      <c r="G207" s="111" t="s">
        <v>20</v>
      </c>
      <c r="H207" s="111" t="s">
        <v>1684</v>
      </c>
      <c r="I207" s="111">
        <v>201509</v>
      </c>
      <c r="J207" s="113">
        <v>92720.58</v>
      </c>
      <c r="K207" s="72">
        <f t="shared" si="19"/>
        <v>42675</v>
      </c>
      <c r="L207" s="67">
        <f t="shared" si="15"/>
        <v>6</v>
      </c>
      <c r="M207" s="114">
        <v>1.4833299999999999E-3</v>
      </c>
      <c r="N207" s="104">
        <f t="shared" si="16"/>
        <v>825.21130758840002</v>
      </c>
      <c r="O207" s="66"/>
      <c r="P207" s="66">
        <f t="shared" si="17"/>
        <v>0</v>
      </c>
      <c r="Q207" s="66"/>
      <c r="R207" s="66">
        <f t="shared" si="18"/>
        <v>1418.7600915124999</v>
      </c>
      <c r="S207" s="117"/>
    </row>
    <row r="208" spans="1:19">
      <c r="A208" s="110" t="s">
        <v>626</v>
      </c>
      <c r="B208" s="111" t="s">
        <v>1455</v>
      </c>
      <c r="C208" s="111" t="s">
        <v>1456</v>
      </c>
      <c r="D208" s="112" t="s">
        <v>1457</v>
      </c>
      <c r="E208" s="111" t="s">
        <v>156</v>
      </c>
      <c r="F208" s="112" t="s">
        <v>26</v>
      </c>
      <c r="G208" s="111" t="s">
        <v>20</v>
      </c>
      <c r="H208" s="111" t="s">
        <v>1684</v>
      </c>
      <c r="I208" s="111">
        <v>201509</v>
      </c>
      <c r="J208" s="113">
        <v>-283.64</v>
      </c>
      <c r="K208" s="72">
        <f t="shared" si="19"/>
        <v>42675</v>
      </c>
      <c r="L208" s="67">
        <f t="shared" si="15"/>
        <v>6</v>
      </c>
      <c r="M208" s="114">
        <v>1.4833299999999999E-3</v>
      </c>
      <c r="N208" s="104">
        <f t="shared" si="16"/>
        <v>-2.5243903271999999</v>
      </c>
      <c r="O208" s="66"/>
      <c r="P208" s="66">
        <f t="shared" si="17"/>
        <v>0</v>
      </c>
      <c r="Q208" s="66"/>
      <c r="R208" s="66">
        <f t="shared" si="18"/>
        <v>-4.3401056416666659</v>
      </c>
      <c r="S208" s="117"/>
    </row>
    <row r="209" spans="1:19">
      <c r="A209" s="110" t="s">
        <v>626</v>
      </c>
      <c r="B209" s="111" t="s">
        <v>1490</v>
      </c>
      <c r="C209" s="111" t="s">
        <v>1491</v>
      </c>
      <c r="D209" s="112" t="s">
        <v>1492</v>
      </c>
      <c r="E209" s="111" t="s">
        <v>809</v>
      </c>
      <c r="F209" s="112" t="s">
        <v>26</v>
      </c>
      <c r="G209" s="111" t="s">
        <v>20</v>
      </c>
      <c r="H209" s="111" t="s">
        <v>1684</v>
      </c>
      <c r="I209" s="111">
        <v>201509</v>
      </c>
      <c r="J209" s="113">
        <v>-247.85</v>
      </c>
      <c r="K209" s="72">
        <f t="shared" si="19"/>
        <v>42675</v>
      </c>
      <c r="L209" s="67">
        <f t="shared" si="15"/>
        <v>6</v>
      </c>
      <c r="M209" s="114">
        <v>1.4833299999999999E-3</v>
      </c>
      <c r="N209" s="104">
        <f t="shared" si="16"/>
        <v>-2.2058600429999999</v>
      </c>
      <c r="O209" s="66"/>
      <c r="P209" s="66">
        <f t="shared" si="17"/>
        <v>0</v>
      </c>
      <c r="Q209" s="66"/>
      <c r="R209" s="66">
        <f t="shared" si="18"/>
        <v>-3.7924664479166661</v>
      </c>
      <c r="S209" s="117"/>
    </row>
    <row r="210" spans="1:19">
      <c r="A210" s="116" t="s">
        <v>626</v>
      </c>
      <c r="B210" s="111" t="s">
        <v>1493</v>
      </c>
      <c r="C210" s="111" t="s">
        <v>1494</v>
      </c>
      <c r="D210" s="112" t="s">
        <v>1495</v>
      </c>
      <c r="E210" s="111" t="s">
        <v>75</v>
      </c>
      <c r="F210" s="112" t="s">
        <v>1602</v>
      </c>
      <c r="G210" s="111" t="s">
        <v>20</v>
      </c>
      <c r="H210" s="111" t="s">
        <v>1684</v>
      </c>
      <c r="I210" s="111">
        <v>201509</v>
      </c>
      <c r="J210" s="113">
        <v>5173.17</v>
      </c>
      <c r="K210" s="72">
        <f t="shared" si="19"/>
        <v>42675</v>
      </c>
      <c r="L210" s="67">
        <f t="shared" si="15"/>
        <v>6</v>
      </c>
      <c r="M210" s="114">
        <v>1.4833299999999999E-3</v>
      </c>
      <c r="N210" s="104">
        <f t="shared" si="16"/>
        <v>46.041109536600004</v>
      </c>
      <c r="O210" s="66"/>
      <c r="P210" s="66">
        <f t="shared" si="17"/>
        <v>0</v>
      </c>
      <c r="Q210" s="66"/>
      <c r="R210" s="66">
        <f t="shared" si="18"/>
        <v>79.15704520624999</v>
      </c>
      <c r="S210" s="117"/>
    </row>
    <row r="211" spans="1:19">
      <c r="A211" s="116" t="s">
        <v>21</v>
      </c>
      <c r="B211" s="111" t="s">
        <v>1533</v>
      </c>
      <c r="C211" s="111" t="s">
        <v>1534</v>
      </c>
      <c r="D211" s="112" t="s">
        <v>1535</v>
      </c>
      <c r="E211" s="111" t="s">
        <v>75</v>
      </c>
      <c r="F211" s="112" t="s">
        <v>1602</v>
      </c>
      <c r="G211" s="111" t="s">
        <v>20</v>
      </c>
      <c r="H211" s="111" t="s">
        <v>1684</v>
      </c>
      <c r="I211" s="111">
        <v>201509</v>
      </c>
      <c r="J211" s="113">
        <v>-472.74</v>
      </c>
      <c r="K211" s="72">
        <f t="shared" si="19"/>
        <v>42675</v>
      </c>
      <c r="L211" s="67">
        <f t="shared" si="15"/>
        <v>6</v>
      </c>
      <c r="M211" s="114">
        <v>1.4833299999999999E-3</v>
      </c>
      <c r="N211" s="104">
        <f t="shared" si="16"/>
        <v>-4.2073765451999998</v>
      </c>
      <c r="O211" s="66"/>
      <c r="P211" s="66">
        <f t="shared" si="17"/>
        <v>0</v>
      </c>
      <c r="Q211" s="66"/>
      <c r="R211" s="66">
        <f t="shared" si="18"/>
        <v>-7.2336114124999993</v>
      </c>
      <c r="S211" s="117"/>
    </row>
    <row r="212" spans="1:19">
      <c r="A212" s="116" t="s">
        <v>626</v>
      </c>
      <c r="B212" s="111" t="s">
        <v>1389</v>
      </c>
      <c r="C212" s="111" t="s">
        <v>1390</v>
      </c>
      <c r="D212" s="112" t="s">
        <v>1391</v>
      </c>
      <c r="E212" s="111" t="s">
        <v>280</v>
      </c>
      <c r="F212" s="112" t="s">
        <v>26</v>
      </c>
      <c r="G212" s="111" t="s">
        <v>20</v>
      </c>
      <c r="H212" s="111" t="s">
        <v>1684</v>
      </c>
      <c r="I212" s="111">
        <v>201509</v>
      </c>
      <c r="J212" s="113">
        <v>-5.12</v>
      </c>
      <c r="K212" s="72">
        <f t="shared" si="19"/>
        <v>42675</v>
      </c>
      <c r="L212" s="67">
        <f t="shared" si="15"/>
        <v>6</v>
      </c>
      <c r="M212" s="114">
        <v>1.4833299999999999E-3</v>
      </c>
      <c r="N212" s="104">
        <f t="shared" si="16"/>
        <v>-4.5567897600000004E-2</v>
      </c>
      <c r="O212" s="66"/>
      <c r="P212" s="66">
        <f t="shared" si="17"/>
        <v>0</v>
      </c>
      <c r="Q212" s="66"/>
      <c r="R212" s="66">
        <f t="shared" si="18"/>
        <v>-7.8343466666666667E-2</v>
      </c>
      <c r="S212" s="117"/>
    </row>
    <row r="213" spans="1:19">
      <c r="A213" s="116" t="s">
        <v>626</v>
      </c>
      <c r="B213" s="111" t="s">
        <v>1536</v>
      </c>
      <c r="C213" s="111" t="s">
        <v>1537</v>
      </c>
      <c r="D213" s="112" t="s">
        <v>1538</v>
      </c>
      <c r="E213" s="111" t="s">
        <v>260</v>
      </c>
      <c r="F213" s="112" t="s">
        <v>1608</v>
      </c>
      <c r="G213" s="111" t="s">
        <v>20</v>
      </c>
      <c r="H213" s="111" t="s">
        <v>1684</v>
      </c>
      <c r="I213" s="111">
        <v>201509</v>
      </c>
      <c r="J213" s="113">
        <v>-108.89</v>
      </c>
      <c r="K213" s="72">
        <f t="shared" si="19"/>
        <v>42675</v>
      </c>
      <c r="L213" s="67">
        <f t="shared" si="15"/>
        <v>6</v>
      </c>
      <c r="M213" s="114">
        <v>1.4833299999999999E-3</v>
      </c>
      <c r="N213" s="104">
        <f t="shared" si="16"/>
        <v>-0.96911882220000001</v>
      </c>
      <c r="O213" s="66"/>
      <c r="P213" s="66">
        <f t="shared" si="17"/>
        <v>0</v>
      </c>
      <c r="Q213" s="66"/>
      <c r="R213" s="66">
        <f t="shared" si="18"/>
        <v>-1.6661757979166665</v>
      </c>
      <c r="S213" s="117"/>
    </row>
    <row r="214" spans="1:19">
      <c r="A214" s="116" t="s">
        <v>990</v>
      </c>
      <c r="B214" s="111" t="s">
        <v>1685</v>
      </c>
      <c r="C214" s="111" t="s">
        <v>1686</v>
      </c>
      <c r="D214" s="112" t="s">
        <v>1687</v>
      </c>
      <c r="E214" s="111" t="s">
        <v>1688</v>
      </c>
      <c r="F214" s="112" t="s">
        <v>1689</v>
      </c>
      <c r="G214" s="111" t="s">
        <v>20</v>
      </c>
      <c r="H214" s="111" t="s">
        <v>1684</v>
      </c>
      <c r="I214" s="111">
        <v>201509</v>
      </c>
      <c r="J214" s="113">
        <v>1692.13</v>
      </c>
      <c r="K214" s="72">
        <f t="shared" si="19"/>
        <v>42675</v>
      </c>
      <c r="L214" s="67">
        <f t="shared" si="15"/>
        <v>6</v>
      </c>
      <c r="M214" s="114">
        <v>2.0333333000000001E-3</v>
      </c>
      <c r="N214" s="104">
        <f t="shared" si="16"/>
        <v>20.643985661574</v>
      </c>
      <c r="O214" s="66"/>
      <c r="P214" s="66">
        <f t="shared" si="17"/>
        <v>0</v>
      </c>
      <c r="Q214" s="66"/>
      <c r="R214" s="66">
        <f t="shared" si="18"/>
        <v>25.892056689583335</v>
      </c>
      <c r="S214" s="117"/>
    </row>
    <row r="215" spans="1:19">
      <c r="A215" s="110" t="s">
        <v>127</v>
      </c>
      <c r="B215" s="111" t="s">
        <v>1581</v>
      </c>
      <c r="C215" s="111" t="s">
        <v>1582</v>
      </c>
      <c r="D215" s="112" t="s">
        <v>1583</v>
      </c>
      <c r="E215" s="111" t="s">
        <v>216</v>
      </c>
      <c r="F215" s="112" t="s">
        <v>217</v>
      </c>
      <c r="G215" s="111" t="s">
        <v>20</v>
      </c>
      <c r="H215" s="111" t="s">
        <v>1684</v>
      </c>
      <c r="I215" s="111">
        <v>201509</v>
      </c>
      <c r="J215" s="113">
        <v>-52.85</v>
      </c>
      <c r="K215" s="72">
        <f t="shared" si="19"/>
        <v>42675</v>
      </c>
      <c r="L215" s="67">
        <f t="shared" si="15"/>
        <v>6</v>
      </c>
      <c r="M215" s="114">
        <v>2.3833299999999999E-3</v>
      </c>
      <c r="N215" s="104">
        <f t="shared" si="16"/>
        <v>-0.75575394299999998</v>
      </c>
      <c r="O215" s="66"/>
      <c r="P215" s="66">
        <f t="shared" si="17"/>
        <v>0</v>
      </c>
      <c r="Q215" s="66"/>
      <c r="R215" s="66">
        <f t="shared" si="18"/>
        <v>-0.80868207291666661</v>
      </c>
      <c r="S215" s="117"/>
    </row>
    <row r="216" spans="1:19">
      <c r="A216" s="110" t="s">
        <v>127</v>
      </c>
      <c r="B216" s="111" t="s">
        <v>1581</v>
      </c>
      <c r="C216" s="111" t="s">
        <v>1584</v>
      </c>
      <c r="D216" s="112" t="s">
        <v>1583</v>
      </c>
      <c r="E216" s="111" t="s">
        <v>216</v>
      </c>
      <c r="F216" s="112" t="s">
        <v>217</v>
      </c>
      <c r="G216" s="111" t="s">
        <v>20</v>
      </c>
      <c r="H216" s="111" t="s">
        <v>1684</v>
      </c>
      <c r="I216" s="111">
        <v>201509</v>
      </c>
      <c r="J216" s="113">
        <v>-8.5</v>
      </c>
      <c r="K216" s="72">
        <f t="shared" si="19"/>
        <v>42675</v>
      </c>
      <c r="L216" s="67">
        <f t="shared" si="15"/>
        <v>6</v>
      </c>
      <c r="M216" s="114">
        <v>2.3833299999999999E-3</v>
      </c>
      <c r="N216" s="104">
        <f t="shared" si="16"/>
        <v>-0.12154983</v>
      </c>
      <c r="O216" s="66"/>
      <c r="P216" s="66">
        <f t="shared" si="17"/>
        <v>0</v>
      </c>
      <c r="Q216" s="66"/>
      <c r="R216" s="66">
        <f t="shared" si="18"/>
        <v>-0.13006239583333332</v>
      </c>
      <c r="S216" s="117"/>
    </row>
    <row r="217" spans="1:19">
      <c r="A217" s="110" t="s">
        <v>626</v>
      </c>
      <c r="B217" s="111" t="s">
        <v>1496</v>
      </c>
      <c r="C217" s="111" t="s">
        <v>1497</v>
      </c>
      <c r="D217" s="112" t="s">
        <v>1498</v>
      </c>
      <c r="E217" s="111" t="s">
        <v>164</v>
      </c>
      <c r="F217" s="112" t="s">
        <v>1600</v>
      </c>
      <c r="G217" s="111" t="s">
        <v>20</v>
      </c>
      <c r="H217" s="111" t="s">
        <v>1684</v>
      </c>
      <c r="I217" s="111">
        <v>201509</v>
      </c>
      <c r="J217" s="113">
        <v>566.84</v>
      </c>
      <c r="K217" s="72">
        <f t="shared" si="19"/>
        <v>42675</v>
      </c>
      <c r="L217" s="67">
        <f t="shared" si="15"/>
        <v>6</v>
      </c>
      <c r="M217" s="114">
        <v>1.4833299999999999E-3</v>
      </c>
      <c r="N217" s="104">
        <f t="shared" si="16"/>
        <v>5.0448646632000003</v>
      </c>
      <c r="O217" s="66"/>
      <c r="P217" s="66">
        <f t="shared" si="17"/>
        <v>0</v>
      </c>
      <c r="Q217" s="66"/>
      <c r="R217" s="66">
        <f t="shared" si="18"/>
        <v>8.6734786416666658</v>
      </c>
      <c r="S217" s="117"/>
    </row>
    <row r="218" spans="1:19">
      <c r="A218" s="110" t="s">
        <v>626</v>
      </c>
      <c r="B218" s="111" t="s">
        <v>1551</v>
      </c>
      <c r="C218" s="111" t="s">
        <v>1552</v>
      </c>
      <c r="D218" s="112" t="s">
        <v>1344</v>
      </c>
      <c r="E218" s="111" t="s">
        <v>164</v>
      </c>
      <c r="F218" s="112" t="s">
        <v>1600</v>
      </c>
      <c r="G218" s="111" t="s">
        <v>20</v>
      </c>
      <c r="H218" s="111" t="s">
        <v>1684</v>
      </c>
      <c r="I218" s="111">
        <v>201509</v>
      </c>
      <c r="J218" s="113">
        <v>-56.19</v>
      </c>
      <c r="K218" s="72">
        <f t="shared" si="19"/>
        <v>42675</v>
      </c>
      <c r="L218" s="67">
        <f t="shared" si="15"/>
        <v>6</v>
      </c>
      <c r="M218" s="114">
        <v>1.4833299999999999E-3</v>
      </c>
      <c r="N218" s="104">
        <f t="shared" si="16"/>
        <v>-0.50008987620000001</v>
      </c>
      <c r="O218" s="66"/>
      <c r="P218" s="66">
        <f t="shared" si="17"/>
        <v>0</v>
      </c>
      <c r="Q218" s="66"/>
      <c r="R218" s="66">
        <f t="shared" si="18"/>
        <v>-0.85978894374999992</v>
      </c>
      <c r="S218" s="117"/>
    </row>
    <row r="219" spans="1:19">
      <c r="A219" s="110" t="s">
        <v>21</v>
      </c>
      <c r="B219" s="111" t="s">
        <v>1395</v>
      </c>
      <c r="C219" s="111" t="s">
        <v>1396</v>
      </c>
      <c r="D219" s="112" t="s">
        <v>1397</v>
      </c>
      <c r="E219" s="111" t="s">
        <v>360</v>
      </c>
      <c r="F219" s="112" t="s">
        <v>19</v>
      </c>
      <c r="G219" s="111" t="s">
        <v>20</v>
      </c>
      <c r="H219" s="111" t="s">
        <v>1684</v>
      </c>
      <c r="I219" s="111">
        <v>201509</v>
      </c>
      <c r="J219" s="113">
        <v>-11.02</v>
      </c>
      <c r="K219" s="72">
        <f t="shared" si="19"/>
        <v>42675</v>
      </c>
      <c r="L219" s="67">
        <f t="shared" si="15"/>
        <v>6</v>
      </c>
      <c r="M219" s="114">
        <v>1.4833299999999999E-3</v>
      </c>
      <c r="N219" s="104">
        <f t="shared" si="16"/>
        <v>-9.8077779599999998E-2</v>
      </c>
      <c r="O219" s="66"/>
      <c r="P219" s="66">
        <f t="shared" si="17"/>
        <v>0</v>
      </c>
      <c r="Q219" s="66"/>
      <c r="R219" s="66">
        <f t="shared" si="18"/>
        <v>-0.1686220708333333</v>
      </c>
      <c r="S219" s="117"/>
    </row>
    <row r="220" spans="1:19">
      <c r="A220" s="110" t="s">
        <v>626</v>
      </c>
      <c r="B220" s="111" t="s">
        <v>1539</v>
      </c>
      <c r="C220" s="111" t="s">
        <v>1540</v>
      </c>
      <c r="D220" s="112" t="s">
        <v>1541</v>
      </c>
      <c r="E220" s="111" t="s">
        <v>156</v>
      </c>
      <c r="F220" s="112" t="s">
        <v>26</v>
      </c>
      <c r="G220" s="111" t="s">
        <v>20</v>
      </c>
      <c r="H220" s="111" t="s">
        <v>1684</v>
      </c>
      <c r="I220" s="111">
        <v>201509</v>
      </c>
      <c r="J220" s="113">
        <v>-1080.31</v>
      </c>
      <c r="K220" s="72">
        <f t="shared" si="19"/>
        <v>42675</v>
      </c>
      <c r="L220" s="67">
        <f t="shared" si="15"/>
        <v>6</v>
      </c>
      <c r="M220" s="114">
        <v>1.4833299999999999E-3</v>
      </c>
      <c r="N220" s="104">
        <f t="shared" si="16"/>
        <v>-9.6147373937999987</v>
      </c>
      <c r="O220" s="66"/>
      <c r="P220" s="66">
        <f t="shared" si="17"/>
        <v>0</v>
      </c>
      <c r="Q220" s="66"/>
      <c r="R220" s="66">
        <f t="shared" si="18"/>
        <v>-16.530318452083332</v>
      </c>
      <c r="S220" s="117"/>
    </row>
    <row r="221" spans="1:19">
      <c r="A221" s="110" t="s">
        <v>626</v>
      </c>
      <c r="B221" s="111" t="s">
        <v>1632</v>
      </c>
      <c r="C221" s="111" t="s">
        <v>1633</v>
      </c>
      <c r="D221" s="112" t="s">
        <v>1634</v>
      </c>
      <c r="E221" s="111" t="s">
        <v>471</v>
      </c>
      <c r="F221" s="112" t="s">
        <v>165</v>
      </c>
      <c r="G221" s="111" t="s">
        <v>20</v>
      </c>
      <c r="H221" s="111" t="s">
        <v>1684</v>
      </c>
      <c r="I221" s="111">
        <v>201509</v>
      </c>
      <c r="J221" s="113">
        <v>3090.33</v>
      </c>
      <c r="K221" s="72">
        <f t="shared" si="19"/>
        <v>42675</v>
      </c>
      <c r="L221" s="67">
        <f t="shared" si="15"/>
        <v>6</v>
      </c>
      <c r="M221" s="114">
        <v>1.4833299999999999E-3</v>
      </c>
      <c r="N221" s="104">
        <f t="shared" si="16"/>
        <v>27.503875193399999</v>
      </c>
      <c r="O221" s="66"/>
      <c r="P221" s="66">
        <f t="shared" si="17"/>
        <v>0</v>
      </c>
      <c r="Q221" s="66"/>
      <c r="R221" s="66">
        <f t="shared" si="18"/>
        <v>47.286555731249997</v>
      </c>
      <c r="S221" s="117"/>
    </row>
    <row r="222" spans="1:19">
      <c r="A222" s="110" t="s">
        <v>21</v>
      </c>
      <c r="B222" s="111" t="s">
        <v>1398</v>
      </c>
      <c r="C222" s="111" t="s">
        <v>1399</v>
      </c>
      <c r="D222" s="112" t="s">
        <v>1223</v>
      </c>
      <c r="E222" s="111" t="s">
        <v>360</v>
      </c>
      <c r="F222" s="112" t="s">
        <v>19</v>
      </c>
      <c r="G222" s="111" t="s">
        <v>20</v>
      </c>
      <c r="H222" s="111" t="s">
        <v>1684</v>
      </c>
      <c r="I222" s="111">
        <v>201509</v>
      </c>
      <c r="J222" s="113">
        <v>-7.75</v>
      </c>
      <c r="K222" s="72">
        <f t="shared" si="19"/>
        <v>42675</v>
      </c>
      <c r="L222" s="67">
        <f t="shared" si="15"/>
        <v>6</v>
      </c>
      <c r="M222" s="114">
        <v>1.4833299999999999E-3</v>
      </c>
      <c r="N222" s="104">
        <f t="shared" si="16"/>
        <v>-6.8974845000000007E-2</v>
      </c>
      <c r="O222" s="66"/>
      <c r="P222" s="66">
        <f t="shared" si="17"/>
        <v>0</v>
      </c>
      <c r="Q222" s="66"/>
      <c r="R222" s="66">
        <f t="shared" si="18"/>
        <v>-0.11858630208333332</v>
      </c>
      <c r="S222" s="117"/>
    </row>
    <row r="223" spans="1:19">
      <c r="A223" s="110" t="s">
        <v>21</v>
      </c>
      <c r="B223" s="111" t="s">
        <v>1400</v>
      </c>
      <c r="C223" s="111" t="s">
        <v>1401</v>
      </c>
      <c r="D223" s="112" t="s">
        <v>1402</v>
      </c>
      <c r="E223" s="111" t="s">
        <v>360</v>
      </c>
      <c r="F223" s="112" t="s">
        <v>19</v>
      </c>
      <c r="G223" s="111" t="s">
        <v>20</v>
      </c>
      <c r="H223" s="111" t="s">
        <v>1684</v>
      </c>
      <c r="I223" s="111">
        <v>201509</v>
      </c>
      <c r="J223" s="113">
        <v>-6.38</v>
      </c>
      <c r="K223" s="72">
        <f t="shared" si="19"/>
        <v>42675</v>
      </c>
      <c r="L223" s="67">
        <f t="shared" si="15"/>
        <v>6</v>
      </c>
      <c r="M223" s="114">
        <v>1.4833299999999999E-3</v>
      </c>
      <c r="N223" s="104">
        <f t="shared" si="16"/>
        <v>-5.6781872400000002E-2</v>
      </c>
      <c r="O223" s="66"/>
      <c r="P223" s="66">
        <f t="shared" si="17"/>
        <v>0</v>
      </c>
      <c r="Q223" s="66"/>
      <c r="R223" s="66">
        <f t="shared" si="18"/>
        <v>-9.7623304166666647E-2</v>
      </c>
      <c r="S223" s="117"/>
    </row>
    <row r="224" spans="1:19">
      <c r="A224" s="110" t="s">
        <v>21</v>
      </c>
      <c r="B224" s="111" t="s">
        <v>1635</v>
      </c>
      <c r="C224" s="111" t="s">
        <v>1636</v>
      </c>
      <c r="D224" s="112" t="s">
        <v>1637</v>
      </c>
      <c r="E224" s="111" t="s">
        <v>360</v>
      </c>
      <c r="F224" s="112" t="s">
        <v>19</v>
      </c>
      <c r="G224" s="111" t="s">
        <v>20</v>
      </c>
      <c r="H224" s="111" t="s">
        <v>1684</v>
      </c>
      <c r="I224" s="111">
        <v>201509</v>
      </c>
      <c r="J224" s="113">
        <v>-3.7</v>
      </c>
      <c r="K224" s="72">
        <f t="shared" si="19"/>
        <v>42675</v>
      </c>
      <c r="L224" s="67">
        <f t="shared" si="15"/>
        <v>6</v>
      </c>
      <c r="M224" s="114">
        <v>1.4833299999999999E-3</v>
      </c>
      <c r="N224" s="104">
        <f t="shared" si="16"/>
        <v>-3.2929926000000005E-2</v>
      </c>
      <c r="O224" s="66"/>
      <c r="P224" s="66">
        <f t="shared" si="17"/>
        <v>0</v>
      </c>
      <c r="Q224" s="66"/>
      <c r="R224" s="66">
        <f t="shared" si="18"/>
        <v>-5.6615395833333332E-2</v>
      </c>
      <c r="S224" s="117"/>
    </row>
    <row r="225" spans="1:19">
      <c r="A225" s="110" t="s">
        <v>21</v>
      </c>
      <c r="B225" s="111" t="s">
        <v>1403</v>
      </c>
      <c r="C225" s="111" t="s">
        <v>1404</v>
      </c>
      <c r="D225" s="112" t="s">
        <v>1223</v>
      </c>
      <c r="E225" s="111" t="s">
        <v>360</v>
      </c>
      <c r="F225" s="112" t="s">
        <v>19</v>
      </c>
      <c r="G225" s="111" t="s">
        <v>20</v>
      </c>
      <c r="H225" s="111" t="s">
        <v>1684</v>
      </c>
      <c r="I225" s="111">
        <v>201509</v>
      </c>
      <c r="J225" s="113">
        <v>-32.24</v>
      </c>
      <c r="K225" s="72">
        <f t="shared" si="19"/>
        <v>42675</v>
      </c>
      <c r="L225" s="67">
        <f t="shared" si="15"/>
        <v>6</v>
      </c>
      <c r="M225" s="114">
        <v>1.4833299999999999E-3</v>
      </c>
      <c r="N225" s="104">
        <f t="shared" si="16"/>
        <v>-0.28693535520000002</v>
      </c>
      <c r="O225" s="66"/>
      <c r="P225" s="66">
        <f t="shared" si="17"/>
        <v>0</v>
      </c>
      <c r="Q225" s="66"/>
      <c r="R225" s="66">
        <f t="shared" si="18"/>
        <v>-0.49331901666666667</v>
      </c>
      <c r="S225" s="117"/>
    </row>
    <row r="226" spans="1:19">
      <c r="A226" s="110" t="s">
        <v>21</v>
      </c>
      <c r="B226" s="111" t="s">
        <v>1470</v>
      </c>
      <c r="C226" s="111" t="s">
        <v>1471</v>
      </c>
      <c r="D226" s="112" t="s">
        <v>1472</v>
      </c>
      <c r="E226" s="111" t="s">
        <v>497</v>
      </c>
      <c r="F226" s="112" t="s">
        <v>26</v>
      </c>
      <c r="G226" s="111" t="s">
        <v>20</v>
      </c>
      <c r="H226" s="111" t="s">
        <v>1684</v>
      </c>
      <c r="I226" s="111">
        <v>201509</v>
      </c>
      <c r="J226" s="113">
        <v>-22.57</v>
      </c>
      <c r="K226" s="72">
        <f t="shared" si="19"/>
        <v>42675</v>
      </c>
      <c r="L226" s="67">
        <f t="shared" si="15"/>
        <v>6</v>
      </c>
      <c r="M226" s="114">
        <v>1.4833299999999999E-3</v>
      </c>
      <c r="N226" s="104">
        <f t="shared" si="16"/>
        <v>-0.20087254860000001</v>
      </c>
      <c r="O226" s="66"/>
      <c r="P226" s="66">
        <f t="shared" si="17"/>
        <v>0</v>
      </c>
      <c r="Q226" s="66"/>
      <c r="R226" s="66">
        <f t="shared" si="18"/>
        <v>-0.34535391458333331</v>
      </c>
      <c r="S226" s="117"/>
    </row>
    <row r="227" spans="1:19">
      <c r="A227" s="110" t="s">
        <v>626</v>
      </c>
      <c r="B227" s="111" t="s">
        <v>1690</v>
      </c>
      <c r="C227" s="111" t="s">
        <v>1691</v>
      </c>
      <c r="D227" s="112" t="s">
        <v>1692</v>
      </c>
      <c r="E227" s="111" t="s">
        <v>156</v>
      </c>
      <c r="F227" s="112" t="s">
        <v>26</v>
      </c>
      <c r="G227" s="111" t="s">
        <v>20</v>
      </c>
      <c r="H227" s="111" t="s">
        <v>1684</v>
      </c>
      <c r="I227" s="111">
        <v>201509</v>
      </c>
      <c r="J227" s="113">
        <v>-36.25</v>
      </c>
      <c r="K227" s="72">
        <f t="shared" si="19"/>
        <v>42675</v>
      </c>
      <c r="L227" s="67">
        <f t="shared" si="15"/>
        <v>6</v>
      </c>
      <c r="M227" s="114">
        <v>1.4833299999999999E-3</v>
      </c>
      <c r="N227" s="104">
        <f t="shared" si="16"/>
        <v>-0.32262427500000002</v>
      </c>
      <c r="O227" s="66"/>
      <c r="P227" s="66">
        <f t="shared" si="17"/>
        <v>0</v>
      </c>
      <c r="Q227" s="66"/>
      <c r="R227" s="66">
        <f t="shared" si="18"/>
        <v>-0.55467786458333324</v>
      </c>
      <c r="S227" s="117"/>
    </row>
    <row r="228" spans="1:19">
      <c r="A228" s="110" t="s">
        <v>21</v>
      </c>
      <c r="B228" s="111" t="s">
        <v>1405</v>
      </c>
      <c r="C228" s="111" t="s">
        <v>1406</v>
      </c>
      <c r="D228" s="112" t="s">
        <v>1407</v>
      </c>
      <c r="E228" s="111" t="s">
        <v>360</v>
      </c>
      <c r="F228" s="112" t="s">
        <v>19</v>
      </c>
      <c r="G228" s="111" t="s">
        <v>20</v>
      </c>
      <c r="H228" s="111" t="s">
        <v>1684</v>
      </c>
      <c r="I228" s="111">
        <v>201509</v>
      </c>
      <c r="J228" s="113">
        <v>-32.659999999999997</v>
      </c>
      <c r="K228" s="72">
        <f t="shared" si="19"/>
        <v>42675</v>
      </c>
      <c r="L228" s="67">
        <f t="shared" si="15"/>
        <v>6</v>
      </c>
      <c r="M228" s="114">
        <v>1.4833299999999999E-3</v>
      </c>
      <c r="N228" s="104">
        <f t="shared" si="16"/>
        <v>-0.29067334679999995</v>
      </c>
      <c r="O228" s="66"/>
      <c r="P228" s="66">
        <f t="shared" si="17"/>
        <v>0</v>
      </c>
      <c r="Q228" s="66"/>
      <c r="R228" s="66">
        <f t="shared" si="18"/>
        <v>-0.49974562916666659</v>
      </c>
      <c r="S228" s="117"/>
    </row>
    <row r="229" spans="1:19">
      <c r="A229" s="110" t="s">
        <v>626</v>
      </c>
      <c r="B229" s="111" t="s">
        <v>1693</v>
      </c>
      <c r="C229" s="111" t="s">
        <v>1694</v>
      </c>
      <c r="D229" s="112" t="s">
        <v>1695</v>
      </c>
      <c r="E229" s="111" t="s">
        <v>809</v>
      </c>
      <c r="F229" s="112" t="s">
        <v>26</v>
      </c>
      <c r="G229" s="111" t="s">
        <v>20</v>
      </c>
      <c r="H229" s="111" t="s">
        <v>1684</v>
      </c>
      <c r="I229" s="111">
        <v>201509</v>
      </c>
      <c r="J229" s="113">
        <v>20308.009999999998</v>
      </c>
      <c r="K229" s="72">
        <f t="shared" si="19"/>
        <v>42675</v>
      </c>
      <c r="L229" s="67">
        <f t="shared" si="15"/>
        <v>6</v>
      </c>
      <c r="M229" s="114">
        <v>1.4833299999999999E-3</v>
      </c>
      <c r="N229" s="104">
        <f t="shared" si="16"/>
        <v>180.74088283979998</v>
      </c>
      <c r="O229" s="66"/>
      <c r="P229" s="66">
        <f t="shared" si="17"/>
        <v>0</v>
      </c>
      <c r="Q229" s="66"/>
      <c r="R229" s="66">
        <f t="shared" si="18"/>
        <v>310.74216884791662</v>
      </c>
      <c r="S229" s="117"/>
    </row>
    <row r="230" spans="1:19">
      <c r="A230" s="110" t="s">
        <v>626</v>
      </c>
      <c r="B230" s="111" t="s">
        <v>1638</v>
      </c>
      <c r="C230" s="111" t="s">
        <v>1639</v>
      </c>
      <c r="D230" s="112" t="s">
        <v>1640</v>
      </c>
      <c r="E230" s="111" t="s">
        <v>164</v>
      </c>
      <c r="F230" s="112" t="s">
        <v>1600</v>
      </c>
      <c r="G230" s="111" t="s">
        <v>20</v>
      </c>
      <c r="H230" s="111" t="s">
        <v>1684</v>
      </c>
      <c r="I230" s="111">
        <v>201509</v>
      </c>
      <c r="J230" s="113">
        <v>-571.37</v>
      </c>
      <c r="K230" s="72">
        <f t="shared" si="19"/>
        <v>42675</v>
      </c>
      <c r="L230" s="67">
        <f t="shared" si="15"/>
        <v>6</v>
      </c>
      <c r="M230" s="114">
        <v>1.4833299999999999E-3</v>
      </c>
      <c r="N230" s="104">
        <f t="shared" si="16"/>
        <v>-5.0851815725999998</v>
      </c>
      <c r="O230" s="66"/>
      <c r="P230" s="66">
        <f t="shared" si="17"/>
        <v>0</v>
      </c>
      <c r="Q230" s="66"/>
      <c r="R230" s="66">
        <f t="shared" si="18"/>
        <v>-8.7427942479166649</v>
      </c>
      <c r="S230" s="117"/>
    </row>
    <row r="231" spans="1:19">
      <c r="A231" s="110" t="s">
        <v>626</v>
      </c>
      <c r="B231" s="111" t="s">
        <v>1553</v>
      </c>
      <c r="C231" s="111" t="s">
        <v>1554</v>
      </c>
      <c r="D231" s="112" t="s">
        <v>1344</v>
      </c>
      <c r="E231" s="111" t="s">
        <v>164</v>
      </c>
      <c r="F231" s="112" t="s">
        <v>1600</v>
      </c>
      <c r="G231" s="111" t="s">
        <v>20</v>
      </c>
      <c r="H231" s="111" t="s">
        <v>1684</v>
      </c>
      <c r="I231" s="111">
        <v>201509</v>
      </c>
      <c r="J231" s="113">
        <v>1620.33</v>
      </c>
      <c r="K231" s="72">
        <f t="shared" si="19"/>
        <v>42675</v>
      </c>
      <c r="L231" s="67">
        <f t="shared" si="15"/>
        <v>6</v>
      </c>
      <c r="M231" s="114">
        <v>1.4833299999999999E-3</v>
      </c>
      <c r="N231" s="104">
        <f t="shared" si="16"/>
        <v>14.4209045934</v>
      </c>
      <c r="O231" s="66"/>
      <c r="P231" s="66">
        <f t="shared" si="17"/>
        <v>0</v>
      </c>
      <c r="Q231" s="66"/>
      <c r="R231" s="66">
        <f t="shared" si="18"/>
        <v>24.793411981249996</v>
      </c>
      <c r="S231" s="117"/>
    </row>
    <row r="232" spans="1:19">
      <c r="A232" s="110" t="s">
        <v>626</v>
      </c>
      <c r="B232" s="111" t="s">
        <v>1641</v>
      </c>
      <c r="C232" s="111" t="s">
        <v>1642</v>
      </c>
      <c r="D232" s="112" t="s">
        <v>1388</v>
      </c>
      <c r="E232" s="111" t="s">
        <v>164</v>
      </c>
      <c r="F232" s="112" t="s">
        <v>1600</v>
      </c>
      <c r="G232" s="111" t="s">
        <v>20</v>
      </c>
      <c r="H232" s="111" t="s">
        <v>1684</v>
      </c>
      <c r="I232" s="111">
        <v>201509</v>
      </c>
      <c r="J232" s="113">
        <v>-273.76</v>
      </c>
      <c r="K232" s="72">
        <f t="shared" si="19"/>
        <v>42675</v>
      </c>
      <c r="L232" s="67">
        <f t="shared" si="15"/>
        <v>6</v>
      </c>
      <c r="M232" s="114">
        <v>1.4833299999999999E-3</v>
      </c>
      <c r="N232" s="104">
        <f t="shared" si="16"/>
        <v>-2.4364585247999999</v>
      </c>
      <c r="O232" s="66"/>
      <c r="P232" s="66">
        <f t="shared" si="17"/>
        <v>0</v>
      </c>
      <c r="Q232" s="66"/>
      <c r="R232" s="66">
        <f t="shared" si="18"/>
        <v>-4.1889272333333327</v>
      </c>
      <c r="S232" s="117"/>
    </row>
    <row r="233" spans="1:19">
      <c r="A233" s="110" t="s">
        <v>626</v>
      </c>
      <c r="B233" s="111" t="s">
        <v>1542</v>
      </c>
      <c r="C233" s="111" t="s">
        <v>1543</v>
      </c>
      <c r="D233" s="112" t="s">
        <v>1544</v>
      </c>
      <c r="E233" s="111" t="s">
        <v>531</v>
      </c>
      <c r="F233" s="112" t="s">
        <v>26</v>
      </c>
      <c r="G233" s="111" t="s">
        <v>20</v>
      </c>
      <c r="H233" s="111" t="s">
        <v>1684</v>
      </c>
      <c r="I233" s="111">
        <v>201509</v>
      </c>
      <c r="J233" s="113">
        <v>2383.79</v>
      </c>
      <c r="K233" s="72">
        <f t="shared" si="19"/>
        <v>42675</v>
      </c>
      <c r="L233" s="67">
        <f t="shared" si="15"/>
        <v>6</v>
      </c>
      <c r="M233" s="114">
        <v>1.4833299999999999E-3</v>
      </c>
      <c r="N233" s="104">
        <f t="shared" si="16"/>
        <v>21.2156833242</v>
      </c>
      <c r="O233" s="66"/>
      <c r="P233" s="66">
        <f t="shared" si="17"/>
        <v>0</v>
      </c>
      <c r="Q233" s="66"/>
      <c r="R233" s="66">
        <f t="shared" si="18"/>
        <v>36.475463360416661</v>
      </c>
      <c r="S233" s="117"/>
    </row>
    <row r="234" spans="1:19">
      <c r="A234" s="110" t="s">
        <v>21</v>
      </c>
      <c r="B234" s="111" t="s">
        <v>1646</v>
      </c>
      <c r="C234" s="111" t="s">
        <v>1647</v>
      </c>
      <c r="D234" s="112" t="s">
        <v>1648</v>
      </c>
      <c r="E234" s="111" t="s">
        <v>402</v>
      </c>
      <c r="F234" s="112" t="s">
        <v>19</v>
      </c>
      <c r="G234" s="111" t="s">
        <v>20</v>
      </c>
      <c r="H234" s="111" t="s">
        <v>1684</v>
      </c>
      <c r="I234" s="111">
        <v>201509</v>
      </c>
      <c r="J234" s="113">
        <v>-3.61</v>
      </c>
      <c r="K234" s="72">
        <f t="shared" si="19"/>
        <v>42675</v>
      </c>
      <c r="L234" s="67">
        <f t="shared" si="15"/>
        <v>6</v>
      </c>
      <c r="M234" s="114">
        <v>1.4833299999999999E-3</v>
      </c>
      <c r="N234" s="104">
        <f t="shared" si="16"/>
        <v>-3.2128927799999998E-2</v>
      </c>
      <c r="O234" s="66"/>
      <c r="P234" s="66">
        <f t="shared" si="17"/>
        <v>0</v>
      </c>
      <c r="Q234" s="66"/>
      <c r="R234" s="66">
        <f t="shared" si="18"/>
        <v>-5.5238264583333321E-2</v>
      </c>
      <c r="S234" s="117"/>
    </row>
    <row r="235" spans="1:19">
      <c r="A235" s="110" t="s">
        <v>626</v>
      </c>
      <c r="B235" s="111" t="s">
        <v>1652</v>
      </c>
      <c r="C235" s="111" t="s">
        <v>1653</v>
      </c>
      <c r="D235" s="112" t="s">
        <v>1654</v>
      </c>
      <c r="E235" s="111" t="s">
        <v>75</v>
      </c>
      <c r="F235" s="112" t="s">
        <v>1602</v>
      </c>
      <c r="G235" s="111" t="s">
        <v>20</v>
      </c>
      <c r="H235" s="111" t="s">
        <v>1684</v>
      </c>
      <c r="I235" s="111">
        <v>201509</v>
      </c>
      <c r="J235" s="113">
        <v>-1319.34</v>
      </c>
      <c r="K235" s="72">
        <f t="shared" si="19"/>
        <v>42675</v>
      </c>
      <c r="L235" s="67">
        <f t="shared" si="15"/>
        <v>6</v>
      </c>
      <c r="M235" s="114">
        <v>1.4833299999999999E-3</v>
      </c>
      <c r="N235" s="104">
        <f t="shared" si="16"/>
        <v>-11.742099613199999</v>
      </c>
      <c r="O235" s="66"/>
      <c r="P235" s="66">
        <f t="shared" si="17"/>
        <v>0</v>
      </c>
      <c r="Q235" s="66"/>
      <c r="R235" s="66">
        <f t="shared" si="18"/>
        <v>-20.187826037499995</v>
      </c>
      <c r="S235" s="117"/>
    </row>
    <row r="236" spans="1:19">
      <c r="A236" s="110" t="s">
        <v>626</v>
      </c>
      <c r="B236" s="111" t="s">
        <v>1655</v>
      </c>
      <c r="C236" s="111" t="s">
        <v>1656</v>
      </c>
      <c r="D236" s="112" t="s">
        <v>1657</v>
      </c>
      <c r="E236" s="111" t="s">
        <v>75</v>
      </c>
      <c r="F236" s="112" t="s">
        <v>1602</v>
      </c>
      <c r="G236" s="111" t="s">
        <v>20</v>
      </c>
      <c r="H236" s="111" t="s">
        <v>1684</v>
      </c>
      <c r="I236" s="111">
        <v>201509</v>
      </c>
      <c r="J236" s="113">
        <v>-2390.4899999999998</v>
      </c>
      <c r="K236" s="72">
        <f t="shared" si="19"/>
        <v>42675</v>
      </c>
      <c r="L236" s="67">
        <f t="shared" si="15"/>
        <v>6</v>
      </c>
      <c r="M236" s="114">
        <v>1.4833299999999999E-3</v>
      </c>
      <c r="N236" s="104">
        <f t="shared" si="16"/>
        <v>-21.275313190199999</v>
      </c>
      <c r="O236" s="66"/>
      <c r="P236" s="66">
        <f t="shared" si="17"/>
        <v>0</v>
      </c>
      <c r="Q236" s="66"/>
      <c r="R236" s="66">
        <f t="shared" si="18"/>
        <v>-36.577983131249994</v>
      </c>
      <c r="S236" s="117"/>
    </row>
    <row r="237" spans="1:19">
      <c r="A237" s="116" t="s">
        <v>990</v>
      </c>
      <c r="B237" s="111" t="s">
        <v>1696</v>
      </c>
      <c r="C237" s="111" t="s">
        <v>1697</v>
      </c>
      <c r="D237" s="112" t="s">
        <v>1698</v>
      </c>
      <c r="E237" s="111" t="s">
        <v>1688</v>
      </c>
      <c r="F237" s="112" t="s">
        <v>1689</v>
      </c>
      <c r="G237" s="111" t="s">
        <v>20</v>
      </c>
      <c r="H237" s="111" t="s">
        <v>1684</v>
      </c>
      <c r="I237" s="111">
        <v>201509</v>
      </c>
      <c r="J237" s="113">
        <v>2760.97</v>
      </c>
      <c r="K237" s="72">
        <f t="shared" si="19"/>
        <v>42675</v>
      </c>
      <c r="L237" s="67">
        <f t="shared" si="15"/>
        <v>6</v>
      </c>
      <c r="M237" s="114">
        <v>2.0333333000000001E-3</v>
      </c>
      <c r="N237" s="104">
        <f t="shared" si="16"/>
        <v>33.683833447805995</v>
      </c>
      <c r="O237" s="66"/>
      <c r="P237" s="66">
        <f t="shared" si="17"/>
        <v>0</v>
      </c>
      <c r="Q237" s="66"/>
      <c r="R237" s="66">
        <f t="shared" si="18"/>
        <v>42.246867414583328</v>
      </c>
      <c r="S237" s="117"/>
    </row>
    <row r="238" spans="1:19">
      <c r="A238" s="110" t="s">
        <v>626</v>
      </c>
      <c r="B238" s="111" t="s">
        <v>1699</v>
      </c>
      <c r="C238" s="111" t="s">
        <v>1700</v>
      </c>
      <c r="D238" s="112" t="s">
        <v>1701</v>
      </c>
      <c r="E238" s="111" t="s">
        <v>544</v>
      </c>
      <c r="F238" s="112" t="s">
        <v>26</v>
      </c>
      <c r="G238" s="111" t="s">
        <v>20</v>
      </c>
      <c r="H238" s="111" t="s">
        <v>1684</v>
      </c>
      <c r="I238" s="111">
        <v>201509</v>
      </c>
      <c r="J238" s="113">
        <v>58630.49</v>
      </c>
      <c r="K238" s="72">
        <f t="shared" si="19"/>
        <v>42675</v>
      </c>
      <c r="L238" s="67">
        <f t="shared" si="15"/>
        <v>6</v>
      </c>
      <c r="M238" s="114">
        <v>1.4833299999999999E-3</v>
      </c>
      <c r="N238" s="104">
        <f t="shared" si="16"/>
        <v>521.81018839019998</v>
      </c>
      <c r="O238" s="66"/>
      <c r="P238" s="66">
        <f t="shared" si="17"/>
        <v>0</v>
      </c>
      <c r="Q238" s="66"/>
      <c r="R238" s="66">
        <f t="shared" si="18"/>
        <v>897.13199979791659</v>
      </c>
      <c r="S238" s="117"/>
    </row>
    <row r="239" spans="1:19">
      <c r="A239" s="116" t="s">
        <v>626</v>
      </c>
      <c r="B239" s="111" t="s">
        <v>930</v>
      </c>
      <c r="C239" s="111" t="s">
        <v>931</v>
      </c>
      <c r="D239" s="112" t="s">
        <v>932</v>
      </c>
      <c r="E239" s="111" t="s">
        <v>93</v>
      </c>
      <c r="F239" s="112" t="s">
        <v>1601</v>
      </c>
      <c r="G239" s="111" t="s">
        <v>20</v>
      </c>
      <c r="H239" s="111" t="s">
        <v>929</v>
      </c>
      <c r="I239" s="111">
        <v>201509</v>
      </c>
      <c r="J239" s="113">
        <v>-9.61</v>
      </c>
      <c r="K239" s="72">
        <f t="shared" si="19"/>
        <v>42675</v>
      </c>
      <c r="L239" s="67">
        <f t="shared" si="15"/>
        <v>6</v>
      </c>
      <c r="M239" s="114">
        <v>1.4833299999999999E-3</v>
      </c>
      <c r="N239" s="104">
        <f t="shared" si="16"/>
        <v>-8.5528807799999995E-2</v>
      </c>
      <c r="O239" s="66"/>
      <c r="P239" s="66">
        <f t="shared" si="17"/>
        <v>0</v>
      </c>
      <c r="Q239" s="66"/>
      <c r="R239" s="66">
        <f t="shared" si="18"/>
        <v>-0.1470470145833333</v>
      </c>
      <c r="S239" s="117"/>
    </row>
    <row r="240" spans="1:19">
      <c r="A240" s="116" t="s">
        <v>21</v>
      </c>
      <c r="B240" s="111" t="s">
        <v>84</v>
      </c>
      <c r="C240" s="111" t="s">
        <v>85</v>
      </c>
      <c r="D240" s="112" t="s">
        <v>86</v>
      </c>
      <c r="E240" s="111" t="s">
        <v>87</v>
      </c>
      <c r="F240" s="112" t="s">
        <v>1603</v>
      </c>
      <c r="G240" s="111" t="s">
        <v>20</v>
      </c>
      <c r="H240" s="111" t="s">
        <v>929</v>
      </c>
      <c r="I240" s="111">
        <v>201509</v>
      </c>
      <c r="J240" s="113">
        <v>-49.41</v>
      </c>
      <c r="K240" s="72">
        <f t="shared" si="19"/>
        <v>42675</v>
      </c>
      <c r="L240" s="67">
        <f t="shared" si="15"/>
        <v>6</v>
      </c>
      <c r="M240" s="114">
        <v>1.4833299999999999E-3</v>
      </c>
      <c r="N240" s="104">
        <f t="shared" si="16"/>
        <v>-0.43974801179999995</v>
      </c>
      <c r="O240" s="66"/>
      <c r="P240" s="66">
        <f t="shared" si="17"/>
        <v>0</v>
      </c>
      <c r="Q240" s="66"/>
      <c r="R240" s="66">
        <f t="shared" si="18"/>
        <v>-0.75604505624999985</v>
      </c>
      <c r="S240" s="117"/>
    </row>
    <row r="241" spans="1:19">
      <c r="A241" s="116" t="s">
        <v>626</v>
      </c>
      <c r="B241" s="111" t="s">
        <v>1286</v>
      </c>
      <c r="C241" s="111" t="s">
        <v>1287</v>
      </c>
      <c r="D241" s="112" t="s">
        <v>1288</v>
      </c>
      <c r="E241" s="111" t="s">
        <v>93</v>
      </c>
      <c r="F241" s="112" t="s">
        <v>1601</v>
      </c>
      <c r="G241" s="111" t="s">
        <v>20</v>
      </c>
      <c r="H241" s="111" t="s">
        <v>929</v>
      </c>
      <c r="I241" s="111">
        <v>201509</v>
      </c>
      <c r="J241" s="113">
        <v>-219.61</v>
      </c>
      <c r="K241" s="72">
        <f t="shared" si="19"/>
        <v>42675</v>
      </c>
      <c r="L241" s="67">
        <f t="shared" si="15"/>
        <v>6</v>
      </c>
      <c r="M241" s="114">
        <v>1.4833299999999999E-3</v>
      </c>
      <c r="N241" s="104">
        <f t="shared" si="16"/>
        <v>-1.9545246078</v>
      </c>
      <c r="O241" s="66"/>
      <c r="P241" s="66">
        <f t="shared" si="17"/>
        <v>0</v>
      </c>
      <c r="Q241" s="66"/>
      <c r="R241" s="66">
        <f t="shared" si="18"/>
        <v>-3.3603532645833334</v>
      </c>
      <c r="S241" s="117"/>
    </row>
    <row r="242" spans="1:19">
      <c r="A242" s="116" t="s">
        <v>626</v>
      </c>
      <c r="B242" s="111" t="s">
        <v>741</v>
      </c>
      <c r="C242" s="111" t="s">
        <v>742</v>
      </c>
      <c r="D242" s="112" t="s">
        <v>743</v>
      </c>
      <c r="E242" s="111" t="s">
        <v>415</v>
      </c>
      <c r="F242" s="112" t="s">
        <v>88</v>
      </c>
      <c r="G242" s="111" t="s">
        <v>20</v>
      </c>
      <c r="H242" s="111" t="s">
        <v>929</v>
      </c>
      <c r="I242" s="111">
        <v>201509</v>
      </c>
      <c r="J242" s="113">
        <v>-6.6</v>
      </c>
      <c r="K242" s="72">
        <f t="shared" si="19"/>
        <v>42675</v>
      </c>
      <c r="L242" s="67">
        <f t="shared" si="15"/>
        <v>6</v>
      </c>
      <c r="M242" s="114">
        <v>1.4833299999999999E-3</v>
      </c>
      <c r="N242" s="104">
        <f t="shared" si="16"/>
        <v>-5.8739867999999994E-2</v>
      </c>
      <c r="O242" s="66"/>
      <c r="P242" s="66">
        <f t="shared" si="17"/>
        <v>0</v>
      </c>
      <c r="Q242" s="66"/>
      <c r="R242" s="66">
        <f t="shared" si="18"/>
        <v>-0.10098962499999999</v>
      </c>
      <c r="S242" s="117"/>
    </row>
    <row r="243" spans="1:19">
      <c r="A243" s="110" t="s">
        <v>21</v>
      </c>
      <c r="B243" s="111" t="s">
        <v>1072</v>
      </c>
      <c r="C243" s="111" t="s">
        <v>1073</v>
      </c>
      <c r="D243" s="112" t="s">
        <v>1074</v>
      </c>
      <c r="E243" s="111" t="s">
        <v>857</v>
      </c>
      <c r="F243" s="112" t="s">
        <v>88</v>
      </c>
      <c r="G243" s="111" t="s">
        <v>20</v>
      </c>
      <c r="H243" s="111" t="s">
        <v>929</v>
      </c>
      <c r="I243" s="111">
        <v>201509</v>
      </c>
      <c r="J243" s="113">
        <v>623.64</v>
      </c>
      <c r="K243" s="72">
        <f t="shared" si="19"/>
        <v>42675</v>
      </c>
      <c r="L243" s="67">
        <f t="shared" si="15"/>
        <v>6</v>
      </c>
      <c r="M243" s="114">
        <v>1.4833299999999999E-3</v>
      </c>
      <c r="N243" s="104">
        <f t="shared" si="16"/>
        <v>5.5503835272000002</v>
      </c>
      <c r="O243" s="66"/>
      <c r="P243" s="66">
        <f t="shared" si="17"/>
        <v>0</v>
      </c>
      <c r="Q243" s="66"/>
      <c r="R243" s="66">
        <f t="shared" si="18"/>
        <v>9.5426014749999979</v>
      </c>
      <c r="S243" s="117"/>
    </row>
    <row r="244" spans="1:19">
      <c r="A244" s="110" t="s">
        <v>21</v>
      </c>
      <c r="B244" s="111" t="s">
        <v>449</v>
      </c>
      <c r="C244" s="111" t="s">
        <v>450</v>
      </c>
      <c r="D244" s="112" t="s">
        <v>451</v>
      </c>
      <c r="E244" s="111" t="s">
        <v>452</v>
      </c>
      <c r="F244" s="112" t="s">
        <v>398</v>
      </c>
      <c r="G244" s="111" t="s">
        <v>20</v>
      </c>
      <c r="H244" s="111" t="s">
        <v>929</v>
      </c>
      <c r="I244" s="111">
        <v>201509</v>
      </c>
      <c r="J244" s="113">
        <v>-25.09</v>
      </c>
      <c r="K244" s="72">
        <f t="shared" si="19"/>
        <v>42675</v>
      </c>
      <c r="L244" s="67">
        <f t="shared" si="15"/>
        <v>6</v>
      </c>
      <c r="M244" s="114">
        <v>1.4833299999999999E-3</v>
      </c>
      <c r="N244" s="104">
        <f t="shared" si="16"/>
        <v>-0.2233004982</v>
      </c>
      <c r="O244" s="66"/>
      <c r="P244" s="66">
        <f t="shared" si="17"/>
        <v>0</v>
      </c>
      <c r="Q244" s="66"/>
      <c r="R244" s="66">
        <f t="shared" si="18"/>
        <v>-0.38391358958333327</v>
      </c>
      <c r="S244" s="117"/>
    </row>
    <row r="245" spans="1:19">
      <c r="A245" s="110" t="s">
        <v>21</v>
      </c>
      <c r="B245" s="111" t="s">
        <v>203</v>
      </c>
      <c r="C245" s="111" t="s">
        <v>204</v>
      </c>
      <c r="D245" s="112" t="s">
        <v>205</v>
      </c>
      <c r="E245" s="111" t="s">
        <v>93</v>
      </c>
      <c r="F245" s="112" t="s">
        <v>1601</v>
      </c>
      <c r="G245" s="111" t="s">
        <v>20</v>
      </c>
      <c r="H245" s="111" t="s">
        <v>929</v>
      </c>
      <c r="I245" s="111">
        <v>201509</v>
      </c>
      <c r="J245" s="113">
        <v>-0.66</v>
      </c>
      <c r="K245" s="72">
        <f t="shared" si="19"/>
        <v>42675</v>
      </c>
      <c r="L245" s="67">
        <f t="shared" si="15"/>
        <v>6</v>
      </c>
      <c r="M245" s="114">
        <v>1.4833299999999999E-3</v>
      </c>
      <c r="N245" s="104">
        <f t="shared" si="16"/>
        <v>-5.8739868000000006E-3</v>
      </c>
      <c r="O245" s="66"/>
      <c r="P245" s="66">
        <f t="shared" si="17"/>
        <v>0</v>
      </c>
      <c r="Q245" s="66"/>
      <c r="R245" s="66">
        <f t="shared" si="18"/>
        <v>-1.0098962499999999E-2</v>
      </c>
      <c r="S245" s="117"/>
    </row>
    <row r="246" spans="1:19">
      <c r="A246" s="116" t="s">
        <v>127</v>
      </c>
      <c r="B246" s="111" t="s">
        <v>1032</v>
      </c>
      <c r="C246" s="111" t="s">
        <v>1033</v>
      </c>
      <c r="D246" s="112" t="s">
        <v>1034</v>
      </c>
      <c r="E246" s="111" t="s">
        <v>209</v>
      </c>
      <c r="F246" s="112" t="s">
        <v>1612</v>
      </c>
      <c r="G246" s="111" t="s">
        <v>20</v>
      </c>
      <c r="H246" s="111" t="s">
        <v>929</v>
      </c>
      <c r="I246" s="111">
        <v>201509</v>
      </c>
      <c r="J246" s="113">
        <v>8847.36</v>
      </c>
      <c r="K246" s="72">
        <f t="shared" si="19"/>
        <v>42675</v>
      </c>
      <c r="L246" s="67">
        <f t="shared" si="15"/>
        <v>6</v>
      </c>
      <c r="M246" s="114">
        <v>2.3833299999999999E-3</v>
      </c>
      <c r="N246" s="104">
        <f t="shared" si="16"/>
        <v>126.51707105280001</v>
      </c>
      <c r="O246" s="66"/>
      <c r="P246" s="66">
        <f t="shared" si="17"/>
        <v>0</v>
      </c>
      <c r="Q246" s="66"/>
      <c r="R246" s="66">
        <f t="shared" si="18"/>
        <v>135.37751039999998</v>
      </c>
      <c r="S246" s="117"/>
    </row>
    <row r="247" spans="1:19">
      <c r="A247" s="110" t="s">
        <v>626</v>
      </c>
      <c r="B247" s="111" t="s">
        <v>630</v>
      </c>
      <c r="C247" s="111" t="s">
        <v>631</v>
      </c>
      <c r="D247" s="112" t="s">
        <v>632</v>
      </c>
      <c r="E247" s="111" t="s">
        <v>613</v>
      </c>
      <c r="F247" s="112" t="s">
        <v>398</v>
      </c>
      <c r="G247" s="111" t="s">
        <v>20</v>
      </c>
      <c r="H247" s="111" t="s">
        <v>929</v>
      </c>
      <c r="I247" s="111">
        <v>201509</v>
      </c>
      <c r="J247" s="113">
        <v>-4.6500000000000004</v>
      </c>
      <c r="K247" s="72">
        <f t="shared" si="19"/>
        <v>42675</v>
      </c>
      <c r="L247" s="67">
        <f t="shared" si="15"/>
        <v>6</v>
      </c>
      <c r="M247" s="114">
        <v>1.4833299999999999E-3</v>
      </c>
      <c r="N247" s="104">
        <f t="shared" si="16"/>
        <v>-4.1384907000000005E-2</v>
      </c>
      <c r="O247" s="66"/>
      <c r="P247" s="66">
        <f t="shared" si="17"/>
        <v>0</v>
      </c>
      <c r="Q247" s="66"/>
      <c r="R247" s="66">
        <f t="shared" si="18"/>
        <v>-7.115178124999999E-2</v>
      </c>
      <c r="S247" s="117"/>
    </row>
    <row r="248" spans="1:19">
      <c r="A248" s="110" t="s">
        <v>21</v>
      </c>
      <c r="B248" s="111" t="s">
        <v>938</v>
      </c>
      <c r="C248" s="111" t="s">
        <v>939</v>
      </c>
      <c r="D248" s="112" t="s">
        <v>940</v>
      </c>
      <c r="E248" s="111" t="s">
        <v>209</v>
      </c>
      <c r="F248" s="112" t="s">
        <v>1612</v>
      </c>
      <c r="G248" s="111" t="s">
        <v>20</v>
      </c>
      <c r="H248" s="111" t="s">
        <v>929</v>
      </c>
      <c r="I248" s="111">
        <v>201509</v>
      </c>
      <c r="J248" s="113">
        <v>-0.17</v>
      </c>
      <c r="K248" s="72">
        <f t="shared" si="19"/>
        <v>42675</v>
      </c>
      <c r="L248" s="67">
        <f t="shared" si="15"/>
        <v>6</v>
      </c>
      <c r="M248" s="114">
        <v>1.4833299999999999E-3</v>
      </c>
      <c r="N248" s="104">
        <f t="shared" si="16"/>
        <v>-1.5129966000000002E-3</v>
      </c>
      <c r="O248" s="66"/>
      <c r="P248" s="66">
        <f t="shared" si="17"/>
        <v>0</v>
      </c>
      <c r="Q248" s="66"/>
      <c r="R248" s="66">
        <f t="shared" si="18"/>
        <v>-2.6012479166666667E-3</v>
      </c>
      <c r="S248" s="117"/>
    </row>
    <row r="249" spans="1:19">
      <c r="A249" s="110" t="s">
        <v>626</v>
      </c>
      <c r="B249" s="111" t="s">
        <v>938</v>
      </c>
      <c r="C249" s="111" t="s">
        <v>939</v>
      </c>
      <c r="D249" s="112" t="s">
        <v>940</v>
      </c>
      <c r="E249" s="111" t="s">
        <v>209</v>
      </c>
      <c r="F249" s="112" t="s">
        <v>1612</v>
      </c>
      <c r="G249" s="111" t="s">
        <v>20</v>
      </c>
      <c r="H249" s="111" t="s">
        <v>929</v>
      </c>
      <c r="I249" s="111">
        <v>201509</v>
      </c>
      <c r="J249" s="113">
        <v>-13.13</v>
      </c>
      <c r="K249" s="72">
        <f t="shared" si="19"/>
        <v>42675</v>
      </c>
      <c r="L249" s="67">
        <f t="shared" si="15"/>
        <v>6</v>
      </c>
      <c r="M249" s="114">
        <v>1.4833299999999999E-3</v>
      </c>
      <c r="N249" s="104">
        <f t="shared" si="16"/>
        <v>-0.11685673740000001</v>
      </c>
      <c r="O249" s="66"/>
      <c r="P249" s="66">
        <f t="shared" si="17"/>
        <v>0</v>
      </c>
      <c r="Q249" s="66"/>
      <c r="R249" s="66">
        <f t="shared" si="18"/>
        <v>-0.20090814791666667</v>
      </c>
      <c r="S249" s="117"/>
    </row>
    <row r="250" spans="1:19">
      <c r="A250" s="110" t="s">
        <v>626</v>
      </c>
      <c r="B250" s="111" t="s">
        <v>1118</v>
      </c>
      <c r="C250" s="111" t="s">
        <v>1119</v>
      </c>
      <c r="D250" s="112" t="s">
        <v>1120</v>
      </c>
      <c r="E250" s="111" t="s">
        <v>93</v>
      </c>
      <c r="F250" s="112" t="s">
        <v>1601</v>
      </c>
      <c r="G250" s="111" t="s">
        <v>20</v>
      </c>
      <c r="H250" s="111" t="s">
        <v>929</v>
      </c>
      <c r="I250" s="111">
        <v>201509</v>
      </c>
      <c r="J250" s="113">
        <v>-1.48</v>
      </c>
      <c r="K250" s="72">
        <f t="shared" si="19"/>
        <v>42675</v>
      </c>
      <c r="L250" s="67">
        <f t="shared" si="15"/>
        <v>6</v>
      </c>
      <c r="M250" s="114">
        <v>1.4833299999999999E-3</v>
      </c>
      <c r="N250" s="104">
        <f t="shared" si="16"/>
        <v>-1.31719704E-2</v>
      </c>
      <c r="O250" s="66"/>
      <c r="P250" s="66">
        <f t="shared" si="17"/>
        <v>0</v>
      </c>
      <c r="Q250" s="66"/>
      <c r="R250" s="66">
        <f t="shared" si="18"/>
        <v>-2.2646158333333329E-2</v>
      </c>
      <c r="S250" s="117"/>
    </row>
    <row r="251" spans="1:19">
      <c r="A251" s="110" t="s">
        <v>21</v>
      </c>
      <c r="B251" s="111" t="s">
        <v>1124</v>
      </c>
      <c r="C251" s="111" t="s">
        <v>1125</v>
      </c>
      <c r="D251" s="112" t="s">
        <v>1126</v>
      </c>
      <c r="E251" s="111" t="s">
        <v>87</v>
      </c>
      <c r="F251" s="112" t="s">
        <v>1603</v>
      </c>
      <c r="G251" s="111" t="s">
        <v>20</v>
      </c>
      <c r="H251" s="111" t="s">
        <v>929</v>
      </c>
      <c r="I251" s="111">
        <v>201509</v>
      </c>
      <c r="J251" s="113">
        <v>-33.630000000000003</v>
      </c>
      <c r="K251" s="72">
        <f t="shared" si="19"/>
        <v>42675</v>
      </c>
      <c r="L251" s="67">
        <f t="shared" si="15"/>
        <v>6</v>
      </c>
      <c r="M251" s="114">
        <v>1.4833299999999999E-3</v>
      </c>
      <c r="N251" s="104">
        <f t="shared" si="16"/>
        <v>-0.29930632740000002</v>
      </c>
      <c r="O251" s="66"/>
      <c r="P251" s="66">
        <f t="shared" si="17"/>
        <v>0</v>
      </c>
      <c r="Q251" s="66"/>
      <c r="R251" s="66">
        <f t="shared" si="18"/>
        <v>-0.51458804375</v>
      </c>
      <c r="S251" s="117"/>
    </row>
    <row r="252" spans="1:19">
      <c r="A252" s="110" t="s">
        <v>626</v>
      </c>
      <c r="B252" s="111" t="s">
        <v>1124</v>
      </c>
      <c r="C252" s="111" t="s">
        <v>1125</v>
      </c>
      <c r="D252" s="112" t="s">
        <v>1126</v>
      </c>
      <c r="E252" s="111" t="s">
        <v>87</v>
      </c>
      <c r="F252" s="112" t="s">
        <v>1603</v>
      </c>
      <c r="G252" s="111" t="s">
        <v>20</v>
      </c>
      <c r="H252" s="111" t="s">
        <v>929</v>
      </c>
      <c r="I252" s="111">
        <v>201509</v>
      </c>
      <c r="J252" s="113">
        <v>-0.91</v>
      </c>
      <c r="K252" s="72">
        <f t="shared" si="19"/>
        <v>42675</v>
      </c>
      <c r="L252" s="67">
        <f t="shared" si="15"/>
        <v>6</v>
      </c>
      <c r="M252" s="114">
        <v>1.4833299999999999E-3</v>
      </c>
      <c r="N252" s="104">
        <f t="shared" si="16"/>
        <v>-8.0989818000000002E-3</v>
      </c>
      <c r="O252" s="66"/>
      <c r="P252" s="66">
        <f t="shared" si="17"/>
        <v>0</v>
      </c>
      <c r="Q252" s="66"/>
      <c r="R252" s="66">
        <f t="shared" si="18"/>
        <v>-1.3924327083333334E-2</v>
      </c>
      <c r="S252" s="117"/>
    </row>
    <row r="253" spans="1:19">
      <c r="A253" s="110" t="s">
        <v>21</v>
      </c>
      <c r="B253" s="111" t="s">
        <v>1127</v>
      </c>
      <c r="C253" s="111" t="s">
        <v>1128</v>
      </c>
      <c r="D253" s="112" t="s">
        <v>1129</v>
      </c>
      <c r="E253" s="111" t="s">
        <v>87</v>
      </c>
      <c r="F253" s="112" t="s">
        <v>1603</v>
      </c>
      <c r="G253" s="111" t="s">
        <v>20</v>
      </c>
      <c r="H253" s="111" t="s">
        <v>929</v>
      </c>
      <c r="I253" s="111">
        <v>201509</v>
      </c>
      <c r="J253" s="113">
        <v>-1166.1400000000001</v>
      </c>
      <c r="K253" s="72">
        <f t="shared" si="19"/>
        <v>42675</v>
      </c>
      <c r="L253" s="67">
        <f t="shared" si="15"/>
        <v>6</v>
      </c>
      <c r="M253" s="114">
        <v>1.4833299999999999E-3</v>
      </c>
      <c r="N253" s="104">
        <f t="shared" si="16"/>
        <v>-10.378622677200001</v>
      </c>
      <c r="O253" s="66"/>
      <c r="P253" s="66">
        <f t="shared" si="17"/>
        <v>0</v>
      </c>
      <c r="Q253" s="66"/>
      <c r="R253" s="66">
        <f t="shared" si="18"/>
        <v>-17.843642620833332</v>
      </c>
      <c r="S253" s="117"/>
    </row>
    <row r="254" spans="1:19">
      <c r="A254" s="110" t="s">
        <v>626</v>
      </c>
      <c r="B254" s="111" t="s">
        <v>1127</v>
      </c>
      <c r="C254" s="111" t="s">
        <v>1128</v>
      </c>
      <c r="D254" s="112" t="s">
        <v>1129</v>
      </c>
      <c r="E254" s="111" t="s">
        <v>87</v>
      </c>
      <c r="F254" s="112" t="s">
        <v>1603</v>
      </c>
      <c r="G254" s="111" t="s">
        <v>20</v>
      </c>
      <c r="H254" s="111" t="s">
        <v>929</v>
      </c>
      <c r="I254" s="111">
        <v>201509</v>
      </c>
      <c r="J254" s="113">
        <v>-23.19</v>
      </c>
      <c r="K254" s="72">
        <f t="shared" si="19"/>
        <v>42675</v>
      </c>
      <c r="L254" s="67">
        <f t="shared" si="15"/>
        <v>6</v>
      </c>
      <c r="M254" s="114">
        <v>1.4833299999999999E-3</v>
      </c>
      <c r="N254" s="104">
        <f t="shared" si="16"/>
        <v>-0.2063905362</v>
      </c>
      <c r="O254" s="66"/>
      <c r="P254" s="66">
        <f t="shared" si="17"/>
        <v>0</v>
      </c>
      <c r="Q254" s="66"/>
      <c r="R254" s="66">
        <f t="shared" si="18"/>
        <v>-0.35484081875000001</v>
      </c>
      <c r="S254" s="117"/>
    </row>
    <row r="255" spans="1:19">
      <c r="A255" s="116" t="s">
        <v>21</v>
      </c>
      <c r="B255" s="111" t="s">
        <v>870</v>
      </c>
      <c r="C255" s="111" t="s">
        <v>871</v>
      </c>
      <c r="D255" s="112" t="s">
        <v>872</v>
      </c>
      <c r="E255" s="111" t="s">
        <v>873</v>
      </c>
      <c r="F255" s="112" t="s">
        <v>874</v>
      </c>
      <c r="G255" s="111" t="s">
        <v>20</v>
      </c>
      <c r="H255" s="111" t="s">
        <v>929</v>
      </c>
      <c r="I255" s="111">
        <v>201509</v>
      </c>
      <c r="J255" s="113">
        <v>-3.65</v>
      </c>
      <c r="K255" s="72">
        <f t="shared" si="19"/>
        <v>42675</v>
      </c>
      <c r="L255" s="67">
        <f t="shared" si="15"/>
        <v>6</v>
      </c>
      <c r="M255" s="114">
        <v>1.4833299999999999E-3</v>
      </c>
      <c r="N255" s="104">
        <f t="shared" si="16"/>
        <v>-3.2484926999999997E-2</v>
      </c>
      <c r="O255" s="66"/>
      <c r="P255" s="66">
        <f t="shared" si="17"/>
        <v>0</v>
      </c>
      <c r="Q255" s="66"/>
      <c r="R255" s="66">
        <f t="shared" si="18"/>
        <v>-5.585032291666666E-2</v>
      </c>
      <c r="S255" s="117"/>
    </row>
    <row r="256" spans="1:19">
      <c r="A256" s="116" t="s">
        <v>21</v>
      </c>
      <c r="B256" s="111" t="s">
        <v>1461</v>
      </c>
      <c r="C256" s="111" t="s">
        <v>1462</v>
      </c>
      <c r="D256" s="112" t="s">
        <v>1463</v>
      </c>
      <c r="E256" s="111" t="s">
        <v>209</v>
      </c>
      <c r="F256" s="112" t="s">
        <v>1612</v>
      </c>
      <c r="G256" s="111" t="s">
        <v>20</v>
      </c>
      <c r="H256" s="111" t="s">
        <v>929</v>
      </c>
      <c r="I256" s="111">
        <v>201509</v>
      </c>
      <c r="J256" s="113">
        <v>-23.25</v>
      </c>
      <c r="K256" s="72">
        <f t="shared" si="19"/>
        <v>42675</v>
      </c>
      <c r="L256" s="67">
        <f t="shared" si="15"/>
        <v>6</v>
      </c>
      <c r="M256" s="114">
        <v>1.4833299999999999E-3</v>
      </c>
      <c r="N256" s="104">
        <f t="shared" si="16"/>
        <v>-0.20692453499999999</v>
      </c>
      <c r="O256" s="66"/>
      <c r="P256" s="66">
        <f t="shared" si="17"/>
        <v>0</v>
      </c>
      <c r="Q256" s="66"/>
      <c r="R256" s="66">
        <f t="shared" si="18"/>
        <v>-0.35575890624999995</v>
      </c>
      <c r="S256" s="117"/>
    </row>
    <row r="257" spans="1:19">
      <c r="A257" s="110" t="s">
        <v>626</v>
      </c>
      <c r="B257" s="111" t="s">
        <v>848</v>
      </c>
      <c r="C257" s="111" t="s">
        <v>849</v>
      </c>
      <c r="D257" s="112" t="s">
        <v>850</v>
      </c>
      <c r="E257" s="111" t="s">
        <v>93</v>
      </c>
      <c r="F257" s="112" t="s">
        <v>1601</v>
      </c>
      <c r="G257" s="111" t="s">
        <v>20</v>
      </c>
      <c r="H257" s="111" t="s">
        <v>929</v>
      </c>
      <c r="I257" s="111">
        <v>201509</v>
      </c>
      <c r="J257" s="113">
        <v>14.8</v>
      </c>
      <c r="K257" s="72">
        <f t="shared" si="19"/>
        <v>42675</v>
      </c>
      <c r="L257" s="67">
        <f t="shared" si="15"/>
        <v>6</v>
      </c>
      <c r="M257" s="114">
        <v>1.4833299999999999E-3</v>
      </c>
      <c r="N257" s="104">
        <f t="shared" si="16"/>
        <v>0.13171970400000002</v>
      </c>
      <c r="O257" s="66"/>
      <c r="P257" s="66">
        <f t="shared" si="17"/>
        <v>0</v>
      </c>
      <c r="Q257" s="66"/>
      <c r="R257" s="66">
        <f t="shared" si="18"/>
        <v>0.22646158333333333</v>
      </c>
      <c r="S257" s="117"/>
    </row>
    <row r="258" spans="1:19">
      <c r="A258" s="110" t="s">
        <v>626</v>
      </c>
      <c r="B258" s="111" t="s">
        <v>1136</v>
      </c>
      <c r="C258" s="111" t="s">
        <v>1137</v>
      </c>
      <c r="D258" s="112" t="s">
        <v>1138</v>
      </c>
      <c r="E258" s="111" t="s">
        <v>962</v>
      </c>
      <c r="F258" s="112" t="s">
        <v>88</v>
      </c>
      <c r="G258" s="111" t="s">
        <v>20</v>
      </c>
      <c r="H258" s="111" t="s">
        <v>929</v>
      </c>
      <c r="I258" s="111">
        <v>201509</v>
      </c>
      <c r="J258" s="113">
        <v>-594.57000000000005</v>
      </c>
      <c r="K258" s="72">
        <f t="shared" si="19"/>
        <v>42675</v>
      </c>
      <c r="L258" s="67">
        <f t="shared" si="15"/>
        <v>6</v>
      </c>
      <c r="M258" s="114">
        <v>1.4833299999999999E-3</v>
      </c>
      <c r="N258" s="104">
        <f t="shared" si="16"/>
        <v>-5.2916611086000005</v>
      </c>
      <c r="O258" s="66"/>
      <c r="P258" s="66">
        <f t="shared" si="17"/>
        <v>0</v>
      </c>
      <c r="Q258" s="66"/>
      <c r="R258" s="66">
        <f t="shared" si="18"/>
        <v>-9.09778808125</v>
      </c>
      <c r="S258" s="117"/>
    </row>
    <row r="259" spans="1:19">
      <c r="A259" s="110" t="s">
        <v>626</v>
      </c>
      <c r="B259" s="111" t="s">
        <v>1410</v>
      </c>
      <c r="C259" s="111" t="s">
        <v>1411</v>
      </c>
      <c r="D259" s="112" t="s">
        <v>1412</v>
      </c>
      <c r="E259" s="111" t="s">
        <v>1413</v>
      </c>
      <c r="F259" s="112" t="s">
        <v>88</v>
      </c>
      <c r="G259" s="111" t="s">
        <v>20</v>
      </c>
      <c r="H259" s="111" t="s">
        <v>929</v>
      </c>
      <c r="I259" s="111">
        <v>201509</v>
      </c>
      <c r="J259" s="113">
        <v>-12.61</v>
      </c>
      <c r="K259" s="72">
        <f t="shared" si="19"/>
        <v>42675</v>
      </c>
      <c r="L259" s="67">
        <f t="shared" si="15"/>
        <v>6</v>
      </c>
      <c r="M259" s="114">
        <v>1.4833299999999999E-3</v>
      </c>
      <c r="N259" s="104">
        <f t="shared" si="16"/>
        <v>-0.1122287478</v>
      </c>
      <c r="O259" s="66"/>
      <c r="P259" s="66">
        <f t="shared" si="17"/>
        <v>0</v>
      </c>
      <c r="Q259" s="66"/>
      <c r="R259" s="66">
        <f t="shared" si="18"/>
        <v>-0.1929513895833333</v>
      </c>
      <c r="S259" s="117"/>
    </row>
    <row r="260" spans="1:19">
      <c r="A260" s="110" t="s">
        <v>626</v>
      </c>
      <c r="B260" s="111" t="s">
        <v>1088</v>
      </c>
      <c r="C260" s="111" t="s">
        <v>1089</v>
      </c>
      <c r="D260" s="112" t="s">
        <v>1090</v>
      </c>
      <c r="E260" s="111" t="s">
        <v>415</v>
      </c>
      <c r="F260" s="112" t="s">
        <v>88</v>
      </c>
      <c r="G260" s="111" t="s">
        <v>20</v>
      </c>
      <c r="H260" s="111" t="s">
        <v>929</v>
      </c>
      <c r="I260" s="111">
        <v>201509</v>
      </c>
      <c r="J260" s="113">
        <v>-579.84</v>
      </c>
      <c r="K260" s="72">
        <f t="shared" si="19"/>
        <v>42675</v>
      </c>
      <c r="L260" s="67">
        <f t="shared" si="15"/>
        <v>6</v>
      </c>
      <c r="M260" s="114">
        <v>1.4833299999999999E-3</v>
      </c>
      <c r="N260" s="104">
        <f t="shared" si="16"/>
        <v>-5.1605644032000004</v>
      </c>
      <c r="O260" s="66"/>
      <c r="P260" s="66">
        <f t="shared" si="17"/>
        <v>0</v>
      </c>
      <c r="Q260" s="66"/>
      <c r="R260" s="66">
        <f t="shared" si="18"/>
        <v>-8.8723975999999993</v>
      </c>
      <c r="S260" s="117"/>
    </row>
    <row r="261" spans="1:19">
      <c r="A261" s="110" t="s">
        <v>626</v>
      </c>
      <c r="B261" s="111" t="s">
        <v>1145</v>
      </c>
      <c r="C261" s="111" t="s">
        <v>1146</v>
      </c>
      <c r="D261" s="112" t="s">
        <v>1147</v>
      </c>
      <c r="E261" s="111" t="s">
        <v>962</v>
      </c>
      <c r="F261" s="112" t="s">
        <v>88</v>
      </c>
      <c r="G261" s="111" t="s">
        <v>20</v>
      </c>
      <c r="H261" s="111" t="s">
        <v>929</v>
      </c>
      <c r="I261" s="111">
        <v>201509</v>
      </c>
      <c r="J261" s="113">
        <v>-94.94</v>
      </c>
      <c r="K261" s="72">
        <f t="shared" si="19"/>
        <v>42675</v>
      </c>
      <c r="L261" s="67">
        <f t="shared" ref="L261:L325" si="20">((YEAR($L$1)-YEAR(K261))*12+MONTH($L$1)-MONTH(K261))</f>
        <v>6</v>
      </c>
      <c r="M261" s="114">
        <v>1.4833299999999999E-3</v>
      </c>
      <c r="N261" s="104">
        <f t="shared" ref="N261:N324" si="21">M261*L261*J261</f>
        <v>-0.84496410119999998</v>
      </c>
      <c r="O261" s="66"/>
      <c r="P261" s="66">
        <f t="shared" si="17"/>
        <v>0</v>
      </c>
      <c r="Q261" s="66"/>
      <c r="R261" s="66">
        <f t="shared" si="18"/>
        <v>-1.4527204541666665</v>
      </c>
      <c r="S261" s="117"/>
    </row>
    <row r="262" spans="1:19">
      <c r="A262" s="110" t="s">
        <v>626</v>
      </c>
      <c r="B262" s="111" t="s">
        <v>1091</v>
      </c>
      <c r="C262" s="111" t="s">
        <v>1092</v>
      </c>
      <c r="D262" s="112" t="s">
        <v>1093</v>
      </c>
      <c r="E262" s="111" t="s">
        <v>962</v>
      </c>
      <c r="F262" s="112" t="s">
        <v>88</v>
      </c>
      <c r="G262" s="111" t="s">
        <v>20</v>
      </c>
      <c r="H262" s="111" t="s">
        <v>929</v>
      </c>
      <c r="I262" s="111">
        <v>201509</v>
      </c>
      <c r="J262" s="113">
        <v>-245.55</v>
      </c>
      <c r="K262" s="72">
        <f t="shared" si="19"/>
        <v>42675</v>
      </c>
      <c r="L262" s="67">
        <f t="shared" si="20"/>
        <v>6</v>
      </c>
      <c r="M262" s="114">
        <v>1.4833299999999999E-3</v>
      </c>
      <c r="N262" s="104">
        <f t="shared" si="21"/>
        <v>-2.1853900890000002</v>
      </c>
      <c r="O262" s="66"/>
      <c r="P262" s="66">
        <f t="shared" ref="P262:P304" si="22">($P$4*0.5*J262*$U$11)</f>
        <v>0</v>
      </c>
      <c r="Q262" s="66"/>
      <c r="R262" s="66">
        <f t="shared" ref="R262:R304" si="23">($R$4*0.5*J262*$U$11)</f>
        <v>-3.7572730937499994</v>
      </c>
      <c r="S262" s="117"/>
    </row>
    <row r="263" spans="1:19">
      <c r="A263" s="110" t="s">
        <v>626</v>
      </c>
      <c r="B263" s="111" t="s">
        <v>1094</v>
      </c>
      <c r="C263" s="111" t="s">
        <v>1095</v>
      </c>
      <c r="D263" s="112" t="s">
        <v>1096</v>
      </c>
      <c r="E263" s="111" t="s">
        <v>452</v>
      </c>
      <c r="F263" s="112" t="s">
        <v>398</v>
      </c>
      <c r="G263" s="111" t="s">
        <v>20</v>
      </c>
      <c r="H263" s="111" t="s">
        <v>929</v>
      </c>
      <c r="I263" s="111">
        <v>201509</v>
      </c>
      <c r="J263" s="113">
        <v>9.8699999999999992</v>
      </c>
      <c r="K263" s="72">
        <f t="shared" ref="K263:K326" si="24">+K262</f>
        <v>42675</v>
      </c>
      <c r="L263" s="67">
        <f t="shared" si="20"/>
        <v>6</v>
      </c>
      <c r="M263" s="114">
        <v>1.4833299999999999E-3</v>
      </c>
      <c r="N263" s="104">
        <f t="shared" si="21"/>
        <v>8.7842802599999992E-2</v>
      </c>
      <c r="O263" s="66"/>
      <c r="P263" s="66">
        <f t="shared" si="22"/>
        <v>0</v>
      </c>
      <c r="Q263" s="66"/>
      <c r="R263" s="66">
        <f t="shared" si="23"/>
        <v>0.15102539374999996</v>
      </c>
      <c r="S263" s="117"/>
    </row>
    <row r="264" spans="1:19">
      <c r="A264" s="110" t="s">
        <v>626</v>
      </c>
      <c r="B264" s="111" t="s">
        <v>1148</v>
      </c>
      <c r="C264" s="111" t="s">
        <v>1149</v>
      </c>
      <c r="D264" s="112" t="s">
        <v>1150</v>
      </c>
      <c r="E264" s="111" t="s">
        <v>93</v>
      </c>
      <c r="F264" s="112" t="s">
        <v>1601</v>
      </c>
      <c r="G264" s="111" t="s">
        <v>20</v>
      </c>
      <c r="H264" s="111" t="s">
        <v>929</v>
      </c>
      <c r="I264" s="111">
        <v>201509</v>
      </c>
      <c r="J264" s="113">
        <v>-53.54</v>
      </c>
      <c r="K264" s="72">
        <f t="shared" si="24"/>
        <v>42675</v>
      </c>
      <c r="L264" s="67">
        <f t="shared" si="20"/>
        <v>6</v>
      </c>
      <c r="M264" s="114">
        <v>1.4833299999999999E-3</v>
      </c>
      <c r="N264" s="104">
        <f t="shared" si="21"/>
        <v>-0.47650492919999998</v>
      </c>
      <c r="O264" s="66"/>
      <c r="P264" s="66">
        <f t="shared" si="22"/>
        <v>0</v>
      </c>
      <c r="Q264" s="66"/>
      <c r="R264" s="66">
        <f t="shared" si="23"/>
        <v>-0.81924007916666652</v>
      </c>
      <c r="S264" s="117"/>
    </row>
    <row r="265" spans="1:19">
      <c r="A265" s="116" t="s">
        <v>21</v>
      </c>
      <c r="B265" s="111" t="s">
        <v>966</v>
      </c>
      <c r="C265" s="111" t="s">
        <v>967</v>
      </c>
      <c r="D265" s="112" t="s">
        <v>968</v>
      </c>
      <c r="E265" s="111" t="s">
        <v>209</v>
      </c>
      <c r="F265" s="112" t="s">
        <v>1612</v>
      </c>
      <c r="G265" s="111" t="s">
        <v>20</v>
      </c>
      <c r="H265" s="111" t="s">
        <v>929</v>
      </c>
      <c r="I265" s="111">
        <v>201509</v>
      </c>
      <c r="J265" s="113">
        <v>-1.88</v>
      </c>
      <c r="K265" s="72">
        <f t="shared" si="24"/>
        <v>42675</v>
      </c>
      <c r="L265" s="67">
        <f t="shared" si="20"/>
        <v>6</v>
      </c>
      <c r="M265" s="114">
        <v>1.4833299999999999E-3</v>
      </c>
      <c r="N265" s="104">
        <f t="shared" si="21"/>
        <v>-1.6731962399999998E-2</v>
      </c>
      <c r="O265" s="66"/>
      <c r="P265" s="66">
        <f t="shared" si="22"/>
        <v>0</v>
      </c>
      <c r="Q265" s="66"/>
      <c r="R265" s="66">
        <f t="shared" si="23"/>
        <v>-2.8766741666666661E-2</v>
      </c>
      <c r="S265" s="117"/>
    </row>
    <row r="266" spans="1:19">
      <c r="A266" s="116" t="s">
        <v>21</v>
      </c>
      <c r="B266" s="111" t="s">
        <v>882</v>
      </c>
      <c r="C266" s="111" t="s">
        <v>883</v>
      </c>
      <c r="D266" s="112" t="s">
        <v>884</v>
      </c>
      <c r="E266" s="111" t="s">
        <v>87</v>
      </c>
      <c r="F266" s="112" t="s">
        <v>1603</v>
      </c>
      <c r="G266" s="111" t="s">
        <v>20</v>
      </c>
      <c r="H266" s="111" t="s">
        <v>929</v>
      </c>
      <c r="I266" s="111">
        <v>201509</v>
      </c>
      <c r="J266" s="113">
        <v>-6.73</v>
      </c>
      <c r="K266" s="72">
        <f t="shared" si="24"/>
        <v>42675</v>
      </c>
      <c r="L266" s="67">
        <f t="shared" si="20"/>
        <v>6</v>
      </c>
      <c r="M266" s="114">
        <v>1.4833299999999999E-3</v>
      </c>
      <c r="N266" s="104">
        <f t="shared" si="21"/>
        <v>-5.9896865400000006E-2</v>
      </c>
      <c r="O266" s="66"/>
      <c r="P266" s="66">
        <f t="shared" si="22"/>
        <v>0</v>
      </c>
      <c r="Q266" s="66"/>
      <c r="R266" s="66">
        <f t="shared" si="23"/>
        <v>-0.10297881458333333</v>
      </c>
      <c r="S266" s="117"/>
    </row>
    <row r="267" spans="1:19">
      <c r="A267" s="116" t="s">
        <v>626</v>
      </c>
      <c r="B267" s="111" t="s">
        <v>975</v>
      </c>
      <c r="C267" s="111" t="s">
        <v>976</v>
      </c>
      <c r="D267" s="112" t="s">
        <v>977</v>
      </c>
      <c r="E267" s="111" t="s">
        <v>87</v>
      </c>
      <c r="F267" s="112" t="s">
        <v>1603</v>
      </c>
      <c r="G267" s="111" t="s">
        <v>20</v>
      </c>
      <c r="H267" s="111" t="s">
        <v>929</v>
      </c>
      <c r="I267" s="111">
        <v>201509</v>
      </c>
      <c r="J267" s="113">
        <v>0.08</v>
      </c>
      <c r="K267" s="72">
        <f t="shared" si="24"/>
        <v>42675</v>
      </c>
      <c r="L267" s="67">
        <f t="shared" si="20"/>
        <v>6</v>
      </c>
      <c r="M267" s="114">
        <v>1.4833299999999999E-3</v>
      </c>
      <c r="N267" s="104">
        <f t="shared" si="21"/>
        <v>7.1199840000000006E-4</v>
      </c>
      <c r="O267" s="66"/>
      <c r="P267" s="66">
        <f t="shared" si="22"/>
        <v>0</v>
      </c>
      <c r="Q267" s="66"/>
      <c r="R267" s="66">
        <f t="shared" si="23"/>
        <v>1.2241166666666667E-3</v>
      </c>
      <c r="S267" s="117"/>
    </row>
    <row r="268" spans="1:19">
      <c r="A268" s="116" t="s">
        <v>626</v>
      </c>
      <c r="B268" s="111" t="s">
        <v>885</v>
      </c>
      <c r="C268" s="111" t="s">
        <v>886</v>
      </c>
      <c r="D268" s="112" t="s">
        <v>887</v>
      </c>
      <c r="E268" s="111" t="s">
        <v>93</v>
      </c>
      <c r="F268" s="112" t="s">
        <v>1601</v>
      </c>
      <c r="G268" s="111" t="s">
        <v>20</v>
      </c>
      <c r="H268" s="111" t="s">
        <v>929</v>
      </c>
      <c r="I268" s="111">
        <v>201509</v>
      </c>
      <c r="J268" s="113">
        <v>42.33</v>
      </c>
      <c r="K268" s="72">
        <f t="shared" si="24"/>
        <v>42675</v>
      </c>
      <c r="L268" s="67">
        <f t="shared" si="20"/>
        <v>6</v>
      </c>
      <c r="M268" s="114">
        <v>1.4833299999999999E-3</v>
      </c>
      <c r="N268" s="104">
        <f t="shared" si="21"/>
        <v>0.3767361534</v>
      </c>
      <c r="O268" s="66"/>
      <c r="P268" s="66">
        <f t="shared" si="22"/>
        <v>0</v>
      </c>
      <c r="Q268" s="66"/>
      <c r="R268" s="66">
        <f t="shared" si="23"/>
        <v>0.64771073124999989</v>
      </c>
      <c r="S268" s="117"/>
    </row>
    <row r="269" spans="1:19">
      <c r="A269" s="116" t="s">
        <v>21</v>
      </c>
      <c r="B269" s="111" t="s">
        <v>1097</v>
      </c>
      <c r="C269" s="111" t="s">
        <v>1098</v>
      </c>
      <c r="D269" s="112" t="s">
        <v>1099</v>
      </c>
      <c r="E269" s="111" t="s">
        <v>452</v>
      </c>
      <c r="F269" s="112" t="s">
        <v>398</v>
      </c>
      <c r="G269" s="111" t="s">
        <v>20</v>
      </c>
      <c r="H269" s="111" t="s">
        <v>929</v>
      </c>
      <c r="I269" s="111">
        <v>201509</v>
      </c>
      <c r="J269" s="113">
        <v>-2.5</v>
      </c>
      <c r="K269" s="72">
        <f t="shared" si="24"/>
        <v>42675</v>
      </c>
      <c r="L269" s="67">
        <f t="shared" si="20"/>
        <v>6</v>
      </c>
      <c r="M269" s="114">
        <v>1.4833299999999999E-3</v>
      </c>
      <c r="N269" s="104">
        <f t="shared" si="21"/>
        <v>-2.2249950000000001E-2</v>
      </c>
      <c r="O269" s="66"/>
      <c r="P269" s="66">
        <f t="shared" si="22"/>
        <v>0</v>
      </c>
      <c r="Q269" s="66"/>
      <c r="R269" s="66">
        <f t="shared" si="23"/>
        <v>-3.8253645833333329E-2</v>
      </c>
      <c r="S269" s="117"/>
    </row>
    <row r="270" spans="1:19">
      <c r="A270" s="116" t="s">
        <v>626</v>
      </c>
      <c r="B270" s="111" t="s">
        <v>1097</v>
      </c>
      <c r="C270" s="111" t="s">
        <v>1098</v>
      </c>
      <c r="D270" s="112" t="s">
        <v>1099</v>
      </c>
      <c r="E270" s="111" t="s">
        <v>452</v>
      </c>
      <c r="F270" s="112" t="s">
        <v>398</v>
      </c>
      <c r="G270" s="111" t="s">
        <v>20</v>
      </c>
      <c r="H270" s="111" t="s">
        <v>929</v>
      </c>
      <c r="I270" s="111">
        <v>201509</v>
      </c>
      <c r="J270" s="113">
        <v>-20.6</v>
      </c>
      <c r="K270" s="72">
        <f t="shared" si="24"/>
        <v>42675</v>
      </c>
      <c r="L270" s="67">
        <f t="shared" si="20"/>
        <v>6</v>
      </c>
      <c r="M270" s="114">
        <v>1.4833299999999999E-3</v>
      </c>
      <c r="N270" s="104">
        <f t="shared" si="21"/>
        <v>-0.18333958800000003</v>
      </c>
      <c r="O270" s="66"/>
      <c r="P270" s="66">
        <f t="shared" si="22"/>
        <v>0</v>
      </c>
      <c r="Q270" s="66"/>
      <c r="R270" s="66">
        <f t="shared" si="23"/>
        <v>-0.31521004166666666</v>
      </c>
      <c r="S270" s="117"/>
    </row>
    <row r="271" spans="1:19">
      <c r="A271" s="116" t="s">
        <v>21</v>
      </c>
      <c r="B271" s="111" t="s">
        <v>1100</v>
      </c>
      <c r="C271" s="111" t="s">
        <v>1101</v>
      </c>
      <c r="D271" s="112" t="s">
        <v>1102</v>
      </c>
      <c r="E271" s="111" t="s">
        <v>397</v>
      </c>
      <c r="F271" s="112" t="s">
        <v>398</v>
      </c>
      <c r="G271" s="111" t="s">
        <v>20</v>
      </c>
      <c r="H271" s="111" t="s">
        <v>929</v>
      </c>
      <c r="I271" s="111">
        <v>201509</v>
      </c>
      <c r="J271" s="113">
        <v>-71.3</v>
      </c>
      <c r="K271" s="72">
        <f t="shared" si="24"/>
        <v>42675</v>
      </c>
      <c r="L271" s="67">
        <f t="shared" si="20"/>
        <v>6</v>
      </c>
      <c r="M271" s="114">
        <v>1.4833299999999999E-3</v>
      </c>
      <c r="N271" s="104">
        <f t="shared" si="21"/>
        <v>-0.634568574</v>
      </c>
      <c r="O271" s="66"/>
      <c r="P271" s="66">
        <f t="shared" si="22"/>
        <v>0</v>
      </c>
      <c r="Q271" s="66"/>
      <c r="R271" s="66">
        <f t="shared" si="23"/>
        <v>-1.0909939791666665</v>
      </c>
      <c r="S271" s="117"/>
    </row>
    <row r="272" spans="1:19">
      <c r="A272" s="116" t="s">
        <v>626</v>
      </c>
      <c r="B272" s="111" t="s">
        <v>1100</v>
      </c>
      <c r="C272" s="111" t="s">
        <v>1101</v>
      </c>
      <c r="D272" s="112" t="s">
        <v>1102</v>
      </c>
      <c r="E272" s="111" t="s">
        <v>397</v>
      </c>
      <c r="F272" s="112" t="s">
        <v>398</v>
      </c>
      <c r="G272" s="111" t="s">
        <v>20</v>
      </c>
      <c r="H272" s="111" t="s">
        <v>929</v>
      </c>
      <c r="I272" s="111">
        <v>201509</v>
      </c>
      <c r="J272" s="113">
        <v>-15.62</v>
      </c>
      <c r="K272" s="72">
        <f t="shared" si="24"/>
        <v>42675</v>
      </c>
      <c r="L272" s="67">
        <f t="shared" si="20"/>
        <v>6</v>
      </c>
      <c r="M272" s="114">
        <v>1.4833299999999999E-3</v>
      </c>
      <c r="N272" s="104">
        <f t="shared" si="21"/>
        <v>-0.1390176876</v>
      </c>
      <c r="O272" s="66"/>
      <c r="P272" s="66">
        <f t="shared" si="22"/>
        <v>0</v>
      </c>
      <c r="Q272" s="66"/>
      <c r="R272" s="66">
        <f t="shared" si="23"/>
        <v>-0.23900877916666663</v>
      </c>
      <c r="S272" s="117"/>
    </row>
    <row r="273" spans="1:19">
      <c r="A273" s="110" t="s">
        <v>626</v>
      </c>
      <c r="B273" s="111" t="s">
        <v>1103</v>
      </c>
      <c r="C273" s="111" t="s">
        <v>1104</v>
      </c>
      <c r="D273" s="112" t="s">
        <v>1105</v>
      </c>
      <c r="E273" s="111" t="s">
        <v>87</v>
      </c>
      <c r="F273" s="112" t="s">
        <v>1603</v>
      </c>
      <c r="G273" s="111" t="s">
        <v>20</v>
      </c>
      <c r="H273" s="111" t="s">
        <v>929</v>
      </c>
      <c r="I273" s="111">
        <v>201509</v>
      </c>
      <c r="J273" s="113">
        <v>-104.98</v>
      </c>
      <c r="K273" s="72">
        <f t="shared" si="24"/>
        <v>42675</v>
      </c>
      <c r="L273" s="67">
        <f t="shared" si="20"/>
        <v>6</v>
      </c>
      <c r="M273" s="114">
        <v>1.4833299999999999E-3</v>
      </c>
      <c r="N273" s="104">
        <f t="shared" si="21"/>
        <v>-0.93431990040000001</v>
      </c>
      <c r="O273" s="66"/>
      <c r="P273" s="66">
        <f t="shared" si="22"/>
        <v>0</v>
      </c>
      <c r="Q273" s="66"/>
      <c r="R273" s="66">
        <f t="shared" si="23"/>
        <v>-1.6063470958333332</v>
      </c>
      <c r="S273" s="117"/>
    </row>
    <row r="274" spans="1:19">
      <c r="A274" s="110" t="s">
        <v>626</v>
      </c>
      <c r="B274" s="111" t="s">
        <v>1414</v>
      </c>
      <c r="C274" s="111" t="s">
        <v>1415</v>
      </c>
      <c r="D274" s="112" t="s">
        <v>1416</v>
      </c>
      <c r="E274" s="111" t="s">
        <v>209</v>
      </c>
      <c r="F274" s="112" t="s">
        <v>1612</v>
      </c>
      <c r="G274" s="111" t="s">
        <v>20</v>
      </c>
      <c r="H274" s="111" t="s">
        <v>929</v>
      </c>
      <c r="I274" s="111">
        <v>201509</v>
      </c>
      <c r="J274" s="113">
        <v>4411.6099999999997</v>
      </c>
      <c r="K274" s="72">
        <f t="shared" si="24"/>
        <v>42675</v>
      </c>
      <c r="L274" s="67">
        <f t="shared" si="20"/>
        <v>6</v>
      </c>
      <c r="M274" s="114">
        <v>1.4833299999999999E-3</v>
      </c>
      <c r="N274" s="104">
        <f t="shared" si="21"/>
        <v>39.263240767799999</v>
      </c>
      <c r="O274" s="66"/>
      <c r="P274" s="66">
        <f t="shared" si="22"/>
        <v>0</v>
      </c>
      <c r="Q274" s="66"/>
      <c r="R274" s="66">
        <f t="shared" si="23"/>
        <v>67.504066597916662</v>
      </c>
      <c r="S274" s="117"/>
    </row>
    <row r="275" spans="1:19">
      <c r="A275" s="110" t="s">
        <v>626</v>
      </c>
      <c r="B275" s="111" t="s">
        <v>1292</v>
      </c>
      <c r="C275" s="111" t="s">
        <v>1293</v>
      </c>
      <c r="D275" s="112" t="s">
        <v>1294</v>
      </c>
      <c r="E275" s="111" t="s">
        <v>93</v>
      </c>
      <c r="F275" s="112" t="s">
        <v>1601</v>
      </c>
      <c r="G275" s="111" t="s">
        <v>20</v>
      </c>
      <c r="H275" s="111" t="s">
        <v>929</v>
      </c>
      <c r="I275" s="111">
        <v>201509</v>
      </c>
      <c r="J275" s="113">
        <v>-472.53</v>
      </c>
      <c r="K275" s="72">
        <f t="shared" si="24"/>
        <v>42675</v>
      </c>
      <c r="L275" s="67">
        <f t="shared" si="20"/>
        <v>6</v>
      </c>
      <c r="M275" s="114">
        <v>1.4833299999999999E-3</v>
      </c>
      <c r="N275" s="104">
        <f t="shared" si="21"/>
        <v>-4.2055075494</v>
      </c>
      <c r="O275" s="66"/>
      <c r="P275" s="66">
        <f t="shared" si="22"/>
        <v>0</v>
      </c>
      <c r="Q275" s="66"/>
      <c r="R275" s="66">
        <f t="shared" si="23"/>
        <v>-7.2303981062499991</v>
      </c>
      <c r="S275" s="117"/>
    </row>
    <row r="276" spans="1:19">
      <c r="A276" s="110" t="s">
        <v>21</v>
      </c>
      <c r="B276" s="111" t="s">
        <v>1154</v>
      </c>
      <c r="C276" s="111" t="s">
        <v>1155</v>
      </c>
      <c r="D276" s="112" t="s">
        <v>1156</v>
      </c>
      <c r="E276" s="111" t="s">
        <v>397</v>
      </c>
      <c r="F276" s="112" t="s">
        <v>398</v>
      </c>
      <c r="G276" s="111" t="s">
        <v>20</v>
      </c>
      <c r="H276" s="111" t="s">
        <v>929</v>
      </c>
      <c r="I276" s="111">
        <v>201509</v>
      </c>
      <c r="J276" s="113">
        <v>-260.48</v>
      </c>
      <c r="K276" s="72">
        <f t="shared" si="24"/>
        <v>42675</v>
      </c>
      <c r="L276" s="67">
        <f t="shared" si="20"/>
        <v>6</v>
      </c>
      <c r="M276" s="114">
        <v>1.4833299999999999E-3</v>
      </c>
      <c r="N276" s="104">
        <f t="shared" si="21"/>
        <v>-2.3182667904000001</v>
      </c>
      <c r="O276" s="66"/>
      <c r="P276" s="66">
        <f t="shared" si="22"/>
        <v>0</v>
      </c>
      <c r="Q276" s="66"/>
      <c r="R276" s="66">
        <f t="shared" si="23"/>
        <v>-3.9857238666666666</v>
      </c>
      <c r="S276" s="117"/>
    </row>
    <row r="277" spans="1:19">
      <c r="A277" s="110" t="s">
        <v>21</v>
      </c>
      <c r="B277" s="111" t="s">
        <v>1321</v>
      </c>
      <c r="C277" s="111" t="s">
        <v>1322</v>
      </c>
      <c r="D277" s="112" t="s">
        <v>1323</v>
      </c>
      <c r="E277" s="111" t="s">
        <v>613</v>
      </c>
      <c r="F277" s="112" t="s">
        <v>398</v>
      </c>
      <c r="G277" s="111" t="s">
        <v>20</v>
      </c>
      <c r="H277" s="111" t="s">
        <v>929</v>
      </c>
      <c r="I277" s="111">
        <v>201509</v>
      </c>
      <c r="J277" s="113">
        <v>-7.29</v>
      </c>
      <c r="K277" s="72">
        <f t="shared" si="24"/>
        <v>42675</v>
      </c>
      <c r="L277" s="67">
        <f t="shared" si="20"/>
        <v>6</v>
      </c>
      <c r="M277" s="114">
        <v>1.4833299999999999E-3</v>
      </c>
      <c r="N277" s="104">
        <f t="shared" si="21"/>
        <v>-6.4880854200000004E-2</v>
      </c>
      <c r="O277" s="66"/>
      <c r="P277" s="66">
        <f t="shared" si="22"/>
        <v>0</v>
      </c>
      <c r="Q277" s="66"/>
      <c r="R277" s="66">
        <f t="shared" si="23"/>
        <v>-0.11154763125</v>
      </c>
      <c r="S277" s="117"/>
    </row>
    <row r="278" spans="1:19">
      <c r="A278" s="110" t="s">
        <v>626</v>
      </c>
      <c r="B278" s="111" t="s">
        <v>1321</v>
      </c>
      <c r="C278" s="111" t="s">
        <v>1322</v>
      </c>
      <c r="D278" s="112" t="s">
        <v>1323</v>
      </c>
      <c r="E278" s="111" t="s">
        <v>613</v>
      </c>
      <c r="F278" s="112" t="s">
        <v>398</v>
      </c>
      <c r="G278" s="111" t="s">
        <v>20</v>
      </c>
      <c r="H278" s="111" t="s">
        <v>929</v>
      </c>
      <c r="I278" s="111">
        <v>201509</v>
      </c>
      <c r="J278" s="113">
        <v>-471.8</v>
      </c>
      <c r="K278" s="72">
        <f t="shared" si="24"/>
        <v>42675</v>
      </c>
      <c r="L278" s="67">
        <f t="shared" si="20"/>
        <v>6</v>
      </c>
      <c r="M278" s="114">
        <v>1.4833299999999999E-3</v>
      </c>
      <c r="N278" s="104">
        <f t="shared" si="21"/>
        <v>-4.1990105639999999</v>
      </c>
      <c r="O278" s="66"/>
      <c r="P278" s="66">
        <f t="shared" si="22"/>
        <v>0</v>
      </c>
      <c r="Q278" s="66"/>
      <c r="R278" s="66">
        <f t="shared" si="23"/>
        <v>-7.2192280416666659</v>
      </c>
      <c r="S278" s="117"/>
    </row>
    <row r="279" spans="1:19">
      <c r="A279" s="110" t="s">
        <v>626</v>
      </c>
      <c r="B279" s="111" t="s">
        <v>1236</v>
      </c>
      <c r="C279" s="111" t="s">
        <v>1237</v>
      </c>
      <c r="D279" s="112" t="s">
        <v>1238</v>
      </c>
      <c r="E279" s="111" t="s">
        <v>93</v>
      </c>
      <c r="F279" s="112" t="s">
        <v>1601</v>
      </c>
      <c r="G279" s="111" t="s">
        <v>20</v>
      </c>
      <c r="H279" s="111" t="s">
        <v>929</v>
      </c>
      <c r="I279" s="111">
        <v>201509</v>
      </c>
      <c r="J279" s="113">
        <v>-24.84</v>
      </c>
      <c r="K279" s="72">
        <f t="shared" si="24"/>
        <v>42675</v>
      </c>
      <c r="L279" s="67">
        <f t="shared" si="20"/>
        <v>6</v>
      </c>
      <c r="M279" s="114">
        <v>1.4833299999999999E-3</v>
      </c>
      <c r="N279" s="104">
        <f t="shared" si="21"/>
        <v>-0.2210755032</v>
      </c>
      <c r="O279" s="66"/>
      <c r="P279" s="66">
        <f t="shared" si="22"/>
        <v>0</v>
      </c>
      <c r="Q279" s="66"/>
      <c r="R279" s="66">
        <f t="shared" si="23"/>
        <v>-0.38008822499999995</v>
      </c>
      <c r="S279" s="117"/>
    </row>
    <row r="280" spans="1:19">
      <c r="A280" s="110" t="s">
        <v>626</v>
      </c>
      <c r="B280" s="111" t="s">
        <v>1295</v>
      </c>
      <c r="C280" s="111" t="s">
        <v>1296</v>
      </c>
      <c r="D280" s="112" t="s">
        <v>1297</v>
      </c>
      <c r="E280" s="111" t="s">
        <v>87</v>
      </c>
      <c r="F280" s="112" t="s">
        <v>1603</v>
      </c>
      <c r="G280" s="111" t="s">
        <v>20</v>
      </c>
      <c r="H280" s="111" t="s">
        <v>929</v>
      </c>
      <c r="I280" s="111">
        <v>201509</v>
      </c>
      <c r="J280" s="113">
        <v>-235.5</v>
      </c>
      <c r="K280" s="72">
        <f t="shared" si="24"/>
        <v>42675</v>
      </c>
      <c r="L280" s="67">
        <f t="shared" si="20"/>
        <v>6</v>
      </c>
      <c r="M280" s="114">
        <v>1.4833299999999999E-3</v>
      </c>
      <c r="N280" s="104">
        <f t="shared" si="21"/>
        <v>-2.09594529</v>
      </c>
      <c r="O280" s="66"/>
      <c r="P280" s="66">
        <f t="shared" si="22"/>
        <v>0</v>
      </c>
      <c r="Q280" s="66"/>
      <c r="R280" s="66">
        <f t="shared" si="23"/>
        <v>-3.6034934375000001</v>
      </c>
      <c r="S280" s="117"/>
    </row>
    <row r="281" spans="1:19">
      <c r="A281" s="110" t="s">
        <v>626</v>
      </c>
      <c r="B281" s="111" t="s">
        <v>1239</v>
      </c>
      <c r="C281" s="111" t="s">
        <v>1240</v>
      </c>
      <c r="D281" s="112" t="s">
        <v>1241</v>
      </c>
      <c r="E281" s="111" t="s">
        <v>415</v>
      </c>
      <c r="F281" s="112" t="s">
        <v>88</v>
      </c>
      <c r="G281" s="111" t="s">
        <v>20</v>
      </c>
      <c r="H281" s="111" t="s">
        <v>929</v>
      </c>
      <c r="I281" s="111">
        <v>201509</v>
      </c>
      <c r="J281" s="113">
        <v>-214.54</v>
      </c>
      <c r="K281" s="72">
        <f t="shared" si="24"/>
        <v>42675</v>
      </c>
      <c r="L281" s="67">
        <f t="shared" si="20"/>
        <v>6</v>
      </c>
      <c r="M281" s="114">
        <v>1.4833299999999999E-3</v>
      </c>
      <c r="N281" s="104">
        <f t="shared" si="21"/>
        <v>-1.9094017092</v>
      </c>
      <c r="O281" s="66"/>
      <c r="P281" s="66">
        <f t="shared" si="22"/>
        <v>0</v>
      </c>
      <c r="Q281" s="66"/>
      <c r="R281" s="66">
        <f t="shared" si="23"/>
        <v>-3.2827748708333329</v>
      </c>
      <c r="S281" s="117"/>
    </row>
    <row r="282" spans="1:19">
      <c r="A282" s="110" t="s">
        <v>626</v>
      </c>
      <c r="B282" s="111" t="s">
        <v>1298</v>
      </c>
      <c r="C282" s="111" t="s">
        <v>1299</v>
      </c>
      <c r="D282" s="112" t="s">
        <v>1300</v>
      </c>
      <c r="E282" s="111" t="s">
        <v>93</v>
      </c>
      <c r="F282" s="112" t="s">
        <v>1601</v>
      </c>
      <c r="G282" s="111" t="s">
        <v>20</v>
      </c>
      <c r="H282" s="111" t="s">
        <v>929</v>
      </c>
      <c r="I282" s="111">
        <v>201509</v>
      </c>
      <c r="J282" s="113">
        <v>-58.59</v>
      </c>
      <c r="K282" s="72">
        <f t="shared" si="24"/>
        <v>42675</v>
      </c>
      <c r="L282" s="67">
        <f t="shared" si="20"/>
        <v>6</v>
      </c>
      <c r="M282" s="114">
        <v>1.4833299999999999E-3</v>
      </c>
      <c r="N282" s="104">
        <f t="shared" si="21"/>
        <v>-0.52144982820000008</v>
      </c>
      <c r="O282" s="66"/>
      <c r="P282" s="66">
        <f t="shared" si="22"/>
        <v>0</v>
      </c>
      <c r="Q282" s="66"/>
      <c r="R282" s="66">
        <f t="shared" si="23"/>
        <v>-0.89651244374999994</v>
      </c>
      <c r="S282" s="117"/>
    </row>
    <row r="283" spans="1:19">
      <c r="A283" s="110" t="s">
        <v>626</v>
      </c>
      <c r="B283" s="111" t="s">
        <v>1366</v>
      </c>
      <c r="C283" s="111" t="s">
        <v>1367</v>
      </c>
      <c r="D283" s="112" t="s">
        <v>1368</v>
      </c>
      <c r="E283" s="111" t="s">
        <v>209</v>
      </c>
      <c r="F283" s="112" t="s">
        <v>1612</v>
      </c>
      <c r="G283" s="111" t="s">
        <v>20</v>
      </c>
      <c r="H283" s="111" t="s">
        <v>929</v>
      </c>
      <c r="I283" s="111">
        <v>201509</v>
      </c>
      <c r="J283" s="113">
        <v>-35.39</v>
      </c>
      <c r="K283" s="72">
        <f t="shared" si="24"/>
        <v>42675</v>
      </c>
      <c r="L283" s="67">
        <f t="shared" si="20"/>
        <v>6</v>
      </c>
      <c r="M283" s="114">
        <v>1.4833299999999999E-3</v>
      </c>
      <c r="N283" s="104">
        <f t="shared" si="21"/>
        <v>-0.3149702922</v>
      </c>
      <c r="O283" s="66"/>
      <c r="P283" s="66">
        <f t="shared" si="22"/>
        <v>0</v>
      </c>
      <c r="Q283" s="66"/>
      <c r="R283" s="66">
        <f t="shared" si="23"/>
        <v>-0.5415186104166666</v>
      </c>
      <c r="S283" s="117"/>
    </row>
    <row r="284" spans="1:19">
      <c r="A284" s="116" t="s">
        <v>21</v>
      </c>
      <c r="B284" s="111" t="s">
        <v>1467</v>
      </c>
      <c r="C284" s="111" t="s">
        <v>1468</v>
      </c>
      <c r="D284" s="112" t="s">
        <v>1469</v>
      </c>
      <c r="E284" s="111" t="s">
        <v>209</v>
      </c>
      <c r="F284" s="112" t="s">
        <v>1612</v>
      </c>
      <c r="G284" s="111" t="s">
        <v>20</v>
      </c>
      <c r="H284" s="111" t="s">
        <v>929</v>
      </c>
      <c r="I284" s="111">
        <v>201509</v>
      </c>
      <c r="J284" s="113">
        <v>1833.78</v>
      </c>
      <c r="K284" s="72">
        <f t="shared" si="24"/>
        <v>42675</v>
      </c>
      <c r="L284" s="67">
        <f t="shared" si="20"/>
        <v>6</v>
      </c>
      <c r="M284" s="114">
        <v>1.4833299999999999E-3</v>
      </c>
      <c r="N284" s="104">
        <f t="shared" si="21"/>
        <v>16.320605324399999</v>
      </c>
      <c r="O284" s="66"/>
      <c r="P284" s="66">
        <f t="shared" si="22"/>
        <v>0</v>
      </c>
      <c r="Q284" s="66"/>
      <c r="R284" s="66">
        <f t="shared" si="23"/>
        <v>28.059508262499996</v>
      </c>
      <c r="S284" s="117"/>
    </row>
    <row r="285" spans="1:19">
      <c r="A285" s="116" t="s">
        <v>626</v>
      </c>
      <c r="B285" s="111" t="s">
        <v>1345</v>
      </c>
      <c r="C285" s="111" t="s">
        <v>1346</v>
      </c>
      <c r="D285" s="112" t="s">
        <v>1347</v>
      </c>
      <c r="E285" s="111" t="s">
        <v>87</v>
      </c>
      <c r="F285" s="112" t="s">
        <v>1603</v>
      </c>
      <c r="G285" s="111" t="s">
        <v>20</v>
      </c>
      <c r="H285" s="111" t="s">
        <v>929</v>
      </c>
      <c r="I285" s="111">
        <v>201509</v>
      </c>
      <c r="J285" s="113">
        <v>-224.14</v>
      </c>
      <c r="K285" s="72">
        <f t="shared" si="24"/>
        <v>42675</v>
      </c>
      <c r="L285" s="67">
        <f t="shared" si="20"/>
        <v>6</v>
      </c>
      <c r="M285" s="114">
        <v>1.4833299999999999E-3</v>
      </c>
      <c r="N285" s="104">
        <f t="shared" si="21"/>
        <v>-1.9948415171999998</v>
      </c>
      <c r="O285" s="66"/>
      <c r="P285" s="66">
        <f t="shared" si="22"/>
        <v>0</v>
      </c>
      <c r="Q285" s="66"/>
      <c r="R285" s="66">
        <f t="shared" si="23"/>
        <v>-3.4296688708333325</v>
      </c>
      <c r="S285" s="117"/>
    </row>
    <row r="286" spans="1:19">
      <c r="A286" s="110" t="s">
        <v>626</v>
      </c>
      <c r="B286" s="111" t="s">
        <v>1438</v>
      </c>
      <c r="C286" s="111" t="s">
        <v>1439</v>
      </c>
      <c r="D286" s="112" t="s">
        <v>1440</v>
      </c>
      <c r="E286" s="111" t="s">
        <v>613</v>
      </c>
      <c r="F286" s="112" t="s">
        <v>398</v>
      </c>
      <c r="G286" s="111" t="s">
        <v>20</v>
      </c>
      <c r="H286" s="111" t="s">
        <v>929</v>
      </c>
      <c r="I286" s="111">
        <v>201509</v>
      </c>
      <c r="J286" s="113">
        <v>-141.41999999999999</v>
      </c>
      <c r="K286" s="72">
        <f t="shared" si="24"/>
        <v>42675</v>
      </c>
      <c r="L286" s="67">
        <f t="shared" si="20"/>
        <v>6</v>
      </c>
      <c r="M286" s="114">
        <v>1.4833299999999999E-3</v>
      </c>
      <c r="N286" s="104">
        <f t="shared" si="21"/>
        <v>-1.2586351715999999</v>
      </c>
      <c r="O286" s="66"/>
      <c r="P286" s="66">
        <f t="shared" si="22"/>
        <v>0</v>
      </c>
      <c r="Q286" s="66"/>
      <c r="R286" s="66">
        <f t="shared" si="23"/>
        <v>-2.1639322374999996</v>
      </c>
      <c r="S286" s="117"/>
    </row>
    <row r="287" spans="1:19">
      <c r="A287" s="116" t="s">
        <v>626</v>
      </c>
      <c r="B287" s="111" t="s">
        <v>1348</v>
      </c>
      <c r="C287" s="111" t="s">
        <v>1349</v>
      </c>
      <c r="D287" s="112" t="s">
        <v>1350</v>
      </c>
      <c r="E287" s="111" t="s">
        <v>209</v>
      </c>
      <c r="F287" s="112" t="s">
        <v>1612</v>
      </c>
      <c r="G287" s="111" t="s">
        <v>20</v>
      </c>
      <c r="H287" s="111" t="s">
        <v>929</v>
      </c>
      <c r="I287" s="111">
        <v>201509</v>
      </c>
      <c r="J287" s="113">
        <v>-109.73</v>
      </c>
      <c r="K287" s="72">
        <f t="shared" si="24"/>
        <v>42675</v>
      </c>
      <c r="L287" s="67">
        <f t="shared" si="20"/>
        <v>6</v>
      </c>
      <c r="M287" s="114">
        <v>1.4833299999999999E-3</v>
      </c>
      <c r="N287" s="104">
        <f t="shared" si="21"/>
        <v>-0.97659480539999999</v>
      </c>
      <c r="O287" s="66"/>
      <c r="P287" s="66">
        <f t="shared" si="22"/>
        <v>0</v>
      </c>
      <c r="Q287" s="66"/>
      <c r="R287" s="66">
        <f t="shared" si="23"/>
        <v>-1.6790290229166664</v>
      </c>
      <c r="S287" s="117"/>
    </row>
    <row r="288" spans="1:19">
      <c r="A288" s="110" t="s">
        <v>626</v>
      </c>
      <c r="B288" s="111" t="s">
        <v>1441</v>
      </c>
      <c r="C288" s="111" t="s">
        <v>1442</v>
      </c>
      <c r="D288" s="112" t="s">
        <v>1443</v>
      </c>
      <c r="E288" s="111" t="s">
        <v>209</v>
      </c>
      <c r="F288" s="112" t="s">
        <v>1612</v>
      </c>
      <c r="G288" s="111" t="s">
        <v>20</v>
      </c>
      <c r="H288" s="111" t="s">
        <v>929</v>
      </c>
      <c r="I288" s="111">
        <v>201509</v>
      </c>
      <c r="J288" s="113">
        <v>-117.09</v>
      </c>
      <c r="K288" s="72">
        <f t="shared" si="24"/>
        <v>42675</v>
      </c>
      <c r="L288" s="67">
        <f t="shared" si="20"/>
        <v>6</v>
      </c>
      <c r="M288" s="114">
        <v>1.4833299999999999E-3</v>
      </c>
      <c r="N288" s="104">
        <f t="shared" si="21"/>
        <v>-1.0420986582</v>
      </c>
      <c r="O288" s="66"/>
      <c r="P288" s="66">
        <f t="shared" si="22"/>
        <v>0</v>
      </c>
      <c r="Q288" s="66"/>
      <c r="R288" s="66">
        <f t="shared" si="23"/>
        <v>-1.7916477562499999</v>
      </c>
      <c r="S288" s="117"/>
    </row>
    <row r="289" spans="1:19">
      <c r="A289" s="116" t="s">
        <v>626</v>
      </c>
      <c r="B289" s="111" t="s">
        <v>1452</v>
      </c>
      <c r="C289" s="111" t="s">
        <v>1453</v>
      </c>
      <c r="D289" s="112" t="s">
        <v>1454</v>
      </c>
      <c r="E289" s="111" t="s">
        <v>93</v>
      </c>
      <c r="F289" s="112" t="s">
        <v>1601</v>
      </c>
      <c r="G289" s="111" t="s">
        <v>20</v>
      </c>
      <c r="H289" s="111" t="s">
        <v>929</v>
      </c>
      <c r="I289" s="111">
        <v>201509</v>
      </c>
      <c r="J289" s="113">
        <v>-486.37</v>
      </c>
      <c r="K289" s="72">
        <f t="shared" si="24"/>
        <v>42675</v>
      </c>
      <c r="L289" s="67">
        <f t="shared" si="20"/>
        <v>6</v>
      </c>
      <c r="M289" s="114">
        <v>1.4833299999999999E-3</v>
      </c>
      <c r="N289" s="104">
        <f t="shared" si="21"/>
        <v>-4.3286832726000002</v>
      </c>
      <c r="O289" s="66"/>
      <c r="P289" s="66">
        <f t="shared" si="22"/>
        <v>0</v>
      </c>
      <c r="Q289" s="66"/>
      <c r="R289" s="66">
        <f t="shared" si="23"/>
        <v>-7.4421702895833324</v>
      </c>
      <c r="S289" s="117"/>
    </row>
    <row r="290" spans="1:19">
      <c r="A290" s="116" t="s">
        <v>21</v>
      </c>
      <c r="B290" s="111" t="s">
        <v>1588</v>
      </c>
      <c r="C290" s="111" t="s">
        <v>1589</v>
      </c>
      <c r="D290" s="112" t="s">
        <v>1590</v>
      </c>
      <c r="E290" s="111" t="s">
        <v>209</v>
      </c>
      <c r="F290" s="112" t="s">
        <v>1612</v>
      </c>
      <c r="G290" s="111" t="s">
        <v>20</v>
      </c>
      <c r="H290" s="111" t="s">
        <v>929</v>
      </c>
      <c r="I290" s="111">
        <v>201509</v>
      </c>
      <c r="J290" s="113">
        <v>-104.01</v>
      </c>
      <c r="K290" s="72">
        <f t="shared" si="24"/>
        <v>42675</v>
      </c>
      <c r="L290" s="67">
        <f t="shared" si="20"/>
        <v>6</v>
      </c>
      <c r="M290" s="114">
        <v>1.4833299999999999E-3</v>
      </c>
      <c r="N290" s="104">
        <f t="shared" si="21"/>
        <v>-0.92568691980000006</v>
      </c>
      <c r="O290" s="66"/>
      <c r="P290" s="66">
        <f t="shared" si="22"/>
        <v>0</v>
      </c>
      <c r="Q290" s="66"/>
      <c r="R290" s="66">
        <f t="shared" si="23"/>
        <v>-1.5915046812499998</v>
      </c>
      <c r="S290" s="117"/>
    </row>
    <row r="291" spans="1:19">
      <c r="A291" s="110" t="s">
        <v>626</v>
      </c>
      <c r="B291" s="111" t="s">
        <v>1591</v>
      </c>
      <c r="C291" s="111" t="s">
        <v>1592</v>
      </c>
      <c r="D291" s="112" t="s">
        <v>1593</v>
      </c>
      <c r="E291" s="111" t="s">
        <v>93</v>
      </c>
      <c r="F291" s="112" t="s">
        <v>1601</v>
      </c>
      <c r="G291" s="111" t="s">
        <v>20</v>
      </c>
      <c r="H291" s="111" t="s">
        <v>929</v>
      </c>
      <c r="I291" s="111">
        <v>201509</v>
      </c>
      <c r="J291" s="113">
        <v>-32.04</v>
      </c>
      <c r="K291" s="72">
        <f t="shared" si="24"/>
        <v>42675</v>
      </c>
      <c r="L291" s="67">
        <f t="shared" si="20"/>
        <v>6</v>
      </c>
      <c r="M291" s="114">
        <v>1.4833299999999999E-3</v>
      </c>
      <c r="N291" s="104">
        <f t="shared" si="21"/>
        <v>-0.28515535920000001</v>
      </c>
      <c r="O291" s="66"/>
      <c r="P291" s="66">
        <f t="shared" si="22"/>
        <v>0</v>
      </c>
      <c r="Q291" s="66"/>
      <c r="R291" s="66">
        <f t="shared" si="23"/>
        <v>-0.4902587249999999</v>
      </c>
      <c r="S291" s="117"/>
    </row>
    <row r="292" spans="1:19">
      <c r="A292" s="110" t="s">
        <v>626</v>
      </c>
      <c r="B292" s="111" t="s">
        <v>1594</v>
      </c>
      <c r="C292" s="111" t="s">
        <v>1595</v>
      </c>
      <c r="D292" s="112" t="s">
        <v>1596</v>
      </c>
      <c r="E292" s="111" t="s">
        <v>87</v>
      </c>
      <c r="F292" s="112" t="s">
        <v>1603</v>
      </c>
      <c r="G292" s="111" t="s">
        <v>20</v>
      </c>
      <c r="H292" s="111" t="s">
        <v>929</v>
      </c>
      <c r="I292" s="111">
        <v>201509</v>
      </c>
      <c r="J292" s="113">
        <v>-7.45</v>
      </c>
      <c r="K292" s="72">
        <f t="shared" si="24"/>
        <v>42675</v>
      </c>
      <c r="L292" s="67">
        <f t="shared" si="20"/>
        <v>6</v>
      </c>
      <c r="M292" s="114">
        <v>1.4833299999999999E-3</v>
      </c>
      <c r="N292" s="104">
        <f t="shared" si="21"/>
        <v>-6.6304850999999998E-2</v>
      </c>
      <c r="O292" s="66"/>
      <c r="P292" s="66">
        <f t="shared" si="22"/>
        <v>0</v>
      </c>
      <c r="Q292" s="66"/>
      <c r="R292" s="66">
        <f t="shared" si="23"/>
        <v>-0.11399586458333333</v>
      </c>
      <c r="S292" s="117"/>
    </row>
    <row r="293" spans="1:19">
      <c r="A293" s="110" t="s">
        <v>626</v>
      </c>
      <c r="B293" s="111" t="s">
        <v>1643</v>
      </c>
      <c r="C293" s="111" t="s">
        <v>1644</v>
      </c>
      <c r="D293" s="112" t="s">
        <v>1645</v>
      </c>
      <c r="E293" s="111" t="s">
        <v>209</v>
      </c>
      <c r="F293" s="112" t="s">
        <v>1612</v>
      </c>
      <c r="G293" s="111" t="s">
        <v>20</v>
      </c>
      <c r="H293" s="111" t="s">
        <v>929</v>
      </c>
      <c r="I293" s="111">
        <v>201509</v>
      </c>
      <c r="J293" s="113">
        <v>-0.64</v>
      </c>
      <c r="K293" s="72">
        <f t="shared" si="24"/>
        <v>42675</v>
      </c>
      <c r="L293" s="67">
        <f t="shared" si="20"/>
        <v>6</v>
      </c>
      <c r="M293" s="114">
        <v>1.4833299999999999E-3</v>
      </c>
      <c r="N293" s="104">
        <f t="shared" si="21"/>
        <v>-5.6959872000000005E-3</v>
      </c>
      <c r="O293" s="66"/>
      <c r="P293" s="66">
        <f t="shared" si="22"/>
        <v>0</v>
      </c>
      <c r="Q293" s="66"/>
      <c r="R293" s="66">
        <f t="shared" si="23"/>
        <v>-9.7929333333333334E-3</v>
      </c>
      <c r="S293" s="117"/>
    </row>
    <row r="294" spans="1:19">
      <c r="A294" s="110" t="s">
        <v>626</v>
      </c>
      <c r="B294" s="111" t="s">
        <v>1649</v>
      </c>
      <c r="C294" s="111" t="s">
        <v>1650</v>
      </c>
      <c r="D294" s="112" t="s">
        <v>1651</v>
      </c>
      <c r="E294" s="111" t="s">
        <v>209</v>
      </c>
      <c r="F294" s="112" t="s">
        <v>1612</v>
      </c>
      <c r="G294" s="111" t="s">
        <v>20</v>
      </c>
      <c r="H294" s="111" t="s">
        <v>929</v>
      </c>
      <c r="I294" s="111">
        <v>201509</v>
      </c>
      <c r="J294" s="113">
        <v>-31.9</v>
      </c>
      <c r="K294" s="72">
        <f t="shared" si="24"/>
        <v>42675</v>
      </c>
      <c r="L294" s="67">
        <f t="shared" si="20"/>
        <v>6</v>
      </c>
      <c r="M294" s="114">
        <v>1.4833299999999999E-3</v>
      </c>
      <c r="N294" s="104">
        <f t="shared" si="21"/>
        <v>-0.283909362</v>
      </c>
      <c r="O294" s="66"/>
      <c r="P294" s="66">
        <f t="shared" si="22"/>
        <v>0</v>
      </c>
      <c r="Q294" s="66"/>
      <c r="R294" s="66">
        <f t="shared" si="23"/>
        <v>-0.48811652083333323</v>
      </c>
      <c r="S294" s="117"/>
    </row>
    <row r="295" spans="1:19">
      <c r="A295" s="116" t="s">
        <v>626</v>
      </c>
      <c r="B295" s="111" t="s">
        <v>1658</v>
      </c>
      <c r="C295" s="111" t="s">
        <v>1659</v>
      </c>
      <c r="D295" s="112" t="s">
        <v>1660</v>
      </c>
      <c r="E295" s="111" t="s">
        <v>209</v>
      </c>
      <c r="F295" s="112" t="s">
        <v>1612</v>
      </c>
      <c r="G295" s="111" t="s">
        <v>20</v>
      </c>
      <c r="H295" s="111" t="s">
        <v>929</v>
      </c>
      <c r="I295" s="111">
        <v>201509</v>
      </c>
      <c r="J295" s="113">
        <v>-6.36</v>
      </c>
      <c r="K295" s="72">
        <f t="shared" si="24"/>
        <v>42675</v>
      </c>
      <c r="L295" s="67">
        <f t="shared" si="20"/>
        <v>6</v>
      </c>
      <c r="M295" s="114">
        <v>1.4833299999999999E-3</v>
      </c>
      <c r="N295" s="104">
        <f t="shared" si="21"/>
        <v>-5.6603872800000003E-2</v>
      </c>
      <c r="O295" s="66"/>
      <c r="P295" s="66">
        <f t="shared" si="22"/>
        <v>0</v>
      </c>
      <c r="Q295" s="66"/>
      <c r="R295" s="66">
        <f t="shared" si="23"/>
        <v>-9.7317274999999995E-2</v>
      </c>
      <c r="S295" s="117"/>
    </row>
    <row r="296" spans="1:19">
      <c r="A296" s="110" t="s">
        <v>21</v>
      </c>
      <c r="B296" s="111" t="s">
        <v>1664</v>
      </c>
      <c r="C296" s="111" t="s">
        <v>1665</v>
      </c>
      <c r="D296" s="112" t="s">
        <v>1666</v>
      </c>
      <c r="E296" s="111" t="s">
        <v>87</v>
      </c>
      <c r="F296" s="112" t="s">
        <v>1603</v>
      </c>
      <c r="G296" s="111" t="s">
        <v>20</v>
      </c>
      <c r="H296" s="111" t="s">
        <v>929</v>
      </c>
      <c r="I296" s="111">
        <v>201509</v>
      </c>
      <c r="J296" s="113">
        <v>-8950.44</v>
      </c>
      <c r="K296" s="72">
        <f t="shared" si="24"/>
        <v>42675</v>
      </c>
      <c r="L296" s="67">
        <f t="shared" si="20"/>
        <v>6</v>
      </c>
      <c r="M296" s="114">
        <v>1.4833299999999999E-3</v>
      </c>
      <c r="N296" s="104">
        <f t="shared" si="21"/>
        <v>-79.658736991200001</v>
      </c>
      <c r="O296" s="66"/>
      <c r="P296" s="66">
        <f t="shared" si="22"/>
        <v>0</v>
      </c>
      <c r="Q296" s="66"/>
      <c r="R296" s="66">
        <f t="shared" si="23"/>
        <v>-136.954784725</v>
      </c>
      <c r="S296" s="117"/>
    </row>
    <row r="297" spans="1:19">
      <c r="A297" s="110" t="s">
        <v>21</v>
      </c>
      <c r="B297" s="111" t="s">
        <v>1667</v>
      </c>
      <c r="C297" s="111" t="s">
        <v>1668</v>
      </c>
      <c r="D297" s="112" t="s">
        <v>1651</v>
      </c>
      <c r="E297" s="111" t="s">
        <v>209</v>
      </c>
      <c r="F297" s="112" t="s">
        <v>1612</v>
      </c>
      <c r="G297" s="111" t="s">
        <v>20</v>
      </c>
      <c r="H297" s="111" t="s">
        <v>929</v>
      </c>
      <c r="I297" s="111">
        <v>201509</v>
      </c>
      <c r="J297" s="113">
        <v>-130.99</v>
      </c>
      <c r="K297" s="72">
        <f t="shared" si="24"/>
        <v>42675</v>
      </c>
      <c r="L297" s="67">
        <f t="shared" si="20"/>
        <v>6</v>
      </c>
      <c r="M297" s="114">
        <v>1.4833299999999999E-3</v>
      </c>
      <c r="N297" s="104">
        <f t="shared" si="21"/>
        <v>-1.1658083802000001</v>
      </c>
      <c r="O297" s="66"/>
      <c r="P297" s="66">
        <f t="shared" si="22"/>
        <v>0</v>
      </c>
      <c r="Q297" s="66"/>
      <c r="R297" s="66">
        <f t="shared" si="23"/>
        <v>-2.0043380270833331</v>
      </c>
      <c r="S297" s="117"/>
    </row>
    <row r="298" spans="1:19">
      <c r="A298" s="110" t="s">
        <v>626</v>
      </c>
      <c r="B298" s="111" t="s">
        <v>1669</v>
      </c>
      <c r="C298" s="111" t="s">
        <v>1670</v>
      </c>
      <c r="D298" s="112" t="s">
        <v>1671</v>
      </c>
      <c r="E298" s="111" t="s">
        <v>415</v>
      </c>
      <c r="F298" s="112" t="s">
        <v>88</v>
      </c>
      <c r="G298" s="111" t="s">
        <v>20</v>
      </c>
      <c r="H298" s="111" t="s">
        <v>929</v>
      </c>
      <c r="I298" s="111">
        <v>201509</v>
      </c>
      <c r="J298" s="113">
        <v>-3798.95</v>
      </c>
      <c r="K298" s="72">
        <f t="shared" si="24"/>
        <v>42675</v>
      </c>
      <c r="L298" s="67">
        <f t="shared" si="20"/>
        <v>6</v>
      </c>
      <c r="M298" s="114">
        <v>1.4833299999999999E-3</v>
      </c>
      <c r="N298" s="104">
        <f t="shared" si="21"/>
        <v>-33.810579020999995</v>
      </c>
      <c r="O298" s="66"/>
      <c r="P298" s="66">
        <f t="shared" si="22"/>
        <v>0</v>
      </c>
      <c r="Q298" s="66"/>
      <c r="R298" s="66">
        <f t="shared" si="23"/>
        <v>-58.129475135416655</v>
      </c>
      <c r="S298" s="117"/>
    </row>
    <row r="299" spans="1:19">
      <c r="A299" s="110" t="s">
        <v>14</v>
      </c>
      <c r="B299" s="111" t="s">
        <v>1570</v>
      </c>
      <c r="C299" s="111" t="s">
        <v>1571</v>
      </c>
      <c r="D299" s="112" t="s">
        <v>1572</v>
      </c>
      <c r="E299" s="111" t="s">
        <v>1573</v>
      </c>
      <c r="F299" s="112" t="s">
        <v>835</v>
      </c>
      <c r="G299" s="111" t="s">
        <v>20</v>
      </c>
      <c r="H299" s="111" t="s">
        <v>937</v>
      </c>
      <c r="I299" s="111">
        <v>201509</v>
      </c>
      <c r="J299" s="113">
        <v>-1.82</v>
      </c>
      <c r="K299" s="72">
        <f t="shared" si="24"/>
        <v>42675</v>
      </c>
      <c r="L299" s="67">
        <f t="shared" si="20"/>
        <v>6</v>
      </c>
      <c r="M299" s="114">
        <v>2.23333E-3</v>
      </c>
      <c r="N299" s="104">
        <f t="shared" si="21"/>
        <v>-2.43879636E-2</v>
      </c>
      <c r="O299" s="66"/>
      <c r="P299" s="66">
        <f t="shared" si="22"/>
        <v>0</v>
      </c>
      <c r="Q299" s="66"/>
      <c r="R299" s="66">
        <f t="shared" si="23"/>
        <v>-2.7848654166666667E-2</v>
      </c>
      <c r="S299" s="117"/>
    </row>
    <row r="300" spans="1:19">
      <c r="A300" s="110" t="s">
        <v>14</v>
      </c>
      <c r="B300" s="111" t="s">
        <v>1574</v>
      </c>
      <c r="C300" s="111" t="s">
        <v>1575</v>
      </c>
      <c r="D300" s="112" t="s">
        <v>1576</v>
      </c>
      <c r="E300" s="111" t="s">
        <v>834</v>
      </c>
      <c r="F300" s="112" t="s">
        <v>835</v>
      </c>
      <c r="G300" s="111" t="s">
        <v>20</v>
      </c>
      <c r="H300" s="111" t="s">
        <v>937</v>
      </c>
      <c r="I300" s="111">
        <v>201509</v>
      </c>
      <c r="J300" s="113">
        <v>-137.71</v>
      </c>
      <c r="K300" s="72">
        <f t="shared" si="24"/>
        <v>42675</v>
      </c>
      <c r="L300" s="67">
        <f t="shared" si="20"/>
        <v>6</v>
      </c>
      <c r="M300" s="114">
        <v>2.23333E-3</v>
      </c>
      <c r="N300" s="104">
        <f t="shared" si="21"/>
        <v>-1.8453112458000001</v>
      </c>
      <c r="O300" s="66"/>
      <c r="P300" s="66">
        <f t="shared" si="22"/>
        <v>0</v>
      </c>
      <c r="Q300" s="66"/>
      <c r="R300" s="66">
        <f t="shared" si="23"/>
        <v>-2.1071638270833333</v>
      </c>
      <c r="S300" s="117"/>
    </row>
    <row r="301" spans="1:19">
      <c r="A301" s="110" t="s">
        <v>14</v>
      </c>
      <c r="B301" s="111" t="s">
        <v>1458</v>
      </c>
      <c r="C301" s="111" t="s">
        <v>1459</v>
      </c>
      <c r="D301" s="112" t="s">
        <v>1460</v>
      </c>
      <c r="E301" s="111" t="s">
        <v>834</v>
      </c>
      <c r="F301" s="112" t="s">
        <v>835</v>
      </c>
      <c r="G301" s="111" t="s">
        <v>20</v>
      </c>
      <c r="H301" s="111" t="s">
        <v>937</v>
      </c>
      <c r="I301" s="111">
        <v>201509</v>
      </c>
      <c r="J301" s="113">
        <v>-2.4</v>
      </c>
      <c r="K301" s="72">
        <f t="shared" si="24"/>
        <v>42675</v>
      </c>
      <c r="L301" s="67">
        <f t="shared" si="20"/>
        <v>6</v>
      </c>
      <c r="M301" s="114">
        <v>2.23333E-3</v>
      </c>
      <c r="N301" s="104">
        <f t="shared" si="21"/>
        <v>-3.2159951999999999E-2</v>
      </c>
      <c r="O301" s="66"/>
      <c r="P301" s="66">
        <f t="shared" si="22"/>
        <v>0</v>
      </c>
      <c r="Q301" s="66"/>
      <c r="R301" s="66">
        <f t="shared" si="23"/>
        <v>-3.6723499999999992E-2</v>
      </c>
      <c r="S301" s="117"/>
    </row>
    <row r="302" spans="1:19">
      <c r="A302" s="110" t="s">
        <v>14</v>
      </c>
      <c r="B302" s="111" t="s">
        <v>1060</v>
      </c>
      <c r="C302" s="111" t="s">
        <v>1061</v>
      </c>
      <c r="D302" s="112" t="s">
        <v>1062</v>
      </c>
      <c r="E302" s="111" t="s">
        <v>834</v>
      </c>
      <c r="F302" s="112" t="s">
        <v>835</v>
      </c>
      <c r="G302" s="111" t="s">
        <v>20</v>
      </c>
      <c r="H302" s="111" t="s">
        <v>937</v>
      </c>
      <c r="I302" s="111">
        <v>201509</v>
      </c>
      <c r="J302" s="113">
        <v>-10.62</v>
      </c>
      <c r="K302" s="72">
        <f t="shared" si="24"/>
        <v>42675</v>
      </c>
      <c r="L302" s="67">
        <f t="shared" si="20"/>
        <v>6</v>
      </c>
      <c r="M302" s="114">
        <v>2.23333E-3</v>
      </c>
      <c r="N302" s="104">
        <f t="shared" si="21"/>
        <v>-0.14230778759999999</v>
      </c>
      <c r="O302" s="66"/>
      <c r="P302" s="66">
        <f t="shared" si="22"/>
        <v>0</v>
      </c>
      <c r="Q302" s="66"/>
      <c r="R302" s="66">
        <f t="shared" si="23"/>
        <v>-0.16250148749999996</v>
      </c>
      <c r="S302" s="117"/>
    </row>
    <row r="303" spans="1:19">
      <c r="A303" s="110" t="s">
        <v>14</v>
      </c>
      <c r="B303" s="111" t="s">
        <v>1392</v>
      </c>
      <c r="C303" s="111" t="s">
        <v>1393</v>
      </c>
      <c r="D303" s="112" t="s">
        <v>1394</v>
      </c>
      <c r="E303" s="111" t="s">
        <v>834</v>
      </c>
      <c r="F303" s="112" t="s">
        <v>835</v>
      </c>
      <c r="G303" s="111" t="s">
        <v>20</v>
      </c>
      <c r="H303" s="111" t="s">
        <v>937</v>
      </c>
      <c r="I303" s="111">
        <v>201509</v>
      </c>
      <c r="J303" s="113">
        <v>5.82</v>
      </c>
      <c r="K303" s="72">
        <f t="shared" si="24"/>
        <v>42675</v>
      </c>
      <c r="L303" s="67">
        <f t="shared" si="20"/>
        <v>6</v>
      </c>
      <c r="M303" s="114">
        <v>2.23333E-3</v>
      </c>
      <c r="N303" s="104">
        <f t="shared" si="21"/>
        <v>7.7987883600000002E-2</v>
      </c>
      <c r="O303" s="66"/>
      <c r="P303" s="66">
        <f t="shared" si="22"/>
        <v>0</v>
      </c>
      <c r="Q303" s="66"/>
      <c r="R303" s="66">
        <f t="shared" si="23"/>
        <v>8.9054487499999987E-2</v>
      </c>
      <c r="S303" s="117"/>
    </row>
    <row r="304" spans="1:19" ht="15.75" thickBot="1">
      <c r="A304" s="110" t="s">
        <v>14</v>
      </c>
      <c r="B304" s="111" t="s">
        <v>1661</v>
      </c>
      <c r="C304" s="111" t="s">
        <v>1662</v>
      </c>
      <c r="D304" s="112" t="s">
        <v>1663</v>
      </c>
      <c r="E304" s="111" t="s">
        <v>284</v>
      </c>
      <c r="F304" s="112" t="s">
        <v>285</v>
      </c>
      <c r="G304" s="111" t="s">
        <v>20</v>
      </c>
      <c r="H304" s="111" t="s">
        <v>937</v>
      </c>
      <c r="I304" s="111">
        <v>201509</v>
      </c>
      <c r="J304" s="113">
        <v>1319.82</v>
      </c>
      <c r="K304" s="72">
        <f t="shared" si="24"/>
        <v>42675</v>
      </c>
      <c r="L304" s="67">
        <f t="shared" si="20"/>
        <v>6</v>
      </c>
      <c r="M304" s="114">
        <v>2.23333E-3</v>
      </c>
      <c r="N304" s="104">
        <f t="shared" si="21"/>
        <v>17.685561603599997</v>
      </c>
      <c r="O304" s="66"/>
      <c r="P304" s="66">
        <f t="shared" si="22"/>
        <v>0</v>
      </c>
      <c r="Q304" s="66"/>
      <c r="R304" s="66">
        <f t="shared" si="23"/>
        <v>20.195170737499996</v>
      </c>
      <c r="S304" s="117"/>
    </row>
    <row r="305" spans="1:19" ht="34.5" customHeight="1">
      <c r="A305" s="110"/>
      <c r="B305" s="111"/>
      <c r="C305" s="111"/>
      <c r="D305" s="112"/>
      <c r="E305" s="111"/>
      <c r="F305" s="112"/>
      <c r="G305" s="111"/>
      <c r="H305" s="111"/>
      <c r="I305" s="111"/>
      <c r="J305" s="119" t="s">
        <v>1702</v>
      </c>
      <c r="K305" s="120"/>
      <c r="L305" s="121"/>
      <c r="M305" s="122"/>
      <c r="N305" s="123"/>
      <c r="O305" s="66"/>
      <c r="P305" s="61">
        <v>0</v>
      </c>
      <c r="Q305" s="129"/>
      <c r="R305" s="61">
        <v>7.2190000000000004E-2</v>
      </c>
      <c r="S305" s="117"/>
    </row>
    <row r="306" spans="1:19">
      <c r="A306" s="110" t="s">
        <v>14</v>
      </c>
      <c r="B306" s="111" t="s">
        <v>30</v>
      </c>
      <c r="C306" s="111" t="s">
        <v>31</v>
      </c>
      <c r="D306" s="112" t="s">
        <v>32</v>
      </c>
      <c r="E306" s="111" t="s">
        <v>33</v>
      </c>
      <c r="F306" s="112" t="s">
        <v>34</v>
      </c>
      <c r="G306" s="111" t="s">
        <v>20</v>
      </c>
      <c r="H306" s="111" t="s">
        <v>933</v>
      </c>
      <c r="I306" s="111">
        <v>201510</v>
      </c>
      <c r="J306" s="113">
        <v>2003.4</v>
      </c>
      <c r="K306" s="72">
        <v>42675</v>
      </c>
      <c r="L306" s="67">
        <f t="shared" si="20"/>
        <v>6</v>
      </c>
      <c r="M306" s="114">
        <v>2.23333E-3</v>
      </c>
      <c r="N306" s="104">
        <f t="shared" si="21"/>
        <v>26.845519931999998</v>
      </c>
      <c r="O306" s="66"/>
      <c r="P306" s="66">
        <f>($P$305*J306*$U$11)</f>
        <v>0</v>
      </c>
      <c r="Q306" s="66"/>
      <c r="R306" s="66">
        <f>($R$305*0.5*J306*$U$11)</f>
        <v>33.143331375000002</v>
      </c>
      <c r="S306" s="117"/>
    </row>
    <row r="307" spans="1:19">
      <c r="A307" s="110" t="s">
        <v>14</v>
      </c>
      <c r="B307" s="111" t="s">
        <v>37</v>
      </c>
      <c r="C307" s="111" t="s">
        <v>38</v>
      </c>
      <c r="D307" s="112" t="s">
        <v>39</v>
      </c>
      <c r="E307" s="111" t="s">
        <v>40</v>
      </c>
      <c r="F307" s="112" t="s">
        <v>41</v>
      </c>
      <c r="G307" s="111" t="s">
        <v>20</v>
      </c>
      <c r="H307" s="111" t="s">
        <v>933</v>
      </c>
      <c r="I307" s="111">
        <v>201510</v>
      </c>
      <c r="J307" s="113">
        <v>499624.63</v>
      </c>
      <c r="K307" s="72">
        <f t="shared" si="24"/>
        <v>42675</v>
      </c>
      <c r="L307" s="67">
        <f t="shared" si="20"/>
        <v>6</v>
      </c>
      <c r="M307" s="114">
        <v>2.23333E-3</v>
      </c>
      <c r="N307" s="104">
        <f t="shared" si="21"/>
        <v>6694.9600495073992</v>
      </c>
      <c r="O307" s="66"/>
      <c r="P307" s="66">
        <f t="shared" ref="P307:P370" si="25">($P$305*J307*$U$11)</f>
        <v>0</v>
      </c>
      <c r="Q307" s="66"/>
      <c r="R307" s="66">
        <f t="shared" ref="R307:R370" si="26">($R$305*0.5*J307*$U$11)</f>
        <v>8265.5608840979185</v>
      </c>
      <c r="S307" s="117"/>
    </row>
    <row r="308" spans="1:19">
      <c r="A308" s="110" t="s">
        <v>14</v>
      </c>
      <c r="B308" s="111" t="s">
        <v>43</v>
      </c>
      <c r="C308" s="111" t="s">
        <v>44</v>
      </c>
      <c r="D308" s="112" t="s">
        <v>45</v>
      </c>
      <c r="E308" s="111" t="s">
        <v>46</v>
      </c>
      <c r="F308" s="112" t="s">
        <v>41</v>
      </c>
      <c r="G308" s="111" t="s">
        <v>20</v>
      </c>
      <c r="H308" s="111" t="s">
        <v>933</v>
      </c>
      <c r="I308" s="111">
        <v>201510</v>
      </c>
      <c r="J308" s="113">
        <v>8060.87</v>
      </c>
      <c r="K308" s="72">
        <f t="shared" si="24"/>
        <v>42675</v>
      </c>
      <c r="L308" s="67">
        <f t="shared" si="20"/>
        <v>6</v>
      </c>
      <c r="M308" s="114">
        <v>2.23333E-3</v>
      </c>
      <c r="N308" s="104">
        <f t="shared" si="21"/>
        <v>108.0154967826</v>
      </c>
      <c r="O308" s="66"/>
      <c r="P308" s="66">
        <f t="shared" si="25"/>
        <v>0</v>
      </c>
      <c r="Q308" s="66"/>
      <c r="R308" s="66">
        <f t="shared" si="26"/>
        <v>133.35533871458333</v>
      </c>
      <c r="S308" s="117"/>
    </row>
    <row r="309" spans="1:19">
      <c r="A309" s="116" t="s">
        <v>990</v>
      </c>
      <c r="B309" s="111" t="s">
        <v>991</v>
      </c>
      <c r="C309" s="111" t="s">
        <v>992</v>
      </c>
      <c r="D309" s="112" t="s">
        <v>993</v>
      </c>
      <c r="E309" s="111" t="s">
        <v>994</v>
      </c>
      <c r="F309" s="112" t="s">
        <v>995</v>
      </c>
      <c r="G309" s="111" t="s">
        <v>20</v>
      </c>
      <c r="H309" s="111" t="s">
        <v>933</v>
      </c>
      <c r="I309" s="111">
        <v>201510</v>
      </c>
      <c r="J309" s="113">
        <v>5681.44</v>
      </c>
      <c r="K309" s="72">
        <f t="shared" si="24"/>
        <v>42675</v>
      </c>
      <c r="L309" s="67">
        <f t="shared" si="20"/>
        <v>6</v>
      </c>
      <c r="M309" s="114">
        <v>2.0333333000000001E-3</v>
      </c>
      <c r="N309" s="104">
        <f t="shared" si="21"/>
        <v>69.313566863711998</v>
      </c>
      <c r="O309" s="66"/>
      <c r="P309" s="66">
        <f t="shared" si="25"/>
        <v>0</v>
      </c>
      <c r="Q309" s="66"/>
      <c r="R309" s="66">
        <f t="shared" si="26"/>
        <v>93.991139366666658</v>
      </c>
      <c r="S309" s="117"/>
    </row>
    <row r="310" spans="1:19">
      <c r="A310" s="116" t="s">
        <v>990</v>
      </c>
      <c r="B310" s="111" t="s">
        <v>996</v>
      </c>
      <c r="C310" s="111" t="s">
        <v>997</v>
      </c>
      <c r="D310" s="112" t="s">
        <v>998</v>
      </c>
      <c r="E310" s="111" t="s">
        <v>999</v>
      </c>
      <c r="F310" s="112" t="s">
        <v>995</v>
      </c>
      <c r="G310" s="111" t="s">
        <v>20</v>
      </c>
      <c r="H310" s="111" t="s">
        <v>933</v>
      </c>
      <c r="I310" s="111">
        <v>201510</v>
      </c>
      <c r="J310" s="113">
        <v>2135.64</v>
      </c>
      <c r="K310" s="72">
        <f t="shared" si="24"/>
        <v>42675</v>
      </c>
      <c r="L310" s="67">
        <f t="shared" si="20"/>
        <v>6</v>
      </c>
      <c r="M310" s="114">
        <v>2.0333333000000001E-3</v>
      </c>
      <c r="N310" s="104">
        <f t="shared" si="21"/>
        <v>26.054807572871997</v>
      </c>
      <c r="O310" s="66"/>
      <c r="P310" s="66">
        <f t="shared" si="25"/>
        <v>0</v>
      </c>
      <c r="Q310" s="66"/>
      <c r="R310" s="66">
        <f t="shared" si="26"/>
        <v>35.331049324999995</v>
      </c>
      <c r="S310" s="117"/>
    </row>
    <row r="311" spans="1:19">
      <c r="A311" s="116" t="s">
        <v>990</v>
      </c>
      <c r="B311" s="111" t="s">
        <v>1000</v>
      </c>
      <c r="C311" s="111" t="s">
        <v>1001</v>
      </c>
      <c r="D311" s="112" t="s">
        <v>1672</v>
      </c>
      <c r="E311" s="111" t="s">
        <v>1002</v>
      </c>
      <c r="F311" s="112" t="s">
        <v>1604</v>
      </c>
      <c r="G311" s="111" t="s">
        <v>20</v>
      </c>
      <c r="H311" s="111" t="s">
        <v>933</v>
      </c>
      <c r="I311" s="111">
        <v>201510</v>
      </c>
      <c r="J311" s="113">
        <v>8494.4</v>
      </c>
      <c r="K311" s="72">
        <f t="shared" si="24"/>
        <v>42675</v>
      </c>
      <c r="L311" s="67">
        <f t="shared" si="20"/>
        <v>6</v>
      </c>
      <c r="M311" s="114">
        <v>2.0333333000000001E-3</v>
      </c>
      <c r="N311" s="104">
        <f t="shared" si="21"/>
        <v>103.63167830111999</v>
      </c>
      <c r="O311" s="66"/>
      <c r="P311" s="66">
        <f t="shared" si="25"/>
        <v>0</v>
      </c>
      <c r="Q311" s="66"/>
      <c r="R311" s="66">
        <f t="shared" si="26"/>
        <v>140.52746033333332</v>
      </c>
      <c r="S311" s="117"/>
    </row>
    <row r="312" spans="1:19">
      <c r="A312" s="110" t="s">
        <v>14</v>
      </c>
      <c r="B312" s="111" t="s">
        <v>107</v>
      </c>
      <c r="C312" s="111" t="s">
        <v>108</v>
      </c>
      <c r="D312" s="112" t="s">
        <v>109</v>
      </c>
      <c r="E312" s="111" t="s">
        <v>110</v>
      </c>
      <c r="F312" s="112" t="s">
        <v>52</v>
      </c>
      <c r="G312" s="111" t="s">
        <v>20</v>
      </c>
      <c r="H312" s="111" t="s">
        <v>933</v>
      </c>
      <c r="I312" s="111">
        <v>201510</v>
      </c>
      <c r="J312" s="113">
        <v>7149.34</v>
      </c>
      <c r="K312" s="72">
        <f t="shared" si="24"/>
        <v>42675</v>
      </c>
      <c r="L312" s="67">
        <f t="shared" si="20"/>
        <v>6</v>
      </c>
      <c r="M312" s="114">
        <v>2.23333E-3</v>
      </c>
      <c r="N312" s="104">
        <f t="shared" si="21"/>
        <v>95.801013013199992</v>
      </c>
      <c r="O312" s="66"/>
      <c r="P312" s="66">
        <f t="shared" si="25"/>
        <v>0</v>
      </c>
      <c r="Q312" s="66"/>
      <c r="R312" s="66">
        <f t="shared" si="26"/>
        <v>118.27540417916667</v>
      </c>
      <c r="S312" s="117"/>
    </row>
    <row r="313" spans="1:19">
      <c r="A313" s="110" t="s">
        <v>14</v>
      </c>
      <c r="B313" s="111" t="s">
        <v>555</v>
      </c>
      <c r="C313" s="111" t="s">
        <v>556</v>
      </c>
      <c r="D313" s="112" t="s">
        <v>45</v>
      </c>
      <c r="E313" s="111" t="s">
        <v>557</v>
      </c>
      <c r="F313" s="112" t="s">
        <v>41</v>
      </c>
      <c r="G313" s="111" t="s">
        <v>20</v>
      </c>
      <c r="H313" s="111" t="s">
        <v>933</v>
      </c>
      <c r="I313" s="111">
        <v>201510</v>
      </c>
      <c r="J313" s="113">
        <v>94.65</v>
      </c>
      <c r="K313" s="72">
        <f t="shared" si="24"/>
        <v>42675</v>
      </c>
      <c r="L313" s="67">
        <f t="shared" si="20"/>
        <v>6</v>
      </c>
      <c r="M313" s="114">
        <v>2.23333E-3</v>
      </c>
      <c r="N313" s="104">
        <f t="shared" si="21"/>
        <v>1.268308107</v>
      </c>
      <c r="O313" s="66"/>
      <c r="P313" s="66">
        <f t="shared" si="25"/>
        <v>0</v>
      </c>
      <c r="Q313" s="66"/>
      <c r="R313" s="66">
        <f t="shared" si="26"/>
        <v>1.56584621875</v>
      </c>
      <c r="S313" s="117"/>
    </row>
    <row r="314" spans="1:19">
      <c r="A314" s="116" t="s">
        <v>990</v>
      </c>
      <c r="B314" s="111" t="s">
        <v>1003</v>
      </c>
      <c r="C314" s="111" t="s">
        <v>1004</v>
      </c>
      <c r="D314" s="112" t="s">
        <v>1673</v>
      </c>
      <c r="E314" s="111" t="s">
        <v>1006</v>
      </c>
      <c r="F314" s="112" t="s">
        <v>1606</v>
      </c>
      <c r="G314" s="111" t="s">
        <v>20</v>
      </c>
      <c r="H314" s="111" t="s">
        <v>933</v>
      </c>
      <c r="I314" s="111">
        <v>201510</v>
      </c>
      <c r="J314" s="113">
        <v>114443.57</v>
      </c>
      <c r="K314" s="72">
        <f t="shared" si="24"/>
        <v>42675</v>
      </c>
      <c r="L314" s="67">
        <f t="shared" si="20"/>
        <v>6</v>
      </c>
      <c r="M314" s="114">
        <v>2.0333333000000001E-3</v>
      </c>
      <c r="N314" s="104">
        <f t="shared" si="21"/>
        <v>1396.2115311112861</v>
      </c>
      <c r="O314" s="66"/>
      <c r="P314" s="66">
        <f t="shared" si="25"/>
        <v>0</v>
      </c>
      <c r="Q314" s="66"/>
      <c r="R314" s="66">
        <f t="shared" si="26"/>
        <v>1893.3019687770836</v>
      </c>
      <c r="S314" s="117"/>
    </row>
    <row r="315" spans="1:19">
      <c r="A315" s="110" t="s">
        <v>14</v>
      </c>
      <c r="B315" s="111" t="s">
        <v>183</v>
      </c>
      <c r="C315" s="111" t="s">
        <v>184</v>
      </c>
      <c r="D315" s="112" t="s">
        <v>45</v>
      </c>
      <c r="E315" s="111" t="s">
        <v>185</v>
      </c>
      <c r="F315" s="112" t="s">
        <v>41</v>
      </c>
      <c r="G315" s="111" t="s">
        <v>20</v>
      </c>
      <c r="H315" s="111" t="s">
        <v>933</v>
      </c>
      <c r="I315" s="111">
        <v>201510</v>
      </c>
      <c r="J315" s="113">
        <v>37933.22</v>
      </c>
      <c r="K315" s="72">
        <f t="shared" si="24"/>
        <v>42675</v>
      </c>
      <c r="L315" s="67">
        <f t="shared" si="20"/>
        <v>6</v>
      </c>
      <c r="M315" s="114">
        <v>2.23333E-3</v>
      </c>
      <c r="N315" s="104">
        <f t="shared" si="21"/>
        <v>508.30438933559998</v>
      </c>
      <c r="O315" s="66"/>
      <c r="P315" s="66">
        <f t="shared" si="25"/>
        <v>0</v>
      </c>
      <c r="Q315" s="66"/>
      <c r="R315" s="66">
        <f t="shared" si="26"/>
        <v>627.54980562083335</v>
      </c>
      <c r="S315" s="117"/>
    </row>
    <row r="316" spans="1:19">
      <c r="A316" s="110" t="s">
        <v>14</v>
      </c>
      <c r="B316" s="111" t="s">
        <v>195</v>
      </c>
      <c r="C316" s="111" t="s">
        <v>196</v>
      </c>
      <c r="D316" s="112" t="s">
        <v>1674</v>
      </c>
      <c r="E316" s="111" t="s">
        <v>198</v>
      </c>
      <c r="F316" s="112" t="s">
        <v>1610</v>
      </c>
      <c r="G316" s="111" t="s">
        <v>20</v>
      </c>
      <c r="H316" s="111" t="s">
        <v>933</v>
      </c>
      <c r="I316" s="111">
        <v>201510</v>
      </c>
      <c r="J316" s="113">
        <v>169113.56</v>
      </c>
      <c r="K316" s="72">
        <f t="shared" si="24"/>
        <v>42675</v>
      </c>
      <c r="L316" s="67">
        <f t="shared" si="20"/>
        <v>6</v>
      </c>
      <c r="M316" s="114">
        <v>2.23333E-3</v>
      </c>
      <c r="N316" s="104">
        <f t="shared" si="21"/>
        <v>2266.1183217287999</v>
      </c>
      <c r="O316" s="66"/>
      <c r="P316" s="66">
        <f t="shared" si="25"/>
        <v>0</v>
      </c>
      <c r="Q316" s="66"/>
      <c r="R316" s="66">
        <f t="shared" si="26"/>
        <v>2797.7372262583331</v>
      </c>
      <c r="S316" s="117"/>
    </row>
    <row r="317" spans="1:19">
      <c r="A317" s="110" t="s">
        <v>14</v>
      </c>
      <c r="B317" s="111" t="s">
        <v>200</v>
      </c>
      <c r="C317" s="111" t="s">
        <v>201</v>
      </c>
      <c r="D317" s="112" t="s">
        <v>1675</v>
      </c>
      <c r="E317" s="111" t="s">
        <v>202</v>
      </c>
      <c r="F317" s="112" t="s">
        <v>1611</v>
      </c>
      <c r="G317" s="111" t="s">
        <v>20</v>
      </c>
      <c r="H317" s="111" t="s">
        <v>933</v>
      </c>
      <c r="I317" s="111">
        <v>201510</v>
      </c>
      <c r="J317" s="113">
        <v>86684.93</v>
      </c>
      <c r="K317" s="72">
        <f t="shared" si="24"/>
        <v>42675</v>
      </c>
      <c r="L317" s="67">
        <f t="shared" si="20"/>
        <v>6</v>
      </c>
      <c r="M317" s="114">
        <v>2.23333E-3</v>
      </c>
      <c r="N317" s="104">
        <f t="shared" si="21"/>
        <v>1161.5763283013998</v>
      </c>
      <c r="O317" s="66"/>
      <c r="P317" s="66">
        <f t="shared" si="25"/>
        <v>0</v>
      </c>
      <c r="Q317" s="66"/>
      <c r="R317" s="66">
        <f t="shared" si="26"/>
        <v>1434.0757513270833</v>
      </c>
      <c r="S317" s="117"/>
    </row>
    <row r="318" spans="1:19">
      <c r="A318" s="116" t="s">
        <v>990</v>
      </c>
      <c r="B318" s="111" t="s">
        <v>1010</v>
      </c>
      <c r="C318" s="111" t="s">
        <v>1011</v>
      </c>
      <c r="D318" s="112" t="s">
        <v>1012</v>
      </c>
      <c r="E318" s="111" t="s">
        <v>1013</v>
      </c>
      <c r="F318" s="112" t="s">
        <v>995</v>
      </c>
      <c r="G318" s="111" t="s">
        <v>20</v>
      </c>
      <c r="H318" s="111" t="s">
        <v>933</v>
      </c>
      <c r="I318" s="111">
        <v>201510</v>
      </c>
      <c r="J318" s="113">
        <v>2789.65</v>
      </c>
      <c r="K318" s="72">
        <f t="shared" si="24"/>
        <v>42675</v>
      </c>
      <c r="L318" s="67">
        <f t="shared" si="20"/>
        <v>6</v>
      </c>
      <c r="M318" s="114">
        <v>2.0333333000000001E-3</v>
      </c>
      <c r="N318" s="104">
        <f t="shared" si="21"/>
        <v>34.033729442069998</v>
      </c>
      <c r="O318" s="66"/>
      <c r="P318" s="66">
        <f t="shared" si="25"/>
        <v>0</v>
      </c>
      <c r="Q318" s="66"/>
      <c r="R318" s="66">
        <f t="shared" si="26"/>
        <v>46.150691010416665</v>
      </c>
      <c r="S318" s="117"/>
    </row>
    <row r="319" spans="1:19">
      <c r="A319" s="110" t="s">
        <v>14</v>
      </c>
      <c r="B319" s="111" t="s">
        <v>236</v>
      </c>
      <c r="C319" s="111" t="s">
        <v>237</v>
      </c>
      <c r="D319" s="112" t="s">
        <v>188</v>
      </c>
      <c r="E319" s="111" t="s">
        <v>238</v>
      </c>
      <c r="F319" s="112" t="s">
        <v>190</v>
      </c>
      <c r="G319" s="111" t="s">
        <v>20</v>
      </c>
      <c r="H319" s="111" t="s">
        <v>933</v>
      </c>
      <c r="I319" s="111">
        <v>201510</v>
      </c>
      <c r="J319" s="113">
        <v>5498.95</v>
      </c>
      <c r="K319" s="72">
        <f t="shared" si="24"/>
        <v>42675</v>
      </c>
      <c r="L319" s="67">
        <f t="shared" si="20"/>
        <v>6</v>
      </c>
      <c r="M319" s="114">
        <v>2.23333E-3</v>
      </c>
      <c r="N319" s="104">
        <f t="shared" si="21"/>
        <v>73.685820020999998</v>
      </c>
      <c r="O319" s="66"/>
      <c r="P319" s="66">
        <f t="shared" si="25"/>
        <v>0</v>
      </c>
      <c r="Q319" s="66"/>
      <c r="R319" s="66">
        <f t="shared" si="26"/>
        <v>90.972108447916668</v>
      </c>
      <c r="S319" s="117"/>
    </row>
    <row r="320" spans="1:19">
      <c r="A320" s="110" t="s">
        <v>14</v>
      </c>
      <c r="B320" s="111" t="s">
        <v>267</v>
      </c>
      <c r="C320" s="111" t="s">
        <v>268</v>
      </c>
      <c r="D320" s="112" t="s">
        <v>269</v>
      </c>
      <c r="E320" s="111" t="s">
        <v>270</v>
      </c>
      <c r="F320" s="112" t="s">
        <v>115</v>
      </c>
      <c r="G320" s="111" t="s">
        <v>20</v>
      </c>
      <c r="H320" s="111" t="s">
        <v>933</v>
      </c>
      <c r="I320" s="111">
        <v>201510</v>
      </c>
      <c r="J320" s="113">
        <v>20233.86</v>
      </c>
      <c r="K320" s="72">
        <f t="shared" si="24"/>
        <v>42675</v>
      </c>
      <c r="L320" s="67">
        <f t="shared" si="20"/>
        <v>6</v>
      </c>
      <c r="M320" s="114">
        <v>2.23333E-3</v>
      </c>
      <c r="N320" s="104">
        <f t="shared" si="21"/>
        <v>271.13331932279999</v>
      </c>
      <c r="O320" s="66"/>
      <c r="P320" s="66">
        <f t="shared" si="25"/>
        <v>0</v>
      </c>
      <c r="Q320" s="66"/>
      <c r="R320" s="66">
        <f t="shared" si="26"/>
        <v>334.73970598750003</v>
      </c>
      <c r="S320" s="117"/>
    </row>
    <row r="321" spans="1:19">
      <c r="A321" s="110" t="s">
        <v>14</v>
      </c>
      <c r="B321" s="111" t="s">
        <v>271</v>
      </c>
      <c r="C321" s="111" t="s">
        <v>272</v>
      </c>
      <c r="D321" s="112" t="s">
        <v>197</v>
      </c>
      <c r="E321" s="111" t="s">
        <v>273</v>
      </c>
      <c r="F321" s="112" t="s">
        <v>199</v>
      </c>
      <c r="G321" s="111" t="s">
        <v>20</v>
      </c>
      <c r="H321" s="111" t="s">
        <v>933</v>
      </c>
      <c r="I321" s="111">
        <v>201510</v>
      </c>
      <c r="J321" s="113">
        <v>182.25</v>
      </c>
      <c r="K321" s="72">
        <f t="shared" si="24"/>
        <v>42675</v>
      </c>
      <c r="L321" s="67">
        <f t="shared" si="20"/>
        <v>6</v>
      </c>
      <c r="M321" s="114">
        <v>2.23333E-3</v>
      </c>
      <c r="N321" s="104">
        <f t="shared" si="21"/>
        <v>2.4421463549999998</v>
      </c>
      <c r="O321" s="66"/>
      <c r="P321" s="66">
        <f t="shared" si="25"/>
        <v>0</v>
      </c>
      <c r="Q321" s="66"/>
      <c r="R321" s="66">
        <f t="shared" si="26"/>
        <v>3.0150604687500002</v>
      </c>
      <c r="S321" s="117"/>
    </row>
    <row r="322" spans="1:19">
      <c r="A322" s="110" t="s">
        <v>14</v>
      </c>
      <c r="B322" s="111" t="s">
        <v>1676</v>
      </c>
      <c r="C322" s="111" t="s">
        <v>1677</v>
      </c>
      <c r="D322" s="112" t="s">
        <v>50</v>
      </c>
      <c r="E322" s="111" t="s">
        <v>1678</v>
      </c>
      <c r="F322" s="112" t="s">
        <v>52</v>
      </c>
      <c r="G322" s="111" t="s">
        <v>20</v>
      </c>
      <c r="H322" s="111" t="s">
        <v>933</v>
      </c>
      <c r="I322" s="111">
        <v>201510</v>
      </c>
      <c r="J322" s="113">
        <v>1555.31</v>
      </c>
      <c r="K322" s="72">
        <f t="shared" si="24"/>
        <v>42675</v>
      </c>
      <c r="L322" s="67">
        <f t="shared" si="20"/>
        <v>6</v>
      </c>
      <c r="M322" s="114">
        <v>2.23333E-3</v>
      </c>
      <c r="N322" s="104">
        <f t="shared" si="21"/>
        <v>20.841122893799998</v>
      </c>
      <c r="O322" s="66"/>
      <c r="P322" s="66">
        <f t="shared" si="25"/>
        <v>0</v>
      </c>
      <c r="Q322" s="66"/>
      <c r="R322" s="66">
        <f t="shared" si="26"/>
        <v>25.730335789583332</v>
      </c>
      <c r="S322" s="117"/>
    </row>
    <row r="323" spans="1:19">
      <c r="A323" s="116" t="s">
        <v>990</v>
      </c>
      <c r="B323" s="111" t="s">
        <v>1017</v>
      </c>
      <c r="C323" s="111" t="s">
        <v>1018</v>
      </c>
      <c r="D323" s="112" t="s">
        <v>993</v>
      </c>
      <c r="E323" s="111" t="s">
        <v>1019</v>
      </c>
      <c r="F323" s="112" t="s">
        <v>995</v>
      </c>
      <c r="G323" s="111" t="s">
        <v>20</v>
      </c>
      <c r="H323" s="111" t="s">
        <v>933</v>
      </c>
      <c r="I323" s="111">
        <v>201510</v>
      </c>
      <c r="J323" s="113">
        <v>338.56</v>
      </c>
      <c r="K323" s="72">
        <f t="shared" si="24"/>
        <v>42675</v>
      </c>
      <c r="L323" s="67">
        <f t="shared" si="20"/>
        <v>6</v>
      </c>
      <c r="M323" s="114">
        <v>2.0333333000000001E-3</v>
      </c>
      <c r="N323" s="104">
        <f t="shared" si="21"/>
        <v>4.1304319322880003</v>
      </c>
      <c r="O323" s="66"/>
      <c r="P323" s="66">
        <f t="shared" si="25"/>
        <v>0</v>
      </c>
      <c r="Q323" s="66"/>
      <c r="R323" s="66">
        <f t="shared" si="26"/>
        <v>5.6009814666666671</v>
      </c>
      <c r="S323" s="117"/>
    </row>
    <row r="324" spans="1:19">
      <c r="A324" s="110" t="s">
        <v>14</v>
      </c>
      <c r="B324" s="111" t="s">
        <v>292</v>
      </c>
      <c r="C324" s="111" t="s">
        <v>293</v>
      </c>
      <c r="D324" s="112" t="s">
        <v>1679</v>
      </c>
      <c r="E324" s="111" t="s">
        <v>294</v>
      </c>
      <c r="F324" s="112" t="s">
        <v>1613</v>
      </c>
      <c r="G324" s="111" t="s">
        <v>20</v>
      </c>
      <c r="H324" s="111" t="s">
        <v>933</v>
      </c>
      <c r="I324" s="111">
        <v>201510</v>
      </c>
      <c r="J324" s="113">
        <v>62720.88</v>
      </c>
      <c r="K324" s="72">
        <f t="shared" si="24"/>
        <v>42675</v>
      </c>
      <c r="L324" s="67">
        <f t="shared" si="20"/>
        <v>6</v>
      </c>
      <c r="M324" s="114">
        <v>2.23333E-3</v>
      </c>
      <c r="N324" s="104">
        <f t="shared" si="21"/>
        <v>840.45853758239991</v>
      </c>
      <c r="O324" s="66"/>
      <c r="P324" s="66">
        <f t="shared" si="25"/>
        <v>0</v>
      </c>
      <c r="Q324" s="66"/>
      <c r="R324" s="66">
        <f t="shared" si="26"/>
        <v>1037.62549165</v>
      </c>
      <c r="S324" s="117"/>
    </row>
    <row r="325" spans="1:19">
      <c r="A325" s="110" t="s">
        <v>14</v>
      </c>
      <c r="B325" s="111" t="s">
        <v>419</v>
      </c>
      <c r="C325" s="111" t="s">
        <v>420</v>
      </c>
      <c r="D325" s="112" t="s">
        <v>50</v>
      </c>
      <c r="E325" s="111" t="s">
        <v>421</v>
      </c>
      <c r="F325" s="112" t="s">
        <v>52</v>
      </c>
      <c r="G325" s="111" t="s">
        <v>20</v>
      </c>
      <c r="H325" s="111" t="s">
        <v>933</v>
      </c>
      <c r="I325" s="111">
        <v>201510</v>
      </c>
      <c r="J325" s="113">
        <v>2021.93</v>
      </c>
      <c r="K325" s="72">
        <f t="shared" si="24"/>
        <v>42675</v>
      </c>
      <c r="L325" s="67">
        <f t="shared" si="20"/>
        <v>6</v>
      </c>
      <c r="M325" s="114">
        <v>2.23333E-3</v>
      </c>
      <c r="N325" s="104">
        <f t="shared" ref="N325:N389" si="27">M325*L325*J325</f>
        <v>27.093821561399999</v>
      </c>
      <c r="O325" s="66"/>
      <c r="P325" s="66">
        <f t="shared" si="25"/>
        <v>0</v>
      </c>
      <c r="Q325" s="66"/>
      <c r="R325" s="66">
        <f t="shared" si="26"/>
        <v>33.449883202083335</v>
      </c>
      <c r="S325" s="117"/>
    </row>
    <row r="326" spans="1:19">
      <c r="A326" s="116" t="s">
        <v>990</v>
      </c>
      <c r="B326" s="111" t="s">
        <v>1020</v>
      </c>
      <c r="C326" s="111" t="s">
        <v>1021</v>
      </c>
      <c r="D326" s="112" t="s">
        <v>1680</v>
      </c>
      <c r="E326" s="111" t="s">
        <v>1022</v>
      </c>
      <c r="F326" s="112" t="s">
        <v>1614</v>
      </c>
      <c r="G326" s="111" t="s">
        <v>20</v>
      </c>
      <c r="H326" s="111" t="s">
        <v>933</v>
      </c>
      <c r="I326" s="111">
        <v>201510</v>
      </c>
      <c r="J326" s="113">
        <v>2613.58</v>
      </c>
      <c r="K326" s="72">
        <f t="shared" si="24"/>
        <v>42675</v>
      </c>
      <c r="L326" s="67">
        <f t="shared" ref="L326:L389" si="28">((YEAR($L$1)-YEAR(K326))*12+MONTH($L$1)-MONTH(K326))</f>
        <v>6</v>
      </c>
      <c r="M326" s="114">
        <v>2.0333333000000001E-3</v>
      </c>
      <c r="N326" s="104">
        <f t="shared" si="27"/>
        <v>31.885675477284</v>
      </c>
      <c r="O326" s="66"/>
      <c r="P326" s="66">
        <f t="shared" si="25"/>
        <v>0</v>
      </c>
      <c r="Q326" s="66"/>
      <c r="R326" s="66">
        <f t="shared" si="26"/>
        <v>43.237869629166667</v>
      </c>
      <c r="S326" s="117"/>
    </row>
    <row r="327" spans="1:19">
      <c r="A327" s="110" t="s">
        <v>14</v>
      </c>
      <c r="B327" s="111" t="s">
        <v>325</v>
      </c>
      <c r="C327" s="111" t="s">
        <v>326</v>
      </c>
      <c r="D327" s="112" t="s">
        <v>327</v>
      </c>
      <c r="E327" s="111" t="s">
        <v>328</v>
      </c>
      <c r="F327" s="112" t="s">
        <v>58</v>
      </c>
      <c r="G327" s="111" t="s">
        <v>20</v>
      </c>
      <c r="H327" s="111" t="s">
        <v>933</v>
      </c>
      <c r="I327" s="111">
        <v>201510</v>
      </c>
      <c r="J327" s="113">
        <v>7230.07</v>
      </c>
      <c r="K327" s="72">
        <f t="shared" ref="K327:K390" si="29">+K326</f>
        <v>42675</v>
      </c>
      <c r="L327" s="67">
        <f t="shared" si="28"/>
        <v>6</v>
      </c>
      <c r="M327" s="114">
        <v>2.23333E-3</v>
      </c>
      <c r="N327" s="104">
        <f t="shared" si="27"/>
        <v>96.882793398599986</v>
      </c>
      <c r="O327" s="66"/>
      <c r="P327" s="66">
        <f t="shared" si="25"/>
        <v>0</v>
      </c>
      <c r="Q327" s="66"/>
      <c r="R327" s="66">
        <f t="shared" si="26"/>
        <v>119.61096429791667</v>
      </c>
      <c r="S327" s="117"/>
    </row>
    <row r="328" spans="1:19">
      <c r="A328" s="110" t="s">
        <v>626</v>
      </c>
      <c r="B328" s="111" t="e">
        <v>#N/A</v>
      </c>
      <c r="C328" s="111" t="s">
        <v>1703</v>
      </c>
      <c r="D328" s="112" t="s">
        <v>1704</v>
      </c>
      <c r="E328" s="111" t="s">
        <v>164</v>
      </c>
      <c r="F328" s="112" t="s">
        <v>1600</v>
      </c>
      <c r="G328" s="111" t="s">
        <v>20</v>
      </c>
      <c r="H328" s="111" t="s">
        <v>933</v>
      </c>
      <c r="I328" s="111">
        <v>201510</v>
      </c>
      <c r="J328" s="113">
        <v>180392.52</v>
      </c>
      <c r="K328" s="72">
        <f t="shared" si="29"/>
        <v>42675</v>
      </c>
      <c r="L328" s="67">
        <f t="shared" si="28"/>
        <v>6</v>
      </c>
      <c r="M328" s="114">
        <v>1.4833299999999999E-3</v>
      </c>
      <c r="N328" s="104">
        <f t="shared" si="27"/>
        <v>1605.4898201495998</v>
      </c>
      <c r="O328" s="66"/>
      <c r="P328" s="66">
        <f t="shared" si="25"/>
        <v>0</v>
      </c>
      <c r="Q328" s="66"/>
      <c r="R328" s="66">
        <f t="shared" si="26"/>
        <v>2984.3311709749996</v>
      </c>
      <c r="S328" s="117"/>
    </row>
    <row r="329" spans="1:19">
      <c r="A329" s="110" t="s">
        <v>626</v>
      </c>
      <c r="B329" s="111" t="e">
        <v>#N/A</v>
      </c>
      <c r="C329" s="111" t="s">
        <v>1705</v>
      </c>
      <c r="D329" s="112" t="s">
        <v>1706</v>
      </c>
      <c r="E329" s="111" t="s">
        <v>75</v>
      </c>
      <c r="F329" s="112" t="s">
        <v>1602</v>
      </c>
      <c r="G329" s="111" t="s">
        <v>20</v>
      </c>
      <c r="H329" s="111" t="s">
        <v>933</v>
      </c>
      <c r="I329" s="111">
        <v>201510</v>
      </c>
      <c r="J329" s="113">
        <v>20238.009999999998</v>
      </c>
      <c r="K329" s="72">
        <f t="shared" si="29"/>
        <v>42675</v>
      </c>
      <c r="L329" s="67">
        <f t="shared" si="28"/>
        <v>6</v>
      </c>
      <c r="M329" s="114">
        <v>1.4833299999999999E-3</v>
      </c>
      <c r="N329" s="104">
        <f t="shared" si="27"/>
        <v>180.11788423979999</v>
      </c>
      <c r="O329" s="66"/>
      <c r="P329" s="66">
        <f t="shared" si="25"/>
        <v>0</v>
      </c>
      <c r="Q329" s="66"/>
      <c r="R329" s="66">
        <f t="shared" si="26"/>
        <v>334.80836168541668</v>
      </c>
      <c r="S329" s="117"/>
    </row>
    <row r="330" spans="1:19">
      <c r="A330" s="110" t="s">
        <v>626</v>
      </c>
      <c r="B330" s="111" t="e">
        <v>#N/A</v>
      </c>
      <c r="C330" s="111" t="s">
        <v>1707</v>
      </c>
      <c r="D330" s="112" t="s">
        <v>1708</v>
      </c>
      <c r="E330" s="111" t="s">
        <v>75</v>
      </c>
      <c r="F330" s="112" t="s">
        <v>1602</v>
      </c>
      <c r="G330" s="111" t="s">
        <v>20</v>
      </c>
      <c r="H330" s="111" t="s">
        <v>933</v>
      </c>
      <c r="I330" s="111">
        <v>201510</v>
      </c>
      <c r="J330" s="113">
        <v>7119.41</v>
      </c>
      <c r="K330" s="72">
        <f t="shared" si="29"/>
        <v>42675</v>
      </c>
      <c r="L330" s="67">
        <f t="shared" si="28"/>
        <v>6</v>
      </c>
      <c r="M330" s="114">
        <v>1.4833299999999999E-3</v>
      </c>
      <c r="N330" s="104">
        <f t="shared" si="27"/>
        <v>63.362606611799997</v>
      </c>
      <c r="O330" s="66"/>
      <c r="P330" s="66">
        <f t="shared" si="25"/>
        <v>0</v>
      </c>
      <c r="Q330" s="66"/>
      <c r="R330" s="66">
        <f t="shared" si="26"/>
        <v>117.78025597708333</v>
      </c>
      <c r="S330" s="117"/>
    </row>
    <row r="331" spans="1:19">
      <c r="A331" s="110" t="s">
        <v>14</v>
      </c>
      <c r="B331" s="118" t="s">
        <v>1681</v>
      </c>
      <c r="C331" s="111" t="s">
        <v>1682</v>
      </c>
      <c r="D331" s="112" t="s">
        <v>1683</v>
      </c>
      <c r="E331" s="111" t="s">
        <v>198</v>
      </c>
      <c r="F331" s="112" t="s">
        <v>1610</v>
      </c>
      <c r="G331" s="111" t="s">
        <v>20</v>
      </c>
      <c r="H331" s="111" t="s">
        <v>933</v>
      </c>
      <c r="I331" s="111">
        <v>201510</v>
      </c>
      <c r="J331" s="113">
        <v>7069.77</v>
      </c>
      <c r="K331" s="72">
        <f t="shared" si="29"/>
        <v>42675</v>
      </c>
      <c r="L331" s="67">
        <f t="shared" si="28"/>
        <v>6</v>
      </c>
      <c r="M331" s="114">
        <v>2.23333E-3</v>
      </c>
      <c r="N331" s="104">
        <f t="shared" si="27"/>
        <v>94.7347766046</v>
      </c>
      <c r="O331" s="66"/>
      <c r="P331" s="66">
        <f t="shared" si="25"/>
        <v>0</v>
      </c>
      <c r="Q331" s="66"/>
      <c r="R331" s="66">
        <f t="shared" si="26"/>
        <v>116.95903456875001</v>
      </c>
      <c r="S331" s="117"/>
    </row>
    <row r="332" spans="1:19">
      <c r="A332" s="116" t="s">
        <v>554</v>
      </c>
      <c r="B332" s="111" t="s">
        <v>116</v>
      </c>
      <c r="C332" s="111" t="s">
        <v>117</v>
      </c>
      <c r="D332" s="112" t="s">
        <v>118</v>
      </c>
      <c r="E332" s="111" t="s">
        <v>119</v>
      </c>
      <c r="F332" s="112" t="s">
        <v>1605</v>
      </c>
      <c r="G332" s="111" t="s">
        <v>20</v>
      </c>
      <c r="H332" s="111" t="s">
        <v>936</v>
      </c>
      <c r="I332" s="111">
        <v>201510</v>
      </c>
      <c r="J332" s="113">
        <v>156356.03</v>
      </c>
      <c r="K332" s="72">
        <f t="shared" si="29"/>
        <v>42675</v>
      </c>
      <c r="L332" s="67">
        <f t="shared" si="28"/>
        <v>6</v>
      </c>
      <c r="M332" s="114">
        <v>1.4833299999999999E-3</v>
      </c>
      <c r="N332" s="104">
        <f t="shared" si="27"/>
        <v>1391.5655398793999</v>
      </c>
      <c r="O332" s="66"/>
      <c r="P332" s="66">
        <f t="shared" si="25"/>
        <v>0</v>
      </c>
      <c r="Q332" s="66"/>
      <c r="R332" s="66">
        <f t="shared" si="26"/>
        <v>2586.6824971395831</v>
      </c>
      <c r="S332" s="117"/>
    </row>
    <row r="333" spans="1:19">
      <c r="A333" s="116" t="s">
        <v>21</v>
      </c>
      <c r="B333" s="111" t="s">
        <v>1597</v>
      </c>
      <c r="C333" s="111" t="s">
        <v>1598</v>
      </c>
      <c r="D333" s="112" t="s">
        <v>1599</v>
      </c>
      <c r="E333" s="111" t="s">
        <v>164</v>
      </c>
      <c r="F333" s="112" t="s">
        <v>1600</v>
      </c>
      <c r="G333" s="111" t="s">
        <v>20</v>
      </c>
      <c r="H333" s="111" t="s">
        <v>1684</v>
      </c>
      <c r="I333" s="111">
        <v>201510</v>
      </c>
      <c r="J333" s="113">
        <v>480.08</v>
      </c>
      <c r="K333" s="72">
        <f t="shared" si="29"/>
        <v>42675</v>
      </c>
      <c r="L333" s="67">
        <f t="shared" si="28"/>
        <v>6</v>
      </c>
      <c r="M333" s="114">
        <v>1.4833299999999999E-3</v>
      </c>
      <c r="N333" s="104">
        <f t="shared" si="27"/>
        <v>4.2727023983999999</v>
      </c>
      <c r="O333" s="66"/>
      <c r="P333" s="66">
        <f t="shared" si="25"/>
        <v>0</v>
      </c>
      <c r="Q333" s="66"/>
      <c r="R333" s="66">
        <f t="shared" si="26"/>
        <v>7.9422234833333327</v>
      </c>
      <c r="S333" s="117"/>
    </row>
    <row r="334" spans="1:19">
      <c r="A334" s="116" t="s">
        <v>21</v>
      </c>
      <c r="B334" s="111" t="s">
        <v>261</v>
      </c>
      <c r="C334" s="111" t="s">
        <v>262</v>
      </c>
      <c r="D334" s="112" t="s">
        <v>263</v>
      </c>
      <c r="E334" s="111" t="s">
        <v>75</v>
      </c>
      <c r="F334" s="112" t="s">
        <v>1602</v>
      </c>
      <c r="G334" s="111" t="s">
        <v>20</v>
      </c>
      <c r="H334" s="111" t="s">
        <v>1684</v>
      </c>
      <c r="I334" s="111">
        <v>201510</v>
      </c>
      <c r="J334" s="113">
        <v>-400</v>
      </c>
      <c r="K334" s="72">
        <f t="shared" si="29"/>
        <v>42675</v>
      </c>
      <c r="L334" s="67">
        <f t="shared" si="28"/>
        <v>6</v>
      </c>
      <c r="M334" s="114">
        <v>1.4833299999999999E-3</v>
      </c>
      <c r="N334" s="104">
        <f t="shared" si="27"/>
        <v>-3.5599919999999998</v>
      </c>
      <c r="O334" s="66"/>
      <c r="P334" s="66">
        <f t="shared" si="25"/>
        <v>0</v>
      </c>
      <c r="Q334" s="66"/>
      <c r="R334" s="66">
        <f t="shared" si="26"/>
        <v>-6.6174166666666663</v>
      </c>
      <c r="S334" s="117"/>
    </row>
    <row r="335" spans="1:19">
      <c r="A335" s="116" t="s">
        <v>626</v>
      </c>
      <c r="B335" s="111" t="s">
        <v>1250</v>
      </c>
      <c r="C335" s="111" t="s">
        <v>1251</v>
      </c>
      <c r="D335" s="112" t="s">
        <v>1252</v>
      </c>
      <c r="E335" s="111" t="s">
        <v>260</v>
      </c>
      <c r="F335" s="112" t="s">
        <v>1608</v>
      </c>
      <c r="G335" s="111" t="s">
        <v>20</v>
      </c>
      <c r="H335" s="111" t="s">
        <v>1684</v>
      </c>
      <c r="I335" s="111">
        <v>201510</v>
      </c>
      <c r="J335" s="113">
        <v>9218.33</v>
      </c>
      <c r="K335" s="72">
        <f t="shared" si="29"/>
        <v>42675</v>
      </c>
      <c r="L335" s="67">
        <f t="shared" si="28"/>
        <v>6</v>
      </c>
      <c r="M335" s="114">
        <v>1.4833299999999999E-3</v>
      </c>
      <c r="N335" s="104">
        <f t="shared" si="27"/>
        <v>82.042952633400006</v>
      </c>
      <c r="O335" s="66"/>
      <c r="P335" s="66">
        <f t="shared" si="25"/>
        <v>0</v>
      </c>
      <c r="Q335" s="66"/>
      <c r="R335" s="66">
        <f t="shared" si="26"/>
        <v>152.50382645208333</v>
      </c>
      <c r="S335" s="117"/>
    </row>
    <row r="336" spans="1:19">
      <c r="A336" s="110" t="s">
        <v>626</v>
      </c>
      <c r="B336" s="111" t="s">
        <v>1188</v>
      </c>
      <c r="C336" s="111" t="s">
        <v>1189</v>
      </c>
      <c r="D336" s="112" t="s">
        <v>1190</v>
      </c>
      <c r="E336" s="111" t="s">
        <v>75</v>
      </c>
      <c r="F336" s="112" t="s">
        <v>1602</v>
      </c>
      <c r="G336" s="111" t="s">
        <v>20</v>
      </c>
      <c r="H336" s="111" t="s">
        <v>1684</v>
      </c>
      <c r="I336" s="111">
        <v>201510</v>
      </c>
      <c r="J336" s="113">
        <v>-321.08999999999997</v>
      </c>
      <c r="K336" s="72">
        <f t="shared" si="29"/>
        <v>42675</v>
      </c>
      <c r="L336" s="67">
        <f t="shared" si="28"/>
        <v>6</v>
      </c>
      <c r="M336" s="114">
        <v>1.4833299999999999E-3</v>
      </c>
      <c r="N336" s="104">
        <f t="shared" si="27"/>
        <v>-2.8576945781999998</v>
      </c>
      <c r="O336" s="66"/>
      <c r="P336" s="66">
        <f t="shared" si="25"/>
        <v>0</v>
      </c>
      <c r="Q336" s="66"/>
      <c r="R336" s="66">
        <f t="shared" si="26"/>
        <v>-5.3119657937499998</v>
      </c>
      <c r="S336" s="117"/>
    </row>
    <row r="337" spans="1:19">
      <c r="A337" s="116" t="s">
        <v>127</v>
      </c>
      <c r="B337" s="111" t="s">
        <v>1130</v>
      </c>
      <c r="C337" s="111" t="s">
        <v>1131</v>
      </c>
      <c r="D337" s="112" t="s">
        <v>1132</v>
      </c>
      <c r="E337" s="111" t="s">
        <v>131</v>
      </c>
      <c r="F337" s="112" t="s">
        <v>1607</v>
      </c>
      <c r="G337" s="111" t="s">
        <v>20</v>
      </c>
      <c r="H337" s="111" t="s">
        <v>1684</v>
      </c>
      <c r="I337" s="111">
        <v>201510</v>
      </c>
      <c r="J337" s="113">
        <v>2.09</v>
      </c>
      <c r="K337" s="72">
        <f t="shared" si="29"/>
        <v>42675</v>
      </c>
      <c r="L337" s="67">
        <f t="shared" si="28"/>
        <v>6</v>
      </c>
      <c r="M337" s="114">
        <v>2.3833299999999999E-3</v>
      </c>
      <c r="N337" s="104">
        <f t="shared" si="27"/>
        <v>2.9886958199999997E-2</v>
      </c>
      <c r="O337" s="66"/>
      <c r="P337" s="66">
        <f t="shared" si="25"/>
        <v>0</v>
      </c>
      <c r="Q337" s="66"/>
      <c r="R337" s="66">
        <f t="shared" si="26"/>
        <v>3.4576002083333328E-2</v>
      </c>
      <c r="S337" s="117"/>
    </row>
    <row r="338" spans="1:19">
      <c r="A338" s="110" t="s">
        <v>626</v>
      </c>
      <c r="B338" s="111" t="s">
        <v>1197</v>
      </c>
      <c r="C338" s="111" t="s">
        <v>1198</v>
      </c>
      <c r="D338" s="112" t="s">
        <v>1199</v>
      </c>
      <c r="E338" s="111" t="s">
        <v>18</v>
      </c>
      <c r="F338" s="112" t="s">
        <v>19</v>
      </c>
      <c r="G338" s="111" t="s">
        <v>20</v>
      </c>
      <c r="H338" s="111" t="s">
        <v>1684</v>
      </c>
      <c r="I338" s="111">
        <v>201510</v>
      </c>
      <c r="J338" s="113">
        <v>-7.08</v>
      </c>
      <c r="K338" s="72">
        <f t="shared" si="29"/>
        <v>42675</v>
      </c>
      <c r="L338" s="67">
        <f t="shared" si="28"/>
        <v>6</v>
      </c>
      <c r="M338" s="114">
        <v>1.4833299999999999E-3</v>
      </c>
      <c r="N338" s="104">
        <f t="shared" si="27"/>
        <v>-6.3011858399999995E-2</v>
      </c>
      <c r="O338" s="66"/>
      <c r="P338" s="66">
        <f t="shared" si="25"/>
        <v>0</v>
      </c>
      <c r="Q338" s="66"/>
      <c r="R338" s="66">
        <f t="shared" si="26"/>
        <v>-0.117128275</v>
      </c>
      <c r="S338" s="117"/>
    </row>
    <row r="339" spans="1:19">
      <c r="A339" s="116" t="s">
        <v>626</v>
      </c>
      <c r="B339" s="111" t="s">
        <v>1615</v>
      </c>
      <c r="C339" s="111" t="s">
        <v>1616</v>
      </c>
      <c r="D339" s="112" t="s">
        <v>1617</v>
      </c>
      <c r="E339" s="111" t="s">
        <v>497</v>
      </c>
      <c r="F339" s="112" t="s">
        <v>26</v>
      </c>
      <c r="G339" s="111" t="s">
        <v>20</v>
      </c>
      <c r="H339" s="111" t="s">
        <v>1684</v>
      </c>
      <c r="I339" s="111">
        <v>201510</v>
      </c>
      <c r="J339" s="113">
        <v>-118682.4</v>
      </c>
      <c r="K339" s="72">
        <f t="shared" si="29"/>
        <v>42675</v>
      </c>
      <c r="L339" s="67">
        <f t="shared" si="28"/>
        <v>6</v>
      </c>
      <c r="M339" s="114">
        <v>1.4833299999999999E-3</v>
      </c>
      <c r="N339" s="104">
        <f t="shared" si="27"/>
        <v>-1056.2709863519999</v>
      </c>
      <c r="O339" s="66"/>
      <c r="P339" s="66">
        <f t="shared" si="25"/>
        <v>0</v>
      </c>
      <c r="Q339" s="66"/>
      <c r="R339" s="66">
        <f t="shared" si="26"/>
        <v>-1963.4272295000001</v>
      </c>
      <c r="S339" s="117"/>
    </row>
    <row r="340" spans="1:19">
      <c r="A340" s="116" t="s">
        <v>626</v>
      </c>
      <c r="B340" s="111" t="s">
        <v>1315</v>
      </c>
      <c r="C340" s="111" t="s">
        <v>1316</v>
      </c>
      <c r="D340" s="112" t="s">
        <v>1317</v>
      </c>
      <c r="E340" s="111" t="s">
        <v>497</v>
      </c>
      <c r="F340" s="112" t="s">
        <v>26</v>
      </c>
      <c r="G340" s="111" t="s">
        <v>20</v>
      </c>
      <c r="H340" s="111" t="s">
        <v>1684</v>
      </c>
      <c r="I340" s="111">
        <v>201510</v>
      </c>
      <c r="J340" s="113">
        <v>-49.16</v>
      </c>
      <c r="K340" s="72">
        <f t="shared" si="29"/>
        <v>42675</v>
      </c>
      <c r="L340" s="67">
        <f t="shared" si="28"/>
        <v>6</v>
      </c>
      <c r="M340" s="114">
        <v>1.4833299999999999E-3</v>
      </c>
      <c r="N340" s="104">
        <f t="shared" si="27"/>
        <v>-0.4375230168</v>
      </c>
      <c r="O340" s="66"/>
      <c r="P340" s="66">
        <f t="shared" si="25"/>
        <v>0</v>
      </c>
      <c r="Q340" s="66"/>
      <c r="R340" s="66">
        <f t="shared" si="26"/>
        <v>-0.81328050833333332</v>
      </c>
      <c r="S340" s="117"/>
    </row>
    <row r="341" spans="1:19">
      <c r="A341" s="110" t="s">
        <v>626</v>
      </c>
      <c r="B341" s="111" t="s">
        <v>1203</v>
      </c>
      <c r="C341" s="111" t="s">
        <v>1204</v>
      </c>
      <c r="D341" s="112" t="s">
        <v>1205</v>
      </c>
      <c r="E341" s="111" t="s">
        <v>260</v>
      </c>
      <c r="F341" s="112" t="s">
        <v>1608</v>
      </c>
      <c r="G341" s="111" t="s">
        <v>20</v>
      </c>
      <c r="H341" s="111" t="s">
        <v>1684</v>
      </c>
      <c r="I341" s="111">
        <v>201510</v>
      </c>
      <c r="J341" s="113">
        <v>-15.23</v>
      </c>
      <c r="K341" s="72">
        <f t="shared" si="29"/>
        <v>42675</v>
      </c>
      <c r="L341" s="67">
        <f t="shared" si="28"/>
        <v>6</v>
      </c>
      <c r="M341" s="114">
        <v>1.4833299999999999E-3</v>
      </c>
      <c r="N341" s="104">
        <f t="shared" si="27"/>
        <v>-0.1355466954</v>
      </c>
      <c r="O341" s="66"/>
      <c r="P341" s="66">
        <f t="shared" si="25"/>
        <v>0</v>
      </c>
      <c r="Q341" s="66"/>
      <c r="R341" s="66">
        <f t="shared" si="26"/>
        <v>-0.25195813958333335</v>
      </c>
      <c r="S341" s="117"/>
    </row>
    <row r="342" spans="1:19">
      <c r="A342" s="110" t="s">
        <v>626</v>
      </c>
      <c r="B342" s="111" t="s">
        <v>1505</v>
      </c>
      <c r="C342" s="111" t="s">
        <v>1506</v>
      </c>
      <c r="D342" s="112" t="s">
        <v>1507</v>
      </c>
      <c r="E342" s="111" t="s">
        <v>75</v>
      </c>
      <c r="F342" s="112" t="s">
        <v>1602</v>
      </c>
      <c r="G342" s="111" t="s">
        <v>20</v>
      </c>
      <c r="H342" s="111" t="s">
        <v>1684</v>
      </c>
      <c r="I342" s="111">
        <v>201510</v>
      </c>
      <c r="J342" s="113">
        <v>-56.88</v>
      </c>
      <c r="K342" s="72">
        <f t="shared" si="29"/>
        <v>42675</v>
      </c>
      <c r="L342" s="67">
        <f t="shared" si="28"/>
        <v>6</v>
      </c>
      <c r="M342" s="114">
        <v>1.4833299999999999E-3</v>
      </c>
      <c r="N342" s="104">
        <f t="shared" si="27"/>
        <v>-0.50623086240000004</v>
      </c>
      <c r="O342" s="66"/>
      <c r="P342" s="66">
        <f t="shared" si="25"/>
        <v>0</v>
      </c>
      <c r="Q342" s="66"/>
      <c r="R342" s="66">
        <f t="shared" si="26"/>
        <v>-0.9409966500000001</v>
      </c>
      <c r="S342" s="117"/>
    </row>
    <row r="343" spans="1:19">
      <c r="A343" s="116" t="s">
        <v>626</v>
      </c>
      <c r="B343" s="111" t="s">
        <v>1555</v>
      </c>
      <c r="C343" s="111" t="s">
        <v>1556</v>
      </c>
      <c r="D343" s="112" t="s">
        <v>1557</v>
      </c>
      <c r="E343" s="111" t="s">
        <v>18</v>
      </c>
      <c r="F343" s="112" t="s">
        <v>19</v>
      </c>
      <c r="G343" s="111" t="s">
        <v>20</v>
      </c>
      <c r="H343" s="111" t="s">
        <v>1684</v>
      </c>
      <c r="I343" s="111">
        <v>201510</v>
      </c>
      <c r="J343" s="113">
        <v>-7.33</v>
      </c>
      <c r="K343" s="72">
        <f t="shared" si="29"/>
        <v>42675</v>
      </c>
      <c r="L343" s="67">
        <f t="shared" si="28"/>
        <v>6</v>
      </c>
      <c r="M343" s="114">
        <v>1.4833299999999999E-3</v>
      </c>
      <c r="N343" s="104">
        <f t="shared" si="27"/>
        <v>-6.5236853400000003E-2</v>
      </c>
      <c r="O343" s="66"/>
      <c r="P343" s="66">
        <f t="shared" si="25"/>
        <v>0</v>
      </c>
      <c r="Q343" s="66"/>
      <c r="R343" s="66">
        <f t="shared" si="26"/>
        <v>-0.12126416041666667</v>
      </c>
      <c r="S343" s="117"/>
    </row>
    <row r="344" spans="1:19">
      <c r="A344" s="110" t="s">
        <v>21</v>
      </c>
      <c r="B344" s="111" t="s">
        <v>1502</v>
      </c>
      <c r="C344" s="111" t="s">
        <v>1503</v>
      </c>
      <c r="D344" s="112" t="s">
        <v>1504</v>
      </c>
      <c r="E344" s="111" t="s">
        <v>172</v>
      </c>
      <c r="F344" s="112" t="s">
        <v>1609</v>
      </c>
      <c r="G344" s="111" t="s">
        <v>20</v>
      </c>
      <c r="H344" s="111" t="s">
        <v>1684</v>
      </c>
      <c r="I344" s="111">
        <v>201510</v>
      </c>
      <c r="J344" s="113">
        <v>-776.12</v>
      </c>
      <c r="K344" s="72">
        <f t="shared" si="29"/>
        <v>42675</v>
      </c>
      <c r="L344" s="67">
        <f t="shared" si="28"/>
        <v>6</v>
      </c>
      <c r="M344" s="114">
        <v>1.4833299999999999E-3</v>
      </c>
      <c r="N344" s="104">
        <f t="shared" si="27"/>
        <v>-6.9074524775999997</v>
      </c>
      <c r="O344" s="66"/>
      <c r="P344" s="66">
        <f t="shared" si="25"/>
        <v>0</v>
      </c>
      <c r="Q344" s="66"/>
      <c r="R344" s="66">
        <f t="shared" si="26"/>
        <v>-12.839773558333334</v>
      </c>
      <c r="S344" s="117"/>
    </row>
    <row r="345" spans="1:19">
      <c r="A345" s="110" t="s">
        <v>21</v>
      </c>
      <c r="B345" s="111" t="s">
        <v>1306</v>
      </c>
      <c r="C345" s="111" t="s">
        <v>1307</v>
      </c>
      <c r="D345" s="112" t="s">
        <v>1308</v>
      </c>
      <c r="E345" s="111" t="s">
        <v>18</v>
      </c>
      <c r="F345" s="112" t="s">
        <v>19</v>
      </c>
      <c r="G345" s="111" t="s">
        <v>20</v>
      </c>
      <c r="H345" s="111" t="s">
        <v>1684</v>
      </c>
      <c r="I345" s="111">
        <v>201510</v>
      </c>
      <c r="J345" s="113">
        <v>-43.2</v>
      </c>
      <c r="K345" s="72">
        <f t="shared" si="29"/>
        <v>42675</v>
      </c>
      <c r="L345" s="67">
        <f t="shared" si="28"/>
        <v>6</v>
      </c>
      <c r="M345" s="114">
        <v>1.4833299999999999E-3</v>
      </c>
      <c r="N345" s="104">
        <f t="shared" si="27"/>
        <v>-0.38447913600000005</v>
      </c>
      <c r="O345" s="66"/>
      <c r="P345" s="66">
        <f t="shared" si="25"/>
        <v>0</v>
      </c>
      <c r="Q345" s="66"/>
      <c r="R345" s="66">
        <f t="shared" si="26"/>
        <v>-0.71468100000000012</v>
      </c>
      <c r="S345" s="117"/>
    </row>
    <row r="346" spans="1:19">
      <c r="A346" s="110" t="s">
        <v>626</v>
      </c>
      <c r="B346" s="111" t="s">
        <v>1209</v>
      </c>
      <c r="C346" s="111" t="s">
        <v>1210</v>
      </c>
      <c r="D346" s="112" t="s">
        <v>1211</v>
      </c>
      <c r="E346" s="111" t="s">
        <v>79</v>
      </c>
      <c r="F346" s="112" t="s">
        <v>26</v>
      </c>
      <c r="G346" s="111" t="s">
        <v>20</v>
      </c>
      <c r="H346" s="111" t="s">
        <v>1684</v>
      </c>
      <c r="I346" s="111">
        <v>201510</v>
      </c>
      <c r="J346" s="113">
        <v>-21.41</v>
      </c>
      <c r="K346" s="72">
        <f t="shared" si="29"/>
        <v>42675</v>
      </c>
      <c r="L346" s="67">
        <f t="shared" si="28"/>
        <v>6</v>
      </c>
      <c r="M346" s="114">
        <v>1.4833299999999999E-3</v>
      </c>
      <c r="N346" s="104">
        <f t="shared" si="27"/>
        <v>-0.19054857180000001</v>
      </c>
      <c r="O346" s="66"/>
      <c r="P346" s="66">
        <f t="shared" si="25"/>
        <v>0</v>
      </c>
      <c r="Q346" s="66"/>
      <c r="R346" s="66">
        <f t="shared" si="26"/>
        <v>-0.35419722708333334</v>
      </c>
      <c r="S346" s="117"/>
    </row>
    <row r="347" spans="1:19">
      <c r="A347" s="110" t="s">
        <v>626</v>
      </c>
      <c r="B347" s="111" t="s">
        <v>1417</v>
      </c>
      <c r="C347" s="111" t="s">
        <v>1418</v>
      </c>
      <c r="D347" s="112" t="s">
        <v>1419</v>
      </c>
      <c r="E347" s="111" t="s">
        <v>75</v>
      </c>
      <c r="F347" s="112" t="s">
        <v>1602</v>
      </c>
      <c r="G347" s="111" t="s">
        <v>20</v>
      </c>
      <c r="H347" s="111" t="s">
        <v>1684</v>
      </c>
      <c r="I347" s="111">
        <v>201510</v>
      </c>
      <c r="J347" s="113">
        <v>-334.99</v>
      </c>
      <c r="K347" s="72">
        <f t="shared" si="29"/>
        <v>42675</v>
      </c>
      <c r="L347" s="67">
        <f t="shared" si="28"/>
        <v>6</v>
      </c>
      <c r="M347" s="114">
        <v>1.4833299999999999E-3</v>
      </c>
      <c r="N347" s="104">
        <f t="shared" si="27"/>
        <v>-2.9814043001999999</v>
      </c>
      <c r="O347" s="66"/>
      <c r="P347" s="66">
        <f t="shared" si="25"/>
        <v>0</v>
      </c>
      <c r="Q347" s="66"/>
      <c r="R347" s="66">
        <f t="shared" si="26"/>
        <v>-5.5419210229166671</v>
      </c>
      <c r="S347" s="117"/>
    </row>
    <row r="348" spans="1:19">
      <c r="A348" s="110" t="s">
        <v>21</v>
      </c>
      <c r="B348" s="111" t="s">
        <v>1420</v>
      </c>
      <c r="C348" s="111" t="s">
        <v>1421</v>
      </c>
      <c r="D348" s="112" t="s">
        <v>1422</v>
      </c>
      <c r="E348" s="111" t="s">
        <v>260</v>
      </c>
      <c r="F348" s="112" t="s">
        <v>1608</v>
      </c>
      <c r="G348" s="111" t="s">
        <v>20</v>
      </c>
      <c r="H348" s="111" t="s">
        <v>1684</v>
      </c>
      <c r="I348" s="111">
        <v>201510</v>
      </c>
      <c r="J348" s="113">
        <v>921.84</v>
      </c>
      <c r="K348" s="72">
        <f t="shared" si="29"/>
        <v>42675</v>
      </c>
      <c r="L348" s="67">
        <f t="shared" si="28"/>
        <v>6</v>
      </c>
      <c r="M348" s="114">
        <v>1.4833299999999999E-3</v>
      </c>
      <c r="N348" s="104">
        <f t="shared" si="27"/>
        <v>8.2043575632000003</v>
      </c>
      <c r="O348" s="66"/>
      <c r="P348" s="66">
        <f t="shared" si="25"/>
        <v>0</v>
      </c>
      <c r="Q348" s="66"/>
      <c r="R348" s="66">
        <f t="shared" si="26"/>
        <v>15.25049845</v>
      </c>
      <c r="S348" s="117"/>
    </row>
    <row r="349" spans="1:19">
      <c r="A349" s="110" t="s">
        <v>626</v>
      </c>
      <c r="B349" s="111" t="s">
        <v>1420</v>
      </c>
      <c r="C349" s="111" t="s">
        <v>1421</v>
      </c>
      <c r="D349" s="112" t="s">
        <v>1422</v>
      </c>
      <c r="E349" s="111" t="s">
        <v>260</v>
      </c>
      <c r="F349" s="112" t="s">
        <v>1608</v>
      </c>
      <c r="G349" s="111" t="s">
        <v>20</v>
      </c>
      <c r="H349" s="111" t="s">
        <v>1684</v>
      </c>
      <c r="I349" s="111">
        <v>201510</v>
      </c>
      <c r="J349" s="113">
        <v>3594.61</v>
      </c>
      <c r="K349" s="72">
        <f t="shared" si="29"/>
        <v>42675</v>
      </c>
      <c r="L349" s="67">
        <f t="shared" si="28"/>
        <v>6</v>
      </c>
      <c r="M349" s="114">
        <v>1.4833299999999999E-3</v>
      </c>
      <c r="N349" s="104">
        <f t="shared" si="27"/>
        <v>31.991957107800001</v>
      </c>
      <c r="O349" s="66"/>
      <c r="P349" s="66">
        <f t="shared" si="25"/>
        <v>0</v>
      </c>
      <c r="Q349" s="66"/>
      <c r="R349" s="66">
        <f t="shared" si="26"/>
        <v>59.467580310416665</v>
      </c>
      <c r="S349" s="117"/>
    </row>
    <row r="350" spans="1:19">
      <c r="A350" s="110" t="s">
        <v>626</v>
      </c>
      <c r="B350" s="111" t="s">
        <v>1175</v>
      </c>
      <c r="C350" s="111" t="s">
        <v>1176</v>
      </c>
      <c r="D350" s="112" t="s">
        <v>1177</v>
      </c>
      <c r="E350" s="111" t="s">
        <v>1059</v>
      </c>
      <c r="F350" s="112" t="s">
        <v>26</v>
      </c>
      <c r="G350" s="111" t="s">
        <v>20</v>
      </c>
      <c r="H350" s="111" t="s">
        <v>1684</v>
      </c>
      <c r="I350" s="111">
        <v>201510</v>
      </c>
      <c r="J350" s="113">
        <v>-118.81</v>
      </c>
      <c r="K350" s="72">
        <f t="shared" si="29"/>
        <v>42675</v>
      </c>
      <c r="L350" s="67">
        <f t="shared" si="28"/>
        <v>6</v>
      </c>
      <c r="M350" s="114">
        <v>1.4833299999999999E-3</v>
      </c>
      <c r="N350" s="104">
        <f t="shared" si="27"/>
        <v>-1.0574066237999999</v>
      </c>
      <c r="O350" s="66"/>
      <c r="P350" s="66">
        <f t="shared" si="25"/>
        <v>0</v>
      </c>
      <c r="Q350" s="66"/>
      <c r="R350" s="66">
        <f t="shared" si="26"/>
        <v>-1.9655381854166665</v>
      </c>
      <c r="S350" s="117"/>
    </row>
    <row r="351" spans="1:19">
      <c r="A351" s="110" t="s">
        <v>626</v>
      </c>
      <c r="B351" s="111" t="s">
        <v>1268</v>
      </c>
      <c r="C351" s="111" t="s">
        <v>1269</v>
      </c>
      <c r="D351" s="112" t="s">
        <v>1270</v>
      </c>
      <c r="E351" s="111" t="s">
        <v>260</v>
      </c>
      <c r="F351" s="112" t="s">
        <v>1608</v>
      </c>
      <c r="G351" s="111" t="s">
        <v>20</v>
      </c>
      <c r="H351" s="111" t="s">
        <v>1684</v>
      </c>
      <c r="I351" s="111">
        <v>201510</v>
      </c>
      <c r="J351" s="113">
        <v>17.190000000000001</v>
      </c>
      <c r="K351" s="72">
        <f t="shared" si="29"/>
        <v>42675</v>
      </c>
      <c r="L351" s="67">
        <f t="shared" si="28"/>
        <v>6</v>
      </c>
      <c r="M351" s="114">
        <v>1.4833299999999999E-3</v>
      </c>
      <c r="N351" s="104">
        <f t="shared" si="27"/>
        <v>0.15299065620000002</v>
      </c>
      <c r="O351" s="66"/>
      <c r="P351" s="66">
        <f t="shared" si="25"/>
        <v>0</v>
      </c>
      <c r="Q351" s="66"/>
      <c r="R351" s="66">
        <f t="shared" si="26"/>
        <v>0.28438348125000001</v>
      </c>
      <c r="S351" s="117"/>
    </row>
    <row r="352" spans="1:19">
      <c r="A352" s="110" t="s">
        <v>626</v>
      </c>
      <c r="B352" s="111" t="s">
        <v>1709</v>
      </c>
      <c r="C352" s="111" t="s">
        <v>1710</v>
      </c>
      <c r="D352" s="112" t="s">
        <v>1711</v>
      </c>
      <c r="E352" s="111" t="s">
        <v>497</v>
      </c>
      <c r="F352" s="112" t="s">
        <v>26</v>
      </c>
      <c r="G352" s="111" t="s">
        <v>20</v>
      </c>
      <c r="H352" s="111" t="s">
        <v>1684</v>
      </c>
      <c r="I352" s="111">
        <v>201510</v>
      </c>
      <c r="J352" s="113">
        <v>96179.05</v>
      </c>
      <c r="K352" s="72">
        <f t="shared" si="29"/>
        <v>42675</v>
      </c>
      <c r="L352" s="67">
        <f t="shared" si="28"/>
        <v>6</v>
      </c>
      <c r="M352" s="114">
        <v>1.4833299999999999E-3</v>
      </c>
      <c r="N352" s="104">
        <f t="shared" si="27"/>
        <v>855.99162141900001</v>
      </c>
      <c r="O352" s="66"/>
      <c r="P352" s="66">
        <f t="shared" si="25"/>
        <v>0</v>
      </c>
      <c r="Q352" s="66"/>
      <c r="R352" s="66">
        <f t="shared" si="26"/>
        <v>1591.1421211354168</v>
      </c>
      <c r="S352" s="117"/>
    </row>
    <row r="353" spans="1:19">
      <c r="A353" s="110" t="s">
        <v>626</v>
      </c>
      <c r="B353" s="111" t="s">
        <v>1271</v>
      </c>
      <c r="C353" s="111" t="s">
        <v>1272</v>
      </c>
      <c r="D353" s="112" t="s">
        <v>1273</v>
      </c>
      <c r="E353" s="111" t="s">
        <v>75</v>
      </c>
      <c r="F353" s="112" t="s">
        <v>1602</v>
      </c>
      <c r="G353" s="111" t="s">
        <v>20</v>
      </c>
      <c r="H353" s="111" t="s">
        <v>1684</v>
      </c>
      <c r="I353" s="111">
        <v>201510</v>
      </c>
      <c r="J353" s="113">
        <v>-10.210000000000001</v>
      </c>
      <c r="K353" s="72">
        <f t="shared" si="29"/>
        <v>42675</v>
      </c>
      <c r="L353" s="67">
        <f t="shared" si="28"/>
        <v>6</v>
      </c>
      <c r="M353" s="114">
        <v>1.4833299999999999E-3</v>
      </c>
      <c r="N353" s="104">
        <f t="shared" si="27"/>
        <v>-9.0868795800000013E-2</v>
      </c>
      <c r="O353" s="66"/>
      <c r="P353" s="66">
        <f t="shared" si="25"/>
        <v>0</v>
      </c>
      <c r="Q353" s="66"/>
      <c r="R353" s="66">
        <f t="shared" si="26"/>
        <v>-0.16890956041666669</v>
      </c>
      <c r="S353" s="117"/>
    </row>
    <row r="354" spans="1:19">
      <c r="A354" s="110" t="s">
        <v>21</v>
      </c>
      <c r="B354" s="111" t="s">
        <v>1274</v>
      </c>
      <c r="C354" s="111" t="s">
        <v>1275</v>
      </c>
      <c r="D354" s="112" t="s">
        <v>1276</v>
      </c>
      <c r="E354" s="111" t="s">
        <v>164</v>
      </c>
      <c r="F354" s="112" t="s">
        <v>1600</v>
      </c>
      <c r="G354" s="111" t="s">
        <v>20</v>
      </c>
      <c r="H354" s="111" t="s">
        <v>1684</v>
      </c>
      <c r="I354" s="111">
        <v>201510</v>
      </c>
      <c r="J354" s="113">
        <v>-9.98</v>
      </c>
      <c r="K354" s="72">
        <f t="shared" si="29"/>
        <v>42675</v>
      </c>
      <c r="L354" s="67">
        <f t="shared" si="28"/>
        <v>6</v>
      </c>
      <c r="M354" s="114">
        <v>1.4833299999999999E-3</v>
      </c>
      <c r="N354" s="104">
        <f t="shared" si="27"/>
        <v>-8.8821800399999998E-2</v>
      </c>
      <c r="O354" s="66"/>
      <c r="P354" s="66">
        <f t="shared" si="25"/>
        <v>0</v>
      </c>
      <c r="Q354" s="66"/>
      <c r="R354" s="66">
        <f t="shared" si="26"/>
        <v>-0.16510454583333334</v>
      </c>
      <c r="S354" s="117"/>
    </row>
    <row r="355" spans="1:19">
      <c r="A355" s="110" t="s">
        <v>626</v>
      </c>
      <c r="B355" s="111" t="s">
        <v>1274</v>
      </c>
      <c r="C355" s="111" t="s">
        <v>1275</v>
      </c>
      <c r="D355" s="112" t="s">
        <v>1276</v>
      </c>
      <c r="E355" s="111" t="s">
        <v>164</v>
      </c>
      <c r="F355" s="112" t="s">
        <v>1600</v>
      </c>
      <c r="G355" s="111" t="s">
        <v>20</v>
      </c>
      <c r="H355" s="111" t="s">
        <v>1684</v>
      </c>
      <c r="I355" s="111">
        <v>201510</v>
      </c>
      <c r="J355" s="113">
        <v>-45.4</v>
      </c>
      <c r="K355" s="72">
        <f t="shared" si="29"/>
        <v>42675</v>
      </c>
      <c r="L355" s="67">
        <f t="shared" si="28"/>
        <v>6</v>
      </c>
      <c r="M355" s="114">
        <v>1.4833299999999999E-3</v>
      </c>
      <c r="N355" s="104">
        <f t="shared" si="27"/>
        <v>-0.40405909200000001</v>
      </c>
      <c r="O355" s="66"/>
      <c r="P355" s="66">
        <f t="shared" si="25"/>
        <v>0</v>
      </c>
      <c r="Q355" s="66"/>
      <c r="R355" s="66">
        <f t="shared" si="26"/>
        <v>-0.75107679166666663</v>
      </c>
      <c r="S355" s="117"/>
    </row>
    <row r="356" spans="1:19">
      <c r="A356" s="110" t="s">
        <v>626</v>
      </c>
      <c r="B356" s="111" t="s">
        <v>1423</v>
      </c>
      <c r="C356" s="111" t="s">
        <v>1424</v>
      </c>
      <c r="D356" s="112" t="s">
        <v>1425</v>
      </c>
      <c r="E356" s="111" t="s">
        <v>75</v>
      </c>
      <c r="F356" s="112" t="s">
        <v>1602</v>
      </c>
      <c r="G356" s="111" t="s">
        <v>20</v>
      </c>
      <c r="H356" s="111" t="s">
        <v>1684</v>
      </c>
      <c r="I356" s="111">
        <v>201510</v>
      </c>
      <c r="J356" s="113">
        <v>-192.14</v>
      </c>
      <c r="K356" s="72">
        <f t="shared" si="29"/>
        <v>42675</v>
      </c>
      <c r="L356" s="67">
        <f t="shared" si="28"/>
        <v>6</v>
      </c>
      <c r="M356" s="114">
        <v>1.4833299999999999E-3</v>
      </c>
      <c r="N356" s="104">
        <f t="shared" si="27"/>
        <v>-1.7100421572</v>
      </c>
      <c r="O356" s="66"/>
      <c r="P356" s="66">
        <f t="shared" si="25"/>
        <v>0</v>
      </c>
      <c r="Q356" s="66"/>
      <c r="R356" s="66">
        <f t="shared" si="26"/>
        <v>-3.1786760958333331</v>
      </c>
      <c r="S356" s="117"/>
    </row>
    <row r="357" spans="1:19">
      <c r="A357" s="110" t="s">
        <v>626</v>
      </c>
      <c r="B357" s="111" t="s">
        <v>1426</v>
      </c>
      <c r="C357" s="111" t="s">
        <v>1427</v>
      </c>
      <c r="D357" s="112" t="s">
        <v>1428</v>
      </c>
      <c r="E357" s="111" t="s">
        <v>75</v>
      </c>
      <c r="F357" s="112" t="s">
        <v>1602</v>
      </c>
      <c r="G357" s="111" t="s">
        <v>20</v>
      </c>
      <c r="H357" s="111" t="s">
        <v>1684</v>
      </c>
      <c r="I357" s="111">
        <v>201510</v>
      </c>
      <c r="J357" s="113">
        <v>-21.84</v>
      </c>
      <c r="K357" s="72">
        <f t="shared" si="29"/>
        <v>42675</v>
      </c>
      <c r="L357" s="67">
        <f t="shared" si="28"/>
        <v>6</v>
      </c>
      <c r="M357" s="114">
        <v>1.4833299999999999E-3</v>
      </c>
      <c r="N357" s="104">
        <f t="shared" si="27"/>
        <v>-0.19437556319999999</v>
      </c>
      <c r="O357" s="66"/>
      <c r="P357" s="66">
        <f t="shared" si="25"/>
        <v>0</v>
      </c>
      <c r="Q357" s="66"/>
      <c r="R357" s="66">
        <f t="shared" si="26"/>
        <v>-0.36131095000000002</v>
      </c>
      <c r="S357" s="117"/>
    </row>
    <row r="358" spans="1:19">
      <c r="A358" s="110" t="s">
        <v>626</v>
      </c>
      <c r="B358" s="111" t="s">
        <v>1277</v>
      </c>
      <c r="C358" s="111" t="s">
        <v>1278</v>
      </c>
      <c r="D358" s="112" t="s">
        <v>1279</v>
      </c>
      <c r="E358" s="111" t="s">
        <v>471</v>
      </c>
      <c r="F358" s="112" t="s">
        <v>165</v>
      </c>
      <c r="G358" s="111" t="s">
        <v>20</v>
      </c>
      <c r="H358" s="111" t="s">
        <v>1684</v>
      </c>
      <c r="I358" s="111">
        <v>201510</v>
      </c>
      <c r="J358" s="113">
        <v>-721.08</v>
      </c>
      <c r="K358" s="72">
        <f t="shared" si="29"/>
        <v>42675</v>
      </c>
      <c r="L358" s="67">
        <f t="shared" si="28"/>
        <v>6</v>
      </c>
      <c r="M358" s="114">
        <v>1.4833299999999999E-3</v>
      </c>
      <c r="N358" s="104">
        <f t="shared" si="27"/>
        <v>-6.4175975784000006</v>
      </c>
      <c r="O358" s="66"/>
      <c r="P358" s="66">
        <f t="shared" si="25"/>
        <v>0</v>
      </c>
      <c r="Q358" s="66"/>
      <c r="R358" s="66">
        <f t="shared" si="26"/>
        <v>-11.929217025000002</v>
      </c>
      <c r="S358" s="117"/>
    </row>
    <row r="359" spans="1:19">
      <c r="A359" s="110" t="s">
        <v>626</v>
      </c>
      <c r="B359" s="111" t="s">
        <v>1514</v>
      </c>
      <c r="C359" s="111" t="s">
        <v>1515</v>
      </c>
      <c r="D359" s="112" t="s">
        <v>1516</v>
      </c>
      <c r="E359" s="111" t="s">
        <v>809</v>
      </c>
      <c r="F359" s="112" t="s">
        <v>26</v>
      </c>
      <c r="G359" s="111" t="s">
        <v>20</v>
      </c>
      <c r="H359" s="111" t="s">
        <v>1684</v>
      </c>
      <c r="I359" s="111">
        <v>201510</v>
      </c>
      <c r="J359" s="113">
        <v>1329.43</v>
      </c>
      <c r="K359" s="72">
        <f t="shared" si="29"/>
        <v>42675</v>
      </c>
      <c r="L359" s="67">
        <f t="shared" si="28"/>
        <v>6</v>
      </c>
      <c r="M359" s="114">
        <v>1.4833299999999999E-3</v>
      </c>
      <c r="N359" s="104">
        <f t="shared" si="27"/>
        <v>11.831900411400001</v>
      </c>
      <c r="O359" s="66"/>
      <c r="P359" s="66">
        <f t="shared" si="25"/>
        <v>0</v>
      </c>
      <c r="Q359" s="66"/>
      <c r="R359" s="66">
        <f t="shared" si="26"/>
        <v>21.993480597916665</v>
      </c>
      <c r="S359" s="117"/>
    </row>
    <row r="360" spans="1:19">
      <c r="A360" s="110" t="s">
        <v>127</v>
      </c>
      <c r="B360" s="111" t="s">
        <v>1577</v>
      </c>
      <c r="C360" s="111" t="s">
        <v>1578</v>
      </c>
      <c r="D360" s="112" t="s">
        <v>1579</v>
      </c>
      <c r="E360" s="111" t="s">
        <v>1580</v>
      </c>
      <c r="F360" s="112" t="s">
        <v>217</v>
      </c>
      <c r="G360" s="111" t="s">
        <v>20</v>
      </c>
      <c r="H360" s="111" t="s">
        <v>1684</v>
      </c>
      <c r="I360" s="111">
        <v>201510</v>
      </c>
      <c r="J360" s="113">
        <v>-34.729999999999997</v>
      </c>
      <c r="K360" s="72">
        <f t="shared" si="29"/>
        <v>42675</v>
      </c>
      <c r="L360" s="67">
        <f t="shared" si="28"/>
        <v>6</v>
      </c>
      <c r="M360" s="114">
        <v>2.3833299999999999E-3</v>
      </c>
      <c r="N360" s="104">
        <f t="shared" si="27"/>
        <v>-0.49663830539999998</v>
      </c>
      <c r="O360" s="66"/>
      <c r="P360" s="66">
        <f t="shared" si="25"/>
        <v>0</v>
      </c>
      <c r="Q360" s="66"/>
      <c r="R360" s="66">
        <f t="shared" si="26"/>
        <v>-0.57455720208333327</v>
      </c>
      <c r="S360" s="117"/>
    </row>
    <row r="361" spans="1:19">
      <c r="A361" s="110" t="s">
        <v>626</v>
      </c>
      <c r="B361" s="111" t="s">
        <v>1712</v>
      </c>
      <c r="C361" s="111" t="s">
        <v>1713</v>
      </c>
      <c r="D361" s="112" t="s">
        <v>1714</v>
      </c>
      <c r="E361" s="111" t="s">
        <v>497</v>
      </c>
      <c r="F361" s="112" t="s">
        <v>26</v>
      </c>
      <c r="G361" s="111" t="s">
        <v>20</v>
      </c>
      <c r="H361" s="111" t="s">
        <v>1684</v>
      </c>
      <c r="I361" s="111">
        <v>201510</v>
      </c>
      <c r="J361" s="113">
        <v>62096.99</v>
      </c>
      <c r="K361" s="72">
        <f t="shared" si="29"/>
        <v>42675</v>
      </c>
      <c r="L361" s="67">
        <f t="shared" si="28"/>
        <v>6</v>
      </c>
      <c r="M361" s="114">
        <v>1.4833299999999999E-3</v>
      </c>
      <c r="N361" s="104">
        <f t="shared" si="27"/>
        <v>552.66196906020002</v>
      </c>
      <c r="O361" s="66"/>
      <c r="P361" s="66">
        <f t="shared" si="25"/>
        <v>0</v>
      </c>
      <c r="Q361" s="66"/>
      <c r="R361" s="66">
        <f t="shared" si="26"/>
        <v>1027.3041414395834</v>
      </c>
      <c r="S361" s="117"/>
    </row>
    <row r="362" spans="1:19">
      <c r="A362" s="110" t="s">
        <v>21</v>
      </c>
      <c r="B362" s="111" t="s">
        <v>1564</v>
      </c>
      <c r="C362" s="111" t="s">
        <v>1565</v>
      </c>
      <c r="D362" s="112" t="s">
        <v>1566</v>
      </c>
      <c r="E362" s="111" t="s">
        <v>18</v>
      </c>
      <c r="F362" s="112" t="s">
        <v>19</v>
      </c>
      <c r="G362" s="111" t="s">
        <v>20</v>
      </c>
      <c r="H362" s="111" t="s">
        <v>1684</v>
      </c>
      <c r="I362" s="111">
        <v>201510</v>
      </c>
      <c r="J362" s="113">
        <v>-6.25</v>
      </c>
      <c r="K362" s="72">
        <f t="shared" si="29"/>
        <v>42675</v>
      </c>
      <c r="L362" s="67">
        <f t="shared" si="28"/>
        <v>6</v>
      </c>
      <c r="M362" s="114">
        <v>1.4833299999999999E-3</v>
      </c>
      <c r="N362" s="104">
        <f t="shared" si="27"/>
        <v>-5.5624874999999997E-2</v>
      </c>
      <c r="O362" s="66"/>
      <c r="P362" s="66">
        <f t="shared" si="25"/>
        <v>0</v>
      </c>
      <c r="Q362" s="66"/>
      <c r="R362" s="66">
        <f t="shared" si="26"/>
        <v>-0.10339713541666666</v>
      </c>
      <c r="S362" s="117"/>
    </row>
    <row r="363" spans="1:19">
      <c r="A363" s="110" t="s">
        <v>626</v>
      </c>
      <c r="B363" s="111" t="s">
        <v>1715</v>
      </c>
      <c r="C363" s="111" t="s">
        <v>1716</v>
      </c>
      <c r="D363" s="112" t="s">
        <v>1717</v>
      </c>
      <c r="E363" s="111" t="s">
        <v>497</v>
      </c>
      <c r="F363" s="112" t="s">
        <v>26</v>
      </c>
      <c r="G363" s="111" t="s">
        <v>20</v>
      </c>
      <c r="H363" s="111" t="s">
        <v>1684</v>
      </c>
      <c r="I363" s="111">
        <v>201510</v>
      </c>
      <c r="J363" s="113">
        <v>44496.85</v>
      </c>
      <c r="K363" s="72">
        <f t="shared" si="29"/>
        <v>42675</v>
      </c>
      <c r="L363" s="67">
        <f t="shared" si="28"/>
        <v>6</v>
      </c>
      <c r="M363" s="114">
        <v>1.4833299999999999E-3</v>
      </c>
      <c r="N363" s="104">
        <f t="shared" si="27"/>
        <v>396.02107506300001</v>
      </c>
      <c r="O363" s="66"/>
      <c r="P363" s="66">
        <f t="shared" si="25"/>
        <v>0</v>
      </c>
      <c r="Q363" s="66"/>
      <c r="R363" s="66">
        <f t="shared" si="26"/>
        <v>736.13549201041667</v>
      </c>
      <c r="S363" s="117"/>
    </row>
    <row r="364" spans="1:19">
      <c r="A364" s="110" t="s">
        <v>626</v>
      </c>
      <c r="B364" s="111" t="s">
        <v>1718</v>
      </c>
      <c r="C364" s="111" t="s">
        <v>1719</v>
      </c>
      <c r="D364" s="112" t="s">
        <v>1720</v>
      </c>
      <c r="E364" s="111" t="s">
        <v>497</v>
      </c>
      <c r="F364" s="112" t="s">
        <v>26</v>
      </c>
      <c r="G364" s="111" t="s">
        <v>20</v>
      </c>
      <c r="H364" s="111" t="s">
        <v>1684</v>
      </c>
      <c r="I364" s="111">
        <v>201510</v>
      </c>
      <c r="J364" s="113">
        <v>40516.97</v>
      </c>
      <c r="K364" s="72">
        <f t="shared" si="29"/>
        <v>42675</v>
      </c>
      <c r="L364" s="67">
        <f t="shared" si="28"/>
        <v>6</v>
      </c>
      <c r="M364" s="114">
        <v>1.4833299999999999E-3</v>
      </c>
      <c r="N364" s="104">
        <f t="shared" si="27"/>
        <v>360.60022266060002</v>
      </c>
      <c r="O364" s="66"/>
      <c r="P364" s="66">
        <f t="shared" si="25"/>
        <v>0</v>
      </c>
      <c r="Q364" s="66"/>
      <c r="R364" s="66">
        <f t="shared" si="26"/>
        <v>670.29418140208338</v>
      </c>
      <c r="S364" s="117"/>
    </row>
    <row r="365" spans="1:19">
      <c r="A365" s="110" t="s">
        <v>626</v>
      </c>
      <c r="B365" s="111" t="s">
        <v>1333</v>
      </c>
      <c r="C365" s="111" t="s">
        <v>1334</v>
      </c>
      <c r="D365" s="112" t="s">
        <v>1335</v>
      </c>
      <c r="E365" s="111" t="s">
        <v>164</v>
      </c>
      <c r="F365" s="112" t="s">
        <v>1600</v>
      </c>
      <c r="G365" s="111" t="s">
        <v>20</v>
      </c>
      <c r="H365" s="111" t="s">
        <v>1684</v>
      </c>
      <c r="I365" s="111">
        <v>201510</v>
      </c>
      <c r="J365" s="113">
        <v>-129.21</v>
      </c>
      <c r="K365" s="72">
        <f t="shared" si="29"/>
        <v>42675</v>
      </c>
      <c r="L365" s="67">
        <f t="shared" si="28"/>
        <v>6</v>
      </c>
      <c r="M365" s="114">
        <v>1.4833299999999999E-3</v>
      </c>
      <c r="N365" s="104">
        <f t="shared" si="27"/>
        <v>-1.1499664158</v>
      </c>
      <c r="O365" s="66"/>
      <c r="P365" s="66">
        <f t="shared" si="25"/>
        <v>0</v>
      </c>
      <c r="Q365" s="66"/>
      <c r="R365" s="66">
        <f t="shared" si="26"/>
        <v>-2.1375910187500002</v>
      </c>
      <c r="S365" s="117"/>
    </row>
    <row r="366" spans="1:19">
      <c r="A366" s="110" t="s">
        <v>626</v>
      </c>
      <c r="B366" s="111" t="s">
        <v>1620</v>
      </c>
      <c r="C366" s="111" t="s">
        <v>1621</v>
      </c>
      <c r="D366" s="112" t="s">
        <v>1622</v>
      </c>
      <c r="E366" s="111" t="s">
        <v>497</v>
      </c>
      <c r="F366" s="112" t="s">
        <v>26</v>
      </c>
      <c r="G366" s="111" t="s">
        <v>20</v>
      </c>
      <c r="H366" s="111" t="s">
        <v>1684</v>
      </c>
      <c r="I366" s="111">
        <v>201510</v>
      </c>
      <c r="J366" s="113">
        <v>511.2</v>
      </c>
      <c r="K366" s="72">
        <f t="shared" si="29"/>
        <v>42675</v>
      </c>
      <c r="L366" s="67">
        <f t="shared" si="28"/>
        <v>6</v>
      </c>
      <c r="M366" s="114">
        <v>1.4833299999999999E-3</v>
      </c>
      <c r="N366" s="104">
        <f t="shared" si="27"/>
        <v>4.549669776</v>
      </c>
      <c r="O366" s="66"/>
      <c r="P366" s="66">
        <f t="shared" si="25"/>
        <v>0</v>
      </c>
      <c r="Q366" s="66"/>
      <c r="R366" s="66">
        <f t="shared" si="26"/>
        <v>8.4570585000000005</v>
      </c>
      <c r="S366" s="117"/>
    </row>
    <row r="367" spans="1:19">
      <c r="A367" s="116" t="s">
        <v>626</v>
      </c>
      <c r="B367" s="111" t="s">
        <v>1519</v>
      </c>
      <c r="C367" s="111" t="s">
        <v>1520</v>
      </c>
      <c r="D367" s="112" t="s">
        <v>1521</v>
      </c>
      <c r="E367" s="111" t="s">
        <v>75</v>
      </c>
      <c r="F367" s="112" t="s">
        <v>1602</v>
      </c>
      <c r="G367" s="111" t="s">
        <v>20</v>
      </c>
      <c r="H367" s="111" t="s">
        <v>1684</v>
      </c>
      <c r="I367" s="111">
        <v>201510</v>
      </c>
      <c r="J367" s="113">
        <v>-36.549999999999997</v>
      </c>
      <c r="K367" s="72">
        <f t="shared" si="29"/>
        <v>42675</v>
      </c>
      <c r="L367" s="67">
        <f t="shared" si="28"/>
        <v>6</v>
      </c>
      <c r="M367" s="114">
        <v>1.4833299999999999E-3</v>
      </c>
      <c r="N367" s="104">
        <f t="shared" si="27"/>
        <v>-0.32529426899999997</v>
      </c>
      <c r="O367" s="66"/>
      <c r="P367" s="66">
        <f t="shared" si="25"/>
        <v>0</v>
      </c>
      <c r="Q367" s="66"/>
      <c r="R367" s="66">
        <f t="shared" si="26"/>
        <v>-0.60466644791666668</v>
      </c>
      <c r="S367" s="117"/>
    </row>
    <row r="368" spans="1:19">
      <c r="A368" s="110" t="s">
        <v>626</v>
      </c>
      <c r="B368" s="111" t="s">
        <v>1721</v>
      </c>
      <c r="C368" s="111" t="s">
        <v>1722</v>
      </c>
      <c r="D368" s="112" t="s">
        <v>1723</v>
      </c>
      <c r="E368" s="111" t="s">
        <v>75</v>
      </c>
      <c r="F368" s="112" t="s">
        <v>1602</v>
      </c>
      <c r="G368" s="111" t="s">
        <v>20</v>
      </c>
      <c r="H368" s="111" t="s">
        <v>1684</v>
      </c>
      <c r="I368" s="111">
        <v>201510</v>
      </c>
      <c r="J368" s="113">
        <v>27356.82</v>
      </c>
      <c r="K368" s="72">
        <f t="shared" si="29"/>
        <v>42675</v>
      </c>
      <c r="L368" s="67">
        <f t="shared" si="28"/>
        <v>6</v>
      </c>
      <c r="M368" s="114">
        <v>1.4833299999999999E-3</v>
      </c>
      <c r="N368" s="104">
        <f t="shared" si="27"/>
        <v>243.47515086359999</v>
      </c>
      <c r="O368" s="66"/>
      <c r="P368" s="66">
        <f t="shared" si="25"/>
        <v>0</v>
      </c>
      <c r="Q368" s="66"/>
      <c r="R368" s="66">
        <f t="shared" si="26"/>
        <v>452.57869153749999</v>
      </c>
      <c r="S368" s="117"/>
    </row>
    <row r="369" spans="1:19">
      <c r="A369" s="110" t="s">
        <v>626</v>
      </c>
      <c r="B369" s="111" t="s">
        <v>1522</v>
      </c>
      <c r="C369" s="111" t="s">
        <v>1523</v>
      </c>
      <c r="D369" s="112" t="s">
        <v>1524</v>
      </c>
      <c r="E369" s="111" t="s">
        <v>75</v>
      </c>
      <c r="F369" s="112" t="s">
        <v>1602</v>
      </c>
      <c r="G369" s="111" t="s">
        <v>20</v>
      </c>
      <c r="H369" s="111" t="s">
        <v>1684</v>
      </c>
      <c r="I369" s="111">
        <v>201510</v>
      </c>
      <c r="J369" s="113">
        <v>-175.84</v>
      </c>
      <c r="K369" s="72">
        <f t="shared" si="29"/>
        <v>42675</v>
      </c>
      <c r="L369" s="67">
        <f t="shared" si="28"/>
        <v>6</v>
      </c>
      <c r="M369" s="114">
        <v>1.4833299999999999E-3</v>
      </c>
      <c r="N369" s="104">
        <f t="shared" si="27"/>
        <v>-1.5649724832</v>
      </c>
      <c r="O369" s="66"/>
      <c r="P369" s="66">
        <f t="shared" si="25"/>
        <v>0</v>
      </c>
      <c r="Q369" s="66"/>
      <c r="R369" s="66">
        <f t="shared" si="26"/>
        <v>-2.9090163666666666</v>
      </c>
      <c r="S369" s="117"/>
    </row>
    <row r="370" spans="1:19">
      <c r="A370" s="110" t="s">
        <v>626</v>
      </c>
      <c r="B370" s="111" t="s">
        <v>1724</v>
      </c>
      <c r="C370" s="111" t="s">
        <v>1725</v>
      </c>
      <c r="D370" s="112" t="s">
        <v>1726</v>
      </c>
      <c r="E370" s="111" t="s">
        <v>75</v>
      </c>
      <c r="F370" s="112" t="s">
        <v>1602</v>
      </c>
      <c r="G370" s="111" t="s">
        <v>20</v>
      </c>
      <c r="H370" s="111" t="s">
        <v>1684</v>
      </c>
      <c r="I370" s="111">
        <v>201510</v>
      </c>
      <c r="J370" s="113">
        <v>243671.01</v>
      </c>
      <c r="K370" s="72">
        <f t="shared" si="29"/>
        <v>42675</v>
      </c>
      <c r="L370" s="67">
        <f t="shared" si="28"/>
        <v>6</v>
      </c>
      <c r="M370" s="114">
        <v>1.4833299999999999E-3</v>
      </c>
      <c r="N370" s="104">
        <f t="shared" si="27"/>
        <v>2168.6671155797999</v>
      </c>
      <c r="O370" s="66"/>
      <c r="P370" s="66">
        <f t="shared" si="25"/>
        <v>0</v>
      </c>
      <c r="Q370" s="66"/>
      <c r="R370" s="66">
        <f t="shared" si="26"/>
        <v>4031.1815068937503</v>
      </c>
      <c r="S370" s="117"/>
    </row>
    <row r="371" spans="1:19">
      <c r="A371" s="110" t="s">
        <v>626</v>
      </c>
      <c r="B371" s="111" t="s">
        <v>1375</v>
      </c>
      <c r="C371" s="111" t="s">
        <v>1376</v>
      </c>
      <c r="D371" s="112" t="s">
        <v>1374</v>
      </c>
      <c r="E371" s="111" t="s">
        <v>497</v>
      </c>
      <c r="F371" s="112" t="s">
        <v>26</v>
      </c>
      <c r="G371" s="111" t="s">
        <v>20</v>
      </c>
      <c r="H371" s="111" t="s">
        <v>1684</v>
      </c>
      <c r="I371" s="111">
        <v>201510</v>
      </c>
      <c r="J371" s="113">
        <v>15764.86</v>
      </c>
      <c r="K371" s="72">
        <f t="shared" si="29"/>
        <v>42675</v>
      </c>
      <c r="L371" s="67">
        <f t="shared" si="28"/>
        <v>6</v>
      </c>
      <c r="M371" s="114">
        <v>1.4833299999999999E-3</v>
      </c>
      <c r="N371" s="104">
        <f t="shared" si="27"/>
        <v>140.30693870280001</v>
      </c>
      <c r="O371" s="66"/>
      <c r="P371" s="66">
        <f t="shared" ref="P371:P434" si="30">($P$305*J371*$U$11)</f>
        <v>0</v>
      </c>
      <c r="Q371" s="66"/>
      <c r="R371" s="66">
        <f t="shared" ref="R371:R434" si="31">($R$305*0.5*J371*$U$11)</f>
        <v>260.80661827916668</v>
      </c>
      <c r="S371" s="117"/>
    </row>
    <row r="372" spans="1:19">
      <c r="A372" s="110" t="s">
        <v>626</v>
      </c>
      <c r="B372" s="111" t="s">
        <v>1525</v>
      </c>
      <c r="C372" s="111" t="s">
        <v>1526</v>
      </c>
      <c r="D372" s="112" t="s">
        <v>1527</v>
      </c>
      <c r="E372" s="111" t="s">
        <v>75</v>
      </c>
      <c r="F372" s="112" t="s">
        <v>1602</v>
      </c>
      <c r="G372" s="111" t="s">
        <v>20</v>
      </c>
      <c r="H372" s="111" t="s">
        <v>1684</v>
      </c>
      <c r="I372" s="111">
        <v>201510</v>
      </c>
      <c r="J372" s="113">
        <v>-17.350000000000001</v>
      </c>
      <c r="K372" s="72">
        <f t="shared" si="29"/>
        <v>42675</v>
      </c>
      <c r="L372" s="67">
        <f t="shared" si="28"/>
        <v>6</v>
      </c>
      <c r="M372" s="114">
        <v>1.4833299999999999E-3</v>
      </c>
      <c r="N372" s="104">
        <f t="shared" si="27"/>
        <v>-0.15441465300000001</v>
      </c>
      <c r="O372" s="66"/>
      <c r="P372" s="66">
        <f t="shared" si="30"/>
        <v>0</v>
      </c>
      <c r="Q372" s="66"/>
      <c r="R372" s="66">
        <f t="shared" si="31"/>
        <v>-0.28703044791666671</v>
      </c>
      <c r="S372" s="117"/>
    </row>
    <row r="373" spans="1:19">
      <c r="A373" s="110" t="s">
        <v>626</v>
      </c>
      <c r="B373" s="111" t="s">
        <v>1528</v>
      </c>
      <c r="C373" s="111" t="s">
        <v>1529</v>
      </c>
      <c r="D373" s="112" t="s">
        <v>1495</v>
      </c>
      <c r="E373" s="111" t="s">
        <v>75</v>
      </c>
      <c r="F373" s="112" t="s">
        <v>1602</v>
      </c>
      <c r="G373" s="111" t="s">
        <v>20</v>
      </c>
      <c r="H373" s="111" t="s">
        <v>1684</v>
      </c>
      <c r="I373" s="111">
        <v>201510</v>
      </c>
      <c r="J373" s="113">
        <v>-57.84</v>
      </c>
      <c r="K373" s="72">
        <f t="shared" si="29"/>
        <v>42675</v>
      </c>
      <c r="L373" s="67">
        <f t="shared" si="28"/>
        <v>6</v>
      </c>
      <c r="M373" s="114">
        <v>1.4833299999999999E-3</v>
      </c>
      <c r="N373" s="104">
        <f t="shared" si="27"/>
        <v>-0.5147748432</v>
      </c>
      <c r="O373" s="66"/>
      <c r="P373" s="66">
        <f t="shared" si="30"/>
        <v>0</v>
      </c>
      <c r="Q373" s="66"/>
      <c r="R373" s="66">
        <f t="shared" si="31"/>
        <v>-0.95687845000000005</v>
      </c>
      <c r="S373" s="117"/>
    </row>
    <row r="374" spans="1:19">
      <c r="A374" s="110" t="s">
        <v>21</v>
      </c>
      <c r="B374" s="111" t="s">
        <v>1727</v>
      </c>
      <c r="C374" s="111" t="s">
        <v>1728</v>
      </c>
      <c r="D374" s="112" t="s">
        <v>1729</v>
      </c>
      <c r="E374" s="111" t="s">
        <v>75</v>
      </c>
      <c r="F374" s="112" t="s">
        <v>1602</v>
      </c>
      <c r="G374" s="111" t="s">
        <v>20</v>
      </c>
      <c r="H374" s="111" t="s">
        <v>1684</v>
      </c>
      <c r="I374" s="111">
        <v>201510</v>
      </c>
      <c r="J374" s="113">
        <v>310628.02</v>
      </c>
      <c r="K374" s="72">
        <f t="shared" si="29"/>
        <v>42675</v>
      </c>
      <c r="L374" s="67">
        <f t="shared" si="28"/>
        <v>6</v>
      </c>
      <c r="M374" s="114">
        <v>1.4833299999999999E-3</v>
      </c>
      <c r="N374" s="104">
        <f t="shared" si="27"/>
        <v>2764.5831654396002</v>
      </c>
      <c r="O374" s="66"/>
      <c r="P374" s="66">
        <f t="shared" si="30"/>
        <v>0</v>
      </c>
      <c r="Q374" s="66"/>
      <c r="R374" s="66">
        <f t="shared" si="31"/>
        <v>5138.8875917041669</v>
      </c>
      <c r="S374" s="117"/>
    </row>
    <row r="375" spans="1:19">
      <c r="A375" s="116" t="s">
        <v>990</v>
      </c>
      <c r="B375" s="111" t="s">
        <v>1730</v>
      </c>
      <c r="C375" s="111" t="s">
        <v>1731</v>
      </c>
      <c r="D375" s="112" t="s">
        <v>1732</v>
      </c>
      <c r="E375" s="111" t="s">
        <v>1688</v>
      </c>
      <c r="F375" s="112" t="s">
        <v>1689</v>
      </c>
      <c r="G375" s="111" t="s">
        <v>20</v>
      </c>
      <c r="H375" s="111" t="s">
        <v>1684</v>
      </c>
      <c r="I375" s="111">
        <v>201510</v>
      </c>
      <c r="J375" s="113">
        <v>1355.89</v>
      </c>
      <c r="K375" s="72">
        <f t="shared" si="29"/>
        <v>42675</v>
      </c>
      <c r="L375" s="67">
        <f t="shared" si="28"/>
        <v>6</v>
      </c>
      <c r="M375" s="114">
        <v>2.0333333000000001E-3</v>
      </c>
      <c r="N375" s="104">
        <f t="shared" si="27"/>
        <v>16.541857728822002</v>
      </c>
      <c r="O375" s="66"/>
      <c r="P375" s="66">
        <f t="shared" si="30"/>
        <v>0</v>
      </c>
      <c r="Q375" s="66"/>
      <c r="R375" s="66">
        <f t="shared" si="31"/>
        <v>22.431222710416666</v>
      </c>
      <c r="S375" s="117"/>
    </row>
    <row r="376" spans="1:19">
      <c r="A376" s="116" t="s">
        <v>990</v>
      </c>
      <c r="B376" s="111" t="s">
        <v>1733</v>
      </c>
      <c r="C376" s="111" t="s">
        <v>1734</v>
      </c>
      <c r="D376" s="112" t="s">
        <v>1735</v>
      </c>
      <c r="E376" s="111" t="s">
        <v>1688</v>
      </c>
      <c r="F376" s="112" t="s">
        <v>1689</v>
      </c>
      <c r="G376" s="111" t="s">
        <v>20</v>
      </c>
      <c r="H376" s="111" t="s">
        <v>1684</v>
      </c>
      <c r="I376" s="111">
        <v>201510</v>
      </c>
      <c r="J376" s="113">
        <v>1793.78</v>
      </c>
      <c r="K376" s="72">
        <f t="shared" si="29"/>
        <v>42675</v>
      </c>
      <c r="L376" s="67">
        <f t="shared" si="28"/>
        <v>6</v>
      </c>
      <c r="M376" s="114">
        <v>2.0333333000000001E-3</v>
      </c>
      <c r="N376" s="104">
        <f t="shared" si="27"/>
        <v>21.884115641243998</v>
      </c>
      <c r="O376" s="66"/>
      <c r="P376" s="66">
        <f t="shared" si="30"/>
        <v>0</v>
      </c>
      <c r="Q376" s="66"/>
      <c r="R376" s="66">
        <f t="shared" si="31"/>
        <v>29.675474170833333</v>
      </c>
      <c r="S376" s="117"/>
    </row>
    <row r="377" spans="1:19">
      <c r="A377" s="110" t="s">
        <v>626</v>
      </c>
      <c r="B377" s="111" t="s">
        <v>1736</v>
      </c>
      <c r="C377" s="111" t="s">
        <v>1737</v>
      </c>
      <c r="D377" s="112" t="s">
        <v>1738</v>
      </c>
      <c r="E377" s="111" t="s">
        <v>164</v>
      </c>
      <c r="F377" s="112" t="s">
        <v>1600</v>
      </c>
      <c r="G377" s="111" t="s">
        <v>20</v>
      </c>
      <c r="H377" s="111" t="s">
        <v>1684</v>
      </c>
      <c r="I377" s="111">
        <v>201510</v>
      </c>
      <c r="J377" s="113">
        <v>1253007.1200000001</v>
      </c>
      <c r="K377" s="72">
        <f t="shared" si="29"/>
        <v>42675</v>
      </c>
      <c r="L377" s="67">
        <f t="shared" si="28"/>
        <v>6</v>
      </c>
      <c r="M377" s="114">
        <v>1.4833299999999999E-3</v>
      </c>
      <c r="N377" s="104">
        <f t="shared" si="27"/>
        <v>11151.7383078576</v>
      </c>
      <c r="O377" s="66"/>
      <c r="P377" s="66">
        <f t="shared" si="30"/>
        <v>0</v>
      </c>
      <c r="Q377" s="66"/>
      <c r="R377" s="66">
        <f t="shared" si="31"/>
        <v>20729.175498350003</v>
      </c>
      <c r="S377" s="117"/>
    </row>
    <row r="378" spans="1:19">
      <c r="A378" s="110" t="s">
        <v>626</v>
      </c>
      <c r="B378" s="111" t="s">
        <v>1739</v>
      </c>
      <c r="C378" s="111" t="s">
        <v>1740</v>
      </c>
      <c r="D378" s="112" t="s">
        <v>1741</v>
      </c>
      <c r="E378" s="111" t="s">
        <v>164</v>
      </c>
      <c r="F378" s="112" t="s">
        <v>1600</v>
      </c>
      <c r="G378" s="111" t="s">
        <v>20</v>
      </c>
      <c r="H378" s="111" t="s">
        <v>1684</v>
      </c>
      <c r="I378" s="111">
        <v>201510</v>
      </c>
      <c r="J378" s="113">
        <v>914041.1</v>
      </c>
      <c r="K378" s="72">
        <f t="shared" si="29"/>
        <v>42675</v>
      </c>
      <c r="L378" s="67">
        <f t="shared" si="28"/>
        <v>6</v>
      </c>
      <c r="M378" s="114">
        <v>1.4833299999999999E-3</v>
      </c>
      <c r="N378" s="104">
        <f t="shared" si="27"/>
        <v>8134.9475091779996</v>
      </c>
      <c r="O378" s="66"/>
      <c r="P378" s="66">
        <f t="shared" si="30"/>
        <v>0</v>
      </c>
      <c r="Q378" s="66"/>
      <c r="R378" s="66">
        <f t="shared" si="31"/>
        <v>15121.477022895833</v>
      </c>
      <c r="S378" s="117"/>
    </row>
    <row r="379" spans="1:19">
      <c r="A379" s="110" t="s">
        <v>626</v>
      </c>
      <c r="B379" s="111" t="s">
        <v>1632</v>
      </c>
      <c r="C379" s="111" t="s">
        <v>1633</v>
      </c>
      <c r="D379" s="112" t="s">
        <v>1634</v>
      </c>
      <c r="E379" s="111" t="s">
        <v>471</v>
      </c>
      <c r="F379" s="112" t="s">
        <v>165</v>
      </c>
      <c r="G379" s="111" t="s">
        <v>20</v>
      </c>
      <c r="H379" s="111" t="s">
        <v>1684</v>
      </c>
      <c r="I379" s="111">
        <v>201510</v>
      </c>
      <c r="J379" s="113">
        <v>2072.62</v>
      </c>
      <c r="K379" s="72">
        <f t="shared" si="29"/>
        <v>42675</v>
      </c>
      <c r="L379" s="67">
        <f t="shared" si="28"/>
        <v>6</v>
      </c>
      <c r="M379" s="114">
        <v>1.4833299999999999E-3</v>
      </c>
      <c r="N379" s="104">
        <f t="shared" si="27"/>
        <v>18.4462765476</v>
      </c>
      <c r="O379" s="66"/>
      <c r="P379" s="66">
        <f t="shared" si="30"/>
        <v>0</v>
      </c>
      <c r="Q379" s="66"/>
      <c r="R379" s="66">
        <f t="shared" si="31"/>
        <v>34.288475329166666</v>
      </c>
      <c r="S379" s="117"/>
    </row>
    <row r="380" spans="1:19">
      <c r="A380" s="110" t="s">
        <v>21</v>
      </c>
      <c r="B380" s="111" t="s">
        <v>1400</v>
      </c>
      <c r="C380" s="111" t="s">
        <v>1401</v>
      </c>
      <c r="D380" s="112" t="s">
        <v>1402</v>
      </c>
      <c r="E380" s="111" t="s">
        <v>360</v>
      </c>
      <c r="F380" s="112" t="s">
        <v>19</v>
      </c>
      <c r="G380" s="111" t="s">
        <v>20</v>
      </c>
      <c r="H380" s="111" t="s">
        <v>1684</v>
      </c>
      <c r="I380" s="111">
        <v>201510</v>
      </c>
      <c r="J380" s="113">
        <v>-0.01</v>
      </c>
      <c r="K380" s="72">
        <f t="shared" si="29"/>
        <v>42675</v>
      </c>
      <c r="L380" s="67">
        <f t="shared" si="28"/>
        <v>6</v>
      </c>
      <c r="M380" s="114">
        <v>1.4833299999999999E-3</v>
      </c>
      <c r="N380" s="104">
        <f t="shared" si="27"/>
        <v>-8.8999800000000008E-5</v>
      </c>
      <c r="O380" s="66"/>
      <c r="P380" s="66">
        <f t="shared" si="30"/>
        <v>0</v>
      </c>
      <c r="Q380" s="66"/>
      <c r="R380" s="66">
        <f t="shared" si="31"/>
        <v>-1.6543541666666668E-4</v>
      </c>
      <c r="S380" s="117"/>
    </row>
    <row r="381" spans="1:19">
      <c r="A381" s="110" t="s">
        <v>626</v>
      </c>
      <c r="B381" s="111" t="s">
        <v>1693</v>
      </c>
      <c r="C381" s="111" t="s">
        <v>1694</v>
      </c>
      <c r="D381" s="112" t="s">
        <v>1695</v>
      </c>
      <c r="E381" s="111" t="s">
        <v>809</v>
      </c>
      <c r="F381" s="112" t="s">
        <v>26</v>
      </c>
      <c r="G381" s="111" t="s">
        <v>20</v>
      </c>
      <c r="H381" s="111" t="s">
        <v>1684</v>
      </c>
      <c r="I381" s="111">
        <v>201510</v>
      </c>
      <c r="J381" s="113">
        <v>1829.7</v>
      </c>
      <c r="K381" s="72">
        <f t="shared" si="29"/>
        <v>42675</v>
      </c>
      <c r="L381" s="67">
        <f t="shared" si="28"/>
        <v>6</v>
      </c>
      <c r="M381" s="114">
        <v>1.4833299999999999E-3</v>
      </c>
      <c r="N381" s="104">
        <f t="shared" si="27"/>
        <v>16.284293406</v>
      </c>
      <c r="O381" s="66"/>
      <c r="P381" s="66">
        <f t="shared" si="30"/>
        <v>0</v>
      </c>
      <c r="Q381" s="66"/>
      <c r="R381" s="66">
        <f t="shared" si="31"/>
        <v>30.269718187500004</v>
      </c>
      <c r="S381" s="117"/>
    </row>
    <row r="382" spans="1:19">
      <c r="A382" s="110" t="s">
        <v>626</v>
      </c>
      <c r="B382" s="111" t="s">
        <v>1742</v>
      </c>
      <c r="C382" s="111" t="s">
        <v>1743</v>
      </c>
      <c r="D382" s="112" t="s">
        <v>1744</v>
      </c>
      <c r="E382" s="111" t="s">
        <v>497</v>
      </c>
      <c r="F382" s="112" t="s">
        <v>26</v>
      </c>
      <c r="G382" s="111" t="s">
        <v>20</v>
      </c>
      <c r="H382" s="111" t="s">
        <v>1684</v>
      </c>
      <c r="I382" s="111">
        <v>201510</v>
      </c>
      <c r="J382" s="113">
        <v>23262.29</v>
      </c>
      <c r="K382" s="72">
        <f t="shared" si="29"/>
        <v>42675</v>
      </c>
      <c r="L382" s="67">
        <f t="shared" si="28"/>
        <v>6</v>
      </c>
      <c r="M382" s="114">
        <v>1.4833299999999999E-3</v>
      </c>
      <c r="N382" s="104">
        <f t="shared" si="27"/>
        <v>207.0339157542</v>
      </c>
      <c r="O382" s="66"/>
      <c r="P382" s="66">
        <f t="shared" si="30"/>
        <v>0</v>
      </c>
      <c r="Q382" s="66"/>
      <c r="R382" s="66">
        <f t="shared" si="31"/>
        <v>384.84066387708333</v>
      </c>
      <c r="S382" s="117"/>
    </row>
    <row r="383" spans="1:19">
      <c r="A383" s="110" t="s">
        <v>626</v>
      </c>
      <c r="B383" s="111" t="s">
        <v>1745</v>
      </c>
      <c r="C383" s="111" t="s">
        <v>1746</v>
      </c>
      <c r="D383" s="112" t="s">
        <v>1747</v>
      </c>
      <c r="E383" s="111" t="s">
        <v>497</v>
      </c>
      <c r="F383" s="112" t="s">
        <v>26</v>
      </c>
      <c r="G383" s="111" t="s">
        <v>20</v>
      </c>
      <c r="H383" s="111" t="s">
        <v>1684</v>
      </c>
      <c r="I383" s="111">
        <v>201510</v>
      </c>
      <c r="J383" s="113">
        <v>155647.63</v>
      </c>
      <c r="K383" s="72">
        <f t="shared" si="29"/>
        <v>42675</v>
      </c>
      <c r="L383" s="67">
        <f t="shared" si="28"/>
        <v>6</v>
      </c>
      <c r="M383" s="114">
        <v>1.4833299999999999E-3</v>
      </c>
      <c r="N383" s="104">
        <f t="shared" si="27"/>
        <v>1385.2607940473999</v>
      </c>
      <c r="O383" s="66"/>
      <c r="P383" s="66">
        <f t="shared" si="30"/>
        <v>0</v>
      </c>
      <c r="Q383" s="66"/>
      <c r="R383" s="66">
        <f t="shared" si="31"/>
        <v>2574.9630522229168</v>
      </c>
      <c r="S383" s="117"/>
    </row>
    <row r="384" spans="1:19">
      <c r="A384" s="110" t="s">
        <v>626</v>
      </c>
      <c r="B384" s="111" t="s">
        <v>1748</v>
      </c>
      <c r="C384" s="111" t="s">
        <v>1749</v>
      </c>
      <c r="D384" s="112" t="s">
        <v>1750</v>
      </c>
      <c r="E384" s="111" t="s">
        <v>75</v>
      </c>
      <c r="F384" s="112" t="s">
        <v>1602</v>
      </c>
      <c r="G384" s="111" t="s">
        <v>20</v>
      </c>
      <c r="H384" s="111" t="s">
        <v>1684</v>
      </c>
      <c r="I384" s="111">
        <v>201510</v>
      </c>
      <c r="J384" s="113">
        <v>233198.4</v>
      </c>
      <c r="K384" s="72">
        <f t="shared" si="29"/>
        <v>42675</v>
      </c>
      <c r="L384" s="67">
        <f t="shared" si="28"/>
        <v>6</v>
      </c>
      <c r="M384" s="114">
        <v>1.4833299999999999E-3</v>
      </c>
      <c r="N384" s="104">
        <f t="shared" si="27"/>
        <v>2075.4610960320001</v>
      </c>
      <c r="O384" s="66"/>
      <c r="P384" s="66">
        <f t="shared" si="30"/>
        <v>0</v>
      </c>
      <c r="Q384" s="66"/>
      <c r="R384" s="66">
        <f t="shared" si="31"/>
        <v>3857.927447</v>
      </c>
      <c r="S384" s="117"/>
    </row>
    <row r="385" spans="1:19">
      <c r="A385" s="110" t="s">
        <v>21</v>
      </c>
      <c r="B385" s="111" t="s">
        <v>1646</v>
      </c>
      <c r="C385" s="111" t="s">
        <v>1647</v>
      </c>
      <c r="D385" s="112" t="s">
        <v>1648</v>
      </c>
      <c r="E385" s="111" t="s">
        <v>402</v>
      </c>
      <c r="F385" s="112" t="s">
        <v>19</v>
      </c>
      <c r="G385" s="111" t="s">
        <v>20</v>
      </c>
      <c r="H385" s="111" t="s">
        <v>1684</v>
      </c>
      <c r="I385" s="111">
        <v>201510</v>
      </c>
      <c r="J385" s="113">
        <v>-0.47</v>
      </c>
      <c r="K385" s="72">
        <f t="shared" si="29"/>
        <v>42675</v>
      </c>
      <c r="L385" s="67">
        <f t="shared" si="28"/>
        <v>6</v>
      </c>
      <c r="M385" s="114">
        <v>1.4833299999999999E-3</v>
      </c>
      <c r="N385" s="104">
        <f t="shared" si="27"/>
        <v>-4.1829905999999995E-3</v>
      </c>
      <c r="O385" s="66"/>
      <c r="P385" s="66">
        <f t="shared" si="30"/>
        <v>0</v>
      </c>
      <c r="Q385" s="66"/>
      <c r="R385" s="66">
        <f t="shared" si="31"/>
        <v>-7.7754645833333332E-3</v>
      </c>
      <c r="S385" s="117"/>
    </row>
    <row r="386" spans="1:19">
      <c r="A386" s="116" t="s">
        <v>990</v>
      </c>
      <c r="B386" s="111" t="s">
        <v>1751</v>
      </c>
      <c r="C386" s="111" t="s">
        <v>1752</v>
      </c>
      <c r="D386" s="112" t="s">
        <v>1753</v>
      </c>
      <c r="E386" s="111" t="s">
        <v>1688</v>
      </c>
      <c r="F386" s="112" t="s">
        <v>1689</v>
      </c>
      <c r="G386" s="111" t="s">
        <v>20</v>
      </c>
      <c r="H386" s="111" t="s">
        <v>1684</v>
      </c>
      <c r="I386" s="111">
        <v>201510</v>
      </c>
      <c r="J386" s="113">
        <v>1279.42</v>
      </c>
      <c r="K386" s="72">
        <f t="shared" si="29"/>
        <v>42675</v>
      </c>
      <c r="L386" s="67">
        <f t="shared" si="28"/>
        <v>6</v>
      </c>
      <c r="M386" s="114">
        <v>2.0333333000000001E-3</v>
      </c>
      <c r="N386" s="104">
        <f t="shared" si="27"/>
        <v>15.608923744116</v>
      </c>
      <c r="O386" s="66"/>
      <c r="P386" s="66">
        <f t="shared" si="30"/>
        <v>0</v>
      </c>
      <c r="Q386" s="66"/>
      <c r="R386" s="66">
        <f t="shared" si="31"/>
        <v>21.166138079166668</v>
      </c>
      <c r="S386" s="117"/>
    </row>
    <row r="387" spans="1:19">
      <c r="A387" s="116" t="s">
        <v>990</v>
      </c>
      <c r="B387" s="111" t="s">
        <v>1754</v>
      </c>
      <c r="C387" s="111" t="s">
        <v>1755</v>
      </c>
      <c r="D387" s="112" t="s">
        <v>1756</v>
      </c>
      <c r="E387" s="111" t="s">
        <v>1688</v>
      </c>
      <c r="F387" s="112" t="s">
        <v>1689</v>
      </c>
      <c r="G387" s="111" t="s">
        <v>20</v>
      </c>
      <c r="H387" s="111" t="s">
        <v>1684</v>
      </c>
      <c r="I387" s="111">
        <v>201510</v>
      </c>
      <c r="J387" s="113">
        <v>3309.62</v>
      </c>
      <c r="K387" s="72">
        <f t="shared" si="29"/>
        <v>42675</v>
      </c>
      <c r="L387" s="67">
        <f t="shared" si="28"/>
        <v>6</v>
      </c>
      <c r="M387" s="114">
        <v>2.0333333000000001E-3</v>
      </c>
      <c r="N387" s="104">
        <f t="shared" si="27"/>
        <v>40.377363338075995</v>
      </c>
      <c r="O387" s="66"/>
      <c r="P387" s="66">
        <f t="shared" si="30"/>
        <v>0</v>
      </c>
      <c r="Q387" s="66"/>
      <c r="R387" s="66">
        <f t="shared" si="31"/>
        <v>54.752836370833336</v>
      </c>
      <c r="S387" s="117"/>
    </row>
    <row r="388" spans="1:19">
      <c r="A388" s="110" t="s">
        <v>626</v>
      </c>
      <c r="B388" s="111" t="s">
        <v>1699</v>
      </c>
      <c r="C388" s="111" t="s">
        <v>1700</v>
      </c>
      <c r="D388" s="112" t="s">
        <v>1701</v>
      </c>
      <c r="E388" s="111" t="s">
        <v>544</v>
      </c>
      <c r="F388" s="112" t="s">
        <v>26</v>
      </c>
      <c r="G388" s="111" t="s">
        <v>20</v>
      </c>
      <c r="H388" s="111" t="s">
        <v>1684</v>
      </c>
      <c r="I388" s="111">
        <v>201510</v>
      </c>
      <c r="J388" s="113">
        <v>219.23</v>
      </c>
      <c r="K388" s="72">
        <f t="shared" si="29"/>
        <v>42675</v>
      </c>
      <c r="L388" s="67">
        <f t="shared" si="28"/>
        <v>6</v>
      </c>
      <c r="M388" s="114">
        <v>1.4833299999999999E-3</v>
      </c>
      <c r="N388" s="104">
        <f t="shared" si="27"/>
        <v>1.9511426154</v>
      </c>
      <c r="O388" s="66"/>
      <c r="P388" s="66">
        <f t="shared" si="30"/>
        <v>0</v>
      </c>
      <c r="Q388" s="66"/>
      <c r="R388" s="66">
        <f t="shared" si="31"/>
        <v>3.6268406395833335</v>
      </c>
      <c r="S388" s="117"/>
    </row>
    <row r="389" spans="1:19">
      <c r="A389" s="110" t="s">
        <v>626</v>
      </c>
      <c r="B389" s="111" t="s">
        <v>1757</v>
      </c>
      <c r="C389" s="111" t="s">
        <v>1758</v>
      </c>
      <c r="D389" s="112" t="s">
        <v>1759</v>
      </c>
      <c r="E389" s="111" t="s">
        <v>75</v>
      </c>
      <c r="F389" s="112" t="s">
        <v>1602</v>
      </c>
      <c r="G389" s="111" t="s">
        <v>20</v>
      </c>
      <c r="H389" s="111" t="s">
        <v>1684</v>
      </c>
      <c r="I389" s="111">
        <v>201510</v>
      </c>
      <c r="J389" s="113">
        <v>46359.87</v>
      </c>
      <c r="K389" s="72">
        <f t="shared" si="29"/>
        <v>42675</v>
      </c>
      <c r="L389" s="67">
        <f t="shared" si="28"/>
        <v>6</v>
      </c>
      <c r="M389" s="114">
        <v>1.4833299999999999E-3</v>
      </c>
      <c r="N389" s="104">
        <f t="shared" si="27"/>
        <v>412.60191580260005</v>
      </c>
      <c r="O389" s="66"/>
      <c r="P389" s="66">
        <f t="shared" si="30"/>
        <v>0</v>
      </c>
      <c r="Q389" s="66"/>
      <c r="R389" s="66">
        <f t="shared" si="31"/>
        <v>766.95644100625009</v>
      </c>
      <c r="S389" s="117"/>
    </row>
    <row r="390" spans="1:19">
      <c r="A390" s="110" t="s">
        <v>626</v>
      </c>
      <c r="B390" s="111" t="s">
        <v>1760</v>
      </c>
      <c r="C390" s="111" t="s">
        <v>1761</v>
      </c>
      <c r="D390" s="112" t="s">
        <v>1388</v>
      </c>
      <c r="E390" s="111" t="s">
        <v>164</v>
      </c>
      <c r="F390" s="112" t="s">
        <v>1600</v>
      </c>
      <c r="G390" s="111" t="s">
        <v>20</v>
      </c>
      <c r="H390" s="111" t="s">
        <v>1684</v>
      </c>
      <c r="I390" s="111">
        <v>201510</v>
      </c>
      <c r="J390" s="113">
        <v>23951.5</v>
      </c>
      <c r="K390" s="72">
        <f t="shared" si="29"/>
        <v>42675</v>
      </c>
      <c r="L390" s="67">
        <f t="shared" ref="L390:L453" si="32">((YEAR($L$1)-YEAR(K390))*12+MONTH($L$1)-MONTH(K390))</f>
        <v>6</v>
      </c>
      <c r="M390" s="114">
        <v>1.4833299999999999E-3</v>
      </c>
      <c r="N390" s="104">
        <f t="shared" ref="N390:N453" si="33">M390*L390*J390</f>
        <v>213.16787097</v>
      </c>
      <c r="O390" s="66"/>
      <c r="P390" s="66">
        <f t="shared" si="30"/>
        <v>0</v>
      </c>
      <c r="Q390" s="66"/>
      <c r="R390" s="66">
        <f t="shared" si="31"/>
        <v>396.24263822916669</v>
      </c>
      <c r="S390" s="117"/>
    </row>
    <row r="391" spans="1:19">
      <c r="A391" s="110" t="s">
        <v>626</v>
      </c>
      <c r="B391" s="111" t="s">
        <v>1762</v>
      </c>
      <c r="C391" s="111" t="s">
        <v>1763</v>
      </c>
      <c r="D391" s="112" t="s">
        <v>1344</v>
      </c>
      <c r="E391" s="111" t="s">
        <v>164</v>
      </c>
      <c r="F391" s="112" t="s">
        <v>1600</v>
      </c>
      <c r="G391" s="111" t="s">
        <v>20</v>
      </c>
      <c r="H391" s="111" t="s">
        <v>1684</v>
      </c>
      <c r="I391" s="111">
        <v>201510</v>
      </c>
      <c r="J391" s="113">
        <v>8281.9500000000007</v>
      </c>
      <c r="K391" s="72">
        <f t="shared" ref="K391:K454" si="34">+K390</f>
        <v>42675</v>
      </c>
      <c r="L391" s="67">
        <f t="shared" si="32"/>
        <v>6</v>
      </c>
      <c r="M391" s="114">
        <v>1.4833299999999999E-3</v>
      </c>
      <c r="N391" s="104">
        <f t="shared" si="33"/>
        <v>73.709189361</v>
      </c>
      <c r="O391" s="66"/>
      <c r="P391" s="66">
        <f t="shared" si="30"/>
        <v>0</v>
      </c>
      <c r="Q391" s="66"/>
      <c r="R391" s="66">
        <f t="shared" si="31"/>
        <v>137.01278490625</v>
      </c>
      <c r="S391" s="117"/>
    </row>
    <row r="392" spans="1:19">
      <c r="A392" s="110" t="s">
        <v>626</v>
      </c>
      <c r="B392" s="111" t="s">
        <v>1764</v>
      </c>
      <c r="C392" s="111" t="s">
        <v>1765</v>
      </c>
      <c r="D392" s="112" t="s">
        <v>1766</v>
      </c>
      <c r="E392" s="111" t="s">
        <v>156</v>
      </c>
      <c r="F392" s="112" t="s">
        <v>26</v>
      </c>
      <c r="G392" s="111" t="s">
        <v>20</v>
      </c>
      <c r="H392" s="111" t="s">
        <v>1684</v>
      </c>
      <c r="I392" s="111">
        <v>201510</v>
      </c>
      <c r="J392" s="113">
        <v>31814.07</v>
      </c>
      <c r="K392" s="72">
        <f t="shared" si="34"/>
        <v>42675</v>
      </c>
      <c r="L392" s="67">
        <f t="shared" si="32"/>
        <v>6</v>
      </c>
      <c r="M392" s="114">
        <v>1.4833299999999999E-3</v>
      </c>
      <c r="N392" s="104">
        <f t="shared" si="33"/>
        <v>283.14458671860001</v>
      </c>
      <c r="O392" s="66"/>
      <c r="P392" s="66">
        <f t="shared" si="30"/>
        <v>0</v>
      </c>
      <c r="Q392" s="66"/>
      <c r="R392" s="66">
        <f t="shared" si="31"/>
        <v>526.31739263124996</v>
      </c>
      <c r="S392" s="117"/>
    </row>
    <row r="393" spans="1:19">
      <c r="A393" s="116" t="s">
        <v>21</v>
      </c>
      <c r="B393" s="111" t="s">
        <v>1767</v>
      </c>
      <c r="C393" s="111" t="s">
        <v>1768</v>
      </c>
      <c r="D393" s="112" t="s">
        <v>1769</v>
      </c>
      <c r="E393" s="111" t="s">
        <v>1413</v>
      </c>
      <c r="F393" s="112" t="s">
        <v>88</v>
      </c>
      <c r="G393" s="111" t="s">
        <v>20</v>
      </c>
      <c r="H393" s="111" t="s">
        <v>929</v>
      </c>
      <c r="I393" s="111">
        <v>201510</v>
      </c>
      <c r="J393" s="113">
        <v>5809.34</v>
      </c>
      <c r="K393" s="72">
        <f t="shared" si="34"/>
        <v>42675</v>
      </c>
      <c r="L393" s="67">
        <f t="shared" si="32"/>
        <v>6</v>
      </c>
      <c r="M393" s="114">
        <v>1.4833299999999999E-3</v>
      </c>
      <c r="N393" s="104">
        <f t="shared" si="33"/>
        <v>51.703009813200005</v>
      </c>
      <c r="O393" s="66"/>
      <c r="P393" s="66">
        <f t="shared" si="30"/>
        <v>0</v>
      </c>
      <c r="Q393" s="66"/>
      <c r="R393" s="66">
        <f t="shared" si="31"/>
        <v>96.107058345833337</v>
      </c>
      <c r="S393" s="117"/>
    </row>
    <row r="394" spans="1:19">
      <c r="A394" s="116" t="s">
        <v>127</v>
      </c>
      <c r="B394" s="111" t="s">
        <v>1032</v>
      </c>
      <c r="C394" s="111" t="s">
        <v>1033</v>
      </c>
      <c r="D394" s="112" t="s">
        <v>1034</v>
      </c>
      <c r="E394" s="111" t="s">
        <v>209</v>
      </c>
      <c r="F394" s="112" t="s">
        <v>1612</v>
      </c>
      <c r="G394" s="111" t="s">
        <v>20</v>
      </c>
      <c r="H394" s="111" t="s">
        <v>929</v>
      </c>
      <c r="I394" s="111">
        <v>201510</v>
      </c>
      <c r="J394" s="113">
        <v>3.65</v>
      </c>
      <c r="K394" s="72">
        <f t="shared" si="34"/>
        <v>42675</v>
      </c>
      <c r="L394" s="67">
        <f t="shared" si="32"/>
        <v>6</v>
      </c>
      <c r="M394" s="114">
        <v>2.3833299999999999E-3</v>
      </c>
      <c r="N394" s="104">
        <f t="shared" si="33"/>
        <v>5.2194927000000002E-2</v>
      </c>
      <c r="O394" s="66"/>
      <c r="P394" s="66">
        <f t="shared" si="30"/>
        <v>0</v>
      </c>
      <c r="Q394" s="66"/>
      <c r="R394" s="66">
        <f t="shared" si="31"/>
        <v>6.038392708333333E-2</v>
      </c>
      <c r="S394" s="117"/>
    </row>
    <row r="395" spans="1:19">
      <c r="A395" s="116" t="s">
        <v>21</v>
      </c>
      <c r="B395" s="111" t="s">
        <v>1461</v>
      </c>
      <c r="C395" s="111" t="s">
        <v>1462</v>
      </c>
      <c r="D395" s="112" t="s">
        <v>1463</v>
      </c>
      <c r="E395" s="111" t="s">
        <v>209</v>
      </c>
      <c r="F395" s="112" t="s">
        <v>1612</v>
      </c>
      <c r="G395" s="111" t="s">
        <v>20</v>
      </c>
      <c r="H395" s="111" t="s">
        <v>929</v>
      </c>
      <c r="I395" s="111">
        <v>201510</v>
      </c>
      <c r="J395" s="113">
        <v>-10.17</v>
      </c>
      <c r="K395" s="72">
        <f t="shared" si="34"/>
        <v>42675</v>
      </c>
      <c r="L395" s="67">
        <f t="shared" si="32"/>
        <v>6</v>
      </c>
      <c r="M395" s="114">
        <v>1.4833299999999999E-3</v>
      </c>
      <c r="N395" s="104">
        <f t="shared" si="33"/>
        <v>-9.0512796600000001E-2</v>
      </c>
      <c r="O395" s="66"/>
      <c r="P395" s="66">
        <f t="shared" si="30"/>
        <v>0</v>
      </c>
      <c r="Q395" s="66"/>
      <c r="R395" s="66">
        <f t="shared" si="31"/>
        <v>-0.16824781875</v>
      </c>
      <c r="S395" s="117"/>
    </row>
    <row r="396" spans="1:19">
      <c r="A396" s="110" t="s">
        <v>626</v>
      </c>
      <c r="B396" s="111" t="s">
        <v>1410</v>
      </c>
      <c r="C396" s="111" t="s">
        <v>1411</v>
      </c>
      <c r="D396" s="112" t="s">
        <v>1412</v>
      </c>
      <c r="E396" s="111" t="s">
        <v>1413</v>
      </c>
      <c r="F396" s="112" t="s">
        <v>88</v>
      </c>
      <c r="G396" s="111" t="s">
        <v>20</v>
      </c>
      <c r="H396" s="111" t="s">
        <v>929</v>
      </c>
      <c r="I396" s="111">
        <v>201510</v>
      </c>
      <c r="J396" s="113">
        <v>-2.5499999999999998</v>
      </c>
      <c r="K396" s="72">
        <f t="shared" si="34"/>
        <v>42675</v>
      </c>
      <c r="L396" s="67">
        <f t="shared" si="32"/>
        <v>6</v>
      </c>
      <c r="M396" s="114">
        <v>1.4833299999999999E-3</v>
      </c>
      <c r="N396" s="104">
        <f t="shared" si="33"/>
        <v>-2.2694948999999999E-2</v>
      </c>
      <c r="O396" s="66"/>
      <c r="P396" s="66">
        <f t="shared" si="30"/>
        <v>0</v>
      </c>
      <c r="Q396" s="66"/>
      <c r="R396" s="66">
        <f t="shared" si="31"/>
        <v>-4.2186031249999992E-2</v>
      </c>
      <c r="S396" s="117"/>
    </row>
    <row r="397" spans="1:19">
      <c r="A397" s="110" t="s">
        <v>626</v>
      </c>
      <c r="B397" s="111" t="s">
        <v>1145</v>
      </c>
      <c r="C397" s="111" t="s">
        <v>1146</v>
      </c>
      <c r="D397" s="112" t="s">
        <v>1147</v>
      </c>
      <c r="E397" s="111" t="s">
        <v>962</v>
      </c>
      <c r="F397" s="112" t="s">
        <v>88</v>
      </c>
      <c r="G397" s="111" t="s">
        <v>20</v>
      </c>
      <c r="H397" s="111" t="s">
        <v>929</v>
      </c>
      <c r="I397" s="111">
        <v>201510</v>
      </c>
      <c r="J397" s="113">
        <v>-71.45</v>
      </c>
      <c r="K397" s="72">
        <f t="shared" si="34"/>
        <v>42675</v>
      </c>
      <c r="L397" s="67">
        <f t="shared" si="32"/>
        <v>6</v>
      </c>
      <c r="M397" s="114">
        <v>1.4833299999999999E-3</v>
      </c>
      <c r="N397" s="104">
        <f t="shared" si="33"/>
        <v>-0.63590357100000006</v>
      </c>
      <c r="O397" s="66"/>
      <c r="P397" s="66">
        <f t="shared" si="30"/>
        <v>0</v>
      </c>
      <c r="Q397" s="66"/>
      <c r="R397" s="66">
        <f t="shared" si="31"/>
        <v>-1.1820360520833335</v>
      </c>
      <c r="S397" s="117"/>
    </row>
    <row r="398" spans="1:19">
      <c r="A398" s="110" t="s">
        <v>626</v>
      </c>
      <c r="B398" s="111" t="s">
        <v>1770</v>
      </c>
      <c r="C398" s="111" t="s">
        <v>1771</v>
      </c>
      <c r="D398" s="112" t="s">
        <v>1772</v>
      </c>
      <c r="E398" s="111" t="s">
        <v>93</v>
      </c>
      <c r="F398" s="112" t="s">
        <v>1601</v>
      </c>
      <c r="G398" s="111" t="s">
        <v>20</v>
      </c>
      <c r="H398" s="111" t="s">
        <v>929</v>
      </c>
      <c r="I398" s="111">
        <v>201510</v>
      </c>
      <c r="J398" s="113">
        <v>133020.82</v>
      </c>
      <c r="K398" s="72">
        <f t="shared" si="34"/>
        <v>42675</v>
      </c>
      <c r="L398" s="67">
        <f t="shared" si="32"/>
        <v>6</v>
      </c>
      <c r="M398" s="114">
        <v>1.4833299999999999E-3</v>
      </c>
      <c r="N398" s="104">
        <f t="shared" si="33"/>
        <v>1183.8826375836002</v>
      </c>
      <c r="O398" s="66"/>
      <c r="P398" s="66">
        <f t="shared" si="30"/>
        <v>0</v>
      </c>
      <c r="Q398" s="66"/>
      <c r="R398" s="66">
        <f t="shared" si="31"/>
        <v>2200.6354782041672</v>
      </c>
      <c r="S398" s="117"/>
    </row>
    <row r="399" spans="1:19">
      <c r="A399" s="116" t="s">
        <v>21</v>
      </c>
      <c r="B399" s="111" t="s">
        <v>1467</v>
      </c>
      <c r="C399" s="111" t="s">
        <v>1468</v>
      </c>
      <c r="D399" s="112" t="s">
        <v>1469</v>
      </c>
      <c r="E399" s="111" t="s">
        <v>209</v>
      </c>
      <c r="F399" s="112" t="s">
        <v>1612</v>
      </c>
      <c r="G399" s="111" t="s">
        <v>20</v>
      </c>
      <c r="H399" s="111" t="s">
        <v>929</v>
      </c>
      <c r="I399" s="111">
        <v>201510</v>
      </c>
      <c r="J399" s="113">
        <v>-4.1900000000000004</v>
      </c>
      <c r="K399" s="72">
        <f t="shared" si="34"/>
        <v>42675</v>
      </c>
      <c r="L399" s="67">
        <f t="shared" si="32"/>
        <v>6</v>
      </c>
      <c r="M399" s="114">
        <v>1.4833299999999999E-3</v>
      </c>
      <c r="N399" s="104">
        <f t="shared" si="33"/>
        <v>-3.7290916200000003E-2</v>
      </c>
      <c r="O399" s="66"/>
      <c r="P399" s="66">
        <f t="shared" si="30"/>
        <v>0</v>
      </c>
      <c r="Q399" s="66"/>
      <c r="R399" s="66">
        <f t="shared" si="31"/>
        <v>-6.9317439583333335E-2</v>
      </c>
      <c r="S399" s="117"/>
    </row>
    <row r="400" spans="1:19">
      <c r="A400" s="110" t="s">
        <v>626</v>
      </c>
      <c r="B400" s="111" t="s">
        <v>1438</v>
      </c>
      <c r="C400" s="111" t="s">
        <v>1439</v>
      </c>
      <c r="D400" s="112" t="s">
        <v>1440</v>
      </c>
      <c r="E400" s="111" t="s">
        <v>613</v>
      </c>
      <c r="F400" s="112" t="s">
        <v>398</v>
      </c>
      <c r="G400" s="111" t="s">
        <v>20</v>
      </c>
      <c r="H400" s="111" t="s">
        <v>929</v>
      </c>
      <c r="I400" s="111">
        <v>201510</v>
      </c>
      <c r="J400" s="113">
        <v>-25.39</v>
      </c>
      <c r="K400" s="72">
        <f t="shared" si="34"/>
        <v>42675</v>
      </c>
      <c r="L400" s="67">
        <f t="shared" si="32"/>
        <v>6</v>
      </c>
      <c r="M400" s="114">
        <v>1.4833299999999999E-3</v>
      </c>
      <c r="N400" s="104">
        <f t="shared" si="33"/>
        <v>-0.22597049220000001</v>
      </c>
      <c r="O400" s="66"/>
      <c r="P400" s="66">
        <f t="shared" si="30"/>
        <v>0</v>
      </c>
      <c r="Q400" s="66"/>
      <c r="R400" s="66">
        <f t="shared" si="31"/>
        <v>-0.42004052291666666</v>
      </c>
      <c r="S400" s="117"/>
    </row>
    <row r="401" spans="1:19">
      <c r="A401" s="116" t="s">
        <v>626</v>
      </c>
      <c r="B401" s="111" t="s">
        <v>1585</v>
      </c>
      <c r="C401" s="111" t="s">
        <v>1586</v>
      </c>
      <c r="D401" s="112" t="s">
        <v>1587</v>
      </c>
      <c r="E401" s="111" t="s">
        <v>87</v>
      </c>
      <c r="F401" s="112" t="s">
        <v>1603</v>
      </c>
      <c r="G401" s="111" t="s">
        <v>20</v>
      </c>
      <c r="H401" s="111" t="s">
        <v>929</v>
      </c>
      <c r="I401" s="111">
        <v>201510</v>
      </c>
      <c r="J401" s="113">
        <v>-56.84</v>
      </c>
      <c r="K401" s="72">
        <f t="shared" si="34"/>
        <v>42675</v>
      </c>
      <c r="L401" s="67">
        <f t="shared" si="32"/>
        <v>6</v>
      </c>
      <c r="M401" s="114">
        <v>1.4833299999999999E-3</v>
      </c>
      <c r="N401" s="104">
        <f t="shared" si="33"/>
        <v>-0.50587486320000008</v>
      </c>
      <c r="O401" s="66"/>
      <c r="P401" s="66">
        <f t="shared" si="30"/>
        <v>0</v>
      </c>
      <c r="Q401" s="66"/>
      <c r="R401" s="66">
        <f t="shared" si="31"/>
        <v>-0.94033490833333344</v>
      </c>
      <c r="S401" s="117"/>
    </row>
    <row r="402" spans="1:19">
      <c r="A402" s="116" t="s">
        <v>21</v>
      </c>
      <c r="B402" s="111" t="s">
        <v>1588</v>
      </c>
      <c r="C402" s="111" t="s">
        <v>1589</v>
      </c>
      <c r="D402" s="112" t="s">
        <v>1590</v>
      </c>
      <c r="E402" s="111" t="s">
        <v>209</v>
      </c>
      <c r="F402" s="112" t="s">
        <v>1612</v>
      </c>
      <c r="G402" s="111" t="s">
        <v>20</v>
      </c>
      <c r="H402" s="111" t="s">
        <v>929</v>
      </c>
      <c r="I402" s="111">
        <v>201510</v>
      </c>
      <c r="J402" s="113">
        <v>-14.15</v>
      </c>
      <c r="K402" s="72">
        <f t="shared" si="34"/>
        <v>42675</v>
      </c>
      <c r="L402" s="67">
        <f t="shared" si="32"/>
        <v>6</v>
      </c>
      <c r="M402" s="114">
        <v>1.4833299999999999E-3</v>
      </c>
      <c r="N402" s="104">
        <f t="shared" si="33"/>
        <v>-0.125934717</v>
      </c>
      <c r="O402" s="66"/>
      <c r="P402" s="66">
        <f t="shared" si="30"/>
        <v>0</v>
      </c>
      <c r="Q402" s="66"/>
      <c r="R402" s="66">
        <f t="shared" si="31"/>
        <v>-0.23409111458333332</v>
      </c>
      <c r="S402" s="117"/>
    </row>
    <row r="403" spans="1:19">
      <c r="A403" s="110" t="s">
        <v>127</v>
      </c>
      <c r="B403" s="111" t="s">
        <v>1773</v>
      </c>
      <c r="C403" s="111" t="s">
        <v>1774</v>
      </c>
      <c r="D403" s="112" t="s">
        <v>1775</v>
      </c>
      <c r="E403" s="111" t="s">
        <v>209</v>
      </c>
      <c r="F403" s="112" t="s">
        <v>1612</v>
      </c>
      <c r="G403" s="111" t="s">
        <v>20</v>
      </c>
      <c r="H403" s="111" t="s">
        <v>929</v>
      </c>
      <c r="I403" s="111">
        <v>201510</v>
      </c>
      <c r="J403" s="113">
        <v>11000.64</v>
      </c>
      <c r="K403" s="72">
        <f t="shared" si="34"/>
        <v>42675</v>
      </c>
      <c r="L403" s="67">
        <f t="shared" si="32"/>
        <v>6</v>
      </c>
      <c r="M403" s="114">
        <v>2.3833299999999999E-3</v>
      </c>
      <c r="N403" s="104">
        <f t="shared" si="33"/>
        <v>157.3089319872</v>
      </c>
      <c r="O403" s="66"/>
      <c r="P403" s="66">
        <f t="shared" si="30"/>
        <v>0</v>
      </c>
      <c r="Q403" s="66"/>
      <c r="R403" s="66">
        <f t="shared" si="31"/>
        <v>181.98954620000001</v>
      </c>
      <c r="S403" s="117"/>
    </row>
    <row r="404" spans="1:19">
      <c r="A404" s="110" t="s">
        <v>626</v>
      </c>
      <c r="B404" s="111" t="s">
        <v>1776</v>
      </c>
      <c r="C404" s="111" t="s">
        <v>1777</v>
      </c>
      <c r="D404" s="112" t="s">
        <v>1778</v>
      </c>
      <c r="E404" s="111" t="s">
        <v>452</v>
      </c>
      <c r="F404" s="112" t="s">
        <v>398</v>
      </c>
      <c r="G404" s="111" t="s">
        <v>20</v>
      </c>
      <c r="H404" s="111" t="s">
        <v>929</v>
      </c>
      <c r="I404" s="111">
        <v>201510</v>
      </c>
      <c r="J404" s="113">
        <v>79835.240000000005</v>
      </c>
      <c r="K404" s="72">
        <f t="shared" si="34"/>
        <v>42675</v>
      </c>
      <c r="L404" s="67">
        <f t="shared" si="32"/>
        <v>6</v>
      </c>
      <c r="M404" s="114">
        <v>1.4833299999999999E-3</v>
      </c>
      <c r="N404" s="104">
        <f t="shared" si="33"/>
        <v>710.53203929520009</v>
      </c>
      <c r="O404" s="66"/>
      <c r="P404" s="66">
        <f t="shared" si="30"/>
        <v>0</v>
      </c>
      <c r="Q404" s="66"/>
      <c r="R404" s="66">
        <f t="shared" si="31"/>
        <v>1320.7576194083335</v>
      </c>
      <c r="S404" s="117"/>
    </row>
    <row r="405" spans="1:19">
      <c r="A405" s="110" t="s">
        <v>626</v>
      </c>
      <c r="B405" s="111" t="s">
        <v>1649</v>
      </c>
      <c r="C405" s="111" t="s">
        <v>1650</v>
      </c>
      <c r="D405" s="112" t="s">
        <v>1651</v>
      </c>
      <c r="E405" s="111" t="s">
        <v>209</v>
      </c>
      <c r="F405" s="112" t="s">
        <v>1612</v>
      </c>
      <c r="G405" s="111" t="s">
        <v>20</v>
      </c>
      <c r="H405" s="111" t="s">
        <v>929</v>
      </c>
      <c r="I405" s="111">
        <v>201510</v>
      </c>
      <c r="J405" s="113">
        <v>-5.41</v>
      </c>
      <c r="K405" s="72">
        <f t="shared" si="34"/>
        <v>42675</v>
      </c>
      <c r="L405" s="67">
        <f t="shared" si="32"/>
        <v>6</v>
      </c>
      <c r="M405" s="114">
        <v>1.4833299999999999E-3</v>
      </c>
      <c r="N405" s="104">
        <f t="shared" si="33"/>
        <v>-4.8148891800000003E-2</v>
      </c>
      <c r="O405" s="66"/>
      <c r="P405" s="66">
        <f t="shared" si="30"/>
        <v>0</v>
      </c>
      <c r="Q405" s="66"/>
      <c r="R405" s="66">
        <f t="shared" si="31"/>
        <v>-8.950056041666668E-2</v>
      </c>
      <c r="S405" s="117"/>
    </row>
    <row r="406" spans="1:19">
      <c r="A406" s="110" t="s">
        <v>626</v>
      </c>
      <c r="B406" s="111" t="s">
        <v>1779</v>
      </c>
      <c r="C406" s="111" t="s">
        <v>1780</v>
      </c>
      <c r="D406" s="112" t="s">
        <v>1781</v>
      </c>
      <c r="E406" s="111" t="s">
        <v>93</v>
      </c>
      <c r="F406" s="112" t="s">
        <v>1601</v>
      </c>
      <c r="G406" s="111" t="s">
        <v>20</v>
      </c>
      <c r="H406" s="111" t="s">
        <v>929</v>
      </c>
      <c r="I406" s="111">
        <v>201510</v>
      </c>
      <c r="J406" s="113">
        <v>92686.080000000002</v>
      </c>
      <c r="K406" s="72">
        <f t="shared" si="34"/>
        <v>42675</v>
      </c>
      <c r="L406" s="67">
        <f t="shared" si="32"/>
        <v>6</v>
      </c>
      <c r="M406" s="114">
        <v>1.4833299999999999E-3</v>
      </c>
      <c r="N406" s="104">
        <f t="shared" si="33"/>
        <v>824.90425827839999</v>
      </c>
      <c r="O406" s="66"/>
      <c r="P406" s="66">
        <f t="shared" si="30"/>
        <v>0</v>
      </c>
      <c r="Q406" s="66"/>
      <c r="R406" s="66">
        <f t="shared" si="31"/>
        <v>1533.3560264</v>
      </c>
      <c r="S406" s="117"/>
    </row>
    <row r="407" spans="1:19">
      <c r="A407" s="110" t="s">
        <v>626</v>
      </c>
      <c r="B407" s="111" t="s">
        <v>1782</v>
      </c>
      <c r="C407" s="111" t="s">
        <v>1783</v>
      </c>
      <c r="D407" s="112" t="s">
        <v>1784</v>
      </c>
      <c r="E407" s="111" t="s">
        <v>87</v>
      </c>
      <c r="F407" s="112" t="s">
        <v>1603</v>
      </c>
      <c r="G407" s="111" t="s">
        <v>20</v>
      </c>
      <c r="H407" s="111" t="s">
        <v>929</v>
      </c>
      <c r="I407" s="111">
        <v>201510</v>
      </c>
      <c r="J407" s="113">
        <v>107761.64</v>
      </c>
      <c r="K407" s="72">
        <f t="shared" si="34"/>
        <v>42675</v>
      </c>
      <c r="L407" s="67">
        <f t="shared" si="32"/>
        <v>6</v>
      </c>
      <c r="M407" s="114">
        <v>1.4833299999999999E-3</v>
      </c>
      <c r="N407" s="104">
        <f t="shared" si="33"/>
        <v>959.07644076719998</v>
      </c>
      <c r="O407" s="66"/>
      <c r="P407" s="66">
        <f t="shared" si="30"/>
        <v>0</v>
      </c>
      <c r="Q407" s="66"/>
      <c r="R407" s="66">
        <f t="shared" si="31"/>
        <v>1782.7591814083332</v>
      </c>
      <c r="S407" s="117"/>
    </row>
    <row r="408" spans="1:19">
      <c r="A408" s="110" t="s">
        <v>14</v>
      </c>
      <c r="B408" s="111" t="s">
        <v>30</v>
      </c>
      <c r="C408" s="111" t="s">
        <v>31</v>
      </c>
      <c r="D408" s="112" t="s">
        <v>32</v>
      </c>
      <c r="E408" s="111" t="s">
        <v>33</v>
      </c>
      <c r="F408" s="112" t="s">
        <v>34</v>
      </c>
      <c r="G408" s="111" t="s">
        <v>20</v>
      </c>
      <c r="H408" s="111" t="s">
        <v>933</v>
      </c>
      <c r="I408" s="111">
        <v>201511</v>
      </c>
      <c r="J408" s="113">
        <v>-4137.63</v>
      </c>
      <c r="K408" s="72">
        <f t="shared" si="34"/>
        <v>42675</v>
      </c>
      <c r="L408" s="67">
        <f t="shared" si="32"/>
        <v>6</v>
      </c>
      <c r="M408" s="114">
        <v>2.23333E-3</v>
      </c>
      <c r="N408" s="104">
        <f t="shared" si="33"/>
        <v>-55.444159247399995</v>
      </c>
      <c r="O408" s="66"/>
      <c r="P408" s="66">
        <f t="shared" si="30"/>
        <v>0</v>
      </c>
      <c r="Q408" s="66"/>
      <c r="R408" s="66">
        <f t="shared" si="31"/>
        <v>-68.451054306250001</v>
      </c>
      <c r="S408" s="117"/>
    </row>
    <row r="409" spans="1:19">
      <c r="A409" s="110" t="s">
        <v>14</v>
      </c>
      <c r="B409" s="111" t="s">
        <v>37</v>
      </c>
      <c r="C409" s="111" t="s">
        <v>38</v>
      </c>
      <c r="D409" s="112" t="s">
        <v>39</v>
      </c>
      <c r="E409" s="111" t="s">
        <v>40</v>
      </c>
      <c r="F409" s="112" t="s">
        <v>41</v>
      </c>
      <c r="G409" s="111" t="s">
        <v>20</v>
      </c>
      <c r="H409" s="111" t="s">
        <v>933</v>
      </c>
      <c r="I409" s="111">
        <v>201511</v>
      </c>
      <c r="J409" s="113">
        <v>302009.45</v>
      </c>
      <c r="K409" s="72">
        <f t="shared" si="34"/>
        <v>42675</v>
      </c>
      <c r="L409" s="67">
        <f t="shared" si="32"/>
        <v>6</v>
      </c>
      <c r="M409" s="114">
        <v>2.23333E-3</v>
      </c>
      <c r="N409" s="104">
        <f t="shared" si="33"/>
        <v>4046.9205898109999</v>
      </c>
      <c r="O409" s="66"/>
      <c r="P409" s="66">
        <f t="shared" si="30"/>
        <v>0</v>
      </c>
      <c r="Q409" s="66"/>
      <c r="R409" s="66">
        <f t="shared" si="31"/>
        <v>4996.3059198020837</v>
      </c>
      <c r="S409" s="117"/>
    </row>
    <row r="410" spans="1:19">
      <c r="A410" s="110" t="s">
        <v>14</v>
      </c>
      <c r="B410" s="111" t="s">
        <v>43</v>
      </c>
      <c r="C410" s="111" t="s">
        <v>44</v>
      </c>
      <c r="D410" s="112" t="s">
        <v>45</v>
      </c>
      <c r="E410" s="111" t="s">
        <v>46</v>
      </c>
      <c r="F410" s="112" t="s">
        <v>41</v>
      </c>
      <c r="G410" s="111" t="s">
        <v>20</v>
      </c>
      <c r="H410" s="111" t="s">
        <v>933</v>
      </c>
      <c r="I410" s="111">
        <v>201511</v>
      </c>
      <c r="J410" s="113">
        <v>-531.73</v>
      </c>
      <c r="K410" s="72">
        <f t="shared" si="34"/>
        <v>42675</v>
      </c>
      <c r="L410" s="67">
        <f t="shared" si="32"/>
        <v>6</v>
      </c>
      <c r="M410" s="114">
        <v>2.23333E-3</v>
      </c>
      <c r="N410" s="104">
        <f t="shared" si="33"/>
        <v>-7.1251713654</v>
      </c>
      <c r="O410" s="66"/>
      <c r="P410" s="66">
        <f t="shared" si="30"/>
        <v>0</v>
      </c>
      <c r="Q410" s="66"/>
      <c r="R410" s="66">
        <f t="shared" si="31"/>
        <v>-8.7966974104166678</v>
      </c>
      <c r="S410" s="117"/>
    </row>
    <row r="411" spans="1:19">
      <c r="A411" s="116" t="s">
        <v>990</v>
      </c>
      <c r="B411" s="111" t="s">
        <v>991</v>
      </c>
      <c r="C411" s="111" t="s">
        <v>992</v>
      </c>
      <c r="D411" s="112" t="s">
        <v>993</v>
      </c>
      <c r="E411" s="111" t="s">
        <v>994</v>
      </c>
      <c r="F411" s="112" t="s">
        <v>995</v>
      </c>
      <c r="G411" s="111" t="s">
        <v>20</v>
      </c>
      <c r="H411" s="111" t="s">
        <v>933</v>
      </c>
      <c r="I411" s="111">
        <v>201511</v>
      </c>
      <c r="J411" s="113">
        <v>3390.14</v>
      </c>
      <c r="K411" s="72">
        <f t="shared" si="34"/>
        <v>42675</v>
      </c>
      <c r="L411" s="67">
        <f t="shared" si="32"/>
        <v>6</v>
      </c>
      <c r="M411" s="114">
        <v>2.0333333000000001E-3</v>
      </c>
      <c r="N411" s="104">
        <f t="shared" si="33"/>
        <v>41.359707321971996</v>
      </c>
      <c r="O411" s="66"/>
      <c r="P411" s="66">
        <f t="shared" si="30"/>
        <v>0</v>
      </c>
      <c r="Q411" s="66"/>
      <c r="R411" s="66">
        <f t="shared" si="31"/>
        <v>56.084922345833327</v>
      </c>
      <c r="S411" s="117"/>
    </row>
    <row r="412" spans="1:19">
      <c r="A412" s="116" t="s">
        <v>990</v>
      </c>
      <c r="B412" s="111" t="s">
        <v>996</v>
      </c>
      <c r="C412" s="111" t="s">
        <v>997</v>
      </c>
      <c r="D412" s="112" t="s">
        <v>998</v>
      </c>
      <c r="E412" s="111" t="s">
        <v>999</v>
      </c>
      <c r="F412" s="112" t="s">
        <v>995</v>
      </c>
      <c r="G412" s="111" t="s">
        <v>20</v>
      </c>
      <c r="H412" s="111" t="s">
        <v>933</v>
      </c>
      <c r="I412" s="111">
        <v>201511</v>
      </c>
      <c r="J412" s="113">
        <v>-713.65</v>
      </c>
      <c r="K412" s="72">
        <f t="shared" si="34"/>
        <v>42675</v>
      </c>
      <c r="L412" s="67">
        <f t="shared" si="32"/>
        <v>6</v>
      </c>
      <c r="M412" s="114">
        <v>2.0333333000000001E-3</v>
      </c>
      <c r="N412" s="104">
        <f t="shared" si="33"/>
        <v>-8.7065298572699987</v>
      </c>
      <c r="O412" s="66"/>
      <c r="P412" s="66">
        <f t="shared" si="30"/>
        <v>0</v>
      </c>
      <c r="Q412" s="66"/>
      <c r="R412" s="66">
        <f t="shared" si="31"/>
        <v>-11.806298510416667</v>
      </c>
      <c r="S412" s="117"/>
    </row>
    <row r="413" spans="1:19">
      <c r="A413" s="116" t="s">
        <v>990</v>
      </c>
      <c r="B413" s="111" t="s">
        <v>1000</v>
      </c>
      <c r="C413" s="111" t="s">
        <v>1001</v>
      </c>
      <c r="D413" s="112" t="s">
        <v>1672</v>
      </c>
      <c r="E413" s="111" t="s">
        <v>1002</v>
      </c>
      <c r="F413" s="112" t="s">
        <v>1604</v>
      </c>
      <c r="G413" s="111" t="s">
        <v>20</v>
      </c>
      <c r="H413" s="111" t="s">
        <v>933</v>
      </c>
      <c r="I413" s="111">
        <v>201511</v>
      </c>
      <c r="J413" s="113">
        <v>7336.83</v>
      </c>
      <c r="K413" s="72">
        <f t="shared" si="34"/>
        <v>42675</v>
      </c>
      <c r="L413" s="67">
        <f t="shared" si="32"/>
        <v>6</v>
      </c>
      <c r="M413" s="114">
        <v>2.0333333000000001E-3</v>
      </c>
      <c r="N413" s="104">
        <f t="shared" si="33"/>
        <v>89.509324532633997</v>
      </c>
      <c r="O413" s="66"/>
      <c r="P413" s="66">
        <f t="shared" si="30"/>
        <v>0</v>
      </c>
      <c r="Q413" s="66"/>
      <c r="R413" s="66">
        <f t="shared" si="31"/>
        <v>121.37715280625</v>
      </c>
      <c r="S413" s="117"/>
    </row>
    <row r="414" spans="1:19">
      <c r="A414" s="110" t="s">
        <v>14</v>
      </c>
      <c r="B414" s="111" t="s">
        <v>107</v>
      </c>
      <c r="C414" s="111" t="s">
        <v>108</v>
      </c>
      <c r="D414" s="112" t="s">
        <v>109</v>
      </c>
      <c r="E414" s="111" t="s">
        <v>110</v>
      </c>
      <c r="F414" s="112" t="s">
        <v>52</v>
      </c>
      <c r="G414" s="111" t="s">
        <v>20</v>
      </c>
      <c r="H414" s="111" t="s">
        <v>933</v>
      </c>
      <c r="I414" s="111">
        <v>201511</v>
      </c>
      <c r="J414" s="113">
        <v>15672.74</v>
      </c>
      <c r="K414" s="72">
        <f t="shared" si="34"/>
        <v>42675</v>
      </c>
      <c r="L414" s="67">
        <f t="shared" si="32"/>
        <v>6</v>
      </c>
      <c r="M414" s="114">
        <v>2.23333E-3</v>
      </c>
      <c r="N414" s="104">
        <f t="shared" si="33"/>
        <v>210.01440254519997</v>
      </c>
      <c r="O414" s="66"/>
      <c r="P414" s="66">
        <f t="shared" si="30"/>
        <v>0</v>
      </c>
      <c r="Q414" s="66"/>
      <c r="R414" s="66">
        <f t="shared" si="31"/>
        <v>259.28262722083332</v>
      </c>
      <c r="S414" s="117"/>
    </row>
    <row r="415" spans="1:19">
      <c r="A415" s="110" t="s">
        <v>14</v>
      </c>
      <c r="B415" s="111" t="s">
        <v>555</v>
      </c>
      <c r="C415" s="111" t="s">
        <v>556</v>
      </c>
      <c r="D415" s="112" t="s">
        <v>45</v>
      </c>
      <c r="E415" s="111" t="s">
        <v>557</v>
      </c>
      <c r="F415" s="112" t="s">
        <v>41</v>
      </c>
      <c r="G415" s="111" t="s">
        <v>20</v>
      </c>
      <c r="H415" s="111" t="s">
        <v>933</v>
      </c>
      <c r="I415" s="111">
        <v>201511</v>
      </c>
      <c r="J415" s="113">
        <v>-3957</v>
      </c>
      <c r="K415" s="72">
        <f t="shared" si="34"/>
        <v>42675</v>
      </c>
      <c r="L415" s="67">
        <f t="shared" si="32"/>
        <v>6</v>
      </c>
      <c r="M415" s="114">
        <v>2.23333E-3</v>
      </c>
      <c r="N415" s="104">
        <f t="shared" si="33"/>
        <v>-53.023720859999997</v>
      </c>
      <c r="O415" s="66"/>
      <c r="P415" s="66">
        <f t="shared" si="30"/>
        <v>0</v>
      </c>
      <c r="Q415" s="66"/>
      <c r="R415" s="66">
        <f t="shared" si="31"/>
        <v>-65.462794375000001</v>
      </c>
      <c r="S415" s="117"/>
    </row>
    <row r="416" spans="1:19">
      <c r="A416" s="116" t="s">
        <v>990</v>
      </c>
      <c r="B416" s="111" t="s">
        <v>1003</v>
      </c>
      <c r="C416" s="111" t="s">
        <v>1004</v>
      </c>
      <c r="D416" s="112" t="s">
        <v>1673</v>
      </c>
      <c r="E416" s="111" t="s">
        <v>1006</v>
      </c>
      <c r="F416" s="112" t="s">
        <v>1606</v>
      </c>
      <c r="G416" s="111" t="s">
        <v>20</v>
      </c>
      <c r="H416" s="111" t="s">
        <v>933</v>
      </c>
      <c r="I416" s="111">
        <v>201511</v>
      </c>
      <c r="J416" s="113">
        <v>41749.980000000003</v>
      </c>
      <c r="K416" s="72">
        <f t="shared" si="34"/>
        <v>42675</v>
      </c>
      <c r="L416" s="67">
        <f t="shared" si="32"/>
        <v>6</v>
      </c>
      <c r="M416" s="114">
        <v>2.0333333000000001E-3</v>
      </c>
      <c r="N416" s="104">
        <f t="shared" si="33"/>
        <v>509.34974765000402</v>
      </c>
      <c r="O416" s="66"/>
      <c r="P416" s="66">
        <f t="shared" si="30"/>
        <v>0</v>
      </c>
      <c r="Q416" s="66"/>
      <c r="R416" s="66">
        <f t="shared" si="31"/>
        <v>690.69253371250011</v>
      </c>
      <c r="S416" s="117"/>
    </row>
    <row r="417" spans="1:19">
      <c r="A417" s="110" t="s">
        <v>14</v>
      </c>
      <c r="B417" s="111" t="s">
        <v>183</v>
      </c>
      <c r="C417" s="111" t="s">
        <v>184</v>
      </c>
      <c r="D417" s="112" t="s">
        <v>45</v>
      </c>
      <c r="E417" s="111" t="s">
        <v>185</v>
      </c>
      <c r="F417" s="112" t="s">
        <v>41</v>
      </c>
      <c r="G417" s="111" t="s">
        <v>20</v>
      </c>
      <c r="H417" s="111" t="s">
        <v>933</v>
      </c>
      <c r="I417" s="111">
        <v>201511</v>
      </c>
      <c r="J417" s="113">
        <v>2265.09</v>
      </c>
      <c r="K417" s="72">
        <f t="shared" si="34"/>
        <v>42675</v>
      </c>
      <c r="L417" s="67">
        <f t="shared" si="32"/>
        <v>6</v>
      </c>
      <c r="M417" s="114">
        <v>2.23333E-3</v>
      </c>
      <c r="N417" s="104">
        <f t="shared" si="33"/>
        <v>30.352160698199999</v>
      </c>
      <c r="O417" s="66"/>
      <c r="P417" s="66">
        <f t="shared" si="30"/>
        <v>0</v>
      </c>
      <c r="Q417" s="66"/>
      <c r="R417" s="66">
        <f t="shared" si="31"/>
        <v>37.47261079375</v>
      </c>
      <c r="S417" s="117"/>
    </row>
    <row r="418" spans="1:19">
      <c r="A418" s="110" t="s">
        <v>14</v>
      </c>
      <c r="B418" s="111" t="s">
        <v>191</v>
      </c>
      <c r="C418" s="111" t="s">
        <v>192</v>
      </c>
      <c r="D418" s="112" t="s">
        <v>193</v>
      </c>
      <c r="E418" s="111" t="s">
        <v>194</v>
      </c>
      <c r="F418" s="112" t="s">
        <v>115</v>
      </c>
      <c r="G418" s="111" t="s">
        <v>20</v>
      </c>
      <c r="H418" s="111" t="s">
        <v>933</v>
      </c>
      <c r="I418" s="111">
        <v>201511</v>
      </c>
      <c r="J418" s="113">
        <v>-2481.06</v>
      </c>
      <c r="K418" s="72">
        <f t="shared" si="34"/>
        <v>42675</v>
      </c>
      <c r="L418" s="67">
        <f t="shared" si="32"/>
        <v>6</v>
      </c>
      <c r="M418" s="114">
        <v>2.23333E-3</v>
      </c>
      <c r="N418" s="104">
        <f t="shared" si="33"/>
        <v>-33.246154378799993</v>
      </c>
      <c r="O418" s="66"/>
      <c r="P418" s="66">
        <f t="shared" si="30"/>
        <v>0</v>
      </c>
      <c r="Q418" s="66"/>
      <c r="R418" s="66">
        <f t="shared" si="31"/>
        <v>-41.045519487500002</v>
      </c>
      <c r="S418" s="117"/>
    </row>
    <row r="419" spans="1:19">
      <c r="A419" s="110" t="s">
        <v>14</v>
      </c>
      <c r="B419" s="111" t="s">
        <v>195</v>
      </c>
      <c r="C419" s="111" t="s">
        <v>196</v>
      </c>
      <c r="D419" s="112" t="s">
        <v>1674</v>
      </c>
      <c r="E419" s="111" t="s">
        <v>198</v>
      </c>
      <c r="F419" s="112" t="s">
        <v>1610</v>
      </c>
      <c r="G419" s="111" t="s">
        <v>20</v>
      </c>
      <c r="H419" s="111" t="s">
        <v>933</v>
      </c>
      <c r="I419" s="111">
        <v>201511</v>
      </c>
      <c r="J419" s="113">
        <v>74543.8</v>
      </c>
      <c r="K419" s="72">
        <f t="shared" si="34"/>
        <v>42675</v>
      </c>
      <c r="L419" s="67">
        <f t="shared" si="32"/>
        <v>6</v>
      </c>
      <c r="M419" s="114">
        <v>2.23333E-3</v>
      </c>
      <c r="N419" s="104">
        <f t="shared" si="33"/>
        <v>998.88542912399998</v>
      </c>
      <c r="O419" s="66"/>
      <c r="P419" s="66">
        <f t="shared" si="30"/>
        <v>0</v>
      </c>
      <c r="Q419" s="66"/>
      <c r="R419" s="66">
        <f t="shared" si="31"/>
        <v>1233.2184612916669</v>
      </c>
      <c r="S419" s="117"/>
    </row>
    <row r="420" spans="1:19">
      <c r="A420" s="110" t="s">
        <v>14</v>
      </c>
      <c r="B420" s="111" t="s">
        <v>200</v>
      </c>
      <c r="C420" s="111" t="s">
        <v>201</v>
      </c>
      <c r="D420" s="112" t="s">
        <v>1675</v>
      </c>
      <c r="E420" s="111" t="s">
        <v>202</v>
      </c>
      <c r="F420" s="112" t="s">
        <v>1611</v>
      </c>
      <c r="G420" s="111" t="s">
        <v>20</v>
      </c>
      <c r="H420" s="111" t="s">
        <v>933</v>
      </c>
      <c r="I420" s="111">
        <v>201511</v>
      </c>
      <c r="J420" s="113">
        <v>71033.919999999998</v>
      </c>
      <c r="K420" s="72">
        <f t="shared" si="34"/>
        <v>42675</v>
      </c>
      <c r="L420" s="67">
        <f t="shared" si="32"/>
        <v>6</v>
      </c>
      <c r="M420" s="114">
        <v>2.23333E-3</v>
      </c>
      <c r="N420" s="104">
        <f t="shared" si="33"/>
        <v>951.85310732159985</v>
      </c>
      <c r="O420" s="66"/>
      <c r="P420" s="66">
        <f t="shared" si="30"/>
        <v>0</v>
      </c>
      <c r="Q420" s="66"/>
      <c r="R420" s="66">
        <f t="shared" si="31"/>
        <v>1175.1526152666668</v>
      </c>
      <c r="S420" s="117"/>
    </row>
    <row r="421" spans="1:19">
      <c r="A421" s="116" t="s">
        <v>990</v>
      </c>
      <c r="B421" s="111" t="s">
        <v>1010</v>
      </c>
      <c r="C421" s="111" t="s">
        <v>1011</v>
      </c>
      <c r="D421" s="112" t="s">
        <v>1012</v>
      </c>
      <c r="E421" s="111" t="s">
        <v>1013</v>
      </c>
      <c r="F421" s="112" t="s">
        <v>995</v>
      </c>
      <c r="G421" s="111" t="s">
        <v>20</v>
      </c>
      <c r="H421" s="111" t="s">
        <v>933</v>
      </c>
      <c r="I421" s="111">
        <v>201511</v>
      </c>
      <c r="J421" s="113">
        <v>4583.7</v>
      </c>
      <c r="K421" s="72">
        <f t="shared" si="34"/>
        <v>42675</v>
      </c>
      <c r="L421" s="67">
        <f t="shared" si="32"/>
        <v>6</v>
      </c>
      <c r="M421" s="114">
        <v>2.0333333000000001E-3</v>
      </c>
      <c r="N421" s="104">
        <f t="shared" si="33"/>
        <v>55.921139083259995</v>
      </c>
      <c r="O421" s="66"/>
      <c r="P421" s="66">
        <f t="shared" si="30"/>
        <v>0</v>
      </c>
      <c r="Q421" s="66"/>
      <c r="R421" s="66">
        <f t="shared" si="31"/>
        <v>75.830631937500002</v>
      </c>
      <c r="S421" s="117"/>
    </row>
    <row r="422" spans="1:19">
      <c r="A422" s="110" t="s">
        <v>14</v>
      </c>
      <c r="B422" s="111" t="s">
        <v>236</v>
      </c>
      <c r="C422" s="111" t="s">
        <v>237</v>
      </c>
      <c r="D422" s="112" t="s">
        <v>188</v>
      </c>
      <c r="E422" s="111" t="s">
        <v>238</v>
      </c>
      <c r="F422" s="112" t="s">
        <v>190</v>
      </c>
      <c r="G422" s="111" t="s">
        <v>20</v>
      </c>
      <c r="H422" s="111" t="s">
        <v>933</v>
      </c>
      <c r="I422" s="111">
        <v>201511</v>
      </c>
      <c r="J422" s="113">
        <v>157.69999999999999</v>
      </c>
      <c r="K422" s="72">
        <f t="shared" si="34"/>
        <v>42675</v>
      </c>
      <c r="L422" s="67">
        <f t="shared" si="32"/>
        <v>6</v>
      </c>
      <c r="M422" s="114">
        <v>2.23333E-3</v>
      </c>
      <c r="N422" s="104">
        <f t="shared" si="33"/>
        <v>2.1131768459999996</v>
      </c>
      <c r="O422" s="66"/>
      <c r="P422" s="66">
        <f t="shared" si="30"/>
        <v>0</v>
      </c>
      <c r="Q422" s="66"/>
      <c r="R422" s="66">
        <f t="shared" si="31"/>
        <v>2.6089165208333331</v>
      </c>
      <c r="S422" s="117"/>
    </row>
    <row r="423" spans="1:19">
      <c r="A423" s="110" t="s">
        <v>14</v>
      </c>
      <c r="B423" s="111" t="s">
        <v>239</v>
      </c>
      <c r="C423" s="111" t="s">
        <v>240</v>
      </c>
      <c r="D423" s="112" t="s">
        <v>197</v>
      </c>
      <c r="E423" s="111" t="s">
        <v>241</v>
      </c>
      <c r="F423" s="112" t="s">
        <v>199</v>
      </c>
      <c r="G423" s="111" t="s">
        <v>20</v>
      </c>
      <c r="H423" s="111" t="s">
        <v>933</v>
      </c>
      <c r="I423" s="111">
        <v>201511</v>
      </c>
      <c r="J423" s="113">
        <v>-556.41999999999996</v>
      </c>
      <c r="K423" s="72">
        <f t="shared" si="34"/>
        <v>42675</v>
      </c>
      <c r="L423" s="67">
        <f t="shared" si="32"/>
        <v>6</v>
      </c>
      <c r="M423" s="114">
        <v>2.23333E-3</v>
      </c>
      <c r="N423" s="104">
        <f t="shared" si="33"/>
        <v>-7.4560168715999984</v>
      </c>
      <c r="O423" s="66"/>
      <c r="P423" s="66">
        <f t="shared" si="30"/>
        <v>0</v>
      </c>
      <c r="Q423" s="66"/>
      <c r="R423" s="66">
        <f t="shared" si="31"/>
        <v>-9.2051574541666668</v>
      </c>
      <c r="S423" s="117"/>
    </row>
    <row r="424" spans="1:19">
      <c r="A424" s="110" t="s">
        <v>14</v>
      </c>
      <c r="B424" s="111" t="s">
        <v>706</v>
      </c>
      <c r="C424" s="111" t="s">
        <v>707</v>
      </c>
      <c r="D424" s="112" t="s">
        <v>708</v>
      </c>
      <c r="E424" s="111" t="s">
        <v>709</v>
      </c>
      <c r="F424" s="112" t="s">
        <v>710</v>
      </c>
      <c r="G424" s="111" t="s">
        <v>20</v>
      </c>
      <c r="H424" s="111" t="s">
        <v>933</v>
      </c>
      <c r="I424" s="111">
        <v>201511</v>
      </c>
      <c r="J424" s="113">
        <v>-603.80999999999995</v>
      </c>
      <c r="K424" s="72">
        <f t="shared" si="34"/>
        <v>42675</v>
      </c>
      <c r="L424" s="67">
        <f t="shared" si="32"/>
        <v>6</v>
      </c>
      <c r="M424" s="114">
        <v>2.23333E-3</v>
      </c>
      <c r="N424" s="104">
        <f t="shared" si="33"/>
        <v>-8.0910419237999989</v>
      </c>
      <c r="O424" s="66"/>
      <c r="P424" s="66">
        <f t="shared" si="30"/>
        <v>0</v>
      </c>
      <c r="Q424" s="66"/>
      <c r="R424" s="66">
        <f t="shared" si="31"/>
        <v>-9.9891558937500005</v>
      </c>
      <c r="S424" s="117"/>
    </row>
    <row r="425" spans="1:19">
      <c r="A425" s="110" t="s">
        <v>14</v>
      </c>
      <c r="B425" s="111" t="s">
        <v>267</v>
      </c>
      <c r="C425" s="111" t="s">
        <v>268</v>
      </c>
      <c r="D425" s="112" t="s">
        <v>269</v>
      </c>
      <c r="E425" s="111" t="s">
        <v>270</v>
      </c>
      <c r="F425" s="112" t="s">
        <v>115</v>
      </c>
      <c r="G425" s="111" t="s">
        <v>20</v>
      </c>
      <c r="H425" s="111" t="s">
        <v>933</v>
      </c>
      <c r="I425" s="111">
        <v>201511</v>
      </c>
      <c r="J425" s="113">
        <v>55930.49</v>
      </c>
      <c r="K425" s="72">
        <f t="shared" si="34"/>
        <v>42675</v>
      </c>
      <c r="L425" s="67">
        <f t="shared" si="32"/>
        <v>6</v>
      </c>
      <c r="M425" s="114">
        <v>2.23333E-3</v>
      </c>
      <c r="N425" s="104">
        <f t="shared" si="33"/>
        <v>749.46744739019994</v>
      </c>
      <c r="O425" s="66"/>
      <c r="P425" s="66">
        <f t="shared" si="30"/>
        <v>0</v>
      </c>
      <c r="Q425" s="66"/>
      <c r="R425" s="66">
        <f t="shared" si="31"/>
        <v>925.28839175208338</v>
      </c>
      <c r="S425" s="117"/>
    </row>
    <row r="426" spans="1:19">
      <c r="A426" s="110" t="s">
        <v>14</v>
      </c>
      <c r="B426" s="111" t="s">
        <v>271</v>
      </c>
      <c r="C426" s="111" t="s">
        <v>272</v>
      </c>
      <c r="D426" s="112" t="s">
        <v>197</v>
      </c>
      <c r="E426" s="111" t="s">
        <v>273</v>
      </c>
      <c r="F426" s="112" t="s">
        <v>199</v>
      </c>
      <c r="G426" s="111" t="s">
        <v>20</v>
      </c>
      <c r="H426" s="111" t="s">
        <v>933</v>
      </c>
      <c r="I426" s="111">
        <v>201511</v>
      </c>
      <c r="J426" s="113">
        <v>-47.87</v>
      </c>
      <c r="K426" s="72">
        <f t="shared" si="34"/>
        <v>42675</v>
      </c>
      <c r="L426" s="67">
        <f t="shared" si="32"/>
        <v>6</v>
      </c>
      <c r="M426" s="114">
        <v>2.23333E-3</v>
      </c>
      <c r="N426" s="104">
        <f t="shared" si="33"/>
        <v>-0.64145704259999992</v>
      </c>
      <c r="O426" s="66"/>
      <c r="P426" s="66">
        <f t="shared" si="30"/>
        <v>0</v>
      </c>
      <c r="Q426" s="66"/>
      <c r="R426" s="66">
        <f t="shared" si="31"/>
        <v>-0.79193933958333329</v>
      </c>
      <c r="S426" s="117"/>
    </row>
    <row r="427" spans="1:19">
      <c r="A427" s="110" t="s">
        <v>14</v>
      </c>
      <c r="B427" s="111" t="s">
        <v>1676</v>
      </c>
      <c r="C427" s="111" t="s">
        <v>1677</v>
      </c>
      <c r="D427" s="112" t="s">
        <v>50</v>
      </c>
      <c r="E427" s="111" t="s">
        <v>1678</v>
      </c>
      <c r="F427" s="112" t="s">
        <v>52</v>
      </c>
      <c r="G427" s="111" t="s">
        <v>20</v>
      </c>
      <c r="H427" s="111" t="s">
        <v>933</v>
      </c>
      <c r="I427" s="111">
        <v>201511</v>
      </c>
      <c r="J427" s="113">
        <v>-6.58</v>
      </c>
      <c r="K427" s="72">
        <f t="shared" si="34"/>
        <v>42675</v>
      </c>
      <c r="L427" s="67">
        <f t="shared" si="32"/>
        <v>6</v>
      </c>
      <c r="M427" s="114">
        <v>2.23333E-3</v>
      </c>
      <c r="N427" s="104">
        <f t="shared" si="33"/>
        <v>-8.8171868399999992E-2</v>
      </c>
      <c r="O427" s="66"/>
      <c r="P427" s="66">
        <f t="shared" si="30"/>
        <v>0</v>
      </c>
      <c r="Q427" s="66"/>
      <c r="R427" s="66">
        <f t="shared" si="31"/>
        <v>-0.10885650416666667</v>
      </c>
      <c r="S427" s="117"/>
    </row>
    <row r="428" spans="1:19">
      <c r="A428" s="116" t="s">
        <v>990</v>
      </c>
      <c r="B428" s="111" t="s">
        <v>1017</v>
      </c>
      <c r="C428" s="111" t="s">
        <v>1018</v>
      </c>
      <c r="D428" s="112" t="s">
        <v>993</v>
      </c>
      <c r="E428" s="111" t="s">
        <v>1019</v>
      </c>
      <c r="F428" s="112" t="s">
        <v>995</v>
      </c>
      <c r="G428" s="111" t="s">
        <v>20</v>
      </c>
      <c r="H428" s="111" t="s">
        <v>933</v>
      </c>
      <c r="I428" s="111">
        <v>201511</v>
      </c>
      <c r="J428" s="113">
        <v>356.57</v>
      </c>
      <c r="K428" s="72">
        <f t="shared" si="34"/>
        <v>42675</v>
      </c>
      <c r="L428" s="67">
        <f t="shared" si="32"/>
        <v>6</v>
      </c>
      <c r="M428" s="114">
        <v>2.0333333000000001E-3</v>
      </c>
      <c r="N428" s="104">
        <f t="shared" si="33"/>
        <v>4.3501539286859998</v>
      </c>
      <c r="O428" s="66"/>
      <c r="P428" s="66">
        <f t="shared" si="30"/>
        <v>0</v>
      </c>
      <c r="Q428" s="66"/>
      <c r="R428" s="66">
        <f t="shared" si="31"/>
        <v>5.8989306520833331</v>
      </c>
      <c r="S428" s="117"/>
    </row>
    <row r="429" spans="1:19">
      <c r="A429" s="110" t="s">
        <v>14</v>
      </c>
      <c r="B429" s="111" t="s">
        <v>292</v>
      </c>
      <c r="C429" s="111" t="s">
        <v>293</v>
      </c>
      <c r="D429" s="112" t="s">
        <v>1679</v>
      </c>
      <c r="E429" s="111" t="s">
        <v>294</v>
      </c>
      <c r="F429" s="112" t="s">
        <v>1613</v>
      </c>
      <c r="G429" s="111" t="s">
        <v>20</v>
      </c>
      <c r="H429" s="111" t="s">
        <v>933</v>
      </c>
      <c r="I429" s="111">
        <v>201511</v>
      </c>
      <c r="J429" s="113">
        <v>76101.350000000006</v>
      </c>
      <c r="K429" s="72">
        <f t="shared" si="34"/>
        <v>42675</v>
      </c>
      <c r="L429" s="67">
        <f t="shared" si="32"/>
        <v>6</v>
      </c>
      <c r="M429" s="114">
        <v>2.23333E-3</v>
      </c>
      <c r="N429" s="104">
        <f t="shared" si="33"/>
        <v>1019.756567973</v>
      </c>
      <c r="O429" s="66"/>
      <c r="P429" s="66">
        <f t="shared" si="30"/>
        <v>0</v>
      </c>
      <c r="Q429" s="66"/>
      <c r="R429" s="66">
        <f t="shared" si="31"/>
        <v>1258.9858546145836</v>
      </c>
      <c r="S429" s="117"/>
    </row>
    <row r="430" spans="1:19">
      <c r="A430" s="110" t="s">
        <v>14</v>
      </c>
      <c r="B430" s="111" t="s">
        <v>419</v>
      </c>
      <c r="C430" s="111" t="s">
        <v>420</v>
      </c>
      <c r="D430" s="112" t="s">
        <v>50</v>
      </c>
      <c r="E430" s="111" t="s">
        <v>421</v>
      </c>
      <c r="F430" s="112" t="s">
        <v>52</v>
      </c>
      <c r="G430" s="111" t="s">
        <v>20</v>
      </c>
      <c r="H430" s="111" t="s">
        <v>933</v>
      </c>
      <c r="I430" s="111">
        <v>201511</v>
      </c>
      <c r="J430" s="113">
        <v>5437.93</v>
      </c>
      <c r="K430" s="72">
        <f t="shared" si="34"/>
        <v>42675</v>
      </c>
      <c r="L430" s="67">
        <f t="shared" si="32"/>
        <v>6</v>
      </c>
      <c r="M430" s="114">
        <v>2.23333E-3</v>
      </c>
      <c r="N430" s="104">
        <f t="shared" si="33"/>
        <v>72.868153241399995</v>
      </c>
      <c r="O430" s="66"/>
      <c r="P430" s="66">
        <f t="shared" si="30"/>
        <v>0</v>
      </c>
      <c r="Q430" s="66"/>
      <c r="R430" s="66">
        <f t="shared" si="31"/>
        <v>89.962621535416673</v>
      </c>
      <c r="S430" s="117"/>
    </row>
    <row r="431" spans="1:19">
      <c r="A431" s="116" t="s">
        <v>990</v>
      </c>
      <c r="B431" s="111" t="s">
        <v>1020</v>
      </c>
      <c r="C431" s="111" t="s">
        <v>1021</v>
      </c>
      <c r="D431" s="112" t="s">
        <v>1680</v>
      </c>
      <c r="E431" s="111" t="s">
        <v>1022</v>
      </c>
      <c r="F431" s="112" t="s">
        <v>1614</v>
      </c>
      <c r="G431" s="111" t="s">
        <v>20</v>
      </c>
      <c r="H431" s="111" t="s">
        <v>933</v>
      </c>
      <c r="I431" s="111">
        <v>201511</v>
      </c>
      <c r="J431" s="113">
        <v>2306.0500000000002</v>
      </c>
      <c r="K431" s="72">
        <f t="shared" si="34"/>
        <v>42675</v>
      </c>
      <c r="L431" s="67">
        <f t="shared" si="32"/>
        <v>6</v>
      </c>
      <c r="M431" s="114">
        <v>2.0333333000000001E-3</v>
      </c>
      <c r="N431" s="104">
        <f t="shared" si="33"/>
        <v>28.13380953879</v>
      </c>
      <c r="O431" s="66"/>
      <c r="P431" s="66">
        <f t="shared" si="30"/>
        <v>0</v>
      </c>
      <c r="Q431" s="66"/>
      <c r="R431" s="66">
        <f t="shared" si="31"/>
        <v>38.150234260416674</v>
      </c>
      <c r="S431" s="117"/>
    </row>
    <row r="432" spans="1:19">
      <c r="A432" s="110" t="s">
        <v>14</v>
      </c>
      <c r="B432" s="111" t="s">
        <v>325</v>
      </c>
      <c r="C432" s="111" t="s">
        <v>326</v>
      </c>
      <c r="D432" s="112" t="s">
        <v>327</v>
      </c>
      <c r="E432" s="111" t="s">
        <v>328</v>
      </c>
      <c r="F432" s="112" t="s">
        <v>58</v>
      </c>
      <c r="G432" s="111" t="s">
        <v>20</v>
      </c>
      <c r="H432" s="111" t="s">
        <v>933</v>
      </c>
      <c r="I432" s="111">
        <v>201511</v>
      </c>
      <c r="J432" s="113">
        <v>4541.6899999999996</v>
      </c>
      <c r="K432" s="72">
        <f t="shared" si="34"/>
        <v>42675</v>
      </c>
      <c r="L432" s="67">
        <f t="shared" si="32"/>
        <v>6</v>
      </c>
      <c r="M432" s="114">
        <v>2.23333E-3</v>
      </c>
      <c r="N432" s="104">
        <f t="shared" si="33"/>
        <v>60.858555166199992</v>
      </c>
      <c r="O432" s="66"/>
      <c r="P432" s="66">
        <f t="shared" si="30"/>
        <v>0</v>
      </c>
      <c r="Q432" s="66"/>
      <c r="R432" s="66">
        <f t="shared" si="31"/>
        <v>75.135637752083341</v>
      </c>
      <c r="S432" s="117"/>
    </row>
    <row r="433" spans="1:19">
      <c r="A433" s="110" t="s">
        <v>626</v>
      </c>
      <c r="B433" s="111" t="e">
        <v>#N/A</v>
      </c>
      <c r="C433" s="111" t="s">
        <v>1703</v>
      </c>
      <c r="D433" s="112" t="s">
        <v>1704</v>
      </c>
      <c r="E433" s="111" t="s">
        <v>164</v>
      </c>
      <c r="F433" s="112" t="s">
        <v>1600</v>
      </c>
      <c r="G433" s="111" t="s">
        <v>20</v>
      </c>
      <c r="H433" s="111" t="s">
        <v>933</v>
      </c>
      <c r="I433" s="111">
        <v>201511</v>
      </c>
      <c r="J433" s="113">
        <v>1506.8</v>
      </c>
      <c r="K433" s="72">
        <f t="shared" si="34"/>
        <v>42675</v>
      </c>
      <c r="L433" s="67">
        <f t="shared" si="32"/>
        <v>6</v>
      </c>
      <c r="M433" s="114">
        <v>1.4833299999999999E-3</v>
      </c>
      <c r="N433" s="104">
        <f t="shared" si="33"/>
        <v>13.410489864000001</v>
      </c>
      <c r="O433" s="66"/>
      <c r="P433" s="66">
        <f t="shared" si="30"/>
        <v>0</v>
      </c>
      <c r="Q433" s="66"/>
      <c r="R433" s="66">
        <f t="shared" si="31"/>
        <v>24.927808583333331</v>
      </c>
      <c r="S433" s="117"/>
    </row>
    <row r="434" spans="1:19">
      <c r="A434" s="110" t="s">
        <v>626</v>
      </c>
      <c r="B434" s="111" t="e">
        <v>#N/A</v>
      </c>
      <c r="C434" s="111" t="s">
        <v>1705</v>
      </c>
      <c r="D434" s="112" t="s">
        <v>1706</v>
      </c>
      <c r="E434" s="111" t="s">
        <v>75</v>
      </c>
      <c r="F434" s="112" t="s">
        <v>1602</v>
      </c>
      <c r="G434" s="111" t="s">
        <v>20</v>
      </c>
      <c r="H434" s="111" t="s">
        <v>933</v>
      </c>
      <c r="I434" s="111">
        <v>201511</v>
      </c>
      <c r="J434" s="113">
        <v>93.13</v>
      </c>
      <c r="K434" s="72">
        <f t="shared" si="34"/>
        <v>42675</v>
      </c>
      <c r="L434" s="67">
        <f t="shared" si="32"/>
        <v>6</v>
      </c>
      <c r="M434" s="114">
        <v>1.4833299999999999E-3</v>
      </c>
      <c r="N434" s="104">
        <f t="shared" si="33"/>
        <v>0.82885513739999994</v>
      </c>
      <c r="O434" s="66"/>
      <c r="P434" s="66">
        <f t="shared" si="30"/>
        <v>0</v>
      </c>
      <c r="Q434" s="66"/>
      <c r="R434" s="66">
        <f t="shared" si="31"/>
        <v>1.5407000354166667</v>
      </c>
      <c r="S434" s="117"/>
    </row>
    <row r="435" spans="1:19">
      <c r="A435" s="110" t="s">
        <v>626</v>
      </c>
      <c r="B435" s="111" t="e">
        <v>#N/A</v>
      </c>
      <c r="C435" s="111" t="s">
        <v>1707</v>
      </c>
      <c r="D435" s="112" t="s">
        <v>1708</v>
      </c>
      <c r="E435" s="111" t="s">
        <v>75</v>
      </c>
      <c r="F435" s="112" t="s">
        <v>1602</v>
      </c>
      <c r="G435" s="111" t="s">
        <v>20</v>
      </c>
      <c r="H435" s="111" t="s">
        <v>933</v>
      </c>
      <c r="I435" s="111">
        <v>201511</v>
      </c>
      <c r="J435" s="113">
        <v>150</v>
      </c>
      <c r="K435" s="72">
        <f t="shared" si="34"/>
        <v>42675</v>
      </c>
      <c r="L435" s="67">
        <f t="shared" si="32"/>
        <v>6</v>
      </c>
      <c r="M435" s="114">
        <v>1.4833299999999999E-3</v>
      </c>
      <c r="N435" s="104">
        <f t="shared" si="33"/>
        <v>1.334997</v>
      </c>
      <c r="O435" s="66"/>
      <c r="P435" s="66">
        <f t="shared" ref="P435:P498" si="35">($P$305*J435*$U$11)</f>
        <v>0</v>
      </c>
      <c r="Q435" s="66"/>
      <c r="R435" s="66">
        <f t="shared" ref="R435:R498" si="36">($R$305*0.5*J435*$U$11)</f>
        <v>2.4815312499999997</v>
      </c>
      <c r="S435" s="117"/>
    </row>
    <row r="436" spans="1:19">
      <c r="A436" s="116" t="s">
        <v>554</v>
      </c>
      <c r="B436" s="111" t="s">
        <v>116</v>
      </c>
      <c r="C436" s="111" t="s">
        <v>117</v>
      </c>
      <c r="D436" s="112" t="s">
        <v>118</v>
      </c>
      <c r="E436" s="111" t="s">
        <v>119</v>
      </c>
      <c r="F436" s="112" t="s">
        <v>1605</v>
      </c>
      <c r="G436" s="111" t="s">
        <v>20</v>
      </c>
      <c r="H436" s="111" t="s">
        <v>936</v>
      </c>
      <c r="I436" s="111">
        <v>201511</v>
      </c>
      <c r="J436" s="113">
        <v>148996.63</v>
      </c>
      <c r="K436" s="72">
        <f t="shared" si="34"/>
        <v>42675</v>
      </c>
      <c r="L436" s="67">
        <f t="shared" si="32"/>
        <v>6</v>
      </c>
      <c r="M436" s="114">
        <v>1.4833299999999999E-3</v>
      </c>
      <c r="N436" s="104">
        <f t="shared" si="33"/>
        <v>1326.0670270674</v>
      </c>
      <c r="O436" s="66"/>
      <c r="P436" s="66">
        <f t="shared" si="35"/>
        <v>0</v>
      </c>
      <c r="Q436" s="66"/>
      <c r="R436" s="66">
        <f t="shared" si="36"/>
        <v>2464.9319565979167</v>
      </c>
      <c r="S436" s="117"/>
    </row>
    <row r="437" spans="1:19">
      <c r="A437" s="116" t="s">
        <v>21</v>
      </c>
      <c r="B437" s="111" t="s">
        <v>1597</v>
      </c>
      <c r="C437" s="111" t="s">
        <v>1598</v>
      </c>
      <c r="D437" s="112" t="s">
        <v>1599</v>
      </c>
      <c r="E437" s="111" t="s">
        <v>164</v>
      </c>
      <c r="F437" s="112" t="s">
        <v>1600</v>
      </c>
      <c r="G437" s="111" t="s">
        <v>20</v>
      </c>
      <c r="H437" s="111" t="s">
        <v>1684</v>
      </c>
      <c r="I437" s="111">
        <v>201511</v>
      </c>
      <c r="J437" s="113">
        <v>172.78</v>
      </c>
      <c r="K437" s="72">
        <f t="shared" si="34"/>
        <v>42675</v>
      </c>
      <c r="L437" s="67">
        <f t="shared" si="32"/>
        <v>6</v>
      </c>
      <c r="M437" s="114">
        <v>1.4833299999999999E-3</v>
      </c>
      <c r="N437" s="104">
        <f t="shared" si="33"/>
        <v>1.5377385444</v>
      </c>
      <c r="O437" s="66"/>
      <c r="P437" s="66">
        <f t="shared" si="35"/>
        <v>0</v>
      </c>
      <c r="Q437" s="66"/>
      <c r="R437" s="66">
        <f t="shared" si="36"/>
        <v>2.8583931291666667</v>
      </c>
      <c r="S437" s="117"/>
    </row>
    <row r="438" spans="1:19">
      <c r="A438" s="116" t="s">
        <v>626</v>
      </c>
      <c r="B438" s="111" t="s">
        <v>1250</v>
      </c>
      <c r="C438" s="111" t="s">
        <v>1251</v>
      </c>
      <c r="D438" s="112" t="s">
        <v>1252</v>
      </c>
      <c r="E438" s="111" t="s">
        <v>260</v>
      </c>
      <c r="F438" s="112" t="s">
        <v>1608</v>
      </c>
      <c r="G438" s="111" t="s">
        <v>20</v>
      </c>
      <c r="H438" s="111" t="s">
        <v>1684</v>
      </c>
      <c r="I438" s="111">
        <v>201511</v>
      </c>
      <c r="J438" s="113">
        <v>6654.12</v>
      </c>
      <c r="K438" s="72">
        <f t="shared" si="34"/>
        <v>42675</v>
      </c>
      <c r="L438" s="67">
        <f t="shared" si="32"/>
        <v>6</v>
      </c>
      <c r="M438" s="114">
        <v>1.4833299999999999E-3</v>
      </c>
      <c r="N438" s="104">
        <f t="shared" si="33"/>
        <v>59.221534917599996</v>
      </c>
      <c r="O438" s="66"/>
      <c r="P438" s="66">
        <f t="shared" si="35"/>
        <v>0</v>
      </c>
      <c r="Q438" s="66"/>
      <c r="R438" s="66">
        <f t="shared" si="36"/>
        <v>110.082711475</v>
      </c>
      <c r="S438" s="117"/>
    </row>
    <row r="439" spans="1:19">
      <c r="A439" s="116" t="s">
        <v>127</v>
      </c>
      <c r="B439" s="111" t="s">
        <v>1130</v>
      </c>
      <c r="C439" s="111" t="s">
        <v>1131</v>
      </c>
      <c r="D439" s="112" t="s">
        <v>1132</v>
      </c>
      <c r="E439" s="111" t="s">
        <v>131</v>
      </c>
      <c r="F439" s="112" t="s">
        <v>1607</v>
      </c>
      <c r="G439" s="111" t="s">
        <v>20</v>
      </c>
      <c r="H439" s="111" t="s">
        <v>1684</v>
      </c>
      <c r="I439" s="111">
        <v>201511</v>
      </c>
      <c r="J439" s="113">
        <v>-0.03</v>
      </c>
      <c r="K439" s="72">
        <f t="shared" si="34"/>
        <v>42675</v>
      </c>
      <c r="L439" s="67">
        <f t="shared" si="32"/>
        <v>6</v>
      </c>
      <c r="M439" s="114">
        <v>2.3833299999999999E-3</v>
      </c>
      <c r="N439" s="104">
        <f t="shared" si="33"/>
        <v>-4.2899939999999998E-4</v>
      </c>
      <c r="O439" s="66"/>
      <c r="P439" s="66">
        <f t="shared" si="35"/>
        <v>0</v>
      </c>
      <c r="Q439" s="66"/>
      <c r="R439" s="66">
        <f t="shared" si="36"/>
        <v>-4.9630624999999994E-4</v>
      </c>
      <c r="S439" s="117"/>
    </row>
    <row r="440" spans="1:19">
      <c r="A440" s="116" t="s">
        <v>626</v>
      </c>
      <c r="B440" s="111" t="s">
        <v>1615</v>
      </c>
      <c r="C440" s="111" t="s">
        <v>1616</v>
      </c>
      <c r="D440" s="112" t="s">
        <v>1617</v>
      </c>
      <c r="E440" s="111" t="s">
        <v>497</v>
      </c>
      <c r="F440" s="112" t="s">
        <v>26</v>
      </c>
      <c r="G440" s="111" t="s">
        <v>20</v>
      </c>
      <c r="H440" s="111" t="s">
        <v>1684</v>
      </c>
      <c r="I440" s="111">
        <v>201511</v>
      </c>
      <c r="J440" s="113">
        <v>-141.87</v>
      </c>
      <c r="K440" s="72">
        <f t="shared" si="34"/>
        <v>42675</v>
      </c>
      <c r="L440" s="67">
        <f t="shared" si="32"/>
        <v>6</v>
      </c>
      <c r="M440" s="114">
        <v>1.4833299999999999E-3</v>
      </c>
      <c r="N440" s="104">
        <f t="shared" si="33"/>
        <v>-1.2626401626000001</v>
      </c>
      <c r="O440" s="66"/>
      <c r="P440" s="66">
        <f t="shared" si="35"/>
        <v>0</v>
      </c>
      <c r="Q440" s="66"/>
      <c r="R440" s="66">
        <f t="shared" si="36"/>
        <v>-2.3470322562499999</v>
      </c>
      <c r="S440" s="117"/>
    </row>
    <row r="441" spans="1:19">
      <c r="A441" s="110" t="s">
        <v>21</v>
      </c>
      <c r="B441" s="111" t="s">
        <v>1502</v>
      </c>
      <c r="C441" s="111" t="s">
        <v>1503</v>
      </c>
      <c r="D441" s="112" t="s">
        <v>1504</v>
      </c>
      <c r="E441" s="111" t="s">
        <v>172</v>
      </c>
      <c r="F441" s="112" t="s">
        <v>1609</v>
      </c>
      <c r="G441" s="111" t="s">
        <v>20</v>
      </c>
      <c r="H441" s="111" t="s">
        <v>1684</v>
      </c>
      <c r="I441" s="111">
        <v>201511</v>
      </c>
      <c r="J441" s="113">
        <v>3.3</v>
      </c>
      <c r="K441" s="72">
        <f t="shared" si="34"/>
        <v>42675</v>
      </c>
      <c r="L441" s="67">
        <f t="shared" si="32"/>
        <v>6</v>
      </c>
      <c r="M441" s="114">
        <v>1.4833299999999999E-3</v>
      </c>
      <c r="N441" s="104">
        <f t="shared" si="33"/>
        <v>2.9369933999999997E-2</v>
      </c>
      <c r="O441" s="66"/>
      <c r="P441" s="66">
        <f t="shared" si="35"/>
        <v>0</v>
      </c>
      <c r="Q441" s="66"/>
      <c r="R441" s="66">
        <f t="shared" si="36"/>
        <v>5.4593687499999995E-2</v>
      </c>
      <c r="S441" s="117"/>
    </row>
    <row r="442" spans="1:19">
      <c r="A442" s="110" t="s">
        <v>21</v>
      </c>
      <c r="B442" s="111" t="s">
        <v>1420</v>
      </c>
      <c r="C442" s="111" t="s">
        <v>1421</v>
      </c>
      <c r="D442" s="112" t="s">
        <v>1422</v>
      </c>
      <c r="E442" s="111" t="s">
        <v>260</v>
      </c>
      <c r="F442" s="112" t="s">
        <v>1608</v>
      </c>
      <c r="G442" s="111" t="s">
        <v>20</v>
      </c>
      <c r="H442" s="111" t="s">
        <v>1684</v>
      </c>
      <c r="I442" s="111">
        <v>201511</v>
      </c>
      <c r="J442" s="113">
        <v>-23.26</v>
      </c>
      <c r="K442" s="72">
        <f t="shared" si="34"/>
        <v>42675</v>
      </c>
      <c r="L442" s="67">
        <f t="shared" si="32"/>
        <v>6</v>
      </c>
      <c r="M442" s="114">
        <v>1.4833299999999999E-3</v>
      </c>
      <c r="N442" s="104">
        <f t="shared" si="33"/>
        <v>-0.20701353480000001</v>
      </c>
      <c r="O442" s="66"/>
      <c r="P442" s="66">
        <f t="shared" si="35"/>
        <v>0</v>
      </c>
      <c r="Q442" s="66"/>
      <c r="R442" s="66">
        <f t="shared" si="36"/>
        <v>-0.38480277916666666</v>
      </c>
      <c r="S442" s="117"/>
    </row>
    <row r="443" spans="1:19">
      <c r="A443" s="110" t="s">
        <v>626</v>
      </c>
      <c r="B443" s="111" t="s">
        <v>1420</v>
      </c>
      <c r="C443" s="111" t="s">
        <v>1421</v>
      </c>
      <c r="D443" s="112" t="s">
        <v>1422</v>
      </c>
      <c r="E443" s="111" t="s">
        <v>260</v>
      </c>
      <c r="F443" s="112" t="s">
        <v>1608</v>
      </c>
      <c r="G443" s="111" t="s">
        <v>20</v>
      </c>
      <c r="H443" s="111" t="s">
        <v>1684</v>
      </c>
      <c r="I443" s="111">
        <v>201511</v>
      </c>
      <c r="J443" s="113">
        <v>-90.67</v>
      </c>
      <c r="K443" s="72">
        <f t="shared" si="34"/>
        <v>42675</v>
      </c>
      <c r="L443" s="67">
        <f t="shared" si="32"/>
        <v>6</v>
      </c>
      <c r="M443" s="114">
        <v>1.4833299999999999E-3</v>
      </c>
      <c r="N443" s="104">
        <f t="shared" si="33"/>
        <v>-0.80696118660000005</v>
      </c>
      <c r="O443" s="66"/>
      <c r="P443" s="66">
        <f t="shared" si="35"/>
        <v>0</v>
      </c>
      <c r="Q443" s="66"/>
      <c r="R443" s="66">
        <f t="shared" si="36"/>
        <v>-1.5000029229166667</v>
      </c>
      <c r="S443" s="117"/>
    </row>
    <row r="444" spans="1:19">
      <c r="A444" s="110" t="s">
        <v>127</v>
      </c>
      <c r="B444" s="111" t="s">
        <v>1785</v>
      </c>
      <c r="C444" s="111" t="s">
        <v>1786</v>
      </c>
      <c r="D444" s="112" t="s">
        <v>1787</v>
      </c>
      <c r="E444" s="111" t="s">
        <v>1580</v>
      </c>
      <c r="F444" s="112" t="s">
        <v>217</v>
      </c>
      <c r="G444" s="111" t="s">
        <v>20</v>
      </c>
      <c r="H444" s="111" t="s">
        <v>1684</v>
      </c>
      <c r="I444" s="111">
        <v>201511</v>
      </c>
      <c r="J444" s="113">
        <v>26953.85</v>
      </c>
      <c r="K444" s="72">
        <f t="shared" si="34"/>
        <v>42675</v>
      </c>
      <c r="L444" s="67">
        <f t="shared" si="32"/>
        <v>6</v>
      </c>
      <c r="M444" s="114">
        <v>2.3833299999999999E-3</v>
      </c>
      <c r="N444" s="104">
        <f t="shared" si="33"/>
        <v>385.43951592299999</v>
      </c>
      <c r="O444" s="66"/>
      <c r="P444" s="66">
        <f t="shared" si="35"/>
        <v>0</v>
      </c>
      <c r="Q444" s="66"/>
      <c r="R444" s="66">
        <f t="shared" si="36"/>
        <v>445.91214055208332</v>
      </c>
      <c r="S444" s="117"/>
    </row>
    <row r="445" spans="1:19">
      <c r="A445" s="110" t="s">
        <v>626</v>
      </c>
      <c r="B445" s="111" t="s">
        <v>1709</v>
      </c>
      <c r="C445" s="111" t="s">
        <v>1710</v>
      </c>
      <c r="D445" s="112" t="s">
        <v>1711</v>
      </c>
      <c r="E445" s="111" t="s">
        <v>497</v>
      </c>
      <c r="F445" s="112" t="s">
        <v>26</v>
      </c>
      <c r="G445" s="111" t="s">
        <v>20</v>
      </c>
      <c r="H445" s="111" t="s">
        <v>1684</v>
      </c>
      <c r="I445" s="111">
        <v>201511</v>
      </c>
      <c r="J445" s="113">
        <v>335.89</v>
      </c>
      <c r="K445" s="72">
        <f t="shared" si="34"/>
        <v>42675</v>
      </c>
      <c r="L445" s="67">
        <f t="shared" si="32"/>
        <v>6</v>
      </c>
      <c r="M445" s="114">
        <v>1.4833299999999999E-3</v>
      </c>
      <c r="N445" s="104">
        <f t="shared" si="33"/>
        <v>2.9894142821999998</v>
      </c>
      <c r="O445" s="66"/>
      <c r="P445" s="66">
        <f t="shared" si="35"/>
        <v>0</v>
      </c>
      <c r="Q445" s="66"/>
      <c r="R445" s="66">
        <f t="shared" si="36"/>
        <v>5.5568102104166668</v>
      </c>
      <c r="S445" s="117"/>
    </row>
    <row r="446" spans="1:19">
      <c r="A446" s="110" t="s">
        <v>626</v>
      </c>
      <c r="B446" s="111" t="s">
        <v>1511</v>
      </c>
      <c r="C446" s="111" t="s">
        <v>1512</v>
      </c>
      <c r="D446" s="112" t="s">
        <v>1513</v>
      </c>
      <c r="E446" s="111" t="s">
        <v>260</v>
      </c>
      <c r="F446" s="112" t="s">
        <v>1608</v>
      </c>
      <c r="G446" s="111" t="s">
        <v>20</v>
      </c>
      <c r="H446" s="111" t="s">
        <v>1684</v>
      </c>
      <c r="I446" s="111">
        <v>201511</v>
      </c>
      <c r="J446" s="113">
        <v>997.09</v>
      </c>
      <c r="K446" s="72">
        <f t="shared" si="34"/>
        <v>42675</v>
      </c>
      <c r="L446" s="67">
        <f t="shared" si="32"/>
        <v>6</v>
      </c>
      <c r="M446" s="114">
        <v>1.4833299999999999E-3</v>
      </c>
      <c r="N446" s="104">
        <f t="shared" si="33"/>
        <v>8.8740810581999998</v>
      </c>
      <c r="O446" s="66"/>
      <c r="P446" s="66">
        <f t="shared" si="35"/>
        <v>0</v>
      </c>
      <c r="Q446" s="66"/>
      <c r="R446" s="66">
        <f t="shared" si="36"/>
        <v>16.49539996041667</v>
      </c>
      <c r="S446" s="117"/>
    </row>
    <row r="447" spans="1:19">
      <c r="A447" s="110" t="s">
        <v>626</v>
      </c>
      <c r="B447" s="111" t="s">
        <v>1514</v>
      </c>
      <c r="C447" s="111" t="s">
        <v>1515</v>
      </c>
      <c r="D447" s="112" t="s">
        <v>1516</v>
      </c>
      <c r="E447" s="111" t="s">
        <v>809</v>
      </c>
      <c r="F447" s="112" t="s">
        <v>26</v>
      </c>
      <c r="G447" s="111" t="s">
        <v>20</v>
      </c>
      <c r="H447" s="111" t="s">
        <v>1684</v>
      </c>
      <c r="I447" s="111">
        <v>201511</v>
      </c>
      <c r="J447" s="113">
        <v>-33.53</v>
      </c>
      <c r="K447" s="72">
        <f t="shared" si="34"/>
        <v>42675</v>
      </c>
      <c r="L447" s="67">
        <f t="shared" si="32"/>
        <v>6</v>
      </c>
      <c r="M447" s="114">
        <v>1.4833299999999999E-3</v>
      </c>
      <c r="N447" s="104">
        <f t="shared" si="33"/>
        <v>-0.29841632940000001</v>
      </c>
      <c r="O447" s="66"/>
      <c r="P447" s="66">
        <f t="shared" si="35"/>
        <v>0</v>
      </c>
      <c r="Q447" s="66"/>
      <c r="R447" s="66">
        <f t="shared" si="36"/>
        <v>-0.55470495208333337</v>
      </c>
      <c r="S447" s="117"/>
    </row>
    <row r="448" spans="1:19">
      <c r="A448" s="110" t="s">
        <v>626</v>
      </c>
      <c r="B448" s="111" t="s">
        <v>1712</v>
      </c>
      <c r="C448" s="111" t="s">
        <v>1713</v>
      </c>
      <c r="D448" s="112" t="s">
        <v>1714</v>
      </c>
      <c r="E448" s="111" t="s">
        <v>497</v>
      </c>
      <c r="F448" s="112" t="s">
        <v>26</v>
      </c>
      <c r="G448" s="111" t="s">
        <v>20</v>
      </c>
      <c r="H448" s="111" t="s">
        <v>1684</v>
      </c>
      <c r="I448" s="111">
        <v>201511</v>
      </c>
      <c r="J448" s="113">
        <v>37.96</v>
      </c>
      <c r="K448" s="72">
        <f t="shared" si="34"/>
        <v>42675</v>
      </c>
      <c r="L448" s="67">
        <f t="shared" si="32"/>
        <v>6</v>
      </c>
      <c r="M448" s="114">
        <v>1.4833299999999999E-3</v>
      </c>
      <c r="N448" s="104">
        <f t="shared" si="33"/>
        <v>0.3378432408</v>
      </c>
      <c r="O448" s="66"/>
      <c r="P448" s="66">
        <f t="shared" si="35"/>
        <v>0</v>
      </c>
      <c r="Q448" s="66"/>
      <c r="R448" s="66">
        <f t="shared" si="36"/>
        <v>0.62799284166666669</v>
      </c>
      <c r="S448" s="117"/>
    </row>
    <row r="449" spans="1:29">
      <c r="A449" s="110" t="s">
        <v>626</v>
      </c>
      <c r="B449" s="111" t="s">
        <v>1715</v>
      </c>
      <c r="C449" s="111" t="s">
        <v>1716</v>
      </c>
      <c r="D449" s="112" t="s">
        <v>1717</v>
      </c>
      <c r="E449" s="111" t="s">
        <v>497</v>
      </c>
      <c r="F449" s="112" t="s">
        <v>26</v>
      </c>
      <c r="G449" s="111" t="s">
        <v>20</v>
      </c>
      <c r="H449" s="111" t="s">
        <v>1684</v>
      </c>
      <c r="I449" s="111">
        <v>201511</v>
      </c>
      <c r="J449" s="113">
        <v>-505.1</v>
      </c>
      <c r="K449" s="72">
        <f t="shared" si="34"/>
        <v>42675</v>
      </c>
      <c r="L449" s="67">
        <f t="shared" si="32"/>
        <v>6</v>
      </c>
      <c r="M449" s="114">
        <v>1.4833299999999999E-3</v>
      </c>
      <c r="N449" s="104">
        <f t="shared" si="33"/>
        <v>-4.4953798980000004</v>
      </c>
      <c r="O449" s="66"/>
      <c r="P449" s="66">
        <f t="shared" si="35"/>
        <v>0</v>
      </c>
      <c r="Q449" s="66"/>
      <c r="R449" s="66">
        <f t="shared" si="36"/>
        <v>-8.356142895833333</v>
      </c>
      <c r="S449" s="117"/>
    </row>
    <row r="450" spans="1:29">
      <c r="A450" s="110" t="s">
        <v>626</v>
      </c>
      <c r="B450" s="111" t="s">
        <v>1718</v>
      </c>
      <c r="C450" s="111" t="s">
        <v>1719</v>
      </c>
      <c r="D450" s="112" t="s">
        <v>1720</v>
      </c>
      <c r="E450" s="111" t="s">
        <v>497</v>
      </c>
      <c r="F450" s="112" t="s">
        <v>26</v>
      </c>
      <c r="G450" s="111" t="s">
        <v>20</v>
      </c>
      <c r="H450" s="111" t="s">
        <v>1684</v>
      </c>
      <c r="I450" s="111">
        <v>201511</v>
      </c>
      <c r="J450" s="113">
        <v>-21.49</v>
      </c>
      <c r="K450" s="72">
        <f t="shared" si="34"/>
        <v>42675</v>
      </c>
      <c r="L450" s="67">
        <f t="shared" si="32"/>
        <v>6</v>
      </c>
      <c r="M450" s="114">
        <v>1.4833299999999999E-3</v>
      </c>
      <c r="N450" s="104">
        <f t="shared" si="33"/>
        <v>-0.19126057019999998</v>
      </c>
      <c r="O450" s="66"/>
      <c r="P450" s="66">
        <f t="shared" si="35"/>
        <v>0</v>
      </c>
      <c r="Q450" s="66"/>
      <c r="R450" s="66">
        <f t="shared" si="36"/>
        <v>-0.35552071041666661</v>
      </c>
      <c r="S450" s="117"/>
      <c r="Y450" s="66"/>
      <c r="Z450" s="71"/>
      <c r="AA450" s="66"/>
      <c r="AB450" s="117"/>
      <c r="AC450" s="64"/>
    </row>
    <row r="451" spans="1:29">
      <c r="A451" s="110" t="s">
        <v>626</v>
      </c>
      <c r="B451" s="111" t="s">
        <v>1517</v>
      </c>
      <c r="C451" s="111" t="s">
        <v>1518</v>
      </c>
      <c r="D451" s="112" t="s">
        <v>1211</v>
      </c>
      <c r="E451" s="111" t="s">
        <v>280</v>
      </c>
      <c r="F451" s="112" t="s">
        <v>26</v>
      </c>
      <c r="G451" s="111" t="s">
        <v>20</v>
      </c>
      <c r="H451" s="111" t="s">
        <v>1684</v>
      </c>
      <c r="I451" s="111">
        <v>201511</v>
      </c>
      <c r="J451" s="113">
        <v>-205.55</v>
      </c>
      <c r="K451" s="72">
        <f t="shared" si="34"/>
        <v>42675</v>
      </c>
      <c r="L451" s="67">
        <f t="shared" si="32"/>
        <v>6</v>
      </c>
      <c r="M451" s="114">
        <v>1.4833299999999999E-3</v>
      </c>
      <c r="N451" s="104">
        <f t="shared" si="33"/>
        <v>-1.8293908890000001</v>
      </c>
      <c r="O451" s="66"/>
      <c r="P451" s="66">
        <f t="shared" si="35"/>
        <v>0</v>
      </c>
      <c r="Q451" s="66"/>
      <c r="R451" s="66">
        <f t="shared" si="36"/>
        <v>-3.4005249895833338</v>
      </c>
      <c r="S451" s="117"/>
    </row>
    <row r="452" spans="1:29">
      <c r="A452" s="110" t="s">
        <v>626</v>
      </c>
      <c r="B452" s="111" t="s">
        <v>1620</v>
      </c>
      <c r="C452" s="111" t="s">
        <v>1621</v>
      </c>
      <c r="D452" s="112" t="s">
        <v>1622</v>
      </c>
      <c r="E452" s="111" t="s">
        <v>497</v>
      </c>
      <c r="F452" s="112" t="s">
        <v>26</v>
      </c>
      <c r="G452" s="111" t="s">
        <v>20</v>
      </c>
      <c r="H452" s="111" t="s">
        <v>1684</v>
      </c>
      <c r="I452" s="111">
        <v>201511</v>
      </c>
      <c r="J452" s="113">
        <v>11585.32</v>
      </c>
      <c r="K452" s="72">
        <f t="shared" si="34"/>
        <v>42675</v>
      </c>
      <c r="L452" s="67">
        <f t="shared" si="32"/>
        <v>6</v>
      </c>
      <c r="M452" s="114">
        <v>1.4833299999999999E-3</v>
      </c>
      <c r="N452" s="104">
        <f t="shared" si="33"/>
        <v>103.1091162936</v>
      </c>
      <c r="O452" s="66"/>
      <c r="P452" s="66">
        <f t="shared" si="35"/>
        <v>0</v>
      </c>
      <c r="Q452" s="66"/>
      <c r="R452" s="66">
        <f t="shared" si="36"/>
        <v>191.66222414166668</v>
      </c>
      <c r="S452" s="117"/>
    </row>
    <row r="453" spans="1:29">
      <c r="A453" s="110" t="s">
        <v>626</v>
      </c>
      <c r="B453" s="111" t="s">
        <v>1721</v>
      </c>
      <c r="C453" s="111" t="s">
        <v>1722</v>
      </c>
      <c r="D453" s="112" t="s">
        <v>1723</v>
      </c>
      <c r="E453" s="111" t="s">
        <v>75</v>
      </c>
      <c r="F453" s="112" t="s">
        <v>1602</v>
      </c>
      <c r="G453" s="111" t="s">
        <v>20</v>
      </c>
      <c r="H453" s="111" t="s">
        <v>1684</v>
      </c>
      <c r="I453" s="111">
        <v>201511</v>
      </c>
      <c r="J453" s="113">
        <v>-48.47</v>
      </c>
      <c r="K453" s="72">
        <f t="shared" si="34"/>
        <v>42675</v>
      </c>
      <c r="L453" s="67">
        <f t="shared" si="32"/>
        <v>6</v>
      </c>
      <c r="M453" s="114">
        <v>1.4833299999999999E-3</v>
      </c>
      <c r="N453" s="104">
        <f t="shared" si="33"/>
        <v>-0.43138203059999997</v>
      </c>
      <c r="O453" s="66"/>
      <c r="P453" s="66">
        <f t="shared" si="35"/>
        <v>0</v>
      </c>
      <c r="Q453" s="66"/>
      <c r="R453" s="66">
        <f t="shared" si="36"/>
        <v>-0.80186546458333341</v>
      </c>
      <c r="S453" s="117"/>
    </row>
    <row r="454" spans="1:29">
      <c r="A454" s="110" t="s">
        <v>626</v>
      </c>
      <c r="B454" s="111" t="s">
        <v>1548</v>
      </c>
      <c r="C454" s="111" t="s">
        <v>1549</v>
      </c>
      <c r="D454" s="112" t="s">
        <v>1550</v>
      </c>
      <c r="E454" s="111" t="s">
        <v>164</v>
      </c>
      <c r="F454" s="112" t="s">
        <v>1600</v>
      </c>
      <c r="G454" s="111" t="s">
        <v>20</v>
      </c>
      <c r="H454" s="111" t="s">
        <v>1684</v>
      </c>
      <c r="I454" s="111">
        <v>201511</v>
      </c>
      <c r="J454" s="113">
        <v>-466.69</v>
      </c>
      <c r="K454" s="72">
        <f t="shared" si="34"/>
        <v>42675</v>
      </c>
      <c r="L454" s="67">
        <f t="shared" ref="L454:L517" si="37">((YEAR($L$1)-YEAR(K454))*12+MONTH($L$1)-MONTH(K454))</f>
        <v>6</v>
      </c>
      <c r="M454" s="114">
        <v>1.4833299999999999E-3</v>
      </c>
      <c r="N454" s="104">
        <f t="shared" ref="N454:N517" si="38">M454*L454*J454</f>
        <v>-4.1535316662000001</v>
      </c>
      <c r="O454" s="66"/>
      <c r="P454" s="66">
        <f t="shared" si="35"/>
        <v>0</v>
      </c>
      <c r="Q454" s="66"/>
      <c r="R454" s="66">
        <f t="shared" si="36"/>
        <v>-7.7207054604166663</v>
      </c>
      <c r="S454" s="117"/>
    </row>
    <row r="455" spans="1:29">
      <c r="A455" s="110" t="s">
        <v>626</v>
      </c>
      <c r="B455" s="111" t="s">
        <v>1724</v>
      </c>
      <c r="C455" s="111" t="s">
        <v>1725</v>
      </c>
      <c r="D455" s="112" t="s">
        <v>1726</v>
      </c>
      <c r="E455" s="111" t="s">
        <v>75</v>
      </c>
      <c r="F455" s="112" t="s">
        <v>1602</v>
      </c>
      <c r="G455" s="111" t="s">
        <v>20</v>
      </c>
      <c r="H455" s="111" t="s">
        <v>1684</v>
      </c>
      <c r="I455" s="111">
        <v>201511</v>
      </c>
      <c r="J455" s="113">
        <v>52.13</v>
      </c>
      <c r="K455" s="72">
        <f t="shared" ref="K455:K518" si="39">+K454</f>
        <v>42675</v>
      </c>
      <c r="L455" s="67">
        <f t="shared" si="37"/>
        <v>6</v>
      </c>
      <c r="M455" s="114">
        <v>1.4833299999999999E-3</v>
      </c>
      <c r="N455" s="104">
        <f t="shared" si="38"/>
        <v>0.46395595740000001</v>
      </c>
      <c r="O455" s="66"/>
      <c r="P455" s="66">
        <f t="shared" si="35"/>
        <v>0</v>
      </c>
      <c r="Q455" s="66"/>
      <c r="R455" s="66">
        <f t="shared" si="36"/>
        <v>0.86241482708333339</v>
      </c>
      <c r="S455" s="117"/>
    </row>
    <row r="456" spans="1:29">
      <c r="A456" s="110" t="s">
        <v>626</v>
      </c>
      <c r="B456" s="111" t="s">
        <v>1375</v>
      </c>
      <c r="C456" s="111" t="s">
        <v>1376</v>
      </c>
      <c r="D456" s="112" t="s">
        <v>1374</v>
      </c>
      <c r="E456" s="111" t="s">
        <v>497</v>
      </c>
      <c r="F456" s="112" t="s">
        <v>26</v>
      </c>
      <c r="G456" s="111" t="s">
        <v>20</v>
      </c>
      <c r="H456" s="111" t="s">
        <v>1684</v>
      </c>
      <c r="I456" s="111">
        <v>201511</v>
      </c>
      <c r="J456" s="113">
        <v>739.56</v>
      </c>
      <c r="K456" s="72">
        <f t="shared" si="39"/>
        <v>42675</v>
      </c>
      <c r="L456" s="67">
        <f t="shared" si="37"/>
        <v>6</v>
      </c>
      <c r="M456" s="114">
        <v>1.4833299999999999E-3</v>
      </c>
      <c r="N456" s="104">
        <f t="shared" si="38"/>
        <v>6.5820692087999992</v>
      </c>
      <c r="O456" s="66"/>
      <c r="P456" s="66">
        <f t="shared" si="35"/>
        <v>0</v>
      </c>
      <c r="Q456" s="66"/>
      <c r="R456" s="66">
        <f t="shared" si="36"/>
        <v>12.234941675</v>
      </c>
      <c r="S456" s="117"/>
    </row>
    <row r="457" spans="1:29">
      <c r="A457" s="110" t="s">
        <v>626</v>
      </c>
      <c r="B457" s="111" t="s">
        <v>1788</v>
      </c>
      <c r="C457" s="111" t="s">
        <v>1789</v>
      </c>
      <c r="D457" s="112" t="s">
        <v>1790</v>
      </c>
      <c r="E457" s="111" t="s">
        <v>25</v>
      </c>
      <c r="F457" s="112" t="s">
        <v>26</v>
      </c>
      <c r="G457" s="111" t="s">
        <v>20</v>
      </c>
      <c r="H457" s="111" t="s">
        <v>1684</v>
      </c>
      <c r="I457" s="111">
        <v>201511</v>
      </c>
      <c r="J457" s="113">
        <v>208271.54</v>
      </c>
      <c r="K457" s="72">
        <f t="shared" si="39"/>
        <v>42675</v>
      </c>
      <c r="L457" s="67">
        <f t="shared" si="37"/>
        <v>6</v>
      </c>
      <c r="M457" s="114">
        <v>1.4833299999999999E-3</v>
      </c>
      <c r="N457" s="104">
        <f t="shared" si="38"/>
        <v>1853.6125405692001</v>
      </c>
      <c r="O457" s="66"/>
      <c r="P457" s="66">
        <f t="shared" si="35"/>
        <v>0</v>
      </c>
      <c r="Q457" s="66"/>
      <c r="R457" s="66">
        <f t="shared" si="36"/>
        <v>3445.5488999708336</v>
      </c>
      <c r="S457" s="117"/>
    </row>
    <row r="458" spans="1:29">
      <c r="A458" s="110" t="s">
        <v>626</v>
      </c>
      <c r="B458" s="111" t="s">
        <v>1626</v>
      </c>
      <c r="C458" s="111" t="s">
        <v>1627</v>
      </c>
      <c r="D458" s="112" t="s">
        <v>1628</v>
      </c>
      <c r="E458" s="111" t="s">
        <v>164</v>
      </c>
      <c r="F458" s="112" t="s">
        <v>1600</v>
      </c>
      <c r="G458" s="111" t="s">
        <v>20</v>
      </c>
      <c r="H458" s="111" t="s">
        <v>1684</v>
      </c>
      <c r="I458" s="111">
        <v>201511</v>
      </c>
      <c r="J458" s="113">
        <v>-16.48</v>
      </c>
      <c r="K458" s="72">
        <f t="shared" si="39"/>
        <v>42675</v>
      </c>
      <c r="L458" s="67">
        <f t="shared" si="37"/>
        <v>6</v>
      </c>
      <c r="M458" s="114">
        <v>1.4833299999999999E-3</v>
      </c>
      <c r="N458" s="104">
        <f t="shared" si="38"/>
        <v>-0.14667167040000001</v>
      </c>
      <c r="O458" s="66"/>
      <c r="P458" s="66">
        <f t="shared" si="35"/>
        <v>0</v>
      </c>
      <c r="Q458" s="66"/>
      <c r="R458" s="66">
        <f t="shared" si="36"/>
        <v>-0.27263756666666672</v>
      </c>
      <c r="S458" s="117"/>
    </row>
    <row r="459" spans="1:29">
      <c r="A459" s="110" t="s">
        <v>626</v>
      </c>
      <c r="B459" s="111" t="s">
        <v>1791</v>
      </c>
      <c r="C459" s="111" t="s">
        <v>1792</v>
      </c>
      <c r="D459" s="112" t="s">
        <v>1793</v>
      </c>
      <c r="E459" s="111" t="s">
        <v>75</v>
      </c>
      <c r="F459" s="112" t="s">
        <v>1602</v>
      </c>
      <c r="G459" s="111" t="s">
        <v>20</v>
      </c>
      <c r="H459" s="111" t="s">
        <v>1684</v>
      </c>
      <c r="I459" s="111">
        <v>201511</v>
      </c>
      <c r="J459" s="113">
        <v>525843.25</v>
      </c>
      <c r="K459" s="72">
        <f t="shared" si="39"/>
        <v>42675</v>
      </c>
      <c r="L459" s="67">
        <f t="shared" si="37"/>
        <v>6</v>
      </c>
      <c r="M459" s="114">
        <v>1.4833299999999999E-3</v>
      </c>
      <c r="N459" s="104">
        <f t="shared" si="38"/>
        <v>4679.9944081350004</v>
      </c>
      <c r="O459" s="66"/>
      <c r="P459" s="66">
        <f t="shared" si="35"/>
        <v>0</v>
      </c>
      <c r="Q459" s="66"/>
      <c r="R459" s="66">
        <f t="shared" si="36"/>
        <v>8699.3097165104173</v>
      </c>
      <c r="S459" s="117"/>
    </row>
    <row r="460" spans="1:29">
      <c r="A460" s="110" t="s">
        <v>21</v>
      </c>
      <c r="B460" s="111" t="s">
        <v>1533</v>
      </c>
      <c r="C460" s="111" t="s">
        <v>1534</v>
      </c>
      <c r="D460" s="112" t="s">
        <v>1535</v>
      </c>
      <c r="E460" s="111" t="s">
        <v>75</v>
      </c>
      <c r="F460" s="112" t="s">
        <v>1602</v>
      </c>
      <c r="G460" s="111" t="s">
        <v>20</v>
      </c>
      <c r="H460" s="111" t="s">
        <v>1684</v>
      </c>
      <c r="I460" s="111">
        <v>201511</v>
      </c>
      <c r="J460" s="113">
        <v>-14.17</v>
      </c>
      <c r="K460" s="72">
        <f t="shared" si="39"/>
        <v>42675</v>
      </c>
      <c r="L460" s="67">
        <f t="shared" si="37"/>
        <v>6</v>
      </c>
      <c r="M460" s="114">
        <v>1.4833299999999999E-3</v>
      </c>
      <c r="N460" s="104">
        <f t="shared" si="38"/>
        <v>-0.12611271660000001</v>
      </c>
      <c r="O460" s="66"/>
      <c r="P460" s="66">
        <f t="shared" si="35"/>
        <v>0</v>
      </c>
      <c r="Q460" s="66"/>
      <c r="R460" s="66">
        <f t="shared" si="36"/>
        <v>-0.23442198541666667</v>
      </c>
      <c r="S460" s="117"/>
    </row>
    <row r="461" spans="1:29">
      <c r="A461" s="110" t="s">
        <v>626</v>
      </c>
      <c r="B461" s="111" t="s">
        <v>1794</v>
      </c>
      <c r="C461" s="111" t="s">
        <v>1795</v>
      </c>
      <c r="D461" s="112" t="s">
        <v>1796</v>
      </c>
      <c r="E461" s="111" t="s">
        <v>809</v>
      </c>
      <c r="F461" s="112" t="s">
        <v>26</v>
      </c>
      <c r="G461" s="111" t="s">
        <v>20</v>
      </c>
      <c r="H461" s="111" t="s">
        <v>1684</v>
      </c>
      <c r="I461" s="111">
        <v>201511</v>
      </c>
      <c r="J461" s="113">
        <v>18830.25</v>
      </c>
      <c r="K461" s="72">
        <f t="shared" si="39"/>
        <v>42675</v>
      </c>
      <c r="L461" s="67">
        <f t="shared" si="37"/>
        <v>6</v>
      </c>
      <c r="M461" s="114">
        <v>1.4833299999999999E-3</v>
      </c>
      <c r="N461" s="104">
        <f t="shared" si="38"/>
        <v>167.58884839500001</v>
      </c>
      <c r="O461" s="66"/>
      <c r="P461" s="66">
        <f t="shared" si="35"/>
        <v>0</v>
      </c>
      <c r="Q461" s="66"/>
      <c r="R461" s="66">
        <f t="shared" si="36"/>
        <v>311.51902546874999</v>
      </c>
      <c r="S461" s="117"/>
    </row>
    <row r="462" spans="1:29">
      <c r="A462" s="110" t="s">
        <v>21</v>
      </c>
      <c r="B462" s="111" t="s">
        <v>1727</v>
      </c>
      <c r="C462" s="111" t="s">
        <v>1728</v>
      </c>
      <c r="D462" s="112" t="s">
        <v>1729</v>
      </c>
      <c r="E462" s="111" t="s">
        <v>75</v>
      </c>
      <c r="F462" s="112" t="s">
        <v>1602</v>
      </c>
      <c r="G462" s="111" t="s">
        <v>20</v>
      </c>
      <c r="H462" s="111" t="s">
        <v>1684</v>
      </c>
      <c r="I462" s="111">
        <v>201511</v>
      </c>
      <c r="J462" s="113">
        <v>-1144.54</v>
      </c>
      <c r="K462" s="72">
        <f t="shared" si="39"/>
        <v>42675</v>
      </c>
      <c r="L462" s="67">
        <f t="shared" si="37"/>
        <v>6</v>
      </c>
      <c r="M462" s="114">
        <v>1.4833299999999999E-3</v>
      </c>
      <c r="N462" s="104">
        <f t="shared" si="38"/>
        <v>-10.186383109199999</v>
      </c>
      <c r="O462" s="66"/>
      <c r="P462" s="66">
        <f t="shared" si="35"/>
        <v>0</v>
      </c>
      <c r="Q462" s="66"/>
      <c r="R462" s="66">
        <f t="shared" si="36"/>
        <v>-18.934745179166669</v>
      </c>
      <c r="S462" s="117"/>
    </row>
    <row r="463" spans="1:29">
      <c r="A463" s="116" t="s">
        <v>990</v>
      </c>
      <c r="B463" s="111" t="s">
        <v>1730</v>
      </c>
      <c r="C463" s="111" t="s">
        <v>1731</v>
      </c>
      <c r="D463" s="112" t="s">
        <v>1732</v>
      </c>
      <c r="E463" s="111" t="s">
        <v>1688</v>
      </c>
      <c r="F463" s="112" t="s">
        <v>1689</v>
      </c>
      <c r="G463" s="111" t="s">
        <v>20</v>
      </c>
      <c r="H463" s="111" t="s">
        <v>1684</v>
      </c>
      <c r="I463" s="111">
        <v>201511</v>
      </c>
      <c r="J463" s="113">
        <v>-55.36</v>
      </c>
      <c r="K463" s="72">
        <f t="shared" si="39"/>
        <v>42675</v>
      </c>
      <c r="L463" s="67">
        <f t="shared" si="37"/>
        <v>6</v>
      </c>
      <c r="M463" s="114">
        <v>2.0333333000000001E-3</v>
      </c>
      <c r="N463" s="104">
        <f t="shared" si="38"/>
        <v>-0.67539198892800001</v>
      </c>
      <c r="O463" s="66"/>
      <c r="P463" s="66">
        <f t="shared" si="35"/>
        <v>0</v>
      </c>
      <c r="Q463" s="66"/>
      <c r="R463" s="66">
        <f t="shared" si="36"/>
        <v>-0.9158504666666667</v>
      </c>
      <c r="S463" s="117"/>
    </row>
    <row r="464" spans="1:29">
      <c r="A464" s="116" t="s">
        <v>990</v>
      </c>
      <c r="B464" s="111" t="s">
        <v>1733</v>
      </c>
      <c r="C464" s="111" t="s">
        <v>1734</v>
      </c>
      <c r="D464" s="112" t="s">
        <v>1735</v>
      </c>
      <c r="E464" s="111" t="s">
        <v>1688</v>
      </c>
      <c r="F464" s="112" t="s">
        <v>1689</v>
      </c>
      <c r="G464" s="111" t="s">
        <v>20</v>
      </c>
      <c r="H464" s="111" t="s">
        <v>1684</v>
      </c>
      <c r="I464" s="111">
        <v>201511</v>
      </c>
      <c r="J464" s="113">
        <v>-142.36000000000001</v>
      </c>
      <c r="K464" s="72">
        <f t="shared" si="39"/>
        <v>42675</v>
      </c>
      <c r="L464" s="67">
        <f t="shared" si="37"/>
        <v>6</v>
      </c>
      <c r="M464" s="114">
        <v>2.0333333000000001E-3</v>
      </c>
      <c r="N464" s="104">
        <f t="shared" si="38"/>
        <v>-1.7367919715280002</v>
      </c>
      <c r="O464" s="66"/>
      <c r="P464" s="66">
        <f t="shared" si="35"/>
        <v>0</v>
      </c>
      <c r="Q464" s="66"/>
      <c r="R464" s="66">
        <f t="shared" si="36"/>
        <v>-2.3551385916666669</v>
      </c>
      <c r="S464" s="117"/>
    </row>
    <row r="465" spans="1:19">
      <c r="A465" s="110" t="s">
        <v>626</v>
      </c>
      <c r="B465" s="111" t="s">
        <v>1551</v>
      </c>
      <c r="C465" s="111" t="s">
        <v>1552</v>
      </c>
      <c r="D465" s="112" t="s">
        <v>1344</v>
      </c>
      <c r="E465" s="111" t="s">
        <v>164</v>
      </c>
      <c r="F465" s="112" t="s">
        <v>1600</v>
      </c>
      <c r="G465" s="111" t="s">
        <v>20</v>
      </c>
      <c r="H465" s="111" t="s">
        <v>1684</v>
      </c>
      <c r="I465" s="111">
        <v>201511</v>
      </c>
      <c r="J465" s="113">
        <v>-19.72</v>
      </c>
      <c r="K465" s="72">
        <f t="shared" si="39"/>
        <v>42675</v>
      </c>
      <c r="L465" s="67">
        <f t="shared" si="37"/>
        <v>6</v>
      </c>
      <c r="M465" s="114">
        <v>1.4833299999999999E-3</v>
      </c>
      <c r="N465" s="104">
        <f t="shared" si="38"/>
        <v>-0.17550760559999998</v>
      </c>
      <c r="O465" s="66"/>
      <c r="P465" s="66">
        <f t="shared" si="35"/>
        <v>0</v>
      </c>
      <c r="Q465" s="66"/>
      <c r="R465" s="66">
        <f t="shared" si="36"/>
        <v>-0.32623864166666666</v>
      </c>
      <c r="S465" s="117"/>
    </row>
    <row r="466" spans="1:19">
      <c r="A466" s="110" t="s">
        <v>626</v>
      </c>
      <c r="B466" s="111" t="s">
        <v>1736</v>
      </c>
      <c r="C466" s="111" t="s">
        <v>1737</v>
      </c>
      <c r="D466" s="112" t="s">
        <v>1738</v>
      </c>
      <c r="E466" s="111" t="s">
        <v>164</v>
      </c>
      <c r="F466" s="112" t="s">
        <v>1600</v>
      </c>
      <c r="G466" s="111" t="s">
        <v>20</v>
      </c>
      <c r="H466" s="111" t="s">
        <v>1684</v>
      </c>
      <c r="I466" s="111">
        <v>201511</v>
      </c>
      <c r="J466" s="113">
        <v>-2259.41</v>
      </c>
      <c r="K466" s="72">
        <f t="shared" si="39"/>
        <v>42675</v>
      </c>
      <c r="L466" s="67">
        <f t="shared" si="37"/>
        <v>6</v>
      </c>
      <c r="M466" s="114">
        <v>1.4833299999999999E-3</v>
      </c>
      <c r="N466" s="104">
        <f t="shared" si="38"/>
        <v>-20.108703811799998</v>
      </c>
      <c r="O466" s="66"/>
      <c r="P466" s="66">
        <f t="shared" si="35"/>
        <v>0</v>
      </c>
      <c r="Q466" s="66"/>
      <c r="R466" s="66">
        <f t="shared" si="36"/>
        <v>-37.378643477083337</v>
      </c>
      <c r="S466" s="117"/>
    </row>
    <row r="467" spans="1:19">
      <c r="A467" s="110" t="s">
        <v>626</v>
      </c>
      <c r="B467" s="111" t="s">
        <v>1739</v>
      </c>
      <c r="C467" s="111" t="s">
        <v>1740</v>
      </c>
      <c r="D467" s="112" t="s">
        <v>1741</v>
      </c>
      <c r="E467" s="111" t="s">
        <v>164</v>
      </c>
      <c r="F467" s="112" t="s">
        <v>1600</v>
      </c>
      <c r="G467" s="111" t="s">
        <v>20</v>
      </c>
      <c r="H467" s="111" t="s">
        <v>1684</v>
      </c>
      <c r="I467" s="111">
        <v>201511</v>
      </c>
      <c r="J467" s="113">
        <v>-176.93</v>
      </c>
      <c r="K467" s="72">
        <f t="shared" si="39"/>
        <v>42675</v>
      </c>
      <c r="L467" s="67">
        <f t="shared" si="37"/>
        <v>6</v>
      </c>
      <c r="M467" s="114">
        <v>1.4833299999999999E-3</v>
      </c>
      <c r="N467" s="104">
        <f t="shared" si="38"/>
        <v>-1.5746734614</v>
      </c>
      <c r="O467" s="66"/>
      <c r="P467" s="66">
        <f t="shared" si="35"/>
        <v>0</v>
      </c>
      <c r="Q467" s="66"/>
      <c r="R467" s="66">
        <f t="shared" si="36"/>
        <v>-2.9270488270833335</v>
      </c>
      <c r="S467" s="117"/>
    </row>
    <row r="468" spans="1:19">
      <c r="A468" s="110" t="s">
        <v>626</v>
      </c>
      <c r="B468" s="111" t="s">
        <v>1632</v>
      </c>
      <c r="C468" s="111" t="s">
        <v>1633</v>
      </c>
      <c r="D468" s="112" t="s">
        <v>1634</v>
      </c>
      <c r="E468" s="111" t="s">
        <v>471</v>
      </c>
      <c r="F468" s="112" t="s">
        <v>165</v>
      </c>
      <c r="G468" s="111" t="s">
        <v>20</v>
      </c>
      <c r="H468" s="111" t="s">
        <v>1684</v>
      </c>
      <c r="I468" s="111">
        <v>201511</v>
      </c>
      <c r="J468" s="113">
        <v>213.86</v>
      </c>
      <c r="K468" s="72">
        <f t="shared" si="39"/>
        <v>42675</v>
      </c>
      <c r="L468" s="67">
        <f t="shared" si="37"/>
        <v>6</v>
      </c>
      <c r="M468" s="114">
        <v>1.4833299999999999E-3</v>
      </c>
      <c r="N468" s="104">
        <f t="shared" si="38"/>
        <v>1.9033497228</v>
      </c>
      <c r="O468" s="66"/>
      <c r="P468" s="66">
        <f t="shared" si="35"/>
        <v>0</v>
      </c>
      <c r="Q468" s="66"/>
      <c r="R468" s="66">
        <f t="shared" si="36"/>
        <v>3.5380018208333337</v>
      </c>
      <c r="S468" s="117"/>
    </row>
    <row r="469" spans="1:19">
      <c r="A469" s="110" t="s">
        <v>21</v>
      </c>
      <c r="B469" s="111" t="s">
        <v>1635</v>
      </c>
      <c r="C469" s="111" t="s">
        <v>1636</v>
      </c>
      <c r="D469" s="112" t="s">
        <v>1637</v>
      </c>
      <c r="E469" s="111" t="s">
        <v>360</v>
      </c>
      <c r="F469" s="112" t="s">
        <v>19</v>
      </c>
      <c r="G469" s="111" t="s">
        <v>20</v>
      </c>
      <c r="H469" s="111" t="s">
        <v>1684</v>
      </c>
      <c r="I469" s="111">
        <v>201511</v>
      </c>
      <c r="J469" s="113">
        <v>851.17</v>
      </c>
      <c r="K469" s="72">
        <f t="shared" si="39"/>
        <v>42675</v>
      </c>
      <c r="L469" s="67">
        <f t="shared" si="37"/>
        <v>6</v>
      </c>
      <c r="M469" s="114">
        <v>1.4833299999999999E-3</v>
      </c>
      <c r="N469" s="104">
        <f t="shared" si="38"/>
        <v>7.5753959765999994</v>
      </c>
      <c r="O469" s="66"/>
      <c r="P469" s="66">
        <f t="shared" si="35"/>
        <v>0</v>
      </c>
      <c r="Q469" s="66"/>
      <c r="R469" s="66">
        <f t="shared" si="36"/>
        <v>14.081366360416666</v>
      </c>
      <c r="S469" s="117"/>
    </row>
    <row r="470" spans="1:19">
      <c r="A470" s="110" t="s">
        <v>626</v>
      </c>
      <c r="B470" s="111" t="s">
        <v>1797</v>
      </c>
      <c r="C470" s="111" t="s">
        <v>1798</v>
      </c>
      <c r="D470" s="112" t="s">
        <v>1799</v>
      </c>
      <c r="E470" s="111" t="s">
        <v>164</v>
      </c>
      <c r="F470" s="112" t="s">
        <v>1600</v>
      </c>
      <c r="G470" s="111" t="s">
        <v>20</v>
      </c>
      <c r="H470" s="111" t="s">
        <v>1684</v>
      </c>
      <c r="I470" s="111">
        <v>201511</v>
      </c>
      <c r="J470" s="113">
        <v>1023509.94</v>
      </c>
      <c r="K470" s="72">
        <f t="shared" si="39"/>
        <v>42675</v>
      </c>
      <c r="L470" s="67">
        <f t="shared" si="37"/>
        <v>6</v>
      </c>
      <c r="M470" s="114">
        <v>1.4833299999999999E-3</v>
      </c>
      <c r="N470" s="104">
        <f t="shared" si="38"/>
        <v>9109.2179958012002</v>
      </c>
      <c r="O470" s="66"/>
      <c r="P470" s="66">
        <f t="shared" si="35"/>
        <v>0</v>
      </c>
      <c r="Q470" s="66"/>
      <c r="R470" s="66">
        <f t="shared" si="36"/>
        <v>16932.479338637499</v>
      </c>
      <c r="S470" s="117"/>
    </row>
    <row r="471" spans="1:19">
      <c r="A471" s="110" t="s">
        <v>626</v>
      </c>
      <c r="B471" s="111" t="s">
        <v>1693</v>
      </c>
      <c r="C471" s="111" t="s">
        <v>1694</v>
      </c>
      <c r="D471" s="112" t="s">
        <v>1695</v>
      </c>
      <c r="E471" s="111" t="s">
        <v>809</v>
      </c>
      <c r="F471" s="112" t="s">
        <v>26</v>
      </c>
      <c r="G471" s="111" t="s">
        <v>20</v>
      </c>
      <c r="H471" s="111" t="s">
        <v>1684</v>
      </c>
      <c r="I471" s="111">
        <v>201511</v>
      </c>
      <c r="J471" s="113">
        <v>-1117</v>
      </c>
      <c r="K471" s="72">
        <f t="shared" si="39"/>
        <v>42675</v>
      </c>
      <c r="L471" s="67">
        <f t="shared" si="37"/>
        <v>6</v>
      </c>
      <c r="M471" s="114">
        <v>1.4833299999999999E-3</v>
      </c>
      <c r="N471" s="104">
        <f t="shared" si="38"/>
        <v>-9.9412776600000008</v>
      </c>
      <c r="O471" s="66"/>
      <c r="P471" s="66">
        <f t="shared" si="35"/>
        <v>0</v>
      </c>
      <c r="Q471" s="66"/>
      <c r="R471" s="66">
        <f t="shared" si="36"/>
        <v>-18.479136041666667</v>
      </c>
      <c r="S471" s="117"/>
    </row>
    <row r="472" spans="1:19">
      <c r="A472" s="110" t="s">
        <v>626</v>
      </c>
      <c r="B472" s="111" t="s">
        <v>1638</v>
      </c>
      <c r="C472" s="111" t="s">
        <v>1639</v>
      </c>
      <c r="D472" s="112" t="s">
        <v>1640</v>
      </c>
      <c r="E472" s="111" t="s">
        <v>164</v>
      </c>
      <c r="F472" s="112" t="s">
        <v>1600</v>
      </c>
      <c r="G472" s="111" t="s">
        <v>20</v>
      </c>
      <c r="H472" s="111" t="s">
        <v>1684</v>
      </c>
      <c r="I472" s="111">
        <v>201511</v>
      </c>
      <c r="J472" s="113">
        <v>1080.43</v>
      </c>
      <c r="K472" s="72">
        <f t="shared" si="39"/>
        <v>42675</v>
      </c>
      <c r="L472" s="67">
        <f t="shared" si="37"/>
        <v>6</v>
      </c>
      <c r="M472" s="114">
        <v>1.4833299999999999E-3</v>
      </c>
      <c r="N472" s="104">
        <f t="shared" si="38"/>
        <v>9.6158053914000003</v>
      </c>
      <c r="O472" s="66"/>
      <c r="P472" s="66">
        <f t="shared" si="35"/>
        <v>0</v>
      </c>
      <c r="Q472" s="66"/>
      <c r="R472" s="66">
        <f t="shared" si="36"/>
        <v>17.874138722916669</v>
      </c>
      <c r="S472" s="117"/>
    </row>
    <row r="473" spans="1:19">
      <c r="A473" s="110" t="s">
        <v>626</v>
      </c>
      <c r="B473" s="111" t="s">
        <v>1553</v>
      </c>
      <c r="C473" s="111" t="s">
        <v>1554</v>
      </c>
      <c r="D473" s="112" t="s">
        <v>1344</v>
      </c>
      <c r="E473" s="111" t="s">
        <v>164</v>
      </c>
      <c r="F473" s="112" t="s">
        <v>1600</v>
      </c>
      <c r="G473" s="111" t="s">
        <v>20</v>
      </c>
      <c r="H473" s="111" t="s">
        <v>1684</v>
      </c>
      <c r="I473" s="111">
        <v>201511</v>
      </c>
      <c r="J473" s="113">
        <v>65.989999999999995</v>
      </c>
      <c r="K473" s="72">
        <f t="shared" si="39"/>
        <v>42675</v>
      </c>
      <c r="L473" s="67">
        <f t="shared" si="37"/>
        <v>6</v>
      </c>
      <c r="M473" s="114">
        <v>1.4833299999999999E-3</v>
      </c>
      <c r="N473" s="104">
        <f t="shared" si="38"/>
        <v>0.58730968019999996</v>
      </c>
      <c r="O473" s="66"/>
      <c r="P473" s="66">
        <f t="shared" si="35"/>
        <v>0</v>
      </c>
      <c r="Q473" s="66"/>
      <c r="R473" s="66">
        <f t="shared" si="36"/>
        <v>1.0917083145833333</v>
      </c>
      <c r="S473" s="117"/>
    </row>
    <row r="474" spans="1:19">
      <c r="A474" s="110" t="s">
        <v>626</v>
      </c>
      <c r="B474" s="111" t="s">
        <v>1742</v>
      </c>
      <c r="C474" s="111" t="s">
        <v>1743</v>
      </c>
      <c r="D474" s="112" t="s">
        <v>1744</v>
      </c>
      <c r="E474" s="111" t="s">
        <v>497</v>
      </c>
      <c r="F474" s="112" t="s">
        <v>26</v>
      </c>
      <c r="G474" s="111" t="s">
        <v>20</v>
      </c>
      <c r="H474" s="111" t="s">
        <v>1684</v>
      </c>
      <c r="I474" s="111">
        <v>201511</v>
      </c>
      <c r="J474" s="113">
        <v>1110.92</v>
      </c>
      <c r="K474" s="72">
        <f t="shared" si="39"/>
        <v>42675</v>
      </c>
      <c r="L474" s="67">
        <f t="shared" si="37"/>
        <v>6</v>
      </c>
      <c r="M474" s="114">
        <v>1.4833299999999999E-3</v>
      </c>
      <c r="N474" s="104">
        <f t="shared" si="38"/>
        <v>9.8871657816000003</v>
      </c>
      <c r="O474" s="66"/>
      <c r="P474" s="66">
        <f t="shared" si="35"/>
        <v>0</v>
      </c>
      <c r="Q474" s="66"/>
      <c r="R474" s="66">
        <f t="shared" si="36"/>
        <v>18.378551308333336</v>
      </c>
      <c r="S474" s="117"/>
    </row>
    <row r="475" spans="1:19">
      <c r="A475" s="110" t="s">
        <v>626</v>
      </c>
      <c r="B475" s="111" t="s">
        <v>1745</v>
      </c>
      <c r="C475" s="111" t="s">
        <v>1746</v>
      </c>
      <c r="D475" s="112" t="s">
        <v>1747</v>
      </c>
      <c r="E475" s="111" t="s">
        <v>497</v>
      </c>
      <c r="F475" s="112" t="s">
        <v>26</v>
      </c>
      <c r="G475" s="111" t="s">
        <v>20</v>
      </c>
      <c r="H475" s="111" t="s">
        <v>1684</v>
      </c>
      <c r="I475" s="111">
        <v>201511</v>
      </c>
      <c r="J475" s="113">
        <v>675.11</v>
      </c>
      <c r="K475" s="72">
        <f t="shared" si="39"/>
        <v>42675</v>
      </c>
      <c r="L475" s="67">
        <f t="shared" si="37"/>
        <v>6</v>
      </c>
      <c r="M475" s="114">
        <v>1.4833299999999999E-3</v>
      </c>
      <c r="N475" s="104">
        <f t="shared" si="38"/>
        <v>6.0084654978000005</v>
      </c>
      <c r="O475" s="66"/>
      <c r="P475" s="66">
        <f t="shared" si="35"/>
        <v>0</v>
      </c>
      <c r="Q475" s="66"/>
      <c r="R475" s="66">
        <f t="shared" si="36"/>
        <v>11.168710414583334</v>
      </c>
      <c r="S475" s="117"/>
    </row>
    <row r="476" spans="1:19">
      <c r="A476" s="110" t="s">
        <v>626</v>
      </c>
      <c r="B476" s="111" t="s">
        <v>1641</v>
      </c>
      <c r="C476" s="111" t="s">
        <v>1642</v>
      </c>
      <c r="D476" s="112" t="s">
        <v>1388</v>
      </c>
      <c r="E476" s="111" t="s">
        <v>164</v>
      </c>
      <c r="F476" s="112" t="s">
        <v>1600</v>
      </c>
      <c r="G476" s="111" t="s">
        <v>20</v>
      </c>
      <c r="H476" s="111" t="s">
        <v>1684</v>
      </c>
      <c r="I476" s="111">
        <v>201511</v>
      </c>
      <c r="J476" s="113">
        <v>166.38</v>
      </c>
      <c r="K476" s="72">
        <f t="shared" si="39"/>
        <v>42675</v>
      </c>
      <c r="L476" s="67">
        <f t="shared" si="37"/>
        <v>6</v>
      </c>
      <c r="M476" s="114">
        <v>1.4833299999999999E-3</v>
      </c>
      <c r="N476" s="104">
        <f t="shared" si="38"/>
        <v>1.4807786724000001</v>
      </c>
      <c r="O476" s="66"/>
      <c r="P476" s="66">
        <f t="shared" si="35"/>
        <v>0</v>
      </c>
      <c r="Q476" s="66"/>
      <c r="R476" s="66">
        <f t="shared" si="36"/>
        <v>2.7525144625000002</v>
      </c>
      <c r="S476" s="117"/>
    </row>
    <row r="477" spans="1:19">
      <c r="A477" s="110" t="s">
        <v>626</v>
      </c>
      <c r="B477" s="111" t="s">
        <v>1800</v>
      </c>
      <c r="C477" s="111" t="s">
        <v>1801</v>
      </c>
      <c r="D477" s="112" t="s">
        <v>1802</v>
      </c>
      <c r="E477" s="111" t="s">
        <v>75</v>
      </c>
      <c r="F477" s="112" t="s">
        <v>1602</v>
      </c>
      <c r="G477" s="111" t="s">
        <v>20</v>
      </c>
      <c r="H477" s="111" t="s">
        <v>1684</v>
      </c>
      <c r="I477" s="111">
        <v>201511</v>
      </c>
      <c r="J477" s="113">
        <v>204951.25</v>
      </c>
      <c r="K477" s="72">
        <f t="shared" si="39"/>
        <v>42675</v>
      </c>
      <c r="L477" s="67">
        <f t="shared" si="37"/>
        <v>6</v>
      </c>
      <c r="M477" s="114">
        <v>1.4833299999999999E-3</v>
      </c>
      <c r="N477" s="104">
        <f t="shared" si="38"/>
        <v>1824.0620259750001</v>
      </c>
      <c r="O477" s="66"/>
      <c r="P477" s="66">
        <f t="shared" si="35"/>
        <v>0</v>
      </c>
      <c r="Q477" s="66"/>
      <c r="R477" s="66">
        <f t="shared" si="36"/>
        <v>3390.6195440104166</v>
      </c>
      <c r="S477" s="117"/>
    </row>
    <row r="478" spans="1:19">
      <c r="A478" s="110" t="s">
        <v>626</v>
      </c>
      <c r="B478" s="111" t="s">
        <v>1803</v>
      </c>
      <c r="C478" s="111" t="s">
        <v>1804</v>
      </c>
      <c r="D478" s="112" t="s">
        <v>1805</v>
      </c>
      <c r="E478" s="111" t="s">
        <v>164</v>
      </c>
      <c r="F478" s="112" t="s">
        <v>1600</v>
      </c>
      <c r="G478" s="111" t="s">
        <v>20</v>
      </c>
      <c r="H478" s="111" t="s">
        <v>1684</v>
      </c>
      <c r="I478" s="111">
        <v>201511</v>
      </c>
      <c r="J478" s="113">
        <v>326099.15000000002</v>
      </c>
      <c r="K478" s="72">
        <f t="shared" si="39"/>
        <v>42675</v>
      </c>
      <c r="L478" s="67">
        <f t="shared" si="37"/>
        <v>6</v>
      </c>
      <c r="M478" s="114">
        <v>1.4833299999999999E-3</v>
      </c>
      <c r="N478" s="104">
        <f t="shared" si="38"/>
        <v>2902.2759130170002</v>
      </c>
      <c r="O478" s="66"/>
      <c r="P478" s="66">
        <f t="shared" si="35"/>
        <v>0</v>
      </c>
      <c r="Q478" s="66"/>
      <c r="R478" s="66">
        <f t="shared" si="36"/>
        <v>5394.8348754895842</v>
      </c>
      <c r="S478" s="117"/>
    </row>
    <row r="479" spans="1:19">
      <c r="A479" s="110" t="s">
        <v>626</v>
      </c>
      <c r="B479" s="111" t="s">
        <v>1748</v>
      </c>
      <c r="C479" s="111" t="s">
        <v>1749</v>
      </c>
      <c r="D479" s="112" t="s">
        <v>1750</v>
      </c>
      <c r="E479" s="111" t="s">
        <v>75</v>
      </c>
      <c r="F479" s="112" t="s">
        <v>1602</v>
      </c>
      <c r="G479" s="111" t="s">
        <v>20</v>
      </c>
      <c r="H479" s="111" t="s">
        <v>1684</v>
      </c>
      <c r="I479" s="111">
        <v>201511</v>
      </c>
      <c r="J479" s="113">
        <v>-25.83</v>
      </c>
      <c r="K479" s="72">
        <f t="shared" si="39"/>
        <v>42675</v>
      </c>
      <c r="L479" s="67">
        <f t="shared" si="37"/>
        <v>6</v>
      </c>
      <c r="M479" s="114">
        <v>1.4833299999999999E-3</v>
      </c>
      <c r="N479" s="104">
        <f t="shared" si="38"/>
        <v>-0.22988648339999998</v>
      </c>
      <c r="O479" s="66"/>
      <c r="P479" s="66">
        <f t="shared" si="35"/>
        <v>0</v>
      </c>
      <c r="Q479" s="66"/>
      <c r="R479" s="66">
        <f t="shared" si="36"/>
        <v>-0.42731968124999997</v>
      </c>
      <c r="S479" s="117"/>
    </row>
    <row r="480" spans="1:19">
      <c r="A480" s="110" t="s">
        <v>626</v>
      </c>
      <c r="B480" s="111" t="s">
        <v>1806</v>
      </c>
      <c r="C480" s="111" t="s">
        <v>1807</v>
      </c>
      <c r="D480" s="112" t="s">
        <v>1808</v>
      </c>
      <c r="E480" s="111" t="s">
        <v>75</v>
      </c>
      <c r="F480" s="112" t="s">
        <v>1602</v>
      </c>
      <c r="G480" s="111" t="s">
        <v>20</v>
      </c>
      <c r="H480" s="111" t="s">
        <v>1684</v>
      </c>
      <c r="I480" s="111">
        <v>201511</v>
      </c>
      <c r="J480" s="113">
        <v>159570.85999999999</v>
      </c>
      <c r="K480" s="72">
        <f t="shared" si="39"/>
        <v>42675</v>
      </c>
      <c r="L480" s="67">
        <f t="shared" si="37"/>
        <v>6</v>
      </c>
      <c r="M480" s="114">
        <v>1.4833299999999999E-3</v>
      </c>
      <c r="N480" s="104">
        <f t="shared" si="38"/>
        <v>1420.1774625828</v>
      </c>
      <c r="O480" s="66"/>
      <c r="P480" s="66">
        <f t="shared" si="35"/>
        <v>0</v>
      </c>
      <c r="Q480" s="66"/>
      <c r="R480" s="66">
        <f t="shared" si="36"/>
        <v>2639.8671711958332</v>
      </c>
      <c r="S480" s="117"/>
    </row>
    <row r="481" spans="1:19">
      <c r="A481" s="116" t="s">
        <v>990</v>
      </c>
      <c r="B481" s="111" t="s">
        <v>1751</v>
      </c>
      <c r="C481" s="111" t="s">
        <v>1752</v>
      </c>
      <c r="D481" s="112" t="s">
        <v>1753</v>
      </c>
      <c r="E481" s="111" t="s">
        <v>1688</v>
      </c>
      <c r="F481" s="112" t="s">
        <v>1689</v>
      </c>
      <c r="G481" s="111" t="s">
        <v>20</v>
      </c>
      <c r="H481" s="111" t="s">
        <v>1684</v>
      </c>
      <c r="I481" s="111">
        <v>201511</v>
      </c>
      <c r="J481" s="113">
        <v>-142.36000000000001</v>
      </c>
      <c r="K481" s="72">
        <f t="shared" si="39"/>
        <v>42675</v>
      </c>
      <c r="L481" s="67">
        <f t="shared" si="37"/>
        <v>6</v>
      </c>
      <c r="M481" s="114">
        <v>2.0333333000000001E-3</v>
      </c>
      <c r="N481" s="104">
        <f t="shared" si="38"/>
        <v>-1.7367919715280002</v>
      </c>
      <c r="O481" s="66"/>
      <c r="P481" s="66">
        <f t="shared" si="35"/>
        <v>0</v>
      </c>
      <c r="Q481" s="66"/>
      <c r="R481" s="66">
        <f t="shared" si="36"/>
        <v>-2.3551385916666669</v>
      </c>
      <c r="S481" s="117"/>
    </row>
    <row r="482" spans="1:19">
      <c r="A482" s="116" t="s">
        <v>990</v>
      </c>
      <c r="B482" s="111" t="s">
        <v>1754</v>
      </c>
      <c r="C482" s="111" t="s">
        <v>1755</v>
      </c>
      <c r="D482" s="112" t="s">
        <v>1756</v>
      </c>
      <c r="E482" s="111" t="s">
        <v>1688</v>
      </c>
      <c r="F482" s="112" t="s">
        <v>1689</v>
      </c>
      <c r="G482" s="111" t="s">
        <v>20</v>
      </c>
      <c r="H482" s="111" t="s">
        <v>1684</v>
      </c>
      <c r="I482" s="111">
        <v>201511</v>
      </c>
      <c r="J482" s="113">
        <v>-482.22</v>
      </c>
      <c r="K482" s="72">
        <f t="shared" si="39"/>
        <v>42675</v>
      </c>
      <c r="L482" s="67">
        <f t="shared" si="37"/>
        <v>6</v>
      </c>
      <c r="M482" s="114">
        <v>2.0333333000000001E-3</v>
      </c>
      <c r="N482" s="104">
        <f t="shared" si="38"/>
        <v>-5.8830839035559999</v>
      </c>
      <c r="O482" s="66"/>
      <c r="P482" s="66">
        <f t="shared" si="35"/>
        <v>0</v>
      </c>
      <c r="Q482" s="66"/>
      <c r="R482" s="66">
        <f t="shared" si="36"/>
        <v>-7.9776266625000005</v>
      </c>
      <c r="S482" s="117"/>
    </row>
    <row r="483" spans="1:19">
      <c r="A483" s="110" t="s">
        <v>626</v>
      </c>
      <c r="B483" s="111" t="s">
        <v>1699</v>
      </c>
      <c r="C483" s="111" t="s">
        <v>1700</v>
      </c>
      <c r="D483" s="112" t="s">
        <v>1701</v>
      </c>
      <c r="E483" s="111" t="s">
        <v>544</v>
      </c>
      <c r="F483" s="112" t="s">
        <v>26</v>
      </c>
      <c r="G483" s="111" t="s">
        <v>20</v>
      </c>
      <c r="H483" s="111" t="s">
        <v>1684</v>
      </c>
      <c r="I483" s="111">
        <v>201511</v>
      </c>
      <c r="J483" s="113">
        <v>-1853.5</v>
      </c>
      <c r="K483" s="72">
        <f t="shared" si="39"/>
        <v>42675</v>
      </c>
      <c r="L483" s="67">
        <f t="shared" si="37"/>
        <v>6</v>
      </c>
      <c r="M483" s="114">
        <v>1.4833299999999999E-3</v>
      </c>
      <c r="N483" s="104">
        <f t="shared" si="38"/>
        <v>-16.496112929999999</v>
      </c>
      <c r="O483" s="66"/>
      <c r="P483" s="66">
        <f t="shared" si="35"/>
        <v>0</v>
      </c>
      <c r="Q483" s="66"/>
      <c r="R483" s="66">
        <f t="shared" si="36"/>
        <v>-30.663454479166667</v>
      </c>
      <c r="S483" s="117"/>
    </row>
    <row r="484" spans="1:19">
      <c r="A484" s="110" t="s">
        <v>626</v>
      </c>
      <c r="B484" s="111" t="s">
        <v>1809</v>
      </c>
      <c r="C484" s="111" t="s">
        <v>1810</v>
      </c>
      <c r="D484" s="112" t="s">
        <v>1323</v>
      </c>
      <c r="E484" s="111" t="s">
        <v>75</v>
      </c>
      <c r="F484" s="112" t="s">
        <v>1602</v>
      </c>
      <c r="G484" s="111" t="s">
        <v>20</v>
      </c>
      <c r="H484" s="111" t="s">
        <v>1684</v>
      </c>
      <c r="I484" s="111">
        <v>201511</v>
      </c>
      <c r="J484" s="113">
        <v>8429.2999999999993</v>
      </c>
      <c r="K484" s="72">
        <f t="shared" si="39"/>
        <v>42675</v>
      </c>
      <c r="L484" s="67">
        <f t="shared" si="37"/>
        <v>6</v>
      </c>
      <c r="M484" s="114">
        <v>1.4833299999999999E-3</v>
      </c>
      <c r="N484" s="104">
        <f t="shared" si="38"/>
        <v>75.020601413999998</v>
      </c>
      <c r="O484" s="66"/>
      <c r="P484" s="66">
        <f t="shared" si="35"/>
        <v>0</v>
      </c>
      <c r="Q484" s="66"/>
      <c r="R484" s="66">
        <f t="shared" si="36"/>
        <v>139.45047577083332</v>
      </c>
      <c r="S484" s="117"/>
    </row>
    <row r="485" spans="1:19">
      <c r="A485" s="110" t="s">
        <v>626</v>
      </c>
      <c r="B485" s="111" t="s">
        <v>1811</v>
      </c>
      <c r="C485" s="111" t="s">
        <v>1812</v>
      </c>
      <c r="D485" s="112" t="s">
        <v>1813</v>
      </c>
      <c r="E485" s="111" t="s">
        <v>25</v>
      </c>
      <c r="F485" s="112" t="s">
        <v>26</v>
      </c>
      <c r="G485" s="111" t="s">
        <v>20</v>
      </c>
      <c r="H485" s="111" t="s">
        <v>1684</v>
      </c>
      <c r="I485" s="111">
        <v>201511</v>
      </c>
      <c r="J485" s="113">
        <v>22925.119999999999</v>
      </c>
      <c r="K485" s="72">
        <f t="shared" si="39"/>
        <v>42675</v>
      </c>
      <c r="L485" s="67">
        <f t="shared" si="37"/>
        <v>6</v>
      </c>
      <c r="M485" s="114">
        <v>1.4833299999999999E-3</v>
      </c>
      <c r="N485" s="104">
        <f t="shared" si="38"/>
        <v>204.03310949759998</v>
      </c>
      <c r="O485" s="66"/>
      <c r="P485" s="66">
        <f t="shared" si="35"/>
        <v>0</v>
      </c>
      <c r="Q485" s="66"/>
      <c r="R485" s="66">
        <f t="shared" si="36"/>
        <v>379.26267793333329</v>
      </c>
      <c r="S485" s="117"/>
    </row>
    <row r="486" spans="1:19">
      <c r="A486" s="110" t="s">
        <v>626</v>
      </c>
      <c r="B486" s="111" t="s">
        <v>1757</v>
      </c>
      <c r="C486" s="111" t="s">
        <v>1758</v>
      </c>
      <c r="D486" s="112" t="s">
        <v>1759</v>
      </c>
      <c r="E486" s="111" t="s">
        <v>75</v>
      </c>
      <c r="F486" s="112" t="s">
        <v>1602</v>
      </c>
      <c r="G486" s="111" t="s">
        <v>20</v>
      </c>
      <c r="H486" s="111" t="s">
        <v>1684</v>
      </c>
      <c r="I486" s="111">
        <v>201511</v>
      </c>
      <c r="J486" s="113">
        <v>10325.44</v>
      </c>
      <c r="K486" s="72">
        <f t="shared" si="39"/>
        <v>42675</v>
      </c>
      <c r="L486" s="67">
        <f t="shared" si="37"/>
        <v>6</v>
      </c>
      <c r="M486" s="114">
        <v>1.4833299999999999E-3</v>
      </c>
      <c r="N486" s="104">
        <f t="shared" si="38"/>
        <v>91.896209491200011</v>
      </c>
      <c r="O486" s="66"/>
      <c r="P486" s="66">
        <f t="shared" si="35"/>
        <v>0</v>
      </c>
      <c r="Q486" s="66"/>
      <c r="R486" s="66">
        <f t="shared" si="36"/>
        <v>170.81934686666668</v>
      </c>
      <c r="S486" s="117"/>
    </row>
    <row r="487" spans="1:19">
      <c r="A487" s="110" t="s">
        <v>626</v>
      </c>
      <c r="B487" s="111" t="s">
        <v>1814</v>
      </c>
      <c r="C487" s="111" t="s">
        <v>1815</v>
      </c>
      <c r="D487" s="112" t="s">
        <v>1816</v>
      </c>
      <c r="E487" s="111" t="s">
        <v>25</v>
      </c>
      <c r="F487" s="112" t="s">
        <v>26</v>
      </c>
      <c r="G487" s="111" t="s">
        <v>20</v>
      </c>
      <c r="H487" s="111" t="s">
        <v>1684</v>
      </c>
      <c r="I487" s="111">
        <v>201511</v>
      </c>
      <c r="J487" s="113">
        <v>22355.08</v>
      </c>
      <c r="K487" s="72">
        <f t="shared" si="39"/>
        <v>42675</v>
      </c>
      <c r="L487" s="67">
        <f t="shared" si="37"/>
        <v>6</v>
      </c>
      <c r="M487" s="114">
        <v>1.4833299999999999E-3</v>
      </c>
      <c r="N487" s="104">
        <f t="shared" si="38"/>
        <v>198.95976489840001</v>
      </c>
      <c r="O487" s="66"/>
      <c r="P487" s="66">
        <f t="shared" si="35"/>
        <v>0</v>
      </c>
      <c r="Q487" s="66"/>
      <c r="R487" s="66">
        <f t="shared" si="36"/>
        <v>369.83219744166672</v>
      </c>
      <c r="S487" s="117"/>
    </row>
    <row r="488" spans="1:19">
      <c r="A488" s="110" t="s">
        <v>626</v>
      </c>
      <c r="B488" s="111" t="s">
        <v>1760</v>
      </c>
      <c r="C488" s="111" t="s">
        <v>1761</v>
      </c>
      <c r="D488" s="112" t="s">
        <v>1388</v>
      </c>
      <c r="E488" s="111" t="s">
        <v>164</v>
      </c>
      <c r="F488" s="112" t="s">
        <v>1600</v>
      </c>
      <c r="G488" s="111" t="s">
        <v>20</v>
      </c>
      <c r="H488" s="111" t="s">
        <v>1684</v>
      </c>
      <c r="I488" s="111">
        <v>201511</v>
      </c>
      <c r="J488" s="113">
        <v>-448.62</v>
      </c>
      <c r="K488" s="72">
        <f t="shared" si="39"/>
        <v>42675</v>
      </c>
      <c r="L488" s="67">
        <f t="shared" si="37"/>
        <v>6</v>
      </c>
      <c r="M488" s="114">
        <v>1.4833299999999999E-3</v>
      </c>
      <c r="N488" s="104">
        <f t="shared" si="38"/>
        <v>-3.9927090276000001</v>
      </c>
      <c r="O488" s="66"/>
      <c r="P488" s="66">
        <f t="shared" si="35"/>
        <v>0</v>
      </c>
      <c r="Q488" s="66"/>
      <c r="R488" s="66">
        <f t="shared" si="36"/>
        <v>-7.4217636625000001</v>
      </c>
      <c r="S488" s="117"/>
    </row>
    <row r="489" spans="1:19">
      <c r="A489" s="110" t="s">
        <v>626</v>
      </c>
      <c r="B489" s="111" t="s">
        <v>1762</v>
      </c>
      <c r="C489" s="111" t="s">
        <v>1763</v>
      </c>
      <c r="D489" s="112" t="s">
        <v>1344</v>
      </c>
      <c r="E489" s="111" t="s">
        <v>164</v>
      </c>
      <c r="F489" s="112" t="s">
        <v>1600</v>
      </c>
      <c r="G489" s="111" t="s">
        <v>20</v>
      </c>
      <c r="H489" s="111" t="s">
        <v>1684</v>
      </c>
      <c r="I489" s="111">
        <v>201511</v>
      </c>
      <c r="J489" s="113">
        <v>2357.86</v>
      </c>
      <c r="K489" s="72">
        <f t="shared" si="39"/>
        <v>42675</v>
      </c>
      <c r="L489" s="67">
        <f t="shared" si="37"/>
        <v>6</v>
      </c>
      <c r="M489" s="114">
        <v>1.4833299999999999E-3</v>
      </c>
      <c r="N489" s="104">
        <f t="shared" si="38"/>
        <v>20.984906842800001</v>
      </c>
      <c r="O489" s="66"/>
      <c r="P489" s="66">
        <f t="shared" si="35"/>
        <v>0</v>
      </c>
      <c r="Q489" s="66"/>
      <c r="R489" s="66">
        <f t="shared" si="36"/>
        <v>39.007355154166667</v>
      </c>
      <c r="S489" s="117"/>
    </row>
    <row r="490" spans="1:19">
      <c r="A490" s="110" t="s">
        <v>133</v>
      </c>
      <c r="B490" s="111" t="s">
        <v>1817</v>
      </c>
      <c r="C490" s="111" t="s">
        <v>1818</v>
      </c>
      <c r="D490" s="112" t="s">
        <v>1819</v>
      </c>
      <c r="E490" s="111" t="s">
        <v>75</v>
      </c>
      <c r="F490" s="112" t="s">
        <v>1602</v>
      </c>
      <c r="G490" s="111" t="s">
        <v>20</v>
      </c>
      <c r="H490" s="111" t="s">
        <v>1684</v>
      </c>
      <c r="I490" s="111">
        <v>201511</v>
      </c>
      <c r="J490" s="113">
        <v>767113.59</v>
      </c>
      <c r="K490" s="72">
        <f t="shared" si="39"/>
        <v>42675</v>
      </c>
      <c r="L490" s="67">
        <f t="shared" si="37"/>
        <v>6</v>
      </c>
      <c r="M490" s="114">
        <v>1.4833299999999999E-3</v>
      </c>
      <c r="N490" s="104">
        <f t="shared" si="38"/>
        <v>6827.2956087282</v>
      </c>
      <c r="O490" s="66"/>
      <c r="P490" s="66">
        <f t="shared" si="35"/>
        <v>0</v>
      </c>
      <c r="Q490" s="66"/>
      <c r="R490" s="66">
        <f t="shared" si="36"/>
        <v>12690.775639231249</v>
      </c>
      <c r="S490" s="117"/>
    </row>
    <row r="491" spans="1:19">
      <c r="A491" s="110" t="s">
        <v>626</v>
      </c>
      <c r="B491" s="111" t="s">
        <v>1764</v>
      </c>
      <c r="C491" s="111" t="s">
        <v>1765</v>
      </c>
      <c r="D491" s="112" t="s">
        <v>1766</v>
      </c>
      <c r="E491" s="111" t="s">
        <v>156</v>
      </c>
      <c r="F491" s="112" t="s">
        <v>26</v>
      </c>
      <c r="G491" s="111" t="s">
        <v>20</v>
      </c>
      <c r="H491" s="111" t="s">
        <v>1684</v>
      </c>
      <c r="I491" s="111">
        <v>201511</v>
      </c>
      <c r="J491" s="113">
        <v>25134.18</v>
      </c>
      <c r="K491" s="72">
        <f t="shared" si="39"/>
        <v>42675</v>
      </c>
      <c r="L491" s="67">
        <f t="shared" si="37"/>
        <v>6</v>
      </c>
      <c r="M491" s="114">
        <v>1.4833299999999999E-3</v>
      </c>
      <c r="N491" s="104">
        <f t="shared" si="38"/>
        <v>223.6936993164</v>
      </c>
      <c r="O491" s="66"/>
      <c r="P491" s="66">
        <f t="shared" si="35"/>
        <v>0</v>
      </c>
      <c r="Q491" s="66"/>
      <c r="R491" s="66">
        <f t="shared" si="36"/>
        <v>415.80835408749999</v>
      </c>
      <c r="S491" s="117"/>
    </row>
    <row r="492" spans="1:19">
      <c r="A492" s="116" t="s">
        <v>21</v>
      </c>
      <c r="B492" s="111" t="s">
        <v>1767</v>
      </c>
      <c r="C492" s="111" t="s">
        <v>1768</v>
      </c>
      <c r="D492" s="112" t="s">
        <v>1769</v>
      </c>
      <c r="E492" s="111" t="s">
        <v>1413</v>
      </c>
      <c r="F492" s="112" t="s">
        <v>88</v>
      </c>
      <c r="G492" s="111" t="s">
        <v>20</v>
      </c>
      <c r="H492" s="111" t="s">
        <v>929</v>
      </c>
      <c r="I492" s="111">
        <v>201511</v>
      </c>
      <c r="J492" s="113">
        <v>489.86</v>
      </c>
      <c r="K492" s="72">
        <f t="shared" si="39"/>
        <v>42675</v>
      </c>
      <c r="L492" s="67">
        <f t="shared" si="37"/>
        <v>6</v>
      </c>
      <c r="M492" s="114">
        <v>1.4833299999999999E-3</v>
      </c>
      <c r="N492" s="104">
        <f t="shared" si="38"/>
        <v>4.3597442028</v>
      </c>
      <c r="O492" s="66"/>
      <c r="P492" s="66">
        <f t="shared" si="35"/>
        <v>0</v>
      </c>
      <c r="Q492" s="66"/>
      <c r="R492" s="66">
        <f t="shared" si="36"/>
        <v>8.1040193208333324</v>
      </c>
      <c r="S492" s="117"/>
    </row>
    <row r="493" spans="1:19">
      <c r="A493" s="110" t="s">
        <v>626</v>
      </c>
      <c r="B493" s="111" t="s">
        <v>1770</v>
      </c>
      <c r="C493" s="111" t="s">
        <v>1771</v>
      </c>
      <c r="D493" s="112" t="s">
        <v>1772</v>
      </c>
      <c r="E493" s="111" t="s">
        <v>93</v>
      </c>
      <c r="F493" s="112" t="s">
        <v>1601</v>
      </c>
      <c r="G493" s="111" t="s">
        <v>20</v>
      </c>
      <c r="H493" s="111" t="s">
        <v>929</v>
      </c>
      <c r="I493" s="111">
        <v>201511</v>
      </c>
      <c r="J493" s="113">
        <v>388.64</v>
      </c>
      <c r="K493" s="72">
        <f t="shared" si="39"/>
        <v>42675</v>
      </c>
      <c r="L493" s="67">
        <f t="shared" si="37"/>
        <v>6</v>
      </c>
      <c r="M493" s="114">
        <v>1.4833299999999999E-3</v>
      </c>
      <c r="N493" s="104">
        <f t="shared" si="38"/>
        <v>3.4588882272000001</v>
      </c>
      <c r="O493" s="66"/>
      <c r="P493" s="66">
        <f t="shared" si="35"/>
        <v>0</v>
      </c>
      <c r="Q493" s="66"/>
      <c r="R493" s="66">
        <f t="shared" si="36"/>
        <v>6.4294820333333336</v>
      </c>
      <c r="S493" s="117"/>
    </row>
    <row r="494" spans="1:19">
      <c r="A494" s="110" t="s">
        <v>626</v>
      </c>
      <c r="B494" s="111" t="s">
        <v>1594</v>
      </c>
      <c r="C494" s="111" t="s">
        <v>1595</v>
      </c>
      <c r="D494" s="112" t="s">
        <v>1596</v>
      </c>
      <c r="E494" s="111" t="s">
        <v>87</v>
      </c>
      <c r="F494" s="112" t="s">
        <v>1603</v>
      </c>
      <c r="G494" s="111" t="s">
        <v>20</v>
      </c>
      <c r="H494" s="111" t="s">
        <v>929</v>
      </c>
      <c r="I494" s="111">
        <v>201511</v>
      </c>
      <c r="J494" s="113">
        <v>402.03</v>
      </c>
      <c r="K494" s="72">
        <f t="shared" si="39"/>
        <v>42675</v>
      </c>
      <c r="L494" s="67">
        <f t="shared" si="37"/>
        <v>6</v>
      </c>
      <c r="M494" s="114">
        <v>1.4833299999999999E-3</v>
      </c>
      <c r="N494" s="104">
        <f t="shared" si="38"/>
        <v>3.5780589593999998</v>
      </c>
      <c r="O494" s="66"/>
      <c r="P494" s="66">
        <f t="shared" si="35"/>
        <v>0</v>
      </c>
      <c r="Q494" s="66"/>
      <c r="R494" s="66">
        <f t="shared" si="36"/>
        <v>6.6510000562499991</v>
      </c>
      <c r="S494" s="117"/>
    </row>
    <row r="495" spans="1:19">
      <c r="A495" s="110" t="s">
        <v>127</v>
      </c>
      <c r="B495" s="111" t="s">
        <v>1773</v>
      </c>
      <c r="C495" s="111" t="s">
        <v>1774</v>
      </c>
      <c r="D495" s="112" t="s">
        <v>1775</v>
      </c>
      <c r="E495" s="111" t="s">
        <v>209</v>
      </c>
      <c r="F495" s="112" t="s">
        <v>1612</v>
      </c>
      <c r="G495" s="111" t="s">
        <v>20</v>
      </c>
      <c r="H495" s="111" t="s">
        <v>929</v>
      </c>
      <c r="I495" s="111">
        <v>201511</v>
      </c>
      <c r="J495" s="113">
        <v>-578.46</v>
      </c>
      <c r="K495" s="72">
        <f t="shared" si="39"/>
        <v>42675</v>
      </c>
      <c r="L495" s="67">
        <f t="shared" si="37"/>
        <v>6</v>
      </c>
      <c r="M495" s="114">
        <v>2.3833299999999999E-3</v>
      </c>
      <c r="N495" s="104">
        <f t="shared" si="38"/>
        <v>-8.2719664308000009</v>
      </c>
      <c r="O495" s="66"/>
      <c r="P495" s="66">
        <f t="shared" si="35"/>
        <v>0</v>
      </c>
      <c r="Q495" s="66"/>
      <c r="R495" s="66">
        <f t="shared" si="36"/>
        <v>-9.5697771125000006</v>
      </c>
      <c r="S495" s="117"/>
    </row>
    <row r="496" spans="1:19">
      <c r="A496" s="110" t="s">
        <v>626</v>
      </c>
      <c r="B496" s="111" t="s">
        <v>1776</v>
      </c>
      <c r="C496" s="111" t="s">
        <v>1777</v>
      </c>
      <c r="D496" s="112" t="s">
        <v>1778</v>
      </c>
      <c r="E496" s="111" t="s">
        <v>452</v>
      </c>
      <c r="F496" s="112" t="s">
        <v>398</v>
      </c>
      <c r="G496" s="111" t="s">
        <v>20</v>
      </c>
      <c r="H496" s="111" t="s">
        <v>929</v>
      </c>
      <c r="I496" s="111">
        <v>201511</v>
      </c>
      <c r="J496" s="113">
        <v>-3098.34</v>
      </c>
      <c r="K496" s="72">
        <f t="shared" si="39"/>
        <v>42675</v>
      </c>
      <c r="L496" s="67">
        <f t="shared" si="37"/>
        <v>6</v>
      </c>
      <c r="M496" s="114">
        <v>1.4833299999999999E-3</v>
      </c>
      <c r="N496" s="104">
        <f t="shared" si="38"/>
        <v>-27.5751640332</v>
      </c>
      <c r="O496" s="66"/>
      <c r="P496" s="66">
        <f t="shared" si="35"/>
        <v>0</v>
      </c>
      <c r="Q496" s="66"/>
      <c r="R496" s="66">
        <f t="shared" si="36"/>
        <v>-51.257516887500003</v>
      </c>
      <c r="S496" s="117"/>
    </row>
    <row r="497" spans="1:19">
      <c r="A497" s="110" t="s">
        <v>21</v>
      </c>
      <c r="B497" s="111" t="s">
        <v>1820</v>
      </c>
      <c r="C497" s="111" t="s">
        <v>1821</v>
      </c>
      <c r="D497" s="112" t="s">
        <v>1822</v>
      </c>
      <c r="E497" s="111" t="s">
        <v>87</v>
      </c>
      <c r="F497" s="112" t="s">
        <v>1603</v>
      </c>
      <c r="G497" s="111" t="s">
        <v>20</v>
      </c>
      <c r="H497" s="111" t="s">
        <v>929</v>
      </c>
      <c r="I497" s="111">
        <v>201511</v>
      </c>
      <c r="J497" s="113">
        <v>21076.29</v>
      </c>
      <c r="K497" s="72">
        <f t="shared" si="39"/>
        <v>42675</v>
      </c>
      <c r="L497" s="67">
        <f t="shared" si="37"/>
        <v>6</v>
      </c>
      <c r="M497" s="114">
        <v>1.4833299999999999E-3</v>
      </c>
      <c r="N497" s="104">
        <f t="shared" si="38"/>
        <v>187.57855947420001</v>
      </c>
      <c r="O497" s="66"/>
      <c r="P497" s="66">
        <f t="shared" si="35"/>
        <v>0</v>
      </c>
      <c r="Q497" s="66"/>
      <c r="R497" s="66">
        <f t="shared" si="36"/>
        <v>348.67648179375004</v>
      </c>
      <c r="S497" s="117"/>
    </row>
    <row r="498" spans="1:19">
      <c r="A498" s="110" t="s">
        <v>626</v>
      </c>
      <c r="B498" s="111" t="s">
        <v>1782</v>
      </c>
      <c r="C498" s="111" t="s">
        <v>1783</v>
      </c>
      <c r="D498" s="112" t="s">
        <v>1784</v>
      </c>
      <c r="E498" s="111" t="s">
        <v>87</v>
      </c>
      <c r="F498" s="112" t="s">
        <v>1603</v>
      </c>
      <c r="G498" s="111" t="s">
        <v>20</v>
      </c>
      <c r="H498" s="111" t="s">
        <v>929</v>
      </c>
      <c r="I498" s="111">
        <v>201511</v>
      </c>
      <c r="J498" s="113">
        <v>-602.32000000000005</v>
      </c>
      <c r="K498" s="72">
        <f t="shared" si="39"/>
        <v>42675</v>
      </c>
      <c r="L498" s="67">
        <f t="shared" si="37"/>
        <v>6</v>
      </c>
      <c r="M498" s="114">
        <v>1.4833299999999999E-3</v>
      </c>
      <c r="N498" s="104">
        <f t="shared" si="38"/>
        <v>-5.3606359536000001</v>
      </c>
      <c r="O498" s="66"/>
      <c r="P498" s="66">
        <f t="shared" si="35"/>
        <v>0</v>
      </c>
      <c r="Q498" s="66"/>
      <c r="R498" s="66">
        <f t="shared" si="36"/>
        <v>-9.9645060166666681</v>
      </c>
      <c r="S498" s="117"/>
    </row>
    <row r="499" spans="1:19">
      <c r="A499" s="110" t="s">
        <v>14</v>
      </c>
      <c r="B499" s="111" t="s">
        <v>30</v>
      </c>
      <c r="C499" s="111" t="s">
        <v>31</v>
      </c>
      <c r="D499" s="112" t="s">
        <v>32</v>
      </c>
      <c r="E499" s="111" t="s">
        <v>33</v>
      </c>
      <c r="F499" s="112" t="s">
        <v>34</v>
      </c>
      <c r="G499" s="111" t="s">
        <v>20</v>
      </c>
      <c r="H499" s="111" t="s">
        <v>933</v>
      </c>
      <c r="I499" s="111">
        <v>201512</v>
      </c>
      <c r="J499" s="113">
        <v>-2953.81</v>
      </c>
      <c r="K499" s="72">
        <f t="shared" si="39"/>
        <v>42675</v>
      </c>
      <c r="L499" s="67">
        <f t="shared" si="37"/>
        <v>6</v>
      </c>
      <c r="M499" s="114">
        <v>2.23333E-3</v>
      </c>
      <c r="N499" s="104">
        <f t="shared" si="38"/>
        <v>-39.580994923799999</v>
      </c>
      <c r="O499" s="66"/>
      <c r="P499" s="66">
        <f t="shared" ref="P499:P562" si="40">($P$305*J499*$U$11)</f>
        <v>0</v>
      </c>
      <c r="Q499" s="66"/>
      <c r="R499" s="66">
        <f t="shared" ref="R499:R562" si="41">($R$305*0.5*J499*$U$11)</f>
        <v>-48.866478810416666</v>
      </c>
      <c r="S499" s="117"/>
    </row>
    <row r="500" spans="1:19">
      <c r="A500" s="110" t="s">
        <v>14</v>
      </c>
      <c r="B500" s="111" t="s">
        <v>37</v>
      </c>
      <c r="C500" s="111" t="s">
        <v>38</v>
      </c>
      <c r="D500" s="112" t="s">
        <v>39</v>
      </c>
      <c r="E500" s="111" t="s">
        <v>40</v>
      </c>
      <c r="F500" s="112" t="s">
        <v>41</v>
      </c>
      <c r="G500" s="111" t="s">
        <v>20</v>
      </c>
      <c r="H500" s="111" t="s">
        <v>933</v>
      </c>
      <c r="I500" s="111">
        <v>201512</v>
      </c>
      <c r="J500" s="113">
        <v>181546.04</v>
      </c>
      <c r="K500" s="72">
        <f t="shared" si="39"/>
        <v>42675</v>
      </c>
      <c r="L500" s="67">
        <f t="shared" si="37"/>
        <v>6</v>
      </c>
      <c r="M500" s="114">
        <v>2.23333E-3</v>
      </c>
      <c r="N500" s="104">
        <f t="shared" si="38"/>
        <v>2432.7133050791999</v>
      </c>
      <c r="O500" s="66"/>
      <c r="P500" s="66">
        <f t="shared" si="40"/>
        <v>0</v>
      </c>
      <c r="Q500" s="66"/>
      <c r="R500" s="66">
        <f t="shared" si="41"/>
        <v>3003.4144771583333</v>
      </c>
      <c r="S500" s="117"/>
    </row>
    <row r="501" spans="1:19">
      <c r="A501" s="110" t="s">
        <v>14</v>
      </c>
      <c r="B501" s="111" t="s">
        <v>43</v>
      </c>
      <c r="C501" s="111" t="s">
        <v>44</v>
      </c>
      <c r="D501" s="112" t="s">
        <v>45</v>
      </c>
      <c r="E501" s="111" t="s">
        <v>46</v>
      </c>
      <c r="F501" s="112" t="s">
        <v>41</v>
      </c>
      <c r="G501" s="111" t="s">
        <v>20</v>
      </c>
      <c r="H501" s="111" t="s">
        <v>933</v>
      </c>
      <c r="I501" s="111">
        <v>201512</v>
      </c>
      <c r="J501" s="113">
        <v>-211.66</v>
      </c>
      <c r="K501" s="72">
        <f t="shared" si="39"/>
        <v>42675</v>
      </c>
      <c r="L501" s="67">
        <f t="shared" si="37"/>
        <v>6</v>
      </c>
      <c r="M501" s="114">
        <v>2.23333E-3</v>
      </c>
      <c r="N501" s="104">
        <f t="shared" si="38"/>
        <v>-2.8362397667999999</v>
      </c>
      <c r="O501" s="66"/>
      <c r="P501" s="66">
        <f t="shared" si="40"/>
        <v>0</v>
      </c>
      <c r="Q501" s="66"/>
      <c r="R501" s="66">
        <f t="shared" si="41"/>
        <v>-3.5016060291666666</v>
      </c>
      <c r="S501" s="117"/>
    </row>
    <row r="502" spans="1:19">
      <c r="A502" s="116" t="s">
        <v>990</v>
      </c>
      <c r="B502" s="111" t="s">
        <v>991</v>
      </c>
      <c r="C502" s="111" t="s">
        <v>992</v>
      </c>
      <c r="D502" s="112" t="s">
        <v>993</v>
      </c>
      <c r="E502" s="111" t="s">
        <v>994</v>
      </c>
      <c r="F502" s="112" t="s">
        <v>995</v>
      </c>
      <c r="G502" s="111" t="s">
        <v>20</v>
      </c>
      <c r="H502" s="111" t="s">
        <v>933</v>
      </c>
      <c r="I502" s="111">
        <v>201512</v>
      </c>
      <c r="J502" s="113">
        <v>3711.04</v>
      </c>
      <c r="K502" s="72">
        <f t="shared" si="39"/>
        <v>42675</v>
      </c>
      <c r="L502" s="67">
        <f t="shared" si="37"/>
        <v>6</v>
      </c>
      <c r="M502" s="114">
        <v>2.0333333000000001E-3</v>
      </c>
      <c r="N502" s="104">
        <f t="shared" si="38"/>
        <v>45.274687257791996</v>
      </c>
      <c r="O502" s="66"/>
      <c r="P502" s="66">
        <f t="shared" si="40"/>
        <v>0</v>
      </c>
      <c r="Q502" s="66"/>
      <c r="R502" s="66">
        <f t="shared" si="41"/>
        <v>61.393744866666665</v>
      </c>
      <c r="S502" s="117"/>
    </row>
    <row r="503" spans="1:19">
      <c r="A503" s="116" t="s">
        <v>990</v>
      </c>
      <c r="B503" s="111" t="s">
        <v>996</v>
      </c>
      <c r="C503" s="111" t="s">
        <v>997</v>
      </c>
      <c r="D503" s="112" t="s">
        <v>998</v>
      </c>
      <c r="E503" s="111" t="s">
        <v>999</v>
      </c>
      <c r="F503" s="112" t="s">
        <v>995</v>
      </c>
      <c r="G503" s="111" t="s">
        <v>20</v>
      </c>
      <c r="H503" s="111" t="s">
        <v>933</v>
      </c>
      <c r="I503" s="111">
        <v>201512</v>
      </c>
      <c r="J503" s="113">
        <v>-44.65</v>
      </c>
      <c r="K503" s="72">
        <f t="shared" si="39"/>
        <v>42675</v>
      </c>
      <c r="L503" s="67">
        <f t="shared" si="37"/>
        <v>6</v>
      </c>
      <c r="M503" s="114">
        <v>2.0333333000000001E-3</v>
      </c>
      <c r="N503" s="104">
        <f t="shared" si="38"/>
        <v>-0.54472999106999997</v>
      </c>
      <c r="O503" s="66"/>
      <c r="P503" s="66">
        <f t="shared" si="40"/>
        <v>0</v>
      </c>
      <c r="Q503" s="66"/>
      <c r="R503" s="66">
        <f t="shared" si="41"/>
        <v>-0.73866913541666668</v>
      </c>
      <c r="S503" s="117"/>
    </row>
    <row r="504" spans="1:19">
      <c r="A504" s="116" t="s">
        <v>990</v>
      </c>
      <c r="B504" s="111" t="s">
        <v>1000</v>
      </c>
      <c r="C504" s="111" t="s">
        <v>1001</v>
      </c>
      <c r="D504" s="112" t="s">
        <v>1672</v>
      </c>
      <c r="E504" s="111" t="s">
        <v>1002</v>
      </c>
      <c r="F504" s="112" t="s">
        <v>1604</v>
      </c>
      <c r="G504" s="111" t="s">
        <v>20</v>
      </c>
      <c r="H504" s="111" t="s">
        <v>933</v>
      </c>
      <c r="I504" s="111">
        <v>201512</v>
      </c>
      <c r="J504" s="113">
        <v>10405.67</v>
      </c>
      <c r="K504" s="72">
        <f t="shared" si="39"/>
        <v>42675</v>
      </c>
      <c r="L504" s="67">
        <f t="shared" si="37"/>
        <v>6</v>
      </c>
      <c r="M504" s="114">
        <v>2.0333333000000001E-3</v>
      </c>
      <c r="N504" s="104">
        <f t="shared" si="38"/>
        <v>126.949171918866</v>
      </c>
      <c r="O504" s="66"/>
      <c r="P504" s="66">
        <f t="shared" si="40"/>
        <v>0</v>
      </c>
      <c r="Q504" s="66"/>
      <c r="R504" s="66">
        <f t="shared" si="41"/>
        <v>172.14663521458334</v>
      </c>
      <c r="S504" s="117"/>
    </row>
    <row r="505" spans="1:19">
      <c r="A505" s="110" t="s">
        <v>14</v>
      </c>
      <c r="B505" s="111" t="s">
        <v>107</v>
      </c>
      <c r="C505" s="111" t="s">
        <v>108</v>
      </c>
      <c r="D505" s="112" t="s">
        <v>109</v>
      </c>
      <c r="E505" s="111" t="s">
        <v>110</v>
      </c>
      <c r="F505" s="112" t="s">
        <v>52</v>
      </c>
      <c r="G505" s="111" t="s">
        <v>20</v>
      </c>
      <c r="H505" s="111" t="s">
        <v>933</v>
      </c>
      <c r="I505" s="111">
        <v>201512</v>
      </c>
      <c r="J505" s="113">
        <v>11319.9</v>
      </c>
      <c r="K505" s="72">
        <f t="shared" si="39"/>
        <v>42675</v>
      </c>
      <c r="L505" s="67">
        <f t="shared" si="37"/>
        <v>6</v>
      </c>
      <c r="M505" s="114">
        <v>2.23333E-3</v>
      </c>
      <c r="N505" s="104">
        <f t="shared" si="38"/>
        <v>151.68643360199999</v>
      </c>
      <c r="O505" s="66"/>
      <c r="P505" s="66">
        <f t="shared" si="40"/>
        <v>0</v>
      </c>
      <c r="Q505" s="66"/>
      <c r="R505" s="66">
        <f t="shared" si="41"/>
        <v>187.27123731250001</v>
      </c>
      <c r="S505" s="117"/>
    </row>
    <row r="506" spans="1:19">
      <c r="A506" s="110" t="s">
        <v>14</v>
      </c>
      <c r="B506" s="111" t="s">
        <v>555</v>
      </c>
      <c r="C506" s="111" t="s">
        <v>556</v>
      </c>
      <c r="D506" s="112" t="s">
        <v>45</v>
      </c>
      <c r="E506" s="111" t="s">
        <v>557</v>
      </c>
      <c r="F506" s="112" t="s">
        <v>41</v>
      </c>
      <c r="G506" s="111" t="s">
        <v>20</v>
      </c>
      <c r="H506" s="111" t="s">
        <v>933</v>
      </c>
      <c r="I506" s="111">
        <v>201512</v>
      </c>
      <c r="J506" s="113">
        <v>113.4</v>
      </c>
      <c r="K506" s="72">
        <f t="shared" si="39"/>
        <v>42675</v>
      </c>
      <c r="L506" s="67">
        <f t="shared" si="37"/>
        <v>6</v>
      </c>
      <c r="M506" s="114">
        <v>2.23333E-3</v>
      </c>
      <c r="N506" s="104">
        <f t="shared" si="38"/>
        <v>1.519557732</v>
      </c>
      <c r="O506" s="66"/>
      <c r="P506" s="66">
        <f t="shared" si="40"/>
        <v>0</v>
      </c>
      <c r="Q506" s="66"/>
      <c r="R506" s="66">
        <f t="shared" si="41"/>
        <v>1.8760376249999999</v>
      </c>
      <c r="S506" s="117"/>
    </row>
    <row r="507" spans="1:19">
      <c r="A507" s="116" t="s">
        <v>990</v>
      </c>
      <c r="B507" s="111" t="s">
        <v>1003</v>
      </c>
      <c r="C507" s="111" t="s">
        <v>1004</v>
      </c>
      <c r="D507" s="112" t="s">
        <v>1673</v>
      </c>
      <c r="E507" s="111" t="s">
        <v>1006</v>
      </c>
      <c r="F507" s="112" t="s">
        <v>1606</v>
      </c>
      <c r="G507" s="111" t="s">
        <v>20</v>
      </c>
      <c r="H507" s="111" t="s">
        <v>933</v>
      </c>
      <c r="I507" s="111">
        <v>201512</v>
      </c>
      <c r="J507" s="113">
        <v>10846.49</v>
      </c>
      <c r="K507" s="72">
        <f t="shared" si="39"/>
        <v>42675</v>
      </c>
      <c r="L507" s="67">
        <f t="shared" si="37"/>
        <v>6</v>
      </c>
      <c r="M507" s="114">
        <v>2.0333333000000001E-3</v>
      </c>
      <c r="N507" s="104">
        <f t="shared" si="38"/>
        <v>132.327175830702</v>
      </c>
      <c r="O507" s="66"/>
      <c r="P507" s="66">
        <f t="shared" si="40"/>
        <v>0</v>
      </c>
      <c r="Q507" s="66"/>
      <c r="R507" s="66">
        <f t="shared" si="41"/>
        <v>179.43935925208334</v>
      </c>
      <c r="S507" s="117"/>
    </row>
    <row r="508" spans="1:19">
      <c r="A508" s="110" t="s">
        <v>14</v>
      </c>
      <c r="B508" s="111" t="s">
        <v>183</v>
      </c>
      <c r="C508" s="111" t="s">
        <v>184</v>
      </c>
      <c r="D508" s="112" t="s">
        <v>45</v>
      </c>
      <c r="E508" s="111" t="s">
        <v>185</v>
      </c>
      <c r="F508" s="112" t="s">
        <v>41</v>
      </c>
      <c r="G508" s="111" t="s">
        <v>20</v>
      </c>
      <c r="H508" s="111" t="s">
        <v>933</v>
      </c>
      <c r="I508" s="111">
        <v>201512</v>
      </c>
      <c r="J508" s="113">
        <v>1874.81</v>
      </c>
      <c r="K508" s="72">
        <f t="shared" si="39"/>
        <v>42675</v>
      </c>
      <c r="L508" s="67">
        <f t="shared" si="37"/>
        <v>6</v>
      </c>
      <c r="M508" s="114">
        <v>2.23333E-3</v>
      </c>
      <c r="N508" s="104">
        <f t="shared" si="38"/>
        <v>25.122416503799997</v>
      </c>
      <c r="O508" s="66"/>
      <c r="P508" s="66">
        <f t="shared" si="40"/>
        <v>0</v>
      </c>
      <c r="Q508" s="66"/>
      <c r="R508" s="66">
        <f t="shared" si="41"/>
        <v>31.015997352083332</v>
      </c>
      <c r="S508" s="117"/>
    </row>
    <row r="509" spans="1:19">
      <c r="A509" s="110" t="s">
        <v>14</v>
      </c>
      <c r="B509" s="111" t="s">
        <v>191</v>
      </c>
      <c r="C509" s="111" t="s">
        <v>192</v>
      </c>
      <c r="D509" s="112" t="s">
        <v>193</v>
      </c>
      <c r="E509" s="111" t="s">
        <v>194</v>
      </c>
      <c r="F509" s="112" t="s">
        <v>115</v>
      </c>
      <c r="G509" s="111" t="s">
        <v>20</v>
      </c>
      <c r="H509" s="111" t="s">
        <v>933</v>
      </c>
      <c r="I509" s="111">
        <v>201512</v>
      </c>
      <c r="J509" s="113">
        <v>1090.44</v>
      </c>
      <c r="K509" s="72">
        <f t="shared" si="39"/>
        <v>42675</v>
      </c>
      <c r="L509" s="67">
        <f t="shared" si="37"/>
        <v>6</v>
      </c>
      <c r="M509" s="114">
        <v>2.23333E-3</v>
      </c>
      <c r="N509" s="104">
        <f t="shared" si="38"/>
        <v>14.6118741912</v>
      </c>
      <c r="O509" s="66"/>
      <c r="P509" s="66">
        <f t="shared" si="40"/>
        <v>0</v>
      </c>
      <c r="Q509" s="66"/>
      <c r="R509" s="66">
        <f t="shared" si="41"/>
        <v>18.039739575000002</v>
      </c>
      <c r="S509" s="117"/>
    </row>
    <row r="510" spans="1:19">
      <c r="A510" s="110" t="s">
        <v>14</v>
      </c>
      <c r="B510" s="111" t="s">
        <v>195</v>
      </c>
      <c r="C510" s="111" t="s">
        <v>196</v>
      </c>
      <c r="D510" s="112" t="s">
        <v>1674</v>
      </c>
      <c r="E510" s="111" t="s">
        <v>198</v>
      </c>
      <c r="F510" s="112" t="s">
        <v>1610</v>
      </c>
      <c r="G510" s="111" t="s">
        <v>20</v>
      </c>
      <c r="H510" s="111" t="s">
        <v>933</v>
      </c>
      <c r="I510" s="111">
        <v>201512</v>
      </c>
      <c r="J510" s="113">
        <v>43679.82</v>
      </c>
      <c r="K510" s="72">
        <f t="shared" si="39"/>
        <v>42675</v>
      </c>
      <c r="L510" s="67">
        <f t="shared" si="37"/>
        <v>6</v>
      </c>
      <c r="M510" s="114">
        <v>2.23333E-3</v>
      </c>
      <c r="N510" s="104">
        <f t="shared" si="38"/>
        <v>585.30871440359999</v>
      </c>
      <c r="O510" s="66"/>
      <c r="P510" s="66">
        <f t="shared" si="40"/>
        <v>0</v>
      </c>
      <c r="Q510" s="66"/>
      <c r="R510" s="66">
        <f t="shared" si="41"/>
        <v>722.61892216249998</v>
      </c>
      <c r="S510" s="117"/>
    </row>
    <row r="511" spans="1:19">
      <c r="A511" s="110" t="s">
        <v>14</v>
      </c>
      <c r="B511" s="111" t="s">
        <v>200</v>
      </c>
      <c r="C511" s="111" t="s">
        <v>201</v>
      </c>
      <c r="D511" s="112" t="s">
        <v>1675</v>
      </c>
      <c r="E511" s="111" t="s">
        <v>202</v>
      </c>
      <c r="F511" s="112" t="s">
        <v>1611</v>
      </c>
      <c r="G511" s="111" t="s">
        <v>20</v>
      </c>
      <c r="H511" s="111" t="s">
        <v>933</v>
      </c>
      <c r="I511" s="111">
        <v>201512</v>
      </c>
      <c r="J511" s="113">
        <v>58898.14</v>
      </c>
      <c r="K511" s="72">
        <f t="shared" si="39"/>
        <v>42675</v>
      </c>
      <c r="L511" s="67">
        <f t="shared" si="37"/>
        <v>6</v>
      </c>
      <c r="M511" s="114">
        <v>2.23333E-3</v>
      </c>
      <c r="N511" s="104">
        <f t="shared" si="38"/>
        <v>789.23389803719988</v>
      </c>
      <c r="O511" s="66"/>
      <c r="P511" s="66">
        <f t="shared" si="40"/>
        <v>0</v>
      </c>
      <c r="Q511" s="66"/>
      <c r="R511" s="66">
        <f t="shared" si="41"/>
        <v>974.38383317916657</v>
      </c>
      <c r="S511" s="117"/>
    </row>
    <row r="512" spans="1:19">
      <c r="A512" s="110" t="s">
        <v>14</v>
      </c>
      <c r="B512" s="111" t="s">
        <v>481</v>
      </c>
      <c r="C512" s="111" t="s">
        <v>482</v>
      </c>
      <c r="D512" s="112" t="s">
        <v>483</v>
      </c>
      <c r="E512" s="111" t="s">
        <v>484</v>
      </c>
      <c r="F512" s="112" t="s">
        <v>190</v>
      </c>
      <c r="G512" s="111" t="s">
        <v>20</v>
      </c>
      <c r="H512" s="111" t="s">
        <v>933</v>
      </c>
      <c r="I512" s="111">
        <v>201512</v>
      </c>
      <c r="J512" s="113">
        <v>117</v>
      </c>
      <c r="K512" s="72">
        <f t="shared" si="39"/>
        <v>42675</v>
      </c>
      <c r="L512" s="67">
        <f t="shared" si="37"/>
        <v>6</v>
      </c>
      <c r="M512" s="114">
        <v>2.23333E-3</v>
      </c>
      <c r="N512" s="104">
        <f t="shared" si="38"/>
        <v>1.5677976599999999</v>
      </c>
      <c r="O512" s="66"/>
      <c r="P512" s="66">
        <f t="shared" si="40"/>
        <v>0</v>
      </c>
      <c r="Q512" s="66"/>
      <c r="R512" s="66">
        <f t="shared" si="41"/>
        <v>1.935594375</v>
      </c>
      <c r="S512" s="117"/>
    </row>
    <row r="513" spans="1:19">
      <c r="A513" s="116" t="s">
        <v>990</v>
      </c>
      <c r="B513" s="111" t="s">
        <v>1010</v>
      </c>
      <c r="C513" s="111" t="s">
        <v>1011</v>
      </c>
      <c r="D513" s="112" t="s">
        <v>1012</v>
      </c>
      <c r="E513" s="111" t="s">
        <v>1013</v>
      </c>
      <c r="F513" s="112" t="s">
        <v>995</v>
      </c>
      <c r="G513" s="111" t="s">
        <v>20</v>
      </c>
      <c r="H513" s="111" t="s">
        <v>933</v>
      </c>
      <c r="I513" s="111">
        <v>201512</v>
      </c>
      <c r="J513" s="113">
        <v>2888.71</v>
      </c>
      <c r="K513" s="72">
        <f t="shared" si="39"/>
        <v>42675</v>
      </c>
      <c r="L513" s="67">
        <f t="shared" si="37"/>
        <v>6</v>
      </c>
      <c r="M513" s="114">
        <v>2.0333333000000001E-3</v>
      </c>
      <c r="N513" s="104">
        <f t="shared" si="38"/>
        <v>35.242261422257997</v>
      </c>
      <c r="O513" s="66"/>
      <c r="P513" s="66">
        <f t="shared" si="40"/>
        <v>0</v>
      </c>
      <c r="Q513" s="66"/>
      <c r="R513" s="66">
        <f t="shared" si="41"/>
        <v>47.789494247916664</v>
      </c>
      <c r="S513" s="117"/>
    </row>
    <row r="514" spans="1:19">
      <c r="A514" s="110" t="s">
        <v>14</v>
      </c>
      <c r="B514" s="111" t="s">
        <v>236</v>
      </c>
      <c r="C514" s="111" t="s">
        <v>237</v>
      </c>
      <c r="D514" s="112" t="s">
        <v>188</v>
      </c>
      <c r="E514" s="111" t="s">
        <v>238</v>
      </c>
      <c r="F514" s="112" t="s">
        <v>190</v>
      </c>
      <c r="G514" s="111" t="s">
        <v>20</v>
      </c>
      <c r="H514" s="111" t="s">
        <v>933</v>
      </c>
      <c r="I514" s="111">
        <v>201512</v>
      </c>
      <c r="J514" s="113">
        <v>3499.35</v>
      </c>
      <c r="K514" s="72">
        <f t="shared" si="39"/>
        <v>42675</v>
      </c>
      <c r="L514" s="67">
        <f t="shared" si="37"/>
        <v>6</v>
      </c>
      <c r="M514" s="114">
        <v>2.23333E-3</v>
      </c>
      <c r="N514" s="104">
        <f t="shared" si="38"/>
        <v>46.891220012999995</v>
      </c>
      <c r="O514" s="66"/>
      <c r="P514" s="66">
        <f t="shared" si="40"/>
        <v>0</v>
      </c>
      <c r="Q514" s="66"/>
      <c r="R514" s="66">
        <f t="shared" si="41"/>
        <v>57.89164253125</v>
      </c>
      <c r="S514" s="117"/>
    </row>
    <row r="515" spans="1:19">
      <c r="A515" s="110" t="s">
        <v>14</v>
      </c>
      <c r="B515" s="111" t="s">
        <v>239</v>
      </c>
      <c r="C515" s="111" t="s">
        <v>240</v>
      </c>
      <c r="D515" s="112" t="s">
        <v>197</v>
      </c>
      <c r="E515" s="111" t="s">
        <v>241</v>
      </c>
      <c r="F515" s="112" t="s">
        <v>199</v>
      </c>
      <c r="G515" s="111" t="s">
        <v>20</v>
      </c>
      <c r="H515" s="111" t="s">
        <v>933</v>
      </c>
      <c r="I515" s="111">
        <v>201512</v>
      </c>
      <c r="J515" s="113">
        <v>574.13</v>
      </c>
      <c r="K515" s="72">
        <f t="shared" si="39"/>
        <v>42675</v>
      </c>
      <c r="L515" s="67">
        <f t="shared" si="37"/>
        <v>6</v>
      </c>
      <c r="M515" s="114">
        <v>2.23333E-3</v>
      </c>
      <c r="N515" s="104">
        <f t="shared" si="38"/>
        <v>7.6933305173999988</v>
      </c>
      <c r="O515" s="66"/>
      <c r="P515" s="66">
        <f t="shared" si="40"/>
        <v>0</v>
      </c>
      <c r="Q515" s="66"/>
      <c r="R515" s="66">
        <f t="shared" si="41"/>
        <v>9.4981435770833329</v>
      </c>
      <c r="S515" s="117"/>
    </row>
    <row r="516" spans="1:19">
      <c r="A516" s="110" t="s">
        <v>14</v>
      </c>
      <c r="B516" s="111" t="s">
        <v>706</v>
      </c>
      <c r="C516" s="111" t="s">
        <v>707</v>
      </c>
      <c r="D516" s="112" t="s">
        <v>708</v>
      </c>
      <c r="E516" s="111" t="s">
        <v>709</v>
      </c>
      <c r="F516" s="112" t="s">
        <v>710</v>
      </c>
      <c r="G516" s="111" t="s">
        <v>20</v>
      </c>
      <c r="H516" s="111" t="s">
        <v>933</v>
      </c>
      <c r="I516" s="111">
        <v>201512</v>
      </c>
      <c r="J516" s="113">
        <v>42.61</v>
      </c>
      <c r="K516" s="72">
        <f t="shared" si="39"/>
        <v>42675</v>
      </c>
      <c r="L516" s="67">
        <f t="shared" si="37"/>
        <v>6</v>
      </c>
      <c r="M516" s="114">
        <v>2.23333E-3</v>
      </c>
      <c r="N516" s="104">
        <f t="shared" si="38"/>
        <v>0.57097314779999997</v>
      </c>
      <c r="O516" s="66"/>
      <c r="P516" s="66">
        <f t="shared" si="40"/>
        <v>0</v>
      </c>
      <c r="Q516" s="66"/>
      <c r="R516" s="66">
        <f t="shared" si="41"/>
        <v>0.7049203104166667</v>
      </c>
      <c r="S516" s="117"/>
    </row>
    <row r="517" spans="1:19">
      <c r="A517" s="110" t="s">
        <v>14</v>
      </c>
      <c r="B517" s="111" t="s">
        <v>267</v>
      </c>
      <c r="C517" s="111" t="s">
        <v>268</v>
      </c>
      <c r="D517" s="112" t="s">
        <v>269</v>
      </c>
      <c r="E517" s="111" t="s">
        <v>270</v>
      </c>
      <c r="F517" s="112" t="s">
        <v>115</v>
      </c>
      <c r="G517" s="111" t="s">
        <v>20</v>
      </c>
      <c r="H517" s="111" t="s">
        <v>933</v>
      </c>
      <c r="I517" s="111">
        <v>201512</v>
      </c>
      <c r="J517" s="113">
        <v>8754.1</v>
      </c>
      <c r="K517" s="72">
        <f t="shared" si="39"/>
        <v>42675</v>
      </c>
      <c r="L517" s="67">
        <f t="shared" si="37"/>
        <v>6</v>
      </c>
      <c r="M517" s="114">
        <v>2.23333E-3</v>
      </c>
      <c r="N517" s="104">
        <f t="shared" si="38"/>
        <v>117.30476491799999</v>
      </c>
      <c r="O517" s="66"/>
      <c r="P517" s="66">
        <f t="shared" si="40"/>
        <v>0</v>
      </c>
      <c r="Q517" s="66"/>
      <c r="R517" s="66">
        <f t="shared" si="41"/>
        <v>144.82381810416666</v>
      </c>
      <c r="S517" s="117"/>
    </row>
    <row r="518" spans="1:19">
      <c r="A518" s="110" t="s">
        <v>14</v>
      </c>
      <c r="B518" s="111" t="s">
        <v>271</v>
      </c>
      <c r="C518" s="111" t="s">
        <v>272</v>
      </c>
      <c r="D518" s="112" t="s">
        <v>197</v>
      </c>
      <c r="E518" s="111" t="s">
        <v>273</v>
      </c>
      <c r="F518" s="112" t="s">
        <v>199</v>
      </c>
      <c r="G518" s="111" t="s">
        <v>20</v>
      </c>
      <c r="H518" s="111" t="s">
        <v>933</v>
      </c>
      <c r="I518" s="111">
        <v>201512</v>
      </c>
      <c r="J518" s="113">
        <v>462.84</v>
      </c>
      <c r="K518" s="72">
        <f t="shared" si="39"/>
        <v>42675</v>
      </c>
      <c r="L518" s="67">
        <f t="shared" ref="L518:L581" si="42">((YEAR($L$1)-YEAR(K518))*12+MONTH($L$1)-MONTH(K518))</f>
        <v>6</v>
      </c>
      <c r="M518" s="114">
        <v>2.23333E-3</v>
      </c>
      <c r="N518" s="104">
        <f t="shared" ref="N518:N581" si="43">M518*L518*J518</f>
        <v>6.2020467431999995</v>
      </c>
      <c r="O518" s="66"/>
      <c r="P518" s="66">
        <f t="shared" si="40"/>
        <v>0</v>
      </c>
      <c r="Q518" s="66"/>
      <c r="R518" s="66">
        <f t="shared" si="41"/>
        <v>7.6570128249999998</v>
      </c>
      <c r="S518" s="117"/>
    </row>
    <row r="519" spans="1:19">
      <c r="A519" s="110" t="s">
        <v>14</v>
      </c>
      <c r="B519" s="111" t="s">
        <v>1676</v>
      </c>
      <c r="C519" s="111" t="s">
        <v>1677</v>
      </c>
      <c r="D519" s="112" t="s">
        <v>50</v>
      </c>
      <c r="E519" s="111" t="s">
        <v>1678</v>
      </c>
      <c r="F519" s="112" t="s">
        <v>52</v>
      </c>
      <c r="G519" s="111" t="s">
        <v>20</v>
      </c>
      <c r="H519" s="111" t="s">
        <v>933</v>
      </c>
      <c r="I519" s="111">
        <v>201512</v>
      </c>
      <c r="J519" s="113">
        <v>-47.59</v>
      </c>
      <c r="K519" s="72">
        <f t="shared" ref="K519:K582" si="44">+K518</f>
        <v>42675</v>
      </c>
      <c r="L519" s="67">
        <f t="shared" si="42"/>
        <v>6</v>
      </c>
      <c r="M519" s="114">
        <v>2.23333E-3</v>
      </c>
      <c r="N519" s="104">
        <f t="shared" si="43"/>
        <v>-0.63770504819999996</v>
      </c>
      <c r="O519" s="66"/>
      <c r="P519" s="66">
        <f t="shared" si="40"/>
        <v>0</v>
      </c>
      <c r="Q519" s="66"/>
      <c r="R519" s="66">
        <f t="shared" si="41"/>
        <v>-0.78730714791666678</v>
      </c>
      <c r="S519" s="117"/>
    </row>
    <row r="520" spans="1:19">
      <c r="A520" s="116" t="s">
        <v>990</v>
      </c>
      <c r="B520" s="111" t="s">
        <v>1017</v>
      </c>
      <c r="C520" s="111" t="s">
        <v>1018</v>
      </c>
      <c r="D520" s="112" t="s">
        <v>993</v>
      </c>
      <c r="E520" s="111" t="s">
        <v>1019</v>
      </c>
      <c r="F520" s="112" t="s">
        <v>995</v>
      </c>
      <c r="G520" s="111" t="s">
        <v>20</v>
      </c>
      <c r="H520" s="111" t="s">
        <v>933</v>
      </c>
      <c r="I520" s="111">
        <v>201512</v>
      </c>
      <c r="J520" s="113">
        <v>199.22</v>
      </c>
      <c r="K520" s="72">
        <f t="shared" si="44"/>
        <v>42675</v>
      </c>
      <c r="L520" s="67">
        <f t="shared" si="42"/>
        <v>6</v>
      </c>
      <c r="M520" s="114">
        <v>2.0333333000000001E-3</v>
      </c>
      <c r="N520" s="104">
        <f t="shared" si="43"/>
        <v>2.4304839601559998</v>
      </c>
      <c r="O520" s="66"/>
      <c r="P520" s="66">
        <f t="shared" si="40"/>
        <v>0</v>
      </c>
      <c r="Q520" s="66"/>
      <c r="R520" s="66">
        <f t="shared" si="41"/>
        <v>3.2958043708333333</v>
      </c>
      <c r="S520" s="117"/>
    </row>
    <row r="521" spans="1:19">
      <c r="A521" s="110" t="s">
        <v>14</v>
      </c>
      <c r="B521" s="111" t="s">
        <v>292</v>
      </c>
      <c r="C521" s="111" t="s">
        <v>293</v>
      </c>
      <c r="D521" s="112" t="s">
        <v>1679</v>
      </c>
      <c r="E521" s="111" t="s">
        <v>294</v>
      </c>
      <c r="F521" s="112" t="s">
        <v>1613</v>
      </c>
      <c r="G521" s="111" t="s">
        <v>20</v>
      </c>
      <c r="H521" s="111" t="s">
        <v>933</v>
      </c>
      <c r="I521" s="111">
        <v>201512</v>
      </c>
      <c r="J521" s="113">
        <v>39275.64</v>
      </c>
      <c r="K521" s="72">
        <f t="shared" si="44"/>
        <v>42675</v>
      </c>
      <c r="L521" s="67">
        <f t="shared" si="42"/>
        <v>6</v>
      </c>
      <c r="M521" s="114">
        <v>2.23333E-3</v>
      </c>
      <c r="N521" s="104">
        <f t="shared" si="43"/>
        <v>526.29279048719991</v>
      </c>
      <c r="O521" s="66"/>
      <c r="P521" s="66">
        <f t="shared" si="40"/>
        <v>0</v>
      </c>
      <c r="Q521" s="66"/>
      <c r="R521" s="66">
        <f t="shared" si="41"/>
        <v>649.75818682499994</v>
      </c>
      <c r="S521" s="117"/>
    </row>
    <row r="522" spans="1:19">
      <c r="A522" s="110" t="s">
        <v>14</v>
      </c>
      <c r="B522" s="111" t="s">
        <v>419</v>
      </c>
      <c r="C522" s="111" t="s">
        <v>420</v>
      </c>
      <c r="D522" s="112" t="s">
        <v>50</v>
      </c>
      <c r="E522" s="111" t="s">
        <v>421</v>
      </c>
      <c r="F522" s="112" t="s">
        <v>52</v>
      </c>
      <c r="G522" s="111" t="s">
        <v>20</v>
      </c>
      <c r="H522" s="111" t="s">
        <v>933</v>
      </c>
      <c r="I522" s="111">
        <v>201512</v>
      </c>
      <c r="J522" s="113">
        <v>782.2</v>
      </c>
      <c r="K522" s="72">
        <f t="shared" si="44"/>
        <v>42675</v>
      </c>
      <c r="L522" s="67">
        <f t="shared" si="42"/>
        <v>6</v>
      </c>
      <c r="M522" s="114">
        <v>2.23333E-3</v>
      </c>
      <c r="N522" s="104">
        <f t="shared" si="43"/>
        <v>10.481464356</v>
      </c>
      <c r="O522" s="66"/>
      <c r="P522" s="66">
        <f t="shared" si="40"/>
        <v>0</v>
      </c>
      <c r="Q522" s="66"/>
      <c r="R522" s="66">
        <f t="shared" si="41"/>
        <v>12.940358291666668</v>
      </c>
      <c r="S522" s="117"/>
    </row>
    <row r="523" spans="1:19">
      <c r="A523" s="116" t="s">
        <v>990</v>
      </c>
      <c r="B523" s="111" t="s">
        <v>1020</v>
      </c>
      <c r="C523" s="111" t="s">
        <v>1021</v>
      </c>
      <c r="D523" s="112" t="s">
        <v>1680</v>
      </c>
      <c r="E523" s="111" t="s">
        <v>1022</v>
      </c>
      <c r="F523" s="112" t="s">
        <v>1614</v>
      </c>
      <c r="G523" s="111" t="s">
        <v>20</v>
      </c>
      <c r="H523" s="111" t="s">
        <v>933</v>
      </c>
      <c r="I523" s="111">
        <v>201512</v>
      </c>
      <c r="J523" s="113">
        <v>665.55</v>
      </c>
      <c r="K523" s="72">
        <f t="shared" si="44"/>
        <v>42675</v>
      </c>
      <c r="L523" s="67">
        <f t="shared" si="42"/>
        <v>6</v>
      </c>
      <c r="M523" s="114">
        <v>2.0333333000000001E-3</v>
      </c>
      <c r="N523" s="104">
        <f t="shared" si="43"/>
        <v>8.1197098668900001</v>
      </c>
      <c r="O523" s="66"/>
      <c r="P523" s="66">
        <f t="shared" si="40"/>
        <v>0</v>
      </c>
      <c r="Q523" s="66"/>
      <c r="R523" s="66">
        <f t="shared" si="41"/>
        <v>11.010554156249999</v>
      </c>
      <c r="S523" s="117"/>
    </row>
    <row r="524" spans="1:19">
      <c r="A524" s="110" t="s">
        <v>14</v>
      </c>
      <c r="B524" s="111" t="s">
        <v>325</v>
      </c>
      <c r="C524" s="111" t="s">
        <v>326</v>
      </c>
      <c r="D524" s="112" t="s">
        <v>327</v>
      </c>
      <c r="E524" s="111" t="s">
        <v>328</v>
      </c>
      <c r="F524" s="112" t="s">
        <v>58</v>
      </c>
      <c r="G524" s="111" t="s">
        <v>20</v>
      </c>
      <c r="H524" s="111" t="s">
        <v>933</v>
      </c>
      <c r="I524" s="111">
        <v>201512</v>
      </c>
      <c r="J524" s="113">
        <v>-179.92</v>
      </c>
      <c r="K524" s="72">
        <f t="shared" si="44"/>
        <v>42675</v>
      </c>
      <c r="L524" s="67">
        <f t="shared" si="42"/>
        <v>6</v>
      </c>
      <c r="M524" s="114">
        <v>2.23333E-3</v>
      </c>
      <c r="N524" s="104">
        <f t="shared" si="43"/>
        <v>-2.4109244015999995</v>
      </c>
      <c r="O524" s="66"/>
      <c r="P524" s="66">
        <f t="shared" si="40"/>
        <v>0</v>
      </c>
      <c r="Q524" s="66"/>
      <c r="R524" s="66">
        <f t="shared" si="41"/>
        <v>-2.9765140166666666</v>
      </c>
      <c r="S524" s="117"/>
    </row>
    <row r="525" spans="1:19">
      <c r="A525" s="110" t="s">
        <v>626</v>
      </c>
      <c r="B525" s="111" t="e">
        <v>#N/A</v>
      </c>
      <c r="C525" s="111" t="s">
        <v>1703</v>
      </c>
      <c r="D525" s="112" t="s">
        <v>1704</v>
      </c>
      <c r="E525" s="111" t="s">
        <v>164</v>
      </c>
      <c r="F525" s="112" t="s">
        <v>1600</v>
      </c>
      <c r="G525" s="111" t="s">
        <v>20</v>
      </c>
      <c r="H525" s="111" t="s">
        <v>933</v>
      </c>
      <c r="I525" s="111">
        <v>201512</v>
      </c>
      <c r="J525" s="113">
        <v>745.37</v>
      </c>
      <c r="K525" s="72">
        <f t="shared" si="44"/>
        <v>42675</v>
      </c>
      <c r="L525" s="67">
        <f t="shared" si="42"/>
        <v>6</v>
      </c>
      <c r="M525" s="114">
        <v>1.4833299999999999E-3</v>
      </c>
      <c r="N525" s="104">
        <f t="shared" si="43"/>
        <v>6.6337780926000001</v>
      </c>
      <c r="O525" s="66"/>
      <c r="P525" s="66">
        <f t="shared" si="40"/>
        <v>0</v>
      </c>
      <c r="Q525" s="66"/>
      <c r="R525" s="66">
        <f t="shared" si="41"/>
        <v>12.331059652083333</v>
      </c>
      <c r="S525" s="117"/>
    </row>
    <row r="526" spans="1:19">
      <c r="A526" s="110" t="s">
        <v>626</v>
      </c>
      <c r="B526" s="111" t="e">
        <v>#N/A</v>
      </c>
      <c r="C526" s="111" t="s">
        <v>1705</v>
      </c>
      <c r="D526" s="112" t="s">
        <v>1706</v>
      </c>
      <c r="E526" s="111" t="s">
        <v>75</v>
      </c>
      <c r="F526" s="112" t="s">
        <v>1602</v>
      </c>
      <c r="G526" s="111" t="s">
        <v>20</v>
      </c>
      <c r="H526" s="111" t="s">
        <v>933</v>
      </c>
      <c r="I526" s="111">
        <v>201512</v>
      </c>
      <c r="J526" s="113">
        <v>5017.2700000000004</v>
      </c>
      <c r="K526" s="72">
        <f t="shared" si="44"/>
        <v>42675</v>
      </c>
      <c r="L526" s="67">
        <f t="shared" si="42"/>
        <v>6</v>
      </c>
      <c r="M526" s="114">
        <v>1.4833299999999999E-3</v>
      </c>
      <c r="N526" s="104">
        <f t="shared" si="43"/>
        <v>44.653602654600007</v>
      </c>
      <c r="O526" s="66"/>
      <c r="P526" s="66">
        <f t="shared" si="40"/>
        <v>0</v>
      </c>
      <c r="Q526" s="66"/>
      <c r="R526" s="66">
        <f t="shared" si="41"/>
        <v>83.003415297916675</v>
      </c>
      <c r="S526" s="117"/>
    </row>
    <row r="527" spans="1:19">
      <c r="A527" s="110" t="s">
        <v>626</v>
      </c>
      <c r="B527" s="111" t="e">
        <v>#N/A</v>
      </c>
      <c r="C527" s="111" t="s">
        <v>1707</v>
      </c>
      <c r="D527" s="112" t="s">
        <v>1708</v>
      </c>
      <c r="E527" s="111" t="s">
        <v>75</v>
      </c>
      <c r="F527" s="112" t="s">
        <v>1602</v>
      </c>
      <c r="G527" s="111" t="s">
        <v>20</v>
      </c>
      <c r="H527" s="111" t="s">
        <v>933</v>
      </c>
      <c r="I527" s="111">
        <v>201512</v>
      </c>
      <c r="J527" s="113">
        <v>239.18</v>
      </c>
      <c r="K527" s="72">
        <f t="shared" si="44"/>
        <v>42675</v>
      </c>
      <c r="L527" s="67">
        <f t="shared" si="42"/>
        <v>6</v>
      </c>
      <c r="M527" s="114">
        <v>1.4833299999999999E-3</v>
      </c>
      <c r="N527" s="104">
        <f t="shared" si="43"/>
        <v>2.1286972164</v>
      </c>
      <c r="O527" s="66"/>
      <c r="P527" s="66">
        <f t="shared" si="40"/>
        <v>0</v>
      </c>
      <c r="Q527" s="66"/>
      <c r="R527" s="66">
        <f t="shared" si="41"/>
        <v>3.956884295833333</v>
      </c>
      <c r="S527" s="117"/>
    </row>
    <row r="528" spans="1:19">
      <c r="A528" s="116" t="s">
        <v>554</v>
      </c>
      <c r="B528" s="111" t="s">
        <v>116</v>
      </c>
      <c r="C528" s="111" t="s">
        <v>117</v>
      </c>
      <c r="D528" s="112" t="s">
        <v>118</v>
      </c>
      <c r="E528" s="111" t="s">
        <v>119</v>
      </c>
      <c r="F528" s="112" t="s">
        <v>1605</v>
      </c>
      <c r="G528" s="111" t="s">
        <v>20</v>
      </c>
      <c r="H528" s="111" t="s">
        <v>936</v>
      </c>
      <c r="I528" s="111">
        <v>201512</v>
      </c>
      <c r="J528" s="113">
        <v>151371.10999999999</v>
      </c>
      <c r="K528" s="72">
        <f t="shared" si="44"/>
        <v>42675</v>
      </c>
      <c r="L528" s="67">
        <f t="shared" si="42"/>
        <v>6</v>
      </c>
      <c r="M528" s="114">
        <v>1.4833299999999999E-3</v>
      </c>
      <c r="N528" s="104">
        <f t="shared" si="43"/>
        <v>1347.1998515777998</v>
      </c>
      <c r="O528" s="66"/>
      <c r="P528" s="66">
        <f t="shared" si="40"/>
        <v>0</v>
      </c>
      <c r="Q528" s="66"/>
      <c r="R528" s="66">
        <f t="shared" si="41"/>
        <v>2504.2142654145832</v>
      </c>
      <c r="S528" s="117"/>
    </row>
    <row r="529" spans="1:19">
      <c r="A529" s="116" t="s">
        <v>21</v>
      </c>
      <c r="B529" s="111" t="s">
        <v>1597</v>
      </c>
      <c r="C529" s="111" t="s">
        <v>1598</v>
      </c>
      <c r="D529" s="112" t="s">
        <v>1599</v>
      </c>
      <c r="E529" s="111" t="s">
        <v>164</v>
      </c>
      <c r="F529" s="112" t="s">
        <v>1600</v>
      </c>
      <c r="G529" s="111" t="s">
        <v>20</v>
      </c>
      <c r="H529" s="111" t="s">
        <v>1684</v>
      </c>
      <c r="I529" s="111">
        <v>201512</v>
      </c>
      <c r="J529" s="113">
        <v>-95118.85</v>
      </c>
      <c r="K529" s="72">
        <f t="shared" si="44"/>
        <v>42675</v>
      </c>
      <c r="L529" s="67">
        <f t="shared" si="42"/>
        <v>6</v>
      </c>
      <c r="M529" s="114">
        <v>1.4833299999999999E-3</v>
      </c>
      <c r="N529" s="104">
        <f t="shared" si="43"/>
        <v>-846.55586262300005</v>
      </c>
      <c r="O529" s="66"/>
      <c r="P529" s="66">
        <f t="shared" si="40"/>
        <v>0</v>
      </c>
      <c r="Q529" s="66"/>
      <c r="R529" s="66">
        <f t="shared" si="41"/>
        <v>-1573.6026582604168</v>
      </c>
      <c r="S529" s="117"/>
    </row>
    <row r="530" spans="1:19">
      <c r="A530" s="116" t="s">
        <v>626</v>
      </c>
      <c r="B530" s="111" t="s">
        <v>1597</v>
      </c>
      <c r="C530" s="111" t="s">
        <v>1598</v>
      </c>
      <c r="D530" s="112" t="s">
        <v>1599</v>
      </c>
      <c r="E530" s="111" t="s">
        <v>164</v>
      </c>
      <c r="F530" s="112" t="s">
        <v>1600</v>
      </c>
      <c r="G530" s="111" t="s">
        <v>20</v>
      </c>
      <c r="H530" s="111" t="s">
        <v>1684</v>
      </c>
      <c r="I530" s="111">
        <v>201512</v>
      </c>
      <c r="J530" s="113">
        <v>95099.06</v>
      </c>
      <c r="K530" s="72">
        <f t="shared" si="44"/>
        <v>42675</v>
      </c>
      <c r="L530" s="67">
        <f t="shared" si="42"/>
        <v>6</v>
      </c>
      <c r="M530" s="114">
        <v>1.4833299999999999E-3</v>
      </c>
      <c r="N530" s="104">
        <f t="shared" si="43"/>
        <v>846.37973201879993</v>
      </c>
      <c r="O530" s="66"/>
      <c r="P530" s="66">
        <f t="shared" si="40"/>
        <v>0</v>
      </c>
      <c r="Q530" s="66"/>
      <c r="R530" s="66">
        <f t="shared" si="41"/>
        <v>1573.2752615708332</v>
      </c>
      <c r="S530" s="117"/>
    </row>
    <row r="531" spans="1:19">
      <c r="A531" s="116" t="s">
        <v>626</v>
      </c>
      <c r="B531" s="111" t="s">
        <v>1250</v>
      </c>
      <c r="C531" s="111" t="s">
        <v>1251</v>
      </c>
      <c r="D531" s="112" t="s">
        <v>1252</v>
      </c>
      <c r="E531" s="111" t="s">
        <v>260</v>
      </c>
      <c r="F531" s="112" t="s">
        <v>1608</v>
      </c>
      <c r="G531" s="111" t="s">
        <v>20</v>
      </c>
      <c r="H531" s="111" t="s">
        <v>1684</v>
      </c>
      <c r="I531" s="111">
        <v>201512</v>
      </c>
      <c r="J531" s="113">
        <v>-478.89</v>
      </c>
      <c r="K531" s="72">
        <f t="shared" si="44"/>
        <v>42675</v>
      </c>
      <c r="L531" s="67">
        <f t="shared" si="42"/>
        <v>6</v>
      </c>
      <c r="M531" s="114">
        <v>1.4833299999999999E-3</v>
      </c>
      <c r="N531" s="104">
        <f t="shared" si="43"/>
        <v>-4.2621114222000003</v>
      </c>
      <c r="O531" s="66"/>
      <c r="P531" s="66">
        <f t="shared" si="40"/>
        <v>0</v>
      </c>
      <c r="Q531" s="66"/>
      <c r="R531" s="66">
        <f t="shared" si="41"/>
        <v>-7.9225366687500003</v>
      </c>
      <c r="S531" s="117"/>
    </row>
    <row r="532" spans="1:19">
      <c r="A532" s="116" t="s">
        <v>626</v>
      </c>
      <c r="B532" s="111" t="s">
        <v>1823</v>
      </c>
      <c r="C532" s="111" t="s">
        <v>1824</v>
      </c>
      <c r="D532" s="112" t="s">
        <v>1825</v>
      </c>
      <c r="E532" s="111" t="s">
        <v>260</v>
      </c>
      <c r="F532" s="112" t="s">
        <v>1608</v>
      </c>
      <c r="G532" s="111" t="s">
        <v>20</v>
      </c>
      <c r="H532" s="111" t="s">
        <v>1684</v>
      </c>
      <c r="I532" s="111">
        <v>201512</v>
      </c>
      <c r="J532" s="113">
        <v>456940.97</v>
      </c>
      <c r="K532" s="72">
        <f t="shared" si="44"/>
        <v>42675</v>
      </c>
      <c r="L532" s="67">
        <f t="shared" si="42"/>
        <v>6</v>
      </c>
      <c r="M532" s="114">
        <v>1.4833299999999999E-3</v>
      </c>
      <c r="N532" s="104">
        <f t="shared" si="43"/>
        <v>4066.7654941805999</v>
      </c>
      <c r="O532" s="66"/>
      <c r="P532" s="66">
        <f t="shared" si="40"/>
        <v>0</v>
      </c>
      <c r="Q532" s="66"/>
      <c r="R532" s="66">
        <f t="shared" si="41"/>
        <v>7559.4219764020836</v>
      </c>
      <c r="S532" s="117"/>
    </row>
    <row r="533" spans="1:19">
      <c r="A533" s="116" t="s">
        <v>127</v>
      </c>
      <c r="B533" s="111" t="s">
        <v>1130</v>
      </c>
      <c r="C533" s="111" t="s">
        <v>1131</v>
      </c>
      <c r="D533" s="112" t="s">
        <v>1132</v>
      </c>
      <c r="E533" s="111" t="s">
        <v>131</v>
      </c>
      <c r="F533" s="112" t="s">
        <v>1607</v>
      </c>
      <c r="G533" s="111" t="s">
        <v>20</v>
      </c>
      <c r="H533" s="111" t="s">
        <v>1684</v>
      </c>
      <c r="I533" s="111">
        <v>201512</v>
      </c>
      <c r="J533" s="113">
        <v>-11332.23</v>
      </c>
      <c r="K533" s="72">
        <f t="shared" si="44"/>
        <v>42675</v>
      </c>
      <c r="L533" s="67">
        <f t="shared" si="42"/>
        <v>6</v>
      </c>
      <c r="M533" s="114">
        <v>2.3833299999999999E-3</v>
      </c>
      <c r="N533" s="104">
        <f t="shared" si="43"/>
        <v>-162.05066235539999</v>
      </c>
      <c r="O533" s="66"/>
      <c r="P533" s="66">
        <f t="shared" si="40"/>
        <v>0</v>
      </c>
      <c r="Q533" s="66"/>
      <c r="R533" s="66">
        <f t="shared" si="41"/>
        <v>-187.47521918125</v>
      </c>
      <c r="S533" s="117"/>
    </row>
    <row r="534" spans="1:19">
      <c r="A534" s="110" t="s">
        <v>626</v>
      </c>
      <c r="B534" s="111" t="s">
        <v>1826</v>
      </c>
      <c r="C534" s="111" t="s">
        <v>1827</v>
      </c>
      <c r="D534" s="112" t="s">
        <v>1828</v>
      </c>
      <c r="E534" s="111" t="s">
        <v>25</v>
      </c>
      <c r="F534" s="112" t="s">
        <v>26</v>
      </c>
      <c r="G534" s="111" t="s">
        <v>20</v>
      </c>
      <c r="H534" s="111" t="s">
        <v>1684</v>
      </c>
      <c r="I534" s="111">
        <v>201512</v>
      </c>
      <c r="J534" s="113">
        <v>140885.69</v>
      </c>
      <c r="K534" s="72">
        <f t="shared" si="44"/>
        <v>42675</v>
      </c>
      <c r="L534" s="67">
        <f t="shared" si="42"/>
        <v>6</v>
      </c>
      <c r="M534" s="114">
        <v>1.4833299999999999E-3</v>
      </c>
      <c r="N534" s="104">
        <f t="shared" si="43"/>
        <v>1253.8798232862</v>
      </c>
      <c r="O534" s="66"/>
      <c r="P534" s="66">
        <f t="shared" si="40"/>
        <v>0</v>
      </c>
      <c r="Q534" s="66"/>
      <c r="R534" s="66">
        <f t="shared" si="41"/>
        <v>2330.7482827520835</v>
      </c>
      <c r="S534" s="117"/>
    </row>
    <row r="535" spans="1:19">
      <c r="A535" s="116" t="s">
        <v>626</v>
      </c>
      <c r="B535" s="111" t="s">
        <v>1615</v>
      </c>
      <c r="C535" s="111" t="s">
        <v>1616</v>
      </c>
      <c r="D535" s="112" t="s">
        <v>1617</v>
      </c>
      <c r="E535" s="111" t="s">
        <v>497</v>
      </c>
      <c r="F535" s="112" t="s">
        <v>26</v>
      </c>
      <c r="G535" s="111" t="s">
        <v>20</v>
      </c>
      <c r="H535" s="111" t="s">
        <v>1684</v>
      </c>
      <c r="I535" s="111">
        <v>201512</v>
      </c>
      <c r="J535" s="113">
        <v>897.23</v>
      </c>
      <c r="K535" s="72">
        <f t="shared" si="44"/>
        <v>42675</v>
      </c>
      <c r="L535" s="67">
        <f t="shared" si="42"/>
        <v>6</v>
      </c>
      <c r="M535" s="114">
        <v>1.4833299999999999E-3</v>
      </c>
      <c r="N535" s="104">
        <f t="shared" si="43"/>
        <v>7.9853290554000003</v>
      </c>
      <c r="O535" s="66"/>
      <c r="P535" s="66">
        <f t="shared" si="40"/>
        <v>0</v>
      </c>
      <c r="Q535" s="66"/>
      <c r="R535" s="66">
        <f t="shared" si="41"/>
        <v>14.843361889583333</v>
      </c>
      <c r="S535" s="117"/>
    </row>
    <row r="536" spans="1:19">
      <c r="A536" s="110" t="s">
        <v>21</v>
      </c>
      <c r="B536" s="111" t="s">
        <v>1502</v>
      </c>
      <c r="C536" s="111" t="s">
        <v>1503</v>
      </c>
      <c r="D536" s="112" t="s">
        <v>1504</v>
      </c>
      <c r="E536" s="111" t="s">
        <v>172</v>
      </c>
      <c r="F536" s="112" t="s">
        <v>1609</v>
      </c>
      <c r="G536" s="111" t="s">
        <v>20</v>
      </c>
      <c r="H536" s="111" t="s">
        <v>1684</v>
      </c>
      <c r="I536" s="111">
        <v>201512</v>
      </c>
      <c r="J536" s="113">
        <v>23.78</v>
      </c>
      <c r="K536" s="72">
        <f t="shared" si="44"/>
        <v>42675</v>
      </c>
      <c r="L536" s="67">
        <f t="shared" si="42"/>
        <v>6</v>
      </c>
      <c r="M536" s="114">
        <v>1.4833299999999999E-3</v>
      </c>
      <c r="N536" s="104">
        <f t="shared" si="43"/>
        <v>0.2116415244</v>
      </c>
      <c r="O536" s="66"/>
      <c r="P536" s="66">
        <f t="shared" si="40"/>
        <v>0</v>
      </c>
      <c r="Q536" s="66"/>
      <c r="R536" s="66">
        <f t="shared" si="41"/>
        <v>0.39340542083333335</v>
      </c>
      <c r="S536" s="117"/>
    </row>
    <row r="537" spans="1:19">
      <c r="A537" s="110" t="s">
        <v>626</v>
      </c>
      <c r="B537" s="111" t="s">
        <v>1545</v>
      </c>
      <c r="C537" s="111" t="s">
        <v>1546</v>
      </c>
      <c r="D537" s="112" t="s">
        <v>1547</v>
      </c>
      <c r="E537" s="111" t="s">
        <v>164</v>
      </c>
      <c r="F537" s="112" t="s">
        <v>1600</v>
      </c>
      <c r="G537" s="111" t="s">
        <v>20</v>
      </c>
      <c r="H537" s="111" t="s">
        <v>1684</v>
      </c>
      <c r="I537" s="111">
        <v>201512</v>
      </c>
      <c r="J537" s="113">
        <v>-325.13</v>
      </c>
      <c r="K537" s="72">
        <f t="shared" si="44"/>
        <v>42675</v>
      </c>
      <c r="L537" s="67">
        <f t="shared" si="42"/>
        <v>6</v>
      </c>
      <c r="M537" s="114">
        <v>1.4833299999999999E-3</v>
      </c>
      <c r="N537" s="104">
        <f t="shared" si="43"/>
        <v>-2.8936504973999999</v>
      </c>
      <c r="O537" s="66"/>
      <c r="P537" s="66">
        <f t="shared" si="40"/>
        <v>0</v>
      </c>
      <c r="Q537" s="66"/>
      <c r="R537" s="66">
        <f t="shared" si="41"/>
        <v>-5.378801702083333</v>
      </c>
      <c r="S537" s="117"/>
    </row>
    <row r="538" spans="1:19">
      <c r="A538" s="110" t="s">
        <v>21</v>
      </c>
      <c r="B538" s="111" t="s">
        <v>1420</v>
      </c>
      <c r="C538" s="111" t="s">
        <v>1421</v>
      </c>
      <c r="D538" s="112" t="s">
        <v>1422</v>
      </c>
      <c r="E538" s="111" t="s">
        <v>260</v>
      </c>
      <c r="F538" s="112" t="s">
        <v>1608</v>
      </c>
      <c r="G538" s="111" t="s">
        <v>20</v>
      </c>
      <c r="H538" s="111" t="s">
        <v>1684</v>
      </c>
      <c r="I538" s="111">
        <v>201512</v>
      </c>
      <c r="J538" s="113">
        <v>-23.4</v>
      </c>
      <c r="K538" s="72">
        <f t="shared" si="44"/>
        <v>42675</v>
      </c>
      <c r="L538" s="67">
        <f t="shared" si="42"/>
        <v>6</v>
      </c>
      <c r="M538" s="114">
        <v>1.4833299999999999E-3</v>
      </c>
      <c r="N538" s="104">
        <f t="shared" si="43"/>
        <v>-0.208259532</v>
      </c>
      <c r="O538" s="66"/>
      <c r="P538" s="66">
        <f t="shared" si="40"/>
        <v>0</v>
      </c>
      <c r="Q538" s="66"/>
      <c r="R538" s="66">
        <f t="shared" si="41"/>
        <v>-0.38711887499999997</v>
      </c>
      <c r="S538" s="117"/>
    </row>
    <row r="539" spans="1:19">
      <c r="A539" s="110" t="s">
        <v>626</v>
      </c>
      <c r="B539" s="111" t="s">
        <v>1420</v>
      </c>
      <c r="C539" s="111" t="s">
        <v>1421</v>
      </c>
      <c r="D539" s="112" t="s">
        <v>1422</v>
      </c>
      <c r="E539" s="111" t="s">
        <v>260</v>
      </c>
      <c r="F539" s="112" t="s">
        <v>1608</v>
      </c>
      <c r="G539" s="111" t="s">
        <v>20</v>
      </c>
      <c r="H539" s="111" t="s">
        <v>1684</v>
      </c>
      <c r="I539" s="111">
        <v>201512</v>
      </c>
      <c r="J539" s="113">
        <v>-91.18</v>
      </c>
      <c r="K539" s="72">
        <f t="shared" si="44"/>
        <v>42675</v>
      </c>
      <c r="L539" s="67">
        <f t="shared" si="42"/>
        <v>6</v>
      </c>
      <c r="M539" s="114">
        <v>1.4833299999999999E-3</v>
      </c>
      <c r="N539" s="104">
        <f t="shared" si="43"/>
        <v>-0.81150017640000005</v>
      </c>
      <c r="O539" s="66"/>
      <c r="P539" s="66">
        <f t="shared" si="40"/>
        <v>0</v>
      </c>
      <c r="Q539" s="66"/>
      <c r="R539" s="66">
        <f t="shared" si="41"/>
        <v>-1.5084401291666669</v>
      </c>
      <c r="S539" s="117"/>
    </row>
    <row r="540" spans="1:19">
      <c r="A540" s="110" t="s">
        <v>127</v>
      </c>
      <c r="B540" s="111" t="s">
        <v>1785</v>
      </c>
      <c r="C540" s="111" t="s">
        <v>1786</v>
      </c>
      <c r="D540" s="112" t="s">
        <v>1787</v>
      </c>
      <c r="E540" s="111" t="s">
        <v>1580</v>
      </c>
      <c r="F540" s="112" t="s">
        <v>217</v>
      </c>
      <c r="G540" s="111" t="s">
        <v>20</v>
      </c>
      <c r="H540" s="111" t="s">
        <v>1684</v>
      </c>
      <c r="I540" s="111">
        <v>201512</v>
      </c>
      <c r="J540" s="113">
        <v>-3790.13</v>
      </c>
      <c r="K540" s="72">
        <f t="shared" si="44"/>
        <v>42675</v>
      </c>
      <c r="L540" s="67">
        <f t="shared" si="42"/>
        <v>6</v>
      </c>
      <c r="M540" s="114">
        <v>2.3833299999999999E-3</v>
      </c>
      <c r="N540" s="104">
        <f t="shared" si="43"/>
        <v>-54.198783197400004</v>
      </c>
      <c r="O540" s="66"/>
      <c r="P540" s="66">
        <f t="shared" si="40"/>
        <v>0</v>
      </c>
      <c r="Q540" s="66"/>
      <c r="R540" s="66">
        <f t="shared" si="41"/>
        <v>-62.702173577083329</v>
      </c>
      <c r="S540" s="117"/>
    </row>
    <row r="541" spans="1:19">
      <c r="A541" s="110" t="s">
        <v>626</v>
      </c>
      <c r="B541" s="111" t="s">
        <v>1829</v>
      </c>
      <c r="C541" s="111" t="s">
        <v>1830</v>
      </c>
      <c r="D541" s="112" t="s">
        <v>1831</v>
      </c>
      <c r="E541" s="111" t="s">
        <v>497</v>
      </c>
      <c r="F541" s="112" t="s">
        <v>26</v>
      </c>
      <c r="G541" s="111" t="s">
        <v>20</v>
      </c>
      <c r="H541" s="111" t="s">
        <v>1684</v>
      </c>
      <c r="I541" s="111">
        <v>201512</v>
      </c>
      <c r="J541" s="113">
        <v>33960.5</v>
      </c>
      <c r="K541" s="72">
        <f t="shared" si="44"/>
        <v>42675</v>
      </c>
      <c r="L541" s="67">
        <f t="shared" si="42"/>
        <v>6</v>
      </c>
      <c r="M541" s="114">
        <v>1.4833299999999999E-3</v>
      </c>
      <c r="N541" s="104">
        <f t="shared" si="43"/>
        <v>302.24777079</v>
      </c>
      <c r="O541" s="66"/>
      <c r="P541" s="66">
        <f t="shared" si="40"/>
        <v>0</v>
      </c>
      <c r="Q541" s="66"/>
      <c r="R541" s="66">
        <f t="shared" si="41"/>
        <v>561.82694677083327</v>
      </c>
      <c r="S541" s="117"/>
    </row>
    <row r="542" spans="1:19">
      <c r="A542" s="110" t="s">
        <v>626</v>
      </c>
      <c r="B542" s="111" t="s">
        <v>1709</v>
      </c>
      <c r="C542" s="111" t="s">
        <v>1710</v>
      </c>
      <c r="D542" s="112" t="s">
        <v>1711</v>
      </c>
      <c r="E542" s="111" t="s">
        <v>497</v>
      </c>
      <c r="F542" s="112" t="s">
        <v>26</v>
      </c>
      <c r="G542" s="111" t="s">
        <v>20</v>
      </c>
      <c r="H542" s="111" t="s">
        <v>1684</v>
      </c>
      <c r="I542" s="111">
        <v>201512</v>
      </c>
      <c r="J542" s="113">
        <v>-13.04</v>
      </c>
      <c r="K542" s="72">
        <f t="shared" si="44"/>
        <v>42675</v>
      </c>
      <c r="L542" s="67">
        <f t="shared" si="42"/>
        <v>6</v>
      </c>
      <c r="M542" s="114">
        <v>1.4833299999999999E-3</v>
      </c>
      <c r="N542" s="104">
        <f t="shared" si="43"/>
        <v>-0.11605573919999999</v>
      </c>
      <c r="O542" s="66"/>
      <c r="P542" s="66">
        <f t="shared" si="40"/>
        <v>0</v>
      </c>
      <c r="Q542" s="66"/>
      <c r="R542" s="66">
        <f t="shared" si="41"/>
        <v>-0.21572778333333334</v>
      </c>
      <c r="S542" s="117"/>
    </row>
    <row r="543" spans="1:19">
      <c r="A543" s="110" t="s">
        <v>626</v>
      </c>
      <c r="B543" s="111" t="s">
        <v>1511</v>
      </c>
      <c r="C543" s="111" t="s">
        <v>1512</v>
      </c>
      <c r="D543" s="112" t="s">
        <v>1513</v>
      </c>
      <c r="E543" s="111" t="s">
        <v>260</v>
      </c>
      <c r="F543" s="112" t="s">
        <v>1608</v>
      </c>
      <c r="G543" s="111" t="s">
        <v>20</v>
      </c>
      <c r="H543" s="111" t="s">
        <v>1684</v>
      </c>
      <c r="I543" s="111">
        <v>201512</v>
      </c>
      <c r="J543" s="113">
        <v>-38.76</v>
      </c>
      <c r="K543" s="72">
        <f t="shared" si="44"/>
        <v>42675</v>
      </c>
      <c r="L543" s="67">
        <f t="shared" si="42"/>
        <v>6</v>
      </c>
      <c r="M543" s="114">
        <v>1.4833299999999999E-3</v>
      </c>
      <c r="N543" s="104">
        <f t="shared" si="43"/>
        <v>-0.34496322479999997</v>
      </c>
      <c r="O543" s="66"/>
      <c r="P543" s="66">
        <f t="shared" si="40"/>
        <v>0</v>
      </c>
      <c r="Q543" s="66"/>
      <c r="R543" s="66">
        <f t="shared" si="41"/>
        <v>-0.641227675</v>
      </c>
      <c r="S543" s="117"/>
    </row>
    <row r="544" spans="1:19">
      <c r="A544" s="110" t="s">
        <v>626</v>
      </c>
      <c r="B544" s="111" t="s">
        <v>1514</v>
      </c>
      <c r="C544" s="111" t="s">
        <v>1515</v>
      </c>
      <c r="D544" s="112" t="s">
        <v>1516</v>
      </c>
      <c r="E544" s="111" t="s">
        <v>809</v>
      </c>
      <c r="F544" s="112" t="s">
        <v>26</v>
      </c>
      <c r="G544" s="111" t="s">
        <v>20</v>
      </c>
      <c r="H544" s="111" t="s">
        <v>1684</v>
      </c>
      <c r="I544" s="111">
        <v>201512</v>
      </c>
      <c r="J544" s="113">
        <v>-33.75</v>
      </c>
      <c r="K544" s="72">
        <f t="shared" si="44"/>
        <v>42675</v>
      </c>
      <c r="L544" s="67">
        <f t="shared" si="42"/>
        <v>6</v>
      </c>
      <c r="M544" s="114">
        <v>1.4833299999999999E-3</v>
      </c>
      <c r="N544" s="104">
        <f t="shared" si="43"/>
        <v>-0.300374325</v>
      </c>
      <c r="O544" s="66"/>
      <c r="P544" s="66">
        <f t="shared" si="40"/>
        <v>0</v>
      </c>
      <c r="Q544" s="66"/>
      <c r="R544" s="66">
        <f t="shared" si="41"/>
        <v>-0.55834453125000005</v>
      </c>
      <c r="S544" s="117"/>
    </row>
    <row r="545" spans="1:19">
      <c r="A545" s="110" t="s">
        <v>626</v>
      </c>
      <c r="B545" s="111" t="s">
        <v>1832</v>
      </c>
      <c r="C545" s="111" t="s">
        <v>1833</v>
      </c>
      <c r="D545" s="112" t="s">
        <v>1834</v>
      </c>
      <c r="E545" s="111" t="s">
        <v>497</v>
      </c>
      <c r="F545" s="112" t="s">
        <v>26</v>
      </c>
      <c r="G545" s="111" t="s">
        <v>20</v>
      </c>
      <c r="H545" s="111" t="s">
        <v>1684</v>
      </c>
      <c r="I545" s="111">
        <v>201512</v>
      </c>
      <c r="J545" s="113">
        <v>8885.7099999999991</v>
      </c>
      <c r="K545" s="72">
        <f t="shared" si="44"/>
        <v>42675</v>
      </c>
      <c r="L545" s="67">
        <f t="shared" si="42"/>
        <v>6</v>
      </c>
      <c r="M545" s="114">
        <v>1.4833299999999999E-3</v>
      </c>
      <c r="N545" s="104">
        <f t="shared" si="43"/>
        <v>79.082641285799994</v>
      </c>
      <c r="O545" s="66"/>
      <c r="P545" s="66">
        <f t="shared" si="40"/>
        <v>0</v>
      </c>
      <c r="Q545" s="66"/>
      <c r="R545" s="66">
        <f t="shared" si="41"/>
        <v>147.00111362291665</v>
      </c>
      <c r="S545" s="117"/>
    </row>
    <row r="546" spans="1:19">
      <c r="A546" s="110" t="s">
        <v>626</v>
      </c>
      <c r="B546" s="111" t="s">
        <v>1712</v>
      </c>
      <c r="C546" s="111" t="s">
        <v>1713</v>
      </c>
      <c r="D546" s="112" t="s">
        <v>1714</v>
      </c>
      <c r="E546" s="111" t="s">
        <v>497</v>
      </c>
      <c r="F546" s="112" t="s">
        <v>26</v>
      </c>
      <c r="G546" s="111" t="s">
        <v>20</v>
      </c>
      <c r="H546" s="111" t="s">
        <v>1684</v>
      </c>
      <c r="I546" s="111">
        <v>201512</v>
      </c>
      <c r="J546" s="113">
        <v>123.79</v>
      </c>
      <c r="K546" s="72">
        <f t="shared" si="44"/>
        <v>42675</v>
      </c>
      <c r="L546" s="67">
        <f t="shared" si="42"/>
        <v>6</v>
      </c>
      <c r="M546" s="114">
        <v>1.4833299999999999E-3</v>
      </c>
      <c r="N546" s="104">
        <f t="shared" si="43"/>
        <v>1.1017285242000001</v>
      </c>
      <c r="O546" s="66"/>
      <c r="P546" s="66">
        <f t="shared" si="40"/>
        <v>0</v>
      </c>
      <c r="Q546" s="66"/>
      <c r="R546" s="66">
        <f t="shared" si="41"/>
        <v>2.0479250229166666</v>
      </c>
      <c r="S546" s="117"/>
    </row>
    <row r="547" spans="1:19">
      <c r="A547" s="110" t="s">
        <v>626</v>
      </c>
      <c r="B547" s="111" t="s">
        <v>1715</v>
      </c>
      <c r="C547" s="111" t="s">
        <v>1716</v>
      </c>
      <c r="D547" s="112" t="s">
        <v>1717</v>
      </c>
      <c r="E547" s="111" t="s">
        <v>497</v>
      </c>
      <c r="F547" s="112" t="s">
        <v>26</v>
      </c>
      <c r="G547" s="111" t="s">
        <v>20</v>
      </c>
      <c r="H547" s="111" t="s">
        <v>1684</v>
      </c>
      <c r="I547" s="111">
        <v>201512</v>
      </c>
      <c r="J547" s="113">
        <v>4.07</v>
      </c>
      <c r="K547" s="72">
        <f t="shared" si="44"/>
        <v>42675</v>
      </c>
      <c r="L547" s="67">
        <f t="shared" si="42"/>
        <v>6</v>
      </c>
      <c r="M547" s="114">
        <v>1.4833299999999999E-3</v>
      </c>
      <c r="N547" s="104">
        <f t="shared" si="43"/>
        <v>3.6222918600000001E-2</v>
      </c>
      <c r="O547" s="66"/>
      <c r="P547" s="66">
        <f t="shared" si="40"/>
        <v>0</v>
      </c>
      <c r="Q547" s="66"/>
      <c r="R547" s="66">
        <f t="shared" si="41"/>
        <v>6.7332214583333341E-2</v>
      </c>
      <c r="S547" s="117"/>
    </row>
    <row r="548" spans="1:19">
      <c r="A548" s="110" t="s">
        <v>626</v>
      </c>
      <c r="B548" s="111" t="s">
        <v>1835</v>
      </c>
      <c r="C548" s="111" t="s">
        <v>1836</v>
      </c>
      <c r="D548" s="112" t="s">
        <v>1837</v>
      </c>
      <c r="E548" s="111" t="s">
        <v>497</v>
      </c>
      <c r="F548" s="112" t="s">
        <v>26</v>
      </c>
      <c r="G548" s="111" t="s">
        <v>20</v>
      </c>
      <c r="H548" s="111" t="s">
        <v>1684</v>
      </c>
      <c r="I548" s="111">
        <v>201512</v>
      </c>
      <c r="J548" s="113">
        <v>91487.78</v>
      </c>
      <c r="K548" s="72">
        <f t="shared" si="44"/>
        <v>42675</v>
      </c>
      <c r="L548" s="67">
        <f t="shared" si="42"/>
        <v>6</v>
      </c>
      <c r="M548" s="114">
        <v>1.4833299999999999E-3</v>
      </c>
      <c r="N548" s="104">
        <f t="shared" si="43"/>
        <v>814.2394122444</v>
      </c>
      <c r="O548" s="66"/>
      <c r="P548" s="66">
        <f t="shared" si="40"/>
        <v>0</v>
      </c>
      <c r="Q548" s="66"/>
      <c r="R548" s="66">
        <f t="shared" si="41"/>
        <v>1513.5319004208334</v>
      </c>
      <c r="S548" s="117"/>
    </row>
    <row r="549" spans="1:19">
      <c r="A549" s="110" t="s">
        <v>626</v>
      </c>
      <c r="B549" s="111" t="s">
        <v>1718</v>
      </c>
      <c r="C549" s="111" t="s">
        <v>1719</v>
      </c>
      <c r="D549" s="112" t="s">
        <v>1720</v>
      </c>
      <c r="E549" s="111" t="s">
        <v>497</v>
      </c>
      <c r="F549" s="112" t="s">
        <v>26</v>
      </c>
      <c r="G549" s="111" t="s">
        <v>20</v>
      </c>
      <c r="H549" s="111" t="s">
        <v>1684</v>
      </c>
      <c r="I549" s="111">
        <v>201512</v>
      </c>
      <c r="J549" s="113">
        <v>3648.83</v>
      </c>
      <c r="K549" s="72">
        <f t="shared" si="44"/>
        <v>42675</v>
      </c>
      <c r="L549" s="67">
        <f t="shared" si="42"/>
        <v>6</v>
      </c>
      <c r="M549" s="114">
        <v>1.4833299999999999E-3</v>
      </c>
      <c r="N549" s="104">
        <f t="shared" si="43"/>
        <v>32.474514023399998</v>
      </c>
      <c r="O549" s="66"/>
      <c r="P549" s="66">
        <f t="shared" si="40"/>
        <v>0</v>
      </c>
      <c r="Q549" s="66"/>
      <c r="R549" s="66">
        <f t="shared" si="41"/>
        <v>60.364571139583333</v>
      </c>
      <c r="S549" s="117"/>
    </row>
    <row r="550" spans="1:19">
      <c r="A550" s="110" t="s">
        <v>626</v>
      </c>
      <c r="B550" s="111" t="s">
        <v>1620</v>
      </c>
      <c r="C550" s="111" t="s">
        <v>1621</v>
      </c>
      <c r="D550" s="112" t="s">
        <v>1622</v>
      </c>
      <c r="E550" s="111" t="s">
        <v>497</v>
      </c>
      <c r="F550" s="112" t="s">
        <v>26</v>
      </c>
      <c r="G550" s="111" t="s">
        <v>20</v>
      </c>
      <c r="H550" s="111" t="s">
        <v>1684</v>
      </c>
      <c r="I550" s="111">
        <v>201512</v>
      </c>
      <c r="J550" s="113">
        <v>2664.35</v>
      </c>
      <c r="K550" s="72">
        <f t="shared" si="44"/>
        <v>42675</v>
      </c>
      <c r="L550" s="67">
        <f t="shared" si="42"/>
        <v>6</v>
      </c>
      <c r="M550" s="114">
        <v>1.4833299999999999E-3</v>
      </c>
      <c r="N550" s="104">
        <f t="shared" si="43"/>
        <v>23.712661712999999</v>
      </c>
      <c r="O550" s="66"/>
      <c r="P550" s="66">
        <f t="shared" si="40"/>
        <v>0</v>
      </c>
      <c r="Q550" s="66"/>
      <c r="R550" s="66">
        <f t="shared" si="41"/>
        <v>44.077785239583335</v>
      </c>
      <c r="S550" s="117"/>
    </row>
    <row r="551" spans="1:19">
      <c r="A551" s="110" t="s">
        <v>626</v>
      </c>
      <c r="B551" s="111" t="s">
        <v>1721</v>
      </c>
      <c r="C551" s="111" t="s">
        <v>1722</v>
      </c>
      <c r="D551" s="112" t="s">
        <v>1723</v>
      </c>
      <c r="E551" s="111" t="s">
        <v>75</v>
      </c>
      <c r="F551" s="112" t="s">
        <v>1602</v>
      </c>
      <c r="G551" s="111" t="s">
        <v>20</v>
      </c>
      <c r="H551" s="111" t="s">
        <v>1684</v>
      </c>
      <c r="I551" s="111">
        <v>201512</v>
      </c>
      <c r="J551" s="113">
        <v>-60.54</v>
      </c>
      <c r="K551" s="72">
        <f t="shared" si="44"/>
        <v>42675</v>
      </c>
      <c r="L551" s="67">
        <f t="shared" si="42"/>
        <v>6</v>
      </c>
      <c r="M551" s="114">
        <v>1.4833299999999999E-3</v>
      </c>
      <c r="N551" s="104">
        <f t="shared" si="43"/>
        <v>-0.53880478919999997</v>
      </c>
      <c r="O551" s="66"/>
      <c r="P551" s="66">
        <f t="shared" si="40"/>
        <v>0</v>
      </c>
      <c r="Q551" s="66"/>
      <c r="R551" s="66">
        <f t="shared" si="41"/>
        <v>-1.0015460125</v>
      </c>
      <c r="S551" s="117"/>
    </row>
    <row r="552" spans="1:19">
      <c r="A552" s="116" t="s">
        <v>626</v>
      </c>
      <c r="B552" s="111" t="s">
        <v>1548</v>
      </c>
      <c r="C552" s="111" t="s">
        <v>1549</v>
      </c>
      <c r="D552" s="112" t="s">
        <v>1550</v>
      </c>
      <c r="E552" s="111" t="s">
        <v>164</v>
      </c>
      <c r="F552" s="112" t="s">
        <v>1600</v>
      </c>
      <c r="G552" s="111" t="s">
        <v>20</v>
      </c>
      <c r="H552" s="111" t="s">
        <v>1684</v>
      </c>
      <c r="I552" s="111">
        <v>201512</v>
      </c>
      <c r="J552" s="113">
        <v>552.29</v>
      </c>
      <c r="K552" s="72">
        <f t="shared" si="44"/>
        <v>42675</v>
      </c>
      <c r="L552" s="67">
        <f t="shared" si="42"/>
        <v>6</v>
      </c>
      <c r="M552" s="114">
        <v>1.4833299999999999E-3</v>
      </c>
      <c r="N552" s="104">
        <f t="shared" si="43"/>
        <v>4.9153699542</v>
      </c>
      <c r="O552" s="66"/>
      <c r="P552" s="66">
        <f t="shared" si="40"/>
        <v>0</v>
      </c>
      <c r="Q552" s="66"/>
      <c r="R552" s="66">
        <f t="shared" si="41"/>
        <v>9.1368326270833329</v>
      </c>
      <c r="S552" s="117"/>
    </row>
    <row r="553" spans="1:19">
      <c r="A553" s="110" t="s">
        <v>626</v>
      </c>
      <c r="B553" s="111" t="s">
        <v>1724</v>
      </c>
      <c r="C553" s="111" t="s">
        <v>1725</v>
      </c>
      <c r="D553" s="112" t="s">
        <v>1726</v>
      </c>
      <c r="E553" s="111" t="s">
        <v>75</v>
      </c>
      <c r="F553" s="112" t="s">
        <v>1602</v>
      </c>
      <c r="G553" s="111" t="s">
        <v>20</v>
      </c>
      <c r="H553" s="111" t="s">
        <v>1684</v>
      </c>
      <c r="I553" s="111">
        <v>201512</v>
      </c>
      <c r="J553" s="113">
        <v>399.97</v>
      </c>
      <c r="K553" s="72">
        <f t="shared" si="44"/>
        <v>42675</v>
      </c>
      <c r="L553" s="67">
        <f t="shared" si="42"/>
        <v>6</v>
      </c>
      <c r="M553" s="114">
        <v>1.4833299999999999E-3</v>
      </c>
      <c r="N553" s="104">
        <f t="shared" si="43"/>
        <v>3.5597250006000003</v>
      </c>
      <c r="O553" s="66"/>
      <c r="P553" s="66">
        <f t="shared" si="40"/>
        <v>0</v>
      </c>
      <c r="Q553" s="66"/>
      <c r="R553" s="66">
        <f t="shared" si="41"/>
        <v>6.6169203604166666</v>
      </c>
      <c r="S553" s="117"/>
    </row>
    <row r="554" spans="1:19">
      <c r="A554" s="110" t="s">
        <v>626</v>
      </c>
      <c r="B554" s="111" t="s">
        <v>1375</v>
      </c>
      <c r="C554" s="111" t="s">
        <v>1376</v>
      </c>
      <c r="D554" s="112" t="s">
        <v>1374</v>
      </c>
      <c r="E554" s="111" t="s">
        <v>497</v>
      </c>
      <c r="F554" s="112" t="s">
        <v>26</v>
      </c>
      <c r="G554" s="111" t="s">
        <v>20</v>
      </c>
      <c r="H554" s="111" t="s">
        <v>1684</v>
      </c>
      <c r="I554" s="111">
        <v>201512</v>
      </c>
      <c r="J554" s="113">
        <v>-464.38</v>
      </c>
      <c r="K554" s="72">
        <f t="shared" si="44"/>
        <v>42675</v>
      </c>
      <c r="L554" s="67">
        <f t="shared" si="42"/>
        <v>6</v>
      </c>
      <c r="M554" s="114">
        <v>1.4833299999999999E-3</v>
      </c>
      <c r="N554" s="104">
        <f t="shared" si="43"/>
        <v>-4.1329727124</v>
      </c>
      <c r="O554" s="66"/>
      <c r="P554" s="66">
        <f t="shared" si="40"/>
        <v>0</v>
      </c>
      <c r="Q554" s="66"/>
      <c r="R554" s="66">
        <f t="shared" si="41"/>
        <v>-7.6824898791666669</v>
      </c>
      <c r="S554" s="117"/>
    </row>
    <row r="555" spans="1:19">
      <c r="A555" s="110" t="s">
        <v>626</v>
      </c>
      <c r="B555" s="111" t="s">
        <v>1444</v>
      </c>
      <c r="C555" s="111" t="s">
        <v>1445</v>
      </c>
      <c r="D555" s="112" t="s">
        <v>1282</v>
      </c>
      <c r="E555" s="111" t="s">
        <v>164</v>
      </c>
      <c r="F555" s="112" t="s">
        <v>1600</v>
      </c>
      <c r="G555" s="111" t="s">
        <v>20</v>
      </c>
      <c r="H555" s="111" t="s">
        <v>1684</v>
      </c>
      <c r="I555" s="111">
        <v>201512</v>
      </c>
      <c r="J555" s="113">
        <v>-11772.75</v>
      </c>
      <c r="K555" s="72">
        <f t="shared" si="44"/>
        <v>42675</v>
      </c>
      <c r="L555" s="67">
        <f t="shared" si="42"/>
        <v>6</v>
      </c>
      <c r="M555" s="114">
        <v>1.4833299999999999E-3</v>
      </c>
      <c r="N555" s="104">
        <f t="shared" si="43"/>
        <v>-104.777239545</v>
      </c>
      <c r="O555" s="66"/>
      <c r="P555" s="66">
        <f t="shared" si="40"/>
        <v>0</v>
      </c>
      <c r="Q555" s="66"/>
      <c r="R555" s="66">
        <f t="shared" si="41"/>
        <v>-194.76298015624999</v>
      </c>
      <c r="S555" s="117"/>
    </row>
    <row r="556" spans="1:19">
      <c r="A556" s="110" t="s">
        <v>626</v>
      </c>
      <c r="B556" s="111" t="s">
        <v>1788</v>
      </c>
      <c r="C556" s="111" t="s">
        <v>1789</v>
      </c>
      <c r="D556" s="112" t="s">
        <v>1790</v>
      </c>
      <c r="E556" s="111" t="s">
        <v>25</v>
      </c>
      <c r="F556" s="112" t="s">
        <v>26</v>
      </c>
      <c r="G556" s="111" t="s">
        <v>20</v>
      </c>
      <c r="H556" s="111" t="s">
        <v>1684</v>
      </c>
      <c r="I556" s="111">
        <v>201512</v>
      </c>
      <c r="J556" s="113">
        <v>1596.07</v>
      </c>
      <c r="K556" s="72">
        <f t="shared" si="44"/>
        <v>42675</v>
      </c>
      <c r="L556" s="67">
        <f t="shared" si="42"/>
        <v>6</v>
      </c>
      <c r="M556" s="114">
        <v>1.4833299999999999E-3</v>
      </c>
      <c r="N556" s="104">
        <f t="shared" si="43"/>
        <v>14.204991078599999</v>
      </c>
      <c r="O556" s="66"/>
      <c r="P556" s="66">
        <f t="shared" si="40"/>
        <v>0</v>
      </c>
      <c r="Q556" s="66"/>
      <c r="R556" s="66">
        <f t="shared" si="41"/>
        <v>26.404650547916667</v>
      </c>
      <c r="S556" s="117"/>
    </row>
    <row r="557" spans="1:19">
      <c r="A557" s="116" t="s">
        <v>626</v>
      </c>
      <c r="B557" s="111" t="s">
        <v>1791</v>
      </c>
      <c r="C557" s="111" t="s">
        <v>1792</v>
      </c>
      <c r="D557" s="112" t="s">
        <v>1793</v>
      </c>
      <c r="E557" s="111" t="s">
        <v>75</v>
      </c>
      <c r="F557" s="112" t="s">
        <v>1602</v>
      </c>
      <c r="G557" s="111" t="s">
        <v>20</v>
      </c>
      <c r="H557" s="111" t="s">
        <v>1684</v>
      </c>
      <c r="I557" s="111">
        <v>201512</v>
      </c>
      <c r="J557" s="113">
        <v>42123.839999999997</v>
      </c>
      <c r="K557" s="72">
        <f t="shared" si="44"/>
        <v>42675</v>
      </c>
      <c r="L557" s="67">
        <f t="shared" si="42"/>
        <v>6</v>
      </c>
      <c r="M557" s="114">
        <v>1.4833299999999999E-3</v>
      </c>
      <c r="N557" s="104">
        <f t="shared" si="43"/>
        <v>374.90133352319998</v>
      </c>
      <c r="O557" s="66"/>
      <c r="P557" s="66">
        <f t="shared" si="40"/>
        <v>0</v>
      </c>
      <c r="Q557" s="66"/>
      <c r="R557" s="66">
        <f t="shared" si="41"/>
        <v>696.87750219999998</v>
      </c>
      <c r="S557" s="117"/>
    </row>
    <row r="558" spans="1:19">
      <c r="A558" s="116" t="s">
        <v>626</v>
      </c>
      <c r="B558" s="111" t="s">
        <v>1838</v>
      </c>
      <c r="C558" s="111" t="s">
        <v>1839</v>
      </c>
      <c r="D558" s="112" t="s">
        <v>1840</v>
      </c>
      <c r="E558" s="111" t="s">
        <v>260</v>
      </c>
      <c r="F558" s="112" t="s">
        <v>1608</v>
      </c>
      <c r="G558" s="111" t="s">
        <v>20</v>
      </c>
      <c r="H558" s="111" t="s">
        <v>1684</v>
      </c>
      <c r="I558" s="111">
        <v>201512</v>
      </c>
      <c r="J558" s="113">
        <v>111335.89</v>
      </c>
      <c r="K558" s="72">
        <f t="shared" si="44"/>
        <v>42675</v>
      </c>
      <c r="L558" s="67">
        <f t="shared" si="42"/>
        <v>6</v>
      </c>
      <c r="M558" s="114">
        <v>1.4833299999999999E-3</v>
      </c>
      <c r="N558" s="104">
        <f t="shared" si="43"/>
        <v>990.88719428219997</v>
      </c>
      <c r="O558" s="66"/>
      <c r="P558" s="66">
        <f t="shared" si="40"/>
        <v>0</v>
      </c>
      <c r="Q558" s="66"/>
      <c r="R558" s="66">
        <f t="shared" si="41"/>
        <v>1841.8899352104168</v>
      </c>
      <c r="S558" s="117"/>
    </row>
    <row r="559" spans="1:19">
      <c r="A559" s="116" t="s">
        <v>626</v>
      </c>
      <c r="B559" s="111" t="s">
        <v>1841</v>
      </c>
      <c r="C559" s="111" t="s">
        <v>1842</v>
      </c>
      <c r="D559" s="112" t="s">
        <v>1843</v>
      </c>
      <c r="E559" s="111" t="s">
        <v>160</v>
      </c>
      <c r="F559" s="112" t="s">
        <v>19</v>
      </c>
      <c r="G559" s="111" t="s">
        <v>20</v>
      </c>
      <c r="H559" s="111" t="s">
        <v>1684</v>
      </c>
      <c r="I559" s="111">
        <v>201512</v>
      </c>
      <c r="J559" s="113">
        <v>228.7</v>
      </c>
      <c r="K559" s="72">
        <f t="shared" si="44"/>
        <v>42675</v>
      </c>
      <c r="L559" s="67">
        <f t="shared" si="42"/>
        <v>6</v>
      </c>
      <c r="M559" s="114">
        <v>1.4833299999999999E-3</v>
      </c>
      <c r="N559" s="104">
        <f t="shared" si="43"/>
        <v>2.0354254259999998</v>
      </c>
      <c r="O559" s="66"/>
      <c r="P559" s="66">
        <f t="shared" si="40"/>
        <v>0</v>
      </c>
      <c r="Q559" s="66"/>
      <c r="R559" s="66">
        <f t="shared" si="41"/>
        <v>3.7835079791666666</v>
      </c>
      <c r="S559" s="117"/>
    </row>
    <row r="560" spans="1:19">
      <c r="A560" s="110" t="s">
        <v>626</v>
      </c>
      <c r="B560" s="111" t="s">
        <v>1794</v>
      </c>
      <c r="C560" s="111" t="s">
        <v>1795</v>
      </c>
      <c r="D560" s="112" t="s">
        <v>1796</v>
      </c>
      <c r="E560" s="111" t="s">
        <v>809</v>
      </c>
      <c r="F560" s="112" t="s">
        <v>26</v>
      </c>
      <c r="G560" s="111" t="s">
        <v>20</v>
      </c>
      <c r="H560" s="111" t="s">
        <v>1684</v>
      </c>
      <c r="I560" s="111">
        <v>201512</v>
      </c>
      <c r="J560" s="113">
        <v>1360.8</v>
      </c>
      <c r="K560" s="72">
        <f t="shared" si="44"/>
        <v>42675</v>
      </c>
      <c r="L560" s="67">
        <f t="shared" si="42"/>
        <v>6</v>
      </c>
      <c r="M560" s="114">
        <v>1.4833299999999999E-3</v>
      </c>
      <c r="N560" s="104">
        <f t="shared" si="43"/>
        <v>12.111092784</v>
      </c>
      <c r="O560" s="66"/>
      <c r="P560" s="66">
        <f t="shared" si="40"/>
        <v>0</v>
      </c>
      <c r="Q560" s="66"/>
      <c r="R560" s="66">
        <f t="shared" si="41"/>
        <v>22.512451500000001</v>
      </c>
      <c r="S560" s="117"/>
    </row>
    <row r="561" spans="1:19">
      <c r="A561" s="110" t="s">
        <v>626</v>
      </c>
      <c r="B561" s="111" t="s">
        <v>1844</v>
      </c>
      <c r="C561" s="111" t="s">
        <v>1845</v>
      </c>
      <c r="D561" s="112" t="s">
        <v>1846</v>
      </c>
      <c r="E561" s="111" t="s">
        <v>160</v>
      </c>
      <c r="F561" s="112" t="s">
        <v>19</v>
      </c>
      <c r="G561" s="111" t="s">
        <v>20</v>
      </c>
      <c r="H561" s="111" t="s">
        <v>1684</v>
      </c>
      <c r="I561" s="111">
        <v>201512</v>
      </c>
      <c r="J561" s="113">
        <v>47010.27</v>
      </c>
      <c r="K561" s="72">
        <f t="shared" si="44"/>
        <v>42675</v>
      </c>
      <c r="L561" s="67">
        <f t="shared" si="42"/>
        <v>6</v>
      </c>
      <c r="M561" s="114">
        <v>1.4833299999999999E-3</v>
      </c>
      <c r="N561" s="104">
        <f t="shared" si="43"/>
        <v>418.39046279459996</v>
      </c>
      <c r="O561" s="66"/>
      <c r="P561" s="66">
        <f t="shared" si="40"/>
        <v>0</v>
      </c>
      <c r="Q561" s="66"/>
      <c r="R561" s="66">
        <f t="shared" si="41"/>
        <v>777.71636050624988</v>
      </c>
      <c r="S561" s="117"/>
    </row>
    <row r="562" spans="1:19">
      <c r="A562" s="110" t="s">
        <v>21</v>
      </c>
      <c r="B562" s="111" t="s">
        <v>1727</v>
      </c>
      <c r="C562" s="111" t="s">
        <v>1728</v>
      </c>
      <c r="D562" s="112" t="s">
        <v>1729</v>
      </c>
      <c r="E562" s="111" t="s">
        <v>75</v>
      </c>
      <c r="F562" s="112" t="s">
        <v>1602</v>
      </c>
      <c r="G562" s="111" t="s">
        <v>20</v>
      </c>
      <c r="H562" s="111" t="s">
        <v>1684</v>
      </c>
      <c r="I562" s="111">
        <v>201512</v>
      </c>
      <c r="J562" s="113">
        <v>454.21</v>
      </c>
      <c r="K562" s="72">
        <f t="shared" si="44"/>
        <v>42675</v>
      </c>
      <c r="L562" s="67">
        <f t="shared" si="42"/>
        <v>6</v>
      </c>
      <c r="M562" s="114">
        <v>1.4833299999999999E-3</v>
      </c>
      <c r="N562" s="104">
        <f t="shared" si="43"/>
        <v>4.0424599157999994</v>
      </c>
      <c r="O562" s="66"/>
      <c r="P562" s="66">
        <f t="shared" si="40"/>
        <v>0</v>
      </c>
      <c r="Q562" s="66"/>
      <c r="R562" s="66">
        <f t="shared" si="41"/>
        <v>7.5142420604166658</v>
      </c>
      <c r="S562" s="117"/>
    </row>
    <row r="563" spans="1:19">
      <c r="A563" s="116" t="s">
        <v>990</v>
      </c>
      <c r="B563" s="111" t="s">
        <v>1730</v>
      </c>
      <c r="C563" s="111" t="s">
        <v>1731</v>
      </c>
      <c r="D563" s="112" t="s">
        <v>1732</v>
      </c>
      <c r="E563" s="111" t="s">
        <v>1688</v>
      </c>
      <c r="F563" s="112" t="s">
        <v>1689</v>
      </c>
      <c r="G563" s="111" t="s">
        <v>20</v>
      </c>
      <c r="H563" s="111" t="s">
        <v>1684</v>
      </c>
      <c r="I563" s="111">
        <v>201512</v>
      </c>
      <c r="J563" s="113">
        <v>3.92</v>
      </c>
      <c r="K563" s="72">
        <f t="shared" si="44"/>
        <v>42675</v>
      </c>
      <c r="L563" s="67">
        <f t="shared" si="42"/>
        <v>6</v>
      </c>
      <c r="M563" s="114">
        <v>2.0333333000000001E-3</v>
      </c>
      <c r="N563" s="104">
        <f t="shared" si="43"/>
        <v>4.7823999216000002E-2</v>
      </c>
      <c r="O563" s="66"/>
      <c r="P563" s="66">
        <f t="shared" ref="P563:P626" si="45">($P$305*J563*$U$11)</f>
        <v>0</v>
      </c>
      <c r="Q563" s="66"/>
      <c r="R563" s="66">
        <f t="shared" ref="R563:R626" si="46">($R$305*0.5*J563*$U$11)</f>
        <v>6.4850683333333339E-2</v>
      </c>
      <c r="S563" s="117"/>
    </row>
    <row r="564" spans="1:19">
      <c r="A564" s="116" t="s">
        <v>990</v>
      </c>
      <c r="B564" s="111" t="s">
        <v>1733</v>
      </c>
      <c r="C564" s="111" t="s">
        <v>1734</v>
      </c>
      <c r="D564" s="112" t="s">
        <v>1735</v>
      </c>
      <c r="E564" s="111" t="s">
        <v>1688</v>
      </c>
      <c r="F564" s="112" t="s">
        <v>1689</v>
      </c>
      <c r="G564" s="111" t="s">
        <v>20</v>
      </c>
      <c r="H564" s="111" t="s">
        <v>1684</v>
      </c>
      <c r="I564" s="111">
        <v>201512</v>
      </c>
      <c r="J564" s="113">
        <v>-24.24</v>
      </c>
      <c r="K564" s="72">
        <f t="shared" si="44"/>
        <v>42675</v>
      </c>
      <c r="L564" s="67">
        <f t="shared" si="42"/>
        <v>6</v>
      </c>
      <c r="M564" s="114">
        <v>2.0333333000000001E-3</v>
      </c>
      <c r="N564" s="104">
        <f t="shared" si="43"/>
        <v>-0.29572799515199999</v>
      </c>
      <c r="O564" s="66"/>
      <c r="P564" s="66">
        <f t="shared" si="45"/>
        <v>0</v>
      </c>
      <c r="Q564" s="66"/>
      <c r="R564" s="66">
        <f t="shared" si="46"/>
        <v>-0.40101545</v>
      </c>
      <c r="S564" s="117"/>
    </row>
    <row r="565" spans="1:19">
      <c r="A565" s="110" t="s">
        <v>626</v>
      </c>
      <c r="B565" s="111" t="s">
        <v>1496</v>
      </c>
      <c r="C565" s="111" t="s">
        <v>1497</v>
      </c>
      <c r="D565" s="112" t="s">
        <v>1498</v>
      </c>
      <c r="E565" s="111" t="s">
        <v>164</v>
      </c>
      <c r="F565" s="112" t="s">
        <v>1600</v>
      </c>
      <c r="G565" s="111" t="s">
        <v>20</v>
      </c>
      <c r="H565" s="111" t="s">
        <v>1684</v>
      </c>
      <c r="I565" s="111">
        <v>201512</v>
      </c>
      <c r="J565" s="113">
        <v>-1681.85</v>
      </c>
      <c r="K565" s="72">
        <f t="shared" si="44"/>
        <v>42675</v>
      </c>
      <c r="L565" s="67">
        <f t="shared" si="42"/>
        <v>6</v>
      </c>
      <c r="M565" s="114">
        <v>1.4833299999999999E-3</v>
      </c>
      <c r="N565" s="104">
        <f t="shared" si="43"/>
        <v>-14.968431362999999</v>
      </c>
      <c r="O565" s="66"/>
      <c r="P565" s="66">
        <f t="shared" si="45"/>
        <v>0</v>
      </c>
      <c r="Q565" s="66"/>
      <c r="R565" s="66">
        <f t="shared" si="46"/>
        <v>-27.82375555208333</v>
      </c>
      <c r="S565" s="117"/>
    </row>
    <row r="566" spans="1:19">
      <c r="A566" s="110" t="s">
        <v>626</v>
      </c>
      <c r="B566" s="111" t="s">
        <v>1736</v>
      </c>
      <c r="C566" s="111" t="s">
        <v>1737</v>
      </c>
      <c r="D566" s="112" t="s">
        <v>1738</v>
      </c>
      <c r="E566" s="111" t="s">
        <v>164</v>
      </c>
      <c r="F566" s="112" t="s">
        <v>1600</v>
      </c>
      <c r="G566" s="111" t="s">
        <v>20</v>
      </c>
      <c r="H566" s="111" t="s">
        <v>1684</v>
      </c>
      <c r="I566" s="111">
        <v>201512</v>
      </c>
      <c r="J566" s="113">
        <v>-614.53</v>
      </c>
      <c r="K566" s="72">
        <f t="shared" si="44"/>
        <v>42675</v>
      </c>
      <c r="L566" s="67">
        <f t="shared" si="42"/>
        <v>6</v>
      </c>
      <c r="M566" s="114">
        <v>1.4833299999999999E-3</v>
      </c>
      <c r="N566" s="104">
        <f t="shared" si="43"/>
        <v>-5.4693047093999994</v>
      </c>
      <c r="O566" s="66"/>
      <c r="P566" s="66">
        <f t="shared" si="45"/>
        <v>0</v>
      </c>
      <c r="Q566" s="66"/>
      <c r="R566" s="66">
        <f t="shared" si="46"/>
        <v>-10.166502660416667</v>
      </c>
      <c r="S566" s="117"/>
    </row>
    <row r="567" spans="1:19">
      <c r="A567" s="110" t="s">
        <v>626</v>
      </c>
      <c r="B567" s="111" t="s">
        <v>1847</v>
      </c>
      <c r="C567" s="111" t="s">
        <v>1848</v>
      </c>
      <c r="D567" s="112" t="s">
        <v>1849</v>
      </c>
      <c r="E567" s="111" t="s">
        <v>63</v>
      </c>
      <c r="F567" s="112" t="s">
        <v>19</v>
      </c>
      <c r="G567" s="111" t="s">
        <v>20</v>
      </c>
      <c r="H567" s="111" t="s">
        <v>1684</v>
      </c>
      <c r="I567" s="111">
        <v>201512</v>
      </c>
      <c r="J567" s="113">
        <v>405.07</v>
      </c>
      <c r="K567" s="72">
        <f t="shared" si="44"/>
        <v>42675</v>
      </c>
      <c r="L567" s="67">
        <f t="shared" si="42"/>
        <v>6</v>
      </c>
      <c r="M567" s="114">
        <v>1.4833299999999999E-3</v>
      </c>
      <c r="N567" s="104">
        <f t="shared" si="43"/>
        <v>3.6051148986000001</v>
      </c>
      <c r="O567" s="66"/>
      <c r="P567" s="66">
        <f t="shared" si="45"/>
        <v>0</v>
      </c>
      <c r="Q567" s="66"/>
      <c r="R567" s="66">
        <f t="shared" si="46"/>
        <v>6.7012924229166666</v>
      </c>
      <c r="S567" s="117"/>
    </row>
    <row r="568" spans="1:19">
      <c r="A568" s="110" t="s">
        <v>626</v>
      </c>
      <c r="B568" s="111" t="s">
        <v>1739</v>
      </c>
      <c r="C568" s="111" t="s">
        <v>1740</v>
      </c>
      <c r="D568" s="112" t="s">
        <v>1741</v>
      </c>
      <c r="E568" s="111" t="s">
        <v>164</v>
      </c>
      <c r="F568" s="112" t="s">
        <v>1600</v>
      </c>
      <c r="G568" s="111" t="s">
        <v>20</v>
      </c>
      <c r="H568" s="111" t="s">
        <v>1684</v>
      </c>
      <c r="I568" s="111">
        <v>201512</v>
      </c>
      <c r="J568" s="113">
        <v>9209.3700000000008</v>
      </c>
      <c r="K568" s="72">
        <f t="shared" si="44"/>
        <v>42675</v>
      </c>
      <c r="L568" s="67">
        <f t="shared" si="42"/>
        <v>6</v>
      </c>
      <c r="M568" s="114">
        <v>1.4833299999999999E-3</v>
      </c>
      <c r="N568" s="104">
        <f t="shared" si="43"/>
        <v>81.963208812600001</v>
      </c>
      <c r="O568" s="66"/>
      <c r="P568" s="66">
        <f t="shared" si="45"/>
        <v>0</v>
      </c>
      <c r="Q568" s="66"/>
      <c r="R568" s="66">
        <f t="shared" si="46"/>
        <v>152.35559631875</v>
      </c>
      <c r="S568" s="117"/>
    </row>
    <row r="569" spans="1:19">
      <c r="A569" s="110" t="s">
        <v>626</v>
      </c>
      <c r="B569" s="111" t="s">
        <v>1632</v>
      </c>
      <c r="C569" s="111" t="s">
        <v>1633</v>
      </c>
      <c r="D569" s="112" t="s">
        <v>1634</v>
      </c>
      <c r="E569" s="111" t="s">
        <v>471</v>
      </c>
      <c r="F569" s="112" t="s">
        <v>165</v>
      </c>
      <c r="G569" s="111" t="s">
        <v>20</v>
      </c>
      <c r="H569" s="111" t="s">
        <v>1684</v>
      </c>
      <c r="I569" s="111">
        <v>201512</v>
      </c>
      <c r="J569" s="113">
        <v>-56.25</v>
      </c>
      <c r="K569" s="72">
        <f t="shared" si="44"/>
        <v>42675</v>
      </c>
      <c r="L569" s="67">
        <f t="shared" si="42"/>
        <v>6</v>
      </c>
      <c r="M569" s="114">
        <v>1.4833299999999999E-3</v>
      </c>
      <c r="N569" s="104">
        <f t="shared" si="43"/>
        <v>-0.50062387500000005</v>
      </c>
      <c r="O569" s="66"/>
      <c r="P569" s="66">
        <f t="shared" si="45"/>
        <v>0</v>
      </c>
      <c r="Q569" s="66"/>
      <c r="R569" s="66">
        <f t="shared" si="46"/>
        <v>-0.93057421875000002</v>
      </c>
      <c r="S569" s="117"/>
    </row>
    <row r="570" spans="1:19">
      <c r="A570" s="110" t="s">
        <v>21</v>
      </c>
      <c r="B570" s="111" t="s">
        <v>1635</v>
      </c>
      <c r="C570" s="111" t="s">
        <v>1636</v>
      </c>
      <c r="D570" s="112" t="s">
        <v>1637</v>
      </c>
      <c r="E570" s="111" t="s">
        <v>360</v>
      </c>
      <c r="F570" s="112" t="s">
        <v>19</v>
      </c>
      <c r="G570" s="111" t="s">
        <v>20</v>
      </c>
      <c r="H570" s="111" t="s">
        <v>1684</v>
      </c>
      <c r="I570" s="111">
        <v>201512</v>
      </c>
      <c r="J570" s="113">
        <v>-22.36</v>
      </c>
      <c r="K570" s="72">
        <f t="shared" si="44"/>
        <v>42675</v>
      </c>
      <c r="L570" s="67">
        <f t="shared" si="42"/>
        <v>6</v>
      </c>
      <c r="M570" s="114">
        <v>1.4833299999999999E-3</v>
      </c>
      <c r="N570" s="104">
        <f t="shared" si="43"/>
        <v>-0.19900355279999998</v>
      </c>
      <c r="O570" s="66"/>
      <c r="P570" s="66">
        <f t="shared" si="45"/>
        <v>0</v>
      </c>
      <c r="Q570" s="66"/>
      <c r="R570" s="66">
        <f t="shared" si="46"/>
        <v>-0.36991359166666665</v>
      </c>
      <c r="S570" s="117"/>
    </row>
    <row r="571" spans="1:19">
      <c r="A571" s="110" t="s">
        <v>626</v>
      </c>
      <c r="B571" s="111" t="s">
        <v>1797</v>
      </c>
      <c r="C571" s="111" t="s">
        <v>1798</v>
      </c>
      <c r="D571" s="112" t="s">
        <v>1799</v>
      </c>
      <c r="E571" s="111" t="s">
        <v>164</v>
      </c>
      <c r="F571" s="112" t="s">
        <v>1600</v>
      </c>
      <c r="G571" s="111" t="s">
        <v>20</v>
      </c>
      <c r="H571" s="111" t="s">
        <v>1684</v>
      </c>
      <c r="I571" s="111">
        <v>201512</v>
      </c>
      <c r="J571" s="113">
        <v>-110737.8</v>
      </c>
      <c r="K571" s="72">
        <f t="shared" si="44"/>
        <v>42675</v>
      </c>
      <c r="L571" s="67">
        <f t="shared" si="42"/>
        <v>6</v>
      </c>
      <c r="M571" s="114">
        <v>1.4833299999999999E-3</v>
      </c>
      <c r="N571" s="104">
        <f t="shared" si="43"/>
        <v>-985.56420524400005</v>
      </c>
      <c r="O571" s="66"/>
      <c r="P571" s="66">
        <f t="shared" si="45"/>
        <v>0</v>
      </c>
      <c r="Q571" s="66"/>
      <c r="R571" s="66">
        <f t="shared" si="46"/>
        <v>-1831.9954083750001</v>
      </c>
      <c r="S571" s="117"/>
    </row>
    <row r="572" spans="1:19">
      <c r="A572" s="110" t="s">
        <v>626</v>
      </c>
      <c r="B572" s="111" t="s">
        <v>1693</v>
      </c>
      <c r="C572" s="111" t="s">
        <v>1694</v>
      </c>
      <c r="D572" s="112" t="s">
        <v>1695</v>
      </c>
      <c r="E572" s="111" t="s">
        <v>809</v>
      </c>
      <c r="F572" s="112" t="s">
        <v>26</v>
      </c>
      <c r="G572" s="111" t="s">
        <v>20</v>
      </c>
      <c r="H572" s="111" t="s">
        <v>1684</v>
      </c>
      <c r="I572" s="111">
        <v>201512</v>
      </c>
      <c r="J572" s="113">
        <v>21.05</v>
      </c>
      <c r="K572" s="72">
        <f t="shared" si="44"/>
        <v>42675</v>
      </c>
      <c r="L572" s="67">
        <f t="shared" si="42"/>
        <v>6</v>
      </c>
      <c r="M572" s="114">
        <v>1.4833299999999999E-3</v>
      </c>
      <c r="N572" s="104">
        <f t="shared" si="43"/>
        <v>0.18734457900000001</v>
      </c>
      <c r="O572" s="66"/>
      <c r="P572" s="66">
        <f t="shared" si="45"/>
        <v>0</v>
      </c>
      <c r="Q572" s="66"/>
      <c r="R572" s="66">
        <f t="shared" si="46"/>
        <v>0.34824155208333335</v>
      </c>
      <c r="S572" s="117"/>
    </row>
    <row r="573" spans="1:19">
      <c r="A573" s="110" t="s">
        <v>626</v>
      </c>
      <c r="B573" s="111" t="s">
        <v>1638</v>
      </c>
      <c r="C573" s="111" t="s">
        <v>1639</v>
      </c>
      <c r="D573" s="112" t="s">
        <v>1640</v>
      </c>
      <c r="E573" s="111" t="s">
        <v>164</v>
      </c>
      <c r="F573" s="112" t="s">
        <v>1600</v>
      </c>
      <c r="G573" s="111" t="s">
        <v>20</v>
      </c>
      <c r="H573" s="111" t="s">
        <v>1684</v>
      </c>
      <c r="I573" s="111">
        <v>201512</v>
      </c>
      <c r="J573" s="113">
        <v>-32.9</v>
      </c>
      <c r="K573" s="72">
        <f t="shared" si="44"/>
        <v>42675</v>
      </c>
      <c r="L573" s="67">
        <f t="shared" si="42"/>
        <v>6</v>
      </c>
      <c r="M573" s="114">
        <v>1.4833299999999999E-3</v>
      </c>
      <c r="N573" s="104">
        <f t="shared" si="43"/>
        <v>-0.29280934199999997</v>
      </c>
      <c r="O573" s="66"/>
      <c r="P573" s="66">
        <f t="shared" si="45"/>
        <v>0</v>
      </c>
      <c r="Q573" s="66"/>
      <c r="R573" s="66">
        <f t="shared" si="46"/>
        <v>-0.54428252083333328</v>
      </c>
      <c r="S573" s="117"/>
    </row>
    <row r="574" spans="1:19">
      <c r="A574" s="110" t="s">
        <v>626</v>
      </c>
      <c r="B574" s="111" t="s">
        <v>1742</v>
      </c>
      <c r="C574" s="111" t="s">
        <v>1743</v>
      </c>
      <c r="D574" s="112" t="s">
        <v>1744</v>
      </c>
      <c r="E574" s="111" t="s">
        <v>497</v>
      </c>
      <c r="F574" s="112" t="s">
        <v>26</v>
      </c>
      <c r="G574" s="111" t="s">
        <v>20</v>
      </c>
      <c r="H574" s="111" t="s">
        <v>1684</v>
      </c>
      <c r="I574" s="111">
        <v>201512</v>
      </c>
      <c r="J574" s="113">
        <v>-39.049999999999997</v>
      </c>
      <c r="K574" s="72">
        <f t="shared" si="44"/>
        <v>42675</v>
      </c>
      <c r="L574" s="67">
        <f t="shared" si="42"/>
        <v>6</v>
      </c>
      <c r="M574" s="114">
        <v>1.4833299999999999E-3</v>
      </c>
      <c r="N574" s="104">
        <f t="shared" si="43"/>
        <v>-0.34754421899999999</v>
      </c>
      <c r="O574" s="66"/>
      <c r="P574" s="66">
        <f t="shared" si="45"/>
        <v>0</v>
      </c>
      <c r="Q574" s="66"/>
      <c r="R574" s="66">
        <f t="shared" si="46"/>
        <v>-0.64602530208333331</v>
      </c>
      <c r="S574" s="117"/>
    </row>
    <row r="575" spans="1:19">
      <c r="A575" s="110" t="s">
        <v>626</v>
      </c>
      <c r="B575" s="111" t="s">
        <v>1745</v>
      </c>
      <c r="C575" s="111" t="s">
        <v>1746</v>
      </c>
      <c r="D575" s="112" t="s">
        <v>1747</v>
      </c>
      <c r="E575" s="111" t="s">
        <v>497</v>
      </c>
      <c r="F575" s="112" t="s">
        <v>26</v>
      </c>
      <c r="G575" s="111" t="s">
        <v>20</v>
      </c>
      <c r="H575" s="111" t="s">
        <v>1684</v>
      </c>
      <c r="I575" s="111">
        <v>201512</v>
      </c>
      <c r="J575" s="113">
        <v>1214.31</v>
      </c>
      <c r="K575" s="72">
        <f t="shared" si="44"/>
        <v>42675</v>
      </c>
      <c r="L575" s="67">
        <f t="shared" si="42"/>
        <v>6</v>
      </c>
      <c r="M575" s="114">
        <v>1.4833299999999999E-3</v>
      </c>
      <c r="N575" s="104">
        <f t="shared" si="43"/>
        <v>10.8073347138</v>
      </c>
      <c r="O575" s="66"/>
      <c r="P575" s="66">
        <f t="shared" si="45"/>
        <v>0</v>
      </c>
      <c r="Q575" s="66"/>
      <c r="R575" s="66">
        <f t="shared" si="46"/>
        <v>20.088988081249997</v>
      </c>
      <c r="S575" s="117"/>
    </row>
    <row r="576" spans="1:19">
      <c r="A576" s="110" t="s">
        <v>626</v>
      </c>
      <c r="B576" s="111" t="s">
        <v>1800</v>
      </c>
      <c r="C576" s="111" t="s">
        <v>1801</v>
      </c>
      <c r="D576" s="112" t="s">
        <v>1802</v>
      </c>
      <c r="E576" s="111" t="s">
        <v>75</v>
      </c>
      <c r="F576" s="112" t="s">
        <v>1602</v>
      </c>
      <c r="G576" s="111" t="s">
        <v>20</v>
      </c>
      <c r="H576" s="111" t="s">
        <v>1684</v>
      </c>
      <c r="I576" s="111">
        <v>201512</v>
      </c>
      <c r="J576" s="113">
        <v>15728.26</v>
      </c>
      <c r="K576" s="72">
        <f t="shared" si="44"/>
        <v>42675</v>
      </c>
      <c r="L576" s="67">
        <f t="shared" si="42"/>
        <v>6</v>
      </c>
      <c r="M576" s="114">
        <v>1.4833299999999999E-3</v>
      </c>
      <c r="N576" s="104">
        <f t="shared" si="43"/>
        <v>139.9811994348</v>
      </c>
      <c r="O576" s="66"/>
      <c r="P576" s="66">
        <f t="shared" si="45"/>
        <v>0</v>
      </c>
      <c r="Q576" s="66"/>
      <c r="R576" s="66">
        <f t="shared" si="46"/>
        <v>260.20112465416668</v>
      </c>
      <c r="S576" s="117"/>
    </row>
    <row r="577" spans="1:19">
      <c r="A577" s="110" t="s">
        <v>626</v>
      </c>
      <c r="B577" s="111" t="s">
        <v>1803</v>
      </c>
      <c r="C577" s="111" t="s">
        <v>1804</v>
      </c>
      <c r="D577" s="112" t="s">
        <v>1805</v>
      </c>
      <c r="E577" s="111" t="s">
        <v>164</v>
      </c>
      <c r="F577" s="112" t="s">
        <v>1600</v>
      </c>
      <c r="G577" s="111" t="s">
        <v>20</v>
      </c>
      <c r="H577" s="111" t="s">
        <v>1684</v>
      </c>
      <c r="I577" s="111">
        <v>201512</v>
      </c>
      <c r="J577" s="113">
        <v>195269.68</v>
      </c>
      <c r="K577" s="72">
        <f t="shared" si="44"/>
        <v>42675</v>
      </c>
      <c r="L577" s="67">
        <f t="shared" si="42"/>
        <v>6</v>
      </c>
      <c r="M577" s="114">
        <v>1.4833299999999999E-3</v>
      </c>
      <c r="N577" s="104">
        <f t="shared" si="43"/>
        <v>1737.8962466063999</v>
      </c>
      <c r="O577" s="66"/>
      <c r="P577" s="66">
        <f t="shared" si="45"/>
        <v>0</v>
      </c>
      <c r="Q577" s="66"/>
      <c r="R577" s="66">
        <f t="shared" si="46"/>
        <v>3230.4520873166666</v>
      </c>
      <c r="S577" s="117"/>
    </row>
    <row r="578" spans="1:19">
      <c r="A578" s="110" t="s">
        <v>626</v>
      </c>
      <c r="B578" s="111" t="s">
        <v>1748</v>
      </c>
      <c r="C578" s="111" t="s">
        <v>1749</v>
      </c>
      <c r="D578" s="112" t="s">
        <v>1750</v>
      </c>
      <c r="E578" s="111" t="s">
        <v>75</v>
      </c>
      <c r="F578" s="112" t="s">
        <v>1602</v>
      </c>
      <c r="G578" s="111" t="s">
        <v>20</v>
      </c>
      <c r="H578" s="111" t="s">
        <v>1684</v>
      </c>
      <c r="I578" s="111">
        <v>201512</v>
      </c>
      <c r="J578" s="113">
        <v>901.12</v>
      </c>
      <c r="K578" s="72">
        <f t="shared" si="44"/>
        <v>42675</v>
      </c>
      <c r="L578" s="67">
        <f t="shared" si="42"/>
        <v>6</v>
      </c>
      <c r="M578" s="114">
        <v>1.4833299999999999E-3</v>
      </c>
      <c r="N578" s="104">
        <f t="shared" si="43"/>
        <v>8.0199499775999996</v>
      </c>
      <c r="O578" s="66"/>
      <c r="P578" s="66">
        <f t="shared" si="45"/>
        <v>0</v>
      </c>
      <c r="Q578" s="66"/>
      <c r="R578" s="66">
        <f t="shared" si="46"/>
        <v>14.907716266666668</v>
      </c>
      <c r="S578" s="117"/>
    </row>
    <row r="579" spans="1:19">
      <c r="A579" s="110" t="s">
        <v>626</v>
      </c>
      <c r="B579" s="111" t="s">
        <v>1806</v>
      </c>
      <c r="C579" s="111" t="s">
        <v>1807</v>
      </c>
      <c r="D579" s="112" t="s">
        <v>1808</v>
      </c>
      <c r="E579" s="111" t="s">
        <v>75</v>
      </c>
      <c r="F579" s="112" t="s">
        <v>1602</v>
      </c>
      <c r="G579" s="111" t="s">
        <v>20</v>
      </c>
      <c r="H579" s="111" t="s">
        <v>1684</v>
      </c>
      <c r="I579" s="111">
        <v>201512</v>
      </c>
      <c r="J579" s="113">
        <v>-4475.49</v>
      </c>
      <c r="K579" s="72">
        <f t="shared" si="44"/>
        <v>42675</v>
      </c>
      <c r="L579" s="67">
        <f t="shared" si="42"/>
        <v>6</v>
      </c>
      <c r="M579" s="114">
        <v>1.4833299999999999E-3</v>
      </c>
      <c r="N579" s="104">
        <f t="shared" si="43"/>
        <v>-39.831771490199998</v>
      </c>
      <c r="O579" s="66"/>
      <c r="P579" s="66">
        <f t="shared" si="45"/>
        <v>0</v>
      </c>
      <c r="Q579" s="66"/>
      <c r="R579" s="66">
        <f t="shared" si="46"/>
        <v>-74.04045529375</v>
      </c>
      <c r="S579" s="117"/>
    </row>
    <row r="580" spans="1:19">
      <c r="A580" s="110" t="s">
        <v>626</v>
      </c>
      <c r="B580" s="111" t="s">
        <v>1652</v>
      </c>
      <c r="C580" s="111" t="s">
        <v>1653</v>
      </c>
      <c r="D580" s="112" t="s">
        <v>1654</v>
      </c>
      <c r="E580" s="111" t="s">
        <v>75</v>
      </c>
      <c r="F580" s="112" t="s">
        <v>1602</v>
      </c>
      <c r="G580" s="111" t="s">
        <v>20</v>
      </c>
      <c r="H580" s="111" t="s">
        <v>1684</v>
      </c>
      <c r="I580" s="111">
        <v>201512</v>
      </c>
      <c r="J580" s="113">
        <v>98.24</v>
      </c>
      <c r="K580" s="72">
        <f t="shared" si="44"/>
        <v>42675</v>
      </c>
      <c r="L580" s="67">
        <f t="shared" si="42"/>
        <v>6</v>
      </c>
      <c r="M580" s="114">
        <v>1.4833299999999999E-3</v>
      </c>
      <c r="N580" s="104">
        <f t="shared" si="43"/>
        <v>0.87433403519999997</v>
      </c>
      <c r="O580" s="66"/>
      <c r="P580" s="66">
        <f t="shared" si="45"/>
        <v>0</v>
      </c>
      <c r="Q580" s="66"/>
      <c r="R580" s="66">
        <f t="shared" si="46"/>
        <v>1.6252375333333333</v>
      </c>
      <c r="S580" s="117"/>
    </row>
    <row r="581" spans="1:19">
      <c r="A581" s="116" t="s">
        <v>626</v>
      </c>
      <c r="B581" s="111" t="s">
        <v>1655</v>
      </c>
      <c r="C581" s="111" t="s">
        <v>1656</v>
      </c>
      <c r="D581" s="112" t="s">
        <v>1657</v>
      </c>
      <c r="E581" s="111" t="s">
        <v>75</v>
      </c>
      <c r="F581" s="112" t="s">
        <v>1602</v>
      </c>
      <c r="G581" s="111" t="s">
        <v>20</v>
      </c>
      <c r="H581" s="111" t="s">
        <v>1684</v>
      </c>
      <c r="I581" s="111">
        <v>201512</v>
      </c>
      <c r="J581" s="113">
        <v>65.87</v>
      </c>
      <c r="K581" s="72">
        <f t="shared" si="44"/>
        <v>42675</v>
      </c>
      <c r="L581" s="67">
        <f t="shared" si="42"/>
        <v>6</v>
      </c>
      <c r="M581" s="114">
        <v>1.4833299999999999E-3</v>
      </c>
      <c r="N581" s="104">
        <f t="shared" si="43"/>
        <v>0.58624168260000009</v>
      </c>
      <c r="O581" s="66"/>
      <c r="P581" s="66">
        <f t="shared" si="45"/>
        <v>0</v>
      </c>
      <c r="Q581" s="66"/>
      <c r="R581" s="66">
        <f t="shared" si="46"/>
        <v>1.0897230895833334</v>
      </c>
      <c r="S581" s="117"/>
    </row>
    <row r="582" spans="1:19">
      <c r="A582" s="116" t="s">
        <v>990</v>
      </c>
      <c r="B582" s="111" t="s">
        <v>1751</v>
      </c>
      <c r="C582" s="111" t="s">
        <v>1752</v>
      </c>
      <c r="D582" s="112" t="s">
        <v>1753</v>
      </c>
      <c r="E582" s="111" t="s">
        <v>1688</v>
      </c>
      <c r="F582" s="112" t="s">
        <v>1689</v>
      </c>
      <c r="G582" s="111" t="s">
        <v>20</v>
      </c>
      <c r="H582" s="111" t="s">
        <v>1684</v>
      </c>
      <c r="I582" s="111">
        <v>201512</v>
      </c>
      <c r="J582" s="113">
        <v>-24.24</v>
      </c>
      <c r="K582" s="72">
        <f t="shared" si="44"/>
        <v>42675</v>
      </c>
      <c r="L582" s="67">
        <f t="shared" ref="L582:L604" si="47">((YEAR($L$1)-YEAR(K582))*12+MONTH($L$1)-MONTH(K582))</f>
        <v>6</v>
      </c>
      <c r="M582" s="114">
        <v>2.0333333000000001E-3</v>
      </c>
      <c r="N582" s="104">
        <f t="shared" ref="N582:N604" si="48">M582*L582*J582</f>
        <v>-0.29572799515199999</v>
      </c>
      <c r="O582" s="66"/>
      <c r="P582" s="66">
        <f t="shared" si="45"/>
        <v>0</v>
      </c>
      <c r="Q582" s="66"/>
      <c r="R582" s="66">
        <f t="shared" si="46"/>
        <v>-0.40101545</v>
      </c>
      <c r="S582" s="117"/>
    </row>
    <row r="583" spans="1:19">
      <c r="A583" s="116" t="s">
        <v>990</v>
      </c>
      <c r="B583" s="111" t="s">
        <v>1754</v>
      </c>
      <c r="C583" s="111" t="s">
        <v>1755</v>
      </c>
      <c r="D583" s="112" t="s">
        <v>1756</v>
      </c>
      <c r="E583" s="111" t="s">
        <v>1688</v>
      </c>
      <c r="F583" s="112" t="s">
        <v>1689</v>
      </c>
      <c r="G583" s="111" t="s">
        <v>20</v>
      </c>
      <c r="H583" s="111" t="s">
        <v>1684</v>
      </c>
      <c r="I583" s="111">
        <v>201512</v>
      </c>
      <c r="J583" s="113">
        <v>-36.96</v>
      </c>
      <c r="K583" s="72">
        <f t="shared" ref="K583:K646" si="49">+K582</f>
        <v>42675</v>
      </c>
      <c r="L583" s="67">
        <f t="shared" si="47"/>
        <v>6</v>
      </c>
      <c r="M583" s="114">
        <v>2.0333333000000001E-3</v>
      </c>
      <c r="N583" s="104">
        <f t="shared" si="48"/>
        <v>-0.45091199260800002</v>
      </c>
      <c r="O583" s="66"/>
      <c r="P583" s="66">
        <f t="shared" si="45"/>
        <v>0</v>
      </c>
      <c r="Q583" s="66"/>
      <c r="R583" s="66">
        <f t="shared" si="46"/>
        <v>-0.61144930000000008</v>
      </c>
      <c r="S583" s="117"/>
    </row>
    <row r="584" spans="1:19">
      <c r="A584" s="110" t="s">
        <v>626</v>
      </c>
      <c r="B584" s="111" t="s">
        <v>1699</v>
      </c>
      <c r="C584" s="111" t="s">
        <v>1700</v>
      </c>
      <c r="D584" s="112" t="s">
        <v>1701</v>
      </c>
      <c r="E584" s="111" t="s">
        <v>544</v>
      </c>
      <c r="F584" s="112" t="s">
        <v>26</v>
      </c>
      <c r="G584" s="111" t="s">
        <v>20</v>
      </c>
      <c r="H584" s="111" t="s">
        <v>1684</v>
      </c>
      <c r="I584" s="111">
        <v>201512</v>
      </c>
      <c r="J584" s="113">
        <v>127</v>
      </c>
      <c r="K584" s="72">
        <f t="shared" si="49"/>
        <v>42675</v>
      </c>
      <c r="L584" s="67">
        <f t="shared" si="47"/>
        <v>6</v>
      </c>
      <c r="M584" s="114">
        <v>1.4833299999999999E-3</v>
      </c>
      <c r="N584" s="104">
        <f t="shared" si="48"/>
        <v>1.13029746</v>
      </c>
      <c r="O584" s="66"/>
      <c r="P584" s="66">
        <f t="shared" si="45"/>
        <v>0</v>
      </c>
      <c r="Q584" s="66"/>
      <c r="R584" s="66">
        <f t="shared" si="46"/>
        <v>2.1010297916666665</v>
      </c>
      <c r="S584" s="117"/>
    </row>
    <row r="585" spans="1:19">
      <c r="A585" s="110" t="s">
        <v>626</v>
      </c>
      <c r="B585" s="111" t="s">
        <v>1809</v>
      </c>
      <c r="C585" s="111" t="s">
        <v>1810</v>
      </c>
      <c r="D585" s="112" t="s">
        <v>1323</v>
      </c>
      <c r="E585" s="111" t="s">
        <v>75</v>
      </c>
      <c r="F585" s="112" t="s">
        <v>1602</v>
      </c>
      <c r="G585" s="111" t="s">
        <v>20</v>
      </c>
      <c r="H585" s="111" t="s">
        <v>1684</v>
      </c>
      <c r="I585" s="111">
        <v>201512</v>
      </c>
      <c r="J585" s="113">
        <v>12.96</v>
      </c>
      <c r="K585" s="72">
        <f t="shared" si="49"/>
        <v>42675</v>
      </c>
      <c r="L585" s="67">
        <f t="shared" si="47"/>
        <v>6</v>
      </c>
      <c r="M585" s="114">
        <v>1.4833299999999999E-3</v>
      </c>
      <c r="N585" s="104">
        <f t="shared" si="48"/>
        <v>0.11534374080000001</v>
      </c>
      <c r="O585" s="66"/>
      <c r="P585" s="66">
        <f t="shared" si="45"/>
        <v>0</v>
      </c>
      <c r="Q585" s="66"/>
      <c r="R585" s="66">
        <f t="shared" si="46"/>
        <v>0.21440430000000002</v>
      </c>
      <c r="S585" s="117"/>
    </row>
    <row r="586" spans="1:19">
      <c r="A586" s="110" t="s">
        <v>626</v>
      </c>
      <c r="B586" s="111" t="s">
        <v>1811</v>
      </c>
      <c r="C586" s="111" t="s">
        <v>1812</v>
      </c>
      <c r="D586" s="112" t="s">
        <v>1813</v>
      </c>
      <c r="E586" s="111" t="s">
        <v>25</v>
      </c>
      <c r="F586" s="112" t="s">
        <v>26</v>
      </c>
      <c r="G586" s="111" t="s">
        <v>20</v>
      </c>
      <c r="H586" s="111" t="s">
        <v>1684</v>
      </c>
      <c r="I586" s="111">
        <v>201512</v>
      </c>
      <c r="J586" s="113">
        <v>1097.49</v>
      </c>
      <c r="K586" s="72">
        <f t="shared" si="49"/>
        <v>42675</v>
      </c>
      <c r="L586" s="67">
        <f t="shared" si="47"/>
        <v>6</v>
      </c>
      <c r="M586" s="114">
        <v>1.4833299999999999E-3</v>
      </c>
      <c r="N586" s="104">
        <f t="shared" si="48"/>
        <v>9.7676390501999997</v>
      </c>
      <c r="O586" s="66"/>
      <c r="P586" s="66">
        <f t="shared" si="45"/>
        <v>0</v>
      </c>
      <c r="Q586" s="66"/>
      <c r="R586" s="66">
        <f t="shared" si="46"/>
        <v>18.156371543750002</v>
      </c>
      <c r="S586" s="117"/>
    </row>
    <row r="587" spans="1:19">
      <c r="A587" s="110" t="s">
        <v>626</v>
      </c>
      <c r="B587" s="111" t="s">
        <v>1757</v>
      </c>
      <c r="C587" s="111" t="s">
        <v>1758</v>
      </c>
      <c r="D587" s="112" t="s">
        <v>1759</v>
      </c>
      <c r="E587" s="111" t="s">
        <v>75</v>
      </c>
      <c r="F587" s="112" t="s">
        <v>1602</v>
      </c>
      <c r="G587" s="111" t="s">
        <v>20</v>
      </c>
      <c r="H587" s="111" t="s">
        <v>1684</v>
      </c>
      <c r="I587" s="111">
        <v>201512</v>
      </c>
      <c r="J587" s="113">
        <v>-440.22</v>
      </c>
      <c r="K587" s="72">
        <f t="shared" si="49"/>
        <v>42675</v>
      </c>
      <c r="L587" s="67">
        <f t="shared" si="47"/>
        <v>6</v>
      </c>
      <c r="M587" s="114">
        <v>1.4833299999999999E-3</v>
      </c>
      <c r="N587" s="104">
        <f t="shared" si="48"/>
        <v>-3.9179491956000003</v>
      </c>
      <c r="O587" s="66"/>
      <c r="P587" s="66">
        <f t="shared" si="45"/>
        <v>0</v>
      </c>
      <c r="Q587" s="66"/>
      <c r="R587" s="66">
        <f t="shared" si="46"/>
        <v>-7.2827979125000004</v>
      </c>
      <c r="S587" s="117"/>
    </row>
    <row r="588" spans="1:19">
      <c r="A588" s="110" t="s">
        <v>626</v>
      </c>
      <c r="B588" s="111" t="s">
        <v>1850</v>
      </c>
      <c r="C588" s="111" t="s">
        <v>1851</v>
      </c>
      <c r="D588" s="112" t="s">
        <v>1852</v>
      </c>
      <c r="E588" s="111" t="s">
        <v>260</v>
      </c>
      <c r="F588" s="112" t="s">
        <v>1608</v>
      </c>
      <c r="G588" s="111" t="s">
        <v>20</v>
      </c>
      <c r="H588" s="111" t="s">
        <v>1684</v>
      </c>
      <c r="I588" s="111">
        <v>201512</v>
      </c>
      <c r="J588" s="113">
        <v>170786.37</v>
      </c>
      <c r="K588" s="72">
        <f t="shared" si="49"/>
        <v>42675</v>
      </c>
      <c r="L588" s="67">
        <f t="shared" si="47"/>
        <v>6</v>
      </c>
      <c r="M588" s="114">
        <v>1.4833299999999999E-3</v>
      </c>
      <c r="N588" s="104">
        <f t="shared" si="48"/>
        <v>1519.9952772725999</v>
      </c>
      <c r="O588" s="66"/>
      <c r="P588" s="66">
        <f t="shared" si="45"/>
        <v>0</v>
      </c>
      <c r="Q588" s="66"/>
      <c r="R588" s="66">
        <f t="shared" si="46"/>
        <v>2825.41142819375</v>
      </c>
      <c r="S588" s="117"/>
    </row>
    <row r="589" spans="1:19">
      <c r="A589" s="110" t="s">
        <v>626</v>
      </c>
      <c r="B589" s="111" t="s">
        <v>1814</v>
      </c>
      <c r="C589" s="111" t="s">
        <v>1815</v>
      </c>
      <c r="D589" s="112" t="s">
        <v>1816</v>
      </c>
      <c r="E589" s="111" t="s">
        <v>25</v>
      </c>
      <c r="F589" s="112" t="s">
        <v>26</v>
      </c>
      <c r="G589" s="111" t="s">
        <v>20</v>
      </c>
      <c r="H589" s="111" t="s">
        <v>1684</v>
      </c>
      <c r="I589" s="111">
        <v>201512</v>
      </c>
      <c r="J589" s="113">
        <v>1085.07</v>
      </c>
      <c r="K589" s="72">
        <f t="shared" si="49"/>
        <v>42675</v>
      </c>
      <c r="L589" s="67">
        <f t="shared" si="47"/>
        <v>6</v>
      </c>
      <c r="M589" s="114">
        <v>1.4833299999999999E-3</v>
      </c>
      <c r="N589" s="104">
        <f t="shared" si="48"/>
        <v>9.6571012985999989</v>
      </c>
      <c r="O589" s="66"/>
      <c r="P589" s="66">
        <f t="shared" si="45"/>
        <v>0</v>
      </c>
      <c r="Q589" s="66"/>
      <c r="R589" s="66">
        <f t="shared" si="46"/>
        <v>17.95090075625</v>
      </c>
      <c r="S589" s="117"/>
    </row>
    <row r="590" spans="1:19">
      <c r="A590" s="110" t="s">
        <v>626</v>
      </c>
      <c r="B590" s="111" t="s">
        <v>1760</v>
      </c>
      <c r="C590" s="111" t="s">
        <v>1761</v>
      </c>
      <c r="D590" s="112" t="s">
        <v>1388</v>
      </c>
      <c r="E590" s="111" t="s">
        <v>164</v>
      </c>
      <c r="F590" s="112" t="s">
        <v>1600</v>
      </c>
      <c r="G590" s="111" t="s">
        <v>20</v>
      </c>
      <c r="H590" s="111" t="s">
        <v>1684</v>
      </c>
      <c r="I590" s="111">
        <v>201512</v>
      </c>
      <c r="J590" s="113">
        <v>11.11</v>
      </c>
      <c r="K590" s="72">
        <f t="shared" si="49"/>
        <v>42675</v>
      </c>
      <c r="L590" s="67">
        <f t="shared" si="47"/>
        <v>6</v>
      </c>
      <c r="M590" s="114">
        <v>1.4833299999999999E-3</v>
      </c>
      <c r="N590" s="104">
        <f t="shared" si="48"/>
        <v>9.8878777799999998E-2</v>
      </c>
      <c r="O590" s="66"/>
      <c r="P590" s="66">
        <f t="shared" si="45"/>
        <v>0</v>
      </c>
      <c r="Q590" s="66"/>
      <c r="R590" s="66">
        <f t="shared" si="46"/>
        <v>0.18379874791666664</v>
      </c>
      <c r="S590" s="117"/>
    </row>
    <row r="591" spans="1:19">
      <c r="A591" s="110" t="s">
        <v>626</v>
      </c>
      <c r="B591" s="111" t="s">
        <v>1762</v>
      </c>
      <c r="C591" s="111" t="s">
        <v>1763</v>
      </c>
      <c r="D591" s="112" t="s">
        <v>1344</v>
      </c>
      <c r="E591" s="111" t="s">
        <v>164</v>
      </c>
      <c r="F591" s="112" t="s">
        <v>1600</v>
      </c>
      <c r="G591" s="111" t="s">
        <v>20</v>
      </c>
      <c r="H591" s="111" t="s">
        <v>1684</v>
      </c>
      <c r="I591" s="111">
        <v>201512</v>
      </c>
      <c r="J591" s="113">
        <v>-189.42</v>
      </c>
      <c r="K591" s="72">
        <f t="shared" si="49"/>
        <v>42675</v>
      </c>
      <c r="L591" s="67">
        <f t="shared" si="47"/>
        <v>6</v>
      </c>
      <c r="M591" s="114">
        <v>1.4833299999999999E-3</v>
      </c>
      <c r="N591" s="104">
        <f t="shared" si="48"/>
        <v>-1.6858342115999998</v>
      </c>
      <c r="O591" s="66"/>
      <c r="P591" s="66">
        <f t="shared" si="45"/>
        <v>0</v>
      </c>
      <c r="Q591" s="66"/>
      <c r="R591" s="66">
        <f t="shared" si="46"/>
        <v>-3.1336776624999998</v>
      </c>
      <c r="S591" s="117"/>
    </row>
    <row r="592" spans="1:19">
      <c r="A592" s="110" t="s">
        <v>133</v>
      </c>
      <c r="B592" s="111" t="s">
        <v>1817</v>
      </c>
      <c r="C592" s="111" t="s">
        <v>1818</v>
      </c>
      <c r="D592" s="112" t="s">
        <v>1819</v>
      </c>
      <c r="E592" s="111" t="s">
        <v>75</v>
      </c>
      <c r="F592" s="112" t="s">
        <v>1602</v>
      </c>
      <c r="G592" s="111" t="s">
        <v>20</v>
      </c>
      <c r="H592" s="111" t="s">
        <v>1684</v>
      </c>
      <c r="I592" s="111">
        <v>201512</v>
      </c>
      <c r="J592" s="113">
        <v>65637.38</v>
      </c>
      <c r="K592" s="72">
        <f t="shared" si="49"/>
        <v>42675</v>
      </c>
      <c r="L592" s="67">
        <f t="shared" si="47"/>
        <v>6</v>
      </c>
      <c r="M592" s="114">
        <v>1.4833299999999999E-3</v>
      </c>
      <c r="N592" s="104">
        <f t="shared" si="48"/>
        <v>584.17136925240004</v>
      </c>
      <c r="O592" s="66"/>
      <c r="P592" s="66">
        <f t="shared" si="45"/>
        <v>0</v>
      </c>
      <c r="Q592" s="66"/>
      <c r="R592" s="66">
        <f t="shared" si="46"/>
        <v>1085.8747309208334</v>
      </c>
      <c r="S592" s="117"/>
    </row>
    <row r="593" spans="1:19">
      <c r="A593" s="110" t="s">
        <v>626</v>
      </c>
      <c r="B593" s="111" t="s">
        <v>1764</v>
      </c>
      <c r="C593" s="111" t="s">
        <v>1765</v>
      </c>
      <c r="D593" s="112" t="s">
        <v>1766</v>
      </c>
      <c r="E593" s="111" t="s">
        <v>156</v>
      </c>
      <c r="F593" s="112" t="s">
        <v>26</v>
      </c>
      <c r="G593" s="111" t="s">
        <v>20</v>
      </c>
      <c r="H593" s="111" t="s">
        <v>1684</v>
      </c>
      <c r="I593" s="111">
        <v>201512</v>
      </c>
      <c r="J593" s="113">
        <v>4695.83</v>
      </c>
      <c r="K593" s="72">
        <f t="shared" si="49"/>
        <v>42675</v>
      </c>
      <c r="L593" s="67">
        <f t="shared" si="47"/>
        <v>6</v>
      </c>
      <c r="M593" s="114">
        <v>1.4833299999999999E-3</v>
      </c>
      <c r="N593" s="104">
        <f t="shared" si="48"/>
        <v>41.792793083399999</v>
      </c>
      <c r="O593" s="66"/>
      <c r="P593" s="66">
        <f t="shared" si="45"/>
        <v>0</v>
      </c>
      <c r="Q593" s="66"/>
      <c r="R593" s="66">
        <f t="shared" si="46"/>
        <v>77.685659264583336</v>
      </c>
      <c r="S593" s="117"/>
    </row>
    <row r="594" spans="1:19">
      <c r="A594" s="116" t="s">
        <v>626</v>
      </c>
      <c r="B594" s="118" t="s">
        <v>1681</v>
      </c>
      <c r="C594" s="111" t="s">
        <v>1853</v>
      </c>
      <c r="D594" s="112" t="s">
        <v>1854</v>
      </c>
      <c r="E594" s="111" t="s">
        <v>260</v>
      </c>
      <c r="F594" s="112" t="s">
        <v>1608</v>
      </c>
      <c r="G594" s="111" t="s">
        <v>20</v>
      </c>
      <c r="H594" s="111" t="s">
        <v>1684</v>
      </c>
      <c r="I594" s="111">
        <v>201512</v>
      </c>
      <c r="J594" s="113">
        <v>3243.94</v>
      </c>
      <c r="K594" s="72">
        <f t="shared" si="49"/>
        <v>42675</v>
      </c>
      <c r="L594" s="67">
        <f t="shared" si="47"/>
        <v>6</v>
      </c>
      <c r="M594" s="114">
        <v>1.4833299999999999E-3</v>
      </c>
      <c r="N594" s="104">
        <f t="shared" si="48"/>
        <v>28.871001121199999</v>
      </c>
      <c r="O594" s="66"/>
      <c r="P594" s="66">
        <f t="shared" si="45"/>
        <v>0</v>
      </c>
      <c r="Q594" s="66"/>
      <c r="R594" s="66">
        <f t="shared" si="46"/>
        <v>53.666256554166665</v>
      </c>
      <c r="S594" s="117"/>
    </row>
    <row r="595" spans="1:19">
      <c r="A595" s="116" t="s">
        <v>21</v>
      </c>
      <c r="B595" s="111" t="s">
        <v>1767</v>
      </c>
      <c r="C595" s="111" t="s">
        <v>1768</v>
      </c>
      <c r="D595" s="112" t="s">
        <v>1769</v>
      </c>
      <c r="E595" s="111" t="s">
        <v>1413</v>
      </c>
      <c r="F595" s="112" t="s">
        <v>88</v>
      </c>
      <c r="G595" s="111" t="s">
        <v>20</v>
      </c>
      <c r="H595" s="111" t="s">
        <v>929</v>
      </c>
      <c r="I595" s="111">
        <v>201512</v>
      </c>
      <c r="J595" s="113">
        <v>161.1</v>
      </c>
      <c r="K595" s="72">
        <f t="shared" si="49"/>
        <v>42675</v>
      </c>
      <c r="L595" s="67">
        <f t="shared" si="47"/>
        <v>6</v>
      </c>
      <c r="M595" s="114">
        <v>1.4833299999999999E-3</v>
      </c>
      <c r="N595" s="104">
        <f t="shared" si="48"/>
        <v>1.433786778</v>
      </c>
      <c r="O595" s="66"/>
      <c r="P595" s="66">
        <f t="shared" si="45"/>
        <v>0</v>
      </c>
      <c r="Q595" s="66"/>
      <c r="R595" s="66">
        <f t="shared" si="46"/>
        <v>2.6651645624999998</v>
      </c>
      <c r="S595" s="117"/>
    </row>
    <row r="596" spans="1:19">
      <c r="A596" s="116" t="s">
        <v>127</v>
      </c>
      <c r="B596" s="111" t="s">
        <v>1032</v>
      </c>
      <c r="C596" s="111" t="s">
        <v>1033</v>
      </c>
      <c r="D596" s="112" t="s">
        <v>1034</v>
      </c>
      <c r="E596" s="111" t="s">
        <v>209</v>
      </c>
      <c r="F596" s="112" t="s">
        <v>1612</v>
      </c>
      <c r="G596" s="111" t="s">
        <v>20</v>
      </c>
      <c r="H596" s="111" t="s">
        <v>929</v>
      </c>
      <c r="I596" s="111">
        <v>201512</v>
      </c>
      <c r="J596" s="113">
        <v>-0.13</v>
      </c>
      <c r="K596" s="72">
        <f t="shared" si="49"/>
        <v>42675</v>
      </c>
      <c r="L596" s="67">
        <f t="shared" si="47"/>
        <v>6</v>
      </c>
      <c r="M596" s="114">
        <v>2.3833299999999999E-3</v>
      </c>
      <c r="N596" s="104">
        <f t="shared" si="48"/>
        <v>-1.8589974000000002E-3</v>
      </c>
      <c r="O596" s="66"/>
      <c r="P596" s="66">
        <f t="shared" si="45"/>
        <v>0</v>
      </c>
      <c r="Q596" s="66"/>
      <c r="R596" s="66">
        <f t="shared" si="46"/>
        <v>-2.1506604166666669E-3</v>
      </c>
      <c r="S596" s="117"/>
    </row>
    <row r="597" spans="1:19">
      <c r="A597" s="116" t="s">
        <v>626</v>
      </c>
      <c r="B597" s="111" t="s">
        <v>1770</v>
      </c>
      <c r="C597" s="111" t="s">
        <v>1771</v>
      </c>
      <c r="D597" s="112" t="s">
        <v>1772</v>
      </c>
      <c r="E597" s="111" t="s">
        <v>93</v>
      </c>
      <c r="F597" s="112" t="s">
        <v>1601</v>
      </c>
      <c r="G597" s="111" t="s">
        <v>20</v>
      </c>
      <c r="H597" s="111" t="s">
        <v>929</v>
      </c>
      <c r="I597" s="111">
        <v>201512</v>
      </c>
      <c r="J597" s="113">
        <v>1043.1099999999999</v>
      </c>
      <c r="K597" s="72">
        <f t="shared" si="49"/>
        <v>42675</v>
      </c>
      <c r="L597" s="67">
        <f t="shared" si="47"/>
        <v>6</v>
      </c>
      <c r="M597" s="114">
        <v>1.4833299999999999E-3</v>
      </c>
      <c r="N597" s="104">
        <f t="shared" si="48"/>
        <v>9.2836581377999998</v>
      </c>
      <c r="O597" s="66"/>
      <c r="P597" s="66">
        <f t="shared" si="45"/>
        <v>0</v>
      </c>
      <c r="Q597" s="66"/>
      <c r="R597" s="66">
        <f t="shared" si="46"/>
        <v>17.256733747916666</v>
      </c>
      <c r="S597" s="117"/>
    </row>
    <row r="598" spans="1:19">
      <c r="A598" s="110" t="s">
        <v>626</v>
      </c>
      <c r="B598" s="111" t="s">
        <v>1594</v>
      </c>
      <c r="C598" s="111" t="s">
        <v>1595</v>
      </c>
      <c r="D598" s="112" t="s">
        <v>1596</v>
      </c>
      <c r="E598" s="111" t="s">
        <v>87</v>
      </c>
      <c r="F598" s="112" t="s">
        <v>1603</v>
      </c>
      <c r="G598" s="111" t="s">
        <v>20</v>
      </c>
      <c r="H598" s="111" t="s">
        <v>929</v>
      </c>
      <c r="I598" s="111">
        <v>201512</v>
      </c>
      <c r="J598" s="113">
        <v>-14.12</v>
      </c>
      <c r="K598" s="72">
        <f t="shared" si="49"/>
        <v>42675</v>
      </c>
      <c r="L598" s="67">
        <f t="shared" si="47"/>
        <v>6</v>
      </c>
      <c r="M598" s="114">
        <v>1.4833299999999999E-3</v>
      </c>
      <c r="N598" s="104">
        <f t="shared" si="48"/>
        <v>-0.12566771760000001</v>
      </c>
      <c r="O598" s="66"/>
      <c r="P598" s="66">
        <f t="shared" si="45"/>
        <v>0</v>
      </c>
      <c r="Q598" s="66"/>
      <c r="R598" s="66">
        <f t="shared" si="46"/>
        <v>-0.23359480833333335</v>
      </c>
      <c r="S598" s="117"/>
    </row>
    <row r="599" spans="1:19">
      <c r="A599" s="110" t="s">
        <v>626</v>
      </c>
      <c r="B599" s="111" t="s">
        <v>1643</v>
      </c>
      <c r="C599" s="111" t="s">
        <v>1644</v>
      </c>
      <c r="D599" s="112" t="s">
        <v>1645</v>
      </c>
      <c r="E599" s="111" t="s">
        <v>209</v>
      </c>
      <c r="F599" s="112" t="s">
        <v>1612</v>
      </c>
      <c r="G599" s="111" t="s">
        <v>20</v>
      </c>
      <c r="H599" s="111" t="s">
        <v>929</v>
      </c>
      <c r="I599" s="111">
        <v>201512</v>
      </c>
      <c r="J599" s="113">
        <v>-0.05</v>
      </c>
      <c r="K599" s="72">
        <f t="shared" si="49"/>
        <v>42675</v>
      </c>
      <c r="L599" s="67">
        <f t="shared" si="47"/>
        <v>6</v>
      </c>
      <c r="M599" s="114">
        <v>1.4833299999999999E-3</v>
      </c>
      <c r="N599" s="104">
        <f t="shared" si="48"/>
        <v>-4.4499900000000001E-4</v>
      </c>
      <c r="O599" s="66"/>
      <c r="P599" s="66">
        <f t="shared" si="45"/>
        <v>0</v>
      </c>
      <c r="Q599" s="66"/>
      <c r="R599" s="66">
        <f t="shared" si="46"/>
        <v>-8.2717708333333341E-4</v>
      </c>
      <c r="S599" s="117"/>
    </row>
    <row r="600" spans="1:19">
      <c r="A600" s="110" t="s">
        <v>626</v>
      </c>
      <c r="B600" s="111" t="s">
        <v>1776</v>
      </c>
      <c r="C600" s="111" t="s">
        <v>1777</v>
      </c>
      <c r="D600" s="112" t="s">
        <v>1778</v>
      </c>
      <c r="E600" s="111" t="s">
        <v>452</v>
      </c>
      <c r="F600" s="112" t="s">
        <v>398</v>
      </c>
      <c r="G600" s="111" t="s">
        <v>20</v>
      </c>
      <c r="H600" s="111" t="s">
        <v>929</v>
      </c>
      <c r="I600" s="111">
        <v>201512</v>
      </c>
      <c r="J600" s="113">
        <v>62.21</v>
      </c>
      <c r="K600" s="72">
        <f t="shared" si="49"/>
        <v>42675</v>
      </c>
      <c r="L600" s="67">
        <f t="shared" si="47"/>
        <v>6</v>
      </c>
      <c r="M600" s="114">
        <v>1.4833299999999999E-3</v>
      </c>
      <c r="N600" s="104">
        <f t="shared" si="48"/>
        <v>0.55366775580000005</v>
      </c>
      <c r="O600" s="66"/>
      <c r="P600" s="66">
        <f t="shared" si="45"/>
        <v>0</v>
      </c>
      <c r="Q600" s="66"/>
      <c r="R600" s="66">
        <f t="shared" si="46"/>
        <v>1.0291737270833334</v>
      </c>
      <c r="S600" s="117"/>
    </row>
    <row r="601" spans="1:19">
      <c r="A601" s="110" t="s">
        <v>21</v>
      </c>
      <c r="B601" s="111" t="s">
        <v>1664</v>
      </c>
      <c r="C601" s="111" t="s">
        <v>1665</v>
      </c>
      <c r="D601" s="112" t="s">
        <v>1666</v>
      </c>
      <c r="E601" s="111" t="s">
        <v>87</v>
      </c>
      <c r="F601" s="112" t="s">
        <v>1603</v>
      </c>
      <c r="G601" s="111" t="s">
        <v>20</v>
      </c>
      <c r="H601" s="111" t="s">
        <v>929</v>
      </c>
      <c r="I601" s="111">
        <v>201512</v>
      </c>
      <c r="J601" s="113">
        <v>-4641.42</v>
      </c>
      <c r="K601" s="72">
        <f t="shared" si="49"/>
        <v>42675</v>
      </c>
      <c r="L601" s="67">
        <f t="shared" si="47"/>
        <v>6</v>
      </c>
      <c r="M601" s="114">
        <v>1.4833299999999999E-3</v>
      </c>
      <c r="N601" s="104">
        <f t="shared" si="48"/>
        <v>-41.308545171600002</v>
      </c>
      <c r="O601" s="66"/>
      <c r="P601" s="66">
        <f t="shared" si="45"/>
        <v>0</v>
      </c>
      <c r="Q601" s="66"/>
      <c r="R601" s="66">
        <f t="shared" si="46"/>
        <v>-76.785525162500008</v>
      </c>
      <c r="S601" s="117"/>
    </row>
    <row r="602" spans="1:19">
      <c r="A602" s="110" t="s">
        <v>21</v>
      </c>
      <c r="B602" s="111" t="s">
        <v>1820</v>
      </c>
      <c r="C602" s="111" t="s">
        <v>1821</v>
      </c>
      <c r="D602" s="112" t="s">
        <v>1822</v>
      </c>
      <c r="E602" s="111" t="s">
        <v>87</v>
      </c>
      <c r="F602" s="112" t="s">
        <v>1603</v>
      </c>
      <c r="G602" s="111" t="s">
        <v>20</v>
      </c>
      <c r="H602" s="111" t="s">
        <v>929</v>
      </c>
      <c r="I602" s="111">
        <v>201512</v>
      </c>
      <c r="J602" s="113">
        <v>1881.38</v>
      </c>
      <c r="K602" s="72">
        <f t="shared" si="49"/>
        <v>42675</v>
      </c>
      <c r="L602" s="67">
        <f t="shared" si="47"/>
        <v>6</v>
      </c>
      <c r="M602" s="114">
        <v>1.4833299999999999E-3</v>
      </c>
      <c r="N602" s="104">
        <f t="shared" si="48"/>
        <v>16.744244372400001</v>
      </c>
      <c r="O602" s="66"/>
      <c r="P602" s="66">
        <f t="shared" si="45"/>
        <v>0</v>
      </c>
      <c r="Q602" s="66"/>
      <c r="R602" s="66">
        <f t="shared" si="46"/>
        <v>31.124688420833337</v>
      </c>
      <c r="S602" s="117"/>
    </row>
    <row r="603" spans="1:19">
      <c r="A603" s="110" t="s">
        <v>626</v>
      </c>
      <c r="B603" s="111" t="s">
        <v>1782</v>
      </c>
      <c r="C603" s="111" t="s">
        <v>1783</v>
      </c>
      <c r="D603" s="112" t="s">
        <v>1784</v>
      </c>
      <c r="E603" s="111" t="s">
        <v>87</v>
      </c>
      <c r="F603" s="112" t="s">
        <v>1603</v>
      </c>
      <c r="G603" s="111" t="s">
        <v>20</v>
      </c>
      <c r="H603" s="111" t="s">
        <v>929</v>
      </c>
      <c r="I603" s="111">
        <v>201512</v>
      </c>
      <c r="J603" s="113">
        <v>-163.37</v>
      </c>
      <c r="K603" s="72">
        <f t="shared" si="49"/>
        <v>42675</v>
      </c>
      <c r="L603" s="67">
        <f t="shared" si="47"/>
        <v>6</v>
      </c>
      <c r="M603" s="114">
        <v>1.4833299999999999E-3</v>
      </c>
      <c r="N603" s="104">
        <f t="shared" si="48"/>
        <v>-1.4539897326</v>
      </c>
      <c r="O603" s="66"/>
      <c r="P603" s="66">
        <f t="shared" si="45"/>
        <v>0</v>
      </c>
      <c r="Q603" s="66"/>
      <c r="R603" s="66">
        <f t="shared" si="46"/>
        <v>-2.7027184020833337</v>
      </c>
      <c r="S603" s="117"/>
    </row>
    <row r="604" spans="1:19">
      <c r="A604" s="110" t="s">
        <v>14</v>
      </c>
      <c r="B604" s="111" t="s">
        <v>1661</v>
      </c>
      <c r="C604" s="111" t="s">
        <v>1662</v>
      </c>
      <c r="D604" s="112" t="s">
        <v>1663</v>
      </c>
      <c r="E604" s="111" t="s">
        <v>284</v>
      </c>
      <c r="F604" s="112" t="s">
        <v>285</v>
      </c>
      <c r="G604" s="111" t="s">
        <v>20</v>
      </c>
      <c r="H604" s="111" t="s">
        <v>937</v>
      </c>
      <c r="I604" s="111">
        <v>201512</v>
      </c>
      <c r="J604" s="113">
        <v>0.04</v>
      </c>
      <c r="K604" s="72">
        <f t="shared" si="49"/>
        <v>42675</v>
      </c>
      <c r="L604" s="67">
        <f t="shared" si="47"/>
        <v>6</v>
      </c>
      <c r="M604" s="114">
        <v>2.23333E-3</v>
      </c>
      <c r="N604" s="104">
        <f t="shared" si="48"/>
        <v>5.3599919999999996E-4</v>
      </c>
      <c r="O604" s="66"/>
      <c r="P604" s="66">
        <f t="shared" si="45"/>
        <v>0</v>
      </c>
      <c r="Q604" s="66"/>
      <c r="R604" s="66">
        <f t="shared" si="46"/>
        <v>6.6174166666666673E-4</v>
      </c>
      <c r="S604" s="117"/>
    </row>
    <row r="605" spans="1:19">
      <c r="A605" s="116" t="s">
        <v>626</v>
      </c>
      <c r="B605" s="111" t="s">
        <v>1597</v>
      </c>
      <c r="C605" s="111" t="s">
        <v>1598</v>
      </c>
      <c r="D605" s="112" t="s">
        <v>1599</v>
      </c>
      <c r="E605" s="111" t="s">
        <v>164</v>
      </c>
      <c r="F605" s="112" t="s">
        <v>1600</v>
      </c>
      <c r="G605" s="111" t="s">
        <v>20</v>
      </c>
      <c r="H605" s="111"/>
      <c r="I605" s="111">
        <v>201601</v>
      </c>
      <c r="J605" s="113">
        <v>10.19</v>
      </c>
      <c r="K605" s="72">
        <f t="shared" si="49"/>
        <v>42675</v>
      </c>
      <c r="L605" s="67">
        <f t="shared" ref="L605:L668" si="50">((YEAR($L$1)-YEAR(K605))*12+MONTH($L$1)-MONTH(K605))</f>
        <v>6</v>
      </c>
      <c r="M605" s="114">
        <v>1.4833299999999999E-3</v>
      </c>
      <c r="N605" s="104">
        <f t="shared" ref="N605:N668" si="51">M605*L605*J605</f>
        <v>9.0690796199999993E-2</v>
      </c>
      <c r="O605" s="66"/>
      <c r="P605" s="66">
        <f t="shared" si="45"/>
        <v>0</v>
      </c>
      <c r="Q605" s="66"/>
      <c r="R605" s="66">
        <f t="shared" si="46"/>
        <v>0.16857868958333333</v>
      </c>
    </row>
    <row r="606" spans="1:19">
      <c r="A606" s="116" t="s">
        <v>14</v>
      </c>
      <c r="B606" s="111" t="s">
        <v>30</v>
      </c>
      <c r="C606" s="111" t="s">
        <v>31</v>
      </c>
      <c r="D606" s="112" t="s">
        <v>32</v>
      </c>
      <c r="E606" s="111" t="s">
        <v>33</v>
      </c>
      <c r="F606" s="112" t="s">
        <v>34</v>
      </c>
      <c r="G606" s="111" t="s">
        <v>20</v>
      </c>
      <c r="H606" s="111"/>
      <c r="I606" s="111">
        <v>201601</v>
      </c>
      <c r="J606" s="113">
        <v>2925.05</v>
      </c>
      <c r="K606" s="72">
        <f t="shared" si="49"/>
        <v>42675</v>
      </c>
      <c r="L606" s="67">
        <f t="shared" si="50"/>
        <v>6</v>
      </c>
      <c r="M606" s="114">
        <v>2.23333E-3</v>
      </c>
      <c r="N606" s="104">
        <f t="shared" si="51"/>
        <v>39.195611499000002</v>
      </c>
      <c r="O606" s="66"/>
      <c r="P606" s="66">
        <f t="shared" si="45"/>
        <v>0</v>
      </c>
      <c r="Q606" s="66"/>
      <c r="R606" s="66">
        <f t="shared" si="46"/>
        <v>48.390686552083338</v>
      </c>
    </row>
    <row r="607" spans="1:19">
      <c r="A607" s="116" t="s">
        <v>14</v>
      </c>
      <c r="B607" s="111" t="s">
        <v>37</v>
      </c>
      <c r="C607" s="111" t="s">
        <v>38</v>
      </c>
      <c r="D607" s="112" t="s">
        <v>39</v>
      </c>
      <c r="E607" s="111" t="s">
        <v>40</v>
      </c>
      <c r="F607" s="112" t="s">
        <v>41</v>
      </c>
      <c r="G607" s="111" t="s">
        <v>20</v>
      </c>
      <c r="H607" s="111"/>
      <c r="I607" s="111">
        <v>201601</v>
      </c>
      <c r="J607" s="113">
        <v>25136.560000000001</v>
      </c>
      <c r="K607" s="72">
        <f t="shared" si="49"/>
        <v>42675</v>
      </c>
      <c r="L607" s="67">
        <f t="shared" si="50"/>
        <v>6</v>
      </c>
      <c r="M607" s="114">
        <v>2.23333E-3</v>
      </c>
      <c r="N607" s="104">
        <f t="shared" si="51"/>
        <v>336.82940126879998</v>
      </c>
      <c r="O607" s="66"/>
      <c r="P607" s="66">
        <f t="shared" si="45"/>
        <v>0</v>
      </c>
      <c r="Q607" s="66"/>
      <c r="R607" s="66">
        <f t="shared" si="46"/>
        <v>415.84772771666672</v>
      </c>
    </row>
    <row r="608" spans="1:19">
      <c r="A608" s="116" t="s">
        <v>14</v>
      </c>
      <c r="B608" s="111" t="s">
        <v>43</v>
      </c>
      <c r="C608" s="111" t="s">
        <v>44</v>
      </c>
      <c r="D608" s="112" t="s">
        <v>45</v>
      </c>
      <c r="E608" s="111" t="s">
        <v>46</v>
      </c>
      <c r="F608" s="112" t="s">
        <v>41</v>
      </c>
      <c r="G608" s="111" t="s">
        <v>20</v>
      </c>
      <c r="H608" s="111"/>
      <c r="I608" s="111">
        <v>201601</v>
      </c>
      <c r="J608" s="113">
        <v>108.78</v>
      </c>
      <c r="K608" s="72">
        <f t="shared" si="49"/>
        <v>42675</v>
      </c>
      <c r="L608" s="67">
        <f t="shared" si="50"/>
        <v>6</v>
      </c>
      <c r="M608" s="114">
        <v>2.23333E-3</v>
      </c>
      <c r="N608" s="104">
        <f t="shared" si="51"/>
        <v>1.4576498243999998</v>
      </c>
      <c r="O608" s="66"/>
      <c r="P608" s="66">
        <f t="shared" si="45"/>
        <v>0</v>
      </c>
      <c r="Q608" s="66"/>
      <c r="R608" s="66">
        <f t="shared" si="46"/>
        <v>1.7996064624999999</v>
      </c>
    </row>
    <row r="609" spans="1:18">
      <c r="A609" s="116" t="s">
        <v>990</v>
      </c>
      <c r="B609" s="111" t="s">
        <v>991</v>
      </c>
      <c r="C609" s="111" t="s">
        <v>992</v>
      </c>
      <c r="D609" s="112" t="s">
        <v>993</v>
      </c>
      <c r="E609" s="111" t="s">
        <v>994</v>
      </c>
      <c r="F609" s="112" t="s">
        <v>995</v>
      </c>
      <c r="G609" s="111" t="s">
        <v>20</v>
      </c>
      <c r="H609" s="111"/>
      <c r="I609" s="111">
        <v>201601</v>
      </c>
      <c r="J609" s="113">
        <v>2948.61</v>
      </c>
      <c r="K609" s="72">
        <f t="shared" si="49"/>
        <v>42675</v>
      </c>
      <c r="L609" s="67">
        <f t="shared" si="50"/>
        <v>6</v>
      </c>
      <c r="M609" s="114">
        <v>2.0333333000000001E-3</v>
      </c>
      <c r="N609" s="104">
        <f t="shared" si="51"/>
        <v>35.973041410278</v>
      </c>
      <c r="O609" s="66"/>
      <c r="P609" s="66">
        <f t="shared" si="45"/>
        <v>0</v>
      </c>
      <c r="Q609" s="66"/>
      <c r="R609" s="66">
        <f t="shared" si="46"/>
        <v>48.780452393750004</v>
      </c>
    </row>
    <row r="610" spans="1:18">
      <c r="A610" s="116" t="s">
        <v>990</v>
      </c>
      <c r="B610" s="111" t="s">
        <v>996</v>
      </c>
      <c r="C610" s="111" t="s">
        <v>997</v>
      </c>
      <c r="D610" s="112" t="s">
        <v>998</v>
      </c>
      <c r="E610" s="111" t="s">
        <v>999</v>
      </c>
      <c r="F610" s="112" t="s">
        <v>995</v>
      </c>
      <c r="G610" s="111" t="s">
        <v>20</v>
      </c>
      <c r="H610" s="111"/>
      <c r="I610" s="111">
        <v>201601</v>
      </c>
      <c r="J610" s="113">
        <v>22.19</v>
      </c>
      <c r="K610" s="72">
        <f t="shared" si="49"/>
        <v>42675</v>
      </c>
      <c r="L610" s="67">
        <f t="shared" si="50"/>
        <v>6</v>
      </c>
      <c r="M610" s="114">
        <v>2.0333333000000001E-3</v>
      </c>
      <c r="N610" s="104">
        <f t="shared" si="51"/>
        <v>0.27071799556199999</v>
      </c>
      <c r="O610" s="66"/>
      <c r="P610" s="66">
        <f t="shared" si="45"/>
        <v>0</v>
      </c>
      <c r="Q610" s="66"/>
      <c r="R610" s="66">
        <f t="shared" si="46"/>
        <v>0.36710118958333338</v>
      </c>
    </row>
    <row r="611" spans="1:18">
      <c r="A611" s="116" t="s">
        <v>990</v>
      </c>
      <c r="B611" s="111" t="s">
        <v>1000</v>
      </c>
      <c r="C611" s="111" t="s">
        <v>1001</v>
      </c>
      <c r="D611" s="112" t="s">
        <v>1672</v>
      </c>
      <c r="E611" s="111" t="s">
        <v>1002</v>
      </c>
      <c r="F611" s="112" t="s">
        <v>1604</v>
      </c>
      <c r="G611" s="111" t="s">
        <v>20</v>
      </c>
      <c r="H611" s="111"/>
      <c r="I611" s="111">
        <v>201601</v>
      </c>
      <c r="J611" s="113">
        <v>4395.47</v>
      </c>
      <c r="K611" s="72">
        <f t="shared" si="49"/>
        <v>42675</v>
      </c>
      <c r="L611" s="67">
        <f t="shared" si="50"/>
        <v>6</v>
      </c>
      <c r="M611" s="114">
        <v>2.0333333000000001E-3</v>
      </c>
      <c r="N611" s="104">
        <f t="shared" si="51"/>
        <v>53.624733120906001</v>
      </c>
      <c r="O611" s="66"/>
      <c r="P611" s="66">
        <f t="shared" si="45"/>
        <v>0</v>
      </c>
      <c r="Q611" s="66"/>
      <c r="R611" s="66">
        <f t="shared" si="46"/>
        <v>72.716641089583334</v>
      </c>
    </row>
    <row r="612" spans="1:18">
      <c r="A612" s="110" t="s">
        <v>14</v>
      </c>
      <c r="B612" s="111" t="s">
        <v>107</v>
      </c>
      <c r="C612" s="111" t="s">
        <v>108</v>
      </c>
      <c r="D612" s="112" t="s">
        <v>109</v>
      </c>
      <c r="E612" s="111" t="s">
        <v>110</v>
      </c>
      <c r="F612" s="112" t="s">
        <v>52</v>
      </c>
      <c r="G612" s="111" t="s">
        <v>20</v>
      </c>
      <c r="H612" s="111"/>
      <c r="I612" s="111">
        <v>201601</v>
      </c>
      <c r="J612" s="113">
        <v>2265.38</v>
      </c>
      <c r="K612" s="72">
        <f t="shared" si="49"/>
        <v>42675</v>
      </c>
      <c r="L612" s="67">
        <f t="shared" si="50"/>
        <v>6</v>
      </c>
      <c r="M612" s="114">
        <v>2.23333E-3</v>
      </c>
      <c r="N612" s="104">
        <f t="shared" si="51"/>
        <v>30.3560466924</v>
      </c>
      <c r="O612" s="66"/>
      <c r="P612" s="66">
        <f t="shared" si="45"/>
        <v>0</v>
      </c>
      <c r="Q612" s="66"/>
      <c r="R612" s="66">
        <f t="shared" si="46"/>
        <v>37.477408420833335</v>
      </c>
    </row>
    <row r="613" spans="1:18">
      <c r="A613" s="110" t="s">
        <v>554</v>
      </c>
      <c r="B613" s="111" t="s">
        <v>116</v>
      </c>
      <c r="C613" s="111" t="s">
        <v>117</v>
      </c>
      <c r="D613" s="112" t="s">
        <v>118</v>
      </c>
      <c r="E613" s="111" t="s">
        <v>119</v>
      </c>
      <c r="F613" s="112" t="s">
        <v>1605</v>
      </c>
      <c r="G613" s="111" t="s">
        <v>20</v>
      </c>
      <c r="H613" s="111"/>
      <c r="I613" s="111">
        <v>201601</v>
      </c>
      <c r="J613" s="113">
        <v>90292.53</v>
      </c>
      <c r="K613" s="72">
        <f t="shared" si="49"/>
        <v>42675</v>
      </c>
      <c r="L613" s="67">
        <f t="shared" si="50"/>
        <v>6</v>
      </c>
      <c r="M613" s="114">
        <v>1.4833299999999999E-3</v>
      </c>
      <c r="N613" s="104">
        <f t="shared" si="51"/>
        <v>803.60171114939999</v>
      </c>
      <c r="O613" s="66"/>
      <c r="P613" s="66">
        <f t="shared" si="45"/>
        <v>0</v>
      </c>
      <c r="Q613" s="66"/>
      <c r="R613" s="66">
        <f t="shared" si="46"/>
        <v>1493.7582322437499</v>
      </c>
    </row>
    <row r="614" spans="1:18">
      <c r="A614" s="110" t="s">
        <v>14</v>
      </c>
      <c r="B614" s="111" t="s">
        <v>555</v>
      </c>
      <c r="C614" s="111" t="s">
        <v>556</v>
      </c>
      <c r="D614" s="112" t="s">
        <v>45</v>
      </c>
      <c r="E614" s="111" t="s">
        <v>557</v>
      </c>
      <c r="F614" s="112" t="s">
        <v>41</v>
      </c>
      <c r="G614" s="111" t="s">
        <v>20</v>
      </c>
      <c r="H614" s="111"/>
      <c r="I614" s="111">
        <v>201601</v>
      </c>
      <c r="J614" s="113">
        <v>-60.47</v>
      </c>
      <c r="K614" s="72">
        <f t="shared" si="49"/>
        <v>42675</v>
      </c>
      <c r="L614" s="67">
        <f t="shared" si="50"/>
        <v>6</v>
      </c>
      <c r="M614" s="114">
        <v>2.23333E-3</v>
      </c>
      <c r="N614" s="104">
        <f t="shared" si="51"/>
        <v>-0.81029679059999993</v>
      </c>
      <c r="O614" s="66"/>
      <c r="P614" s="66">
        <f t="shared" si="45"/>
        <v>0</v>
      </c>
      <c r="Q614" s="66"/>
      <c r="R614" s="66">
        <f t="shared" si="46"/>
        <v>-1.0003879645833333</v>
      </c>
    </row>
    <row r="615" spans="1:18">
      <c r="A615" s="110" t="s">
        <v>990</v>
      </c>
      <c r="B615" s="111" t="s">
        <v>1003</v>
      </c>
      <c r="C615" s="111" t="s">
        <v>1004</v>
      </c>
      <c r="D615" s="112" t="s">
        <v>1673</v>
      </c>
      <c r="E615" s="111" t="s">
        <v>1006</v>
      </c>
      <c r="F615" s="112" t="s">
        <v>1606</v>
      </c>
      <c r="G615" s="111" t="s">
        <v>20</v>
      </c>
      <c r="H615" s="111"/>
      <c r="I615" s="111">
        <v>201601</v>
      </c>
      <c r="J615" s="113">
        <v>6834.38</v>
      </c>
      <c r="K615" s="72">
        <f t="shared" si="49"/>
        <v>42675</v>
      </c>
      <c r="L615" s="67">
        <f t="shared" si="50"/>
        <v>6</v>
      </c>
      <c r="M615" s="114">
        <v>2.0333333000000001E-3</v>
      </c>
      <c r="N615" s="104">
        <f t="shared" si="51"/>
        <v>83.379434633124006</v>
      </c>
      <c r="O615" s="66"/>
      <c r="P615" s="66">
        <f t="shared" si="45"/>
        <v>0</v>
      </c>
      <c r="Q615" s="66"/>
      <c r="R615" s="66">
        <f t="shared" si="46"/>
        <v>113.06485029583334</v>
      </c>
    </row>
    <row r="616" spans="1:18">
      <c r="A616" s="110" t="s">
        <v>21</v>
      </c>
      <c r="B616" s="111" t="s">
        <v>1767</v>
      </c>
      <c r="C616" s="111" t="s">
        <v>1768</v>
      </c>
      <c r="D616" s="112" t="s">
        <v>1769</v>
      </c>
      <c r="E616" s="111" t="s">
        <v>1413</v>
      </c>
      <c r="F616" s="112" t="s">
        <v>88</v>
      </c>
      <c r="G616" s="111" t="s">
        <v>20</v>
      </c>
      <c r="H616" s="111"/>
      <c r="I616" s="111">
        <v>201601</v>
      </c>
      <c r="J616" s="113">
        <v>142.44999999999999</v>
      </c>
      <c r="K616" s="72">
        <f t="shared" si="49"/>
        <v>42675</v>
      </c>
      <c r="L616" s="67">
        <f t="shared" si="50"/>
        <v>6</v>
      </c>
      <c r="M616" s="114">
        <v>1.4833299999999999E-3</v>
      </c>
      <c r="N616" s="104">
        <f t="shared" si="51"/>
        <v>1.2678021509999999</v>
      </c>
      <c r="O616" s="66"/>
      <c r="P616" s="66">
        <f t="shared" si="45"/>
        <v>0</v>
      </c>
      <c r="Q616" s="66"/>
      <c r="R616" s="66">
        <f t="shared" si="46"/>
        <v>2.3566275104166667</v>
      </c>
    </row>
    <row r="617" spans="1:18">
      <c r="A617" s="110" t="s">
        <v>14</v>
      </c>
      <c r="B617" s="111" t="s">
        <v>183</v>
      </c>
      <c r="C617" s="111" t="s">
        <v>184</v>
      </c>
      <c r="D617" s="112" t="s">
        <v>45</v>
      </c>
      <c r="E617" s="111" t="s">
        <v>185</v>
      </c>
      <c r="F617" s="112" t="s">
        <v>41</v>
      </c>
      <c r="G617" s="111" t="s">
        <v>20</v>
      </c>
      <c r="H617" s="111"/>
      <c r="I617" s="111">
        <v>201601</v>
      </c>
      <c r="J617" s="113">
        <v>1155.1400000000001</v>
      </c>
      <c r="K617" s="72">
        <f t="shared" si="49"/>
        <v>42675</v>
      </c>
      <c r="L617" s="67">
        <f t="shared" si="50"/>
        <v>6</v>
      </c>
      <c r="M617" s="114">
        <v>2.23333E-3</v>
      </c>
      <c r="N617" s="104">
        <f t="shared" si="51"/>
        <v>15.478852897199999</v>
      </c>
      <c r="O617" s="66"/>
      <c r="P617" s="66">
        <f t="shared" si="45"/>
        <v>0</v>
      </c>
      <c r="Q617" s="66"/>
      <c r="R617" s="66">
        <f t="shared" si="46"/>
        <v>19.110106720833333</v>
      </c>
    </row>
    <row r="618" spans="1:18">
      <c r="A618" s="110" t="s">
        <v>14</v>
      </c>
      <c r="B618" s="111" t="s">
        <v>191</v>
      </c>
      <c r="C618" s="111" t="s">
        <v>192</v>
      </c>
      <c r="D618" s="112" t="s">
        <v>193</v>
      </c>
      <c r="E618" s="111" t="s">
        <v>194</v>
      </c>
      <c r="F618" s="112" t="s">
        <v>115</v>
      </c>
      <c r="G618" s="111" t="s">
        <v>20</v>
      </c>
      <c r="H618" s="111"/>
      <c r="I618" s="111">
        <v>201601</v>
      </c>
      <c r="J618" s="113">
        <v>-31.61</v>
      </c>
      <c r="K618" s="72">
        <f t="shared" si="49"/>
        <v>42675</v>
      </c>
      <c r="L618" s="67">
        <f t="shared" si="50"/>
        <v>6</v>
      </c>
      <c r="M618" s="114">
        <v>2.23333E-3</v>
      </c>
      <c r="N618" s="104">
        <f t="shared" si="51"/>
        <v>-0.42357336779999993</v>
      </c>
      <c r="O618" s="66"/>
      <c r="P618" s="66">
        <f t="shared" si="45"/>
        <v>0</v>
      </c>
      <c r="Q618" s="66"/>
      <c r="R618" s="66">
        <f t="shared" si="46"/>
        <v>-0.52294135208333337</v>
      </c>
    </row>
    <row r="619" spans="1:18">
      <c r="A619" s="110" t="s">
        <v>14</v>
      </c>
      <c r="B619" s="111" t="s">
        <v>195</v>
      </c>
      <c r="C619" s="111" t="s">
        <v>196</v>
      </c>
      <c r="D619" s="112" t="s">
        <v>1674</v>
      </c>
      <c r="E619" s="111" t="s">
        <v>198</v>
      </c>
      <c r="F619" s="112" t="s">
        <v>1610</v>
      </c>
      <c r="G619" s="111" t="s">
        <v>20</v>
      </c>
      <c r="H619" s="111"/>
      <c r="I619" s="111">
        <v>201601</v>
      </c>
      <c r="J619" s="113">
        <v>92444.25</v>
      </c>
      <c r="K619" s="72">
        <f t="shared" si="49"/>
        <v>42675</v>
      </c>
      <c r="L619" s="67">
        <f t="shared" si="50"/>
        <v>6</v>
      </c>
      <c r="M619" s="114">
        <v>2.23333E-3</v>
      </c>
      <c r="N619" s="104">
        <f t="shared" si="51"/>
        <v>1238.751101115</v>
      </c>
      <c r="O619" s="66"/>
      <c r="P619" s="66">
        <f t="shared" si="45"/>
        <v>0</v>
      </c>
      <c r="Q619" s="66"/>
      <c r="R619" s="66">
        <f t="shared" si="46"/>
        <v>1529.3553017187501</v>
      </c>
    </row>
    <row r="620" spans="1:18">
      <c r="A620" s="110" t="s">
        <v>14</v>
      </c>
      <c r="B620" s="111" t="s">
        <v>200</v>
      </c>
      <c r="C620" s="111" t="s">
        <v>201</v>
      </c>
      <c r="D620" s="112" t="s">
        <v>1675</v>
      </c>
      <c r="E620" s="111" t="s">
        <v>202</v>
      </c>
      <c r="F620" s="112" t="s">
        <v>1611</v>
      </c>
      <c r="G620" s="111" t="s">
        <v>20</v>
      </c>
      <c r="H620" s="111"/>
      <c r="I620" s="111">
        <v>201601</v>
      </c>
      <c r="J620" s="113">
        <v>26569.05</v>
      </c>
      <c r="K620" s="72">
        <f t="shared" si="49"/>
        <v>42675</v>
      </c>
      <c r="L620" s="67">
        <f t="shared" si="50"/>
        <v>6</v>
      </c>
      <c r="M620" s="114">
        <v>2.23333E-3</v>
      </c>
      <c r="N620" s="104">
        <f t="shared" si="51"/>
        <v>356.02473861899995</v>
      </c>
      <c r="O620" s="66"/>
      <c r="P620" s="66">
        <f t="shared" si="45"/>
        <v>0</v>
      </c>
      <c r="Q620" s="66"/>
      <c r="R620" s="66">
        <f t="shared" si="46"/>
        <v>439.54618571875</v>
      </c>
    </row>
    <row r="621" spans="1:18">
      <c r="A621" s="110" t="s">
        <v>626</v>
      </c>
      <c r="B621" s="111" t="s">
        <v>1855</v>
      </c>
      <c r="C621" s="111" t="s">
        <v>1856</v>
      </c>
      <c r="D621" s="112" t="s">
        <v>1857</v>
      </c>
      <c r="E621" s="111" t="s">
        <v>209</v>
      </c>
      <c r="F621" s="112" t="s">
        <v>1612</v>
      </c>
      <c r="G621" s="111" t="s">
        <v>20</v>
      </c>
      <c r="H621" s="111"/>
      <c r="I621" s="111">
        <v>201601</v>
      </c>
      <c r="J621" s="113">
        <v>423045.7</v>
      </c>
      <c r="K621" s="72">
        <f t="shared" si="49"/>
        <v>42675</v>
      </c>
      <c r="L621" s="67">
        <f t="shared" si="50"/>
        <v>6</v>
      </c>
      <c r="M621" s="114">
        <v>1.4833299999999999E-3</v>
      </c>
      <c r="N621" s="104">
        <f t="shared" si="51"/>
        <v>3765.0982690860001</v>
      </c>
      <c r="O621" s="66"/>
      <c r="P621" s="66">
        <f t="shared" si="45"/>
        <v>0</v>
      </c>
      <c r="Q621" s="66"/>
      <c r="R621" s="66">
        <f t="shared" si="46"/>
        <v>6998.6741648541674</v>
      </c>
    </row>
    <row r="622" spans="1:18">
      <c r="A622" s="110" t="s">
        <v>14</v>
      </c>
      <c r="B622" s="111" t="s">
        <v>481</v>
      </c>
      <c r="C622" s="111" t="s">
        <v>482</v>
      </c>
      <c r="D622" s="112" t="s">
        <v>483</v>
      </c>
      <c r="E622" s="111" t="s">
        <v>484</v>
      </c>
      <c r="F622" s="112" t="s">
        <v>190</v>
      </c>
      <c r="G622" s="111" t="s">
        <v>20</v>
      </c>
      <c r="H622" s="111"/>
      <c r="I622" s="111">
        <v>201601</v>
      </c>
      <c r="J622" s="113">
        <v>2.02</v>
      </c>
      <c r="K622" s="72">
        <f t="shared" si="49"/>
        <v>42675</v>
      </c>
      <c r="L622" s="67">
        <f t="shared" si="50"/>
        <v>6</v>
      </c>
      <c r="M622" s="114">
        <v>2.23333E-3</v>
      </c>
      <c r="N622" s="104">
        <f t="shared" si="51"/>
        <v>2.7067959599999997E-2</v>
      </c>
      <c r="O622" s="66"/>
      <c r="P622" s="66">
        <f t="shared" si="45"/>
        <v>0</v>
      </c>
      <c r="Q622" s="66"/>
      <c r="R622" s="66">
        <f t="shared" si="46"/>
        <v>3.3417954166666666E-2</v>
      </c>
    </row>
    <row r="623" spans="1:18">
      <c r="A623" s="116" t="s">
        <v>990</v>
      </c>
      <c r="B623" s="111" t="s">
        <v>1010</v>
      </c>
      <c r="C623" s="111" t="s">
        <v>1011</v>
      </c>
      <c r="D623" s="112" t="s">
        <v>1012</v>
      </c>
      <c r="E623" s="111" t="s">
        <v>1013</v>
      </c>
      <c r="F623" s="112" t="s">
        <v>995</v>
      </c>
      <c r="G623" s="111" t="s">
        <v>20</v>
      </c>
      <c r="H623" s="111"/>
      <c r="I623" s="111">
        <v>201601</v>
      </c>
      <c r="J623" s="113">
        <v>3468.34</v>
      </c>
      <c r="K623" s="72">
        <f t="shared" si="49"/>
        <v>42675</v>
      </c>
      <c r="L623" s="67">
        <f t="shared" si="50"/>
        <v>6</v>
      </c>
      <c r="M623" s="114">
        <v>2.0333333000000001E-3</v>
      </c>
      <c r="N623" s="104">
        <f t="shared" si="51"/>
        <v>42.313747306332004</v>
      </c>
      <c r="O623" s="66"/>
      <c r="P623" s="66">
        <f t="shared" si="45"/>
        <v>0</v>
      </c>
      <c r="Q623" s="66"/>
      <c r="R623" s="66">
        <f t="shared" si="46"/>
        <v>57.37862730416667</v>
      </c>
    </row>
    <row r="624" spans="1:18">
      <c r="A624" s="116" t="s">
        <v>14</v>
      </c>
      <c r="B624" s="111" t="s">
        <v>236</v>
      </c>
      <c r="C624" s="111" t="s">
        <v>237</v>
      </c>
      <c r="D624" s="112" t="s">
        <v>188</v>
      </c>
      <c r="E624" s="111" t="s">
        <v>238</v>
      </c>
      <c r="F624" s="112" t="s">
        <v>190</v>
      </c>
      <c r="G624" s="111" t="s">
        <v>20</v>
      </c>
      <c r="H624" s="111"/>
      <c r="I624" s="111">
        <v>201601</v>
      </c>
      <c r="J624" s="113">
        <v>182.4</v>
      </c>
      <c r="K624" s="72">
        <f t="shared" si="49"/>
        <v>42675</v>
      </c>
      <c r="L624" s="67">
        <f t="shared" si="50"/>
        <v>6</v>
      </c>
      <c r="M624" s="114">
        <v>2.23333E-3</v>
      </c>
      <c r="N624" s="104">
        <f t="shared" si="51"/>
        <v>2.4441563519999998</v>
      </c>
      <c r="O624" s="66"/>
      <c r="P624" s="66">
        <f t="shared" si="45"/>
        <v>0</v>
      </c>
      <c r="Q624" s="66"/>
      <c r="R624" s="66">
        <f t="shared" si="46"/>
        <v>3.0175420000000002</v>
      </c>
    </row>
    <row r="625" spans="1:18">
      <c r="A625" s="116" t="s">
        <v>14</v>
      </c>
      <c r="B625" s="111" t="s">
        <v>239</v>
      </c>
      <c r="C625" s="111" t="s">
        <v>240</v>
      </c>
      <c r="D625" s="112" t="s">
        <v>197</v>
      </c>
      <c r="E625" s="111" t="s">
        <v>241</v>
      </c>
      <c r="F625" s="112" t="s">
        <v>199</v>
      </c>
      <c r="G625" s="111" t="s">
        <v>20</v>
      </c>
      <c r="H625" s="111"/>
      <c r="I625" s="111">
        <v>201601</v>
      </c>
      <c r="J625" s="113">
        <v>-9.26</v>
      </c>
      <c r="K625" s="72">
        <f t="shared" si="49"/>
        <v>42675</v>
      </c>
      <c r="L625" s="67">
        <f t="shared" si="50"/>
        <v>6</v>
      </c>
      <c r="M625" s="114">
        <v>2.23333E-3</v>
      </c>
      <c r="N625" s="104">
        <f t="shared" si="51"/>
        <v>-0.12408381479999998</v>
      </c>
      <c r="O625" s="66"/>
      <c r="P625" s="66">
        <f t="shared" si="45"/>
        <v>0</v>
      </c>
      <c r="Q625" s="66"/>
      <c r="R625" s="66">
        <f t="shared" si="46"/>
        <v>-0.15319319583333335</v>
      </c>
    </row>
    <row r="626" spans="1:18">
      <c r="A626" s="116" t="s">
        <v>127</v>
      </c>
      <c r="B626" s="111" t="s">
        <v>1032</v>
      </c>
      <c r="C626" s="111" t="s">
        <v>1033</v>
      </c>
      <c r="D626" s="112" t="s">
        <v>1034</v>
      </c>
      <c r="E626" s="111" t="s">
        <v>209</v>
      </c>
      <c r="F626" s="112" t="s">
        <v>1612</v>
      </c>
      <c r="G626" s="111" t="s">
        <v>20</v>
      </c>
      <c r="H626" s="111"/>
      <c r="I626" s="111">
        <v>201601</v>
      </c>
      <c r="J626" s="113">
        <v>0.06</v>
      </c>
      <c r="K626" s="72">
        <f t="shared" si="49"/>
        <v>42675</v>
      </c>
      <c r="L626" s="67">
        <f t="shared" si="50"/>
        <v>6</v>
      </c>
      <c r="M626" s="114">
        <v>2.3833299999999999E-3</v>
      </c>
      <c r="N626" s="104">
        <f t="shared" si="51"/>
        <v>8.5799879999999995E-4</v>
      </c>
      <c r="O626" s="66"/>
      <c r="P626" s="66">
        <f t="shared" si="45"/>
        <v>0</v>
      </c>
      <c r="Q626" s="66"/>
      <c r="R626" s="66">
        <f t="shared" si="46"/>
        <v>9.9261249999999988E-4</v>
      </c>
    </row>
    <row r="627" spans="1:18">
      <c r="A627" s="116" t="s">
        <v>14</v>
      </c>
      <c r="B627" s="111" t="s">
        <v>706</v>
      </c>
      <c r="C627" s="111" t="s">
        <v>707</v>
      </c>
      <c r="D627" s="112" t="s">
        <v>708</v>
      </c>
      <c r="E627" s="111" t="s">
        <v>709</v>
      </c>
      <c r="F627" s="112" t="s">
        <v>710</v>
      </c>
      <c r="G627" s="111" t="s">
        <v>20</v>
      </c>
      <c r="H627" s="111"/>
      <c r="I627" s="111">
        <v>201601</v>
      </c>
      <c r="J627" s="113">
        <v>-20.2</v>
      </c>
      <c r="K627" s="72">
        <f t="shared" si="49"/>
        <v>42675</v>
      </c>
      <c r="L627" s="67">
        <f t="shared" si="50"/>
        <v>6</v>
      </c>
      <c r="M627" s="114">
        <v>2.23333E-3</v>
      </c>
      <c r="N627" s="104">
        <f t="shared" si="51"/>
        <v>-0.27067959599999997</v>
      </c>
      <c r="O627" s="66"/>
      <c r="P627" s="66">
        <f t="shared" ref="P627:P690" si="52">($P$305*J627*$U$11)</f>
        <v>0</v>
      </c>
      <c r="Q627" s="66"/>
      <c r="R627" s="66">
        <f t="shared" ref="R627:R690" si="53">($R$305*0.5*J627*$U$11)</f>
        <v>-0.33417954166666664</v>
      </c>
    </row>
    <row r="628" spans="1:18">
      <c r="A628" s="116" t="s">
        <v>14</v>
      </c>
      <c r="B628" s="111" t="s">
        <v>267</v>
      </c>
      <c r="C628" s="111" t="s">
        <v>268</v>
      </c>
      <c r="D628" s="112" t="s">
        <v>269</v>
      </c>
      <c r="E628" s="111" t="s">
        <v>270</v>
      </c>
      <c r="F628" s="112" t="s">
        <v>115</v>
      </c>
      <c r="G628" s="111" t="s">
        <v>20</v>
      </c>
      <c r="H628" s="111"/>
      <c r="I628" s="111">
        <v>201601</v>
      </c>
      <c r="J628" s="113">
        <v>1383.83</v>
      </c>
      <c r="K628" s="72">
        <f t="shared" si="49"/>
        <v>42675</v>
      </c>
      <c r="L628" s="67">
        <f t="shared" si="50"/>
        <v>6</v>
      </c>
      <c r="M628" s="114">
        <v>2.23333E-3</v>
      </c>
      <c r="N628" s="104">
        <f t="shared" si="51"/>
        <v>18.543294323399998</v>
      </c>
      <c r="O628" s="66"/>
      <c r="P628" s="66">
        <f t="shared" si="52"/>
        <v>0</v>
      </c>
      <c r="Q628" s="66"/>
      <c r="R628" s="66">
        <f t="shared" si="53"/>
        <v>22.893449264583332</v>
      </c>
    </row>
    <row r="629" spans="1:18">
      <c r="A629" s="110" t="s">
        <v>14</v>
      </c>
      <c r="B629" s="111" t="s">
        <v>271</v>
      </c>
      <c r="C629" s="111" t="s">
        <v>272</v>
      </c>
      <c r="D629" s="112" t="s">
        <v>197</v>
      </c>
      <c r="E629" s="111" t="s">
        <v>273</v>
      </c>
      <c r="F629" s="112" t="s">
        <v>199</v>
      </c>
      <c r="G629" s="111" t="s">
        <v>20</v>
      </c>
      <c r="H629" s="111"/>
      <c r="I629" s="111">
        <v>201601</v>
      </c>
      <c r="J629" s="113">
        <v>-463.4</v>
      </c>
      <c r="K629" s="72">
        <f t="shared" si="49"/>
        <v>42675</v>
      </c>
      <c r="L629" s="67">
        <f t="shared" si="50"/>
        <v>6</v>
      </c>
      <c r="M629" s="114">
        <v>2.23333E-3</v>
      </c>
      <c r="N629" s="104">
        <f t="shared" si="51"/>
        <v>-6.2095507319999994</v>
      </c>
      <c r="O629" s="66"/>
      <c r="P629" s="66">
        <f t="shared" si="52"/>
        <v>0</v>
      </c>
      <c r="Q629" s="66"/>
      <c r="R629" s="66">
        <f t="shared" si="53"/>
        <v>-7.6662772083333328</v>
      </c>
    </row>
    <row r="630" spans="1:18">
      <c r="A630" s="110" t="s">
        <v>626</v>
      </c>
      <c r="B630" s="111" t="s">
        <v>1250</v>
      </c>
      <c r="C630" s="111" t="s">
        <v>1251</v>
      </c>
      <c r="D630" s="112" t="s">
        <v>1252</v>
      </c>
      <c r="E630" s="111" t="s">
        <v>260</v>
      </c>
      <c r="F630" s="112" t="s">
        <v>1608</v>
      </c>
      <c r="G630" s="111" t="s">
        <v>20</v>
      </c>
      <c r="H630" s="111"/>
      <c r="I630" s="111">
        <v>201601</v>
      </c>
      <c r="J630" s="113">
        <v>248.13</v>
      </c>
      <c r="K630" s="72">
        <f t="shared" si="49"/>
        <v>42675</v>
      </c>
      <c r="L630" s="67">
        <f t="shared" si="50"/>
        <v>6</v>
      </c>
      <c r="M630" s="114">
        <v>1.4833299999999999E-3</v>
      </c>
      <c r="N630" s="104">
        <f t="shared" si="51"/>
        <v>2.2083520374000001</v>
      </c>
      <c r="O630" s="66"/>
      <c r="P630" s="66">
        <f t="shared" si="52"/>
        <v>0</v>
      </c>
      <c r="Q630" s="66"/>
      <c r="R630" s="66">
        <f t="shared" si="53"/>
        <v>4.1049489937499999</v>
      </c>
    </row>
    <row r="631" spans="1:18">
      <c r="A631" s="116" t="s">
        <v>14</v>
      </c>
      <c r="B631" s="111" t="s">
        <v>1676</v>
      </c>
      <c r="C631" s="111" t="s">
        <v>1677</v>
      </c>
      <c r="D631" s="112" t="s">
        <v>50</v>
      </c>
      <c r="E631" s="111" t="s">
        <v>1678</v>
      </c>
      <c r="F631" s="112" t="s">
        <v>52</v>
      </c>
      <c r="G631" s="111" t="s">
        <v>20</v>
      </c>
      <c r="H631" s="111"/>
      <c r="I631" s="111">
        <v>201601</v>
      </c>
      <c r="J631" s="113">
        <v>24.21</v>
      </c>
      <c r="K631" s="72">
        <f t="shared" si="49"/>
        <v>42675</v>
      </c>
      <c r="L631" s="67">
        <f t="shared" si="50"/>
        <v>6</v>
      </c>
      <c r="M631" s="114">
        <v>2.23333E-3</v>
      </c>
      <c r="N631" s="104">
        <f t="shared" si="51"/>
        <v>0.3244135158</v>
      </c>
      <c r="O631" s="66"/>
      <c r="P631" s="66">
        <f t="shared" si="52"/>
        <v>0</v>
      </c>
      <c r="Q631" s="66"/>
      <c r="R631" s="66">
        <f t="shared" si="53"/>
        <v>0.40051914375000003</v>
      </c>
    </row>
    <row r="632" spans="1:18">
      <c r="A632" s="116" t="s">
        <v>990</v>
      </c>
      <c r="B632" s="111" t="s">
        <v>1017</v>
      </c>
      <c r="C632" s="111" t="s">
        <v>1018</v>
      </c>
      <c r="D632" s="112" t="s">
        <v>993</v>
      </c>
      <c r="E632" s="111" t="s">
        <v>1019</v>
      </c>
      <c r="F632" s="112" t="s">
        <v>995</v>
      </c>
      <c r="G632" s="111" t="s">
        <v>20</v>
      </c>
      <c r="H632" s="111"/>
      <c r="I632" s="111">
        <v>201601</v>
      </c>
      <c r="J632" s="113">
        <v>43.51</v>
      </c>
      <c r="K632" s="72">
        <f t="shared" si="49"/>
        <v>42675</v>
      </c>
      <c r="L632" s="67">
        <f t="shared" si="50"/>
        <v>6</v>
      </c>
      <c r="M632" s="114">
        <v>2.0333333000000001E-3</v>
      </c>
      <c r="N632" s="104">
        <f t="shared" si="51"/>
        <v>0.53082199129800001</v>
      </c>
      <c r="O632" s="66"/>
      <c r="P632" s="66">
        <f t="shared" si="52"/>
        <v>0</v>
      </c>
      <c r="Q632" s="66"/>
      <c r="R632" s="66">
        <f t="shared" si="53"/>
        <v>0.71980949791666671</v>
      </c>
    </row>
    <row r="633" spans="1:18">
      <c r="A633" s="116" t="s">
        <v>14</v>
      </c>
      <c r="B633" s="111" t="s">
        <v>292</v>
      </c>
      <c r="C633" s="111" t="s">
        <v>293</v>
      </c>
      <c r="D633" s="112" t="s">
        <v>1679</v>
      </c>
      <c r="E633" s="111" t="s">
        <v>294</v>
      </c>
      <c r="F633" s="112" t="s">
        <v>1613</v>
      </c>
      <c r="G633" s="111" t="s">
        <v>20</v>
      </c>
      <c r="H633" s="111"/>
      <c r="I633" s="111">
        <v>201601</v>
      </c>
      <c r="J633" s="113">
        <v>73471.41</v>
      </c>
      <c r="K633" s="72">
        <f t="shared" si="49"/>
        <v>42675</v>
      </c>
      <c r="L633" s="67">
        <f t="shared" si="50"/>
        <v>6</v>
      </c>
      <c r="M633" s="114">
        <v>2.23333E-3</v>
      </c>
      <c r="N633" s="104">
        <f t="shared" si="51"/>
        <v>984.51542457179994</v>
      </c>
      <c r="O633" s="66"/>
      <c r="P633" s="66">
        <f t="shared" si="52"/>
        <v>0</v>
      </c>
      <c r="Q633" s="66"/>
      <c r="R633" s="66">
        <f t="shared" si="53"/>
        <v>1215.4773326437501</v>
      </c>
    </row>
    <row r="634" spans="1:18">
      <c r="A634" s="116" t="s">
        <v>14</v>
      </c>
      <c r="B634" s="111" t="s">
        <v>419</v>
      </c>
      <c r="C634" s="111" t="s">
        <v>420</v>
      </c>
      <c r="D634" s="112" t="s">
        <v>50</v>
      </c>
      <c r="E634" s="111" t="s">
        <v>421</v>
      </c>
      <c r="F634" s="112" t="s">
        <v>52</v>
      </c>
      <c r="G634" s="111" t="s">
        <v>20</v>
      </c>
      <c r="H634" s="111"/>
      <c r="I634" s="111">
        <v>201601</v>
      </c>
      <c r="J634" s="113">
        <v>1735.64</v>
      </c>
      <c r="K634" s="72">
        <f t="shared" si="49"/>
        <v>42675</v>
      </c>
      <c r="L634" s="67">
        <f t="shared" si="50"/>
        <v>6</v>
      </c>
      <c r="M634" s="114">
        <v>2.23333E-3</v>
      </c>
      <c r="N634" s="104">
        <f t="shared" si="51"/>
        <v>23.257541287199999</v>
      </c>
      <c r="O634" s="66"/>
      <c r="P634" s="66">
        <f t="shared" si="52"/>
        <v>0</v>
      </c>
      <c r="Q634" s="66"/>
      <c r="R634" s="66">
        <f t="shared" si="53"/>
        <v>28.713632658333339</v>
      </c>
    </row>
    <row r="635" spans="1:18">
      <c r="A635" s="116" t="s">
        <v>990</v>
      </c>
      <c r="B635" s="111" t="s">
        <v>1020</v>
      </c>
      <c r="C635" s="111" t="s">
        <v>1021</v>
      </c>
      <c r="D635" s="112" t="s">
        <v>1680</v>
      </c>
      <c r="E635" s="111" t="s">
        <v>1022</v>
      </c>
      <c r="F635" s="112" t="s">
        <v>1614</v>
      </c>
      <c r="G635" s="111" t="s">
        <v>20</v>
      </c>
      <c r="H635" s="111"/>
      <c r="I635" s="111">
        <v>201601</v>
      </c>
      <c r="J635" s="113">
        <v>889.07</v>
      </c>
      <c r="K635" s="72">
        <f t="shared" si="49"/>
        <v>42675</v>
      </c>
      <c r="L635" s="67">
        <f t="shared" si="50"/>
        <v>6</v>
      </c>
      <c r="M635" s="114">
        <v>2.0333333000000001E-3</v>
      </c>
      <c r="N635" s="104">
        <f t="shared" si="51"/>
        <v>10.846653822186001</v>
      </c>
      <c r="O635" s="66"/>
      <c r="P635" s="66">
        <f t="shared" si="52"/>
        <v>0</v>
      </c>
      <c r="Q635" s="66"/>
      <c r="R635" s="66">
        <f t="shared" si="53"/>
        <v>14.708366589583335</v>
      </c>
    </row>
    <row r="636" spans="1:18">
      <c r="A636" s="116" t="s">
        <v>14</v>
      </c>
      <c r="B636" s="111" t="s">
        <v>325</v>
      </c>
      <c r="C636" s="111" t="s">
        <v>326</v>
      </c>
      <c r="D636" s="112" t="s">
        <v>327</v>
      </c>
      <c r="E636" s="111" t="s">
        <v>328</v>
      </c>
      <c r="F636" s="112" t="s">
        <v>58</v>
      </c>
      <c r="G636" s="111" t="s">
        <v>20</v>
      </c>
      <c r="H636" s="111"/>
      <c r="I636" s="111">
        <v>201601</v>
      </c>
      <c r="J636" s="113">
        <v>2237.98</v>
      </c>
      <c r="K636" s="72">
        <f t="shared" si="49"/>
        <v>42675</v>
      </c>
      <c r="L636" s="67">
        <f t="shared" si="50"/>
        <v>6</v>
      </c>
      <c r="M636" s="114">
        <v>2.23333E-3</v>
      </c>
      <c r="N636" s="104">
        <f t="shared" si="51"/>
        <v>29.988887240399997</v>
      </c>
      <c r="O636" s="66"/>
      <c r="P636" s="66">
        <f t="shared" si="52"/>
        <v>0</v>
      </c>
      <c r="Q636" s="66"/>
      <c r="R636" s="66">
        <f t="shared" si="53"/>
        <v>37.024115379166666</v>
      </c>
    </row>
    <row r="637" spans="1:18">
      <c r="A637" s="116" t="s">
        <v>626</v>
      </c>
      <c r="B637" s="111" t="s">
        <v>1823</v>
      </c>
      <c r="C637" s="111" t="s">
        <v>1824</v>
      </c>
      <c r="D637" s="112" t="s">
        <v>1825</v>
      </c>
      <c r="E637" s="111" t="s">
        <v>260</v>
      </c>
      <c r="F637" s="112" t="s">
        <v>1608</v>
      </c>
      <c r="G637" s="111" t="s">
        <v>20</v>
      </c>
      <c r="H637" s="111"/>
      <c r="I637" s="111">
        <v>201601</v>
      </c>
      <c r="J637" s="113">
        <v>-27417.5</v>
      </c>
      <c r="K637" s="72">
        <f t="shared" si="49"/>
        <v>42675</v>
      </c>
      <c r="L637" s="67">
        <f t="shared" si="50"/>
        <v>6</v>
      </c>
      <c r="M637" s="114">
        <v>1.4833299999999999E-3</v>
      </c>
      <c r="N637" s="104">
        <f t="shared" si="51"/>
        <v>-244.01520164999999</v>
      </c>
      <c r="O637" s="66"/>
      <c r="P637" s="66">
        <f t="shared" si="52"/>
        <v>0</v>
      </c>
      <c r="Q637" s="66"/>
      <c r="R637" s="66">
        <f t="shared" si="53"/>
        <v>-453.58255364583334</v>
      </c>
    </row>
    <row r="638" spans="1:18">
      <c r="A638" s="110" t="s">
        <v>626</v>
      </c>
      <c r="B638" s="111" t="s">
        <v>1826</v>
      </c>
      <c r="C638" s="111" t="s">
        <v>1827</v>
      </c>
      <c r="D638" s="112" t="s">
        <v>1828</v>
      </c>
      <c r="E638" s="111" t="s">
        <v>25</v>
      </c>
      <c r="F638" s="112" t="s">
        <v>26</v>
      </c>
      <c r="G638" s="111" t="s">
        <v>20</v>
      </c>
      <c r="H638" s="111"/>
      <c r="I638" s="111">
        <v>201601</v>
      </c>
      <c r="J638" s="113">
        <v>6924.66</v>
      </c>
      <c r="K638" s="72">
        <f t="shared" si="49"/>
        <v>42675</v>
      </c>
      <c r="L638" s="67">
        <f t="shared" si="50"/>
        <v>6</v>
      </c>
      <c r="M638" s="114">
        <v>1.4833299999999999E-3</v>
      </c>
      <c r="N638" s="104">
        <f t="shared" si="51"/>
        <v>61.629335506799997</v>
      </c>
      <c r="O638" s="66"/>
      <c r="P638" s="66">
        <f t="shared" si="52"/>
        <v>0</v>
      </c>
      <c r="Q638" s="66"/>
      <c r="R638" s="66">
        <f t="shared" si="53"/>
        <v>114.55840123750001</v>
      </c>
    </row>
    <row r="639" spans="1:18">
      <c r="A639" s="110" t="s">
        <v>626</v>
      </c>
      <c r="B639" s="111" t="s">
        <v>1615</v>
      </c>
      <c r="C639" s="111" t="s">
        <v>1616</v>
      </c>
      <c r="D639" s="112" t="s">
        <v>1617</v>
      </c>
      <c r="E639" s="111" t="s">
        <v>497</v>
      </c>
      <c r="F639" s="112" t="s">
        <v>26</v>
      </c>
      <c r="G639" s="111" t="s">
        <v>20</v>
      </c>
      <c r="H639" s="111"/>
      <c r="I639" s="111">
        <v>201601</v>
      </c>
      <c r="J639" s="113">
        <v>7.15</v>
      </c>
      <c r="K639" s="72">
        <f t="shared" si="49"/>
        <v>42675</v>
      </c>
      <c r="L639" s="67">
        <f t="shared" si="50"/>
        <v>6</v>
      </c>
      <c r="M639" s="114">
        <v>1.4833299999999999E-3</v>
      </c>
      <c r="N639" s="104">
        <f t="shared" si="51"/>
        <v>6.3634857000000003E-2</v>
      </c>
      <c r="O639" s="66"/>
      <c r="P639" s="66">
        <f t="shared" si="52"/>
        <v>0</v>
      </c>
      <c r="Q639" s="66"/>
      <c r="R639" s="66">
        <f t="shared" si="53"/>
        <v>0.11828632291666667</v>
      </c>
    </row>
    <row r="640" spans="1:18">
      <c r="A640" s="110" t="s">
        <v>21</v>
      </c>
      <c r="B640" s="111" t="s">
        <v>1502</v>
      </c>
      <c r="C640" s="111" t="s">
        <v>1503</v>
      </c>
      <c r="D640" s="112" t="s">
        <v>1504</v>
      </c>
      <c r="E640" s="111" t="s">
        <v>172</v>
      </c>
      <c r="F640" s="112" t="s">
        <v>1609</v>
      </c>
      <c r="G640" s="111" t="s">
        <v>20</v>
      </c>
      <c r="H640" s="111"/>
      <c r="I640" s="111">
        <v>201601</v>
      </c>
      <c r="J640" s="113">
        <v>-12.1</v>
      </c>
      <c r="K640" s="72">
        <f t="shared" si="49"/>
        <v>42675</v>
      </c>
      <c r="L640" s="67">
        <f t="shared" si="50"/>
        <v>6</v>
      </c>
      <c r="M640" s="114">
        <v>1.4833299999999999E-3</v>
      </c>
      <c r="N640" s="104">
        <f t="shared" si="51"/>
        <v>-0.107689758</v>
      </c>
      <c r="O640" s="66"/>
      <c r="P640" s="66">
        <f t="shared" si="52"/>
        <v>0</v>
      </c>
      <c r="Q640" s="66"/>
      <c r="R640" s="66">
        <f t="shared" si="53"/>
        <v>-0.20017685416666667</v>
      </c>
    </row>
    <row r="641" spans="1:18">
      <c r="A641" s="110" t="s">
        <v>21</v>
      </c>
      <c r="B641" s="111" t="s">
        <v>1858</v>
      </c>
      <c r="C641" s="111" t="s">
        <v>1859</v>
      </c>
      <c r="D641" s="112" t="s">
        <v>1860</v>
      </c>
      <c r="E641" s="111" t="s">
        <v>70</v>
      </c>
      <c r="F641" s="112" t="s">
        <v>71</v>
      </c>
      <c r="G641" s="111" t="s">
        <v>20</v>
      </c>
      <c r="H641" s="111"/>
      <c r="I641" s="111">
        <v>201601</v>
      </c>
      <c r="J641" s="113">
        <v>18230.509999999998</v>
      </c>
      <c r="K641" s="72">
        <f t="shared" si="49"/>
        <v>42675</v>
      </c>
      <c r="L641" s="67">
        <f t="shared" si="50"/>
        <v>6</v>
      </c>
      <c r="M641" s="114">
        <v>1.4833299999999999E-3</v>
      </c>
      <c r="N641" s="104">
        <f t="shared" si="51"/>
        <v>162.25117438979998</v>
      </c>
      <c r="O641" s="66"/>
      <c r="P641" s="66">
        <f t="shared" si="52"/>
        <v>0</v>
      </c>
      <c r="Q641" s="66"/>
      <c r="R641" s="66">
        <f t="shared" si="53"/>
        <v>301.59720178958332</v>
      </c>
    </row>
    <row r="642" spans="1:18">
      <c r="A642" s="110" t="s">
        <v>626</v>
      </c>
      <c r="B642" s="111" t="s">
        <v>1414</v>
      </c>
      <c r="C642" s="111" t="s">
        <v>1415</v>
      </c>
      <c r="D642" s="112" t="s">
        <v>1416</v>
      </c>
      <c r="E642" s="111" t="s">
        <v>209</v>
      </c>
      <c r="F642" s="112" t="s">
        <v>1612</v>
      </c>
      <c r="G642" s="111" t="s">
        <v>20</v>
      </c>
      <c r="H642" s="111"/>
      <c r="I642" s="111">
        <v>201601</v>
      </c>
      <c r="J642" s="113">
        <v>-0.11</v>
      </c>
      <c r="K642" s="72">
        <f t="shared" si="49"/>
        <v>42675</v>
      </c>
      <c r="L642" s="67">
        <f t="shared" si="50"/>
        <v>6</v>
      </c>
      <c r="M642" s="114">
        <v>1.4833299999999999E-3</v>
      </c>
      <c r="N642" s="104">
        <f t="shared" si="51"/>
        <v>-9.7899779999999995E-4</v>
      </c>
      <c r="O642" s="66"/>
      <c r="P642" s="66">
        <f t="shared" si="52"/>
        <v>0</v>
      </c>
      <c r="Q642" s="66"/>
      <c r="R642" s="66">
        <f t="shared" si="53"/>
        <v>-1.8197895833333335E-3</v>
      </c>
    </row>
    <row r="643" spans="1:18">
      <c r="A643" s="116" t="s">
        <v>626</v>
      </c>
      <c r="B643" s="111" t="s">
        <v>1545</v>
      </c>
      <c r="C643" s="111" t="s">
        <v>1546</v>
      </c>
      <c r="D643" s="112" t="s">
        <v>1547</v>
      </c>
      <c r="E643" s="111" t="s">
        <v>164</v>
      </c>
      <c r="F643" s="112" t="s">
        <v>1600</v>
      </c>
      <c r="G643" s="111" t="s">
        <v>20</v>
      </c>
      <c r="H643" s="111"/>
      <c r="I643" s="111">
        <v>201601</v>
      </c>
      <c r="J643" s="113">
        <v>-4.47</v>
      </c>
      <c r="K643" s="72">
        <f t="shared" si="49"/>
        <v>42675</v>
      </c>
      <c r="L643" s="67">
        <f t="shared" si="50"/>
        <v>6</v>
      </c>
      <c r="M643" s="114">
        <v>1.4833299999999999E-3</v>
      </c>
      <c r="N643" s="104">
        <f t="shared" si="51"/>
        <v>-3.9782910599999999E-2</v>
      </c>
      <c r="O643" s="66"/>
      <c r="P643" s="66">
        <f t="shared" si="52"/>
        <v>0</v>
      </c>
      <c r="Q643" s="66"/>
      <c r="R643" s="66">
        <f t="shared" si="53"/>
        <v>-7.3949631249999995E-2</v>
      </c>
    </row>
    <row r="644" spans="1:18">
      <c r="A644" s="116" t="s">
        <v>21</v>
      </c>
      <c r="B644" s="111" t="s">
        <v>1420</v>
      </c>
      <c r="C644" s="111" t="s">
        <v>1421</v>
      </c>
      <c r="D644" s="112" t="s">
        <v>1422</v>
      </c>
      <c r="E644" s="111" t="s">
        <v>260</v>
      </c>
      <c r="F644" s="112" t="s">
        <v>1608</v>
      </c>
      <c r="G644" s="111" t="s">
        <v>20</v>
      </c>
      <c r="H644" s="111"/>
      <c r="I644" s="111">
        <v>201601</v>
      </c>
      <c r="J644" s="113">
        <v>12.01</v>
      </c>
      <c r="K644" s="72">
        <f t="shared" si="49"/>
        <v>42675</v>
      </c>
      <c r="L644" s="67">
        <f t="shared" si="50"/>
        <v>6</v>
      </c>
      <c r="M644" s="114">
        <v>1.4833299999999999E-3</v>
      </c>
      <c r="N644" s="104">
        <f t="shared" si="51"/>
        <v>0.1068887598</v>
      </c>
      <c r="O644" s="66"/>
      <c r="P644" s="66">
        <f t="shared" si="52"/>
        <v>0</v>
      </c>
      <c r="Q644" s="66"/>
      <c r="R644" s="66">
        <f t="shared" si="53"/>
        <v>0.19868793541666666</v>
      </c>
    </row>
    <row r="645" spans="1:18">
      <c r="A645" s="116" t="s">
        <v>626</v>
      </c>
      <c r="B645" s="111" t="s">
        <v>1420</v>
      </c>
      <c r="C645" s="111" t="s">
        <v>1421</v>
      </c>
      <c r="D645" s="112" t="s">
        <v>1422</v>
      </c>
      <c r="E645" s="111" t="s">
        <v>260</v>
      </c>
      <c r="F645" s="112" t="s">
        <v>1608</v>
      </c>
      <c r="G645" s="111" t="s">
        <v>20</v>
      </c>
      <c r="H645" s="111"/>
      <c r="I645" s="111">
        <v>201601</v>
      </c>
      <c r="J645" s="113">
        <v>46.84</v>
      </c>
      <c r="K645" s="72">
        <f t="shared" si="49"/>
        <v>42675</v>
      </c>
      <c r="L645" s="67">
        <f t="shared" si="50"/>
        <v>6</v>
      </c>
      <c r="M645" s="114">
        <v>1.4833299999999999E-3</v>
      </c>
      <c r="N645" s="104">
        <f t="shared" si="51"/>
        <v>0.41687506320000001</v>
      </c>
      <c r="O645" s="66"/>
      <c r="P645" s="66">
        <f t="shared" si="52"/>
        <v>0</v>
      </c>
      <c r="Q645" s="66"/>
      <c r="R645" s="66">
        <f t="shared" si="53"/>
        <v>0.77489949166666672</v>
      </c>
    </row>
    <row r="646" spans="1:18">
      <c r="A646" s="110" t="s">
        <v>127</v>
      </c>
      <c r="B646" s="111" t="s">
        <v>1785</v>
      </c>
      <c r="C646" s="111" t="s">
        <v>1786</v>
      </c>
      <c r="D646" s="112" t="s">
        <v>1787</v>
      </c>
      <c r="E646" s="111" t="s">
        <v>1580</v>
      </c>
      <c r="F646" s="112" t="s">
        <v>217</v>
      </c>
      <c r="G646" s="111" t="s">
        <v>20</v>
      </c>
      <c r="H646" s="111"/>
      <c r="I646" s="111">
        <v>201601</v>
      </c>
      <c r="J646" s="113">
        <v>26.88</v>
      </c>
      <c r="K646" s="72">
        <f t="shared" si="49"/>
        <v>42675</v>
      </c>
      <c r="L646" s="67">
        <f t="shared" si="50"/>
        <v>6</v>
      </c>
      <c r="M646" s="114">
        <v>2.3833299999999999E-3</v>
      </c>
      <c r="N646" s="104">
        <f t="shared" si="51"/>
        <v>0.38438346239999999</v>
      </c>
      <c r="O646" s="66"/>
      <c r="P646" s="66">
        <f t="shared" si="52"/>
        <v>0</v>
      </c>
      <c r="Q646" s="66"/>
      <c r="R646" s="66">
        <f t="shared" si="53"/>
        <v>0.44469039999999999</v>
      </c>
    </row>
    <row r="647" spans="1:18">
      <c r="A647" s="110" t="s">
        <v>626</v>
      </c>
      <c r="B647" s="111" t="s">
        <v>1829</v>
      </c>
      <c r="C647" s="111" t="s">
        <v>1830</v>
      </c>
      <c r="D647" s="112" t="s">
        <v>1831</v>
      </c>
      <c r="E647" s="111" t="s">
        <v>497</v>
      </c>
      <c r="F647" s="112" t="s">
        <v>26</v>
      </c>
      <c r="G647" s="111" t="s">
        <v>20</v>
      </c>
      <c r="H647" s="111"/>
      <c r="I647" s="111">
        <v>201601</v>
      </c>
      <c r="J647" s="113">
        <v>2350.06</v>
      </c>
      <c r="K647" s="72">
        <f t="shared" ref="K647:K710" si="54">+K646</f>
        <v>42675</v>
      </c>
      <c r="L647" s="67">
        <f t="shared" si="50"/>
        <v>6</v>
      </c>
      <c r="M647" s="114">
        <v>1.4833299999999999E-3</v>
      </c>
      <c r="N647" s="104">
        <f t="shared" si="51"/>
        <v>20.915486998799999</v>
      </c>
      <c r="O647" s="66"/>
      <c r="P647" s="66">
        <f t="shared" si="52"/>
        <v>0</v>
      </c>
      <c r="Q647" s="66"/>
      <c r="R647" s="66">
        <f t="shared" si="53"/>
        <v>38.87831552916667</v>
      </c>
    </row>
    <row r="648" spans="1:18">
      <c r="A648" s="110" t="s">
        <v>626</v>
      </c>
      <c r="B648" s="111" t="s">
        <v>1709</v>
      </c>
      <c r="C648" s="111" t="s">
        <v>1710</v>
      </c>
      <c r="D648" s="112" t="s">
        <v>1711</v>
      </c>
      <c r="E648" s="111" t="s">
        <v>497</v>
      </c>
      <c r="F648" s="112" t="s">
        <v>26</v>
      </c>
      <c r="G648" s="111" t="s">
        <v>20</v>
      </c>
      <c r="H648" s="111"/>
      <c r="I648" s="111">
        <v>201601</v>
      </c>
      <c r="J648" s="113">
        <v>4.5</v>
      </c>
      <c r="K648" s="72">
        <f t="shared" si="54"/>
        <v>42675</v>
      </c>
      <c r="L648" s="67">
        <f t="shared" si="50"/>
        <v>6</v>
      </c>
      <c r="M648" s="114">
        <v>1.4833299999999999E-3</v>
      </c>
      <c r="N648" s="104">
        <f t="shared" si="51"/>
        <v>4.0049910000000001E-2</v>
      </c>
      <c r="O648" s="66"/>
      <c r="P648" s="66">
        <f t="shared" si="52"/>
        <v>0</v>
      </c>
      <c r="Q648" s="66"/>
      <c r="R648" s="66">
        <f t="shared" si="53"/>
        <v>7.4445937500000003E-2</v>
      </c>
    </row>
    <row r="649" spans="1:18">
      <c r="A649" s="110" t="s">
        <v>626</v>
      </c>
      <c r="B649" s="111" t="s">
        <v>1861</v>
      </c>
      <c r="C649" s="111" t="s">
        <v>1862</v>
      </c>
      <c r="D649" s="112" t="s">
        <v>1863</v>
      </c>
      <c r="E649" s="111" t="s">
        <v>75</v>
      </c>
      <c r="F649" s="112" t="s">
        <v>1602</v>
      </c>
      <c r="G649" s="111" t="s">
        <v>20</v>
      </c>
      <c r="H649" s="111"/>
      <c r="I649" s="111">
        <v>201601</v>
      </c>
      <c r="J649" s="113">
        <v>142187.14000000001</v>
      </c>
      <c r="K649" s="72">
        <f t="shared" si="54"/>
        <v>42675</v>
      </c>
      <c r="L649" s="67">
        <f t="shared" si="50"/>
        <v>6</v>
      </c>
      <c r="M649" s="114">
        <v>1.4833299999999999E-3</v>
      </c>
      <c r="N649" s="104">
        <f t="shared" si="51"/>
        <v>1265.4627022572001</v>
      </c>
      <c r="O649" s="66"/>
      <c r="P649" s="66">
        <f t="shared" si="52"/>
        <v>0</v>
      </c>
      <c r="Q649" s="66"/>
      <c r="R649" s="66">
        <f t="shared" si="53"/>
        <v>2352.2788750541667</v>
      </c>
    </row>
    <row r="650" spans="1:18">
      <c r="A650" s="116" t="s">
        <v>626</v>
      </c>
      <c r="B650" s="111" t="s">
        <v>1511</v>
      </c>
      <c r="C650" s="111" t="s">
        <v>1512</v>
      </c>
      <c r="D650" s="112" t="s">
        <v>1513</v>
      </c>
      <c r="E650" s="111" t="s">
        <v>260</v>
      </c>
      <c r="F650" s="112" t="s">
        <v>1608</v>
      </c>
      <c r="G650" s="111" t="s">
        <v>20</v>
      </c>
      <c r="H650" s="111"/>
      <c r="I650" s="111">
        <v>201601</v>
      </c>
      <c r="J650" s="113">
        <v>13.48</v>
      </c>
      <c r="K650" s="72">
        <f t="shared" si="54"/>
        <v>42675</v>
      </c>
      <c r="L650" s="67">
        <f t="shared" si="50"/>
        <v>6</v>
      </c>
      <c r="M650" s="114">
        <v>1.4833299999999999E-3</v>
      </c>
      <c r="N650" s="104">
        <f t="shared" si="51"/>
        <v>0.1199717304</v>
      </c>
      <c r="O650" s="66"/>
      <c r="P650" s="66">
        <f t="shared" si="52"/>
        <v>0</v>
      </c>
      <c r="Q650" s="66"/>
      <c r="R650" s="66">
        <f t="shared" si="53"/>
        <v>0.22300694166666668</v>
      </c>
    </row>
    <row r="651" spans="1:18">
      <c r="A651" s="116" t="s">
        <v>626</v>
      </c>
      <c r="B651" s="111" t="s">
        <v>1864</v>
      </c>
      <c r="C651" s="111" t="s">
        <v>1865</v>
      </c>
      <c r="D651" s="112" t="s">
        <v>1866</v>
      </c>
      <c r="E651" s="111" t="s">
        <v>75</v>
      </c>
      <c r="F651" s="112" t="s">
        <v>1602</v>
      </c>
      <c r="G651" s="111" t="s">
        <v>20</v>
      </c>
      <c r="H651" s="111"/>
      <c r="I651" s="111">
        <v>201601</v>
      </c>
      <c r="J651" s="113">
        <v>403641.69</v>
      </c>
      <c r="K651" s="72">
        <f t="shared" si="54"/>
        <v>42675</v>
      </c>
      <c r="L651" s="67">
        <f t="shared" si="50"/>
        <v>6</v>
      </c>
      <c r="M651" s="114">
        <v>1.4833299999999999E-3</v>
      </c>
      <c r="N651" s="104">
        <f t="shared" si="51"/>
        <v>3592.4029681662</v>
      </c>
      <c r="O651" s="66"/>
      <c r="P651" s="66">
        <f t="shared" si="52"/>
        <v>0</v>
      </c>
      <c r="Q651" s="66"/>
      <c r="R651" s="66">
        <f t="shared" si="53"/>
        <v>6677.6631169187494</v>
      </c>
    </row>
    <row r="652" spans="1:18">
      <c r="A652" s="116" t="s">
        <v>626</v>
      </c>
      <c r="B652" s="111" t="s">
        <v>1867</v>
      </c>
      <c r="C652" s="111" t="s">
        <v>1868</v>
      </c>
      <c r="D652" s="112" t="s">
        <v>1869</v>
      </c>
      <c r="E652" s="111" t="s">
        <v>75</v>
      </c>
      <c r="F652" s="112" t="s">
        <v>1602</v>
      </c>
      <c r="G652" s="111" t="s">
        <v>20</v>
      </c>
      <c r="H652" s="111"/>
      <c r="I652" s="111">
        <v>201601</v>
      </c>
      <c r="J652" s="113">
        <v>164242.73000000001</v>
      </c>
      <c r="K652" s="72">
        <f t="shared" si="54"/>
        <v>42675</v>
      </c>
      <c r="L652" s="67">
        <f t="shared" si="50"/>
        <v>6</v>
      </c>
      <c r="M652" s="114">
        <v>1.4833299999999999E-3</v>
      </c>
      <c r="N652" s="104">
        <f t="shared" si="51"/>
        <v>1461.7570121454</v>
      </c>
      <c r="O652" s="66"/>
      <c r="P652" s="66">
        <f t="shared" si="52"/>
        <v>0</v>
      </c>
      <c r="Q652" s="66"/>
      <c r="R652" s="66">
        <f t="shared" si="53"/>
        <v>2717.1564472020837</v>
      </c>
    </row>
    <row r="653" spans="1:18">
      <c r="A653" s="116" t="s">
        <v>626</v>
      </c>
      <c r="B653" s="111" t="s">
        <v>1870</v>
      </c>
      <c r="C653" s="111" t="s">
        <v>1871</v>
      </c>
      <c r="D653" s="112" t="s">
        <v>1872</v>
      </c>
      <c r="E653" s="111" t="s">
        <v>75</v>
      </c>
      <c r="F653" s="112" t="s">
        <v>1602</v>
      </c>
      <c r="G653" s="111" t="s">
        <v>20</v>
      </c>
      <c r="H653" s="111"/>
      <c r="I653" s="111">
        <v>201601</v>
      </c>
      <c r="J653" s="113">
        <v>512782.52</v>
      </c>
      <c r="K653" s="72">
        <f t="shared" si="54"/>
        <v>42675</v>
      </c>
      <c r="L653" s="67">
        <f t="shared" si="50"/>
        <v>6</v>
      </c>
      <c r="M653" s="114">
        <v>1.4833299999999999E-3</v>
      </c>
      <c r="N653" s="104">
        <f t="shared" si="51"/>
        <v>4563.7541723496006</v>
      </c>
      <c r="O653" s="66"/>
      <c r="P653" s="66">
        <f t="shared" si="52"/>
        <v>0</v>
      </c>
      <c r="Q653" s="66"/>
      <c r="R653" s="66">
        <f t="shared" si="53"/>
        <v>8483.2389855583351</v>
      </c>
    </row>
    <row r="654" spans="1:18">
      <c r="A654" s="110" t="s">
        <v>626</v>
      </c>
      <c r="B654" s="111" t="s">
        <v>1514</v>
      </c>
      <c r="C654" s="111" t="s">
        <v>1515</v>
      </c>
      <c r="D654" s="112" t="s">
        <v>1516</v>
      </c>
      <c r="E654" s="111" t="s">
        <v>809</v>
      </c>
      <c r="F654" s="112" t="s">
        <v>26</v>
      </c>
      <c r="G654" s="111" t="s">
        <v>20</v>
      </c>
      <c r="H654" s="111"/>
      <c r="I654" s="111">
        <v>201601</v>
      </c>
      <c r="J654" s="113">
        <v>17.34</v>
      </c>
      <c r="K654" s="72">
        <f t="shared" si="54"/>
        <v>42675</v>
      </c>
      <c r="L654" s="67">
        <f t="shared" si="50"/>
        <v>6</v>
      </c>
      <c r="M654" s="114">
        <v>1.4833299999999999E-3</v>
      </c>
      <c r="N654" s="104">
        <f t="shared" si="51"/>
        <v>0.1543256532</v>
      </c>
      <c r="O654" s="66"/>
      <c r="P654" s="66">
        <f t="shared" si="52"/>
        <v>0</v>
      </c>
      <c r="Q654" s="66"/>
      <c r="R654" s="66">
        <f t="shared" si="53"/>
        <v>0.28686501250000002</v>
      </c>
    </row>
    <row r="655" spans="1:18">
      <c r="A655" s="110" t="s">
        <v>626</v>
      </c>
      <c r="B655" s="111" t="s">
        <v>1873</v>
      </c>
      <c r="C655" s="111" t="s">
        <v>1874</v>
      </c>
      <c r="D655" s="112" t="s">
        <v>1875</v>
      </c>
      <c r="E655" s="111" t="s">
        <v>75</v>
      </c>
      <c r="F655" s="112" t="s">
        <v>1602</v>
      </c>
      <c r="G655" s="111" t="s">
        <v>20</v>
      </c>
      <c r="H655" s="111"/>
      <c r="I655" s="111">
        <v>201601</v>
      </c>
      <c r="J655" s="113">
        <v>411869.64</v>
      </c>
      <c r="K655" s="72">
        <f t="shared" si="54"/>
        <v>42675</v>
      </c>
      <c r="L655" s="67">
        <f t="shared" si="50"/>
        <v>6</v>
      </c>
      <c r="M655" s="114">
        <v>1.4833299999999999E-3</v>
      </c>
      <c r="N655" s="104">
        <f t="shared" si="51"/>
        <v>3665.6315586072001</v>
      </c>
      <c r="O655" s="66"/>
      <c r="P655" s="66">
        <f t="shared" si="52"/>
        <v>0</v>
      </c>
      <c r="Q655" s="66"/>
      <c r="R655" s="66">
        <f t="shared" si="53"/>
        <v>6813.7825505750006</v>
      </c>
    </row>
    <row r="656" spans="1:18">
      <c r="A656" s="110" t="s">
        <v>626</v>
      </c>
      <c r="B656" s="118" t="s">
        <v>1681</v>
      </c>
      <c r="C656" s="111" t="s">
        <v>1703</v>
      </c>
      <c r="D656" s="112" t="s">
        <v>1704</v>
      </c>
      <c r="E656" s="111" t="s">
        <v>164</v>
      </c>
      <c r="F656" s="112" t="s">
        <v>1600</v>
      </c>
      <c r="G656" s="111" t="s">
        <v>20</v>
      </c>
      <c r="H656" s="111"/>
      <c r="I656" s="111">
        <v>201601</v>
      </c>
      <c r="J656" s="113">
        <v>-175.31</v>
      </c>
      <c r="K656" s="72">
        <f t="shared" si="54"/>
        <v>42675</v>
      </c>
      <c r="L656" s="67">
        <f t="shared" si="50"/>
        <v>6</v>
      </c>
      <c r="M656" s="114">
        <v>1.4833299999999999E-3</v>
      </c>
      <c r="N656" s="104">
        <f t="shared" si="51"/>
        <v>-1.5602554937999999</v>
      </c>
      <c r="O656" s="66"/>
      <c r="P656" s="66">
        <f t="shared" si="52"/>
        <v>0</v>
      </c>
      <c r="Q656" s="66"/>
      <c r="R656" s="66">
        <f t="shared" si="53"/>
        <v>-2.9002482895833337</v>
      </c>
    </row>
    <row r="657" spans="1:18">
      <c r="A657" s="116" t="s">
        <v>626</v>
      </c>
      <c r="B657" s="118" t="s">
        <v>1681</v>
      </c>
      <c r="C657" s="111" t="s">
        <v>1705</v>
      </c>
      <c r="D657" s="112" t="s">
        <v>1706</v>
      </c>
      <c r="E657" s="111" t="s">
        <v>75</v>
      </c>
      <c r="F657" s="112" t="s">
        <v>1602</v>
      </c>
      <c r="G657" s="111" t="s">
        <v>20</v>
      </c>
      <c r="H657" s="111"/>
      <c r="I657" s="111">
        <v>201601</v>
      </c>
      <c r="J657" s="113">
        <v>6494.28</v>
      </c>
      <c r="K657" s="72">
        <f t="shared" si="54"/>
        <v>42675</v>
      </c>
      <c r="L657" s="67">
        <f t="shared" si="50"/>
        <v>6</v>
      </c>
      <c r="M657" s="114">
        <v>1.4833299999999999E-3</v>
      </c>
      <c r="N657" s="104">
        <f t="shared" si="51"/>
        <v>57.798962114399998</v>
      </c>
      <c r="O657" s="66"/>
      <c r="P657" s="66">
        <f t="shared" si="52"/>
        <v>0</v>
      </c>
      <c r="Q657" s="66"/>
      <c r="R657" s="66">
        <f t="shared" si="53"/>
        <v>107.438391775</v>
      </c>
    </row>
    <row r="658" spans="1:18">
      <c r="A658" s="116" t="s">
        <v>626</v>
      </c>
      <c r="B658" s="118" t="s">
        <v>1681</v>
      </c>
      <c r="C658" s="111" t="s">
        <v>1707</v>
      </c>
      <c r="D658" s="112" t="s">
        <v>1708</v>
      </c>
      <c r="E658" s="111" t="s">
        <v>75</v>
      </c>
      <c r="F658" s="112" t="s">
        <v>1602</v>
      </c>
      <c r="G658" s="111" t="s">
        <v>20</v>
      </c>
      <c r="H658" s="111"/>
      <c r="I658" s="111">
        <v>201601</v>
      </c>
      <c r="J658" s="113">
        <v>175.93</v>
      </c>
      <c r="K658" s="72">
        <f t="shared" si="54"/>
        <v>42675</v>
      </c>
      <c r="L658" s="67">
        <f t="shared" si="50"/>
        <v>6</v>
      </c>
      <c r="M658" s="114">
        <v>1.4833299999999999E-3</v>
      </c>
      <c r="N658" s="104">
        <f t="shared" si="51"/>
        <v>1.5657734814000002</v>
      </c>
      <c r="O658" s="66"/>
      <c r="P658" s="66">
        <f t="shared" si="52"/>
        <v>0</v>
      </c>
      <c r="Q658" s="66"/>
      <c r="R658" s="66">
        <f t="shared" si="53"/>
        <v>2.9105052854166669</v>
      </c>
    </row>
    <row r="659" spans="1:18">
      <c r="A659" s="116" t="s">
        <v>626</v>
      </c>
      <c r="B659" s="111" t="s">
        <v>1832</v>
      </c>
      <c r="C659" s="111" t="s">
        <v>1833</v>
      </c>
      <c r="D659" s="112" t="s">
        <v>1834</v>
      </c>
      <c r="E659" s="111" t="s">
        <v>497</v>
      </c>
      <c r="F659" s="112" t="s">
        <v>26</v>
      </c>
      <c r="G659" s="111" t="s">
        <v>20</v>
      </c>
      <c r="H659" s="111"/>
      <c r="I659" s="111">
        <v>201601</v>
      </c>
      <c r="J659" s="113">
        <v>59.28</v>
      </c>
      <c r="K659" s="72">
        <f t="shared" si="54"/>
        <v>42675</v>
      </c>
      <c r="L659" s="67">
        <f t="shared" si="50"/>
        <v>6</v>
      </c>
      <c r="M659" s="114">
        <v>1.4833299999999999E-3</v>
      </c>
      <c r="N659" s="104">
        <f t="shared" si="51"/>
        <v>0.5275908144</v>
      </c>
      <c r="O659" s="66"/>
      <c r="P659" s="66">
        <f t="shared" si="52"/>
        <v>0</v>
      </c>
      <c r="Q659" s="66"/>
      <c r="R659" s="66">
        <f t="shared" si="53"/>
        <v>0.98070115000000002</v>
      </c>
    </row>
    <row r="660" spans="1:18">
      <c r="A660" s="116" t="s">
        <v>626</v>
      </c>
      <c r="B660" s="111" t="s">
        <v>1712</v>
      </c>
      <c r="C660" s="111" t="s">
        <v>1713</v>
      </c>
      <c r="D660" s="112" t="s">
        <v>1714</v>
      </c>
      <c r="E660" s="111" t="s">
        <v>497</v>
      </c>
      <c r="F660" s="112" t="s">
        <v>26</v>
      </c>
      <c r="G660" s="111" t="s">
        <v>20</v>
      </c>
      <c r="H660" s="111"/>
      <c r="I660" s="111">
        <v>201601</v>
      </c>
      <c r="J660" s="113">
        <v>7.45</v>
      </c>
      <c r="K660" s="72">
        <f t="shared" si="54"/>
        <v>42675</v>
      </c>
      <c r="L660" s="67">
        <f t="shared" si="50"/>
        <v>6</v>
      </c>
      <c r="M660" s="114">
        <v>1.4833299999999999E-3</v>
      </c>
      <c r="N660" s="104">
        <f t="shared" si="51"/>
        <v>6.6304850999999998E-2</v>
      </c>
      <c r="O660" s="66"/>
      <c r="P660" s="66">
        <f t="shared" si="52"/>
        <v>0</v>
      </c>
      <c r="Q660" s="66"/>
      <c r="R660" s="66">
        <f t="shared" si="53"/>
        <v>0.12324938541666666</v>
      </c>
    </row>
    <row r="661" spans="1:18">
      <c r="A661" s="116" t="s">
        <v>626</v>
      </c>
      <c r="B661" s="111" t="s">
        <v>1715</v>
      </c>
      <c r="C661" s="111" t="s">
        <v>1716</v>
      </c>
      <c r="D661" s="112" t="s">
        <v>1717</v>
      </c>
      <c r="E661" s="111" t="s">
        <v>497</v>
      </c>
      <c r="F661" s="112" t="s">
        <v>26</v>
      </c>
      <c r="G661" s="111" t="s">
        <v>20</v>
      </c>
      <c r="H661" s="111"/>
      <c r="I661" s="111">
        <v>201601</v>
      </c>
      <c r="J661" s="113">
        <v>-0.81</v>
      </c>
      <c r="K661" s="72">
        <f t="shared" si="54"/>
        <v>42675</v>
      </c>
      <c r="L661" s="67">
        <f t="shared" si="50"/>
        <v>6</v>
      </c>
      <c r="M661" s="114">
        <v>1.4833299999999999E-3</v>
      </c>
      <c r="N661" s="104">
        <f t="shared" si="51"/>
        <v>-7.2089838000000007E-3</v>
      </c>
      <c r="O661" s="66"/>
      <c r="P661" s="66">
        <f t="shared" si="52"/>
        <v>0</v>
      </c>
      <c r="Q661" s="66"/>
      <c r="R661" s="66">
        <f t="shared" si="53"/>
        <v>-1.3400268750000001E-2</v>
      </c>
    </row>
    <row r="662" spans="1:18">
      <c r="A662" s="110" t="s">
        <v>626</v>
      </c>
      <c r="B662" s="111" t="s">
        <v>1835</v>
      </c>
      <c r="C662" s="111" t="s">
        <v>1836</v>
      </c>
      <c r="D662" s="112" t="s">
        <v>1837</v>
      </c>
      <c r="E662" s="111" t="s">
        <v>497</v>
      </c>
      <c r="F662" s="112" t="s">
        <v>26</v>
      </c>
      <c r="G662" s="111" t="s">
        <v>20</v>
      </c>
      <c r="H662" s="111"/>
      <c r="I662" s="111">
        <v>201601</v>
      </c>
      <c r="J662" s="113">
        <v>1131.74</v>
      </c>
      <c r="K662" s="72">
        <f t="shared" si="54"/>
        <v>42675</v>
      </c>
      <c r="L662" s="67">
        <f t="shared" si="50"/>
        <v>6</v>
      </c>
      <c r="M662" s="114">
        <v>1.4833299999999999E-3</v>
      </c>
      <c r="N662" s="104">
        <f t="shared" si="51"/>
        <v>10.072463365200001</v>
      </c>
      <c r="O662" s="66"/>
      <c r="P662" s="66">
        <f t="shared" si="52"/>
        <v>0</v>
      </c>
      <c r="Q662" s="66"/>
      <c r="R662" s="66">
        <f t="shared" si="53"/>
        <v>18.722987845833334</v>
      </c>
    </row>
    <row r="663" spans="1:18">
      <c r="A663" s="116" t="s">
        <v>626</v>
      </c>
      <c r="B663" s="111" t="s">
        <v>1718</v>
      </c>
      <c r="C663" s="111" t="s">
        <v>1719</v>
      </c>
      <c r="D663" s="112" t="s">
        <v>1720</v>
      </c>
      <c r="E663" s="111" t="s">
        <v>497</v>
      </c>
      <c r="F663" s="112" t="s">
        <v>26</v>
      </c>
      <c r="G663" s="111" t="s">
        <v>20</v>
      </c>
      <c r="H663" s="111"/>
      <c r="I663" s="111">
        <v>201601</v>
      </c>
      <c r="J663" s="113">
        <v>61.53</v>
      </c>
      <c r="K663" s="72">
        <f t="shared" si="54"/>
        <v>42675</v>
      </c>
      <c r="L663" s="67">
        <f t="shared" si="50"/>
        <v>6</v>
      </c>
      <c r="M663" s="114">
        <v>1.4833299999999999E-3</v>
      </c>
      <c r="N663" s="104">
        <f t="shared" si="51"/>
        <v>0.54761576940000001</v>
      </c>
      <c r="O663" s="66"/>
      <c r="P663" s="66">
        <f t="shared" si="52"/>
        <v>0</v>
      </c>
      <c r="Q663" s="66"/>
      <c r="R663" s="66">
        <f t="shared" si="53"/>
        <v>1.0179241187500001</v>
      </c>
    </row>
    <row r="664" spans="1:18">
      <c r="A664" s="116" t="s">
        <v>626</v>
      </c>
      <c r="B664" s="111" t="s">
        <v>1620</v>
      </c>
      <c r="C664" s="111" t="s">
        <v>1621</v>
      </c>
      <c r="D664" s="112" t="s">
        <v>1622</v>
      </c>
      <c r="E664" s="111" t="s">
        <v>497</v>
      </c>
      <c r="F664" s="112" t="s">
        <v>26</v>
      </c>
      <c r="G664" s="111" t="s">
        <v>20</v>
      </c>
      <c r="H664" s="111"/>
      <c r="I664" s="111">
        <v>201601</v>
      </c>
      <c r="J664" s="113">
        <v>220.39</v>
      </c>
      <c r="K664" s="72">
        <f t="shared" si="54"/>
        <v>42675</v>
      </c>
      <c r="L664" s="67">
        <f t="shared" si="50"/>
        <v>6</v>
      </c>
      <c r="M664" s="114">
        <v>1.4833299999999999E-3</v>
      </c>
      <c r="N664" s="104">
        <f t="shared" si="51"/>
        <v>1.9614665921999999</v>
      </c>
      <c r="O664" s="66"/>
      <c r="P664" s="66">
        <f t="shared" si="52"/>
        <v>0</v>
      </c>
      <c r="Q664" s="66"/>
      <c r="R664" s="66">
        <f t="shared" si="53"/>
        <v>3.6460311479166667</v>
      </c>
    </row>
    <row r="665" spans="1:18">
      <c r="A665" s="116" t="s">
        <v>626</v>
      </c>
      <c r="B665" s="111" t="s">
        <v>1770</v>
      </c>
      <c r="C665" s="111" t="s">
        <v>1771</v>
      </c>
      <c r="D665" s="112" t="s">
        <v>1772</v>
      </c>
      <c r="E665" s="111" t="s">
        <v>93</v>
      </c>
      <c r="F665" s="112" t="s">
        <v>1601</v>
      </c>
      <c r="G665" s="111" t="s">
        <v>20</v>
      </c>
      <c r="H665" s="111"/>
      <c r="I665" s="111">
        <v>201601</v>
      </c>
      <c r="J665" s="113">
        <v>18.309999999999999</v>
      </c>
      <c r="K665" s="72">
        <f t="shared" si="54"/>
        <v>42675</v>
      </c>
      <c r="L665" s="67">
        <f t="shared" si="50"/>
        <v>6</v>
      </c>
      <c r="M665" s="114">
        <v>1.4833299999999999E-3</v>
      </c>
      <c r="N665" s="104">
        <f t="shared" si="51"/>
        <v>0.1629586338</v>
      </c>
      <c r="O665" s="66"/>
      <c r="P665" s="66">
        <f t="shared" si="52"/>
        <v>0</v>
      </c>
      <c r="Q665" s="66"/>
      <c r="R665" s="66">
        <f t="shared" si="53"/>
        <v>0.30291224791666665</v>
      </c>
    </row>
    <row r="666" spans="1:18">
      <c r="A666" s="116" t="s">
        <v>626</v>
      </c>
      <c r="B666" s="111" t="s">
        <v>1721</v>
      </c>
      <c r="C666" s="111" t="s">
        <v>1722</v>
      </c>
      <c r="D666" s="112" t="s">
        <v>1723</v>
      </c>
      <c r="E666" s="111" t="s">
        <v>75</v>
      </c>
      <c r="F666" s="112" t="s">
        <v>1602</v>
      </c>
      <c r="G666" s="111" t="s">
        <v>20</v>
      </c>
      <c r="H666" s="111"/>
      <c r="I666" s="111">
        <v>201601</v>
      </c>
      <c r="J666" s="113">
        <v>-867.57</v>
      </c>
      <c r="K666" s="72">
        <f t="shared" si="54"/>
        <v>42675</v>
      </c>
      <c r="L666" s="67">
        <f t="shared" si="50"/>
        <v>6</v>
      </c>
      <c r="M666" s="114">
        <v>1.4833299999999999E-3</v>
      </c>
      <c r="N666" s="104">
        <f t="shared" si="51"/>
        <v>-7.7213556486000003</v>
      </c>
      <c r="O666" s="66"/>
      <c r="P666" s="66">
        <f t="shared" si="52"/>
        <v>0</v>
      </c>
      <c r="Q666" s="66"/>
      <c r="R666" s="66">
        <f t="shared" si="53"/>
        <v>-14.352680443750002</v>
      </c>
    </row>
    <row r="667" spans="1:18">
      <c r="A667" s="116" t="s">
        <v>626</v>
      </c>
      <c r="B667" s="111" t="s">
        <v>1548</v>
      </c>
      <c r="C667" s="111" t="s">
        <v>1549</v>
      </c>
      <c r="D667" s="112" t="s">
        <v>1550</v>
      </c>
      <c r="E667" s="111" t="s">
        <v>164</v>
      </c>
      <c r="F667" s="112" t="s">
        <v>1600</v>
      </c>
      <c r="G667" s="111" t="s">
        <v>20</v>
      </c>
      <c r="H667" s="111"/>
      <c r="I667" s="111">
        <v>201601</v>
      </c>
      <c r="J667" s="113">
        <v>7.61</v>
      </c>
      <c r="K667" s="72">
        <f t="shared" si="54"/>
        <v>42675</v>
      </c>
      <c r="L667" s="67">
        <f t="shared" si="50"/>
        <v>6</v>
      </c>
      <c r="M667" s="114">
        <v>1.4833299999999999E-3</v>
      </c>
      <c r="N667" s="104">
        <f t="shared" si="51"/>
        <v>6.7728847800000005E-2</v>
      </c>
      <c r="O667" s="66"/>
      <c r="P667" s="66">
        <f t="shared" si="52"/>
        <v>0</v>
      </c>
      <c r="Q667" s="66"/>
      <c r="R667" s="66">
        <f t="shared" si="53"/>
        <v>0.12589635208333336</v>
      </c>
    </row>
    <row r="668" spans="1:18">
      <c r="A668" s="110" t="s">
        <v>626</v>
      </c>
      <c r="B668" s="111" t="s">
        <v>1724</v>
      </c>
      <c r="C668" s="111" t="s">
        <v>1725</v>
      </c>
      <c r="D668" s="112" t="s">
        <v>1726</v>
      </c>
      <c r="E668" s="111" t="s">
        <v>75</v>
      </c>
      <c r="F668" s="112" t="s">
        <v>1602</v>
      </c>
      <c r="G668" s="111" t="s">
        <v>20</v>
      </c>
      <c r="H668" s="111"/>
      <c r="I668" s="111">
        <v>201601</v>
      </c>
      <c r="J668" s="113">
        <v>-404.81</v>
      </c>
      <c r="K668" s="72">
        <f t="shared" si="54"/>
        <v>42675</v>
      </c>
      <c r="L668" s="67">
        <f t="shared" si="50"/>
        <v>6</v>
      </c>
      <c r="M668" s="114">
        <v>1.4833299999999999E-3</v>
      </c>
      <c r="N668" s="104">
        <f t="shared" si="51"/>
        <v>-3.6028009038</v>
      </c>
      <c r="O668" s="66"/>
      <c r="P668" s="66">
        <f t="shared" si="52"/>
        <v>0</v>
      </c>
      <c r="Q668" s="66"/>
      <c r="R668" s="66">
        <f t="shared" si="53"/>
        <v>-6.6969911020833335</v>
      </c>
    </row>
    <row r="669" spans="1:18">
      <c r="A669" s="110" t="s">
        <v>626</v>
      </c>
      <c r="B669" s="111" t="s">
        <v>1375</v>
      </c>
      <c r="C669" s="111" t="s">
        <v>1376</v>
      </c>
      <c r="D669" s="112" t="s">
        <v>1374</v>
      </c>
      <c r="E669" s="111" t="s">
        <v>497</v>
      </c>
      <c r="F669" s="112" t="s">
        <v>26</v>
      </c>
      <c r="G669" s="111" t="s">
        <v>20</v>
      </c>
      <c r="H669" s="111"/>
      <c r="I669" s="111">
        <v>201601</v>
      </c>
      <c r="J669" s="113">
        <v>233.22</v>
      </c>
      <c r="K669" s="72">
        <f t="shared" si="54"/>
        <v>42675</v>
      </c>
      <c r="L669" s="67">
        <f t="shared" ref="L669:L732" si="55">((YEAR($L$1)-YEAR(K669))*12+MONTH($L$1)-MONTH(K669))</f>
        <v>6</v>
      </c>
      <c r="M669" s="114">
        <v>1.4833299999999999E-3</v>
      </c>
      <c r="N669" s="104">
        <f t="shared" ref="N669:N732" si="56">M669*L669*J669</f>
        <v>2.0756533356000002</v>
      </c>
      <c r="O669" s="66"/>
      <c r="P669" s="66">
        <f t="shared" si="52"/>
        <v>0</v>
      </c>
      <c r="Q669" s="66"/>
      <c r="R669" s="66">
        <f t="shared" si="53"/>
        <v>3.8582847874999997</v>
      </c>
    </row>
    <row r="670" spans="1:18">
      <c r="A670" s="110" t="s">
        <v>626</v>
      </c>
      <c r="B670" s="111" t="s">
        <v>1444</v>
      </c>
      <c r="C670" s="111" t="s">
        <v>1445</v>
      </c>
      <c r="D670" s="112" t="s">
        <v>1282</v>
      </c>
      <c r="E670" s="111" t="s">
        <v>164</v>
      </c>
      <c r="F670" s="112" t="s">
        <v>1600</v>
      </c>
      <c r="G670" s="111" t="s">
        <v>20</v>
      </c>
      <c r="H670" s="111"/>
      <c r="I670" s="111">
        <v>201601</v>
      </c>
      <c r="J670" s="113">
        <v>-170.2</v>
      </c>
      <c r="K670" s="72">
        <f t="shared" si="54"/>
        <v>42675</v>
      </c>
      <c r="L670" s="67">
        <f t="shared" si="55"/>
        <v>6</v>
      </c>
      <c r="M670" s="114">
        <v>1.4833299999999999E-3</v>
      </c>
      <c r="N670" s="104">
        <f t="shared" si="56"/>
        <v>-1.5147765959999999</v>
      </c>
      <c r="O670" s="66"/>
      <c r="P670" s="66">
        <f t="shared" si="52"/>
        <v>0</v>
      </c>
      <c r="Q670" s="66"/>
      <c r="R670" s="66">
        <f t="shared" si="53"/>
        <v>-2.8157107916666666</v>
      </c>
    </row>
    <row r="671" spans="1:18">
      <c r="A671" s="110" t="s">
        <v>626</v>
      </c>
      <c r="B671" s="111" t="s">
        <v>1788</v>
      </c>
      <c r="C671" s="111" t="s">
        <v>1789</v>
      </c>
      <c r="D671" s="112" t="s">
        <v>1790</v>
      </c>
      <c r="E671" s="111" t="s">
        <v>25</v>
      </c>
      <c r="F671" s="112" t="s">
        <v>26</v>
      </c>
      <c r="G671" s="111" t="s">
        <v>20</v>
      </c>
      <c r="H671" s="111"/>
      <c r="I671" s="111">
        <v>201601</v>
      </c>
      <c r="J671" s="113">
        <v>954.81</v>
      </c>
      <c r="K671" s="72">
        <f t="shared" si="54"/>
        <v>42675</v>
      </c>
      <c r="L671" s="67">
        <f t="shared" si="55"/>
        <v>6</v>
      </c>
      <c r="M671" s="114">
        <v>1.4833299999999999E-3</v>
      </c>
      <c r="N671" s="104">
        <f t="shared" si="56"/>
        <v>8.4977899037999993</v>
      </c>
      <c r="O671" s="66"/>
      <c r="P671" s="66">
        <f t="shared" si="52"/>
        <v>0</v>
      </c>
      <c r="Q671" s="66"/>
      <c r="R671" s="66">
        <f t="shared" si="53"/>
        <v>15.795939018750001</v>
      </c>
    </row>
    <row r="672" spans="1:18">
      <c r="A672" s="110" t="s">
        <v>626</v>
      </c>
      <c r="B672" s="111" t="s">
        <v>1791</v>
      </c>
      <c r="C672" s="111" t="s">
        <v>1792</v>
      </c>
      <c r="D672" s="112" t="s">
        <v>1793</v>
      </c>
      <c r="E672" s="111" t="s">
        <v>75</v>
      </c>
      <c r="F672" s="112" t="s">
        <v>1602</v>
      </c>
      <c r="G672" s="111" t="s">
        <v>20</v>
      </c>
      <c r="H672" s="111"/>
      <c r="I672" s="111">
        <v>201601</v>
      </c>
      <c r="J672" s="113">
        <v>2368.34</v>
      </c>
      <c r="K672" s="72">
        <f t="shared" si="54"/>
        <v>42675</v>
      </c>
      <c r="L672" s="67">
        <f t="shared" si="55"/>
        <v>6</v>
      </c>
      <c r="M672" s="114">
        <v>1.4833299999999999E-3</v>
      </c>
      <c r="N672" s="104">
        <f t="shared" si="56"/>
        <v>21.0781786332</v>
      </c>
      <c r="O672" s="66"/>
      <c r="P672" s="66">
        <f t="shared" si="52"/>
        <v>0</v>
      </c>
      <c r="Q672" s="66"/>
      <c r="R672" s="66">
        <f t="shared" si="53"/>
        <v>39.180731470833337</v>
      </c>
    </row>
    <row r="673" spans="1:18">
      <c r="A673" s="110" t="s">
        <v>626</v>
      </c>
      <c r="B673" s="111" t="s">
        <v>1838</v>
      </c>
      <c r="C673" s="111" t="s">
        <v>1839</v>
      </c>
      <c r="D673" s="112" t="s">
        <v>1840</v>
      </c>
      <c r="E673" s="111" t="s">
        <v>260</v>
      </c>
      <c r="F673" s="112" t="s">
        <v>1608</v>
      </c>
      <c r="G673" s="111" t="s">
        <v>20</v>
      </c>
      <c r="H673" s="111"/>
      <c r="I673" s="111">
        <v>201601</v>
      </c>
      <c r="J673" s="113">
        <v>5801.68</v>
      </c>
      <c r="K673" s="72">
        <f t="shared" si="54"/>
        <v>42675</v>
      </c>
      <c r="L673" s="67">
        <f t="shared" si="55"/>
        <v>6</v>
      </c>
      <c r="M673" s="114">
        <v>1.4833299999999999E-3</v>
      </c>
      <c r="N673" s="104">
        <f t="shared" si="56"/>
        <v>51.634835966400004</v>
      </c>
      <c r="O673" s="66"/>
      <c r="P673" s="66">
        <f t="shared" si="52"/>
        <v>0</v>
      </c>
      <c r="Q673" s="66"/>
      <c r="R673" s="66">
        <f t="shared" si="53"/>
        <v>95.980334816666669</v>
      </c>
    </row>
    <row r="674" spans="1:18">
      <c r="A674" s="110" t="s">
        <v>133</v>
      </c>
      <c r="B674" s="111" t="s">
        <v>1876</v>
      </c>
      <c r="C674" s="111" t="s">
        <v>1877</v>
      </c>
      <c r="D674" s="112" t="s">
        <v>1878</v>
      </c>
      <c r="E674" s="111" t="s">
        <v>75</v>
      </c>
      <c r="F674" s="112" t="s">
        <v>1602</v>
      </c>
      <c r="G674" s="111" t="s">
        <v>20</v>
      </c>
      <c r="H674" s="111"/>
      <c r="I674" s="111">
        <v>201601</v>
      </c>
      <c r="J674" s="113">
        <v>367690.65</v>
      </c>
      <c r="K674" s="72">
        <f t="shared" si="54"/>
        <v>42675</v>
      </c>
      <c r="L674" s="67">
        <f t="shared" si="55"/>
        <v>6</v>
      </c>
      <c r="M674" s="114">
        <v>1.4833299999999999E-3</v>
      </c>
      <c r="N674" s="104">
        <f t="shared" si="56"/>
        <v>3272.4394311870001</v>
      </c>
      <c r="O674" s="66"/>
      <c r="P674" s="66">
        <f t="shared" si="52"/>
        <v>0</v>
      </c>
      <c r="Q674" s="66"/>
      <c r="R674" s="66">
        <f t="shared" si="53"/>
        <v>6082.9055887187506</v>
      </c>
    </row>
    <row r="675" spans="1:18">
      <c r="A675" s="110" t="s">
        <v>626</v>
      </c>
      <c r="B675" s="111" t="s">
        <v>1879</v>
      </c>
      <c r="C675" s="111" t="s">
        <v>1880</v>
      </c>
      <c r="D675" s="112" t="s">
        <v>1273</v>
      </c>
      <c r="E675" s="111" t="s">
        <v>75</v>
      </c>
      <c r="F675" s="112" t="s">
        <v>1602</v>
      </c>
      <c r="G675" s="111" t="s">
        <v>20</v>
      </c>
      <c r="H675" s="111"/>
      <c r="I675" s="111">
        <v>201601</v>
      </c>
      <c r="J675" s="113">
        <v>157437.73000000001</v>
      </c>
      <c r="K675" s="72">
        <f t="shared" si="54"/>
        <v>42675</v>
      </c>
      <c r="L675" s="67">
        <f t="shared" si="55"/>
        <v>6</v>
      </c>
      <c r="M675" s="114">
        <v>1.4833299999999999E-3</v>
      </c>
      <c r="N675" s="104">
        <f t="shared" si="56"/>
        <v>1401.1926482454001</v>
      </c>
      <c r="O675" s="66"/>
      <c r="P675" s="66">
        <f t="shared" si="52"/>
        <v>0</v>
      </c>
      <c r="Q675" s="66"/>
      <c r="R675" s="66">
        <f t="shared" si="53"/>
        <v>2604.5776461604169</v>
      </c>
    </row>
    <row r="676" spans="1:18">
      <c r="A676" s="110" t="s">
        <v>626</v>
      </c>
      <c r="B676" s="111" t="s">
        <v>1841</v>
      </c>
      <c r="C676" s="111" t="s">
        <v>1842</v>
      </c>
      <c r="D676" s="112" t="s">
        <v>1843</v>
      </c>
      <c r="E676" s="111" t="s">
        <v>160</v>
      </c>
      <c r="F676" s="112" t="s">
        <v>19</v>
      </c>
      <c r="G676" s="111" t="s">
        <v>20</v>
      </c>
      <c r="H676" s="111"/>
      <c r="I676" s="111">
        <v>201601</v>
      </c>
      <c r="J676" s="113">
        <v>0.76</v>
      </c>
      <c r="K676" s="72">
        <f t="shared" si="54"/>
        <v>42675</v>
      </c>
      <c r="L676" s="67">
        <f t="shared" si="55"/>
        <v>6</v>
      </c>
      <c r="M676" s="114">
        <v>1.4833299999999999E-3</v>
      </c>
      <c r="N676" s="104">
        <f t="shared" si="56"/>
        <v>6.7639848000000001E-3</v>
      </c>
      <c r="O676" s="66"/>
      <c r="P676" s="66">
        <f t="shared" si="52"/>
        <v>0</v>
      </c>
      <c r="Q676" s="66"/>
      <c r="R676" s="66">
        <f t="shared" si="53"/>
        <v>1.2573091666666666E-2</v>
      </c>
    </row>
    <row r="677" spans="1:18">
      <c r="A677" s="110" t="s">
        <v>626</v>
      </c>
      <c r="B677" s="111" t="s">
        <v>1794</v>
      </c>
      <c r="C677" s="111" t="s">
        <v>1795</v>
      </c>
      <c r="D677" s="112" t="s">
        <v>1796</v>
      </c>
      <c r="E677" s="111" t="s">
        <v>809</v>
      </c>
      <c r="F677" s="112" t="s">
        <v>26</v>
      </c>
      <c r="G677" s="111" t="s">
        <v>20</v>
      </c>
      <c r="H677" s="111"/>
      <c r="I677" s="111">
        <v>201601</v>
      </c>
      <c r="J677" s="113">
        <v>458.4</v>
      </c>
      <c r="K677" s="72">
        <f t="shared" si="54"/>
        <v>42675</v>
      </c>
      <c r="L677" s="67">
        <f t="shared" si="55"/>
        <v>6</v>
      </c>
      <c r="M677" s="114">
        <v>1.4833299999999999E-3</v>
      </c>
      <c r="N677" s="104">
        <f t="shared" si="56"/>
        <v>4.0797508320000002</v>
      </c>
      <c r="O677" s="66"/>
      <c r="P677" s="66">
        <f t="shared" si="52"/>
        <v>0</v>
      </c>
      <c r="Q677" s="66"/>
      <c r="R677" s="66">
        <f t="shared" si="53"/>
        <v>7.5835594999999989</v>
      </c>
    </row>
    <row r="678" spans="1:18">
      <c r="A678" s="110" t="s">
        <v>626</v>
      </c>
      <c r="B678" s="111" t="s">
        <v>1844</v>
      </c>
      <c r="C678" s="111" t="s">
        <v>1845</v>
      </c>
      <c r="D678" s="112" t="s">
        <v>1846</v>
      </c>
      <c r="E678" s="111" t="s">
        <v>160</v>
      </c>
      <c r="F678" s="112" t="s">
        <v>19</v>
      </c>
      <c r="G678" s="111" t="s">
        <v>20</v>
      </c>
      <c r="H678" s="111"/>
      <c r="I678" s="111">
        <v>201601</v>
      </c>
      <c r="J678" s="113">
        <v>8260</v>
      </c>
      <c r="K678" s="72">
        <f t="shared" si="54"/>
        <v>42675</v>
      </c>
      <c r="L678" s="67">
        <f t="shared" si="55"/>
        <v>6</v>
      </c>
      <c r="M678" s="114">
        <v>1.4833299999999999E-3</v>
      </c>
      <c r="N678" s="104">
        <f t="shared" si="56"/>
        <v>73.513834799999998</v>
      </c>
      <c r="O678" s="66"/>
      <c r="P678" s="66">
        <f t="shared" si="52"/>
        <v>0</v>
      </c>
      <c r="Q678" s="66"/>
      <c r="R678" s="66">
        <f t="shared" si="53"/>
        <v>136.64965416666666</v>
      </c>
    </row>
    <row r="679" spans="1:18">
      <c r="A679" s="110" t="s">
        <v>21</v>
      </c>
      <c r="B679" s="111" t="s">
        <v>1727</v>
      </c>
      <c r="C679" s="111" t="s">
        <v>1728</v>
      </c>
      <c r="D679" s="112" t="s">
        <v>1729</v>
      </c>
      <c r="E679" s="111" t="s">
        <v>75</v>
      </c>
      <c r="F679" s="112" t="s">
        <v>1602</v>
      </c>
      <c r="G679" s="111" t="s">
        <v>20</v>
      </c>
      <c r="H679" s="111"/>
      <c r="I679" s="111">
        <v>201601</v>
      </c>
      <c r="J679" s="113">
        <v>1124.28</v>
      </c>
      <c r="K679" s="72">
        <f t="shared" si="54"/>
        <v>42675</v>
      </c>
      <c r="L679" s="67">
        <f t="shared" si="55"/>
        <v>6</v>
      </c>
      <c r="M679" s="114">
        <v>1.4833299999999999E-3</v>
      </c>
      <c r="N679" s="104">
        <f t="shared" si="56"/>
        <v>10.0060695144</v>
      </c>
      <c r="O679" s="66"/>
      <c r="P679" s="66">
        <f t="shared" si="52"/>
        <v>0</v>
      </c>
      <c r="Q679" s="66"/>
      <c r="R679" s="66">
        <f t="shared" si="53"/>
        <v>18.599573024999998</v>
      </c>
    </row>
    <row r="680" spans="1:18">
      <c r="A680" s="110" t="s">
        <v>990</v>
      </c>
      <c r="B680" s="111" t="s">
        <v>1730</v>
      </c>
      <c r="C680" s="111" t="s">
        <v>1731</v>
      </c>
      <c r="D680" s="112" t="s">
        <v>1732</v>
      </c>
      <c r="E680" s="111" t="s">
        <v>1688</v>
      </c>
      <c r="F680" s="112" t="s">
        <v>1689</v>
      </c>
      <c r="G680" s="111" t="s">
        <v>20</v>
      </c>
      <c r="H680" s="111"/>
      <c r="I680" s="111">
        <v>201601</v>
      </c>
      <c r="J680" s="113">
        <v>-1.86</v>
      </c>
      <c r="K680" s="72">
        <f t="shared" si="54"/>
        <v>42675</v>
      </c>
      <c r="L680" s="67">
        <f t="shared" si="55"/>
        <v>6</v>
      </c>
      <c r="M680" s="114">
        <v>2.0333333000000001E-3</v>
      </c>
      <c r="N680" s="104">
        <f t="shared" si="56"/>
        <v>-2.2691999628E-2</v>
      </c>
      <c r="O680" s="66"/>
      <c r="P680" s="66">
        <f t="shared" si="52"/>
        <v>0</v>
      </c>
      <c r="Q680" s="66"/>
      <c r="R680" s="66">
        <f t="shared" si="53"/>
        <v>-3.0770987500000003E-2</v>
      </c>
    </row>
    <row r="681" spans="1:18">
      <c r="A681" s="110" t="s">
        <v>990</v>
      </c>
      <c r="B681" s="111" t="s">
        <v>1733</v>
      </c>
      <c r="C681" s="111" t="s">
        <v>1734</v>
      </c>
      <c r="D681" s="112" t="s">
        <v>1735</v>
      </c>
      <c r="E681" s="111" t="s">
        <v>1688</v>
      </c>
      <c r="F681" s="112" t="s">
        <v>1689</v>
      </c>
      <c r="G681" s="111" t="s">
        <v>20</v>
      </c>
      <c r="H681" s="111"/>
      <c r="I681" s="111">
        <v>201601</v>
      </c>
      <c r="J681" s="113">
        <v>6.43</v>
      </c>
      <c r="K681" s="72">
        <f t="shared" si="54"/>
        <v>42675</v>
      </c>
      <c r="L681" s="67">
        <f t="shared" si="55"/>
        <v>6</v>
      </c>
      <c r="M681" s="114">
        <v>2.0333333000000001E-3</v>
      </c>
      <c r="N681" s="104">
        <f t="shared" si="56"/>
        <v>7.8445998714000001E-2</v>
      </c>
      <c r="O681" s="66"/>
      <c r="P681" s="66">
        <f t="shared" si="52"/>
        <v>0</v>
      </c>
      <c r="Q681" s="66"/>
      <c r="R681" s="66">
        <f t="shared" si="53"/>
        <v>0.10637497291666667</v>
      </c>
    </row>
    <row r="682" spans="1:18">
      <c r="A682" s="110" t="s">
        <v>626</v>
      </c>
      <c r="B682" s="111" t="s">
        <v>1881</v>
      </c>
      <c r="C682" s="111" t="s">
        <v>1882</v>
      </c>
      <c r="D682" s="112" t="s">
        <v>1883</v>
      </c>
      <c r="E682" s="111" t="s">
        <v>75</v>
      </c>
      <c r="F682" s="112" t="s">
        <v>1602</v>
      </c>
      <c r="G682" s="111" t="s">
        <v>20</v>
      </c>
      <c r="H682" s="111"/>
      <c r="I682" s="111">
        <v>201601</v>
      </c>
      <c r="J682" s="113">
        <v>176244.15</v>
      </c>
      <c r="K682" s="72">
        <f t="shared" si="54"/>
        <v>42675</v>
      </c>
      <c r="L682" s="67">
        <f t="shared" si="55"/>
        <v>6</v>
      </c>
      <c r="M682" s="114">
        <v>1.4833299999999999E-3</v>
      </c>
      <c r="N682" s="104">
        <f t="shared" si="56"/>
        <v>1568.569410117</v>
      </c>
      <c r="O682" s="66"/>
      <c r="P682" s="66">
        <f t="shared" si="52"/>
        <v>0</v>
      </c>
      <c r="Q682" s="66"/>
      <c r="R682" s="66">
        <f t="shared" si="53"/>
        <v>2915.7024390312499</v>
      </c>
    </row>
    <row r="683" spans="1:18">
      <c r="A683" s="110" t="s">
        <v>626</v>
      </c>
      <c r="B683" s="111" t="s">
        <v>1496</v>
      </c>
      <c r="C683" s="111" t="s">
        <v>1497</v>
      </c>
      <c r="D683" s="112" t="s">
        <v>1498</v>
      </c>
      <c r="E683" s="111" t="s">
        <v>164</v>
      </c>
      <c r="F683" s="112" t="s">
        <v>1600</v>
      </c>
      <c r="G683" s="111" t="s">
        <v>20</v>
      </c>
      <c r="H683" s="111"/>
      <c r="I683" s="111">
        <v>201601</v>
      </c>
      <c r="J683" s="113">
        <v>-25.14</v>
      </c>
      <c r="K683" s="72">
        <f t="shared" si="54"/>
        <v>42675</v>
      </c>
      <c r="L683" s="67">
        <f t="shared" si="55"/>
        <v>6</v>
      </c>
      <c r="M683" s="114">
        <v>1.4833299999999999E-3</v>
      </c>
      <c r="N683" s="104">
        <f t="shared" si="56"/>
        <v>-0.2237454972</v>
      </c>
      <c r="O683" s="66"/>
      <c r="P683" s="66">
        <f t="shared" si="52"/>
        <v>0</v>
      </c>
      <c r="Q683" s="66"/>
      <c r="R683" s="66">
        <f t="shared" si="53"/>
        <v>-0.41590463750000001</v>
      </c>
    </row>
    <row r="684" spans="1:18">
      <c r="A684" s="110" t="s">
        <v>626</v>
      </c>
      <c r="B684" s="111" t="s">
        <v>1884</v>
      </c>
      <c r="C684" s="111" t="s">
        <v>1885</v>
      </c>
      <c r="D684" s="112" t="s">
        <v>1886</v>
      </c>
      <c r="E684" s="111" t="s">
        <v>75</v>
      </c>
      <c r="F684" s="112" t="s">
        <v>1602</v>
      </c>
      <c r="G684" s="111" t="s">
        <v>20</v>
      </c>
      <c r="H684" s="111"/>
      <c r="I684" s="111">
        <v>201601</v>
      </c>
      <c r="J684" s="113">
        <v>99765.17</v>
      </c>
      <c r="K684" s="72">
        <f t="shared" si="54"/>
        <v>42675</v>
      </c>
      <c r="L684" s="67">
        <f t="shared" si="55"/>
        <v>6</v>
      </c>
      <c r="M684" s="114">
        <v>1.4833299999999999E-3</v>
      </c>
      <c r="N684" s="104">
        <f t="shared" si="56"/>
        <v>887.90801769660004</v>
      </c>
      <c r="O684" s="66"/>
      <c r="P684" s="66">
        <f t="shared" si="52"/>
        <v>0</v>
      </c>
      <c r="Q684" s="66"/>
      <c r="R684" s="66">
        <f t="shared" si="53"/>
        <v>1650.4692467770833</v>
      </c>
    </row>
    <row r="685" spans="1:18">
      <c r="A685" s="110" t="s">
        <v>626</v>
      </c>
      <c r="B685" s="111" t="s">
        <v>1736</v>
      </c>
      <c r="C685" s="111" t="s">
        <v>1737</v>
      </c>
      <c r="D685" s="112" t="s">
        <v>1738</v>
      </c>
      <c r="E685" s="111" t="s">
        <v>164</v>
      </c>
      <c r="F685" s="112" t="s">
        <v>1600</v>
      </c>
      <c r="G685" s="111" t="s">
        <v>20</v>
      </c>
      <c r="H685" s="111"/>
      <c r="I685" s="111">
        <v>201601</v>
      </c>
      <c r="J685" s="113">
        <v>477.03</v>
      </c>
      <c r="K685" s="72">
        <f t="shared" si="54"/>
        <v>42675</v>
      </c>
      <c r="L685" s="67">
        <f t="shared" si="55"/>
        <v>6</v>
      </c>
      <c r="M685" s="114">
        <v>1.4833299999999999E-3</v>
      </c>
      <c r="N685" s="104">
        <f t="shared" si="56"/>
        <v>4.2455574593999996</v>
      </c>
      <c r="O685" s="66"/>
      <c r="P685" s="66">
        <f t="shared" si="52"/>
        <v>0</v>
      </c>
      <c r="Q685" s="66"/>
      <c r="R685" s="66">
        <f t="shared" si="53"/>
        <v>7.891765681249999</v>
      </c>
    </row>
    <row r="686" spans="1:18">
      <c r="A686" s="110" t="s">
        <v>626</v>
      </c>
      <c r="B686" s="111" t="s">
        <v>1847</v>
      </c>
      <c r="C686" s="111" t="s">
        <v>1848</v>
      </c>
      <c r="D686" s="112" t="s">
        <v>1849</v>
      </c>
      <c r="E686" s="111" t="s">
        <v>63</v>
      </c>
      <c r="F686" s="112" t="s">
        <v>19</v>
      </c>
      <c r="G686" s="111" t="s">
        <v>20</v>
      </c>
      <c r="H686" s="111"/>
      <c r="I686" s="111">
        <v>201601</v>
      </c>
      <c r="J686" s="113">
        <v>6.06</v>
      </c>
      <c r="K686" s="72">
        <f t="shared" si="54"/>
        <v>42675</v>
      </c>
      <c r="L686" s="67">
        <f t="shared" si="55"/>
        <v>6</v>
      </c>
      <c r="M686" s="114">
        <v>1.4833299999999999E-3</v>
      </c>
      <c r="N686" s="104">
        <f t="shared" si="56"/>
        <v>5.3933878799999994E-2</v>
      </c>
      <c r="O686" s="66"/>
      <c r="P686" s="66">
        <f t="shared" si="52"/>
        <v>0</v>
      </c>
      <c r="Q686" s="66"/>
      <c r="R686" s="66">
        <f t="shared" si="53"/>
        <v>0.1002538625</v>
      </c>
    </row>
    <row r="687" spans="1:18">
      <c r="A687" s="110" t="s">
        <v>626</v>
      </c>
      <c r="B687" s="111" t="s">
        <v>1594</v>
      </c>
      <c r="C687" s="111" t="s">
        <v>1595</v>
      </c>
      <c r="D687" s="112" t="s">
        <v>1596</v>
      </c>
      <c r="E687" s="111" t="s">
        <v>87</v>
      </c>
      <c r="F687" s="112" t="s">
        <v>1603</v>
      </c>
      <c r="G687" s="111" t="s">
        <v>20</v>
      </c>
      <c r="H687" s="111"/>
      <c r="I687" s="111">
        <v>201601</v>
      </c>
      <c r="J687" s="113">
        <v>5.65</v>
      </c>
      <c r="K687" s="72">
        <f t="shared" si="54"/>
        <v>42675</v>
      </c>
      <c r="L687" s="67">
        <f t="shared" si="55"/>
        <v>6</v>
      </c>
      <c r="M687" s="114">
        <v>1.4833299999999999E-3</v>
      </c>
      <c r="N687" s="104">
        <f t="shared" si="56"/>
        <v>5.0284887E-2</v>
      </c>
      <c r="O687" s="66"/>
      <c r="P687" s="66">
        <f t="shared" si="52"/>
        <v>0</v>
      </c>
      <c r="Q687" s="66"/>
      <c r="R687" s="66">
        <f t="shared" si="53"/>
        <v>9.3471010416666681E-2</v>
      </c>
    </row>
    <row r="688" spans="1:18">
      <c r="A688" s="110" t="s">
        <v>626</v>
      </c>
      <c r="B688" s="111" t="s">
        <v>1887</v>
      </c>
      <c r="C688" s="111" t="s">
        <v>1888</v>
      </c>
      <c r="D688" s="112" t="s">
        <v>1889</v>
      </c>
      <c r="E688" s="111" t="s">
        <v>79</v>
      </c>
      <c r="F688" s="112" t="s">
        <v>26</v>
      </c>
      <c r="G688" s="111" t="s">
        <v>20</v>
      </c>
      <c r="H688" s="111"/>
      <c r="I688" s="111">
        <v>201601</v>
      </c>
      <c r="J688" s="113">
        <v>98724.75</v>
      </c>
      <c r="K688" s="72">
        <f t="shared" si="54"/>
        <v>42675</v>
      </c>
      <c r="L688" s="67">
        <f t="shared" si="55"/>
        <v>6</v>
      </c>
      <c r="M688" s="114">
        <v>1.4833299999999999E-3</v>
      </c>
      <c r="N688" s="104">
        <f t="shared" si="56"/>
        <v>878.64830050499995</v>
      </c>
      <c r="O688" s="66"/>
      <c r="P688" s="66">
        <f t="shared" si="52"/>
        <v>0</v>
      </c>
      <c r="Q688" s="66"/>
      <c r="R688" s="66">
        <f t="shared" si="53"/>
        <v>1633.2570151562502</v>
      </c>
    </row>
    <row r="689" spans="1:18">
      <c r="A689" s="110" t="s">
        <v>626</v>
      </c>
      <c r="B689" s="111" t="s">
        <v>1739</v>
      </c>
      <c r="C689" s="111" t="s">
        <v>1740</v>
      </c>
      <c r="D689" s="112" t="s">
        <v>1741</v>
      </c>
      <c r="E689" s="111" t="s">
        <v>164</v>
      </c>
      <c r="F689" s="112" t="s">
        <v>1600</v>
      </c>
      <c r="G689" s="111" t="s">
        <v>20</v>
      </c>
      <c r="H689" s="111"/>
      <c r="I689" s="111">
        <v>201601</v>
      </c>
      <c r="J689" s="113">
        <v>1987.88</v>
      </c>
      <c r="K689" s="72">
        <f t="shared" si="54"/>
        <v>42675</v>
      </c>
      <c r="L689" s="67">
        <f t="shared" si="55"/>
        <v>6</v>
      </c>
      <c r="M689" s="114">
        <v>1.4833299999999999E-3</v>
      </c>
      <c r="N689" s="104">
        <f t="shared" si="56"/>
        <v>17.692092242400001</v>
      </c>
      <c r="O689" s="66"/>
      <c r="P689" s="66">
        <f t="shared" si="52"/>
        <v>0</v>
      </c>
      <c r="Q689" s="66"/>
      <c r="R689" s="66">
        <f t="shared" si="53"/>
        <v>32.886575608333331</v>
      </c>
    </row>
    <row r="690" spans="1:18">
      <c r="A690" s="110" t="s">
        <v>626</v>
      </c>
      <c r="B690" s="111" t="s">
        <v>1632</v>
      </c>
      <c r="C690" s="111" t="s">
        <v>1633</v>
      </c>
      <c r="D690" s="112" t="s">
        <v>1634</v>
      </c>
      <c r="E690" s="111" t="s">
        <v>471</v>
      </c>
      <c r="F690" s="112" t="s">
        <v>165</v>
      </c>
      <c r="G690" s="111" t="s">
        <v>20</v>
      </c>
      <c r="H690" s="111"/>
      <c r="I690" s="111">
        <v>201601</v>
      </c>
      <c r="J690" s="113">
        <v>28.78</v>
      </c>
      <c r="K690" s="72">
        <f t="shared" si="54"/>
        <v>42675</v>
      </c>
      <c r="L690" s="67">
        <f t="shared" si="55"/>
        <v>6</v>
      </c>
      <c r="M690" s="114">
        <v>1.4833299999999999E-3</v>
      </c>
      <c r="N690" s="104">
        <f t="shared" si="56"/>
        <v>0.25614142439999998</v>
      </c>
      <c r="O690" s="66"/>
      <c r="P690" s="66">
        <f t="shared" si="52"/>
        <v>0</v>
      </c>
      <c r="Q690" s="66"/>
      <c r="R690" s="66">
        <f t="shared" si="53"/>
        <v>0.47612312916666671</v>
      </c>
    </row>
    <row r="691" spans="1:18">
      <c r="A691" s="110" t="s">
        <v>21</v>
      </c>
      <c r="B691" s="111" t="s">
        <v>1635</v>
      </c>
      <c r="C691" s="111" t="s">
        <v>1636</v>
      </c>
      <c r="D691" s="112" t="s">
        <v>1637</v>
      </c>
      <c r="E691" s="111" t="s">
        <v>360</v>
      </c>
      <c r="F691" s="112" t="s">
        <v>19</v>
      </c>
      <c r="G691" s="111" t="s">
        <v>20</v>
      </c>
      <c r="H691" s="111"/>
      <c r="I691" s="111">
        <v>201601</v>
      </c>
      <c r="J691" s="113">
        <v>12.16</v>
      </c>
      <c r="K691" s="72">
        <f t="shared" si="54"/>
        <v>42675</v>
      </c>
      <c r="L691" s="67">
        <f t="shared" si="55"/>
        <v>6</v>
      </c>
      <c r="M691" s="114">
        <v>1.4833299999999999E-3</v>
      </c>
      <c r="N691" s="104">
        <f t="shared" si="56"/>
        <v>0.1082237568</v>
      </c>
      <c r="O691" s="66"/>
      <c r="P691" s="66">
        <f t="shared" ref="P691:P754" si="57">($P$305*J691*$U$11)</f>
        <v>0</v>
      </c>
      <c r="Q691" s="66"/>
      <c r="R691" s="66">
        <f t="shared" ref="R691:R754" si="58">($R$305*0.5*J691*$U$11)</f>
        <v>0.20116946666666666</v>
      </c>
    </row>
    <row r="692" spans="1:18">
      <c r="A692" s="110" t="s">
        <v>626</v>
      </c>
      <c r="B692" s="111" t="s">
        <v>1797</v>
      </c>
      <c r="C692" s="111" t="s">
        <v>1798</v>
      </c>
      <c r="D692" s="112" t="s">
        <v>1799</v>
      </c>
      <c r="E692" s="111" t="s">
        <v>164</v>
      </c>
      <c r="F692" s="112" t="s">
        <v>1600</v>
      </c>
      <c r="G692" s="111" t="s">
        <v>20</v>
      </c>
      <c r="H692" s="111"/>
      <c r="I692" s="111">
        <v>201601</v>
      </c>
      <c r="J692" s="113">
        <v>4445.79</v>
      </c>
      <c r="K692" s="72">
        <f t="shared" si="54"/>
        <v>42675</v>
      </c>
      <c r="L692" s="67">
        <f t="shared" si="55"/>
        <v>6</v>
      </c>
      <c r="M692" s="114">
        <v>1.4833299999999999E-3</v>
      </c>
      <c r="N692" s="104">
        <f t="shared" si="56"/>
        <v>39.567442084200003</v>
      </c>
      <c r="O692" s="66"/>
      <c r="P692" s="66">
        <f t="shared" si="57"/>
        <v>0</v>
      </c>
      <c r="Q692" s="66"/>
      <c r="R692" s="66">
        <f t="shared" si="58"/>
        <v>73.549112106249993</v>
      </c>
    </row>
    <row r="693" spans="1:18">
      <c r="A693" s="116" t="s">
        <v>626</v>
      </c>
      <c r="B693" s="111" t="s">
        <v>1890</v>
      </c>
      <c r="C693" s="111" t="s">
        <v>1891</v>
      </c>
      <c r="D693" s="112" t="s">
        <v>1495</v>
      </c>
      <c r="E693" s="111" t="s">
        <v>75</v>
      </c>
      <c r="F693" s="112" t="s">
        <v>1602</v>
      </c>
      <c r="G693" s="111" t="s">
        <v>20</v>
      </c>
      <c r="H693" s="111"/>
      <c r="I693" s="111">
        <v>201601</v>
      </c>
      <c r="J693" s="113">
        <v>140664.26999999999</v>
      </c>
      <c r="K693" s="72">
        <f t="shared" si="54"/>
        <v>42675</v>
      </c>
      <c r="L693" s="67">
        <f t="shared" si="55"/>
        <v>6</v>
      </c>
      <c r="M693" s="114">
        <v>1.4833299999999999E-3</v>
      </c>
      <c r="N693" s="104">
        <f t="shared" si="56"/>
        <v>1251.9091897146</v>
      </c>
      <c r="O693" s="66"/>
      <c r="P693" s="66">
        <f t="shared" si="57"/>
        <v>0</v>
      </c>
      <c r="Q693" s="66"/>
      <c r="R693" s="66">
        <f t="shared" si="58"/>
        <v>2327.0852117562499</v>
      </c>
    </row>
    <row r="694" spans="1:18">
      <c r="A694" s="116" t="s">
        <v>626</v>
      </c>
      <c r="B694" s="111" t="s">
        <v>1892</v>
      </c>
      <c r="C694" s="111" t="s">
        <v>1893</v>
      </c>
      <c r="D694" s="112" t="s">
        <v>1894</v>
      </c>
      <c r="E694" s="111" t="s">
        <v>75</v>
      </c>
      <c r="F694" s="112" t="s">
        <v>1602</v>
      </c>
      <c r="G694" s="111" t="s">
        <v>20</v>
      </c>
      <c r="H694" s="111"/>
      <c r="I694" s="111">
        <v>201601</v>
      </c>
      <c r="J694" s="113">
        <v>160729.73000000001</v>
      </c>
      <c r="K694" s="72">
        <f t="shared" si="54"/>
        <v>42675</v>
      </c>
      <c r="L694" s="67">
        <f t="shared" si="55"/>
        <v>6</v>
      </c>
      <c r="M694" s="114">
        <v>1.4833299999999999E-3</v>
      </c>
      <c r="N694" s="104">
        <f t="shared" si="56"/>
        <v>1430.4913824054001</v>
      </c>
      <c r="O694" s="66"/>
      <c r="P694" s="66">
        <f t="shared" si="57"/>
        <v>0</v>
      </c>
      <c r="Q694" s="66"/>
      <c r="R694" s="66">
        <f t="shared" si="58"/>
        <v>2659.0389853270835</v>
      </c>
    </row>
    <row r="695" spans="1:18">
      <c r="A695" s="116" t="s">
        <v>626</v>
      </c>
      <c r="B695" s="111" t="s">
        <v>1895</v>
      </c>
      <c r="C695" s="111" t="s">
        <v>1896</v>
      </c>
      <c r="D695" s="112" t="s">
        <v>1897</v>
      </c>
      <c r="E695" s="111" t="s">
        <v>79</v>
      </c>
      <c r="F695" s="112" t="s">
        <v>26</v>
      </c>
      <c r="G695" s="111" t="s">
        <v>20</v>
      </c>
      <c r="H695" s="111"/>
      <c r="I695" s="111">
        <v>201601</v>
      </c>
      <c r="J695" s="113">
        <v>87209.76</v>
      </c>
      <c r="K695" s="72">
        <f t="shared" si="54"/>
        <v>42675</v>
      </c>
      <c r="L695" s="67">
        <f t="shared" si="55"/>
        <v>6</v>
      </c>
      <c r="M695" s="114">
        <v>1.4833299999999999E-3</v>
      </c>
      <c r="N695" s="104">
        <f t="shared" si="56"/>
        <v>776.16511980479993</v>
      </c>
      <c r="O695" s="66"/>
      <c r="P695" s="66">
        <f t="shared" si="57"/>
        <v>0</v>
      </c>
      <c r="Q695" s="66"/>
      <c r="R695" s="66">
        <f t="shared" si="58"/>
        <v>1442.7582982999998</v>
      </c>
    </row>
    <row r="696" spans="1:18">
      <c r="A696" s="116" t="s">
        <v>626</v>
      </c>
      <c r="B696" s="111" t="s">
        <v>1898</v>
      </c>
      <c r="C696" s="111" t="s">
        <v>1899</v>
      </c>
      <c r="D696" s="112" t="s">
        <v>1900</v>
      </c>
      <c r="E696" s="111" t="s">
        <v>75</v>
      </c>
      <c r="F696" s="112" t="s">
        <v>1602</v>
      </c>
      <c r="G696" s="111" t="s">
        <v>20</v>
      </c>
      <c r="H696" s="111"/>
      <c r="I696" s="111">
        <v>201601</v>
      </c>
      <c r="J696" s="113">
        <v>198704.11</v>
      </c>
      <c r="K696" s="72">
        <f t="shared" si="54"/>
        <v>42675</v>
      </c>
      <c r="L696" s="67">
        <f t="shared" si="55"/>
        <v>6</v>
      </c>
      <c r="M696" s="114">
        <v>1.4833299999999999E-3</v>
      </c>
      <c r="N696" s="104">
        <f t="shared" si="56"/>
        <v>1768.4626049177998</v>
      </c>
      <c r="O696" s="66"/>
      <c r="P696" s="66">
        <f t="shared" si="57"/>
        <v>0</v>
      </c>
      <c r="Q696" s="66"/>
      <c r="R696" s="66">
        <f t="shared" si="58"/>
        <v>3287.2697231229167</v>
      </c>
    </row>
    <row r="697" spans="1:18">
      <c r="A697" s="110" t="s">
        <v>626</v>
      </c>
      <c r="B697" s="111" t="s">
        <v>1901</v>
      </c>
      <c r="C697" s="111" t="s">
        <v>1902</v>
      </c>
      <c r="D697" s="112" t="s">
        <v>1903</v>
      </c>
      <c r="E697" s="111" t="s">
        <v>75</v>
      </c>
      <c r="F697" s="112" t="s">
        <v>1602</v>
      </c>
      <c r="G697" s="111" t="s">
        <v>20</v>
      </c>
      <c r="H697" s="111"/>
      <c r="I697" s="111">
        <v>201601</v>
      </c>
      <c r="J697" s="113">
        <v>287572.81</v>
      </c>
      <c r="K697" s="72">
        <f t="shared" si="54"/>
        <v>42675</v>
      </c>
      <c r="L697" s="67">
        <f t="shared" si="55"/>
        <v>6</v>
      </c>
      <c r="M697" s="114">
        <v>1.4833299999999999E-3</v>
      </c>
      <c r="N697" s="104">
        <f t="shared" si="56"/>
        <v>2559.3922575438</v>
      </c>
      <c r="O697" s="66"/>
      <c r="P697" s="66">
        <f t="shared" si="57"/>
        <v>0</v>
      </c>
      <c r="Q697" s="66"/>
      <c r="R697" s="66">
        <f t="shared" si="58"/>
        <v>4757.472764435417</v>
      </c>
    </row>
    <row r="698" spans="1:18">
      <c r="A698" s="110" t="s">
        <v>626</v>
      </c>
      <c r="B698" s="111" t="s">
        <v>1693</v>
      </c>
      <c r="C698" s="111" t="s">
        <v>1694</v>
      </c>
      <c r="D698" s="112" t="s">
        <v>1695</v>
      </c>
      <c r="E698" s="111" t="s">
        <v>809</v>
      </c>
      <c r="F698" s="112" t="s">
        <v>26</v>
      </c>
      <c r="G698" s="111" t="s">
        <v>20</v>
      </c>
      <c r="H698" s="111"/>
      <c r="I698" s="111">
        <v>201601</v>
      </c>
      <c r="J698" s="113">
        <v>97.46</v>
      </c>
      <c r="K698" s="72">
        <f t="shared" si="54"/>
        <v>42675</v>
      </c>
      <c r="L698" s="67">
        <f t="shared" si="55"/>
        <v>6</v>
      </c>
      <c r="M698" s="114">
        <v>1.4833299999999999E-3</v>
      </c>
      <c r="N698" s="104">
        <f t="shared" si="56"/>
        <v>0.86739205079999993</v>
      </c>
      <c r="O698" s="66"/>
      <c r="P698" s="66">
        <f t="shared" si="57"/>
        <v>0</v>
      </c>
      <c r="Q698" s="66"/>
      <c r="R698" s="66">
        <f t="shared" si="58"/>
        <v>1.6123335708333333</v>
      </c>
    </row>
    <row r="699" spans="1:18">
      <c r="A699" s="110" t="s">
        <v>626</v>
      </c>
      <c r="B699" s="111" t="s">
        <v>1638</v>
      </c>
      <c r="C699" s="111" t="s">
        <v>1639</v>
      </c>
      <c r="D699" s="112" t="s">
        <v>1640</v>
      </c>
      <c r="E699" s="111" t="s">
        <v>164</v>
      </c>
      <c r="F699" s="112" t="s">
        <v>1600</v>
      </c>
      <c r="G699" s="111" t="s">
        <v>20</v>
      </c>
      <c r="H699" s="111"/>
      <c r="I699" s="111">
        <v>201601</v>
      </c>
      <c r="J699" s="113">
        <v>10.050000000000001</v>
      </c>
      <c r="K699" s="72">
        <f t="shared" si="54"/>
        <v>42675</v>
      </c>
      <c r="L699" s="67">
        <f t="shared" si="55"/>
        <v>6</v>
      </c>
      <c r="M699" s="114">
        <v>1.4833299999999999E-3</v>
      </c>
      <c r="N699" s="104">
        <f t="shared" si="56"/>
        <v>8.9444799000000005E-2</v>
      </c>
      <c r="O699" s="66"/>
      <c r="P699" s="66">
        <f t="shared" si="57"/>
        <v>0</v>
      </c>
      <c r="Q699" s="66"/>
      <c r="R699" s="66">
        <f t="shared" si="58"/>
        <v>0.16626259375000002</v>
      </c>
    </row>
    <row r="700" spans="1:18">
      <c r="A700" s="110" t="s">
        <v>626</v>
      </c>
      <c r="B700" s="111" t="s">
        <v>1904</v>
      </c>
      <c r="C700" s="111" t="s">
        <v>1905</v>
      </c>
      <c r="D700" s="112" t="s">
        <v>1906</v>
      </c>
      <c r="E700" s="111" t="s">
        <v>75</v>
      </c>
      <c r="F700" s="112" t="s">
        <v>1602</v>
      </c>
      <c r="G700" s="111" t="s">
        <v>20</v>
      </c>
      <c r="H700" s="111"/>
      <c r="I700" s="111">
        <v>201601</v>
      </c>
      <c r="J700" s="113">
        <v>134497.84</v>
      </c>
      <c r="K700" s="72">
        <f t="shared" si="54"/>
        <v>42675</v>
      </c>
      <c r="L700" s="67">
        <f t="shared" si="55"/>
        <v>6</v>
      </c>
      <c r="M700" s="114">
        <v>1.4833299999999999E-3</v>
      </c>
      <c r="N700" s="104">
        <f t="shared" si="56"/>
        <v>1197.0280860431999</v>
      </c>
      <c r="O700" s="66"/>
      <c r="P700" s="66">
        <f t="shared" si="57"/>
        <v>0</v>
      </c>
      <c r="Q700" s="66"/>
      <c r="R700" s="66">
        <f t="shared" si="58"/>
        <v>2225.0706201166668</v>
      </c>
    </row>
    <row r="701" spans="1:18">
      <c r="A701" s="110" t="s">
        <v>626</v>
      </c>
      <c r="B701" s="111" t="s">
        <v>1742</v>
      </c>
      <c r="C701" s="111" t="s">
        <v>1743</v>
      </c>
      <c r="D701" s="112" t="s">
        <v>1744</v>
      </c>
      <c r="E701" s="111" t="s">
        <v>497</v>
      </c>
      <c r="F701" s="112" t="s">
        <v>26</v>
      </c>
      <c r="G701" s="111" t="s">
        <v>20</v>
      </c>
      <c r="H701" s="111"/>
      <c r="I701" s="111">
        <v>201601</v>
      </c>
      <c r="J701" s="113">
        <v>60.74</v>
      </c>
      <c r="K701" s="72">
        <f t="shared" si="54"/>
        <v>42675</v>
      </c>
      <c r="L701" s="67">
        <f t="shared" si="55"/>
        <v>6</v>
      </c>
      <c r="M701" s="114">
        <v>1.4833299999999999E-3</v>
      </c>
      <c r="N701" s="104">
        <f t="shared" si="56"/>
        <v>0.54058478519999997</v>
      </c>
      <c r="O701" s="66"/>
      <c r="P701" s="66">
        <f t="shared" si="57"/>
        <v>0</v>
      </c>
      <c r="Q701" s="66"/>
      <c r="R701" s="66">
        <f t="shared" si="58"/>
        <v>1.0048547208333334</v>
      </c>
    </row>
    <row r="702" spans="1:18">
      <c r="A702" s="110" t="s">
        <v>626</v>
      </c>
      <c r="B702" s="111" t="s">
        <v>1745</v>
      </c>
      <c r="C702" s="111" t="s">
        <v>1746</v>
      </c>
      <c r="D702" s="112" t="s">
        <v>1747</v>
      </c>
      <c r="E702" s="111" t="s">
        <v>497</v>
      </c>
      <c r="F702" s="112" t="s">
        <v>26</v>
      </c>
      <c r="G702" s="111" t="s">
        <v>20</v>
      </c>
      <c r="H702" s="111"/>
      <c r="I702" s="111">
        <v>201601</v>
      </c>
      <c r="J702" s="113">
        <v>2010.63</v>
      </c>
      <c r="K702" s="72">
        <f t="shared" si="54"/>
        <v>42675</v>
      </c>
      <c r="L702" s="67">
        <f t="shared" si="55"/>
        <v>6</v>
      </c>
      <c r="M702" s="114">
        <v>1.4833299999999999E-3</v>
      </c>
      <c r="N702" s="104">
        <f t="shared" si="56"/>
        <v>17.894566787400002</v>
      </c>
      <c r="O702" s="66"/>
      <c r="P702" s="66">
        <f t="shared" si="57"/>
        <v>0</v>
      </c>
      <c r="Q702" s="66"/>
      <c r="R702" s="66">
        <f t="shared" si="58"/>
        <v>33.26294118125</v>
      </c>
    </row>
    <row r="703" spans="1:18">
      <c r="A703" s="110" t="s">
        <v>626</v>
      </c>
      <c r="B703" s="111" t="s">
        <v>1800</v>
      </c>
      <c r="C703" s="111" t="s">
        <v>1801</v>
      </c>
      <c r="D703" s="112" t="s">
        <v>1802</v>
      </c>
      <c r="E703" s="111" t="s">
        <v>75</v>
      </c>
      <c r="F703" s="112" t="s">
        <v>1602</v>
      </c>
      <c r="G703" s="111" t="s">
        <v>20</v>
      </c>
      <c r="H703" s="111"/>
      <c r="I703" s="111">
        <v>201601</v>
      </c>
      <c r="J703" s="113">
        <v>20520.07</v>
      </c>
      <c r="K703" s="72">
        <f t="shared" si="54"/>
        <v>42675</v>
      </c>
      <c r="L703" s="67">
        <f t="shared" si="55"/>
        <v>6</v>
      </c>
      <c r="M703" s="114">
        <v>1.4833299999999999E-3</v>
      </c>
      <c r="N703" s="104">
        <f t="shared" si="56"/>
        <v>182.62821259859999</v>
      </c>
      <c r="O703" s="66"/>
      <c r="P703" s="66">
        <f t="shared" si="57"/>
        <v>0</v>
      </c>
      <c r="Q703" s="66"/>
      <c r="R703" s="66">
        <f t="shared" si="58"/>
        <v>339.47463304791665</v>
      </c>
    </row>
    <row r="704" spans="1:18">
      <c r="A704" s="116" t="s">
        <v>626</v>
      </c>
      <c r="B704" s="111" t="s">
        <v>1907</v>
      </c>
      <c r="C704" s="111" t="s">
        <v>1908</v>
      </c>
      <c r="D704" s="112" t="s">
        <v>1909</v>
      </c>
      <c r="E704" s="111" t="s">
        <v>75</v>
      </c>
      <c r="F704" s="112" t="s">
        <v>1602</v>
      </c>
      <c r="G704" s="111" t="s">
        <v>20</v>
      </c>
      <c r="H704" s="111"/>
      <c r="I704" s="111">
        <v>201601</v>
      </c>
      <c r="J704" s="113">
        <v>383469.96</v>
      </c>
      <c r="K704" s="72">
        <f t="shared" si="54"/>
        <v>42675</v>
      </c>
      <c r="L704" s="67">
        <f t="shared" si="55"/>
        <v>6</v>
      </c>
      <c r="M704" s="114">
        <v>1.4833299999999999E-3</v>
      </c>
      <c r="N704" s="104">
        <f t="shared" si="56"/>
        <v>3412.8749746008002</v>
      </c>
      <c r="O704" s="66"/>
      <c r="P704" s="66">
        <f t="shared" si="57"/>
        <v>0</v>
      </c>
      <c r="Q704" s="66"/>
      <c r="R704" s="66">
        <f t="shared" si="58"/>
        <v>6343.9512611750006</v>
      </c>
    </row>
    <row r="705" spans="1:18">
      <c r="A705" s="116" t="s">
        <v>626</v>
      </c>
      <c r="B705" s="111" t="s">
        <v>1803</v>
      </c>
      <c r="C705" s="111" t="s">
        <v>1804</v>
      </c>
      <c r="D705" s="112" t="s">
        <v>1805</v>
      </c>
      <c r="E705" s="111" t="s">
        <v>164</v>
      </c>
      <c r="F705" s="112" t="s">
        <v>1600</v>
      </c>
      <c r="G705" s="111" t="s">
        <v>20</v>
      </c>
      <c r="H705" s="111"/>
      <c r="I705" s="111">
        <v>201601</v>
      </c>
      <c r="J705" s="113">
        <v>4185.29</v>
      </c>
      <c r="K705" s="72">
        <f t="shared" si="54"/>
        <v>42675</v>
      </c>
      <c r="L705" s="67">
        <f t="shared" si="55"/>
        <v>6</v>
      </c>
      <c r="M705" s="114">
        <v>1.4833299999999999E-3</v>
      </c>
      <c r="N705" s="104">
        <f t="shared" si="56"/>
        <v>37.248997294200002</v>
      </c>
      <c r="O705" s="66"/>
      <c r="P705" s="66">
        <f t="shared" si="57"/>
        <v>0</v>
      </c>
      <c r="Q705" s="66"/>
      <c r="R705" s="66">
        <f t="shared" si="58"/>
        <v>69.239519502083326</v>
      </c>
    </row>
    <row r="706" spans="1:18">
      <c r="A706" s="116" t="s">
        <v>626</v>
      </c>
      <c r="B706" s="111" t="s">
        <v>1748</v>
      </c>
      <c r="C706" s="111" t="s">
        <v>1749</v>
      </c>
      <c r="D706" s="112" t="s">
        <v>1750</v>
      </c>
      <c r="E706" s="111" t="s">
        <v>75</v>
      </c>
      <c r="F706" s="112" t="s">
        <v>1602</v>
      </c>
      <c r="G706" s="111" t="s">
        <v>20</v>
      </c>
      <c r="H706" s="111"/>
      <c r="I706" s="111">
        <v>201601</v>
      </c>
      <c r="J706" s="113">
        <v>2055.0300000000002</v>
      </c>
      <c r="K706" s="72">
        <f t="shared" si="54"/>
        <v>42675</v>
      </c>
      <c r="L706" s="67">
        <f t="shared" si="55"/>
        <v>6</v>
      </c>
      <c r="M706" s="114">
        <v>1.4833299999999999E-3</v>
      </c>
      <c r="N706" s="104">
        <f t="shared" si="56"/>
        <v>18.2897258994</v>
      </c>
      <c r="O706" s="66"/>
      <c r="P706" s="66">
        <f t="shared" si="57"/>
        <v>0</v>
      </c>
      <c r="Q706" s="66"/>
      <c r="R706" s="66">
        <f t="shared" si="58"/>
        <v>33.997474431250005</v>
      </c>
    </row>
    <row r="707" spans="1:18">
      <c r="A707" s="116" t="s">
        <v>626</v>
      </c>
      <c r="B707" s="111" t="s">
        <v>1910</v>
      </c>
      <c r="C707" s="111" t="s">
        <v>1911</v>
      </c>
      <c r="D707" s="112" t="s">
        <v>1912</v>
      </c>
      <c r="E707" s="111" t="s">
        <v>75</v>
      </c>
      <c r="F707" s="112" t="s">
        <v>1602</v>
      </c>
      <c r="G707" s="111" t="s">
        <v>20</v>
      </c>
      <c r="H707" s="111"/>
      <c r="I707" s="111">
        <v>201601</v>
      </c>
      <c r="J707" s="113">
        <v>189148.06</v>
      </c>
      <c r="K707" s="72">
        <f t="shared" si="54"/>
        <v>42675</v>
      </c>
      <c r="L707" s="67">
        <f t="shared" si="55"/>
        <v>6</v>
      </c>
      <c r="M707" s="114">
        <v>1.4833299999999999E-3</v>
      </c>
      <c r="N707" s="104">
        <f t="shared" si="56"/>
        <v>1683.4139510388</v>
      </c>
      <c r="O707" s="66"/>
      <c r="P707" s="66">
        <f t="shared" si="57"/>
        <v>0</v>
      </c>
      <c r="Q707" s="66"/>
      <c r="R707" s="66">
        <f t="shared" si="58"/>
        <v>3129.1788117791666</v>
      </c>
    </row>
    <row r="708" spans="1:18">
      <c r="A708" s="116" t="s">
        <v>626</v>
      </c>
      <c r="B708" s="111" t="s">
        <v>1913</v>
      </c>
      <c r="C708" s="111" t="s">
        <v>1914</v>
      </c>
      <c r="D708" s="112" t="s">
        <v>1915</v>
      </c>
      <c r="E708" s="111" t="s">
        <v>75</v>
      </c>
      <c r="F708" s="112" t="s">
        <v>1602</v>
      </c>
      <c r="G708" s="111" t="s">
        <v>20</v>
      </c>
      <c r="H708" s="111"/>
      <c r="I708" s="111">
        <v>201601</v>
      </c>
      <c r="J708" s="113">
        <v>85899.32</v>
      </c>
      <c r="K708" s="72">
        <f t="shared" si="54"/>
        <v>42675</v>
      </c>
      <c r="L708" s="67">
        <f t="shared" si="55"/>
        <v>6</v>
      </c>
      <c r="M708" s="114">
        <v>1.4833299999999999E-3</v>
      </c>
      <c r="N708" s="104">
        <f t="shared" si="56"/>
        <v>764.50223001360007</v>
      </c>
      <c r="O708" s="66"/>
      <c r="P708" s="66">
        <f t="shared" si="57"/>
        <v>0</v>
      </c>
      <c r="Q708" s="66"/>
      <c r="R708" s="66">
        <f t="shared" si="58"/>
        <v>1421.0789795583335</v>
      </c>
    </row>
    <row r="709" spans="1:18">
      <c r="A709" s="116" t="s">
        <v>626</v>
      </c>
      <c r="B709" s="111" t="s">
        <v>1916</v>
      </c>
      <c r="C709" s="111" t="s">
        <v>1917</v>
      </c>
      <c r="D709" s="112" t="s">
        <v>1273</v>
      </c>
      <c r="E709" s="111" t="s">
        <v>75</v>
      </c>
      <c r="F709" s="112" t="s">
        <v>1602</v>
      </c>
      <c r="G709" s="111" t="s">
        <v>20</v>
      </c>
      <c r="H709" s="111"/>
      <c r="I709" s="111">
        <v>201601</v>
      </c>
      <c r="J709" s="113">
        <v>171751.53</v>
      </c>
      <c r="K709" s="72">
        <f t="shared" si="54"/>
        <v>42675</v>
      </c>
      <c r="L709" s="67">
        <f t="shared" si="55"/>
        <v>6</v>
      </c>
      <c r="M709" s="114">
        <v>1.4833299999999999E-3</v>
      </c>
      <c r="N709" s="104">
        <f t="shared" si="56"/>
        <v>1528.5851819694001</v>
      </c>
      <c r="O709" s="66"/>
      <c r="P709" s="66">
        <f t="shared" si="57"/>
        <v>0</v>
      </c>
      <c r="Q709" s="66"/>
      <c r="R709" s="66">
        <f t="shared" si="58"/>
        <v>2841.3785928687503</v>
      </c>
    </row>
    <row r="710" spans="1:18">
      <c r="A710" s="116" t="s">
        <v>626</v>
      </c>
      <c r="B710" s="111" t="s">
        <v>1776</v>
      </c>
      <c r="C710" s="111" t="s">
        <v>1777</v>
      </c>
      <c r="D710" s="112" t="s">
        <v>1778</v>
      </c>
      <c r="E710" s="111" t="s">
        <v>452</v>
      </c>
      <c r="F710" s="112" t="s">
        <v>398</v>
      </c>
      <c r="G710" s="111" t="s">
        <v>20</v>
      </c>
      <c r="H710" s="111"/>
      <c r="I710" s="111">
        <v>201601</v>
      </c>
      <c r="J710" s="113">
        <v>9304.33</v>
      </c>
      <c r="K710" s="72">
        <f t="shared" si="54"/>
        <v>42675</v>
      </c>
      <c r="L710" s="67">
        <f t="shared" si="55"/>
        <v>6</v>
      </c>
      <c r="M710" s="114">
        <v>1.4833299999999999E-3</v>
      </c>
      <c r="N710" s="104">
        <f t="shared" si="56"/>
        <v>82.808350913400005</v>
      </c>
      <c r="O710" s="66"/>
      <c r="P710" s="66">
        <f t="shared" si="57"/>
        <v>0</v>
      </c>
      <c r="Q710" s="66"/>
      <c r="R710" s="66">
        <f t="shared" si="58"/>
        <v>153.92657103541669</v>
      </c>
    </row>
    <row r="711" spans="1:18">
      <c r="A711" s="110" t="s">
        <v>626</v>
      </c>
      <c r="B711" s="111" t="s">
        <v>1806</v>
      </c>
      <c r="C711" s="111" t="s">
        <v>1807</v>
      </c>
      <c r="D711" s="112" t="s">
        <v>1808</v>
      </c>
      <c r="E711" s="111" t="s">
        <v>75</v>
      </c>
      <c r="F711" s="112" t="s">
        <v>1602</v>
      </c>
      <c r="G711" s="111" t="s">
        <v>20</v>
      </c>
      <c r="H711" s="111"/>
      <c r="I711" s="111">
        <v>201601</v>
      </c>
      <c r="J711" s="113">
        <v>-1308.98</v>
      </c>
      <c r="K711" s="72">
        <f t="shared" ref="K711:K774" si="59">+K710</f>
        <v>42675</v>
      </c>
      <c r="L711" s="67">
        <f t="shared" si="55"/>
        <v>6</v>
      </c>
      <c r="M711" s="114">
        <v>1.4833299999999999E-3</v>
      </c>
      <c r="N711" s="104">
        <f t="shared" si="56"/>
        <v>-11.649895820399999</v>
      </c>
      <c r="O711" s="66"/>
      <c r="P711" s="66">
        <f t="shared" si="57"/>
        <v>0</v>
      </c>
      <c r="Q711" s="66"/>
      <c r="R711" s="66">
        <f t="shared" si="58"/>
        <v>-21.655165170833332</v>
      </c>
    </row>
    <row r="712" spans="1:18">
      <c r="A712" s="110" t="s">
        <v>626</v>
      </c>
      <c r="B712" s="111" t="s">
        <v>1918</v>
      </c>
      <c r="C712" s="111" t="s">
        <v>1919</v>
      </c>
      <c r="D712" s="112" t="s">
        <v>1920</v>
      </c>
      <c r="E712" s="111" t="s">
        <v>75</v>
      </c>
      <c r="F712" s="112" t="s">
        <v>1602</v>
      </c>
      <c r="G712" s="111" t="s">
        <v>20</v>
      </c>
      <c r="H712" s="111"/>
      <c r="I712" s="111">
        <v>201601</v>
      </c>
      <c r="J712" s="113">
        <v>100144.81</v>
      </c>
      <c r="K712" s="72">
        <f t="shared" si="59"/>
        <v>42675</v>
      </c>
      <c r="L712" s="67">
        <f t="shared" si="55"/>
        <v>6</v>
      </c>
      <c r="M712" s="114">
        <v>1.4833299999999999E-3</v>
      </c>
      <c r="N712" s="104">
        <f t="shared" si="56"/>
        <v>891.28680610380002</v>
      </c>
      <c r="O712" s="66"/>
      <c r="P712" s="66">
        <f t="shared" si="57"/>
        <v>0</v>
      </c>
      <c r="Q712" s="66"/>
      <c r="R712" s="66">
        <f t="shared" si="58"/>
        <v>1656.7498369354166</v>
      </c>
    </row>
    <row r="713" spans="1:18">
      <c r="A713" s="110" t="s">
        <v>626</v>
      </c>
      <c r="B713" s="111" t="s">
        <v>1921</v>
      </c>
      <c r="C713" s="111" t="s">
        <v>1922</v>
      </c>
      <c r="D713" s="112" t="s">
        <v>1923</v>
      </c>
      <c r="E713" s="111" t="s">
        <v>156</v>
      </c>
      <c r="F713" s="112" t="s">
        <v>26</v>
      </c>
      <c r="G713" s="111" t="s">
        <v>20</v>
      </c>
      <c r="H713" s="111"/>
      <c r="I713" s="111">
        <v>201601</v>
      </c>
      <c r="J713" s="113">
        <v>41609.620000000003</v>
      </c>
      <c r="K713" s="72">
        <f t="shared" si="59"/>
        <v>42675</v>
      </c>
      <c r="L713" s="67">
        <f t="shared" si="55"/>
        <v>6</v>
      </c>
      <c r="M713" s="114">
        <v>1.4833299999999999E-3</v>
      </c>
      <c r="N713" s="104">
        <f t="shared" si="56"/>
        <v>370.32478580760005</v>
      </c>
      <c r="O713" s="66"/>
      <c r="P713" s="66">
        <f t="shared" si="57"/>
        <v>0</v>
      </c>
      <c r="Q713" s="66"/>
      <c r="R713" s="66">
        <f t="shared" si="58"/>
        <v>688.37048220416671</v>
      </c>
    </row>
    <row r="714" spans="1:18">
      <c r="A714" s="110" t="s">
        <v>21</v>
      </c>
      <c r="B714" s="111" t="s">
        <v>1664</v>
      </c>
      <c r="C714" s="111" t="s">
        <v>1665</v>
      </c>
      <c r="D714" s="112" t="s">
        <v>1666</v>
      </c>
      <c r="E714" s="111" t="s">
        <v>87</v>
      </c>
      <c r="F714" s="112" t="s">
        <v>1603</v>
      </c>
      <c r="G714" s="111" t="s">
        <v>20</v>
      </c>
      <c r="H714" s="111"/>
      <c r="I714" s="111">
        <v>201601</v>
      </c>
      <c r="J714" s="113">
        <v>-69.37</v>
      </c>
      <c r="K714" s="72">
        <f t="shared" si="59"/>
        <v>42675</v>
      </c>
      <c r="L714" s="67">
        <f t="shared" si="55"/>
        <v>6</v>
      </c>
      <c r="M714" s="114">
        <v>1.4833299999999999E-3</v>
      </c>
      <c r="N714" s="104">
        <f t="shared" si="56"/>
        <v>-0.61739161260000008</v>
      </c>
      <c r="O714" s="66"/>
      <c r="P714" s="66">
        <f t="shared" si="57"/>
        <v>0</v>
      </c>
      <c r="Q714" s="66"/>
      <c r="R714" s="66">
        <f t="shared" si="58"/>
        <v>-1.1476254854166668</v>
      </c>
    </row>
    <row r="715" spans="1:18">
      <c r="A715" s="110" t="s">
        <v>990</v>
      </c>
      <c r="B715" s="111" t="s">
        <v>1751</v>
      </c>
      <c r="C715" s="111" t="s">
        <v>1752</v>
      </c>
      <c r="D715" s="112" t="s">
        <v>1753</v>
      </c>
      <c r="E715" s="111" t="s">
        <v>1688</v>
      </c>
      <c r="F715" s="112" t="s">
        <v>1689</v>
      </c>
      <c r="G715" s="111" t="s">
        <v>20</v>
      </c>
      <c r="H715" s="111"/>
      <c r="I715" s="111">
        <v>201601</v>
      </c>
      <c r="J715" s="113">
        <v>6.43</v>
      </c>
      <c r="K715" s="72">
        <f t="shared" si="59"/>
        <v>42675</v>
      </c>
      <c r="L715" s="67">
        <f t="shared" si="55"/>
        <v>6</v>
      </c>
      <c r="M715" s="114">
        <v>2.0333333000000001E-3</v>
      </c>
      <c r="N715" s="104">
        <f t="shared" si="56"/>
        <v>7.8445998714000001E-2</v>
      </c>
      <c r="O715" s="66"/>
      <c r="P715" s="66">
        <f t="shared" si="57"/>
        <v>0</v>
      </c>
      <c r="Q715" s="66"/>
      <c r="R715" s="66">
        <f t="shared" si="58"/>
        <v>0.10637497291666667</v>
      </c>
    </row>
    <row r="716" spans="1:18">
      <c r="A716" s="110" t="s">
        <v>990</v>
      </c>
      <c r="B716" s="111" t="s">
        <v>1754</v>
      </c>
      <c r="C716" s="111" t="s">
        <v>1755</v>
      </c>
      <c r="D716" s="112" t="s">
        <v>1756</v>
      </c>
      <c r="E716" s="111" t="s">
        <v>1688</v>
      </c>
      <c r="F716" s="112" t="s">
        <v>1689</v>
      </c>
      <c r="G716" s="111" t="s">
        <v>20</v>
      </c>
      <c r="H716" s="111"/>
      <c r="I716" s="111">
        <v>201601</v>
      </c>
      <c r="J716" s="113">
        <v>25.17</v>
      </c>
      <c r="K716" s="72">
        <f t="shared" si="59"/>
        <v>42675</v>
      </c>
      <c r="L716" s="67">
        <f t="shared" si="55"/>
        <v>6</v>
      </c>
      <c r="M716" s="114">
        <v>2.0333333000000001E-3</v>
      </c>
      <c r="N716" s="104">
        <f t="shared" si="56"/>
        <v>0.30707399496600002</v>
      </c>
      <c r="O716" s="66"/>
      <c r="P716" s="66">
        <f t="shared" si="57"/>
        <v>0</v>
      </c>
      <c r="Q716" s="66"/>
      <c r="R716" s="66">
        <f t="shared" si="58"/>
        <v>0.41640094375000003</v>
      </c>
    </row>
    <row r="717" spans="1:18">
      <c r="A717" s="110" t="s">
        <v>626</v>
      </c>
      <c r="B717" s="111" t="s">
        <v>1924</v>
      </c>
      <c r="C717" s="111" t="s">
        <v>1925</v>
      </c>
      <c r="D717" s="112" t="s">
        <v>1926</v>
      </c>
      <c r="E717" s="111" t="s">
        <v>75</v>
      </c>
      <c r="F717" s="112" t="s">
        <v>1602</v>
      </c>
      <c r="G717" s="111" t="s">
        <v>20</v>
      </c>
      <c r="H717" s="111"/>
      <c r="I717" s="111">
        <v>201601</v>
      </c>
      <c r="J717" s="113">
        <v>96622.2</v>
      </c>
      <c r="K717" s="72">
        <f t="shared" si="59"/>
        <v>42675</v>
      </c>
      <c r="L717" s="67">
        <f t="shared" si="55"/>
        <v>6</v>
      </c>
      <c r="M717" s="114">
        <v>1.4833299999999999E-3</v>
      </c>
      <c r="N717" s="104">
        <f t="shared" si="56"/>
        <v>859.93564755599994</v>
      </c>
      <c r="O717" s="66"/>
      <c r="P717" s="66">
        <f t="shared" si="57"/>
        <v>0</v>
      </c>
      <c r="Q717" s="66"/>
      <c r="R717" s="66">
        <f t="shared" si="58"/>
        <v>1598.473391625</v>
      </c>
    </row>
    <row r="718" spans="1:18">
      <c r="A718" s="110" t="s">
        <v>626</v>
      </c>
      <c r="B718" s="111" t="s">
        <v>1927</v>
      </c>
      <c r="C718" s="111" t="s">
        <v>1928</v>
      </c>
      <c r="D718" s="112" t="s">
        <v>1929</v>
      </c>
      <c r="E718" s="111" t="s">
        <v>75</v>
      </c>
      <c r="F718" s="112" t="s">
        <v>1602</v>
      </c>
      <c r="G718" s="111" t="s">
        <v>20</v>
      </c>
      <c r="H718" s="111"/>
      <c r="I718" s="111">
        <v>201601</v>
      </c>
      <c r="J718" s="113">
        <v>59331.81</v>
      </c>
      <c r="K718" s="72">
        <f t="shared" si="59"/>
        <v>42675</v>
      </c>
      <c r="L718" s="67">
        <f t="shared" si="55"/>
        <v>6</v>
      </c>
      <c r="M718" s="114">
        <v>1.4833299999999999E-3</v>
      </c>
      <c r="N718" s="104">
        <f t="shared" si="56"/>
        <v>528.05192236380003</v>
      </c>
      <c r="O718" s="66"/>
      <c r="P718" s="66">
        <f t="shared" si="57"/>
        <v>0</v>
      </c>
      <c r="Q718" s="66"/>
      <c r="R718" s="66">
        <f t="shared" si="58"/>
        <v>981.55827089374998</v>
      </c>
    </row>
    <row r="719" spans="1:18">
      <c r="A719" s="110" t="s">
        <v>21</v>
      </c>
      <c r="B719" s="111" t="s">
        <v>1820</v>
      </c>
      <c r="C719" s="111" t="s">
        <v>1821</v>
      </c>
      <c r="D719" s="112" t="s">
        <v>1822</v>
      </c>
      <c r="E719" s="111" t="s">
        <v>87</v>
      </c>
      <c r="F719" s="112" t="s">
        <v>1603</v>
      </c>
      <c r="G719" s="111" t="s">
        <v>20</v>
      </c>
      <c r="H719" s="111"/>
      <c r="I719" s="111">
        <v>201601</v>
      </c>
      <c r="J719" s="113">
        <v>-6.17</v>
      </c>
      <c r="K719" s="72">
        <f t="shared" si="59"/>
        <v>42675</v>
      </c>
      <c r="L719" s="67">
        <f t="shared" si="55"/>
        <v>6</v>
      </c>
      <c r="M719" s="114">
        <v>1.4833299999999999E-3</v>
      </c>
      <c r="N719" s="104">
        <f t="shared" si="56"/>
        <v>-5.49128766E-2</v>
      </c>
      <c r="O719" s="66"/>
      <c r="P719" s="66">
        <f t="shared" si="57"/>
        <v>0</v>
      </c>
      <c r="Q719" s="66"/>
      <c r="R719" s="66">
        <f t="shared" si="58"/>
        <v>-0.10207365208333334</v>
      </c>
    </row>
    <row r="720" spans="1:18">
      <c r="A720" s="110" t="s">
        <v>626</v>
      </c>
      <c r="B720" s="111" t="s">
        <v>1699</v>
      </c>
      <c r="C720" s="111" t="s">
        <v>1700</v>
      </c>
      <c r="D720" s="112" t="s">
        <v>1701</v>
      </c>
      <c r="E720" s="111" t="s">
        <v>544</v>
      </c>
      <c r="F720" s="112" t="s">
        <v>26</v>
      </c>
      <c r="G720" s="111" t="s">
        <v>20</v>
      </c>
      <c r="H720" s="111"/>
      <c r="I720" s="111">
        <v>201601</v>
      </c>
      <c r="J720" s="113">
        <v>-60.35</v>
      </c>
      <c r="K720" s="72">
        <f t="shared" si="59"/>
        <v>42675</v>
      </c>
      <c r="L720" s="67">
        <f t="shared" si="55"/>
        <v>6</v>
      </c>
      <c r="M720" s="114">
        <v>1.4833299999999999E-3</v>
      </c>
      <c r="N720" s="104">
        <f t="shared" si="56"/>
        <v>-0.53711379300000006</v>
      </c>
      <c r="O720" s="66"/>
      <c r="P720" s="66">
        <f t="shared" si="57"/>
        <v>0</v>
      </c>
      <c r="Q720" s="66"/>
      <c r="R720" s="66">
        <f t="shared" si="58"/>
        <v>-0.99840273958333337</v>
      </c>
    </row>
    <row r="721" spans="1:18">
      <c r="A721" s="110" t="s">
        <v>626</v>
      </c>
      <c r="B721" s="111" t="s">
        <v>1930</v>
      </c>
      <c r="C721" s="111" t="s">
        <v>1931</v>
      </c>
      <c r="D721" s="112" t="s">
        <v>1932</v>
      </c>
      <c r="E721" s="111" t="s">
        <v>75</v>
      </c>
      <c r="F721" s="112" t="s">
        <v>1602</v>
      </c>
      <c r="G721" s="111" t="s">
        <v>20</v>
      </c>
      <c r="H721" s="111"/>
      <c r="I721" s="111">
        <v>201601</v>
      </c>
      <c r="J721" s="113">
        <v>151290.65</v>
      </c>
      <c r="K721" s="72">
        <f t="shared" si="59"/>
        <v>42675</v>
      </c>
      <c r="L721" s="67">
        <f t="shared" si="55"/>
        <v>6</v>
      </c>
      <c r="M721" s="114">
        <v>1.4833299999999999E-3</v>
      </c>
      <c r="N721" s="104">
        <f t="shared" si="56"/>
        <v>1346.483759187</v>
      </c>
      <c r="O721" s="66"/>
      <c r="P721" s="66">
        <f t="shared" si="57"/>
        <v>0</v>
      </c>
      <c r="Q721" s="66"/>
      <c r="R721" s="66">
        <f t="shared" si="58"/>
        <v>2502.883172052083</v>
      </c>
    </row>
    <row r="722" spans="1:18">
      <c r="A722" s="110" t="s">
        <v>626</v>
      </c>
      <c r="B722" s="111" t="s">
        <v>1782</v>
      </c>
      <c r="C722" s="111" t="s">
        <v>1783</v>
      </c>
      <c r="D722" s="112" t="s">
        <v>1784</v>
      </c>
      <c r="E722" s="111" t="s">
        <v>87</v>
      </c>
      <c r="F722" s="112" t="s">
        <v>1603</v>
      </c>
      <c r="G722" s="111" t="s">
        <v>20</v>
      </c>
      <c r="H722" s="111"/>
      <c r="I722" s="111">
        <v>201601</v>
      </c>
      <c r="J722" s="113">
        <v>102.54</v>
      </c>
      <c r="K722" s="72">
        <f t="shared" si="59"/>
        <v>42675</v>
      </c>
      <c r="L722" s="67">
        <f t="shared" si="55"/>
        <v>6</v>
      </c>
      <c r="M722" s="114">
        <v>1.4833299999999999E-3</v>
      </c>
      <c r="N722" s="104">
        <f t="shared" si="56"/>
        <v>0.9126039492000001</v>
      </c>
      <c r="O722" s="66"/>
      <c r="P722" s="66">
        <f t="shared" si="57"/>
        <v>0</v>
      </c>
      <c r="Q722" s="66"/>
      <c r="R722" s="66">
        <f t="shared" si="58"/>
        <v>1.6963747625000001</v>
      </c>
    </row>
    <row r="723" spans="1:18">
      <c r="A723" s="110" t="s">
        <v>626</v>
      </c>
      <c r="B723" s="111" t="s">
        <v>1933</v>
      </c>
      <c r="C723" s="111" t="s">
        <v>1934</v>
      </c>
      <c r="D723" s="112" t="s">
        <v>1935</v>
      </c>
      <c r="E723" s="111" t="s">
        <v>75</v>
      </c>
      <c r="F723" s="112" t="s">
        <v>1602</v>
      </c>
      <c r="G723" s="111" t="s">
        <v>20</v>
      </c>
      <c r="H723" s="111"/>
      <c r="I723" s="111">
        <v>201601</v>
      </c>
      <c r="J723" s="113">
        <v>84389.45</v>
      </c>
      <c r="K723" s="72">
        <f t="shared" si="59"/>
        <v>42675</v>
      </c>
      <c r="L723" s="67">
        <f t="shared" si="55"/>
        <v>6</v>
      </c>
      <c r="M723" s="114">
        <v>1.4833299999999999E-3</v>
      </c>
      <c r="N723" s="104">
        <f t="shared" si="56"/>
        <v>751.06441721099998</v>
      </c>
      <c r="O723" s="66"/>
      <c r="P723" s="66">
        <f t="shared" si="57"/>
        <v>0</v>
      </c>
      <c r="Q723" s="66"/>
      <c r="R723" s="66">
        <f t="shared" si="58"/>
        <v>1396.1003823020833</v>
      </c>
    </row>
    <row r="724" spans="1:18">
      <c r="A724" s="110" t="s">
        <v>626</v>
      </c>
      <c r="B724" s="111" t="s">
        <v>1669</v>
      </c>
      <c r="C724" s="111" t="s">
        <v>1670</v>
      </c>
      <c r="D724" s="112" t="s">
        <v>1671</v>
      </c>
      <c r="E724" s="111" t="s">
        <v>415</v>
      </c>
      <c r="F724" s="112" t="s">
        <v>88</v>
      </c>
      <c r="G724" s="111" t="s">
        <v>20</v>
      </c>
      <c r="H724" s="111"/>
      <c r="I724" s="111">
        <v>201601</v>
      </c>
      <c r="J724" s="113">
        <v>544.46</v>
      </c>
      <c r="K724" s="72">
        <f t="shared" si="59"/>
        <v>42675</v>
      </c>
      <c r="L724" s="67">
        <f t="shared" si="55"/>
        <v>6</v>
      </c>
      <c r="M724" s="114">
        <v>1.4833299999999999E-3</v>
      </c>
      <c r="N724" s="104">
        <f t="shared" si="56"/>
        <v>4.8456831108000005</v>
      </c>
      <c r="O724" s="66"/>
      <c r="P724" s="66">
        <f t="shared" si="57"/>
        <v>0</v>
      </c>
      <c r="Q724" s="66"/>
      <c r="R724" s="66">
        <f t="shared" si="58"/>
        <v>9.0072966958333343</v>
      </c>
    </row>
    <row r="725" spans="1:18">
      <c r="A725" s="110" t="s">
        <v>626</v>
      </c>
      <c r="B725" s="111" t="s">
        <v>1936</v>
      </c>
      <c r="C725" s="111" t="s">
        <v>1937</v>
      </c>
      <c r="D725" s="112" t="s">
        <v>1938</v>
      </c>
      <c r="E725" s="111" t="s">
        <v>75</v>
      </c>
      <c r="F725" s="112" t="s">
        <v>1602</v>
      </c>
      <c r="G725" s="111" t="s">
        <v>20</v>
      </c>
      <c r="H725" s="111"/>
      <c r="I725" s="111">
        <v>201601</v>
      </c>
      <c r="J725" s="113">
        <v>85541.01</v>
      </c>
      <c r="K725" s="72">
        <f t="shared" si="59"/>
        <v>42675</v>
      </c>
      <c r="L725" s="67">
        <f t="shared" si="55"/>
        <v>6</v>
      </c>
      <c r="M725" s="114">
        <v>1.4833299999999999E-3</v>
      </c>
      <c r="N725" s="104">
        <f t="shared" si="56"/>
        <v>761.31327817979991</v>
      </c>
      <c r="O725" s="66"/>
      <c r="P725" s="66">
        <f t="shared" si="57"/>
        <v>0</v>
      </c>
      <c r="Q725" s="66"/>
      <c r="R725" s="66">
        <f t="shared" si="58"/>
        <v>1415.1512631437499</v>
      </c>
    </row>
    <row r="726" spans="1:18">
      <c r="A726" s="110" t="s">
        <v>21</v>
      </c>
      <c r="B726" s="111" t="s">
        <v>1939</v>
      </c>
      <c r="C726" s="111" t="s">
        <v>1940</v>
      </c>
      <c r="D726" s="112" t="s">
        <v>1941</v>
      </c>
      <c r="E726" s="111" t="s">
        <v>87</v>
      </c>
      <c r="F726" s="112" t="s">
        <v>1603</v>
      </c>
      <c r="G726" s="111" t="s">
        <v>20</v>
      </c>
      <c r="H726" s="111"/>
      <c r="I726" s="111">
        <v>201601</v>
      </c>
      <c r="J726" s="113">
        <v>157266.5</v>
      </c>
      <c r="K726" s="72">
        <f t="shared" si="59"/>
        <v>42675</v>
      </c>
      <c r="L726" s="67">
        <f t="shared" si="55"/>
        <v>6</v>
      </c>
      <c r="M726" s="114">
        <v>1.4833299999999999E-3</v>
      </c>
      <c r="N726" s="104">
        <f t="shared" si="56"/>
        <v>1399.6687046699999</v>
      </c>
      <c r="O726" s="66"/>
      <c r="P726" s="66">
        <f t="shared" si="57"/>
        <v>0</v>
      </c>
      <c r="Q726" s="66"/>
      <c r="R726" s="66">
        <f t="shared" si="58"/>
        <v>2601.7448955208338</v>
      </c>
    </row>
    <row r="727" spans="1:18">
      <c r="A727" s="110" t="s">
        <v>626</v>
      </c>
      <c r="B727" s="111" t="s">
        <v>1811</v>
      </c>
      <c r="C727" s="111" t="s">
        <v>1812</v>
      </c>
      <c r="D727" s="112" t="s">
        <v>1813</v>
      </c>
      <c r="E727" s="111" t="s">
        <v>25</v>
      </c>
      <c r="F727" s="112" t="s">
        <v>26</v>
      </c>
      <c r="G727" s="111" t="s">
        <v>20</v>
      </c>
      <c r="H727" s="111"/>
      <c r="I727" s="111">
        <v>201601</v>
      </c>
      <c r="J727" s="113">
        <v>414.01</v>
      </c>
      <c r="K727" s="72">
        <f t="shared" si="59"/>
        <v>42675</v>
      </c>
      <c r="L727" s="67">
        <f t="shared" si="55"/>
        <v>6</v>
      </c>
      <c r="M727" s="114">
        <v>1.4833299999999999E-3</v>
      </c>
      <c r="N727" s="104">
        <f t="shared" si="56"/>
        <v>3.6846807197999998</v>
      </c>
      <c r="O727" s="66"/>
      <c r="P727" s="66">
        <f t="shared" si="57"/>
        <v>0</v>
      </c>
      <c r="Q727" s="66"/>
      <c r="R727" s="66">
        <f t="shared" si="58"/>
        <v>6.8491916854166668</v>
      </c>
    </row>
    <row r="728" spans="1:18">
      <c r="A728" s="116" t="s">
        <v>1942</v>
      </c>
      <c r="B728" s="118" t="s">
        <v>1681</v>
      </c>
      <c r="C728" s="111" t="s">
        <v>1682</v>
      </c>
      <c r="D728" s="112" t="s">
        <v>1683</v>
      </c>
      <c r="E728" s="111" t="s">
        <v>198</v>
      </c>
      <c r="F728" s="112" t="s">
        <v>1610</v>
      </c>
      <c r="G728" s="111" t="s">
        <v>20</v>
      </c>
      <c r="H728" s="111"/>
      <c r="I728" s="111">
        <v>201601</v>
      </c>
      <c r="J728" s="113">
        <v>3752.77</v>
      </c>
      <c r="K728" s="72">
        <f t="shared" si="59"/>
        <v>42675</v>
      </c>
      <c r="L728" s="67">
        <f t="shared" si="55"/>
        <v>6</v>
      </c>
      <c r="M728" s="114">
        <v>2.23333E-3</v>
      </c>
      <c r="N728" s="104">
        <f t="shared" si="56"/>
        <v>50.287042944599996</v>
      </c>
      <c r="O728" s="66"/>
      <c r="P728" s="66">
        <f t="shared" si="57"/>
        <v>0</v>
      </c>
      <c r="Q728" s="66"/>
      <c r="R728" s="66">
        <f t="shared" si="58"/>
        <v>62.084106860416668</v>
      </c>
    </row>
    <row r="729" spans="1:18">
      <c r="A729" s="110" t="s">
        <v>1942</v>
      </c>
      <c r="B729" s="118" t="s">
        <v>1681</v>
      </c>
      <c r="C729" s="111" t="s">
        <v>1943</v>
      </c>
      <c r="D729" s="112" t="s">
        <v>1944</v>
      </c>
      <c r="E729" s="111" t="s">
        <v>202</v>
      </c>
      <c r="F729" s="112" t="s">
        <v>1611</v>
      </c>
      <c r="G729" s="111" t="s">
        <v>20</v>
      </c>
      <c r="H729" s="111"/>
      <c r="I729" s="111">
        <v>201601</v>
      </c>
      <c r="J729" s="113">
        <v>-112.46</v>
      </c>
      <c r="K729" s="72">
        <f t="shared" si="59"/>
        <v>42675</v>
      </c>
      <c r="L729" s="67">
        <f t="shared" si="55"/>
        <v>6</v>
      </c>
      <c r="M729" s="114">
        <v>2.23333E-3</v>
      </c>
      <c r="N729" s="104">
        <f t="shared" si="56"/>
        <v>-1.5069617507999997</v>
      </c>
      <c r="O729" s="66"/>
      <c r="P729" s="66">
        <f t="shared" si="57"/>
        <v>0</v>
      </c>
      <c r="Q729" s="66"/>
      <c r="R729" s="66">
        <f t="shared" si="58"/>
        <v>-1.860486695833333</v>
      </c>
    </row>
    <row r="730" spans="1:18">
      <c r="A730" s="116" t="s">
        <v>626</v>
      </c>
      <c r="B730" s="111" t="s">
        <v>1757</v>
      </c>
      <c r="C730" s="111" t="s">
        <v>1758</v>
      </c>
      <c r="D730" s="112" t="s">
        <v>1759</v>
      </c>
      <c r="E730" s="111" t="s">
        <v>75</v>
      </c>
      <c r="F730" s="112" t="s">
        <v>1602</v>
      </c>
      <c r="G730" s="111" t="s">
        <v>20</v>
      </c>
      <c r="H730" s="111"/>
      <c r="I730" s="111">
        <v>201601</v>
      </c>
      <c r="J730" s="113">
        <v>182.73</v>
      </c>
      <c r="K730" s="72">
        <f t="shared" si="59"/>
        <v>42675</v>
      </c>
      <c r="L730" s="67">
        <f t="shared" si="55"/>
        <v>6</v>
      </c>
      <c r="M730" s="114">
        <v>1.4833299999999999E-3</v>
      </c>
      <c r="N730" s="104">
        <f t="shared" si="56"/>
        <v>1.6262933453999999</v>
      </c>
      <c r="O730" s="66"/>
      <c r="P730" s="66">
        <f t="shared" si="57"/>
        <v>0</v>
      </c>
      <c r="Q730" s="66"/>
      <c r="R730" s="66">
        <f t="shared" si="58"/>
        <v>3.0230013687499997</v>
      </c>
    </row>
    <row r="731" spans="1:18">
      <c r="A731" s="116" t="s">
        <v>626</v>
      </c>
      <c r="B731" s="111" t="s">
        <v>1850</v>
      </c>
      <c r="C731" s="111" t="s">
        <v>1851</v>
      </c>
      <c r="D731" s="112" t="s">
        <v>1852</v>
      </c>
      <c r="E731" s="111" t="s">
        <v>260</v>
      </c>
      <c r="F731" s="112" t="s">
        <v>1608</v>
      </c>
      <c r="G731" s="111" t="s">
        <v>20</v>
      </c>
      <c r="H731" s="111"/>
      <c r="I731" s="111">
        <v>201601</v>
      </c>
      <c r="J731" s="113">
        <v>8210.7000000000007</v>
      </c>
      <c r="K731" s="72">
        <f t="shared" si="59"/>
        <v>42675</v>
      </c>
      <c r="L731" s="67">
        <f t="shared" si="55"/>
        <v>6</v>
      </c>
      <c r="M731" s="114">
        <v>1.4833299999999999E-3</v>
      </c>
      <c r="N731" s="104">
        <f t="shared" si="56"/>
        <v>73.07506578600001</v>
      </c>
      <c r="O731" s="66"/>
      <c r="P731" s="66">
        <f t="shared" si="57"/>
        <v>0</v>
      </c>
      <c r="Q731" s="66"/>
      <c r="R731" s="66">
        <f t="shared" si="58"/>
        <v>135.83405756250002</v>
      </c>
    </row>
    <row r="732" spans="1:18">
      <c r="A732" s="116" t="s">
        <v>626</v>
      </c>
      <c r="B732" s="111" t="s">
        <v>1814</v>
      </c>
      <c r="C732" s="111" t="s">
        <v>1815</v>
      </c>
      <c r="D732" s="112" t="s">
        <v>1816</v>
      </c>
      <c r="E732" s="111" t="s">
        <v>25</v>
      </c>
      <c r="F732" s="112" t="s">
        <v>26</v>
      </c>
      <c r="G732" s="111" t="s">
        <v>20</v>
      </c>
      <c r="H732" s="111"/>
      <c r="I732" s="111">
        <v>201601</v>
      </c>
      <c r="J732" s="113">
        <v>524.42999999999995</v>
      </c>
      <c r="K732" s="72">
        <f t="shared" si="59"/>
        <v>42675</v>
      </c>
      <c r="L732" s="67">
        <f t="shared" si="55"/>
        <v>6</v>
      </c>
      <c r="M732" s="114">
        <v>1.4833299999999999E-3</v>
      </c>
      <c r="N732" s="104">
        <f t="shared" si="56"/>
        <v>4.6674165113999999</v>
      </c>
      <c r="O732" s="66"/>
      <c r="P732" s="66">
        <f t="shared" si="57"/>
        <v>0</v>
      </c>
      <c r="Q732" s="66"/>
      <c r="R732" s="66">
        <f t="shared" si="58"/>
        <v>8.6759295562500007</v>
      </c>
    </row>
    <row r="733" spans="1:18">
      <c r="A733" s="116" t="s">
        <v>626</v>
      </c>
      <c r="B733" s="111" t="s">
        <v>1760</v>
      </c>
      <c r="C733" s="111" t="s">
        <v>1761</v>
      </c>
      <c r="D733" s="112" t="s">
        <v>1388</v>
      </c>
      <c r="E733" s="111" t="s">
        <v>164</v>
      </c>
      <c r="F733" s="112" t="s">
        <v>1600</v>
      </c>
      <c r="G733" s="111" t="s">
        <v>20</v>
      </c>
      <c r="H733" s="111"/>
      <c r="I733" s="111">
        <v>201601</v>
      </c>
      <c r="J733" s="113">
        <v>96.81</v>
      </c>
      <c r="K733" s="72">
        <f t="shared" si="59"/>
        <v>42675</v>
      </c>
      <c r="L733" s="67">
        <f t="shared" ref="L733:L738" si="60">((YEAR($L$1)-YEAR(K733))*12+MONTH($L$1)-MONTH(K733))</f>
        <v>6</v>
      </c>
      <c r="M733" s="114">
        <v>1.4833299999999999E-3</v>
      </c>
      <c r="N733" s="104">
        <f t="shared" ref="N733:N738" si="61">M733*L733*J733</f>
        <v>0.86160706380000007</v>
      </c>
      <c r="O733" s="66"/>
      <c r="P733" s="66">
        <f t="shared" si="57"/>
        <v>0</v>
      </c>
      <c r="Q733" s="66"/>
      <c r="R733" s="66">
        <f t="shared" si="58"/>
        <v>1.60158026875</v>
      </c>
    </row>
    <row r="734" spans="1:18">
      <c r="A734" s="116" t="s">
        <v>626</v>
      </c>
      <c r="B734" s="111" t="s">
        <v>1762</v>
      </c>
      <c r="C734" s="111" t="s">
        <v>1763</v>
      </c>
      <c r="D734" s="112" t="s">
        <v>1344</v>
      </c>
      <c r="E734" s="111" t="s">
        <v>164</v>
      </c>
      <c r="F734" s="112" t="s">
        <v>1600</v>
      </c>
      <c r="G734" s="111" t="s">
        <v>20</v>
      </c>
      <c r="H734" s="111"/>
      <c r="I734" s="111">
        <v>201601</v>
      </c>
      <c r="J734" s="113">
        <v>82.34</v>
      </c>
      <c r="K734" s="72">
        <f t="shared" si="59"/>
        <v>42675</v>
      </c>
      <c r="L734" s="67">
        <f t="shared" si="60"/>
        <v>6</v>
      </c>
      <c r="M734" s="114">
        <v>1.4833299999999999E-3</v>
      </c>
      <c r="N734" s="104">
        <f t="shared" si="61"/>
        <v>0.73282435320000006</v>
      </c>
      <c r="O734" s="66"/>
      <c r="P734" s="66">
        <f t="shared" si="57"/>
        <v>0</v>
      </c>
      <c r="Q734" s="66"/>
      <c r="R734" s="66">
        <f t="shared" si="58"/>
        <v>1.3621952208333334</v>
      </c>
    </row>
    <row r="735" spans="1:18">
      <c r="A735" s="110" t="s">
        <v>133</v>
      </c>
      <c r="B735" s="111" t="s">
        <v>1817</v>
      </c>
      <c r="C735" s="111" t="s">
        <v>1818</v>
      </c>
      <c r="D735" s="112" t="s">
        <v>1819</v>
      </c>
      <c r="E735" s="111" t="s">
        <v>75</v>
      </c>
      <c r="F735" s="112" t="s">
        <v>1602</v>
      </c>
      <c r="G735" s="111" t="s">
        <v>20</v>
      </c>
      <c r="H735" s="111"/>
      <c r="I735" s="111">
        <v>201601</v>
      </c>
      <c r="J735" s="113">
        <v>67200.63</v>
      </c>
      <c r="K735" s="72">
        <f t="shared" si="59"/>
        <v>42675</v>
      </c>
      <c r="L735" s="67">
        <f t="shared" si="60"/>
        <v>6</v>
      </c>
      <c r="M735" s="114">
        <v>1.4833299999999999E-3</v>
      </c>
      <c r="N735" s="104">
        <f t="shared" si="61"/>
        <v>598.08426298740005</v>
      </c>
      <c r="O735" s="66"/>
      <c r="P735" s="66">
        <f t="shared" si="57"/>
        <v>0</v>
      </c>
      <c r="Q735" s="66"/>
      <c r="R735" s="66">
        <f t="shared" si="58"/>
        <v>1111.73642243125</v>
      </c>
    </row>
    <row r="736" spans="1:18">
      <c r="A736" s="110" t="s">
        <v>626</v>
      </c>
      <c r="B736" s="111" t="s">
        <v>1764</v>
      </c>
      <c r="C736" s="111" t="s">
        <v>1765</v>
      </c>
      <c r="D736" s="112" t="s">
        <v>1766</v>
      </c>
      <c r="E736" s="111" t="s">
        <v>156</v>
      </c>
      <c r="F736" s="112" t="s">
        <v>26</v>
      </c>
      <c r="G736" s="111" t="s">
        <v>20</v>
      </c>
      <c r="H736" s="111"/>
      <c r="I736" s="111">
        <v>201601</v>
      </c>
      <c r="J736" s="113">
        <v>-98.79</v>
      </c>
      <c r="K736" s="72">
        <f t="shared" si="59"/>
        <v>42675</v>
      </c>
      <c r="L736" s="67">
        <f t="shared" si="60"/>
        <v>6</v>
      </c>
      <c r="M736" s="114">
        <v>1.4833299999999999E-3</v>
      </c>
      <c r="N736" s="104">
        <f t="shared" si="61"/>
        <v>-0.87922902420000004</v>
      </c>
      <c r="O736" s="66"/>
      <c r="P736" s="66">
        <f t="shared" si="57"/>
        <v>0</v>
      </c>
      <c r="Q736" s="66"/>
      <c r="R736" s="66">
        <f t="shared" si="58"/>
        <v>-1.6343364812500001</v>
      </c>
    </row>
    <row r="737" spans="1:18">
      <c r="A737" s="110" t="s">
        <v>626</v>
      </c>
      <c r="B737" s="111" t="s">
        <v>1945</v>
      </c>
      <c r="C737" s="111" t="s">
        <v>1946</v>
      </c>
      <c r="D737" s="112" t="s">
        <v>1947</v>
      </c>
      <c r="E737" s="111" t="s">
        <v>93</v>
      </c>
      <c r="F737" s="112" t="s">
        <v>1601</v>
      </c>
      <c r="G737" s="111" t="s">
        <v>20</v>
      </c>
      <c r="H737" s="111"/>
      <c r="I737" s="111">
        <v>201601</v>
      </c>
      <c r="J737" s="113">
        <v>271898.15999999997</v>
      </c>
      <c r="K737" s="72">
        <f t="shared" si="59"/>
        <v>42675</v>
      </c>
      <c r="L737" s="67">
        <f t="shared" si="60"/>
        <v>6</v>
      </c>
      <c r="M737" s="114">
        <v>1.4833299999999999E-3</v>
      </c>
      <c r="N737" s="104">
        <f t="shared" si="61"/>
        <v>2419.8881860367997</v>
      </c>
      <c r="O737" s="66"/>
      <c r="P737" s="66">
        <f t="shared" si="57"/>
        <v>0</v>
      </c>
      <c r="Q737" s="66"/>
      <c r="R737" s="66">
        <f t="shared" si="58"/>
        <v>4498.1585390499995</v>
      </c>
    </row>
    <row r="738" spans="1:18">
      <c r="A738" s="110" t="s">
        <v>626</v>
      </c>
      <c r="B738" s="118" t="s">
        <v>1681</v>
      </c>
      <c r="C738" s="111" t="s">
        <v>1853</v>
      </c>
      <c r="D738" s="112" t="s">
        <v>1854</v>
      </c>
      <c r="E738" s="111" t="s">
        <v>260</v>
      </c>
      <c r="F738" s="112" t="s">
        <v>1608</v>
      </c>
      <c r="G738" s="111" t="s">
        <v>20</v>
      </c>
      <c r="H738" s="111"/>
      <c r="I738" s="111">
        <v>201601</v>
      </c>
      <c r="J738" s="113">
        <v>9801.65</v>
      </c>
      <c r="K738" s="72">
        <f t="shared" si="59"/>
        <v>42675</v>
      </c>
      <c r="L738" s="67">
        <f t="shared" si="60"/>
        <v>6</v>
      </c>
      <c r="M738" s="114">
        <v>1.4833299999999999E-3</v>
      </c>
      <c r="N738" s="104">
        <f t="shared" si="61"/>
        <v>87.23448896699999</v>
      </c>
      <c r="O738" s="66"/>
      <c r="P738" s="66">
        <f t="shared" si="57"/>
        <v>0</v>
      </c>
      <c r="Q738" s="66"/>
      <c r="R738" s="66">
        <f t="shared" si="58"/>
        <v>162.15400517708332</v>
      </c>
    </row>
    <row r="739" spans="1:18">
      <c r="A739" s="116" t="s">
        <v>626</v>
      </c>
      <c r="B739" s="125" t="s">
        <v>1597</v>
      </c>
      <c r="C739" s="125" t="s">
        <v>1598</v>
      </c>
      <c r="D739" s="116" t="s">
        <v>1599</v>
      </c>
      <c r="E739" s="125" t="s">
        <v>164</v>
      </c>
      <c r="F739" s="116" t="s">
        <v>1600</v>
      </c>
      <c r="G739" s="125" t="s">
        <v>20</v>
      </c>
      <c r="H739" s="53"/>
      <c r="I739" s="125">
        <v>201602</v>
      </c>
      <c r="J739" s="126">
        <v>-10.98</v>
      </c>
      <c r="K739" s="72">
        <f t="shared" si="59"/>
        <v>42675</v>
      </c>
      <c r="L739" s="67">
        <f t="shared" ref="L739:L802" si="62">((YEAR($L$1)-YEAR(K739))*12+MONTH($L$1)-MONTH(K739))</f>
        <v>6</v>
      </c>
      <c r="M739" s="127">
        <v>1.4833299999999999E-3</v>
      </c>
      <c r="N739" s="104">
        <f t="shared" ref="N739:N802" si="63">M739*L739*J739</f>
        <v>-9.77217804E-2</v>
      </c>
      <c r="O739" s="66"/>
      <c r="P739" s="66">
        <f t="shared" si="57"/>
        <v>0</v>
      </c>
      <c r="Q739" s="66"/>
      <c r="R739" s="66">
        <f t="shared" si="58"/>
        <v>-0.1816480875</v>
      </c>
    </row>
    <row r="740" spans="1:18">
      <c r="A740" s="116" t="s">
        <v>14</v>
      </c>
      <c r="B740" s="125" t="s">
        <v>30</v>
      </c>
      <c r="C740" s="125" t="s">
        <v>31</v>
      </c>
      <c r="D740" s="116" t="s">
        <v>32</v>
      </c>
      <c r="E740" s="125" t="s">
        <v>33</v>
      </c>
      <c r="F740" s="116" t="s">
        <v>34</v>
      </c>
      <c r="G740" s="125" t="s">
        <v>20</v>
      </c>
      <c r="H740" s="53"/>
      <c r="I740" s="125">
        <v>201602</v>
      </c>
      <c r="J740" s="126">
        <v>342.53</v>
      </c>
      <c r="K740" s="72">
        <f t="shared" si="59"/>
        <v>42675</v>
      </c>
      <c r="L740" s="67">
        <f t="shared" si="62"/>
        <v>6</v>
      </c>
      <c r="M740" s="127">
        <v>1.4833299999999999E-3</v>
      </c>
      <c r="N740" s="104">
        <f t="shared" si="63"/>
        <v>3.0485101493999998</v>
      </c>
      <c r="O740" s="66"/>
      <c r="P740" s="66">
        <f t="shared" si="57"/>
        <v>0</v>
      </c>
      <c r="Q740" s="66"/>
      <c r="R740" s="66">
        <f t="shared" si="58"/>
        <v>5.666659327083333</v>
      </c>
    </row>
    <row r="741" spans="1:18">
      <c r="A741" s="116" t="s">
        <v>14</v>
      </c>
      <c r="B741" s="125" t="s">
        <v>37</v>
      </c>
      <c r="C741" s="125" t="s">
        <v>38</v>
      </c>
      <c r="D741" s="116" t="s">
        <v>39</v>
      </c>
      <c r="E741" s="125" t="s">
        <v>40</v>
      </c>
      <c r="F741" s="116" t="s">
        <v>41</v>
      </c>
      <c r="G741" s="125" t="s">
        <v>20</v>
      </c>
      <c r="H741" s="53"/>
      <c r="I741" s="125">
        <v>201602</v>
      </c>
      <c r="J741" s="126">
        <v>4582.57</v>
      </c>
      <c r="K741" s="72">
        <f t="shared" si="59"/>
        <v>42675</v>
      </c>
      <c r="L741" s="67">
        <f t="shared" si="62"/>
        <v>6</v>
      </c>
      <c r="M741" s="127">
        <v>1.4833299999999999E-3</v>
      </c>
      <c r="N741" s="104">
        <f t="shared" si="63"/>
        <v>40.784781348599999</v>
      </c>
      <c r="O741" s="66"/>
      <c r="P741" s="66">
        <f t="shared" si="57"/>
        <v>0</v>
      </c>
      <c r="Q741" s="66"/>
      <c r="R741" s="66">
        <f t="shared" si="58"/>
        <v>75.811937735416663</v>
      </c>
    </row>
    <row r="742" spans="1:18">
      <c r="A742" s="116" t="s">
        <v>14</v>
      </c>
      <c r="B742" s="125" t="s">
        <v>43</v>
      </c>
      <c r="C742" s="125" t="s">
        <v>44</v>
      </c>
      <c r="D742" s="116" t="s">
        <v>45</v>
      </c>
      <c r="E742" s="125" t="s">
        <v>46</v>
      </c>
      <c r="F742" s="116" t="s">
        <v>41</v>
      </c>
      <c r="G742" s="125" t="s">
        <v>20</v>
      </c>
      <c r="H742" s="53"/>
      <c r="I742" s="125">
        <v>201602</v>
      </c>
      <c r="J742" s="126">
        <v>-122.07</v>
      </c>
      <c r="K742" s="72">
        <f t="shared" si="59"/>
        <v>42675</v>
      </c>
      <c r="L742" s="67">
        <f t="shared" si="62"/>
        <v>6</v>
      </c>
      <c r="M742" s="127">
        <v>1.4833299999999999E-3</v>
      </c>
      <c r="N742" s="104">
        <f t="shared" si="63"/>
        <v>-1.0864205586</v>
      </c>
      <c r="O742" s="66"/>
      <c r="P742" s="66">
        <f t="shared" si="57"/>
        <v>0</v>
      </c>
      <c r="Q742" s="66"/>
      <c r="R742" s="66">
        <f t="shared" si="58"/>
        <v>-2.0194701312500003</v>
      </c>
    </row>
    <row r="743" spans="1:18">
      <c r="A743" s="116" t="s">
        <v>990</v>
      </c>
      <c r="B743" s="125" t="s">
        <v>991</v>
      </c>
      <c r="C743" s="125" t="s">
        <v>992</v>
      </c>
      <c r="D743" s="116" t="s">
        <v>993</v>
      </c>
      <c r="E743" s="125" t="s">
        <v>994</v>
      </c>
      <c r="F743" s="116" t="s">
        <v>995</v>
      </c>
      <c r="G743" s="125" t="s">
        <v>20</v>
      </c>
      <c r="H743" s="53"/>
      <c r="I743" s="125">
        <v>201602</v>
      </c>
      <c r="J743" s="126">
        <v>-26.13</v>
      </c>
      <c r="K743" s="72">
        <f t="shared" si="59"/>
        <v>42675</v>
      </c>
      <c r="L743" s="67">
        <f t="shared" si="62"/>
        <v>6</v>
      </c>
      <c r="M743" s="114">
        <v>2.0333333000000001E-3</v>
      </c>
      <c r="N743" s="104">
        <f t="shared" si="63"/>
        <v>-0.31878599477399999</v>
      </c>
      <c r="O743" s="66"/>
      <c r="P743" s="66">
        <f t="shared" si="57"/>
        <v>0</v>
      </c>
      <c r="Q743" s="66"/>
      <c r="R743" s="66">
        <f t="shared" si="58"/>
        <v>-0.43228274374999998</v>
      </c>
    </row>
    <row r="744" spans="1:18">
      <c r="A744" s="116" t="s">
        <v>990</v>
      </c>
      <c r="B744" s="125" t="s">
        <v>996</v>
      </c>
      <c r="C744" s="125" t="s">
        <v>997</v>
      </c>
      <c r="D744" s="116" t="s">
        <v>998</v>
      </c>
      <c r="E744" s="125" t="s">
        <v>999</v>
      </c>
      <c r="F744" s="116" t="s">
        <v>995</v>
      </c>
      <c r="G744" s="125" t="s">
        <v>20</v>
      </c>
      <c r="H744" s="53"/>
      <c r="I744" s="125">
        <v>201602</v>
      </c>
      <c r="J744" s="126">
        <v>668.71</v>
      </c>
      <c r="K744" s="72">
        <f t="shared" si="59"/>
        <v>42675</v>
      </c>
      <c r="L744" s="67">
        <f t="shared" si="62"/>
        <v>6</v>
      </c>
      <c r="M744" s="114">
        <v>2.0333333000000001E-3</v>
      </c>
      <c r="N744" s="104">
        <f t="shared" si="63"/>
        <v>8.158261866258</v>
      </c>
      <c r="O744" s="66"/>
      <c r="P744" s="66">
        <f t="shared" si="57"/>
        <v>0</v>
      </c>
      <c r="Q744" s="66"/>
      <c r="R744" s="66">
        <f t="shared" si="58"/>
        <v>11.062831747916668</v>
      </c>
    </row>
    <row r="745" spans="1:18">
      <c r="A745" s="116" t="s">
        <v>990</v>
      </c>
      <c r="B745" s="125" t="s">
        <v>1000</v>
      </c>
      <c r="C745" s="125" t="s">
        <v>1001</v>
      </c>
      <c r="D745" s="116" t="s">
        <v>1672</v>
      </c>
      <c r="E745" s="125" t="s">
        <v>1002</v>
      </c>
      <c r="F745" s="116" t="s">
        <v>1604</v>
      </c>
      <c r="G745" s="125" t="s">
        <v>20</v>
      </c>
      <c r="H745" s="53"/>
      <c r="I745" s="125">
        <v>201602</v>
      </c>
      <c r="J745" s="126">
        <v>7191.31</v>
      </c>
      <c r="K745" s="72">
        <f t="shared" si="59"/>
        <v>42675</v>
      </c>
      <c r="L745" s="67">
        <f t="shared" si="62"/>
        <v>6</v>
      </c>
      <c r="M745" s="114">
        <v>2.0333333000000001E-3</v>
      </c>
      <c r="N745" s="104">
        <f t="shared" si="63"/>
        <v>87.733980561738008</v>
      </c>
      <c r="O745" s="66"/>
      <c r="P745" s="66">
        <f t="shared" si="57"/>
        <v>0</v>
      </c>
      <c r="Q745" s="66"/>
      <c r="R745" s="66">
        <f t="shared" si="58"/>
        <v>118.96973662291667</v>
      </c>
    </row>
    <row r="746" spans="1:18">
      <c r="A746" s="116" t="s">
        <v>14</v>
      </c>
      <c r="B746" s="125" t="s">
        <v>107</v>
      </c>
      <c r="C746" s="125" t="s">
        <v>108</v>
      </c>
      <c r="D746" s="116" t="s">
        <v>109</v>
      </c>
      <c r="E746" s="125" t="s">
        <v>110</v>
      </c>
      <c r="F746" s="116" t="s">
        <v>52</v>
      </c>
      <c r="G746" s="125" t="s">
        <v>20</v>
      </c>
      <c r="H746" s="53"/>
      <c r="I746" s="125">
        <v>201602</v>
      </c>
      <c r="J746" s="126">
        <v>-610.37</v>
      </c>
      <c r="K746" s="72">
        <f t="shared" si="59"/>
        <v>42675</v>
      </c>
      <c r="L746" s="67">
        <f t="shared" si="62"/>
        <v>6</v>
      </c>
      <c r="M746" s="127">
        <v>2.23333E-3</v>
      </c>
      <c r="N746" s="104">
        <f t="shared" si="63"/>
        <v>-8.1789457925999987</v>
      </c>
      <c r="O746" s="66"/>
      <c r="P746" s="66">
        <f t="shared" si="57"/>
        <v>0</v>
      </c>
      <c r="Q746" s="66"/>
      <c r="R746" s="66">
        <f t="shared" si="58"/>
        <v>-10.097681527083333</v>
      </c>
    </row>
    <row r="747" spans="1:18">
      <c r="A747" s="116" t="s">
        <v>554</v>
      </c>
      <c r="B747" s="125" t="s">
        <v>116</v>
      </c>
      <c r="C747" s="125" t="s">
        <v>117</v>
      </c>
      <c r="D747" s="116" t="s">
        <v>118</v>
      </c>
      <c r="E747" s="125" t="s">
        <v>119</v>
      </c>
      <c r="F747" s="116" t="s">
        <v>1605</v>
      </c>
      <c r="G747" s="125" t="s">
        <v>20</v>
      </c>
      <c r="H747" s="53"/>
      <c r="I747" s="125">
        <v>201602</v>
      </c>
      <c r="J747" s="126">
        <v>15662.34</v>
      </c>
      <c r="K747" s="72">
        <f t="shared" si="59"/>
        <v>42675</v>
      </c>
      <c r="L747" s="67">
        <f t="shared" si="62"/>
        <v>6</v>
      </c>
      <c r="M747" s="127">
        <v>1.4833299999999999E-3</v>
      </c>
      <c r="N747" s="104">
        <f t="shared" si="63"/>
        <v>139.39451275319999</v>
      </c>
      <c r="O747" s="66"/>
      <c r="P747" s="66">
        <f t="shared" si="57"/>
        <v>0</v>
      </c>
      <c r="Q747" s="66"/>
      <c r="R747" s="66">
        <f t="shared" si="58"/>
        <v>259.11057438750004</v>
      </c>
    </row>
    <row r="748" spans="1:18">
      <c r="A748" s="116" t="s">
        <v>14</v>
      </c>
      <c r="B748" s="125" t="s">
        <v>555</v>
      </c>
      <c r="C748" s="125" t="s">
        <v>556</v>
      </c>
      <c r="D748" s="116" t="s">
        <v>45</v>
      </c>
      <c r="E748" s="125" t="s">
        <v>557</v>
      </c>
      <c r="F748" s="116" t="s">
        <v>41</v>
      </c>
      <c r="G748" s="125" t="s">
        <v>20</v>
      </c>
      <c r="H748" s="53"/>
      <c r="I748" s="125">
        <v>201602</v>
      </c>
      <c r="J748" s="126">
        <v>65.11</v>
      </c>
      <c r="K748" s="72">
        <f t="shared" si="59"/>
        <v>42675</v>
      </c>
      <c r="L748" s="67">
        <f t="shared" si="62"/>
        <v>6</v>
      </c>
      <c r="M748" s="127">
        <v>2.23333E-3</v>
      </c>
      <c r="N748" s="104">
        <f t="shared" si="63"/>
        <v>0.87247269779999992</v>
      </c>
      <c r="O748" s="66"/>
      <c r="P748" s="66">
        <f t="shared" si="57"/>
        <v>0</v>
      </c>
      <c r="Q748" s="66"/>
      <c r="R748" s="66">
        <f t="shared" si="58"/>
        <v>1.0771499979166668</v>
      </c>
    </row>
    <row r="749" spans="1:18">
      <c r="A749" s="116" t="s">
        <v>990</v>
      </c>
      <c r="B749" s="125" t="s">
        <v>1003</v>
      </c>
      <c r="C749" s="125" t="s">
        <v>1004</v>
      </c>
      <c r="D749" s="116" t="s">
        <v>1673</v>
      </c>
      <c r="E749" s="125" t="s">
        <v>1006</v>
      </c>
      <c r="F749" s="116" t="s">
        <v>1606</v>
      </c>
      <c r="G749" s="125" t="s">
        <v>20</v>
      </c>
      <c r="H749" s="53"/>
      <c r="I749" s="125">
        <v>201602</v>
      </c>
      <c r="J749" s="126">
        <v>27416.66</v>
      </c>
      <c r="K749" s="72">
        <f t="shared" si="59"/>
        <v>42675</v>
      </c>
      <c r="L749" s="67">
        <f t="shared" si="62"/>
        <v>6</v>
      </c>
      <c r="M749" s="114">
        <v>2.0333333000000001E-3</v>
      </c>
      <c r="N749" s="104">
        <f t="shared" si="63"/>
        <v>334.48324651666798</v>
      </c>
      <c r="O749" s="66"/>
      <c r="P749" s="66">
        <f t="shared" si="57"/>
        <v>0</v>
      </c>
      <c r="Q749" s="66"/>
      <c r="R749" s="66">
        <f t="shared" si="58"/>
        <v>453.56865707083335</v>
      </c>
    </row>
    <row r="750" spans="1:18">
      <c r="A750" s="116" t="s">
        <v>21</v>
      </c>
      <c r="B750" s="125" t="s">
        <v>1767</v>
      </c>
      <c r="C750" s="125" t="s">
        <v>1768</v>
      </c>
      <c r="D750" s="116" t="s">
        <v>1769</v>
      </c>
      <c r="E750" s="125" t="s">
        <v>1413</v>
      </c>
      <c r="F750" s="116" t="s">
        <v>88</v>
      </c>
      <c r="G750" s="125" t="s">
        <v>20</v>
      </c>
      <c r="H750" s="53"/>
      <c r="I750" s="125">
        <v>201602</v>
      </c>
      <c r="J750" s="126">
        <v>-214.27</v>
      </c>
      <c r="K750" s="72">
        <f t="shared" si="59"/>
        <v>42675</v>
      </c>
      <c r="L750" s="67">
        <f t="shared" si="62"/>
        <v>6</v>
      </c>
      <c r="M750" s="127">
        <v>1.4833299999999999E-3</v>
      </c>
      <c r="N750" s="104">
        <f t="shared" si="63"/>
        <v>-1.9069987146</v>
      </c>
      <c r="O750" s="66"/>
      <c r="P750" s="66">
        <f t="shared" si="57"/>
        <v>0</v>
      </c>
      <c r="Q750" s="66"/>
      <c r="R750" s="66">
        <f t="shared" si="58"/>
        <v>-3.5447846729166672</v>
      </c>
    </row>
    <row r="751" spans="1:18">
      <c r="A751" s="116" t="s">
        <v>14</v>
      </c>
      <c r="B751" s="125" t="s">
        <v>183</v>
      </c>
      <c r="C751" s="125" t="s">
        <v>184</v>
      </c>
      <c r="D751" s="116" t="s">
        <v>45</v>
      </c>
      <c r="E751" s="125" t="s">
        <v>185</v>
      </c>
      <c r="F751" s="116" t="s">
        <v>41</v>
      </c>
      <c r="G751" s="125" t="s">
        <v>20</v>
      </c>
      <c r="H751" s="53"/>
      <c r="I751" s="125">
        <v>201602</v>
      </c>
      <c r="J751" s="126">
        <v>-737.87</v>
      </c>
      <c r="K751" s="72">
        <f t="shared" si="59"/>
        <v>42675</v>
      </c>
      <c r="L751" s="67">
        <f t="shared" si="62"/>
        <v>6</v>
      </c>
      <c r="M751" s="127">
        <v>2.23333E-3</v>
      </c>
      <c r="N751" s="104">
        <f t="shared" si="63"/>
        <v>-9.8874432425999998</v>
      </c>
      <c r="O751" s="66"/>
      <c r="P751" s="66">
        <f t="shared" si="57"/>
        <v>0</v>
      </c>
      <c r="Q751" s="66"/>
      <c r="R751" s="66">
        <f t="shared" si="58"/>
        <v>-12.206983089583334</v>
      </c>
    </row>
    <row r="752" spans="1:18">
      <c r="A752" s="116" t="s">
        <v>14</v>
      </c>
      <c r="B752" s="125" t="s">
        <v>191</v>
      </c>
      <c r="C752" s="125" t="s">
        <v>192</v>
      </c>
      <c r="D752" s="116" t="s">
        <v>193</v>
      </c>
      <c r="E752" s="125" t="s">
        <v>194</v>
      </c>
      <c r="F752" s="116" t="s">
        <v>115</v>
      </c>
      <c r="G752" s="125" t="s">
        <v>20</v>
      </c>
      <c r="H752" s="53"/>
      <c r="I752" s="125">
        <v>201602</v>
      </c>
      <c r="J752" s="126">
        <v>29.85</v>
      </c>
      <c r="K752" s="72">
        <f t="shared" si="59"/>
        <v>42675</v>
      </c>
      <c r="L752" s="67">
        <f t="shared" si="62"/>
        <v>6</v>
      </c>
      <c r="M752" s="127">
        <v>2.23333E-3</v>
      </c>
      <c r="N752" s="104">
        <f t="shared" si="63"/>
        <v>0.39998940299999997</v>
      </c>
      <c r="O752" s="66"/>
      <c r="P752" s="66">
        <f t="shared" si="57"/>
        <v>0</v>
      </c>
      <c r="Q752" s="66"/>
      <c r="R752" s="66">
        <f t="shared" si="58"/>
        <v>0.49382471875</v>
      </c>
    </row>
    <row r="753" spans="1:18">
      <c r="A753" s="116" t="s">
        <v>14</v>
      </c>
      <c r="B753" s="125" t="s">
        <v>195</v>
      </c>
      <c r="C753" s="125" t="s">
        <v>196</v>
      </c>
      <c r="D753" s="116" t="s">
        <v>1674</v>
      </c>
      <c r="E753" s="125" t="s">
        <v>198</v>
      </c>
      <c r="F753" s="116" t="s">
        <v>1610</v>
      </c>
      <c r="G753" s="125" t="s">
        <v>20</v>
      </c>
      <c r="H753" s="53"/>
      <c r="I753" s="125">
        <v>201602</v>
      </c>
      <c r="J753" s="126">
        <v>223529.67</v>
      </c>
      <c r="K753" s="72">
        <f t="shared" si="59"/>
        <v>42675</v>
      </c>
      <c r="L753" s="67">
        <f t="shared" si="62"/>
        <v>6</v>
      </c>
      <c r="M753" s="127">
        <v>2.23333E-3</v>
      </c>
      <c r="N753" s="104">
        <f t="shared" si="63"/>
        <v>2995.2931074066</v>
      </c>
      <c r="O753" s="66"/>
      <c r="P753" s="66">
        <f t="shared" si="57"/>
        <v>0</v>
      </c>
      <c r="Q753" s="66"/>
      <c r="R753" s="66">
        <f t="shared" si="58"/>
        <v>3697.9724093812506</v>
      </c>
    </row>
    <row r="754" spans="1:18">
      <c r="A754" s="116" t="s">
        <v>14</v>
      </c>
      <c r="B754" s="125" t="s">
        <v>200</v>
      </c>
      <c r="C754" s="125" t="s">
        <v>201</v>
      </c>
      <c r="D754" s="116" t="s">
        <v>1675</v>
      </c>
      <c r="E754" s="125" t="s">
        <v>202</v>
      </c>
      <c r="F754" s="116" t="s">
        <v>1611</v>
      </c>
      <c r="G754" s="125" t="s">
        <v>20</v>
      </c>
      <c r="H754" s="53"/>
      <c r="I754" s="125">
        <v>201602</v>
      </c>
      <c r="J754" s="126">
        <v>33119.019999999997</v>
      </c>
      <c r="K754" s="72">
        <f t="shared" si="59"/>
        <v>42675</v>
      </c>
      <c r="L754" s="67">
        <f t="shared" si="62"/>
        <v>6</v>
      </c>
      <c r="M754" s="127">
        <v>2.23333E-3</v>
      </c>
      <c r="N754" s="104">
        <f t="shared" si="63"/>
        <v>443.79420561959989</v>
      </c>
      <c r="O754" s="66"/>
      <c r="P754" s="66">
        <f t="shared" si="57"/>
        <v>0</v>
      </c>
      <c r="Q754" s="66"/>
      <c r="R754" s="66">
        <f t="shared" si="58"/>
        <v>547.9058873291666</v>
      </c>
    </row>
    <row r="755" spans="1:18">
      <c r="A755" s="116" t="s">
        <v>626</v>
      </c>
      <c r="B755" s="125" t="s">
        <v>1855</v>
      </c>
      <c r="C755" s="125" t="s">
        <v>1856</v>
      </c>
      <c r="D755" s="116" t="s">
        <v>1857</v>
      </c>
      <c r="E755" s="125" t="s">
        <v>209</v>
      </c>
      <c r="F755" s="116" t="s">
        <v>1612</v>
      </c>
      <c r="G755" s="125" t="s">
        <v>20</v>
      </c>
      <c r="H755" s="53"/>
      <c r="I755" s="125">
        <v>201602</v>
      </c>
      <c r="J755" s="126">
        <v>824.81</v>
      </c>
      <c r="K755" s="72">
        <f t="shared" si="59"/>
        <v>42675</v>
      </c>
      <c r="L755" s="67">
        <f t="shared" si="62"/>
        <v>6</v>
      </c>
      <c r="M755" s="127">
        <v>1.4833299999999999E-3</v>
      </c>
      <c r="N755" s="104">
        <f t="shared" si="63"/>
        <v>7.3407925037999995</v>
      </c>
      <c r="O755" s="66"/>
      <c r="P755" s="66">
        <f t="shared" ref="P755:P818" si="64">($P$305*J755*$U$11)</f>
        <v>0</v>
      </c>
      <c r="Q755" s="66"/>
      <c r="R755" s="66">
        <f t="shared" ref="R755:R818" si="65">($R$305*0.5*J755*$U$11)</f>
        <v>13.645278602083332</v>
      </c>
    </row>
    <row r="756" spans="1:18">
      <c r="A756" s="116" t="s">
        <v>14</v>
      </c>
      <c r="B756" s="125" t="s">
        <v>481</v>
      </c>
      <c r="C756" s="125" t="s">
        <v>482</v>
      </c>
      <c r="D756" s="116" t="s">
        <v>483</v>
      </c>
      <c r="E756" s="125" t="s">
        <v>484</v>
      </c>
      <c r="F756" s="116" t="s">
        <v>190</v>
      </c>
      <c r="G756" s="125" t="s">
        <v>20</v>
      </c>
      <c r="H756" s="53"/>
      <c r="I756" s="125">
        <v>201602</v>
      </c>
      <c r="J756" s="126">
        <v>-2.0099999999999998</v>
      </c>
      <c r="K756" s="72">
        <f t="shared" si="59"/>
        <v>42675</v>
      </c>
      <c r="L756" s="67">
        <f t="shared" si="62"/>
        <v>6</v>
      </c>
      <c r="M756" s="127">
        <v>2.23333E-3</v>
      </c>
      <c r="N756" s="104">
        <f t="shared" si="63"/>
        <v>-2.6933959799999994E-2</v>
      </c>
      <c r="O756" s="66"/>
      <c r="P756" s="66">
        <f t="shared" si="64"/>
        <v>0</v>
      </c>
      <c r="Q756" s="66"/>
      <c r="R756" s="66">
        <f t="shared" si="65"/>
        <v>-3.3252518750000001E-2</v>
      </c>
    </row>
    <row r="757" spans="1:18">
      <c r="A757" s="116" t="s">
        <v>990</v>
      </c>
      <c r="B757" s="125" t="s">
        <v>1010</v>
      </c>
      <c r="C757" s="125" t="s">
        <v>1011</v>
      </c>
      <c r="D757" s="116" t="s">
        <v>1012</v>
      </c>
      <c r="E757" s="125" t="s">
        <v>1013</v>
      </c>
      <c r="F757" s="116" t="s">
        <v>995</v>
      </c>
      <c r="G757" s="125" t="s">
        <v>20</v>
      </c>
      <c r="H757" s="53"/>
      <c r="I757" s="125">
        <v>201602</v>
      </c>
      <c r="J757" s="126">
        <v>2244.2600000000002</v>
      </c>
      <c r="K757" s="72">
        <f t="shared" si="59"/>
        <v>42675</v>
      </c>
      <c r="L757" s="67">
        <f t="shared" si="62"/>
        <v>6</v>
      </c>
      <c r="M757" s="114">
        <v>2.0333333000000001E-3</v>
      </c>
      <c r="N757" s="104">
        <f t="shared" si="63"/>
        <v>27.379971551148003</v>
      </c>
      <c r="O757" s="66"/>
      <c r="P757" s="66">
        <f t="shared" si="64"/>
        <v>0</v>
      </c>
      <c r="Q757" s="66"/>
      <c r="R757" s="66">
        <f t="shared" si="65"/>
        <v>37.128008820833337</v>
      </c>
    </row>
    <row r="758" spans="1:18">
      <c r="A758" s="116" t="s">
        <v>21</v>
      </c>
      <c r="B758" s="125" t="s">
        <v>485</v>
      </c>
      <c r="C758" s="125" t="s">
        <v>486</v>
      </c>
      <c r="D758" s="116" t="s">
        <v>487</v>
      </c>
      <c r="E758" s="125" t="s">
        <v>75</v>
      </c>
      <c r="F758" s="116" t="s">
        <v>1602</v>
      </c>
      <c r="G758" s="125" t="s">
        <v>20</v>
      </c>
      <c r="H758" s="53"/>
      <c r="I758" s="125">
        <v>201602</v>
      </c>
      <c r="J758" s="126">
        <v>-3.36</v>
      </c>
      <c r="K758" s="72">
        <f t="shared" si="59"/>
        <v>42675</v>
      </c>
      <c r="L758" s="67">
        <f t="shared" si="62"/>
        <v>6</v>
      </c>
      <c r="M758" s="127">
        <v>1.4833299999999999E-3</v>
      </c>
      <c r="N758" s="104">
        <f t="shared" si="63"/>
        <v>-2.9903932799999998E-2</v>
      </c>
      <c r="O758" s="66"/>
      <c r="P758" s="66">
        <f t="shared" si="64"/>
        <v>0</v>
      </c>
      <c r="Q758" s="66"/>
      <c r="R758" s="66">
        <f t="shared" si="65"/>
        <v>-5.5586299999999998E-2</v>
      </c>
    </row>
    <row r="759" spans="1:18">
      <c r="A759" s="116" t="s">
        <v>14</v>
      </c>
      <c r="B759" s="125" t="s">
        <v>236</v>
      </c>
      <c r="C759" s="125" t="s">
        <v>237</v>
      </c>
      <c r="D759" s="116" t="s">
        <v>188</v>
      </c>
      <c r="E759" s="125" t="s">
        <v>238</v>
      </c>
      <c r="F759" s="116" t="s">
        <v>190</v>
      </c>
      <c r="G759" s="125" t="s">
        <v>20</v>
      </c>
      <c r="H759" s="53"/>
      <c r="I759" s="125">
        <v>201602</v>
      </c>
      <c r="J759" s="126">
        <v>11596.7</v>
      </c>
      <c r="K759" s="72">
        <f t="shared" si="59"/>
        <v>42675</v>
      </c>
      <c r="L759" s="67">
        <f t="shared" si="62"/>
        <v>6</v>
      </c>
      <c r="M759" s="127">
        <v>2.23333E-3</v>
      </c>
      <c r="N759" s="104">
        <f t="shared" si="63"/>
        <v>155.395548066</v>
      </c>
      <c r="O759" s="66"/>
      <c r="P759" s="66">
        <f t="shared" si="64"/>
        <v>0</v>
      </c>
      <c r="Q759" s="66"/>
      <c r="R759" s="66">
        <f t="shared" si="65"/>
        <v>191.85048964583333</v>
      </c>
    </row>
    <row r="760" spans="1:18">
      <c r="A760" s="116" t="s">
        <v>14</v>
      </c>
      <c r="B760" s="125" t="s">
        <v>239</v>
      </c>
      <c r="C760" s="125" t="s">
        <v>240</v>
      </c>
      <c r="D760" s="116" t="s">
        <v>197</v>
      </c>
      <c r="E760" s="125" t="s">
        <v>241</v>
      </c>
      <c r="F760" s="116" t="s">
        <v>199</v>
      </c>
      <c r="G760" s="125" t="s">
        <v>20</v>
      </c>
      <c r="H760" s="53"/>
      <c r="I760" s="125">
        <v>201602</v>
      </c>
      <c r="J760" s="126">
        <v>5.28</v>
      </c>
      <c r="K760" s="72">
        <f t="shared" si="59"/>
        <v>42675</v>
      </c>
      <c r="L760" s="67">
        <f t="shared" si="62"/>
        <v>6</v>
      </c>
      <c r="M760" s="127">
        <v>2.23333E-3</v>
      </c>
      <c r="N760" s="104">
        <f t="shared" si="63"/>
        <v>7.0751894400000001E-2</v>
      </c>
      <c r="O760" s="66"/>
      <c r="P760" s="66">
        <f t="shared" si="64"/>
        <v>0</v>
      </c>
      <c r="Q760" s="66"/>
      <c r="R760" s="66">
        <f t="shared" si="65"/>
        <v>8.7349900000000008E-2</v>
      </c>
    </row>
    <row r="761" spans="1:18">
      <c r="A761" s="116" t="s">
        <v>127</v>
      </c>
      <c r="B761" s="125" t="s">
        <v>1032</v>
      </c>
      <c r="C761" s="125" t="s">
        <v>1033</v>
      </c>
      <c r="D761" s="116" t="s">
        <v>1034</v>
      </c>
      <c r="E761" s="125" t="s">
        <v>209</v>
      </c>
      <c r="F761" s="116" t="s">
        <v>1612</v>
      </c>
      <c r="G761" s="125" t="s">
        <v>20</v>
      </c>
      <c r="H761" s="53"/>
      <c r="I761" s="125">
        <v>201602</v>
      </c>
      <c r="J761" s="126">
        <v>9668.32</v>
      </c>
      <c r="K761" s="72">
        <f t="shared" si="59"/>
        <v>42675</v>
      </c>
      <c r="L761" s="67">
        <f t="shared" si="62"/>
        <v>6</v>
      </c>
      <c r="M761" s="114">
        <v>2.3833299999999999E-3</v>
      </c>
      <c r="N761" s="104">
        <f t="shared" si="63"/>
        <v>138.25678263360001</v>
      </c>
      <c r="O761" s="66"/>
      <c r="P761" s="66">
        <f t="shared" si="64"/>
        <v>0</v>
      </c>
      <c r="Q761" s="66"/>
      <c r="R761" s="66">
        <f t="shared" si="65"/>
        <v>159.94825476666668</v>
      </c>
    </row>
    <row r="762" spans="1:18">
      <c r="A762" s="116" t="s">
        <v>14</v>
      </c>
      <c r="B762" s="125" t="s">
        <v>706</v>
      </c>
      <c r="C762" s="125" t="s">
        <v>707</v>
      </c>
      <c r="D762" s="116" t="s">
        <v>708</v>
      </c>
      <c r="E762" s="125" t="s">
        <v>709</v>
      </c>
      <c r="F762" s="116" t="s">
        <v>710</v>
      </c>
      <c r="G762" s="125" t="s">
        <v>20</v>
      </c>
      <c r="H762" s="53"/>
      <c r="I762" s="125">
        <v>201602</v>
      </c>
      <c r="J762" s="126">
        <v>15.81</v>
      </c>
      <c r="K762" s="72">
        <f t="shared" si="59"/>
        <v>42675</v>
      </c>
      <c r="L762" s="67">
        <f t="shared" si="62"/>
        <v>6</v>
      </c>
      <c r="M762" s="127">
        <v>2.0333333000000001E-3</v>
      </c>
      <c r="N762" s="104">
        <f t="shared" si="63"/>
        <v>0.192881996838</v>
      </c>
      <c r="O762" s="66"/>
      <c r="P762" s="66">
        <f t="shared" si="64"/>
        <v>0</v>
      </c>
      <c r="Q762" s="66"/>
      <c r="R762" s="66">
        <f t="shared" si="65"/>
        <v>0.26155339375000003</v>
      </c>
    </row>
    <row r="763" spans="1:18">
      <c r="A763" s="116" t="s">
        <v>14</v>
      </c>
      <c r="B763" s="125" t="s">
        <v>267</v>
      </c>
      <c r="C763" s="125" t="s">
        <v>268</v>
      </c>
      <c r="D763" s="116" t="s">
        <v>269</v>
      </c>
      <c r="E763" s="125" t="s">
        <v>270</v>
      </c>
      <c r="F763" s="116" t="s">
        <v>115</v>
      </c>
      <c r="G763" s="125" t="s">
        <v>20</v>
      </c>
      <c r="H763" s="53"/>
      <c r="I763" s="125">
        <v>201602</v>
      </c>
      <c r="J763" s="126">
        <v>3932.32</v>
      </c>
      <c r="K763" s="72">
        <f t="shared" si="59"/>
        <v>42675</v>
      </c>
      <c r="L763" s="67">
        <f t="shared" si="62"/>
        <v>6</v>
      </c>
      <c r="M763" s="127">
        <v>2.0333333000000001E-3</v>
      </c>
      <c r="N763" s="104">
        <f t="shared" si="63"/>
        <v>47.974303213536004</v>
      </c>
      <c r="O763" s="66"/>
      <c r="P763" s="66">
        <f t="shared" si="64"/>
        <v>0</v>
      </c>
      <c r="Q763" s="66"/>
      <c r="R763" s="66">
        <f t="shared" si="65"/>
        <v>65.054499766666666</v>
      </c>
    </row>
    <row r="764" spans="1:18">
      <c r="A764" s="116" t="s">
        <v>14</v>
      </c>
      <c r="B764" s="125" t="s">
        <v>271</v>
      </c>
      <c r="C764" s="125" t="s">
        <v>272</v>
      </c>
      <c r="D764" s="116" t="s">
        <v>197</v>
      </c>
      <c r="E764" s="125" t="s">
        <v>273</v>
      </c>
      <c r="F764" s="116" t="s">
        <v>199</v>
      </c>
      <c r="G764" s="125" t="s">
        <v>20</v>
      </c>
      <c r="H764" s="53"/>
      <c r="I764" s="125">
        <v>201602</v>
      </c>
      <c r="J764" s="126">
        <v>-2.5099999999999998</v>
      </c>
      <c r="K764" s="72">
        <f t="shared" si="59"/>
        <v>42675</v>
      </c>
      <c r="L764" s="67">
        <f t="shared" si="62"/>
        <v>6</v>
      </c>
      <c r="M764" s="127">
        <v>2.0333333000000001E-3</v>
      </c>
      <c r="N764" s="104">
        <f t="shared" si="63"/>
        <v>-3.0621999497999996E-2</v>
      </c>
      <c r="O764" s="66"/>
      <c r="P764" s="66">
        <f t="shared" si="64"/>
        <v>0</v>
      </c>
      <c r="Q764" s="66"/>
      <c r="R764" s="66">
        <f t="shared" si="65"/>
        <v>-4.1524289583333332E-2</v>
      </c>
    </row>
    <row r="765" spans="1:18">
      <c r="A765" s="116" t="s">
        <v>626</v>
      </c>
      <c r="B765" s="125" t="s">
        <v>1250</v>
      </c>
      <c r="C765" s="125" t="s">
        <v>1251</v>
      </c>
      <c r="D765" s="116" t="s">
        <v>1252</v>
      </c>
      <c r="E765" s="125" t="s">
        <v>260</v>
      </c>
      <c r="F765" s="116" t="s">
        <v>1608</v>
      </c>
      <c r="G765" s="125" t="s">
        <v>20</v>
      </c>
      <c r="H765" s="53"/>
      <c r="I765" s="125">
        <v>201602</v>
      </c>
      <c r="J765" s="126">
        <v>-267.29000000000002</v>
      </c>
      <c r="K765" s="72">
        <f t="shared" si="59"/>
        <v>42675</v>
      </c>
      <c r="L765" s="67">
        <f t="shared" si="62"/>
        <v>6</v>
      </c>
      <c r="M765" s="127">
        <v>1.4833299999999999E-3</v>
      </c>
      <c r="N765" s="104">
        <f t="shared" si="63"/>
        <v>-2.3788756542000002</v>
      </c>
      <c r="O765" s="66"/>
      <c r="P765" s="66">
        <f t="shared" si="64"/>
        <v>0</v>
      </c>
      <c r="Q765" s="66"/>
      <c r="R765" s="66">
        <f t="shared" si="65"/>
        <v>-4.4219232520833343</v>
      </c>
    </row>
    <row r="766" spans="1:18">
      <c r="A766" s="116" t="s">
        <v>14</v>
      </c>
      <c r="B766" s="125" t="s">
        <v>1676</v>
      </c>
      <c r="C766" s="125" t="s">
        <v>1677</v>
      </c>
      <c r="D766" s="116" t="s">
        <v>50</v>
      </c>
      <c r="E766" s="125" t="s">
        <v>1678</v>
      </c>
      <c r="F766" s="116" t="s">
        <v>52</v>
      </c>
      <c r="G766" s="125" t="s">
        <v>20</v>
      </c>
      <c r="H766" s="53"/>
      <c r="I766" s="125">
        <v>201602</v>
      </c>
      <c r="J766" s="126">
        <v>-26.04</v>
      </c>
      <c r="K766" s="72">
        <f t="shared" si="59"/>
        <v>42675</v>
      </c>
      <c r="L766" s="67">
        <f t="shared" si="62"/>
        <v>6</v>
      </c>
      <c r="M766" s="127">
        <v>2.0333333000000001E-3</v>
      </c>
      <c r="N766" s="104">
        <f t="shared" si="63"/>
        <v>-0.31768799479199999</v>
      </c>
      <c r="O766" s="66"/>
      <c r="P766" s="66">
        <f t="shared" si="64"/>
        <v>0</v>
      </c>
      <c r="Q766" s="66"/>
      <c r="R766" s="66">
        <f t="shared" si="65"/>
        <v>-0.43079382500000002</v>
      </c>
    </row>
    <row r="767" spans="1:18">
      <c r="A767" s="116" t="s">
        <v>990</v>
      </c>
      <c r="B767" s="125" t="s">
        <v>1017</v>
      </c>
      <c r="C767" s="125" t="s">
        <v>1018</v>
      </c>
      <c r="D767" s="116" t="s">
        <v>993</v>
      </c>
      <c r="E767" s="125" t="s">
        <v>1019</v>
      </c>
      <c r="F767" s="116" t="s">
        <v>995</v>
      </c>
      <c r="G767" s="125" t="s">
        <v>20</v>
      </c>
      <c r="H767" s="53"/>
      <c r="I767" s="125">
        <v>201602</v>
      </c>
      <c r="J767" s="126">
        <v>197.33</v>
      </c>
      <c r="K767" s="72">
        <f t="shared" si="59"/>
        <v>42675</v>
      </c>
      <c r="L767" s="67">
        <f t="shared" si="62"/>
        <v>6</v>
      </c>
      <c r="M767" s="114">
        <v>2.0333333000000001E-3</v>
      </c>
      <c r="N767" s="104">
        <f t="shared" si="63"/>
        <v>2.4074259605340003</v>
      </c>
      <c r="O767" s="66"/>
      <c r="P767" s="66">
        <f t="shared" si="64"/>
        <v>0</v>
      </c>
      <c r="Q767" s="66"/>
      <c r="R767" s="66">
        <f t="shared" si="65"/>
        <v>3.2645370770833337</v>
      </c>
    </row>
    <row r="768" spans="1:18">
      <c r="A768" s="116" t="s">
        <v>14</v>
      </c>
      <c r="B768" s="125" t="s">
        <v>292</v>
      </c>
      <c r="C768" s="125" t="s">
        <v>293</v>
      </c>
      <c r="D768" s="116" t="s">
        <v>1679</v>
      </c>
      <c r="E768" s="125" t="s">
        <v>294</v>
      </c>
      <c r="F768" s="116" t="s">
        <v>1613</v>
      </c>
      <c r="G768" s="125" t="s">
        <v>20</v>
      </c>
      <c r="H768" s="53"/>
      <c r="I768" s="125">
        <v>201602</v>
      </c>
      <c r="J768" s="126">
        <v>118555.38</v>
      </c>
      <c r="K768" s="72">
        <f t="shared" si="59"/>
        <v>42675</v>
      </c>
      <c r="L768" s="67">
        <f t="shared" si="62"/>
        <v>6</v>
      </c>
      <c r="M768" s="127">
        <v>2.0333333000000001E-3</v>
      </c>
      <c r="N768" s="104">
        <f t="shared" si="63"/>
        <v>1446.375612288924</v>
      </c>
      <c r="O768" s="66"/>
      <c r="P768" s="66">
        <f t="shared" si="64"/>
        <v>0</v>
      </c>
      <c r="Q768" s="66"/>
      <c r="R768" s="66">
        <f t="shared" si="65"/>
        <v>1961.3258688375001</v>
      </c>
    </row>
    <row r="769" spans="1:18">
      <c r="A769" s="116" t="s">
        <v>14</v>
      </c>
      <c r="B769" s="125" t="s">
        <v>419</v>
      </c>
      <c r="C769" s="125" t="s">
        <v>420</v>
      </c>
      <c r="D769" s="116" t="s">
        <v>50</v>
      </c>
      <c r="E769" s="125" t="s">
        <v>421</v>
      </c>
      <c r="F769" s="116" t="s">
        <v>52</v>
      </c>
      <c r="G769" s="125" t="s">
        <v>20</v>
      </c>
      <c r="H769" s="53"/>
      <c r="I769" s="125">
        <v>201602</v>
      </c>
      <c r="J769" s="126">
        <v>1347.88</v>
      </c>
      <c r="K769" s="72">
        <f t="shared" si="59"/>
        <v>42675</v>
      </c>
      <c r="L769" s="67">
        <f t="shared" si="62"/>
        <v>6</v>
      </c>
      <c r="M769" s="127">
        <v>2.23333E-3</v>
      </c>
      <c r="N769" s="104">
        <f t="shared" si="63"/>
        <v>18.061565042400002</v>
      </c>
      <c r="O769" s="66"/>
      <c r="P769" s="66">
        <f t="shared" si="64"/>
        <v>0</v>
      </c>
      <c r="Q769" s="66"/>
      <c r="R769" s="66">
        <f t="shared" si="65"/>
        <v>22.298708941666668</v>
      </c>
    </row>
    <row r="770" spans="1:18">
      <c r="A770" s="116" t="s">
        <v>990</v>
      </c>
      <c r="B770" s="125" t="s">
        <v>1020</v>
      </c>
      <c r="C770" s="125" t="s">
        <v>1021</v>
      </c>
      <c r="D770" s="116" t="s">
        <v>1680</v>
      </c>
      <c r="E770" s="125" t="s">
        <v>1022</v>
      </c>
      <c r="F770" s="116" t="s">
        <v>1614</v>
      </c>
      <c r="G770" s="125" t="s">
        <v>20</v>
      </c>
      <c r="H770" s="53"/>
      <c r="I770" s="125">
        <v>201602</v>
      </c>
      <c r="J770" s="126">
        <v>21193.63</v>
      </c>
      <c r="K770" s="72">
        <f t="shared" si="59"/>
        <v>42675</v>
      </c>
      <c r="L770" s="67">
        <f t="shared" si="62"/>
        <v>6</v>
      </c>
      <c r="M770" s="114">
        <v>2.0333333000000001E-3</v>
      </c>
      <c r="N770" s="104">
        <f t="shared" si="63"/>
        <v>258.56228176127399</v>
      </c>
      <c r="O770" s="66"/>
      <c r="P770" s="66">
        <f t="shared" si="64"/>
        <v>0</v>
      </c>
      <c r="Q770" s="66"/>
      <c r="R770" s="66">
        <f t="shared" si="65"/>
        <v>350.61770097291668</v>
      </c>
    </row>
    <row r="771" spans="1:18">
      <c r="A771" s="116" t="s">
        <v>14</v>
      </c>
      <c r="B771" s="125" t="s">
        <v>325</v>
      </c>
      <c r="C771" s="125" t="s">
        <v>326</v>
      </c>
      <c r="D771" s="116" t="s">
        <v>327</v>
      </c>
      <c r="E771" s="125" t="s">
        <v>328</v>
      </c>
      <c r="F771" s="116" t="s">
        <v>58</v>
      </c>
      <c r="G771" s="125" t="s">
        <v>20</v>
      </c>
      <c r="H771" s="53"/>
      <c r="I771" s="125">
        <v>201602</v>
      </c>
      <c r="J771" s="126">
        <v>489.34</v>
      </c>
      <c r="K771" s="72">
        <f t="shared" si="59"/>
        <v>42675</v>
      </c>
      <c r="L771" s="67">
        <f t="shared" si="62"/>
        <v>6</v>
      </c>
      <c r="M771" s="127">
        <v>2.0333333000000001E-3</v>
      </c>
      <c r="N771" s="104">
        <f t="shared" si="63"/>
        <v>5.9699479021319997</v>
      </c>
      <c r="O771" s="66"/>
      <c r="P771" s="66">
        <f t="shared" si="64"/>
        <v>0</v>
      </c>
      <c r="Q771" s="66"/>
      <c r="R771" s="66">
        <f t="shared" si="65"/>
        <v>8.0954166791666662</v>
      </c>
    </row>
    <row r="772" spans="1:18">
      <c r="A772" s="116" t="s">
        <v>626</v>
      </c>
      <c r="B772" s="125" t="s">
        <v>1823</v>
      </c>
      <c r="C772" s="125" t="s">
        <v>1824</v>
      </c>
      <c r="D772" s="116" t="s">
        <v>1825</v>
      </c>
      <c r="E772" s="125" t="s">
        <v>260</v>
      </c>
      <c r="F772" s="116" t="s">
        <v>1608</v>
      </c>
      <c r="G772" s="125" t="s">
        <v>20</v>
      </c>
      <c r="H772" s="53"/>
      <c r="I772" s="125">
        <v>201602</v>
      </c>
      <c r="J772" s="126">
        <v>-516.24</v>
      </c>
      <c r="K772" s="72">
        <f t="shared" si="59"/>
        <v>42675</v>
      </c>
      <c r="L772" s="67">
        <f t="shared" si="62"/>
        <v>6</v>
      </c>
      <c r="M772" s="127">
        <v>1.4833299999999999E-3</v>
      </c>
      <c r="N772" s="104">
        <f t="shared" si="63"/>
        <v>-4.5945256751999999</v>
      </c>
      <c r="O772" s="66"/>
      <c r="P772" s="66">
        <f t="shared" si="64"/>
        <v>0</v>
      </c>
      <c r="Q772" s="66"/>
      <c r="R772" s="66">
        <f t="shared" si="65"/>
        <v>-8.5404379500000012</v>
      </c>
    </row>
    <row r="773" spans="1:18">
      <c r="A773" s="116" t="s">
        <v>626</v>
      </c>
      <c r="B773" s="125" t="s">
        <v>1826</v>
      </c>
      <c r="C773" s="125" t="s">
        <v>1827</v>
      </c>
      <c r="D773" s="116" t="s">
        <v>1828</v>
      </c>
      <c r="E773" s="125" t="s">
        <v>25</v>
      </c>
      <c r="F773" s="116" t="s">
        <v>26</v>
      </c>
      <c r="G773" s="125" t="s">
        <v>20</v>
      </c>
      <c r="H773" s="53"/>
      <c r="I773" s="125">
        <v>201602</v>
      </c>
      <c r="J773" s="126">
        <v>-3265.8</v>
      </c>
      <c r="K773" s="72">
        <f t="shared" si="59"/>
        <v>42675</v>
      </c>
      <c r="L773" s="67">
        <f t="shared" si="62"/>
        <v>6</v>
      </c>
      <c r="M773" s="127">
        <v>1.4833299999999999E-3</v>
      </c>
      <c r="N773" s="104">
        <f t="shared" si="63"/>
        <v>-29.065554684000002</v>
      </c>
      <c r="O773" s="66"/>
      <c r="P773" s="66">
        <f t="shared" si="64"/>
        <v>0</v>
      </c>
      <c r="Q773" s="66"/>
      <c r="R773" s="66">
        <f t="shared" si="65"/>
        <v>-54.027898375000007</v>
      </c>
    </row>
    <row r="774" spans="1:18">
      <c r="A774" s="116" t="s">
        <v>626</v>
      </c>
      <c r="B774" s="125" t="s">
        <v>1615</v>
      </c>
      <c r="C774" s="125" t="s">
        <v>1616</v>
      </c>
      <c r="D774" s="116" t="s">
        <v>1617</v>
      </c>
      <c r="E774" s="125" t="s">
        <v>497</v>
      </c>
      <c r="F774" s="116" t="s">
        <v>26</v>
      </c>
      <c r="G774" s="125" t="s">
        <v>20</v>
      </c>
      <c r="H774" s="53"/>
      <c r="I774" s="125">
        <v>201602</v>
      </c>
      <c r="J774" s="126">
        <v>-9.93</v>
      </c>
      <c r="K774" s="72">
        <f t="shared" si="59"/>
        <v>42675</v>
      </c>
      <c r="L774" s="67">
        <f t="shared" si="62"/>
        <v>6</v>
      </c>
      <c r="M774" s="127">
        <v>1.4833299999999999E-3</v>
      </c>
      <c r="N774" s="104">
        <f t="shared" si="63"/>
        <v>-8.8376801399999996E-2</v>
      </c>
      <c r="O774" s="66"/>
      <c r="P774" s="66">
        <f t="shared" si="64"/>
        <v>0</v>
      </c>
      <c r="Q774" s="66"/>
      <c r="R774" s="66">
        <f t="shared" si="65"/>
        <v>-0.16427736875000001</v>
      </c>
    </row>
    <row r="775" spans="1:18">
      <c r="A775" s="116" t="s">
        <v>626</v>
      </c>
      <c r="B775" s="125" t="s">
        <v>1148</v>
      </c>
      <c r="C775" s="125" t="s">
        <v>1149</v>
      </c>
      <c r="D775" s="116" t="s">
        <v>1150</v>
      </c>
      <c r="E775" s="125" t="s">
        <v>93</v>
      </c>
      <c r="F775" s="116" t="s">
        <v>1601</v>
      </c>
      <c r="G775" s="125" t="s">
        <v>20</v>
      </c>
      <c r="H775" s="53"/>
      <c r="I775" s="125">
        <v>201602</v>
      </c>
      <c r="J775" s="126">
        <v>-27.25</v>
      </c>
      <c r="K775" s="72">
        <f t="shared" ref="K775:K838" si="66">+K774</f>
        <v>42675</v>
      </c>
      <c r="L775" s="67">
        <f t="shared" si="62"/>
        <v>6</v>
      </c>
      <c r="M775" s="127">
        <v>1.4833299999999999E-3</v>
      </c>
      <c r="N775" s="104">
        <f t="shared" si="63"/>
        <v>-0.242524455</v>
      </c>
      <c r="O775" s="66"/>
      <c r="P775" s="66">
        <f t="shared" si="64"/>
        <v>0</v>
      </c>
      <c r="Q775" s="66"/>
      <c r="R775" s="66">
        <f t="shared" si="65"/>
        <v>-0.45081151041666667</v>
      </c>
    </row>
    <row r="776" spans="1:18">
      <c r="A776" s="116" t="s">
        <v>21</v>
      </c>
      <c r="B776" s="125" t="s">
        <v>1502</v>
      </c>
      <c r="C776" s="125" t="s">
        <v>1503</v>
      </c>
      <c r="D776" s="116" t="s">
        <v>1504</v>
      </c>
      <c r="E776" s="125" t="s">
        <v>172</v>
      </c>
      <c r="F776" s="116" t="s">
        <v>1609</v>
      </c>
      <c r="G776" s="125" t="s">
        <v>20</v>
      </c>
      <c r="H776" s="53"/>
      <c r="I776" s="125">
        <v>201602</v>
      </c>
      <c r="J776" s="126">
        <v>13.02</v>
      </c>
      <c r="K776" s="72">
        <f t="shared" si="66"/>
        <v>42675</v>
      </c>
      <c r="L776" s="67">
        <f t="shared" si="62"/>
        <v>6</v>
      </c>
      <c r="M776" s="127">
        <v>1.4833299999999999E-3</v>
      </c>
      <c r="N776" s="104">
        <f t="shared" si="63"/>
        <v>0.1158777396</v>
      </c>
      <c r="O776" s="66"/>
      <c r="P776" s="66">
        <f t="shared" si="64"/>
        <v>0</v>
      </c>
      <c r="Q776" s="66"/>
      <c r="R776" s="66">
        <f t="shared" si="65"/>
        <v>0.21539691250000001</v>
      </c>
    </row>
    <row r="777" spans="1:18">
      <c r="A777" s="116" t="s">
        <v>21</v>
      </c>
      <c r="B777" s="125" t="s">
        <v>1948</v>
      </c>
      <c r="C777" s="125" t="s">
        <v>1949</v>
      </c>
      <c r="D777" s="116" t="s">
        <v>1950</v>
      </c>
      <c r="E777" s="125" t="s">
        <v>756</v>
      </c>
      <c r="F777" s="116" t="s">
        <v>757</v>
      </c>
      <c r="G777" s="125" t="s">
        <v>20</v>
      </c>
      <c r="H777" s="53"/>
      <c r="I777" s="125">
        <v>201602</v>
      </c>
      <c r="J777" s="126">
        <v>66810.100000000006</v>
      </c>
      <c r="K777" s="72">
        <f t="shared" si="66"/>
        <v>42675</v>
      </c>
      <c r="L777" s="67">
        <f t="shared" si="62"/>
        <v>6</v>
      </c>
      <c r="M777" s="127">
        <v>1.4833299999999999E-3</v>
      </c>
      <c r="N777" s="104">
        <f t="shared" si="63"/>
        <v>594.608553798</v>
      </c>
      <c r="O777" s="66"/>
      <c r="P777" s="66">
        <f t="shared" si="64"/>
        <v>0</v>
      </c>
      <c r="Q777" s="66"/>
      <c r="R777" s="66">
        <f t="shared" si="65"/>
        <v>1105.2756731041668</v>
      </c>
    </row>
    <row r="778" spans="1:18">
      <c r="A778" s="116" t="s">
        <v>21</v>
      </c>
      <c r="B778" s="125" t="s">
        <v>1858</v>
      </c>
      <c r="C778" s="125" t="s">
        <v>1859</v>
      </c>
      <c r="D778" s="116" t="s">
        <v>1860</v>
      </c>
      <c r="E778" s="125" t="s">
        <v>70</v>
      </c>
      <c r="F778" s="116" t="s">
        <v>71</v>
      </c>
      <c r="G778" s="125" t="s">
        <v>20</v>
      </c>
      <c r="H778" s="53"/>
      <c r="I778" s="125">
        <v>201602</v>
      </c>
      <c r="J778" s="126">
        <v>-52.62</v>
      </c>
      <c r="K778" s="72">
        <f t="shared" si="66"/>
        <v>42675</v>
      </c>
      <c r="L778" s="67">
        <f t="shared" si="62"/>
        <v>6</v>
      </c>
      <c r="M778" s="127">
        <v>1.4833299999999999E-3</v>
      </c>
      <c r="N778" s="104">
        <f t="shared" si="63"/>
        <v>-0.46831694759999998</v>
      </c>
      <c r="O778" s="66"/>
      <c r="P778" s="66">
        <f t="shared" si="64"/>
        <v>0</v>
      </c>
      <c r="Q778" s="66"/>
      <c r="R778" s="66">
        <f t="shared" si="65"/>
        <v>-0.87052116249999989</v>
      </c>
    </row>
    <row r="779" spans="1:18">
      <c r="A779" s="116" t="s">
        <v>626</v>
      </c>
      <c r="B779" s="125" t="s">
        <v>1545</v>
      </c>
      <c r="C779" s="125" t="s">
        <v>1546</v>
      </c>
      <c r="D779" s="116" t="s">
        <v>1547</v>
      </c>
      <c r="E779" s="125" t="s">
        <v>164</v>
      </c>
      <c r="F779" s="116" t="s">
        <v>1600</v>
      </c>
      <c r="G779" s="125" t="s">
        <v>20</v>
      </c>
      <c r="H779" s="53"/>
      <c r="I779" s="125">
        <v>201602</v>
      </c>
      <c r="J779" s="126">
        <v>88367.13</v>
      </c>
      <c r="K779" s="72">
        <f t="shared" si="66"/>
        <v>42675</v>
      </c>
      <c r="L779" s="67">
        <f t="shared" si="62"/>
        <v>6</v>
      </c>
      <c r="M779" s="127">
        <v>1.4833299999999999E-3</v>
      </c>
      <c r="N779" s="104">
        <f t="shared" si="63"/>
        <v>786.46568965740005</v>
      </c>
      <c r="O779" s="66"/>
      <c r="P779" s="66">
        <f t="shared" si="64"/>
        <v>0</v>
      </c>
      <c r="Q779" s="66"/>
      <c r="R779" s="66">
        <f t="shared" si="65"/>
        <v>1461.9052971187502</v>
      </c>
    </row>
    <row r="780" spans="1:18">
      <c r="A780" s="116" t="s">
        <v>21</v>
      </c>
      <c r="B780" s="125" t="s">
        <v>1420</v>
      </c>
      <c r="C780" s="125" t="s">
        <v>1421</v>
      </c>
      <c r="D780" s="116" t="s">
        <v>1422</v>
      </c>
      <c r="E780" s="125" t="s">
        <v>260</v>
      </c>
      <c r="F780" s="116" t="s">
        <v>1608</v>
      </c>
      <c r="G780" s="125" t="s">
        <v>20</v>
      </c>
      <c r="H780" s="53"/>
      <c r="I780" s="125">
        <v>201602</v>
      </c>
      <c r="J780" s="126">
        <v>-58.66</v>
      </c>
      <c r="K780" s="72">
        <f t="shared" si="66"/>
        <v>42675</v>
      </c>
      <c r="L780" s="67">
        <f t="shared" si="62"/>
        <v>6</v>
      </c>
      <c r="M780" s="127">
        <v>1.4833299999999999E-3</v>
      </c>
      <c r="N780" s="104">
        <f t="shared" si="63"/>
        <v>-0.5220728268</v>
      </c>
      <c r="O780" s="66"/>
      <c r="P780" s="66">
        <f t="shared" si="64"/>
        <v>0</v>
      </c>
      <c r="Q780" s="66"/>
      <c r="R780" s="66">
        <f t="shared" si="65"/>
        <v>-0.97044415416666663</v>
      </c>
    </row>
    <row r="781" spans="1:18">
      <c r="A781" s="116" t="s">
        <v>626</v>
      </c>
      <c r="B781" s="125" t="s">
        <v>1420</v>
      </c>
      <c r="C781" s="125" t="s">
        <v>1421</v>
      </c>
      <c r="D781" s="116" t="s">
        <v>1422</v>
      </c>
      <c r="E781" s="125" t="s">
        <v>260</v>
      </c>
      <c r="F781" s="116" t="s">
        <v>1608</v>
      </c>
      <c r="G781" s="125" t="s">
        <v>20</v>
      </c>
      <c r="H781" s="53"/>
      <c r="I781" s="125">
        <v>201602</v>
      </c>
      <c r="J781" s="126">
        <v>-228.8</v>
      </c>
      <c r="K781" s="72">
        <f t="shared" si="66"/>
        <v>42675</v>
      </c>
      <c r="L781" s="67">
        <f t="shared" si="62"/>
        <v>6</v>
      </c>
      <c r="M781" s="127">
        <v>1.4833299999999999E-3</v>
      </c>
      <c r="N781" s="104">
        <f t="shared" si="63"/>
        <v>-2.0363154240000001</v>
      </c>
      <c r="O781" s="66"/>
      <c r="P781" s="66">
        <f t="shared" si="64"/>
        <v>0</v>
      </c>
      <c r="Q781" s="66"/>
      <c r="R781" s="66">
        <f t="shared" si="65"/>
        <v>-3.7851623333333335</v>
      </c>
    </row>
    <row r="782" spans="1:18">
      <c r="A782" s="116" t="s">
        <v>127</v>
      </c>
      <c r="B782" s="125" t="s">
        <v>1785</v>
      </c>
      <c r="C782" s="125" t="s">
        <v>1786</v>
      </c>
      <c r="D782" s="116" t="s">
        <v>1787</v>
      </c>
      <c r="E782" s="125" t="s">
        <v>1580</v>
      </c>
      <c r="F782" s="116" t="s">
        <v>217</v>
      </c>
      <c r="G782" s="125" t="s">
        <v>20</v>
      </c>
      <c r="H782" s="53"/>
      <c r="I782" s="125">
        <v>201602</v>
      </c>
      <c r="J782" s="126">
        <v>-9697.09</v>
      </c>
      <c r="K782" s="72">
        <f t="shared" si="66"/>
        <v>42675</v>
      </c>
      <c r="L782" s="67">
        <f t="shared" si="62"/>
        <v>6</v>
      </c>
      <c r="M782" s="114">
        <v>2.3833299999999999E-3</v>
      </c>
      <c r="N782" s="104">
        <f t="shared" si="63"/>
        <v>-138.66819305820002</v>
      </c>
      <c r="O782" s="66"/>
      <c r="P782" s="66">
        <f t="shared" si="64"/>
        <v>0</v>
      </c>
      <c r="Q782" s="66"/>
      <c r="R782" s="66">
        <f t="shared" si="65"/>
        <v>-160.42421246041667</v>
      </c>
    </row>
    <row r="783" spans="1:18">
      <c r="A783" s="116" t="s">
        <v>626</v>
      </c>
      <c r="B783" s="125" t="s">
        <v>1508</v>
      </c>
      <c r="C783" s="125" t="s">
        <v>1509</v>
      </c>
      <c r="D783" s="116" t="s">
        <v>1510</v>
      </c>
      <c r="E783" s="125" t="s">
        <v>75</v>
      </c>
      <c r="F783" s="116" t="s">
        <v>1602</v>
      </c>
      <c r="G783" s="125" t="s">
        <v>20</v>
      </c>
      <c r="H783" s="53"/>
      <c r="I783" s="125">
        <v>201602</v>
      </c>
      <c r="J783" s="126">
        <v>-49.76</v>
      </c>
      <c r="K783" s="72">
        <f t="shared" si="66"/>
        <v>42675</v>
      </c>
      <c r="L783" s="67">
        <f t="shared" si="62"/>
        <v>6</v>
      </c>
      <c r="M783" s="127">
        <v>1.4833299999999999E-3</v>
      </c>
      <c r="N783" s="104">
        <f t="shared" si="63"/>
        <v>-0.44286300479999996</v>
      </c>
      <c r="O783" s="66"/>
      <c r="P783" s="66">
        <f t="shared" si="64"/>
        <v>0</v>
      </c>
      <c r="Q783" s="66"/>
      <c r="R783" s="66">
        <f t="shared" si="65"/>
        <v>-0.82320663333333333</v>
      </c>
    </row>
    <row r="784" spans="1:18">
      <c r="A784" s="116" t="s">
        <v>626</v>
      </c>
      <c r="B784" s="125" t="s">
        <v>1829</v>
      </c>
      <c r="C784" s="125" t="s">
        <v>1830</v>
      </c>
      <c r="D784" s="116" t="s">
        <v>1831</v>
      </c>
      <c r="E784" s="125" t="s">
        <v>497</v>
      </c>
      <c r="F784" s="116" t="s">
        <v>26</v>
      </c>
      <c r="G784" s="125" t="s">
        <v>20</v>
      </c>
      <c r="H784" s="53"/>
      <c r="I784" s="125">
        <v>201602</v>
      </c>
      <c r="J784" s="126">
        <v>-34.1</v>
      </c>
      <c r="K784" s="72">
        <f t="shared" si="66"/>
        <v>42675</v>
      </c>
      <c r="L784" s="67">
        <f t="shared" si="62"/>
        <v>6</v>
      </c>
      <c r="M784" s="127">
        <v>1.4833299999999999E-3</v>
      </c>
      <c r="N784" s="104">
        <f t="shared" si="63"/>
        <v>-0.30348931800000001</v>
      </c>
      <c r="O784" s="66"/>
      <c r="P784" s="66">
        <f t="shared" si="64"/>
        <v>0</v>
      </c>
      <c r="Q784" s="66"/>
      <c r="R784" s="66">
        <f t="shared" si="65"/>
        <v>-0.5641347708333333</v>
      </c>
    </row>
    <row r="785" spans="1:18">
      <c r="A785" s="116" t="s">
        <v>626</v>
      </c>
      <c r="B785" s="125" t="s">
        <v>1709</v>
      </c>
      <c r="C785" s="125" t="s">
        <v>1710</v>
      </c>
      <c r="D785" s="116" t="s">
        <v>1711</v>
      </c>
      <c r="E785" s="125" t="s">
        <v>497</v>
      </c>
      <c r="F785" s="116" t="s">
        <v>26</v>
      </c>
      <c r="G785" s="125" t="s">
        <v>20</v>
      </c>
      <c r="H785" s="53"/>
      <c r="I785" s="125">
        <v>201602</v>
      </c>
      <c r="J785" s="126">
        <v>6.95</v>
      </c>
      <c r="K785" s="72">
        <f t="shared" si="66"/>
        <v>42675</v>
      </c>
      <c r="L785" s="67">
        <f t="shared" si="62"/>
        <v>6</v>
      </c>
      <c r="M785" s="127">
        <v>1.4833299999999999E-3</v>
      </c>
      <c r="N785" s="104">
        <f t="shared" si="63"/>
        <v>6.1854861000000004E-2</v>
      </c>
      <c r="O785" s="66"/>
      <c r="P785" s="66">
        <f t="shared" si="64"/>
        <v>0</v>
      </c>
      <c r="Q785" s="66"/>
      <c r="R785" s="66">
        <f t="shared" si="65"/>
        <v>0.11497761458333333</v>
      </c>
    </row>
    <row r="786" spans="1:18">
      <c r="A786" s="116" t="s">
        <v>626</v>
      </c>
      <c r="B786" s="125" t="s">
        <v>1861</v>
      </c>
      <c r="C786" s="125" t="s">
        <v>1862</v>
      </c>
      <c r="D786" s="116" t="s">
        <v>1863</v>
      </c>
      <c r="E786" s="125" t="s">
        <v>75</v>
      </c>
      <c r="F786" s="116" t="s">
        <v>1602</v>
      </c>
      <c r="G786" s="125" t="s">
        <v>20</v>
      </c>
      <c r="H786" s="53"/>
      <c r="I786" s="125">
        <v>201602</v>
      </c>
      <c r="J786" s="126">
        <v>701.14</v>
      </c>
      <c r="K786" s="72">
        <f t="shared" si="66"/>
        <v>42675</v>
      </c>
      <c r="L786" s="67">
        <f t="shared" si="62"/>
        <v>6</v>
      </c>
      <c r="M786" s="127">
        <v>1.4833299999999999E-3</v>
      </c>
      <c r="N786" s="104">
        <f t="shared" si="63"/>
        <v>6.2401319771999999</v>
      </c>
      <c r="O786" s="66"/>
      <c r="P786" s="66">
        <f t="shared" si="64"/>
        <v>0</v>
      </c>
      <c r="Q786" s="66"/>
      <c r="R786" s="66">
        <f t="shared" si="65"/>
        <v>11.599338804166667</v>
      </c>
    </row>
    <row r="787" spans="1:18">
      <c r="A787" s="116" t="s">
        <v>626</v>
      </c>
      <c r="B787" s="125" t="s">
        <v>1511</v>
      </c>
      <c r="C787" s="125" t="s">
        <v>1512</v>
      </c>
      <c r="D787" s="116" t="s">
        <v>1513</v>
      </c>
      <c r="E787" s="125" t="s">
        <v>260</v>
      </c>
      <c r="F787" s="116" t="s">
        <v>1608</v>
      </c>
      <c r="G787" s="125" t="s">
        <v>20</v>
      </c>
      <c r="H787" s="53"/>
      <c r="I787" s="125">
        <v>201602</v>
      </c>
      <c r="J787" s="126">
        <v>13237.33</v>
      </c>
      <c r="K787" s="72">
        <f t="shared" si="66"/>
        <v>42675</v>
      </c>
      <c r="L787" s="67">
        <f t="shared" si="62"/>
        <v>6</v>
      </c>
      <c r="M787" s="127">
        <v>1.4833299999999999E-3</v>
      </c>
      <c r="N787" s="104">
        <f t="shared" si="63"/>
        <v>117.8119722534</v>
      </c>
      <c r="O787" s="66"/>
      <c r="P787" s="66">
        <f t="shared" si="64"/>
        <v>0</v>
      </c>
      <c r="Q787" s="66"/>
      <c r="R787" s="66">
        <f t="shared" si="65"/>
        <v>218.99232041041668</v>
      </c>
    </row>
    <row r="788" spans="1:18">
      <c r="A788" s="116" t="s">
        <v>626</v>
      </c>
      <c r="B788" s="125" t="s">
        <v>1864</v>
      </c>
      <c r="C788" s="125" t="s">
        <v>1865</v>
      </c>
      <c r="D788" s="116" t="s">
        <v>1866</v>
      </c>
      <c r="E788" s="125" t="s">
        <v>75</v>
      </c>
      <c r="F788" s="116" t="s">
        <v>1602</v>
      </c>
      <c r="G788" s="125" t="s">
        <v>20</v>
      </c>
      <c r="H788" s="53"/>
      <c r="I788" s="125">
        <v>201602</v>
      </c>
      <c r="J788" s="126">
        <v>17834</v>
      </c>
      <c r="K788" s="72">
        <f t="shared" si="66"/>
        <v>42675</v>
      </c>
      <c r="L788" s="67">
        <f t="shared" si="62"/>
        <v>6</v>
      </c>
      <c r="M788" s="127">
        <v>1.4833299999999999E-3</v>
      </c>
      <c r="N788" s="104">
        <f t="shared" si="63"/>
        <v>158.72224331999999</v>
      </c>
      <c r="O788" s="66"/>
      <c r="P788" s="66">
        <f t="shared" si="64"/>
        <v>0</v>
      </c>
      <c r="Q788" s="66"/>
      <c r="R788" s="66">
        <f t="shared" si="65"/>
        <v>295.03752208333333</v>
      </c>
    </row>
    <row r="789" spans="1:18">
      <c r="A789" s="116" t="s">
        <v>626</v>
      </c>
      <c r="B789" s="125" t="s">
        <v>1867</v>
      </c>
      <c r="C789" s="125" t="s">
        <v>1868</v>
      </c>
      <c r="D789" s="116" t="s">
        <v>1869</v>
      </c>
      <c r="E789" s="125" t="s">
        <v>75</v>
      </c>
      <c r="F789" s="116" t="s">
        <v>1602</v>
      </c>
      <c r="G789" s="125" t="s">
        <v>20</v>
      </c>
      <c r="H789" s="53"/>
      <c r="I789" s="125">
        <v>201602</v>
      </c>
      <c r="J789" s="126">
        <v>320.87</v>
      </c>
      <c r="K789" s="72">
        <f t="shared" si="66"/>
        <v>42675</v>
      </c>
      <c r="L789" s="67">
        <f t="shared" si="62"/>
        <v>6</v>
      </c>
      <c r="M789" s="127">
        <v>1.4833299999999999E-3</v>
      </c>
      <c r="N789" s="104">
        <f t="shared" si="63"/>
        <v>2.8557365826000001</v>
      </c>
      <c r="O789" s="66"/>
      <c r="P789" s="66">
        <f t="shared" si="64"/>
        <v>0</v>
      </c>
      <c r="Q789" s="66"/>
      <c r="R789" s="66">
        <f t="shared" si="65"/>
        <v>5.3083262145833334</v>
      </c>
    </row>
    <row r="790" spans="1:18">
      <c r="A790" s="116" t="s">
        <v>626</v>
      </c>
      <c r="B790" s="125" t="s">
        <v>1870</v>
      </c>
      <c r="C790" s="125" t="s">
        <v>1871</v>
      </c>
      <c r="D790" s="116" t="s">
        <v>1872</v>
      </c>
      <c r="E790" s="125" t="s">
        <v>75</v>
      </c>
      <c r="F790" s="116" t="s">
        <v>1602</v>
      </c>
      <c r="G790" s="125" t="s">
        <v>20</v>
      </c>
      <c r="H790" s="53"/>
      <c r="I790" s="125">
        <v>201602</v>
      </c>
      <c r="J790" s="126">
        <v>21268.69</v>
      </c>
      <c r="K790" s="72">
        <f t="shared" si="66"/>
        <v>42675</v>
      </c>
      <c r="L790" s="67">
        <f t="shared" si="62"/>
        <v>6</v>
      </c>
      <c r="M790" s="127">
        <v>1.4833299999999999E-3</v>
      </c>
      <c r="N790" s="104">
        <f t="shared" si="63"/>
        <v>189.29091562619999</v>
      </c>
      <c r="O790" s="66"/>
      <c r="P790" s="66">
        <f t="shared" si="64"/>
        <v>0</v>
      </c>
      <c r="Q790" s="66"/>
      <c r="R790" s="66">
        <f t="shared" si="65"/>
        <v>351.85945921041662</v>
      </c>
    </row>
    <row r="791" spans="1:18">
      <c r="A791" s="116" t="s">
        <v>626</v>
      </c>
      <c r="B791" s="125" t="s">
        <v>1514</v>
      </c>
      <c r="C791" s="125" t="s">
        <v>1515</v>
      </c>
      <c r="D791" s="116" t="s">
        <v>1516</v>
      </c>
      <c r="E791" s="125" t="s">
        <v>809</v>
      </c>
      <c r="F791" s="116" t="s">
        <v>26</v>
      </c>
      <c r="G791" s="125" t="s">
        <v>20</v>
      </c>
      <c r="H791" s="53"/>
      <c r="I791" s="125">
        <v>201602</v>
      </c>
      <c r="J791" s="126">
        <v>68.739999999999995</v>
      </c>
      <c r="K791" s="72">
        <f t="shared" si="66"/>
        <v>42675</v>
      </c>
      <c r="L791" s="67">
        <f t="shared" si="62"/>
        <v>6</v>
      </c>
      <c r="M791" s="127">
        <v>1.4833299999999999E-3</v>
      </c>
      <c r="N791" s="104">
        <f t="shared" si="63"/>
        <v>0.61178462519999999</v>
      </c>
      <c r="O791" s="66"/>
      <c r="P791" s="66">
        <f t="shared" si="64"/>
        <v>0</v>
      </c>
      <c r="Q791" s="66"/>
      <c r="R791" s="66">
        <f t="shared" si="65"/>
        <v>1.1372030541666667</v>
      </c>
    </row>
    <row r="792" spans="1:18">
      <c r="A792" s="116" t="s">
        <v>626</v>
      </c>
      <c r="B792" s="125" t="s">
        <v>1873</v>
      </c>
      <c r="C792" s="125" t="s">
        <v>1874</v>
      </c>
      <c r="D792" s="116" t="s">
        <v>1875</v>
      </c>
      <c r="E792" s="125" t="s">
        <v>75</v>
      </c>
      <c r="F792" s="116" t="s">
        <v>1602</v>
      </c>
      <c r="G792" s="125" t="s">
        <v>20</v>
      </c>
      <c r="H792" s="53"/>
      <c r="I792" s="125">
        <v>201602</v>
      </c>
      <c r="J792" s="126">
        <v>10170.290000000001</v>
      </c>
      <c r="K792" s="72">
        <f t="shared" si="66"/>
        <v>42675</v>
      </c>
      <c r="L792" s="67">
        <f t="shared" si="62"/>
        <v>6</v>
      </c>
      <c r="M792" s="127">
        <v>1.4833299999999999E-3</v>
      </c>
      <c r="N792" s="104">
        <f t="shared" si="63"/>
        <v>90.515377594200004</v>
      </c>
      <c r="O792" s="66"/>
      <c r="P792" s="66">
        <f t="shared" si="64"/>
        <v>0</v>
      </c>
      <c r="Q792" s="66"/>
      <c r="R792" s="66">
        <f t="shared" si="65"/>
        <v>168.25261637708337</v>
      </c>
    </row>
    <row r="793" spans="1:18">
      <c r="A793" s="116" t="s">
        <v>626</v>
      </c>
      <c r="B793" s="125" t="s">
        <v>1681</v>
      </c>
      <c r="C793" s="125" t="s">
        <v>1703</v>
      </c>
      <c r="D793" s="116" t="s">
        <v>1704</v>
      </c>
      <c r="E793" s="125" t="s">
        <v>164</v>
      </c>
      <c r="F793" s="116" t="s">
        <v>1600</v>
      </c>
      <c r="G793" s="125" t="s">
        <v>20</v>
      </c>
      <c r="H793" s="53"/>
      <c r="I793" s="125">
        <v>201602</v>
      </c>
      <c r="J793" s="126">
        <v>2343.84</v>
      </c>
      <c r="K793" s="72">
        <f t="shared" si="66"/>
        <v>42675</v>
      </c>
      <c r="L793" s="67">
        <f t="shared" si="62"/>
        <v>6</v>
      </c>
      <c r="M793" s="127">
        <v>1.4833299999999999E-3</v>
      </c>
      <c r="N793" s="104">
        <f t="shared" si="63"/>
        <v>20.8601291232</v>
      </c>
      <c r="O793" s="66"/>
      <c r="P793" s="66">
        <f t="shared" si="64"/>
        <v>0</v>
      </c>
      <c r="Q793" s="66"/>
      <c r="R793" s="66">
        <f t="shared" si="65"/>
        <v>38.775414700000006</v>
      </c>
    </row>
    <row r="794" spans="1:18">
      <c r="A794" s="116" t="s">
        <v>626</v>
      </c>
      <c r="B794" s="125" t="s">
        <v>1681</v>
      </c>
      <c r="C794" s="125" t="s">
        <v>1705</v>
      </c>
      <c r="D794" s="116" t="s">
        <v>1706</v>
      </c>
      <c r="E794" s="125" t="s">
        <v>75</v>
      </c>
      <c r="F794" s="116" t="s">
        <v>1602</v>
      </c>
      <c r="G794" s="125" t="s">
        <v>20</v>
      </c>
      <c r="H794" s="53"/>
      <c r="I794" s="125">
        <v>201602</v>
      </c>
      <c r="J794" s="126">
        <v>25468.05</v>
      </c>
      <c r="K794" s="72">
        <f t="shared" si="66"/>
        <v>42675</v>
      </c>
      <c r="L794" s="67">
        <f t="shared" si="62"/>
        <v>6</v>
      </c>
      <c r="M794" s="127">
        <v>1.4833299999999999E-3</v>
      </c>
      <c r="N794" s="104">
        <f t="shared" si="63"/>
        <v>226.665135639</v>
      </c>
      <c r="O794" s="66"/>
      <c r="P794" s="66">
        <f t="shared" si="64"/>
        <v>0</v>
      </c>
      <c r="Q794" s="66"/>
      <c r="R794" s="66">
        <f t="shared" si="65"/>
        <v>421.33174634375001</v>
      </c>
    </row>
    <row r="795" spans="1:18">
      <c r="A795" s="116" t="s">
        <v>626</v>
      </c>
      <c r="B795" s="125" t="s">
        <v>1681</v>
      </c>
      <c r="C795" s="125" t="s">
        <v>1707</v>
      </c>
      <c r="D795" s="116" t="s">
        <v>1708</v>
      </c>
      <c r="E795" s="125" t="s">
        <v>75</v>
      </c>
      <c r="F795" s="116" t="s">
        <v>1602</v>
      </c>
      <c r="G795" s="125" t="s">
        <v>20</v>
      </c>
      <c r="H795" s="53"/>
      <c r="I795" s="125">
        <v>201602</v>
      </c>
      <c r="J795" s="126">
        <v>-262.43</v>
      </c>
      <c r="K795" s="72">
        <f t="shared" si="66"/>
        <v>42675</v>
      </c>
      <c r="L795" s="67">
        <f t="shared" si="62"/>
        <v>6</v>
      </c>
      <c r="M795" s="127">
        <v>1.4833299999999999E-3</v>
      </c>
      <c r="N795" s="104">
        <f t="shared" si="63"/>
        <v>-2.3356217514000002</v>
      </c>
      <c r="O795" s="66"/>
      <c r="P795" s="66">
        <f t="shared" si="64"/>
        <v>0</v>
      </c>
      <c r="Q795" s="66"/>
      <c r="R795" s="66">
        <f t="shared" si="65"/>
        <v>-4.341521639583334</v>
      </c>
    </row>
    <row r="796" spans="1:18">
      <c r="A796" s="116" t="s">
        <v>626</v>
      </c>
      <c r="B796" s="125" t="s">
        <v>1832</v>
      </c>
      <c r="C796" s="125" t="s">
        <v>1833</v>
      </c>
      <c r="D796" s="116" t="s">
        <v>1834</v>
      </c>
      <c r="E796" s="125" t="s">
        <v>497</v>
      </c>
      <c r="F796" s="116" t="s">
        <v>26</v>
      </c>
      <c r="G796" s="125" t="s">
        <v>20</v>
      </c>
      <c r="H796" s="53"/>
      <c r="I796" s="125">
        <v>201602</v>
      </c>
      <c r="J796" s="126">
        <v>242.87</v>
      </c>
      <c r="K796" s="72">
        <f t="shared" si="66"/>
        <v>42675</v>
      </c>
      <c r="L796" s="67">
        <f t="shared" si="62"/>
        <v>6</v>
      </c>
      <c r="M796" s="127">
        <v>1.4833299999999999E-3</v>
      </c>
      <c r="N796" s="104">
        <f t="shared" si="63"/>
        <v>2.1615381426</v>
      </c>
      <c r="O796" s="66"/>
      <c r="P796" s="66">
        <f t="shared" si="64"/>
        <v>0</v>
      </c>
      <c r="Q796" s="66"/>
      <c r="R796" s="66">
        <f t="shared" si="65"/>
        <v>4.0179299645833328</v>
      </c>
    </row>
    <row r="797" spans="1:18">
      <c r="A797" s="116" t="s">
        <v>626</v>
      </c>
      <c r="B797" s="125" t="s">
        <v>1712</v>
      </c>
      <c r="C797" s="125" t="s">
        <v>1713</v>
      </c>
      <c r="D797" s="116" t="s">
        <v>1714</v>
      </c>
      <c r="E797" s="125" t="s">
        <v>497</v>
      </c>
      <c r="F797" s="116" t="s">
        <v>26</v>
      </c>
      <c r="G797" s="125" t="s">
        <v>20</v>
      </c>
      <c r="H797" s="53"/>
      <c r="I797" s="125">
        <v>201602</v>
      </c>
      <c r="J797" s="126">
        <v>-2.72</v>
      </c>
      <c r="K797" s="72">
        <f t="shared" si="66"/>
        <v>42675</v>
      </c>
      <c r="L797" s="67">
        <f t="shared" si="62"/>
        <v>6</v>
      </c>
      <c r="M797" s="127">
        <v>1.4833299999999999E-3</v>
      </c>
      <c r="N797" s="104">
        <f t="shared" si="63"/>
        <v>-2.4207945600000003E-2</v>
      </c>
      <c r="O797" s="66"/>
      <c r="P797" s="66">
        <f t="shared" si="64"/>
        <v>0</v>
      </c>
      <c r="Q797" s="66"/>
      <c r="R797" s="66">
        <f t="shared" si="65"/>
        <v>-4.4998433333333338E-2</v>
      </c>
    </row>
    <row r="798" spans="1:18">
      <c r="A798" s="116" t="s">
        <v>626</v>
      </c>
      <c r="B798" s="125" t="s">
        <v>1715</v>
      </c>
      <c r="C798" s="125" t="s">
        <v>1716</v>
      </c>
      <c r="D798" s="116" t="s">
        <v>1717</v>
      </c>
      <c r="E798" s="125" t="s">
        <v>497</v>
      </c>
      <c r="F798" s="116" t="s">
        <v>26</v>
      </c>
      <c r="G798" s="125" t="s">
        <v>20</v>
      </c>
      <c r="H798" s="53"/>
      <c r="I798" s="125">
        <v>201602</v>
      </c>
      <c r="J798" s="126">
        <v>68.349999999999994</v>
      </c>
      <c r="K798" s="72">
        <f t="shared" si="66"/>
        <v>42675</v>
      </c>
      <c r="L798" s="67">
        <f t="shared" si="62"/>
        <v>6</v>
      </c>
      <c r="M798" s="127">
        <v>1.4833299999999999E-3</v>
      </c>
      <c r="N798" s="104">
        <f t="shared" si="63"/>
        <v>0.60831363299999996</v>
      </c>
      <c r="O798" s="66"/>
      <c r="P798" s="66">
        <f t="shared" si="64"/>
        <v>0</v>
      </c>
      <c r="Q798" s="66"/>
      <c r="R798" s="66">
        <f t="shared" si="65"/>
        <v>1.1307510729166665</v>
      </c>
    </row>
    <row r="799" spans="1:18">
      <c r="A799" s="116" t="s">
        <v>626</v>
      </c>
      <c r="B799" s="125" t="s">
        <v>1951</v>
      </c>
      <c r="C799" s="125" t="s">
        <v>1952</v>
      </c>
      <c r="D799" s="116" t="s">
        <v>1759</v>
      </c>
      <c r="E799" s="125" t="s">
        <v>75</v>
      </c>
      <c r="F799" s="116" t="s">
        <v>1602</v>
      </c>
      <c r="G799" s="125" t="s">
        <v>20</v>
      </c>
      <c r="H799" s="53"/>
      <c r="I799" s="125">
        <v>201602</v>
      </c>
      <c r="J799" s="126">
        <v>81857.740000000005</v>
      </c>
      <c r="K799" s="72">
        <f t="shared" si="66"/>
        <v>42675</v>
      </c>
      <c r="L799" s="67">
        <f t="shared" si="62"/>
        <v>6</v>
      </c>
      <c r="M799" s="127">
        <v>1.4833299999999999E-3</v>
      </c>
      <c r="N799" s="104">
        <f t="shared" si="63"/>
        <v>728.5322488452</v>
      </c>
      <c r="O799" s="66"/>
      <c r="P799" s="66">
        <f t="shared" si="64"/>
        <v>0</v>
      </c>
      <c r="Q799" s="66"/>
      <c r="R799" s="66">
        <f t="shared" si="65"/>
        <v>1354.2169324291667</v>
      </c>
    </row>
    <row r="800" spans="1:18">
      <c r="A800" s="116" t="s">
        <v>626</v>
      </c>
      <c r="B800" s="125" t="s">
        <v>1835</v>
      </c>
      <c r="C800" s="125" t="s">
        <v>1836</v>
      </c>
      <c r="D800" s="116" t="s">
        <v>1837</v>
      </c>
      <c r="E800" s="125" t="s">
        <v>497</v>
      </c>
      <c r="F800" s="116" t="s">
        <v>26</v>
      </c>
      <c r="G800" s="125" t="s">
        <v>20</v>
      </c>
      <c r="H800" s="53"/>
      <c r="I800" s="125">
        <v>201602</v>
      </c>
      <c r="J800" s="126">
        <v>-232.14</v>
      </c>
      <c r="K800" s="72">
        <f t="shared" si="66"/>
        <v>42675</v>
      </c>
      <c r="L800" s="67">
        <f t="shared" si="62"/>
        <v>6</v>
      </c>
      <c r="M800" s="127">
        <v>1.4833299999999999E-3</v>
      </c>
      <c r="N800" s="104">
        <f t="shared" si="63"/>
        <v>-2.0660413572</v>
      </c>
      <c r="O800" s="66"/>
      <c r="P800" s="66">
        <f t="shared" si="64"/>
        <v>0</v>
      </c>
      <c r="Q800" s="66"/>
      <c r="R800" s="66">
        <f t="shared" si="65"/>
        <v>-3.8404177624999996</v>
      </c>
    </row>
    <row r="801" spans="1:18">
      <c r="A801" s="116" t="s">
        <v>626</v>
      </c>
      <c r="B801" s="125" t="s">
        <v>1718</v>
      </c>
      <c r="C801" s="125" t="s">
        <v>1719</v>
      </c>
      <c r="D801" s="116" t="s">
        <v>1720</v>
      </c>
      <c r="E801" s="125" t="s">
        <v>497</v>
      </c>
      <c r="F801" s="116" t="s">
        <v>26</v>
      </c>
      <c r="G801" s="125" t="s">
        <v>20</v>
      </c>
      <c r="H801" s="53"/>
      <c r="I801" s="125">
        <v>201602</v>
      </c>
      <c r="J801" s="126">
        <v>-68.97</v>
      </c>
      <c r="K801" s="72">
        <f t="shared" si="66"/>
        <v>42675</v>
      </c>
      <c r="L801" s="67">
        <f t="shared" si="62"/>
        <v>6</v>
      </c>
      <c r="M801" s="127">
        <v>1.4833299999999999E-3</v>
      </c>
      <c r="N801" s="104">
        <f t="shared" si="63"/>
        <v>-0.61383162059999996</v>
      </c>
      <c r="O801" s="66"/>
      <c r="P801" s="66">
        <f t="shared" si="64"/>
        <v>0</v>
      </c>
      <c r="Q801" s="66"/>
      <c r="R801" s="66">
        <f t="shared" si="65"/>
        <v>-1.1410080687499999</v>
      </c>
    </row>
    <row r="802" spans="1:18">
      <c r="A802" s="116" t="s">
        <v>21</v>
      </c>
      <c r="B802" s="125" t="s">
        <v>1517</v>
      </c>
      <c r="C802" s="125" t="s">
        <v>1518</v>
      </c>
      <c r="D802" s="116" t="s">
        <v>1211</v>
      </c>
      <c r="E802" s="125" t="s">
        <v>280</v>
      </c>
      <c r="F802" s="116" t="s">
        <v>26</v>
      </c>
      <c r="G802" s="125" t="s">
        <v>20</v>
      </c>
      <c r="H802" s="53"/>
      <c r="I802" s="125">
        <v>201602</v>
      </c>
      <c r="J802" s="126">
        <v>94682.96</v>
      </c>
      <c r="K802" s="72">
        <f t="shared" si="66"/>
        <v>42675</v>
      </c>
      <c r="L802" s="67">
        <f t="shared" si="62"/>
        <v>6</v>
      </c>
      <c r="M802" s="127">
        <v>1.4833299999999999E-3</v>
      </c>
      <c r="N802" s="104">
        <f t="shared" si="63"/>
        <v>842.6764503408001</v>
      </c>
      <c r="O802" s="66"/>
      <c r="P802" s="66">
        <f t="shared" si="64"/>
        <v>0</v>
      </c>
      <c r="Q802" s="66"/>
      <c r="R802" s="66">
        <f t="shared" si="65"/>
        <v>1566.3914938833334</v>
      </c>
    </row>
    <row r="803" spans="1:18">
      <c r="A803" s="116" t="s">
        <v>626</v>
      </c>
      <c r="B803" s="125" t="s">
        <v>1517</v>
      </c>
      <c r="C803" s="125" t="s">
        <v>1518</v>
      </c>
      <c r="D803" s="116" t="s">
        <v>1211</v>
      </c>
      <c r="E803" s="125" t="s">
        <v>280</v>
      </c>
      <c r="F803" s="116" t="s">
        <v>26</v>
      </c>
      <c r="G803" s="125" t="s">
        <v>20</v>
      </c>
      <c r="H803" s="53"/>
      <c r="I803" s="125">
        <v>201602</v>
      </c>
      <c r="J803" s="126">
        <v>-94682.96</v>
      </c>
      <c r="K803" s="72">
        <f t="shared" si="66"/>
        <v>42675</v>
      </c>
      <c r="L803" s="67">
        <f t="shared" ref="L803:L866" si="67">((YEAR($L$1)-YEAR(K803))*12+MONTH($L$1)-MONTH(K803))</f>
        <v>6</v>
      </c>
      <c r="M803" s="127">
        <v>1.4833299999999999E-3</v>
      </c>
      <c r="N803" s="104">
        <f t="shared" ref="N803:N866" si="68">M803*L803*J803</f>
        <v>-842.6764503408001</v>
      </c>
      <c r="O803" s="66"/>
      <c r="P803" s="66">
        <f t="shared" si="64"/>
        <v>0</v>
      </c>
      <c r="Q803" s="66"/>
      <c r="R803" s="66">
        <f t="shared" si="65"/>
        <v>-1566.3914938833334</v>
      </c>
    </row>
    <row r="804" spans="1:18">
      <c r="A804" s="116" t="s">
        <v>626</v>
      </c>
      <c r="B804" s="125" t="s">
        <v>1620</v>
      </c>
      <c r="C804" s="125" t="s">
        <v>1621</v>
      </c>
      <c r="D804" s="116" t="s">
        <v>1622</v>
      </c>
      <c r="E804" s="125" t="s">
        <v>497</v>
      </c>
      <c r="F804" s="116" t="s">
        <v>26</v>
      </c>
      <c r="G804" s="125" t="s">
        <v>20</v>
      </c>
      <c r="H804" s="53"/>
      <c r="I804" s="125">
        <v>201602</v>
      </c>
      <c r="J804" s="126">
        <v>41.47</v>
      </c>
      <c r="K804" s="72">
        <f t="shared" si="66"/>
        <v>42675</v>
      </c>
      <c r="L804" s="67">
        <f t="shared" si="67"/>
        <v>6</v>
      </c>
      <c r="M804" s="127">
        <v>1.4833299999999999E-3</v>
      </c>
      <c r="N804" s="104">
        <f t="shared" si="68"/>
        <v>0.36908217059999998</v>
      </c>
      <c r="O804" s="66"/>
      <c r="P804" s="66">
        <f t="shared" si="64"/>
        <v>0</v>
      </c>
      <c r="Q804" s="66"/>
      <c r="R804" s="66">
        <f t="shared" si="65"/>
        <v>0.68606067291666661</v>
      </c>
    </row>
    <row r="805" spans="1:18">
      <c r="A805" s="116" t="s">
        <v>626</v>
      </c>
      <c r="B805" s="125" t="s">
        <v>1770</v>
      </c>
      <c r="C805" s="125" t="s">
        <v>1771</v>
      </c>
      <c r="D805" s="116" t="s">
        <v>1772</v>
      </c>
      <c r="E805" s="125" t="s">
        <v>93</v>
      </c>
      <c r="F805" s="116" t="s">
        <v>1601</v>
      </c>
      <c r="G805" s="125" t="s">
        <v>20</v>
      </c>
      <c r="H805" s="53"/>
      <c r="I805" s="125">
        <v>201602</v>
      </c>
      <c r="J805" s="126">
        <v>16852.52</v>
      </c>
      <c r="K805" s="72">
        <f t="shared" si="66"/>
        <v>42675</v>
      </c>
      <c r="L805" s="67">
        <f t="shared" si="67"/>
        <v>6</v>
      </c>
      <c r="M805" s="127">
        <v>1.4833299999999999E-3</v>
      </c>
      <c r="N805" s="104">
        <f t="shared" si="68"/>
        <v>149.9870909496</v>
      </c>
      <c r="O805" s="66"/>
      <c r="P805" s="66">
        <f t="shared" si="64"/>
        <v>0</v>
      </c>
      <c r="Q805" s="66"/>
      <c r="R805" s="66">
        <f t="shared" si="65"/>
        <v>278.80036680833337</v>
      </c>
    </row>
    <row r="806" spans="1:18">
      <c r="A806" s="116" t="s">
        <v>626</v>
      </c>
      <c r="B806" s="125" t="s">
        <v>1623</v>
      </c>
      <c r="C806" s="125" t="s">
        <v>1624</v>
      </c>
      <c r="D806" s="116" t="s">
        <v>1625</v>
      </c>
      <c r="E806" s="125" t="s">
        <v>260</v>
      </c>
      <c r="F806" s="116" t="s">
        <v>1608</v>
      </c>
      <c r="G806" s="125" t="s">
        <v>20</v>
      </c>
      <c r="H806" s="53"/>
      <c r="I806" s="125">
        <v>201602</v>
      </c>
      <c r="J806" s="126">
        <v>-10.95</v>
      </c>
      <c r="K806" s="72">
        <f t="shared" si="66"/>
        <v>42675</v>
      </c>
      <c r="L806" s="67">
        <f t="shared" si="67"/>
        <v>6</v>
      </c>
      <c r="M806" s="127">
        <v>1.4833299999999999E-3</v>
      </c>
      <c r="N806" s="104">
        <f t="shared" si="68"/>
        <v>-9.745478099999999E-2</v>
      </c>
      <c r="O806" s="66"/>
      <c r="P806" s="66">
        <f t="shared" si="64"/>
        <v>0</v>
      </c>
      <c r="Q806" s="66"/>
      <c r="R806" s="66">
        <f t="shared" si="65"/>
        <v>-0.18115178125</v>
      </c>
    </row>
    <row r="807" spans="1:18">
      <c r="A807" s="116" t="s">
        <v>626</v>
      </c>
      <c r="B807" s="125" t="s">
        <v>1721</v>
      </c>
      <c r="C807" s="125" t="s">
        <v>1722</v>
      </c>
      <c r="D807" s="116" t="s">
        <v>1723</v>
      </c>
      <c r="E807" s="125" t="s">
        <v>75</v>
      </c>
      <c r="F807" s="116" t="s">
        <v>1602</v>
      </c>
      <c r="G807" s="125" t="s">
        <v>20</v>
      </c>
      <c r="H807" s="53"/>
      <c r="I807" s="125">
        <v>201602</v>
      </c>
      <c r="J807" s="126">
        <v>9.48</v>
      </c>
      <c r="K807" s="72">
        <f t="shared" si="66"/>
        <v>42675</v>
      </c>
      <c r="L807" s="67">
        <f t="shared" si="67"/>
        <v>6</v>
      </c>
      <c r="M807" s="127">
        <v>1.4833299999999999E-3</v>
      </c>
      <c r="N807" s="104">
        <f t="shared" si="68"/>
        <v>8.4371810400000011E-2</v>
      </c>
      <c r="O807" s="66"/>
      <c r="P807" s="66">
        <f t="shared" si="64"/>
        <v>0</v>
      </c>
      <c r="Q807" s="66"/>
      <c r="R807" s="66">
        <f t="shared" si="65"/>
        <v>0.15683277500000001</v>
      </c>
    </row>
    <row r="808" spans="1:18">
      <c r="A808" s="116" t="s">
        <v>626</v>
      </c>
      <c r="B808" s="125" t="s">
        <v>1953</v>
      </c>
      <c r="C808" s="125" t="s">
        <v>1954</v>
      </c>
      <c r="D808" s="116" t="s">
        <v>1955</v>
      </c>
      <c r="E808" s="125" t="s">
        <v>75</v>
      </c>
      <c r="F808" s="116" t="s">
        <v>1602</v>
      </c>
      <c r="G808" s="125" t="s">
        <v>20</v>
      </c>
      <c r="H808" s="53"/>
      <c r="I808" s="125">
        <v>201602</v>
      </c>
      <c r="J808" s="126">
        <v>17086.88</v>
      </c>
      <c r="K808" s="72">
        <f t="shared" si="66"/>
        <v>42675</v>
      </c>
      <c r="L808" s="67">
        <f t="shared" si="67"/>
        <v>6</v>
      </c>
      <c r="M808" s="127">
        <v>1.4833299999999999E-3</v>
      </c>
      <c r="N808" s="104">
        <f t="shared" si="68"/>
        <v>152.07289026240002</v>
      </c>
      <c r="O808" s="66"/>
      <c r="P808" s="66">
        <f t="shared" si="64"/>
        <v>0</v>
      </c>
      <c r="Q808" s="66"/>
      <c r="R808" s="66">
        <f t="shared" si="65"/>
        <v>282.67751123333335</v>
      </c>
    </row>
    <row r="809" spans="1:18">
      <c r="A809" s="116" t="s">
        <v>626</v>
      </c>
      <c r="B809" s="125" t="s">
        <v>1548</v>
      </c>
      <c r="C809" s="125" t="s">
        <v>1549</v>
      </c>
      <c r="D809" s="116" t="s">
        <v>1550</v>
      </c>
      <c r="E809" s="125" t="s">
        <v>164</v>
      </c>
      <c r="F809" s="116" t="s">
        <v>1600</v>
      </c>
      <c r="G809" s="125" t="s">
        <v>20</v>
      </c>
      <c r="H809" s="53"/>
      <c r="I809" s="125">
        <v>201602</v>
      </c>
      <c r="J809" s="126">
        <v>-8.57</v>
      </c>
      <c r="K809" s="72">
        <f t="shared" si="66"/>
        <v>42675</v>
      </c>
      <c r="L809" s="67">
        <f t="shared" si="67"/>
        <v>6</v>
      </c>
      <c r="M809" s="127">
        <v>1.4833299999999999E-3</v>
      </c>
      <c r="N809" s="104">
        <f t="shared" si="68"/>
        <v>-7.6272828600000009E-2</v>
      </c>
      <c r="O809" s="66"/>
      <c r="P809" s="66">
        <f t="shared" si="64"/>
        <v>0</v>
      </c>
      <c r="Q809" s="66"/>
      <c r="R809" s="66">
        <f t="shared" si="65"/>
        <v>-0.14177815208333333</v>
      </c>
    </row>
    <row r="810" spans="1:18">
      <c r="A810" s="116" t="s">
        <v>626</v>
      </c>
      <c r="B810" s="125" t="s">
        <v>1724</v>
      </c>
      <c r="C810" s="125" t="s">
        <v>1725</v>
      </c>
      <c r="D810" s="116" t="s">
        <v>1726</v>
      </c>
      <c r="E810" s="125" t="s">
        <v>75</v>
      </c>
      <c r="F810" s="116" t="s">
        <v>1602</v>
      </c>
      <c r="G810" s="125" t="s">
        <v>20</v>
      </c>
      <c r="H810" s="53"/>
      <c r="I810" s="125">
        <v>201602</v>
      </c>
      <c r="J810" s="126">
        <v>80.41</v>
      </c>
      <c r="K810" s="72">
        <f t="shared" si="66"/>
        <v>42675</v>
      </c>
      <c r="L810" s="67">
        <f t="shared" si="67"/>
        <v>6</v>
      </c>
      <c r="M810" s="127">
        <v>1.4833299999999999E-3</v>
      </c>
      <c r="N810" s="104">
        <f t="shared" si="68"/>
        <v>0.71564739179999992</v>
      </c>
      <c r="O810" s="66"/>
      <c r="P810" s="66">
        <f t="shared" si="64"/>
        <v>0</v>
      </c>
      <c r="Q810" s="66"/>
      <c r="R810" s="66">
        <f t="shared" si="65"/>
        <v>1.3302661854166666</v>
      </c>
    </row>
    <row r="811" spans="1:18">
      <c r="A811" s="116" t="s">
        <v>626</v>
      </c>
      <c r="B811" s="125" t="s">
        <v>1375</v>
      </c>
      <c r="C811" s="125" t="s">
        <v>1376</v>
      </c>
      <c r="D811" s="116" t="s">
        <v>1374</v>
      </c>
      <c r="E811" s="125" t="s">
        <v>497</v>
      </c>
      <c r="F811" s="116" t="s">
        <v>26</v>
      </c>
      <c r="G811" s="125" t="s">
        <v>20</v>
      </c>
      <c r="H811" s="53"/>
      <c r="I811" s="125">
        <v>201602</v>
      </c>
      <c r="J811" s="126">
        <v>-255.79</v>
      </c>
      <c r="K811" s="72">
        <f t="shared" si="66"/>
        <v>42675</v>
      </c>
      <c r="L811" s="67">
        <f t="shared" si="67"/>
        <v>6</v>
      </c>
      <c r="M811" s="127">
        <v>1.4833299999999999E-3</v>
      </c>
      <c r="N811" s="104">
        <f t="shared" si="68"/>
        <v>-2.2765258841999998</v>
      </c>
      <c r="O811" s="66"/>
      <c r="P811" s="66">
        <f t="shared" si="64"/>
        <v>0</v>
      </c>
      <c r="Q811" s="66"/>
      <c r="R811" s="66">
        <f t="shared" si="65"/>
        <v>-4.231672522916667</v>
      </c>
    </row>
    <row r="812" spans="1:18">
      <c r="A812" s="116" t="s">
        <v>626</v>
      </c>
      <c r="B812" s="125" t="s">
        <v>1444</v>
      </c>
      <c r="C812" s="125" t="s">
        <v>1445</v>
      </c>
      <c r="D812" s="116" t="s">
        <v>1282</v>
      </c>
      <c r="E812" s="125" t="s">
        <v>164</v>
      </c>
      <c r="F812" s="116" t="s">
        <v>1600</v>
      </c>
      <c r="G812" s="125" t="s">
        <v>20</v>
      </c>
      <c r="H812" s="53"/>
      <c r="I812" s="125">
        <v>201602</v>
      </c>
      <c r="J812" s="126">
        <v>186.58</v>
      </c>
      <c r="K812" s="72">
        <f t="shared" si="66"/>
        <v>42675</v>
      </c>
      <c r="L812" s="67">
        <f t="shared" si="67"/>
        <v>6</v>
      </c>
      <c r="M812" s="127">
        <v>1.4833299999999999E-3</v>
      </c>
      <c r="N812" s="104">
        <f t="shared" si="68"/>
        <v>1.6605582684000002</v>
      </c>
      <c r="O812" s="66"/>
      <c r="P812" s="66">
        <f t="shared" si="64"/>
        <v>0</v>
      </c>
      <c r="Q812" s="66"/>
      <c r="R812" s="66">
        <f t="shared" si="65"/>
        <v>3.0866940041666666</v>
      </c>
    </row>
    <row r="813" spans="1:18">
      <c r="A813" s="116" t="s">
        <v>626</v>
      </c>
      <c r="B813" s="125" t="s">
        <v>1788</v>
      </c>
      <c r="C813" s="125" t="s">
        <v>1789</v>
      </c>
      <c r="D813" s="116" t="s">
        <v>1790</v>
      </c>
      <c r="E813" s="125" t="s">
        <v>25</v>
      </c>
      <c r="F813" s="116" t="s">
        <v>26</v>
      </c>
      <c r="G813" s="125" t="s">
        <v>20</v>
      </c>
      <c r="H813" s="53"/>
      <c r="I813" s="125">
        <v>201602</v>
      </c>
      <c r="J813" s="126">
        <v>889.19</v>
      </c>
      <c r="K813" s="72">
        <f t="shared" si="66"/>
        <v>42675</v>
      </c>
      <c r="L813" s="67">
        <f t="shared" si="67"/>
        <v>6</v>
      </c>
      <c r="M813" s="127">
        <v>1.4833299999999999E-3</v>
      </c>
      <c r="N813" s="104">
        <f t="shared" si="68"/>
        <v>7.913773216200001</v>
      </c>
      <c r="O813" s="66"/>
      <c r="P813" s="66">
        <f t="shared" si="64"/>
        <v>0</v>
      </c>
      <c r="Q813" s="66"/>
      <c r="R813" s="66">
        <f t="shared" si="65"/>
        <v>14.710351814583333</v>
      </c>
    </row>
    <row r="814" spans="1:18">
      <c r="A814" s="116" t="s">
        <v>626</v>
      </c>
      <c r="B814" s="125" t="s">
        <v>1530</v>
      </c>
      <c r="C814" s="125" t="s">
        <v>1531</v>
      </c>
      <c r="D814" s="116" t="s">
        <v>1532</v>
      </c>
      <c r="E814" s="125" t="s">
        <v>531</v>
      </c>
      <c r="F814" s="116" t="s">
        <v>26</v>
      </c>
      <c r="G814" s="125" t="s">
        <v>20</v>
      </c>
      <c r="H814" s="53"/>
      <c r="I814" s="125">
        <v>201602</v>
      </c>
      <c r="J814" s="126">
        <v>-22.58</v>
      </c>
      <c r="K814" s="72">
        <f t="shared" si="66"/>
        <v>42675</v>
      </c>
      <c r="L814" s="67">
        <f t="shared" si="67"/>
        <v>6</v>
      </c>
      <c r="M814" s="127">
        <v>1.4833299999999999E-3</v>
      </c>
      <c r="N814" s="104">
        <f t="shared" si="68"/>
        <v>-0.2009615484</v>
      </c>
      <c r="O814" s="66"/>
      <c r="P814" s="66">
        <f t="shared" si="64"/>
        <v>0</v>
      </c>
      <c r="Q814" s="66"/>
      <c r="R814" s="66">
        <f t="shared" si="65"/>
        <v>-0.37355317083333328</v>
      </c>
    </row>
    <row r="815" spans="1:18">
      <c r="A815" s="116" t="s">
        <v>626</v>
      </c>
      <c r="B815" s="125" t="s">
        <v>1629</v>
      </c>
      <c r="C815" s="125" t="s">
        <v>1630</v>
      </c>
      <c r="D815" s="116" t="s">
        <v>1631</v>
      </c>
      <c r="E815" s="125" t="s">
        <v>164</v>
      </c>
      <c r="F815" s="116" t="s">
        <v>1600</v>
      </c>
      <c r="G815" s="125" t="s">
        <v>20</v>
      </c>
      <c r="H815" s="53"/>
      <c r="I815" s="125">
        <v>201602</v>
      </c>
      <c r="J815" s="126">
        <v>36832.28</v>
      </c>
      <c r="K815" s="72">
        <f t="shared" si="66"/>
        <v>42675</v>
      </c>
      <c r="L815" s="67">
        <f t="shared" si="67"/>
        <v>6</v>
      </c>
      <c r="M815" s="127">
        <v>1.4833299999999999E-3</v>
      </c>
      <c r="N815" s="104">
        <f t="shared" si="68"/>
        <v>327.80655535440002</v>
      </c>
      <c r="O815" s="66"/>
      <c r="P815" s="66">
        <f t="shared" si="64"/>
        <v>0</v>
      </c>
      <c r="Q815" s="66"/>
      <c r="R815" s="66">
        <f t="shared" si="65"/>
        <v>609.33635885833337</v>
      </c>
    </row>
    <row r="816" spans="1:18">
      <c r="A816" s="116" t="s">
        <v>626</v>
      </c>
      <c r="B816" s="125" t="s">
        <v>1791</v>
      </c>
      <c r="C816" s="125" t="s">
        <v>1792</v>
      </c>
      <c r="D816" s="116" t="s">
        <v>1793</v>
      </c>
      <c r="E816" s="125" t="s">
        <v>75</v>
      </c>
      <c r="F816" s="116" t="s">
        <v>1602</v>
      </c>
      <c r="G816" s="125" t="s">
        <v>20</v>
      </c>
      <c r="H816" s="53"/>
      <c r="I816" s="125">
        <v>201602</v>
      </c>
      <c r="J816" s="126">
        <v>4814.53</v>
      </c>
      <c r="K816" s="72">
        <f t="shared" si="66"/>
        <v>42675</v>
      </c>
      <c r="L816" s="67">
        <f t="shared" si="67"/>
        <v>6</v>
      </c>
      <c r="M816" s="127">
        <v>1.4833299999999999E-3</v>
      </c>
      <c r="N816" s="104">
        <f t="shared" si="68"/>
        <v>42.849220709400001</v>
      </c>
      <c r="O816" s="66"/>
      <c r="P816" s="66">
        <f t="shared" si="64"/>
        <v>0</v>
      </c>
      <c r="Q816" s="66"/>
      <c r="R816" s="66">
        <f t="shared" si="65"/>
        <v>79.649377660416661</v>
      </c>
    </row>
    <row r="817" spans="1:18">
      <c r="A817" s="116" t="s">
        <v>626</v>
      </c>
      <c r="B817" s="125" t="s">
        <v>1838</v>
      </c>
      <c r="C817" s="125" t="s">
        <v>1839</v>
      </c>
      <c r="D817" s="116" t="s">
        <v>1840</v>
      </c>
      <c r="E817" s="125" t="s">
        <v>260</v>
      </c>
      <c r="F817" s="116" t="s">
        <v>1608</v>
      </c>
      <c r="G817" s="125" t="s">
        <v>20</v>
      </c>
      <c r="H817" s="53"/>
      <c r="I817" s="125">
        <v>201602</v>
      </c>
      <c r="J817" s="126">
        <v>-1905.47</v>
      </c>
      <c r="K817" s="72">
        <f t="shared" si="66"/>
        <v>42675</v>
      </c>
      <c r="L817" s="67">
        <f t="shared" si="67"/>
        <v>6</v>
      </c>
      <c r="M817" s="127">
        <v>1.4833299999999999E-3</v>
      </c>
      <c r="N817" s="104">
        <f t="shared" si="68"/>
        <v>-16.958644890599999</v>
      </c>
      <c r="O817" s="66"/>
      <c r="P817" s="66">
        <f t="shared" si="64"/>
        <v>0</v>
      </c>
      <c r="Q817" s="66"/>
      <c r="R817" s="66">
        <f t="shared" si="65"/>
        <v>-31.523222339583334</v>
      </c>
    </row>
    <row r="818" spans="1:18">
      <c r="A818" s="116" t="s">
        <v>133</v>
      </c>
      <c r="B818" s="125" t="s">
        <v>1876</v>
      </c>
      <c r="C818" s="125" t="s">
        <v>1877</v>
      </c>
      <c r="D818" s="116" t="s">
        <v>1878</v>
      </c>
      <c r="E818" s="125" t="s">
        <v>75</v>
      </c>
      <c r="F818" s="116" t="s">
        <v>1602</v>
      </c>
      <c r="G818" s="125" t="s">
        <v>20</v>
      </c>
      <c r="H818" s="53"/>
      <c r="I818" s="125">
        <v>201602</v>
      </c>
      <c r="J818" s="126">
        <v>4378.03</v>
      </c>
      <c r="K818" s="72">
        <f t="shared" si="66"/>
        <v>42675</v>
      </c>
      <c r="L818" s="67">
        <f t="shared" si="67"/>
        <v>6</v>
      </c>
      <c r="M818" s="127">
        <v>1.4833299999999999E-3</v>
      </c>
      <c r="N818" s="104">
        <f t="shared" si="68"/>
        <v>38.964379439399998</v>
      </c>
      <c r="O818" s="66"/>
      <c r="P818" s="66">
        <f t="shared" si="64"/>
        <v>0</v>
      </c>
      <c r="Q818" s="66"/>
      <c r="R818" s="66">
        <f t="shared" si="65"/>
        <v>72.428121722916657</v>
      </c>
    </row>
    <row r="819" spans="1:18">
      <c r="A819" s="116" t="s">
        <v>626</v>
      </c>
      <c r="B819" s="125" t="s">
        <v>1879</v>
      </c>
      <c r="C819" s="125" t="s">
        <v>1880</v>
      </c>
      <c r="D819" s="116" t="s">
        <v>1273</v>
      </c>
      <c r="E819" s="125" t="s">
        <v>75</v>
      </c>
      <c r="F819" s="116" t="s">
        <v>1602</v>
      </c>
      <c r="G819" s="125" t="s">
        <v>20</v>
      </c>
      <c r="H819" s="53"/>
      <c r="I819" s="125">
        <v>201602</v>
      </c>
      <c r="J819" s="126">
        <v>425.99</v>
      </c>
      <c r="K819" s="72">
        <f t="shared" si="66"/>
        <v>42675</v>
      </c>
      <c r="L819" s="67">
        <f t="shared" si="67"/>
        <v>6</v>
      </c>
      <c r="M819" s="127">
        <v>1.4833299999999999E-3</v>
      </c>
      <c r="N819" s="104">
        <f t="shared" si="68"/>
        <v>3.7913024802000002</v>
      </c>
      <c r="O819" s="66"/>
      <c r="P819" s="66">
        <f t="shared" ref="P819:P882" si="69">($P$305*J819*$U$11)</f>
        <v>0</v>
      </c>
      <c r="Q819" s="66"/>
      <c r="R819" s="66">
        <f t="shared" ref="R819:R882" si="70">($R$305*0.5*J819*$U$11)</f>
        <v>7.0473833145833336</v>
      </c>
    </row>
    <row r="820" spans="1:18">
      <c r="A820" s="116" t="s">
        <v>626</v>
      </c>
      <c r="B820" s="125" t="s">
        <v>1536</v>
      </c>
      <c r="C820" s="125" t="s">
        <v>1537</v>
      </c>
      <c r="D820" s="116" t="s">
        <v>1538</v>
      </c>
      <c r="E820" s="125" t="s">
        <v>260</v>
      </c>
      <c r="F820" s="116" t="s">
        <v>1608</v>
      </c>
      <c r="G820" s="125" t="s">
        <v>20</v>
      </c>
      <c r="H820" s="53"/>
      <c r="I820" s="125">
        <v>201602</v>
      </c>
      <c r="J820" s="126">
        <v>-21.73</v>
      </c>
      <c r="K820" s="72">
        <f t="shared" si="66"/>
        <v>42675</v>
      </c>
      <c r="L820" s="67">
        <f t="shared" si="67"/>
        <v>6</v>
      </c>
      <c r="M820" s="127">
        <v>1.4833299999999999E-3</v>
      </c>
      <c r="N820" s="104">
        <f t="shared" si="68"/>
        <v>-0.1933965654</v>
      </c>
      <c r="O820" s="66"/>
      <c r="P820" s="66">
        <f t="shared" si="69"/>
        <v>0</v>
      </c>
      <c r="Q820" s="66"/>
      <c r="R820" s="66">
        <f t="shared" si="70"/>
        <v>-0.35949116041666668</v>
      </c>
    </row>
    <row r="821" spans="1:18">
      <c r="A821" s="116" t="s">
        <v>626</v>
      </c>
      <c r="B821" s="125" t="s">
        <v>1794</v>
      </c>
      <c r="C821" s="125" t="s">
        <v>1795</v>
      </c>
      <c r="D821" s="116" t="s">
        <v>1796</v>
      </c>
      <c r="E821" s="125" t="s">
        <v>809</v>
      </c>
      <c r="F821" s="116" t="s">
        <v>26</v>
      </c>
      <c r="G821" s="125" t="s">
        <v>20</v>
      </c>
      <c r="H821" s="53"/>
      <c r="I821" s="125">
        <v>201602</v>
      </c>
      <c r="J821" s="126">
        <v>-670.99</v>
      </c>
      <c r="K821" s="72">
        <f t="shared" si="66"/>
        <v>42675</v>
      </c>
      <c r="L821" s="67">
        <f t="shared" si="67"/>
        <v>6</v>
      </c>
      <c r="M821" s="127">
        <v>1.4833299999999999E-3</v>
      </c>
      <c r="N821" s="104">
        <f t="shared" si="68"/>
        <v>-5.9717975802000005</v>
      </c>
      <c r="O821" s="66"/>
      <c r="P821" s="66">
        <f t="shared" si="69"/>
        <v>0</v>
      </c>
      <c r="Q821" s="66"/>
      <c r="R821" s="66">
        <f t="shared" si="70"/>
        <v>-11.100551022916667</v>
      </c>
    </row>
    <row r="822" spans="1:18">
      <c r="A822" s="116" t="s">
        <v>626</v>
      </c>
      <c r="B822" s="125" t="s">
        <v>1844</v>
      </c>
      <c r="C822" s="125" t="s">
        <v>1845</v>
      </c>
      <c r="D822" s="116" t="s">
        <v>1846</v>
      </c>
      <c r="E822" s="125" t="s">
        <v>160</v>
      </c>
      <c r="F822" s="116" t="s">
        <v>19</v>
      </c>
      <c r="G822" s="125" t="s">
        <v>20</v>
      </c>
      <c r="H822" s="53"/>
      <c r="I822" s="125">
        <v>201602</v>
      </c>
      <c r="J822" s="126">
        <v>239</v>
      </c>
      <c r="K822" s="72">
        <f t="shared" si="66"/>
        <v>42675</v>
      </c>
      <c r="L822" s="67">
        <f t="shared" si="67"/>
        <v>6</v>
      </c>
      <c r="M822" s="127">
        <v>1.4833299999999999E-3</v>
      </c>
      <c r="N822" s="104">
        <f t="shared" si="68"/>
        <v>2.1270952200000002</v>
      </c>
      <c r="O822" s="66"/>
      <c r="P822" s="66">
        <f t="shared" si="69"/>
        <v>0</v>
      </c>
      <c r="Q822" s="66"/>
      <c r="R822" s="66">
        <f t="shared" si="70"/>
        <v>3.9539064583333339</v>
      </c>
    </row>
    <row r="823" spans="1:18">
      <c r="A823" s="116" t="s">
        <v>990</v>
      </c>
      <c r="B823" s="125" t="s">
        <v>1685</v>
      </c>
      <c r="C823" s="125" t="s">
        <v>1686</v>
      </c>
      <c r="D823" s="116" t="s">
        <v>1687</v>
      </c>
      <c r="E823" s="125" t="s">
        <v>1688</v>
      </c>
      <c r="F823" s="116" t="s">
        <v>1689</v>
      </c>
      <c r="G823" s="125" t="s">
        <v>20</v>
      </c>
      <c r="H823" s="53"/>
      <c r="I823" s="125">
        <v>201602</v>
      </c>
      <c r="J823" s="126">
        <v>-308.60000000000002</v>
      </c>
      <c r="K823" s="72">
        <f t="shared" si="66"/>
        <v>42675</v>
      </c>
      <c r="L823" s="67">
        <f t="shared" si="67"/>
        <v>6</v>
      </c>
      <c r="M823" s="114">
        <v>2.0333333000000001E-3</v>
      </c>
      <c r="N823" s="104">
        <f t="shared" si="68"/>
        <v>-3.7649199382800003</v>
      </c>
      <c r="O823" s="66"/>
      <c r="P823" s="66">
        <f t="shared" si="69"/>
        <v>0</v>
      </c>
      <c r="Q823" s="66"/>
      <c r="R823" s="66">
        <f t="shared" si="70"/>
        <v>-5.1053369583333339</v>
      </c>
    </row>
    <row r="824" spans="1:18">
      <c r="A824" s="116" t="s">
        <v>21</v>
      </c>
      <c r="B824" s="125" t="s">
        <v>1727</v>
      </c>
      <c r="C824" s="125" t="s">
        <v>1728</v>
      </c>
      <c r="D824" s="116" t="s">
        <v>1729</v>
      </c>
      <c r="E824" s="125" t="s">
        <v>75</v>
      </c>
      <c r="F824" s="116" t="s">
        <v>1602</v>
      </c>
      <c r="G824" s="125" t="s">
        <v>20</v>
      </c>
      <c r="H824" s="53"/>
      <c r="I824" s="125">
        <v>201602</v>
      </c>
      <c r="J824" s="126">
        <v>8023.12</v>
      </c>
      <c r="K824" s="72">
        <f t="shared" si="66"/>
        <v>42675</v>
      </c>
      <c r="L824" s="67">
        <f t="shared" si="67"/>
        <v>6</v>
      </c>
      <c r="M824" s="127">
        <v>1.4833299999999999E-3</v>
      </c>
      <c r="N824" s="104">
        <f t="shared" si="68"/>
        <v>71.405607537600005</v>
      </c>
      <c r="O824" s="66"/>
      <c r="P824" s="66">
        <f t="shared" si="69"/>
        <v>0</v>
      </c>
      <c r="Q824" s="66"/>
      <c r="R824" s="66">
        <f t="shared" si="70"/>
        <v>132.73082001666668</v>
      </c>
    </row>
    <row r="825" spans="1:18">
      <c r="A825" s="116" t="s">
        <v>127</v>
      </c>
      <c r="B825" s="125" t="s">
        <v>1581</v>
      </c>
      <c r="C825" s="125" t="s">
        <v>1582</v>
      </c>
      <c r="D825" s="116" t="s">
        <v>1583</v>
      </c>
      <c r="E825" s="125" t="s">
        <v>216</v>
      </c>
      <c r="F825" s="116" t="s">
        <v>217</v>
      </c>
      <c r="G825" s="125" t="s">
        <v>20</v>
      </c>
      <c r="H825" s="53"/>
      <c r="I825" s="125">
        <v>201602</v>
      </c>
      <c r="J825" s="126">
        <v>3642.03</v>
      </c>
      <c r="K825" s="72">
        <f t="shared" si="66"/>
        <v>42675</v>
      </c>
      <c r="L825" s="67">
        <f t="shared" si="67"/>
        <v>6</v>
      </c>
      <c r="M825" s="114">
        <v>2.3833299999999999E-3</v>
      </c>
      <c r="N825" s="104">
        <f t="shared" si="68"/>
        <v>52.080956159400003</v>
      </c>
      <c r="O825" s="66"/>
      <c r="P825" s="66">
        <f t="shared" si="69"/>
        <v>0</v>
      </c>
      <c r="Q825" s="66"/>
      <c r="R825" s="66">
        <f t="shared" si="70"/>
        <v>60.25207505625</v>
      </c>
    </row>
    <row r="826" spans="1:18">
      <c r="A826" s="116" t="s">
        <v>127</v>
      </c>
      <c r="B826" s="125" t="s">
        <v>1581</v>
      </c>
      <c r="C826" s="125" t="s">
        <v>1584</v>
      </c>
      <c r="D826" s="116" t="s">
        <v>1583</v>
      </c>
      <c r="E826" s="125" t="s">
        <v>216</v>
      </c>
      <c r="F826" s="116" t="s">
        <v>217</v>
      </c>
      <c r="G826" s="125" t="s">
        <v>20</v>
      </c>
      <c r="H826" s="53"/>
      <c r="I826" s="125">
        <v>201602</v>
      </c>
      <c r="J826" s="126">
        <v>-3642.03</v>
      </c>
      <c r="K826" s="72">
        <f t="shared" si="66"/>
        <v>42675</v>
      </c>
      <c r="L826" s="67">
        <f t="shared" si="67"/>
        <v>6</v>
      </c>
      <c r="M826" s="114">
        <v>2.3833299999999999E-3</v>
      </c>
      <c r="N826" s="104">
        <f t="shared" si="68"/>
        <v>-52.080956159400003</v>
      </c>
      <c r="O826" s="66"/>
      <c r="P826" s="66">
        <f t="shared" si="69"/>
        <v>0</v>
      </c>
      <c r="Q826" s="66"/>
      <c r="R826" s="66">
        <f t="shared" si="70"/>
        <v>-60.25207505625</v>
      </c>
    </row>
    <row r="827" spans="1:18">
      <c r="A827" s="116" t="s">
        <v>990</v>
      </c>
      <c r="B827" s="125" t="s">
        <v>1730</v>
      </c>
      <c r="C827" s="125" t="s">
        <v>1731</v>
      </c>
      <c r="D827" s="116" t="s">
        <v>1732</v>
      </c>
      <c r="E827" s="125" t="s">
        <v>1688</v>
      </c>
      <c r="F827" s="116" t="s">
        <v>1689</v>
      </c>
      <c r="G827" s="125" t="s">
        <v>20</v>
      </c>
      <c r="H827" s="53"/>
      <c r="I827" s="125">
        <v>201602</v>
      </c>
      <c r="J827" s="126">
        <v>1.45</v>
      </c>
      <c r="K827" s="72">
        <f t="shared" si="66"/>
        <v>42675</v>
      </c>
      <c r="L827" s="67">
        <f t="shared" si="67"/>
        <v>6</v>
      </c>
      <c r="M827" s="114">
        <v>2.0333333000000001E-3</v>
      </c>
      <c r="N827" s="104">
        <f t="shared" si="68"/>
        <v>1.7689999709999998E-2</v>
      </c>
      <c r="O827" s="66"/>
      <c r="P827" s="66">
        <f t="shared" si="69"/>
        <v>0</v>
      </c>
      <c r="Q827" s="66"/>
      <c r="R827" s="66">
        <f t="shared" si="70"/>
        <v>2.3988135416666667E-2</v>
      </c>
    </row>
    <row r="828" spans="1:18">
      <c r="A828" s="116" t="s">
        <v>990</v>
      </c>
      <c r="B828" s="125" t="s">
        <v>1733</v>
      </c>
      <c r="C828" s="125" t="s">
        <v>1734</v>
      </c>
      <c r="D828" s="116" t="s">
        <v>1735</v>
      </c>
      <c r="E828" s="125" t="s">
        <v>1688</v>
      </c>
      <c r="F828" s="116" t="s">
        <v>1689</v>
      </c>
      <c r="G828" s="125" t="s">
        <v>20</v>
      </c>
      <c r="H828" s="53"/>
      <c r="I828" s="125">
        <v>201602</v>
      </c>
      <c r="J828" s="126">
        <v>-2.21</v>
      </c>
      <c r="K828" s="72">
        <f t="shared" si="66"/>
        <v>42675</v>
      </c>
      <c r="L828" s="67">
        <f t="shared" si="67"/>
        <v>6</v>
      </c>
      <c r="M828" s="114">
        <v>2.0333333000000001E-3</v>
      </c>
      <c r="N828" s="104">
        <f t="shared" si="68"/>
        <v>-2.6961999558000001E-2</v>
      </c>
      <c r="O828" s="66"/>
      <c r="P828" s="66">
        <f t="shared" si="69"/>
        <v>0</v>
      </c>
      <c r="Q828" s="66"/>
      <c r="R828" s="66">
        <f t="shared" si="70"/>
        <v>-3.6561227083333335E-2</v>
      </c>
    </row>
    <row r="829" spans="1:18">
      <c r="A829" s="116" t="s">
        <v>626</v>
      </c>
      <c r="B829" s="125" t="s">
        <v>1881</v>
      </c>
      <c r="C829" s="125" t="s">
        <v>1882</v>
      </c>
      <c r="D829" s="116" t="s">
        <v>1883</v>
      </c>
      <c r="E829" s="125" t="s">
        <v>75</v>
      </c>
      <c r="F829" s="116" t="s">
        <v>1602</v>
      </c>
      <c r="G829" s="125" t="s">
        <v>20</v>
      </c>
      <c r="H829" s="53"/>
      <c r="I829" s="125">
        <v>201602</v>
      </c>
      <c r="J829" s="126">
        <v>-350.11</v>
      </c>
      <c r="K829" s="72">
        <f t="shared" si="66"/>
        <v>42675</v>
      </c>
      <c r="L829" s="67">
        <f t="shared" si="67"/>
        <v>6</v>
      </c>
      <c r="M829" s="127">
        <v>1.4833299999999999E-3</v>
      </c>
      <c r="N829" s="104">
        <f t="shared" si="68"/>
        <v>-3.1159719978</v>
      </c>
      <c r="O829" s="66"/>
      <c r="P829" s="66">
        <f t="shared" si="69"/>
        <v>0</v>
      </c>
      <c r="Q829" s="66"/>
      <c r="R829" s="66">
        <f t="shared" si="70"/>
        <v>-5.7920593729166665</v>
      </c>
    </row>
    <row r="830" spans="1:18">
      <c r="A830" s="116" t="s">
        <v>626</v>
      </c>
      <c r="B830" s="125" t="s">
        <v>1496</v>
      </c>
      <c r="C830" s="125" t="s">
        <v>1497</v>
      </c>
      <c r="D830" s="116" t="s">
        <v>1498</v>
      </c>
      <c r="E830" s="125" t="s">
        <v>164</v>
      </c>
      <c r="F830" s="116" t="s">
        <v>1600</v>
      </c>
      <c r="G830" s="125" t="s">
        <v>20</v>
      </c>
      <c r="H830" s="53"/>
      <c r="I830" s="125">
        <v>201602</v>
      </c>
      <c r="J830" s="126">
        <v>27.07</v>
      </c>
      <c r="K830" s="72">
        <f t="shared" si="66"/>
        <v>42675</v>
      </c>
      <c r="L830" s="67">
        <f t="shared" si="67"/>
        <v>6</v>
      </c>
      <c r="M830" s="127">
        <v>1.4833299999999999E-3</v>
      </c>
      <c r="N830" s="104">
        <f t="shared" si="68"/>
        <v>0.2409224586</v>
      </c>
      <c r="O830" s="66"/>
      <c r="P830" s="66">
        <f t="shared" si="69"/>
        <v>0</v>
      </c>
      <c r="Q830" s="66"/>
      <c r="R830" s="66">
        <f t="shared" si="70"/>
        <v>0.4478336729166667</v>
      </c>
    </row>
    <row r="831" spans="1:18">
      <c r="A831" s="116" t="s">
        <v>626</v>
      </c>
      <c r="B831" s="125" t="s">
        <v>1884</v>
      </c>
      <c r="C831" s="125" t="s">
        <v>1885</v>
      </c>
      <c r="D831" s="116" t="s">
        <v>1886</v>
      </c>
      <c r="E831" s="125" t="s">
        <v>75</v>
      </c>
      <c r="F831" s="116" t="s">
        <v>1602</v>
      </c>
      <c r="G831" s="125" t="s">
        <v>20</v>
      </c>
      <c r="H831" s="53"/>
      <c r="I831" s="125">
        <v>201602</v>
      </c>
      <c r="J831" s="126">
        <v>375.47</v>
      </c>
      <c r="K831" s="72">
        <f t="shared" si="66"/>
        <v>42675</v>
      </c>
      <c r="L831" s="67">
        <f t="shared" si="67"/>
        <v>6</v>
      </c>
      <c r="M831" s="127">
        <v>1.4833299999999999E-3</v>
      </c>
      <c r="N831" s="104">
        <f t="shared" si="68"/>
        <v>3.3416754906000001</v>
      </c>
      <c r="O831" s="66"/>
      <c r="P831" s="66">
        <f t="shared" si="69"/>
        <v>0</v>
      </c>
      <c r="Q831" s="66"/>
      <c r="R831" s="66">
        <f t="shared" si="70"/>
        <v>6.2116035895833335</v>
      </c>
    </row>
    <row r="832" spans="1:18">
      <c r="A832" s="116" t="s">
        <v>626</v>
      </c>
      <c r="B832" s="125" t="s">
        <v>1736</v>
      </c>
      <c r="C832" s="125" t="s">
        <v>1737</v>
      </c>
      <c r="D832" s="116" t="s">
        <v>1738</v>
      </c>
      <c r="E832" s="125" t="s">
        <v>164</v>
      </c>
      <c r="F832" s="116" t="s">
        <v>1600</v>
      </c>
      <c r="G832" s="125" t="s">
        <v>20</v>
      </c>
      <c r="H832" s="53"/>
      <c r="I832" s="125">
        <v>201602</v>
      </c>
      <c r="J832" s="126">
        <v>73951.679999999993</v>
      </c>
      <c r="K832" s="72">
        <f t="shared" si="66"/>
        <v>42675</v>
      </c>
      <c r="L832" s="67">
        <f t="shared" si="67"/>
        <v>6</v>
      </c>
      <c r="M832" s="127">
        <v>1.4833299999999999E-3</v>
      </c>
      <c r="N832" s="104">
        <f t="shared" si="68"/>
        <v>658.16847296639992</v>
      </c>
      <c r="O832" s="66"/>
      <c r="P832" s="66">
        <f t="shared" si="69"/>
        <v>0</v>
      </c>
      <c r="Q832" s="66"/>
      <c r="R832" s="66">
        <f t="shared" si="70"/>
        <v>1223.4226993999998</v>
      </c>
    </row>
    <row r="833" spans="1:18">
      <c r="A833" s="116" t="s">
        <v>626</v>
      </c>
      <c r="B833" s="125" t="s">
        <v>1847</v>
      </c>
      <c r="C833" s="125" t="s">
        <v>1848</v>
      </c>
      <c r="D833" s="116" t="s">
        <v>1849</v>
      </c>
      <c r="E833" s="125" t="s">
        <v>63</v>
      </c>
      <c r="F833" s="116" t="s">
        <v>19</v>
      </c>
      <c r="G833" s="125" t="s">
        <v>20</v>
      </c>
      <c r="H833" s="53"/>
      <c r="I833" s="125">
        <v>201602</v>
      </c>
      <c r="J833" s="126">
        <v>2.31</v>
      </c>
      <c r="K833" s="72">
        <f t="shared" si="66"/>
        <v>42675</v>
      </c>
      <c r="L833" s="67">
        <f t="shared" si="67"/>
        <v>6</v>
      </c>
      <c r="M833" s="127">
        <v>1.4833299999999999E-3</v>
      </c>
      <c r="N833" s="104">
        <f t="shared" si="68"/>
        <v>2.0558953800000002E-2</v>
      </c>
      <c r="O833" s="66"/>
      <c r="P833" s="66">
        <f t="shared" si="69"/>
        <v>0</v>
      </c>
      <c r="Q833" s="66"/>
      <c r="R833" s="66">
        <f t="shared" si="70"/>
        <v>3.8215581250000005E-2</v>
      </c>
    </row>
    <row r="834" spans="1:18">
      <c r="A834" s="116" t="s">
        <v>626</v>
      </c>
      <c r="B834" s="125" t="s">
        <v>1594</v>
      </c>
      <c r="C834" s="125" t="s">
        <v>1595</v>
      </c>
      <c r="D834" s="116" t="s">
        <v>1596</v>
      </c>
      <c r="E834" s="125" t="s">
        <v>87</v>
      </c>
      <c r="F834" s="116" t="s">
        <v>1603</v>
      </c>
      <c r="G834" s="125" t="s">
        <v>20</v>
      </c>
      <c r="H834" s="53"/>
      <c r="I834" s="125">
        <v>201602</v>
      </c>
      <c r="J834" s="126">
        <v>-6.16</v>
      </c>
      <c r="K834" s="72">
        <f t="shared" si="66"/>
        <v>42675</v>
      </c>
      <c r="L834" s="67">
        <f t="shared" si="67"/>
        <v>6</v>
      </c>
      <c r="M834" s="127">
        <v>1.4833299999999999E-3</v>
      </c>
      <c r="N834" s="104">
        <f t="shared" si="68"/>
        <v>-5.4823876800000004E-2</v>
      </c>
      <c r="O834" s="66"/>
      <c r="P834" s="66">
        <f t="shared" si="69"/>
        <v>0</v>
      </c>
      <c r="Q834" s="66"/>
      <c r="R834" s="66">
        <f t="shared" si="70"/>
        <v>-0.10190821666666668</v>
      </c>
    </row>
    <row r="835" spans="1:18">
      <c r="A835" s="116" t="s">
        <v>626</v>
      </c>
      <c r="B835" s="125" t="s">
        <v>1887</v>
      </c>
      <c r="C835" s="125" t="s">
        <v>1888</v>
      </c>
      <c r="D835" s="116" t="s">
        <v>1889</v>
      </c>
      <c r="E835" s="125" t="s">
        <v>79</v>
      </c>
      <c r="F835" s="116" t="s">
        <v>26</v>
      </c>
      <c r="G835" s="125" t="s">
        <v>20</v>
      </c>
      <c r="H835" s="53"/>
      <c r="I835" s="125">
        <v>201602</v>
      </c>
      <c r="J835" s="126">
        <v>396.54</v>
      </c>
      <c r="K835" s="72">
        <f t="shared" si="66"/>
        <v>42675</v>
      </c>
      <c r="L835" s="67">
        <f t="shared" si="67"/>
        <v>6</v>
      </c>
      <c r="M835" s="127">
        <v>1.4833299999999999E-3</v>
      </c>
      <c r="N835" s="104">
        <f t="shared" si="68"/>
        <v>3.5291980692</v>
      </c>
      <c r="O835" s="66"/>
      <c r="P835" s="66">
        <f t="shared" si="69"/>
        <v>0</v>
      </c>
      <c r="Q835" s="66"/>
      <c r="R835" s="66">
        <f t="shared" si="70"/>
        <v>6.5601760125000004</v>
      </c>
    </row>
    <row r="836" spans="1:18">
      <c r="A836" s="116" t="s">
        <v>626</v>
      </c>
      <c r="B836" s="125" t="s">
        <v>1739</v>
      </c>
      <c r="C836" s="125" t="s">
        <v>1740</v>
      </c>
      <c r="D836" s="116" t="s">
        <v>1741</v>
      </c>
      <c r="E836" s="125" t="s">
        <v>164</v>
      </c>
      <c r="F836" s="116" t="s">
        <v>1600</v>
      </c>
      <c r="G836" s="125" t="s">
        <v>20</v>
      </c>
      <c r="H836" s="53"/>
      <c r="I836" s="125">
        <v>201602</v>
      </c>
      <c r="J836" s="126">
        <v>54979.67</v>
      </c>
      <c r="K836" s="72">
        <f t="shared" si="66"/>
        <v>42675</v>
      </c>
      <c r="L836" s="67">
        <f t="shared" si="67"/>
        <v>6</v>
      </c>
      <c r="M836" s="127">
        <v>1.4833299999999999E-3</v>
      </c>
      <c r="N836" s="104">
        <f t="shared" si="68"/>
        <v>489.31796340659997</v>
      </c>
      <c r="O836" s="66"/>
      <c r="P836" s="66">
        <f t="shared" si="69"/>
        <v>0</v>
      </c>
      <c r="Q836" s="66"/>
      <c r="R836" s="66">
        <f t="shared" si="70"/>
        <v>909.55846146458339</v>
      </c>
    </row>
    <row r="837" spans="1:18">
      <c r="A837" s="116" t="s">
        <v>626</v>
      </c>
      <c r="B837" s="125" t="s">
        <v>1632</v>
      </c>
      <c r="C837" s="125" t="s">
        <v>1633</v>
      </c>
      <c r="D837" s="116" t="s">
        <v>1634</v>
      </c>
      <c r="E837" s="125" t="s">
        <v>471</v>
      </c>
      <c r="F837" s="116" t="s">
        <v>165</v>
      </c>
      <c r="G837" s="125" t="s">
        <v>20</v>
      </c>
      <c r="H837" s="53"/>
      <c r="I837" s="125">
        <v>201602</v>
      </c>
      <c r="J837" s="126">
        <v>-31.55</v>
      </c>
      <c r="K837" s="72">
        <f t="shared" si="66"/>
        <v>42675</v>
      </c>
      <c r="L837" s="67">
        <f t="shared" si="67"/>
        <v>6</v>
      </c>
      <c r="M837" s="127">
        <v>1.4833299999999999E-3</v>
      </c>
      <c r="N837" s="104">
        <f t="shared" si="68"/>
        <v>-0.28079436899999999</v>
      </c>
      <c r="O837" s="66"/>
      <c r="P837" s="66">
        <f t="shared" si="69"/>
        <v>0</v>
      </c>
      <c r="Q837" s="66"/>
      <c r="R837" s="66">
        <f t="shared" si="70"/>
        <v>-0.52194873958333332</v>
      </c>
    </row>
    <row r="838" spans="1:18">
      <c r="A838" s="116" t="s">
        <v>21</v>
      </c>
      <c r="B838" s="125" t="s">
        <v>1635</v>
      </c>
      <c r="C838" s="125" t="s">
        <v>1636</v>
      </c>
      <c r="D838" s="116" t="s">
        <v>1637</v>
      </c>
      <c r="E838" s="125" t="s">
        <v>360</v>
      </c>
      <c r="F838" s="116" t="s">
        <v>19</v>
      </c>
      <c r="G838" s="125" t="s">
        <v>20</v>
      </c>
      <c r="H838" s="53"/>
      <c r="I838" s="125">
        <v>201602</v>
      </c>
      <c r="J838" s="126">
        <v>-13.38</v>
      </c>
      <c r="K838" s="72">
        <f t="shared" si="66"/>
        <v>42675</v>
      </c>
      <c r="L838" s="67">
        <f t="shared" si="67"/>
        <v>6</v>
      </c>
      <c r="M838" s="127">
        <v>1.4833299999999999E-3</v>
      </c>
      <c r="N838" s="104">
        <f t="shared" si="68"/>
        <v>-0.1190817324</v>
      </c>
      <c r="O838" s="66"/>
      <c r="P838" s="66">
        <f t="shared" si="69"/>
        <v>0</v>
      </c>
      <c r="Q838" s="66"/>
      <c r="R838" s="66">
        <f t="shared" si="70"/>
        <v>-0.22135258750000003</v>
      </c>
    </row>
    <row r="839" spans="1:18">
      <c r="A839" s="116" t="s">
        <v>626</v>
      </c>
      <c r="B839" s="125" t="s">
        <v>1797</v>
      </c>
      <c r="C839" s="125" t="s">
        <v>1798</v>
      </c>
      <c r="D839" s="116" t="s">
        <v>1799</v>
      </c>
      <c r="E839" s="125" t="s">
        <v>164</v>
      </c>
      <c r="F839" s="116" t="s">
        <v>1600</v>
      </c>
      <c r="G839" s="125" t="s">
        <v>20</v>
      </c>
      <c r="H839" s="53"/>
      <c r="I839" s="125">
        <v>201602</v>
      </c>
      <c r="J839" s="126">
        <v>59313.24</v>
      </c>
      <c r="K839" s="72">
        <f t="shared" ref="K839:K902" si="71">+K838</f>
        <v>42675</v>
      </c>
      <c r="L839" s="67">
        <f t="shared" si="67"/>
        <v>6</v>
      </c>
      <c r="M839" s="127">
        <v>1.4833299999999999E-3</v>
      </c>
      <c r="N839" s="104">
        <f t="shared" si="68"/>
        <v>527.88664973519997</v>
      </c>
      <c r="O839" s="66"/>
      <c r="P839" s="66">
        <f t="shared" si="69"/>
        <v>0</v>
      </c>
      <c r="Q839" s="66"/>
      <c r="R839" s="66">
        <f t="shared" si="70"/>
        <v>981.25105732499992</v>
      </c>
    </row>
    <row r="840" spans="1:18">
      <c r="A840" s="116" t="s">
        <v>626</v>
      </c>
      <c r="B840" s="125" t="s">
        <v>1890</v>
      </c>
      <c r="C840" s="125" t="s">
        <v>1891</v>
      </c>
      <c r="D840" s="116" t="s">
        <v>1495</v>
      </c>
      <c r="E840" s="125" t="s">
        <v>75</v>
      </c>
      <c r="F840" s="116" t="s">
        <v>1602</v>
      </c>
      <c r="G840" s="125" t="s">
        <v>20</v>
      </c>
      <c r="H840" s="53"/>
      <c r="I840" s="125">
        <v>201602</v>
      </c>
      <c r="J840" s="126">
        <v>897.05</v>
      </c>
      <c r="K840" s="72">
        <f t="shared" si="71"/>
        <v>42675</v>
      </c>
      <c r="L840" s="67">
        <f t="shared" si="67"/>
        <v>6</v>
      </c>
      <c r="M840" s="127">
        <v>1.4833299999999999E-3</v>
      </c>
      <c r="N840" s="104">
        <f t="shared" si="68"/>
        <v>7.9837270589999996</v>
      </c>
      <c r="O840" s="66"/>
      <c r="P840" s="66">
        <f t="shared" si="69"/>
        <v>0</v>
      </c>
      <c r="Q840" s="66"/>
      <c r="R840" s="66">
        <f t="shared" si="70"/>
        <v>14.840384052083332</v>
      </c>
    </row>
    <row r="841" spans="1:18">
      <c r="A841" s="116" t="s">
        <v>21</v>
      </c>
      <c r="B841" s="125" t="s">
        <v>1956</v>
      </c>
      <c r="C841" s="125" t="s">
        <v>1957</v>
      </c>
      <c r="D841" s="116" t="s">
        <v>1958</v>
      </c>
      <c r="E841" s="125" t="s">
        <v>75</v>
      </c>
      <c r="F841" s="116" t="s">
        <v>1602</v>
      </c>
      <c r="G841" s="125" t="s">
        <v>20</v>
      </c>
      <c r="H841" s="53"/>
      <c r="I841" s="125">
        <v>201602</v>
      </c>
      <c r="J841" s="126">
        <v>423349.02</v>
      </c>
      <c r="K841" s="72">
        <f t="shared" si="71"/>
        <v>42675</v>
      </c>
      <c r="L841" s="67">
        <f t="shared" si="67"/>
        <v>6</v>
      </c>
      <c r="M841" s="127">
        <v>1.4833299999999999E-3</v>
      </c>
      <c r="N841" s="104">
        <f t="shared" si="68"/>
        <v>3767.7978110196</v>
      </c>
      <c r="O841" s="66"/>
      <c r="P841" s="66">
        <f t="shared" si="69"/>
        <v>0</v>
      </c>
      <c r="Q841" s="66"/>
      <c r="R841" s="66">
        <f t="shared" si="70"/>
        <v>7003.6921519124999</v>
      </c>
    </row>
    <row r="842" spans="1:18">
      <c r="A842" s="116" t="s">
        <v>626</v>
      </c>
      <c r="B842" s="125" t="s">
        <v>1892</v>
      </c>
      <c r="C842" s="125" t="s">
        <v>1893</v>
      </c>
      <c r="D842" s="116" t="s">
        <v>1894</v>
      </c>
      <c r="E842" s="125" t="s">
        <v>75</v>
      </c>
      <c r="F842" s="116" t="s">
        <v>1602</v>
      </c>
      <c r="G842" s="125" t="s">
        <v>20</v>
      </c>
      <c r="H842" s="53"/>
      <c r="I842" s="125">
        <v>201602</v>
      </c>
      <c r="J842" s="126">
        <v>3702.55</v>
      </c>
      <c r="K842" s="72">
        <f t="shared" si="71"/>
        <v>42675</v>
      </c>
      <c r="L842" s="67">
        <f t="shared" si="67"/>
        <v>6</v>
      </c>
      <c r="M842" s="127">
        <v>1.4833299999999999E-3</v>
      </c>
      <c r="N842" s="104">
        <f t="shared" si="68"/>
        <v>32.952620949</v>
      </c>
      <c r="O842" s="66"/>
      <c r="P842" s="66">
        <f t="shared" si="69"/>
        <v>0</v>
      </c>
      <c r="Q842" s="66"/>
      <c r="R842" s="66">
        <f t="shared" si="70"/>
        <v>61.253290197916677</v>
      </c>
    </row>
    <row r="843" spans="1:18">
      <c r="A843" s="116" t="s">
        <v>626</v>
      </c>
      <c r="B843" s="125" t="s">
        <v>1959</v>
      </c>
      <c r="C843" s="125" t="s">
        <v>1960</v>
      </c>
      <c r="D843" s="116" t="s">
        <v>1495</v>
      </c>
      <c r="E843" s="125" t="s">
        <v>75</v>
      </c>
      <c r="F843" s="116" t="s">
        <v>1602</v>
      </c>
      <c r="G843" s="125" t="s">
        <v>20</v>
      </c>
      <c r="H843" s="53"/>
      <c r="I843" s="125">
        <v>201602</v>
      </c>
      <c r="J843" s="126">
        <v>43329.760000000002</v>
      </c>
      <c r="K843" s="72">
        <f t="shared" si="71"/>
        <v>42675</v>
      </c>
      <c r="L843" s="67">
        <f t="shared" si="67"/>
        <v>6</v>
      </c>
      <c r="M843" s="127">
        <v>1.4833299999999999E-3</v>
      </c>
      <c r="N843" s="104">
        <f t="shared" si="68"/>
        <v>385.63399740480003</v>
      </c>
      <c r="O843" s="66"/>
      <c r="P843" s="66">
        <f t="shared" si="69"/>
        <v>0</v>
      </c>
      <c r="Q843" s="66"/>
      <c r="R843" s="66">
        <f t="shared" si="70"/>
        <v>716.82768996666675</v>
      </c>
    </row>
    <row r="844" spans="1:18">
      <c r="A844" s="116" t="s">
        <v>626</v>
      </c>
      <c r="B844" s="125" t="s">
        <v>1898</v>
      </c>
      <c r="C844" s="125" t="s">
        <v>1899</v>
      </c>
      <c r="D844" s="116" t="s">
        <v>1900</v>
      </c>
      <c r="E844" s="125" t="s">
        <v>75</v>
      </c>
      <c r="F844" s="116" t="s">
        <v>1602</v>
      </c>
      <c r="G844" s="125" t="s">
        <v>20</v>
      </c>
      <c r="H844" s="53"/>
      <c r="I844" s="125">
        <v>201602</v>
      </c>
      <c r="J844" s="126">
        <v>-133.87</v>
      </c>
      <c r="K844" s="72">
        <f t="shared" si="71"/>
        <v>42675</v>
      </c>
      <c r="L844" s="67">
        <f t="shared" si="67"/>
        <v>6</v>
      </c>
      <c r="M844" s="127">
        <v>1.4833299999999999E-3</v>
      </c>
      <c r="N844" s="104">
        <f t="shared" si="68"/>
        <v>-1.1914403226000001</v>
      </c>
      <c r="O844" s="66"/>
      <c r="P844" s="66">
        <f t="shared" si="69"/>
        <v>0</v>
      </c>
      <c r="Q844" s="66"/>
      <c r="R844" s="66">
        <f t="shared" si="70"/>
        <v>-2.2146839229166666</v>
      </c>
    </row>
    <row r="845" spans="1:18">
      <c r="A845" s="116" t="s">
        <v>626</v>
      </c>
      <c r="B845" s="125" t="s">
        <v>1901</v>
      </c>
      <c r="C845" s="125" t="s">
        <v>1902</v>
      </c>
      <c r="D845" s="116" t="s">
        <v>1903</v>
      </c>
      <c r="E845" s="125" t="s">
        <v>75</v>
      </c>
      <c r="F845" s="116" t="s">
        <v>1602</v>
      </c>
      <c r="G845" s="125" t="s">
        <v>20</v>
      </c>
      <c r="H845" s="53"/>
      <c r="I845" s="125">
        <v>201602</v>
      </c>
      <c r="J845" s="126">
        <v>39590.699999999997</v>
      </c>
      <c r="K845" s="72">
        <f t="shared" si="71"/>
        <v>42675</v>
      </c>
      <c r="L845" s="67">
        <f t="shared" si="67"/>
        <v>6</v>
      </c>
      <c r="M845" s="127">
        <v>1.4833299999999999E-3</v>
      </c>
      <c r="N845" s="104">
        <f t="shared" si="68"/>
        <v>352.35643818599999</v>
      </c>
      <c r="O845" s="66"/>
      <c r="P845" s="66">
        <f t="shared" si="69"/>
        <v>0</v>
      </c>
      <c r="Q845" s="66"/>
      <c r="R845" s="66">
        <f t="shared" si="70"/>
        <v>654.97039506249996</v>
      </c>
    </row>
    <row r="846" spans="1:18">
      <c r="A846" s="116" t="s">
        <v>626</v>
      </c>
      <c r="B846" s="125" t="s">
        <v>1693</v>
      </c>
      <c r="C846" s="125" t="s">
        <v>1694</v>
      </c>
      <c r="D846" s="116" t="s">
        <v>1695</v>
      </c>
      <c r="E846" s="125" t="s">
        <v>809</v>
      </c>
      <c r="F846" s="116" t="s">
        <v>26</v>
      </c>
      <c r="G846" s="125" t="s">
        <v>20</v>
      </c>
      <c r="H846" s="53"/>
      <c r="I846" s="125">
        <v>201602</v>
      </c>
      <c r="J846" s="126">
        <v>7560.48</v>
      </c>
      <c r="K846" s="72">
        <f t="shared" si="71"/>
        <v>42675</v>
      </c>
      <c r="L846" s="67">
        <f t="shared" si="67"/>
        <v>6</v>
      </c>
      <c r="M846" s="127">
        <v>1.4833299999999999E-3</v>
      </c>
      <c r="N846" s="104">
        <f t="shared" si="68"/>
        <v>67.288120790400001</v>
      </c>
      <c r="O846" s="66"/>
      <c r="P846" s="66">
        <f t="shared" si="69"/>
        <v>0</v>
      </c>
      <c r="Q846" s="66"/>
      <c r="R846" s="66">
        <f t="shared" si="70"/>
        <v>125.07711589999998</v>
      </c>
    </row>
    <row r="847" spans="1:18">
      <c r="A847" s="116" t="s">
        <v>626</v>
      </c>
      <c r="B847" s="125" t="s">
        <v>1638</v>
      </c>
      <c r="C847" s="125" t="s">
        <v>1639</v>
      </c>
      <c r="D847" s="116" t="s">
        <v>1640</v>
      </c>
      <c r="E847" s="125" t="s">
        <v>164</v>
      </c>
      <c r="F847" s="116" t="s">
        <v>1600</v>
      </c>
      <c r="G847" s="125" t="s">
        <v>20</v>
      </c>
      <c r="H847" s="53"/>
      <c r="I847" s="125">
        <v>201602</v>
      </c>
      <c r="J847" s="126">
        <v>-11.14</v>
      </c>
      <c r="K847" s="72">
        <f t="shared" si="71"/>
        <v>42675</v>
      </c>
      <c r="L847" s="67">
        <f t="shared" si="67"/>
        <v>6</v>
      </c>
      <c r="M847" s="127">
        <v>1.4833299999999999E-3</v>
      </c>
      <c r="N847" s="104">
        <f t="shared" si="68"/>
        <v>-9.9145777200000007E-2</v>
      </c>
      <c r="O847" s="66"/>
      <c r="P847" s="66">
        <f t="shared" si="69"/>
        <v>0</v>
      </c>
      <c r="Q847" s="66"/>
      <c r="R847" s="66">
        <f t="shared" si="70"/>
        <v>-0.18429505416666667</v>
      </c>
    </row>
    <row r="848" spans="1:18">
      <c r="A848" s="116" t="s">
        <v>626</v>
      </c>
      <c r="B848" s="125" t="s">
        <v>1904</v>
      </c>
      <c r="C848" s="125" t="s">
        <v>1905</v>
      </c>
      <c r="D848" s="116" t="s">
        <v>1906</v>
      </c>
      <c r="E848" s="125" t="s">
        <v>75</v>
      </c>
      <c r="F848" s="116" t="s">
        <v>1602</v>
      </c>
      <c r="G848" s="125" t="s">
        <v>20</v>
      </c>
      <c r="H848" s="53"/>
      <c r="I848" s="125">
        <v>201602</v>
      </c>
      <c r="J848" s="126">
        <v>-1103.6400000000001</v>
      </c>
      <c r="K848" s="72">
        <f t="shared" si="71"/>
        <v>42675</v>
      </c>
      <c r="L848" s="67">
        <f t="shared" si="67"/>
        <v>6</v>
      </c>
      <c r="M848" s="127">
        <v>1.4833299999999999E-3</v>
      </c>
      <c r="N848" s="104">
        <f t="shared" si="68"/>
        <v>-9.822373927200001</v>
      </c>
      <c r="O848" s="66"/>
      <c r="P848" s="66">
        <f t="shared" si="69"/>
        <v>0</v>
      </c>
      <c r="Q848" s="66"/>
      <c r="R848" s="66">
        <f t="shared" si="70"/>
        <v>-18.258114325000001</v>
      </c>
    </row>
    <row r="849" spans="1:18">
      <c r="A849" s="116" t="s">
        <v>626</v>
      </c>
      <c r="B849" s="125" t="s">
        <v>1742</v>
      </c>
      <c r="C849" s="125" t="s">
        <v>1743</v>
      </c>
      <c r="D849" s="116" t="s">
        <v>1744</v>
      </c>
      <c r="E849" s="125" t="s">
        <v>497</v>
      </c>
      <c r="F849" s="116" t="s">
        <v>26</v>
      </c>
      <c r="G849" s="125" t="s">
        <v>20</v>
      </c>
      <c r="H849" s="53"/>
      <c r="I849" s="125">
        <v>201602</v>
      </c>
      <c r="J849" s="126">
        <v>17.3</v>
      </c>
      <c r="K849" s="72">
        <f t="shared" si="71"/>
        <v>42675</v>
      </c>
      <c r="L849" s="67">
        <f t="shared" si="67"/>
        <v>6</v>
      </c>
      <c r="M849" s="127">
        <v>1.4833299999999999E-3</v>
      </c>
      <c r="N849" s="104">
        <f t="shared" si="68"/>
        <v>0.15396965400000001</v>
      </c>
      <c r="O849" s="66"/>
      <c r="P849" s="66">
        <f t="shared" si="69"/>
        <v>0</v>
      </c>
      <c r="Q849" s="66"/>
      <c r="R849" s="66">
        <f t="shared" si="70"/>
        <v>0.28620327083333336</v>
      </c>
    </row>
    <row r="850" spans="1:18">
      <c r="A850" s="116" t="s">
        <v>626</v>
      </c>
      <c r="B850" s="125" t="s">
        <v>1745</v>
      </c>
      <c r="C850" s="125" t="s">
        <v>1746</v>
      </c>
      <c r="D850" s="116" t="s">
        <v>1747</v>
      </c>
      <c r="E850" s="125" t="s">
        <v>497</v>
      </c>
      <c r="F850" s="116" t="s">
        <v>26</v>
      </c>
      <c r="G850" s="125" t="s">
        <v>20</v>
      </c>
      <c r="H850" s="53"/>
      <c r="I850" s="125">
        <v>201602</v>
      </c>
      <c r="J850" s="126">
        <v>1962.66</v>
      </c>
      <c r="K850" s="72">
        <f t="shared" si="71"/>
        <v>42675</v>
      </c>
      <c r="L850" s="67">
        <f t="shared" si="67"/>
        <v>6</v>
      </c>
      <c r="M850" s="127">
        <v>1.4833299999999999E-3</v>
      </c>
      <c r="N850" s="104">
        <f t="shared" si="68"/>
        <v>17.467634746800002</v>
      </c>
      <c r="O850" s="66"/>
      <c r="P850" s="66">
        <f t="shared" si="69"/>
        <v>0</v>
      </c>
      <c r="Q850" s="66"/>
      <c r="R850" s="66">
        <f t="shared" si="70"/>
        <v>32.469347487500002</v>
      </c>
    </row>
    <row r="851" spans="1:18">
      <c r="A851" s="116" t="s">
        <v>21</v>
      </c>
      <c r="B851" s="125" t="s">
        <v>1641</v>
      </c>
      <c r="C851" s="125" t="s">
        <v>1642</v>
      </c>
      <c r="D851" s="116" t="s">
        <v>1388</v>
      </c>
      <c r="E851" s="125" t="s">
        <v>164</v>
      </c>
      <c r="F851" s="116" t="s">
        <v>1600</v>
      </c>
      <c r="G851" s="125" t="s">
        <v>20</v>
      </c>
      <c r="H851" s="53"/>
      <c r="I851" s="125">
        <v>201602</v>
      </c>
      <c r="J851" s="126">
        <v>43448.22</v>
      </c>
      <c r="K851" s="72">
        <f t="shared" si="71"/>
        <v>42675</v>
      </c>
      <c r="L851" s="67">
        <f t="shared" si="67"/>
        <v>6</v>
      </c>
      <c r="M851" s="127">
        <v>1.4833299999999999E-3</v>
      </c>
      <c r="N851" s="104">
        <f t="shared" si="68"/>
        <v>386.68828903560001</v>
      </c>
      <c r="O851" s="66"/>
      <c r="P851" s="66">
        <f t="shared" si="69"/>
        <v>0</v>
      </c>
      <c r="Q851" s="66"/>
      <c r="R851" s="66">
        <f t="shared" si="70"/>
        <v>718.78743791249997</v>
      </c>
    </row>
    <row r="852" spans="1:18">
      <c r="A852" s="116" t="s">
        <v>626</v>
      </c>
      <c r="B852" s="125" t="s">
        <v>1641</v>
      </c>
      <c r="C852" s="125" t="s">
        <v>1642</v>
      </c>
      <c r="D852" s="116" t="s">
        <v>1388</v>
      </c>
      <c r="E852" s="125" t="s">
        <v>164</v>
      </c>
      <c r="F852" s="116" t="s">
        <v>1600</v>
      </c>
      <c r="G852" s="125" t="s">
        <v>20</v>
      </c>
      <c r="H852" s="53"/>
      <c r="I852" s="125">
        <v>201602</v>
      </c>
      <c r="J852" s="126">
        <v>-43448.22</v>
      </c>
      <c r="K852" s="72">
        <f t="shared" si="71"/>
        <v>42675</v>
      </c>
      <c r="L852" s="67">
        <f t="shared" si="67"/>
        <v>6</v>
      </c>
      <c r="M852" s="127">
        <v>1.4833299999999999E-3</v>
      </c>
      <c r="N852" s="104">
        <f t="shared" si="68"/>
        <v>-386.68828903560001</v>
      </c>
      <c r="O852" s="66"/>
      <c r="P852" s="66">
        <f t="shared" si="69"/>
        <v>0</v>
      </c>
      <c r="Q852" s="66"/>
      <c r="R852" s="66">
        <f t="shared" si="70"/>
        <v>-718.78743791249997</v>
      </c>
    </row>
    <row r="853" spans="1:18">
      <c r="A853" s="116" t="s">
        <v>626</v>
      </c>
      <c r="B853" s="125" t="s">
        <v>1800</v>
      </c>
      <c r="C853" s="125" t="s">
        <v>1801</v>
      </c>
      <c r="D853" s="116" t="s">
        <v>1802</v>
      </c>
      <c r="E853" s="125" t="s">
        <v>75</v>
      </c>
      <c r="F853" s="116" t="s">
        <v>1602</v>
      </c>
      <c r="G853" s="125" t="s">
        <v>20</v>
      </c>
      <c r="H853" s="53"/>
      <c r="I853" s="125">
        <v>201602</v>
      </c>
      <c r="J853" s="126">
        <v>3175.09</v>
      </c>
      <c r="K853" s="72">
        <f t="shared" si="71"/>
        <v>42675</v>
      </c>
      <c r="L853" s="67">
        <f t="shared" si="67"/>
        <v>6</v>
      </c>
      <c r="M853" s="127">
        <v>1.4833299999999999E-3</v>
      </c>
      <c r="N853" s="104">
        <f t="shared" si="68"/>
        <v>28.2582374982</v>
      </c>
      <c r="O853" s="66"/>
      <c r="P853" s="66">
        <f t="shared" si="69"/>
        <v>0</v>
      </c>
      <c r="Q853" s="66"/>
      <c r="R853" s="66">
        <f t="shared" si="70"/>
        <v>52.527233710416667</v>
      </c>
    </row>
    <row r="854" spans="1:18">
      <c r="A854" s="116" t="s">
        <v>626</v>
      </c>
      <c r="B854" s="125" t="s">
        <v>1961</v>
      </c>
      <c r="C854" s="125" t="s">
        <v>1962</v>
      </c>
      <c r="D854" s="116" t="s">
        <v>1963</v>
      </c>
      <c r="E854" s="125" t="s">
        <v>75</v>
      </c>
      <c r="F854" s="116" t="s">
        <v>1602</v>
      </c>
      <c r="G854" s="125" t="s">
        <v>20</v>
      </c>
      <c r="H854" s="53"/>
      <c r="I854" s="125">
        <v>201602</v>
      </c>
      <c r="J854" s="126">
        <v>58153.25</v>
      </c>
      <c r="K854" s="72">
        <f t="shared" si="71"/>
        <v>42675</v>
      </c>
      <c r="L854" s="67">
        <f t="shared" si="67"/>
        <v>6</v>
      </c>
      <c r="M854" s="127">
        <v>1.4833299999999999E-3</v>
      </c>
      <c r="N854" s="104">
        <f t="shared" si="68"/>
        <v>517.56276193500003</v>
      </c>
      <c r="O854" s="66"/>
      <c r="P854" s="66">
        <f t="shared" si="69"/>
        <v>0</v>
      </c>
      <c r="Q854" s="66"/>
      <c r="R854" s="66">
        <f t="shared" si="70"/>
        <v>962.06071442708333</v>
      </c>
    </row>
    <row r="855" spans="1:18">
      <c r="A855" s="116" t="s">
        <v>626</v>
      </c>
      <c r="B855" s="125" t="s">
        <v>1907</v>
      </c>
      <c r="C855" s="125" t="s">
        <v>1908</v>
      </c>
      <c r="D855" s="116" t="s">
        <v>1909</v>
      </c>
      <c r="E855" s="125" t="s">
        <v>75</v>
      </c>
      <c r="F855" s="116" t="s">
        <v>1602</v>
      </c>
      <c r="G855" s="125" t="s">
        <v>20</v>
      </c>
      <c r="H855" s="53"/>
      <c r="I855" s="125">
        <v>201602</v>
      </c>
      <c r="J855" s="126">
        <v>4424.1000000000004</v>
      </c>
      <c r="K855" s="72">
        <f t="shared" si="71"/>
        <v>42675</v>
      </c>
      <c r="L855" s="67">
        <f t="shared" si="67"/>
        <v>6</v>
      </c>
      <c r="M855" s="127">
        <v>1.4833299999999999E-3</v>
      </c>
      <c r="N855" s="104">
        <f t="shared" si="68"/>
        <v>39.374401518000006</v>
      </c>
      <c r="O855" s="66"/>
      <c r="P855" s="66">
        <f t="shared" si="69"/>
        <v>0</v>
      </c>
      <c r="Q855" s="66"/>
      <c r="R855" s="66">
        <f t="shared" si="70"/>
        <v>73.190282687500002</v>
      </c>
    </row>
    <row r="856" spans="1:18">
      <c r="A856" s="116" t="s">
        <v>626</v>
      </c>
      <c r="B856" s="125" t="s">
        <v>1803</v>
      </c>
      <c r="C856" s="125" t="s">
        <v>1804</v>
      </c>
      <c r="D856" s="116" t="s">
        <v>1805</v>
      </c>
      <c r="E856" s="125" t="s">
        <v>164</v>
      </c>
      <c r="F856" s="116" t="s">
        <v>1600</v>
      </c>
      <c r="G856" s="125" t="s">
        <v>20</v>
      </c>
      <c r="H856" s="53"/>
      <c r="I856" s="125">
        <v>201602</v>
      </c>
      <c r="J856" s="126">
        <v>-4775.97</v>
      </c>
      <c r="K856" s="72">
        <f t="shared" si="71"/>
        <v>42675</v>
      </c>
      <c r="L856" s="67">
        <f t="shared" si="67"/>
        <v>6</v>
      </c>
      <c r="M856" s="127">
        <v>1.4833299999999999E-3</v>
      </c>
      <c r="N856" s="104">
        <f t="shared" si="68"/>
        <v>-42.5060374806</v>
      </c>
      <c r="O856" s="66"/>
      <c r="P856" s="66">
        <f t="shared" si="69"/>
        <v>0</v>
      </c>
      <c r="Q856" s="66"/>
      <c r="R856" s="66">
        <f t="shared" si="70"/>
        <v>-79.011458693750001</v>
      </c>
    </row>
    <row r="857" spans="1:18">
      <c r="A857" s="116" t="s">
        <v>626</v>
      </c>
      <c r="B857" s="125" t="s">
        <v>1748</v>
      </c>
      <c r="C857" s="125" t="s">
        <v>1749</v>
      </c>
      <c r="D857" s="116" t="s">
        <v>1750</v>
      </c>
      <c r="E857" s="125" t="s">
        <v>75</v>
      </c>
      <c r="F857" s="116" t="s">
        <v>1602</v>
      </c>
      <c r="G857" s="125" t="s">
        <v>20</v>
      </c>
      <c r="H857" s="53"/>
      <c r="I857" s="125">
        <v>201602</v>
      </c>
      <c r="J857" s="126">
        <v>0.82</v>
      </c>
      <c r="K857" s="72">
        <f t="shared" si="71"/>
        <v>42675</v>
      </c>
      <c r="L857" s="67">
        <f t="shared" si="67"/>
        <v>6</v>
      </c>
      <c r="M857" s="127">
        <v>1.4833299999999999E-3</v>
      </c>
      <c r="N857" s="104">
        <f t="shared" si="68"/>
        <v>7.2979835999999994E-3</v>
      </c>
      <c r="O857" s="66"/>
      <c r="P857" s="66">
        <f t="shared" si="69"/>
        <v>0</v>
      </c>
      <c r="Q857" s="66"/>
      <c r="R857" s="66">
        <f t="shared" si="70"/>
        <v>1.3565704166666666E-2</v>
      </c>
    </row>
    <row r="858" spans="1:18">
      <c r="A858" s="116" t="s">
        <v>626</v>
      </c>
      <c r="B858" s="125" t="s">
        <v>1910</v>
      </c>
      <c r="C858" s="125" t="s">
        <v>1911</v>
      </c>
      <c r="D858" s="116" t="s">
        <v>1912</v>
      </c>
      <c r="E858" s="125" t="s">
        <v>75</v>
      </c>
      <c r="F858" s="116" t="s">
        <v>1602</v>
      </c>
      <c r="G858" s="125" t="s">
        <v>20</v>
      </c>
      <c r="H858" s="53"/>
      <c r="I858" s="125">
        <v>201602</v>
      </c>
      <c r="J858" s="126">
        <v>5346.98</v>
      </c>
      <c r="K858" s="72">
        <f t="shared" si="71"/>
        <v>42675</v>
      </c>
      <c r="L858" s="67">
        <f t="shared" si="67"/>
        <v>6</v>
      </c>
      <c r="M858" s="127">
        <v>1.4833299999999999E-3</v>
      </c>
      <c r="N858" s="104">
        <f t="shared" si="68"/>
        <v>47.588015060399997</v>
      </c>
      <c r="O858" s="66"/>
      <c r="P858" s="66">
        <f t="shared" si="69"/>
        <v>0</v>
      </c>
      <c r="Q858" s="66"/>
      <c r="R858" s="66">
        <f t="shared" si="70"/>
        <v>88.457986420833336</v>
      </c>
    </row>
    <row r="859" spans="1:18">
      <c r="A859" s="116" t="s">
        <v>626</v>
      </c>
      <c r="B859" s="125" t="s">
        <v>1913</v>
      </c>
      <c r="C859" s="125" t="s">
        <v>1914</v>
      </c>
      <c r="D859" s="116" t="s">
        <v>1915</v>
      </c>
      <c r="E859" s="125" t="s">
        <v>75</v>
      </c>
      <c r="F859" s="116" t="s">
        <v>1602</v>
      </c>
      <c r="G859" s="125" t="s">
        <v>20</v>
      </c>
      <c r="H859" s="53"/>
      <c r="I859" s="125">
        <v>201602</v>
      </c>
      <c r="J859" s="126">
        <v>248.09</v>
      </c>
      <c r="K859" s="72">
        <f t="shared" si="71"/>
        <v>42675</v>
      </c>
      <c r="L859" s="67">
        <f t="shared" si="67"/>
        <v>6</v>
      </c>
      <c r="M859" s="127">
        <v>1.4833299999999999E-3</v>
      </c>
      <c r="N859" s="104">
        <f t="shared" si="68"/>
        <v>2.2079960382000001</v>
      </c>
      <c r="O859" s="66"/>
      <c r="P859" s="66">
        <f t="shared" si="69"/>
        <v>0</v>
      </c>
      <c r="Q859" s="66"/>
      <c r="R859" s="66">
        <f t="shared" si="70"/>
        <v>4.104287252083334</v>
      </c>
    </row>
    <row r="860" spans="1:18">
      <c r="A860" s="116" t="s">
        <v>626</v>
      </c>
      <c r="B860" s="125" t="s">
        <v>1916</v>
      </c>
      <c r="C860" s="125" t="s">
        <v>1917</v>
      </c>
      <c r="D860" s="116" t="s">
        <v>1273</v>
      </c>
      <c r="E860" s="125" t="s">
        <v>75</v>
      </c>
      <c r="F860" s="116" t="s">
        <v>1602</v>
      </c>
      <c r="G860" s="125" t="s">
        <v>20</v>
      </c>
      <c r="H860" s="53"/>
      <c r="I860" s="125">
        <v>201602</v>
      </c>
      <c r="J860" s="126">
        <v>-1449.36</v>
      </c>
      <c r="K860" s="72">
        <f t="shared" si="71"/>
        <v>42675</v>
      </c>
      <c r="L860" s="67">
        <f t="shared" si="67"/>
        <v>6</v>
      </c>
      <c r="M860" s="127">
        <v>1.4833299999999999E-3</v>
      </c>
      <c r="N860" s="104">
        <f t="shared" si="68"/>
        <v>-12.899275012799999</v>
      </c>
      <c r="O860" s="66"/>
      <c r="P860" s="66">
        <f t="shared" si="69"/>
        <v>0</v>
      </c>
      <c r="Q860" s="66"/>
      <c r="R860" s="66">
        <f t="shared" si="70"/>
        <v>-23.977547549999997</v>
      </c>
    </row>
    <row r="861" spans="1:18">
      <c r="A861" s="116" t="s">
        <v>626</v>
      </c>
      <c r="B861" s="125" t="s">
        <v>1776</v>
      </c>
      <c r="C861" s="125" t="s">
        <v>1777</v>
      </c>
      <c r="D861" s="116" t="s">
        <v>1778</v>
      </c>
      <c r="E861" s="125" t="s">
        <v>452</v>
      </c>
      <c r="F861" s="116" t="s">
        <v>398</v>
      </c>
      <c r="G861" s="125" t="s">
        <v>20</v>
      </c>
      <c r="H861" s="53"/>
      <c r="I861" s="125">
        <v>201602</v>
      </c>
      <c r="J861" s="126">
        <v>-148.59</v>
      </c>
      <c r="K861" s="72">
        <f t="shared" si="71"/>
        <v>42675</v>
      </c>
      <c r="L861" s="67">
        <f t="shared" si="67"/>
        <v>6</v>
      </c>
      <c r="M861" s="127">
        <v>1.4833299999999999E-3</v>
      </c>
      <c r="N861" s="104">
        <f t="shared" si="68"/>
        <v>-1.3224480282</v>
      </c>
      <c r="O861" s="66"/>
      <c r="P861" s="66">
        <f t="shared" si="69"/>
        <v>0</v>
      </c>
      <c r="Q861" s="66"/>
      <c r="R861" s="66">
        <f t="shared" si="70"/>
        <v>-2.4582048562500001</v>
      </c>
    </row>
    <row r="862" spans="1:18">
      <c r="A862" s="116" t="s">
        <v>626</v>
      </c>
      <c r="B862" s="125" t="s">
        <v>1806</v>
      </c>
      <c r="C862" s="125" t="s">
        <v>1807</v>
      </c>
      <c r="D862" s="116" t="s">
        <v>1808</v>
      </c>
      <c r="E862" s="125" t="s">
        <v>75</v>
      </c>
      <c r="F862" s="116" t="s">
        <v>1602</v>
      </c>
      <c r="G862" s="125" t="s">
        <v>20</v>
      </c>
      <c r="H862" s="53"/>
      <c r="I862" s="125">
        <v>201602</v>
      </c>
      <c r="J862" s="126">
        <v>955.5</v>
      </c>
      <c r="K862" s="72">
        <f t="shared" si="71"/>
        <v>42675</v>
      </c>
      <c r="L862" s="67">
        <f t="shared" si="67"/>
        <v>6</v>
      </c>
      <c r="M862" s="127">
        <v>1.4833299999999999E-3</v>
      </c>
      <c r="N862" s="104">
        <f t="shared" si="68"/>
        <v>8.5039308899999995</v>
      </c>
      <c r="O862" s="66"/>
      <c r="P862" s="66">
        <f t="shared" si="69"/>
        <v>0</v>
      </c>
      <c r="Q862" s="66"/>
      <c r="R862" s="66">
        <f t="shared" si="70"/>
        <v>15.8073540625</v>
      </c>
    </row>
    <row r="863" spans="1:18">
      <c r="A863" s="116" t="s">
        <v>626</v>
      </c>
      <c r="B863" s="125" t="s">
        <v>1918</v>
      </c>
      <c r="C863" s="125" t="s">
        <v>1919</v>
      </c>
      <c r="D863" s="116" t="s">
        <v>1920</v>
      </c>
      <c r="E863" s="125" t="s">
        <v>75</v>
      </c>
      <c r="F863" s="116" t="s">
        <v>1602</v>
      </c>
      <c r="G863" s="125" t="s">
        <v>20</v>
      </c>
      <c r="H863" s="53"/>
      <c r="I863" s="125">
        <v>201602</v>
      </c>
      <c r="J863" s="126">
        <v>-211.78</v>
      </c>
      <c r="K863" s="72">
        <f t="shared" si="71"/>
        <v>42675</v>
      </c>
      <c r="L863" s="67">
        <f t="shared" si="67"/>
        <v>6</v>
      </c>
      <c r="M863" s="127">
        <v>1.4833299999999999E-3</v>
      </c>
      <c r="N863" s="104">
        <f t="shared" si="68"/>
        <v>-1.8848377644000001</v>
      </c>
      <c r="O863" s="66"/>
      <c r="P863" s="66">
        <f t="shared" si="69"/>
        <v>0</v>
      </c>
      <c r="Q863" s="66"/>
      <c r="R863" s="66">
        <f t="shared" si="70"/>
        <v>-3.5035912541666669</v>
      </c>
    </row>
    <row r="864" spans="1:18">
      <c r="A864" s="116" t="s">
        <v>626</v>
      </c>
      <c r="B864" s="125" t="s">
        <v>1921</v>
      </c>
      <c r="C864" s="125" t="s">
        <v>1922</v>
      </c>
      <c r="D864" s="116" t="s">
        <v>1923</v>
      </c>
      <c r="E864" s="125" t="s">
        <v>156</v>
      </c>
      <c r="F864" s="116" t="s">
        <v>26</v>
      </c>
      <c r="G864" s="125" t="s">
        <v>20</v>
      </c>
      <c r="H864" s="53"/>
      <c r="I864" s="125">
        <v>201602</v>
      </c>
      <c r="J864" s="126">
        <v>2577.2399999999998</v>
      </c>
      <c r="K864" s="72">
        <f t="shared" si="71"/>
        <v>42675</v>
      </c>
      <c r="L864" s="67">
        <f t="shared" si="67"/>
        <v>6</v>
      </c>
      <c r="M864" s="127">
        <v>1.4833299999999999E-3</v>
      </c>
      <c r="N864" s="104">
        <f t="shared" si="68"/>
        <v>22.937384455199997</v>
      </c>
      <c r="O864" s="66"/>
      <c r="P864" s="66">
        <f t="shared" si="69"/>
        <v>0</v>
      </c>
      <c r="Q864" s="66"/>
      <c r="R864" s="66">
        <f t="shared" si="70"/>
        <v>42.636677325000001</v>
      </c>
    </row>
    <row r="865" spans="1:18">
      <c r="A865" s="116" t="s">
        <v>21</v>
      </c>
      <c r="B865" s="125" t="s">
        <v>1664</v>
      </c>
      <c r="C865" s="125" t="s">
        <v>1665</v>
      </c>
      <c r="D865" s="116" t="s">
        <v>1666</v>
      </c>
      <c r="E865" s="125" t="s">
        <v>87</v>
      </c>
      <c r="F865" s="116" t="s">
        <v>1603</v>
      </c>
      <c r="G865" s="125" t="s">
        <v>20</v>
      </c>
      <c r="H865" s="53"/>
      <c r="I865" s="125">
        <v>201602</v>
      </c>
      <c r="J865" s="126">
        <v>74.77</v>
      </c>
      <c r="K865" s="72">
        <f t="shared" si="71"/>
        <v>42675</v>
      </c>
      <c r="L865" s="67">
        <f t="shared" si="67"/>
        <v>6</v>
      </c>
      <c r="M865" s="127">
        <v>1.4833299999999999E-3</v>
      </c>
      <c r="N865" s="104">
        <f t="shared" si="68"/>
        <v>0.66545150460000002</v>
      </c>
      <c r="O865" s="66"/>
      <c r="P865" s="66">
        <f t="shared" si="69"/>
        <v>0</v>
      </c>
      <c r="Q865" s="66"/>
      <c r="R865" s="66">
        <f t="shared" si="70"/>
        <v>1.2369606104166666</v>
      </c>
    </row>
    <row r="866" spans="1:18">
      <c r="A866" s="116" t="s">
        <v>990</v>
      </c>
      <c r="B866" s="125" t="s">
        <v>1751</v>
      </c>
      <c r="C866" s="125" t="s">
        <v>1752</v>
      </c>
      <c r="D866" s="116" t="s">
        <v>1753</v>
      </c>
      <c r="E866" s="125" t="s">
        <v>1688</v>
      </c>
      <c r="F866" s="116" t="s">
        <v>1689</v>
      </c>
      <c r="G866" s="125" t="s">
        <v>20</v>
      </c>
      <c r="H866" s="53"/>
      <c r="I866" s="125">
        <v>201602</v>
      </c>
      <c r="J866" s="126">
        <v>-2.21</v>
      </c>
      <c r="K866" s="72">
        <f t="shared" si="71"/>
        <v>42675</v>
      </c>
      <c r="L866" s="67">
        <f t="shared" si="67"/>
        <v>6</v>
      </c>
      <c r="M866" s="114">
        <v>2.0333333000000001E-3</v>
      </c>
      <c r="N866" s="104">
        <f t="shared" si="68"/>
        <v>-2.6961999558000001E-2</v>
      </c>
      <c r="O866" s="66"/>
      <c r="P866" s="66">
        <f t="shared" si="69"/>
        <v>0</v>
      </c>
      <c r="Q866" s="66"/>
      <c r="R866" s="66">
        <f t="shared" si="70"/>
        <v>-3.6561227083333335E-2</v>
      </c>
    </row>
    <row r="867" spans="1:18">
      <c r="A867" s="116" t="s">
        <v>990</v>
      </c>
      <c r="B867" s="125" t="s">
        <v>1696</v>
      </c>
      <c r="C867" s="125" t="s">
        <v>1697</v>
      </c>
      <c r="D867" s="116" t="s">
        <v>1698</v>
      </c>
      <c r="E867" s="125" t="s">
        <v>1688</v>
      </c>
      <c r="F867" s="116" t="s">
        <v>1689</v>
      </c>
      <c r="G867" s="125" t="s">
        <v>20</v>
      </c>
      <c r="H867" s="53"/>
      <c r="I867" s="125">
        <v>201602</v>
      </c>
      <c r="J867" s="126">
        <v>-726.16</v>
      </c>
      <c r="K867" s="72">
        <f t="shared" si="71"/>
        <v>42675</v>
      </c>
      <c r="L867" s="67">
        <f t="shared" ref="L867:L924" si="72">((YEAR($L$1)-YEAR(K867))*12+MONTH($L$1)-MONTH(K867))</f>
        <v>6</v>
      </c>
      <c r="M867" s="114">
        <v>2.0333333000000001E-3</v>
      </c>
      <c r="N867" s="104">
        <f t="shared" ref="N867:N924" si="73">M867*L867*J867</f>
        <v>-8.8591518547679993</v>
      </c>
      <c r="O867" s="66"/>
      <c r="P867" s="66">
        <f t="shared" si="69"/>
        <v>0</v>
      </c>
      <c r="Q867" s="66"/>
      <c r="R867" s="66">
        <f t="shared" si="70"/>
        <v>-12.013258216666667</v>
      </c>
    </row>
    <row r="868" spans="1:18">
      <c r="A868" s="116" t="s">
        <v>990</v>
      </c>
      <c r="B868" s="125" t="s">
        <v>1754</v>
      </c>
      <c r="C868" s="125" t="s">
        <v>1755</v>
      </c>
      <c r="D868" s="116" t="s">
        <v>1756</v>
      </c>
      <c r="E868" s="125" t="s">
        <v>1688</v>
      </c>
      <c r="F868" s="116" t="s">
        <v>1689</v>
      </c>
      <c r="G868" s="125" t="s">
        <v>20</v>
      </c>
      <c r="H868" s="53"/>
      <c r="I868" s="125">
        <v>201602</v>
      </c>
      <c r="J868" s="126">
        <v>-22.15</v>
      </c>
      <c r="K868" s="72">
        <f t="shared" si="71"/>
        <v>42675</v>
      </c>
      <c r="L868" s="67">
        <f t="shared" si="72"/>
        <v>6</v>
      </c>
      <c r="M868" s="114">
        <v>2.0333333000000001E-3</v>
      </c>
      <c r="N868" s="104">
        <f t="shared" si="73"/>
        <v>-0.27022999556999999</v>
      </c>
      <c r="O868" s="66"/>
      <c r="P868" s="66">
        <f t="shared" si="69"/>
        <v>0</v>
      </c>
      <c r="Q868" s="66"/>
      <c r="R868" s="66">
        <f t="shared" si="70"/>
        <v>-0.36643944791666666</v>
      </c>
    </row>
    <row r="869" spans="1:18">
      <c r="A869" s="116" t="s">
        <v>626</v>
      </c>
      <c r="B869" s="125" t="s">
        <v>1924</v>
      </c>
      <c r="C869" s="125" t="s">
        <v>1925</v>
      </c>
      <c r="D869" s="116" t="s">
        <v>1926</v>
      </c>
      <c r="E869" s="125" t="s">
        <v>75</v>
      </c>
      <c r="F869" s="116" t="s">
        <v>1602</v>
      </c>
      <c r="G869" s="125" t="s">
        <v>20</v>
      </c>
      <c r="H869" s="53"/>
      <c r="I869" s="125">
        <v>201602</v>
      </c>
      <c r="J869" s="126">
        <v>221.49</v>
      </c>
      <c r="K869" s="72">
        <f t="shared" si="71"/>
        <v>42675</v>
      </c>
      <c r="L869" s="67">
        <f t="shared" si="72"/>
        <v>6</v>
      </c>
      <c r="M869" s="127">
        <v>1.4833299999999999E-3</v>
      </c>
      <c r="N869" s="104">
        <f t="shared" si="73"/>
        <v>1.9712565702</v>
      </c>
      <c r="O869" s="66"/>
      <c r="P869" s="66">
        <f t="shared" si="69"/>
        <v>0</v>
      </c>
      <c r="Q869" s="66"/>
      <c r="R869" s="66">
        <f t="shared" si="70"/>
        <v>3.6642290437500002</v>
      </c>
    </row>
    <row r="870" spans="1:18">
      <c r="A870" s="116" t="s">
        <v>626</v>
      </c>
      <c r="B870" s="125" t="s">
        <v>1927</v>
      </c>
      <c r="C870" s="125" t="s">
        <v>1928</v>
      </c>
      <c r="D870" s="116" t="s">
        <v>1929</v>
      </c>
      <c r="E870" s="125" t="s">
        <v>75</v>
      </c>
      <c r="F870" s="116" t="s">
        <v>1602</v>
      </c>
      <c r="G870" s="125" t="s">
        <v>20</v>
      </c>
      <c r="H870" s="53"/>
      <c r="I870" s="125">
        <v>201602</v>
      </c>
      <c r="J870" s="126">
        <v>-136.04</v>
      </c>
      <c r="K870" s="72">
        <f t="shared" si="71"/>
        <v>42675</v>
      </c>
      <c r="L870" s="67">
        <f t="shared" si="72"/>
        <v>6</v>
      </c>
      <c r="M870" s="127">
        <v>1.4833299999999999E-3</v>
      </c>
      <c r="N870" s="104">
        <f t="shared" si="73"/>
        <v>-1.2107532792</v>
      </c>
      <c r="O870" s="66"/>
      <c r="P870" s="66">
        <f t="shared" si="69"/>
        <v>0</v>
      </c>
      <c r="Q870" s="66"/>
      <c r="R870" s="66">
        <f t="shared" si="70"/>
        <v>-2.2505834083333331</v>
      </c>
    </row>
    <row r="871" spans="1:18">
      <c r="A871" s="116" t="s">
        <v>21</v>
      </c>
      <c r="B871" s="125" t="s">
        <v>1820</v>
      </c>
      <c r="C871" s="125" t="s">
        <v>1821</v>
      </c>
      <c r="D871" s="116" t="s">
        <v>1822</v>
      </c>
      <c r="E871" s="125" t="s">
        <v>87</v>
      </c>
      <c r="F871" s="116" t="s">
        <v>1603</v>
      </c>
      <c r="G871" s="125" t="s">
        <v>20</v>
      </c>
      <c r="H871" s="53"/>
      <c r="I871" s="125">
        <v>201602</v>
      </c>
      <c r="J871" s="126">
        <v>-394.5</v>
      </c>
      <c r="K871" s="72">
        <f t="shared" si="71"/>
        <v>42675</v>
      </c>
      <c r="L871" s="67">
        <f t="shared" si="72"/>
        <v>6</v>
      </c>
      <c r="M871" s="127">
        <v>1.4833299999999999E-3</v>
      </c>
      <c r="N871" s="104">
        <f t="shared" si="73"/>
        <v>-3.51104211</v>
      </c>
      <c r="O871" s="66"/>
      <c r="P871" s="66">
        <f t="shared" si="69"/>
        <v>0</v>
      </c>
      <c r="Q871" s="66"/>
      <c r="R871" s="66">
        <f t="shared" si="70"/>
        <v>-6.5264271875000004</v>
      </c>
    </row>
    <row r="872" spans="1:18">
      <c r="A872" s="116" t="s">
        <v>626</v>
      </c>
      <c r="B872" s="125" t="s">
        <v>1699</v>
      </c>
      <c r="C872" s="125" t="s">
        <v>1700</v>
      </c>
      <c r="D872" s="116" t="s">
        <v>1701</v>
      </c>
      <c r="E872" s="125" t="s">
        <v>544</v>
      </c>
      <c r="F872" s="116" t="s">
        <v>26</v>
      </c>
      <c r="G872" s="125" t="s">
        <v>20</v>
      </c>
      <c r="H872" s="53"/>
      <c r="I872" s="125">
        <v>201602</v>
      </c>
      <c r="J872" s="126">
        <v>1206.6600000000001</v>
      </c>
      <c r="K872" s="72">
        <f t="shared" si="71"/>
        <v>42675</v>
      </c>
      <c r="L872" s="67">
        <f t="shared" si="72"/>
        <v>6</v>
      </c>
      <c r="M872" s="127">
        <v>1.4833299999999999E-3</v>
      </c>
      <c r="N872" s="104">
        <f t="shared" si="73"/>
        <v>10.739249866800002</v>
      </c>
      <c r="O872" s="66"/>
      <c r="P872" s="66">
        <f t="shared" si="69"/>
        <v>0</v>
      </c>
      <c r="Q872" s="66"/>
      <c r="R872" s="66">
        <f t="shared" si="70"/>
        <v>19.962429987500002</v>
      </c>
    </row>
    <row r="873" spans="1:18">
      <c r="A873" s="116" t="s">
        <v>127</v>
      </c>
      <c r="B873" s="125" t="s">
        <v>1964</v>
      </c>
      <c r="C873" s="125" t="s">
        <v>1965</v>
      </c>
      <c r="D873" s="116" t="s">
        <v>1966</v>
      </c>
      <c r="E873" s="125" t="s">
        <v>87</v>
      </c>
      <c r="F873" s="116" t="s">
        <v>1603</v>
      </c>
      <c r="G873" s="125" t="s">
        <v>20</v>
      </c>
      <c r="H873" s="53"/>
      <c r="I873" s="125">
        <v>201602</v>
      </c>
      <c r="J873" s="126">
        <v>4689.5200000000004</v>
      </c>
      <c r="K873" s="72">
        <f t="shared" si="71"/>
        <v>42675</v>
      </c>
      <c r="L873" s="67">
        <f t="shared" si="72"/>
        <v>6</v>
      </c>
      <c r="M873" s="114">
        <v>2.3833299999999999E-3</v>
      </c>
      <c r="N873" s="104">
        <f t="shared" si="73"/>
        <v>67.060042209600013</v>
      </c>
      <c r="O873" s="66"/>
      <c r="P873" s="66">
        <f t="shared" si="69"/>
        <v>0</v>
      </c>
      <c r="Q873" s="66"/>
      <c r="R873" s="66">
        <f t="shared" si="70"/>
        <v>77.58126951666668</v>
      </c>
    </row>
    <row r="874" spans="1:18">
      <c r="A874" s="116" t="s">
        <v>626</v>
      </c>
      <c r="B874" s="125" t="s">
        <v>1930</v>
      </c>
      <c r="C874" s="125" t="s">
        <v>1931</v>
      </c>
      <c r="D874" s="116" t="s">
        <v>1932</v>
      </c>
      <c r="E874" s="125" t="s">
        <v>75</v>
      </c>
      <c r="F874" s="116" t="s">
        <v>1602</v>
      </c>
      <c r="G874" s="125" t="s">
        <v>20</v>
      </c>
      <c r="H874" s="53"/>
      <c r="I874" s="125">
        <v>201602</v>
      </c>
      <c r="J874" s="126">
        <v>-407.53</v>
      </c>
      <c r="K874" s="72">
        <f t="shared" si="71"/>
        <v>42675</v>
      </c>
      <c r="L874" s="67">
        <f t="shared" si="72"/>
        <v>6</v>
      </c>
      <c r="M874" s="127">
        <v>1.4833299999999999E-3</v>
      </c>
      <c r="N874" s="104">
        <f t="shared" si="73"/>
        <v>-3.6270088493999997</v>
      </c>
      <c r="O874" s="66"/>
      <c r="P874" s="66">
        <f t="shared" si="69"/>
        <v>0</v>
      </c>
      <c r="Q874" s="66"/>
      <c r="R874" s="66">
        <f t="shared" si="70"/>
        <v>-6.7419895354166668</v>
      </c>
    </row>
    <row r="875" spans="1:18">
      <c r="A875" s="116" t="s">
        <v>626</v>
      </c>
      <c r="B875" s="125" t="s">
        <v>1782</v>
      </c>
      <c r="C875" s="125" t="s">
        <v>1783</v>
      </c>
      <c r="D875" s="116" t="s">
        <v>1784</v>
      </c>
      <c r="E875" s="125" t="s">
        <v>87</v>
      </c>
      <c r="F875" s="116" t="s">
        <v>1603</v>
      </c>
      <c r="G875" s="125" t="s">
        <v>20</v>
      </c>
      <c r="H875" s="53"/>
      <c r="I875" s="125">
        <v>201602</v>
      </c>
      <c r="J875" s="126">
        <v>2.09</v>
      </c>
      <c r="K875" s="72">
        <f t="shared" si="71"/>
        <v>42675</v>
      </c>
      <c r="L875" s="67">
        <f t="shared" si="72"/>
        <v>6</v>
      </c>
      <c r="M875" s="127">
        <v>1.4833299999999999E-3</v>
      </c>
      <c r="N875" s="104">
        <f t="shared" si="73"/>
        <v>1.86009582E-2</v>
      </c>
      <c r="O875" s="66"/>
      <c r="P875" s="66">
        <f t="shared" si="69"/>
        <v>0</v>
      </c>
      <c r="Q875" s="66"/>
      <c r="R875" s="66">
        <f t="shared" si="70"/>
        <v>3.4576002083333328E-2</v>
      </c>
    </row>
    <row r="876" spans="1:18">
      <c r="A876" s="116" t="s">
        <v>626</v>
      </c>
      <c r="B876" s="125" t="s">
        <v>1933</v>
      </c>
      <c r="C876" s="125" t="s">
        <v>1934</v>
      </c>
      <c r="D876" s="116" t="s">
        <v>1935</v>
      </c>
      <c r="E876" s="125" t="s">
        <v>75</v>
      </c>
      <c r="F876" s="116" t="s">
        <v>1602</v>
      </c>
      <c r="G876" s="125" t="s">
        <v>20</v>
      </c>
      <c r="H876" s="53"/>
      <c r="I876" s="125">
        <v>201602</v>
      </c>
      <c r="J876" s="126">
        <v>954.94</v>
      </c>
      <c r="K876" s="72">
        <f t="shared" si="71"/>
        <v>42675</v>
      </c>
      <c r="L876" s="67">
        <f t="shared" si="72"/>
        <v>6</v>
      </c>
      <c r="M876" s="127">
        <v>1.4833299999999999E-3</v>
      </c>
      <c r="N876" s="104">
        <f t="shared" si="73"/>
        <v>8.4989469012000001</v>
      </c>
      <c r="O876" s="66"/>
      <c r="P876" s="66">
        <f t="shared" si="69"/>
        <v>0</v>
      </c>
      <c r="Q876" s="66"/>
      <c r="R876" s="66">
        <f t="shared" si="70"/>
        <v>15.798089679166667</v>
      </c>
    </row>
    <row r="877" spans="1:18">
      <c r="A877" s="116" t="s">
        <v>626</v>
      </c>
      <c r="B877" s="125" t="s">
        <v>1967</v>
      </c>
      <c r="C877" s="125" t="s">
        <v>1968</v>
      </c>
      <c r="D877" s="116" t="s">
        <v>1969</v>
      </c>
      <c r="E877" s="125" t="s">
        <v>544</v>
      </c>
      <c r="F877" s="116" t="s">
        <v>26</v>
      </c>
      <c r="G877" s="125" t="s">
        <v>20</v>
      </c>
      <c r="H877" s="53"/>
      <c r="I877" s="125">
        <v>201602</v>
      </c>
      <c r="J877" s="126">
        <v>3194.79</v>
      </c>
      <c r="K877" s="72">
        <f t="shared" si="71"/>
        <v>42675</v>
      </c>
      <c r="L877" s="67">
        <f t="shared" si="72"/>
        <v>6</v>
      </c>
      <c r="M877" s="127">
        <v>1.4833299999999999E-3</v>
      </c>
      <c r="N877" s="104">
        <f t="shared" si="73"/>
        <v>28.433567104200002</v>
      </c>
      <c r="O877" s="66"/>
      <c r="P877" s="66">
        <f t="shared" si="69"/>
        <v>0</v>
      </c>
      <c r="Q877" s="66"/>
      <c r="R877" s="66">
        <f t="shared" si="70"/>
        <v>52.853141481250006</v>
      </c>
    </row>
    <row r="878" spans="1:18">
      <c r="A878" s="116" t="s">
        <v>626</v>
      </c>
      <c r="B878" s="125" t="s">
        <v>1936</v>
      </c>
      <c r="C878" s="125" t="s">
        <v>1937</v>
      </c>
      <c r="D878" s="116" t="s">
        <v>1938</v>
      </c>
      <c r="E878" s="125" t="s">
        <v>75</v>
      </c>
      <c r="F878" s="116" t="s">
        <v>1602</v>
      </c>
      <c r="G878" s="125" t="s">
        <v>20</v>
      </c>
      <c r="H878" s="53"/>
      <c r="I878" s="125">
        <v>201602</v>
      </c>
      <c r="J878" s="126">
        <v>122.28</v>
      </c>
      <c r="K878" s="72">
        <f t="shared" si="71"/>
        <v>42675</v>
      </c>
      <c r="L878" s="67">
        <f t="shared" si="72"/>
        <v>6</v>
      </c>
      <c r="M878" s="127">
        <v>1.4833299999999999E-3</v>
      </c>
      <c r="N878" s="104">
        <f t="shared" si="73"/>
        <v>1.0882895544</v>
      </c>
      <c r="O878" s="66"/>
      <c r="P878" s="66">
        <f t="shared" si="69"/>
        <v>0</v>
      </c>
      <c r="Q878" s="66"/>
      <c r="R878" s="66">
        <f t="shared" si="70"/>
        <v>2.0229442750000004</v>
      </c>
    </row>
    <row r="879" spans="1:18">
      <c r="A879" s="116" t="s">
        <v>626</v>
      </c>
      <c r="B879" s="125" t="s">
        <v>1970</v>
      </c>
      <c r="C879" s="125" t="s">
        <v>1971</v>
      </c>
      <c r="D879" s="116" t="s">
        <v>1972</v>
      </c>
      <c r="E879" s="125" t="s">
        <v>93</v>
      </c>
      <c r="F879" s="116" t="s">
        <v>1601</v>
      </c>
      <c r="G879" s="125" t="s">
        <v>20</v>
      </c>
      <c r="H879" s="53"/>
      <c r="I879" s="125">
        <v>201602</v>
      </c>
      <c r="J879" s="126">
        <v>901136.23</v>
      </c>
      <c r="K879" s="72">
        <f t="shared" si="71"/>
        <v>42675</v>
      </c>
      <c r="L879" s="67">
        <f t="shared" si="72"/>
        <v>6</v>
      </c>
      <c r="M879" s="127">
        <v>1.4833299999999999E-3</v>
      </c>
      <c r="N879" s="104">
        <f t="shared" si="73"/>
        <v>8020.0944242753994</v>
      </c>
      <c r="O879" s="66"/>
      <c r="P879" s="66">
        <f t="shared" si="69"/>
        <v>0</v>
      </c>
      <c r="Q879" s="66"/>
      <c r="R879" s="66">
        <f t="shared" si="70"/>
        <v>14907.984768347917</v>
      </c>
    </row>
    <row r="880" spans="1:18">
      <c r="A880" s="116" t="s">
        <v>21</v>
      </c>
      <c r="B880" s="125" t="s">
        <v>1939</v>
      </c>
      <c r="C880" s="125" t="s">
        <v>1940</v>
      </c>
      <c r="D880" s="116" t="s">
        <v>1941</v>
      </c>
      <c r="E880" s="125" t="s">
        <v>87</v>
      </c>
      <c r="F880" s="116" t="s">
        <v>1603</v>
      </c>
      <c r="G880" s="125" t="s">
        <v>20</v>
      </c>
      <c r="H880" s="53"/>
      <c r="I880" s="125">
        <v>201602</v>
      </c>
      <c r="J880" s="126">
        <v>6892.46</v>
      </c>
      <c r="K880" s="72">
        <f t="shared" si="71"/>
        <v>42675</v>
      </c>
      <c r="L880" s="67">
        <f t="shared" si="72"/>
        <v>6</v>
      </c>
      <c r="M880" s="127">
        <v>1.4833299999999999E-3</v>
      </c>
      <c r="N880" s="104">
        <f t="shared" si="73"/>
        <v>61.3427561508</v>
      </c>
      <c r="O880" s="66"/>
      <c r="P880" s="66">
        <f t="shared" si="69"/>
        <v>0</v>
      </c>
      <c r="Q880" s="66"/>
      <c r="R880" s="66">
        <f t="shared" si="70"/>
        <v>114.02569919583334</v>
      </c>
    </row>
    <row r="881" spans="1:18">
      <c r="A881" s="116" t="s">
        <v>21</v>
      </c>
      <c r="B881" s="125" t="s">
        <v>1973</v>
      </c>
      <c r="C881" s="125" t="s">
        <v>1974</v>
      </c>
      <c r="D881" s="116" t="s">
        <v>1975</v>
      </c>
      <c r="E881" s="125" t="s">
        <v>87</v>
      </c>
      <c r="F881" s="116" t="s">
        <v>1603</v>
      </c>
      <c r="G881" s="125" t="s">
        <v>20</v>
      </c>
      <c r="H881" s="53"/>
      <c r="I881" s="125">
        <v>201602</v>
      </c>
      <c r="J881" s="126">
        <v>66942.5</v>
      </c>
      <c r="K881" s="72">
        <f t="shared" si="71"/>
        <v>42675</v>
      </c>
      <c r="L881" s="67">
        <f t="shared" si="72"/>
        <v>6</v>
      </c>
      <c r="M881" s="127">
        <v>1.4833299999999999E-3</v>
      </c>
      <c r="N881" s="104">
        <f t="shared" si="73"/>
        <v>595.78691115000004</v>
      </c>
      <c r="O881" s="66"/>
      <c r="P881" s="66">
        <f t="shared" si="69"/>
        <v>0</v>
      </c>
      <c r="Q881" s="66"/>
      <c r="R881" s="66">
        <f t="shared" si="70"/>
        <v>1107.4660380208334</v>
      </c>
    </row>
    <row r="882" spans="1:18">
      <c r="A882" s="116" t="s">
        <v>626</v>
      </c>
      <c r="B882" s="125" t="s">
        <v>1811</v>
      </c>
      <c r="C882" s="125" t="s">
        <v>1812</v>
      </c>
      <c r="D882" s="116" t="s">
        <v>1813</v>
      </c>
      <c r="E882" s="125" t="s">
        <v>25</v>
      </c>
      <c r="F882" s="116" t="s">
        <v>26</v>
      </c>
      <c r="G882" s="125" t="s">
        <v>20</v>
      </c>
      <c r="H882" s="53"/>
      <c r="I882" s="125">
        <v>201602</v>
      </c>
      <c r="J882" s="126">
        <v>-430.71</v>
      </c>
      <c r="K882" s="72">
        <f t="shared" si="71"/>
        <v>42675</v>
      </c>
      <c r="L882" s="67">
        <f t="shared" si="72"/>
        <v>6</v>
      </c>
      <c r="M882" s="127">
        <v>1.4833299999999999E-3</v>
      </c>
      <c r="N882" s="104">
        <f t="shared" si="73"/>
        <v>-3.8333103857999999</v>
      </c>
      <c r="O882" s="66"/>
      <c r="P882" s="66">
        <f t="shared" si="69"/>
        <v>0</v>
      </c>
      <c r="Q882" s="66"/>
      <c r="R882" s="66">
        <f t="shared" si="70"/>
        <v>-7.1254688312499992</v>
      </c>
    </row>
    <row r="883" spans="1:18">
      <c r="A883" s="116" t="s">
        <v>1942</v>
      </c>
      <c r="B883" s="125" t="s">
        <v>1681</v>
      </c>
      <c r="C883" s="125" t="s">
        <v>1682</v>
      </c>
      <c r="D883" s="116" t="s">
        <v>1683</v>
      </c>
      <c r="E883" s="125" t="s">
        <v>198</v>
      </c>
      <c r="F883" s="116" t="s">
        <v>1610</v>
      </c>
      <c r="G883" s="125" t="s">
        <v>20</v>
      </c>
      <c r="H883" s="53"/>
      <c r="I883" s="125">
        <v>201602</v>
      </c>
      <c r="J883" s="126">
        <v>-564.64</v>
      </c>
      <c r="K883" s="72">
        <f t="shared" si="71"/>
        <v>42675</v>
      </c>
      <c r="L883" s="67">
        <f t="shared" si="72"/>
        <v>6</v>
      </c>
      <c r="M883" s="114">
        <v>2.23333E-3</v>
      </c>
      <c r="N883" s="104">
        <f t="shared" si="73"/>
        <v>-7.5661647071999996</v>
      </c>
      <c r="O883" s="66"/>
      <c r="P883" s="66">
        <f t="shared" ref="P883:P924" si="74">($P$305*J883*$U$11)</f>
        <v>0</v>
      </c>
      <c r="Q883" s="66"/>
      <c r="R883" s="66">
        <f t="shared" ref="R883:R924" si="75">($R$305*0.5*J883*$U$11)</f>
        <v>-9.341145366666666</v>
      </c>
    </row>
    <row r="884" spans="1:18">
      <c r="A884" s="116" t="s">
        <v>1942</v>
      </c>
      <c r="B884" s="125" t="s">
        <v>1681</v>
      </c>
      <c r="C884" s="125" t="s">
        <v>1943</v>
      </c>
      <c r="D884" s="116" t="s">
        <v>1944</v>
      </c>
      <c r="E884" s="125" t="s">
        <v>202</v>
      </c>
      <c r="F884" s="116" t="s">
        <v>1611</v>
      </c>
      <c r="G884" s="125" t="s">
        <v>20</v>
      </c>
      <c r="H884" s="53"/>
      <c r="I884" s="125">
        <v>201602</v>
      </c>
      <c r="J884" s="126">
        <v>-1.98</v>
      </c>
      <c r="K884" s="72">
        <f t="shared" si="71"/>
        <v>42675</v>
      </c>
      <c r="L884" s="67">
        <f t="shared" si="72"/>
        <v>6</v>
      </c>
      <c r="M884" s="114">
        <v>2.23333E-3</v>
      </c>
      <c r="N884" s="104">
        <f t="shared" si="73"/>
        <v>-2.6531960399999999E-2</v>
      </c>
      <c r="O884" s="66"/>
      <c r="P884" s="66">
        <f t="shared" si="74"/>
        <v>0</v>
      </c>
      <c r="Q884" s="66"/>
      <c r="R884" s="66">
        <f t="shared" si="75"/>
        <v>-3.27562125E-2</v>
      </c>
    </row>
    <row r="885" spans="1:18">
      <c r="A885" s="116" t="s">
        <v>1942</v>
      </c>
      <c r="B885" s="125" t="s">
        <v>1681</v>
      </c>
      <c r="C885" s="125" t="s">
        <v>1976</v>
      </c>
      <c r="D885" s="116" t="s">
        <v>1977</v>
      </c>
      <c r="E885" s="125" t="s">
        <v>294</v>
      </c>
      <c r="F885" s="116" t="s">
        <v>1613</v>
      </c>
      <c r="G885" s="125" t="s">
        <v>20</v>
      </c>
      <c r="H885" s="53"/>
      <c r="I885" s="125">
        <v>201602</v>
      </c>
      <c r="J885" s="126">
        <v>6771.98</v>
      </c>
      <c r="K885" s="72">
        <f t="shared" si="71"/>
        <v>42675</v>
      </c>
      <c r="L885" s="67">
        <f t="shared" si="72"/>
        <v>6</v>
      </c>
      <c r="M885" s="114">
        <v>2.23333E-3</v>
      </c>
      <c r="N885" s="104">
        <f t="shared" si="73"/>
        <v>90.744396560399991</v>
      </c>
      <c r="O885" s="66"/>
      <c r="P885" s="66">
        <f t="shared" si="74"/>
        <v>0</v>
      </c>
      <c r="Q885" s="66"/>
      <c r="R885" s="66">
        <f t="shared" si="75"/>
        <v>112.03253329583333</v>
      </c>
    </row>
    <row r="886" spans="1:18">
      <c r="A886" s="116" t="s">
        <v>626</v>
      </c>
      <c r="B886" s="125" t="s">
        <v>1978</v>
      </c>
      <c r="C886" s="125" t="s">
        <v>1979</v>
      </c>
      <c r="D886" s="116" t="s">
        <v>1980</v>
      </c>
      <c r="E886" s="125" t="s">
        <v>75</v>
      </c>
      <c r="F886" s="116" t="s">
        <v>1602</v>
      </c>
      <c r="G886" s="125" t="s">
        <v>20</v>
      </c>
      <c r="H886" s="53"/>
      <c r="I886" s="125">
        <v>201602</v>
      </c>
      <c r="J886" s="126">
        <v>329770.40999999997</v>
      </c>
      <c r="K886" s="72">
        <f t="shared" si="71"/>
        <v>42675</v>
      </c>
      <c r="L886" s="67">
        <f t="shared" si="72"/>
        <v>6</v>
      </c>
      <c r="M886" s="127">
        <v>1.4833299999999999E-3</v>
      </c>
      <c r="N886" s="104">
        <f t="shared" si="73"/>
        <v>2934.9500535917996</v>
      </c>
      <c r="O886" s="66"/>
      <c r="P886" s="66">
        <f t="shared" si="74"/>
        <v>0</v>
      </c>
      <c r="Q886" s="66"/>
      <c r="R886" s="66">
        <f t="shared" si="75"/>
        <v>5455.5705182687498</v>
      </c>
    </row>
    <row r="887" spans="1:18">
      <c r="A887" s="116" t="s">
        <v>626</v>
      </c>
      <c r="B887" s="125" t="s">
        <v>1757</v>
      </c>
      <c r="C887" s="125" t="s">
        <v>1758</v>
      </c>
      <c r="D887" s="116" t="s">
        <v>1759</v>
      </c>
      <c r="E887" s="125" t="s">
        <v>75</v>
      </c>
      <c r="F887" s="116" t="s">
        <v>1602</v>
      </c>
      <c r="G887" s="125" t="s">
        <v>20</v>
      </c>
      <c r="H887" s="53"/>
      <c r="I887" s="125">
        <v>201602</v>
      </c>
      <c r="J887" s="126">
        <v>82.86</v>
      </c>
      <c r="K887" s="72">
        <f t="shared" si="71"/>
        <v>42675</v>
      </c>
      <c r="L887" s="67">
        <f t="shared" si="72"/>
        <v>6</v>
      </c>
      <c r="M887" s="127">
        <v>1.4833299999999999E-3</v>
      </c>
      <c r="N887" s="104">
        <f t="shared" si="73"/>
        <v>0.73745234280000005</v>
      </c>
      <c r="O887" s="66"/>
      <c r="P887" s="66">
        <f t="shared" si="74"/>
        <v>0</v>
      </c>
      <c r="Q887" s="66"/>
      <c r="R887" s="66">
        <f t="shared" si="75"/>
        <v>1.3707978625000001</v>
      </c>
    </row>
    <row r="888" spans="1:18">
      <c r="A888" s="116" t="s">
        <v>626</v>
      </c>
      <c r="B888" s="125" t="s">
        <v>1981</v>
      </c>
      <c r="C888" s="125" t="s">
        <v>1982</v>
      </c>
      <c r="D888" s="116" t="s">
        <v>1983</v>
      </c>
      <c r="E888" s="125" t="s">
        <v>75</v>
      </c>
      <c r="F888" s="116" t="s">
        <v>1602</v>
      </c>
      <c r="G888" s="125" t="s">
        <v>20</v>
      </c>
      <c r="H888" s="53"/>
      <c r="I888" s="125">
        <v>201602</v>
      </c>
      <c r="J888" s="126">
        <v>185325.46</v>
      </c>
      <c r="K888" s="72">
        <f t="shared" si="71"/>
        <v>42675</v>
      </c>
      <c r="L888" s="67">
        <f t="shared" si="72"/>
        <v>6</v>
      </c>
      <c r="M888" s="127">
        <v>1.4833299999999999E-3</v>
      </c>
      <c r="N888" s="104">
        <f t="shared" si="73"/>
        <v>1649.3928874907999</v>
      </c>
      <c r="O888" s="66"/>
      <c r="P888" s="66">
        <f t="shared" si="74"/>
        <v>0</v>
      </c>
      <c r="Q888" s="66"/>
      <c r="R888" s="66">
        <f t="shared" si="75"/>
        <v>3065.9394694041666</v>
      </c>
    </row>
    <row r="889" spans="1:18">
      <c r="A889" s="116" t="s">
        <v>626</v>
      </c>
      <c r="B889" s="125" t="s">
        <v>1984</v>
      </c>
      <c r="C889" s="125" t="s">
        <v>1985</v>
      </c>
      <c r="D889" s="116" t="s">
        <v>1986</v>
      </c>
      <c r="E889" s="125" t="s">
        <v>156</v>
      </c>
      <c r="F889" s="116" t="s">
        <v>26</v>
      </c>
      <c r="G889" s="125" t="s">
        <v>20</v>
      </c>
      <c r="H889" s="53"/>
      <c r="I889" s="125">
        <v>201602</v>
      </c>
      <c r="J889" s="126">
        <v>316334.99</v>
      </c>
      <c r="K889" s="72">
        <f t="shared" si="71"/>
        <v>42675</v>
      </c>
      <c r="L889" s="67">
        <f t="shared" si="72"/>
        <v>6</v>
      </c>
      <c r="M889" s="127">
        <v>1.4833299999999999E-3</v>
      </c>
      <c r="N889" s="104">
        <f t="shared" si="73"/>
        <v>2815.3750843001999</v>
      </c>
      <c r="O889" s="66"/>
      <c r="P889" s="66">
        <f t="shared" si="74"/>
        <v>0</v>
      </c>
      <c r="Q889" s="66"/>
      <c r="R889" s="66">
        <f t="shared" si="75"/>
        <v>5233.3010876895833</v>
      </c>
    </row>
    <row r="890" spans="1:18">
      <c r="A890" s="116" t="s">
        <v>626</v>
      </c>
      <c r="B890" s="125" t="s">
        <v>1850</v>
      </c>
      <c r="C890" s="125" t="s">
        <v>1851</v>
      </c>
      <c r="D890" s="116" t="s">
        <v>1852</v>
      </c>
      <c r="E890" s="125" t="s">
        <v>260</v>
      </c>
      <c r="F890" s="116" t="s">
        <v>1608</v>
      </c>
      <c r="G890" s="125" t="s">
        <v>20</v>
      </c>
      <c r="H890" s="53"/>
      <c r="I890" s="125">
        <v>201602</v>
      </c>
      <c r="J890" s="126">
        <v>-2896.55</v>
      </c>
      <c r="K890" s="72">
        <f t="shared" si="71"/>
        <v>42675</v>
      </c>
      <c r="L890" s="67">
        <f t="shared" si="72"/>
        <v>6</v>
      </c>
      <c r="M890" s="127">
        <v>1.4833299999999999E-3</v>
      </c>
      <c r="N890" s="104">
        <f t="shared" si="73"/>
        <v>-25.779237069000001</v>
      </c>
      <c r="O890" s="66"/>
      <c r="P890" s="66">
        <f t="shared" si="74"/>
        <v>0</v>
      </c>
      <c r="Q890" s="66"/>
      <c r="R890" s="66">
        <f t="shared" si="75"/>
        <v>-47.919195614583337</v>
      </c>
    </row>
    <row r="891" spans="1:18">
      <c r="A891" s="116" t="s">
        <v>626</v>
      </c>
      <c r="B891" s="125" t="s">
        <v>1814</v>
      </c>
      <c r="C891" s="125" t="s">
        <v>1815</v>
      </c>
      <c r="D891" s="116" t="s">
        <v>1816</v>
      </c>
      <c r="E891" s="125" t="s">
        <v>25</v>
      </c>
      <c r="F891" s="116" t="s">
        <v>26</v>
      </c>
      <c r="G891" s="125" t="s">
        <v>20</v>
      </c>
      <c r="H891" s="53"/>
      <c r="I891" s="125">
        <v>201602</v>
      </c>
      <c r="J891" s="126">
        <v>-752.91</v>
      </c>
      <c r="K891" s="72">
        <f t="shared" si="71"/>
        <v>42675</v>
      </c>
      <c r="L891" s="67">
        <f t="shared" si="72"/>
        <v>6</v>
      </c>
      <c r="M891" s="127">
        <v>1.4833299999999999E-3</v>
      </c>
      <c r="N891" s="104">
        <f t="shared" si="73"/>
        <v>-6.7008839417999999</v>
      </c>
      <c r="O891" s="66"/>
      <c r="P891" s="66">
        <f t="shared" si="74"/>
        <v>0</v>
      </c>
      <c r="Q891" s="66"/>
      <c r="R891" s="66">
        <f t="shared" si="75"/>
        <v>-12.455797956249999</v>
      </c>
    </row>
    <row r="892" spans="1:18">
      <c r="A892" s="116" t="s">
        <v>21</v>
      </c>
      <c r="B892" s="125" t="s">
        <v>1760</v>
      </c>
      <c r="C892" s="125" t="s">
        <v>1761</v>
      </c>
      <c r="D892" s="116" t="s">
        <v>1388</v>
      </c>
      <c r="E892" s="125" t="s">
        <v>164</v>
      </c>
      <c r="F892" s="116" t="s">
        <v>1600</v>
      </c>
      <c r="G892" s="125" t="s">
        <v>20</v>
      </c>
      <c r="H892" s="53"/>
      <c r="I892" s="125">
        <v>201602</v>
      </c>
      <c r="J892" s="126">
        <v>529.75</v>
      </c>
      <c r="K892" s="72">
        <f t="shared" si="71"/>
        <v>42675</v>
      </c>
      <c r="L892" s="67">
        <f t="shared" si="72"/>
        <v>6</v>
      </c>
      <c r="M892" s="127">
        <v>1.4833299999999999E-3</v>
      </c>
      <c r="N892" s="104">
        <f t="shared" si="73"/>
        <v>4.7147644050000004</v>
      </c>
      <c r="O892" s="66"/>
      <c r="P892" s="66">
        <f t="shared" si="74"/>
        <v>0</v>
      </c>
      <c r="Q892" s="66"/>
      <c r="R892" s="66">
        <f t="shared" si="75"/>
        <v>8.763941197916667</v>
      </c>
    </row>
    <row r="893" spans="1:18">
      <c r="A893" s="116" t="s">
        <v>626</v>
      </c>
      <c r="B893" s="125" t="s">
        <v>1760</v>
      </c>
      <c r="C893" s="125" t="s">
        <v>1761</v>
      </c>
      <c r="D893" s="116" t="s">
        <v>1388</v>
      </c>
      <c r="E893" s="125" t="s">
        <v>164</v>
      </c>
      <c r="F893" s="116" t="s">
        <v>1600</v>
      </c>
      <c r="G893" s="125" t="s">
        <v>20</v>
      </c>
      <c r="H893" s="53"/>
      <c r="I893" s="125">
        <v>201602</v>
      </c>
      <c r="J893" s="126">
        <v>-773.19</v>
      </c>
      <c r="K893" s="72">
        <f t="shared" si="71"/>
        <v>42675</v>
      </c>
      <c r="L893" s="67">
        <f t="shared" si="72"/>
        <v>6</v>
      </c>
      <c r="M893" s="127">
        <v>1.4833299999999999E-3</v>
      </c>
      <c r="N893" s="104">
        <f t="shared" si="73"/>
        <v>-6.8813755362000002</v>
      </c>
      <c r="O893" s="66"/>
      <c r="P893" s="66">
        <f t="shared" si="74"/>
        <v>0</v>
      </c>
      <c r="Q893" s="66"/>
      <c r="R893" s="66">
        <f t="shared" si="75"/>
        <v>-12.791300981250002</v>
      </c>
    </row>
    <row r="894" spans="1:18">
      <c r="A894" s="116" t="s">
        <v>626</v>
      </c>
      <c r="B894" s="125" t="s">
        <v>1762</v>
      </c>
      <c r="C894" s="125" t="s">
        <v>1763</v>
      </c>
      <c r="D894" s="116" t="s">
        <v>1344</v>
      </c>
      <c r="E894" s="125" t="s">
        <v>164</v>
      </c>
      <c r="F894" s="116" t="s">
        <v>1600</v>
      </c>
      <c r="G894" s="125" t="s">
        <v>20</v>
      </c>
      <c r="H894" s="53"/>
      <c r="I894" s="125">
        <v>201602</v>
      </c>
      <c r="J894" s="126">
        <v>-90.98</v>
      </c>
      <c r="K894" s="72">
        <f t="shared" si="71"/>
        <v>42675</v>
      </c>
      <c r="L894" s="67">
        <f t="shared" si="72"/>
        <v>6</v>
      </c>
      <c r="M894" s="127">
        <v>1.4833299999999999E-3</v>
      </c>
      <c r="N894" s="104">
        <f t="shared" si="73"/>
        <v>-0.80972018040000004</v>
      </c>
      <c r="O894" s="66"/>
      <c r="P894" s="66">
        <f t="shared" si="74"/>
        <v>0</v>
      </c>
      <c r="Q894" s="66"/>
      <c r="R894" s="66">
        <f t="shared" si="75"/>
        <v>-1.5051314208333335</v>
      </c>
    </row>
    <row r="895" spans="1:18">
      <c r="A895" s="116" t="s">
        <v>626</v>
      </c>
      <c r="B895" s="125" t="s">
        <v>1987</v>
      </c>
      <c r="C895" s="125" t="s">
        <v>1988</v>
      </c>
      <c r="D895" s="116" t="s">
        <v>1338</v>
      </c>
      <c r="E895" s="125" t="s">
        <v>75</v>
      </c>
      <c r="F895" s="116" t="s">
        <v>1602</v>
      </c>
      <c r="G895" s="125" t="s">
        <v>20</v>
      </c>
      <c r="H895" s="53"/>
      <c r="I895" s="125">
        <v>201602</v>
      </c>
      <c r="J895" s="126">
        <v>64401.67</v>
      </c>
      <c r="K895" s="72">
        <f t="shared" si="71"/>
        <v>42675</v>
      </c>
      <c r="L895" s="67">
        <f t="shared" si="72"/>
        <v>6</v>
      </c>
      <c r="M895" s="127">
        <v>1.4833299999999999E-3</v>
      </c>
      <c r="N895" s="104">
        <f t="shared" si="73"/>
        <v>573.17357496659997</v>
      </c>
      <c r="O895" s="66"/>
      <c r="P895" s="66">
        <f t="shared" si="74"/>
        <v>0</v>
      </c>
      <c r="Q895" s="66"/>
      <c r="R895" s="66">
        <f t="shared" si="75"/>
        <v>1065.4317110479167</v>
      </c>
    </row>
    <row r="896" spans="1:18">
      <c r="A896" s="116" t="s">
        <v>133</v>
      </c>
      <c r="B896" s="125" t="s">
        <v>1817</v>
      </c>
      <c r="C896" s="125" t="s">
        <v>1818</v>
      </c>
      <c r="D896" s="116" t="s">
        <v>1819</v>
      </c>
      <c r="E896" s="125" t="s">
        <v>75</v>
      </c>
      <c r="F896" s="116" t="s">
        <v>1602</v>
      </c>
      <c r="G896" s="125" t="s">
        <v>20</v>
      </c>
      <c r="H896" s="53"/>
      <c r="I896" s="125">
        <v>201602</v>
      </c>
      <c r="J896" s="126">
        <v>33259.919999999998</v>
      </c>
      <c r="K896" s="72">
        <f t="shared" si="71"/>
        <v>42675</v>
      </c>
      <c r="L896" s="67">
        <f t="shared" si="72"/>
        <v>6</v>
      </c>
      <c r="M896" s="127">
        <v>1.4833299999999999E-3</v>
      </c>
      <c r="N896" s="104">
        <f t="shared" si="73"/>
        <v>296.0126228016</v>
      </c>
      <c r="O896" s="66"/>
      <c r="P896" s="66">
        <f t="shared" si="74"/>
        <v>0</v>
      </c>
      <c r="Q896" s="66"/>
      <c r="R896" s="66">
        <f t="shared" si="75"/>
        <v>550.23687235</v>
      </c>
    </row>
    <row r="897" spans="1:18">
      <c r="A897" s="116" t="s">
        <v>626</v>
      </c>
      <c r="B897" s="125" t="s">
        <v>1989</v>
      </c>
      <c r="C897" s="125" t="s">
        <v>1990</v>
      </c>
      <c r="D897" s="116" t="s">
        <v>1495</v>
      </c>
      <c r="E897" s="125" t="s">
        <v>75</v>
      </c>
      <c r="F897" s="116" t="s">
        <v>1602</v>
      </c>
      <c r="G897" s="125" t="s">
        <v>20</v>
      </c>
      <c r="H897" s="53"/>
      <c r="I897" s="125">
        <v>201602</v>
      </c>
      <c r="J897" s="126">
        <v>159460.17000000001</v>
      </c>
      <c r="K897" s="72">
        <f t="shared" si="71"/>
        <v>42675</v>
      </c>
      <c r="L897" s="67">
        <f t="shared" si="72"/>
        <v>6</v>
      </c>
      <c r="M897" s="127">
        <v>1.4833299999999999E-3</v>
      </c>
      <c r="N897" s="104">
        <f t="shared" si="73"/>
        <v>1419.1923237966</v>
      </c>
      <c r="O897" s="66"/>
      <c r="P897" s="66">
        <f t="shared" si="74"/>
        <v>0</v>
      </c>
      <c r="Q897" s="66"/>
      <c r="R897" s="66">
        <f t="shared" si="75"/>
        <v>2638.0359665687506</v>
      </c>
    </row>
    <row r="898" spans="1:18">
      <c r="A898" s="116" t="s">
        <v>626</v>
      </c>
      <c r="B898" s="125" t="s">
        <v>1764</v>
      </c>
      <c r="C898" s="125" t="s">
        <v>1765</v>
      </c>
      <c r="D898" s="116" t="s">
        <v>1766</v>
      </c>
      <c r="E898" s="125" t="s">
        <v>156</v>
      </c>
      <c r="F898" s="116" t="s">
        <v>26</v>
      </c>
      <c r="G898" s="125" t="s">
        <v>20</v>
      </c>
      <c r="H898" s="53"/>
      <c r="I898" s="125">
        <v>201602</v>
      </c>
      <c r="J898" s="126">
        <v>-10664.76</v>
      </c>
      <c r="K898" s="72">
        <f t="shared" si="71"/>
        <v>42675</v>
      </c>
      <c r="L898" s="67">
        <f t="shared" si="72"/>
        <v>6</v>
      </c>
      <c r="M898" s="127">
        <v>1.4833299999999999E-3</v>
      </c>
      <c r="N898" s="104">
        <f t="shared" si="73"/>
        <v>-94.916150704800003</v>
      </c>
      <c r="O898" s="66"/>
      <c r="P898" s="66">
        <f t="shared" si="74"/>
        <v>0</v>
      </c>
      <c r="Q898" s="66"/>
      <c r="R898" s="66">
        <f t="shared" si="75"/>
        <v>-176.43290142500001</v>
      </c>
    </row>
    <row r="899" spans="1:18">
      <c r="A899" s="116" t="s">
        <v>626</v>
      </c>
      <c r="B899" s="125" t="s">
        <v>1945</v>
      </c>
      <c r="C899" s="125" t="s">
        <v>1946</v>
      </c>
      <c r="D899" s="116" t="s">
        <v>1947</v>
      </c>
      <c r="E899" s="125" t="s">
        <v>93</v>
      </c>
      <c r="F899" s="116" t="s">
        <v>1601</v>
      </c>
      <c r="G899" s="125" t="s">
        <v>20</v>
      </c>
      <c r="H899" s="53"/>
      <c r="I899" s="125">
        <v>201602</v>
      </c>
      <c r="J899" s="126">
        <v>313.19</v>
      </c>
      <c r="K899" s="72">
        <f t="shared" si="71"/>
        <v>42675</v>
      </c>
      <c r="L899" s="67">
        <f t="shared" si="72"/>
        <v>6</v>
      </c>
      <c r="M899" s="127">
        <v>1.4833299999999999E-3</v>
      </c>
      <c r="N899" s="104">
        <f t="shared" si="73"/>
        <v>2.7873847361999999</v>
      </c>
      <c r="O899" s="66"/>
      <c r="P899" s="66">
        <f t="shared" si="74"/>
        <v>0</v>
      </c>
      <c r="Q899" s="66"/>
      <c r="R899" s="66">
        <f t="shared" si="75"/>
        <v>5.1812718145833339</v>
      </c>
    </row>
    <row r="900" spans="1:18">
      <c r="A900" s="116" t="s">
        <v>626</v>
      </c>
      <c r="B900" s="125" t="s">
        <v>1991</v>
      </c>
      <c r="C900" s="125" t="s">
        <v>1992</v>
      </c>
      <c r="D900" s="116" t="s">
        <v>1993</v>
      </c>
      <c r="E900" s="125" t="s">
        <v>497</v>
      </c>
      <c r="F900" s="116" t="s">
        <v>26</v>
      </c>
      <c r="G900" s="125" t="s">
        <v>20</v>
      </c>
      <c r="H900" s="53"/>
      <c r="I900" s="125">
        <v>201602</v>
      </c>
      <c r="J900" s="126">
        <v>73175.320000000007</v>
      </c>
      <c r="K900" s="72">
        <f t="shared" si="71"/>
        <v>42675</v>
      </c>
      <c r="L900" s="67">
        <f t="shared" si="72"/>
        <v>6</v>
      </c>
      <c r="M900" s="127">
        <v>1.4833299999999999E-3</v>
      </c>
      <c r="N900" s="104">
        <f t="shared" si="73"/>
        <v>651.25888449360002</v>
      </c>
      <c r="O900" s="66"/>
      <c r="P900" s="66">
        <f t="shared" si="74"/>
        <v>0</v>
      </c>
      <c r="Q900" s="66"/>
      <c r="R900" s="66">
        <f t="shared" si="75"/>
        <v>1210.5789553916668</v>
      </c>
    </row>
    <row r="901" spans="1:18">
      <c r="A901" s="116" t="s">
        <v>127</v>
      </c>
      <c r="B901" s="125" t="s">
        <v>1994</v>
      </c>
      <c r="C901" s="125" t="s">
        <v>1995</v>
      </c>
      <c r="D901" s="116" t="s">
        <v>1996</v>
      </c>
      <c r="E901" s="125" t="s">
        <v>87</v>
      </c>
      <c r="F901" s="116" t="s">
        <v>1603</v>
      </c>
      <c r="G901" s="125" t="s">
        <v>20</v>
      </c>
      <c r="H901" s="53"/>
      <c r="I901" s="125">
        <v>201602</v>
      </c>
      <c r="J901" s="126">
        <v>58178.33</v>
      </c>
      <c r="K901" s="72">
        <f t="shared" si="71"/>
        <v>42675</v>
      </c>
      <c r="L901" s="67">
        <f t="shared" si="72"/>
        <v>6</v>
      </c>
      <c r="M901" s="114">
        <v>2.3833299999999999E-3</v>
      </c>
      <c r="N901" s="104">
        <f t="shared" si="73"/>
        <v>831.94895543339999</v>
      </c>
      <c r="O901" s="66"/>
      <c r="P901" s="66">
        <f t="shared" si="74"/>
        <v>0</v>
      </c>
      <c r="Q901" s="66"/>
      <c r="R901" s="66">
        <f t="shared" si="75"/>
        <v>962.47562645208347</v>
      </c>
    </row>
    <row r="902" spans="1:18">
      <c r="A902" s="116" t="s">
        <v>626</v>
      </c>
      <c r="B902" s="125" t="s">
        <v>1681</v>
      </c>
      <c r="C902" s="125" t="s">
        <v>1997</v>
      </c>
      <c r="D902" s="116" t="s">
        <v>1998</v>
      </c>
      <c r="E902" s="125" t="s">
        <v>164</v>
      </c>
      <c r="F902" s="116" t="s">
        <v>1600</v>
      </c>
      <c r="G902" s="125" t="s">
        <v>20</v>
      </c>
      <c r="H902" s="53"/>
      <c r="I902" s="125">
        <v>201602</v>
      </c>
      <c r="J902" s="126">
        <v>126866.74</v>
      </c>
      <c r="K902" s="72">
        <f t="shared" si="71"/>
        <v>42675</v>
      </c>
      <c r="L902" s="67">
        <f t="shared" si="72"/>
        <v>6</v>
      </c>
      <c r="M902" s="127">
        <v>1.4833299999999999E-3</v>
      </c>
      <c r="N902" s="104">
        <f t="shared" si="73"/>
        <v>1129.1114486652</v>
      </c>
      <c r="O902" s="66"/>
      <c r="P902" s="66">
        <f t="shared" si="74"/>
        <v>0</v>
      </c>
      <c r="Q902" s="66"/>
      <c r="R902" s="66">
        <f t="shared" si="75"/>
        <v>2098.8251993041667</v>
      </c>
    </row>
    <row r="903" spans="1:18">
      <c r="A903" s="116" t="s">
        <v>1942</v>
      </c>
      <c r="B903" s="125" t="s">
        <v>1681</v>
      </c>
      <c r="C903" s="125" t="s">
        <v>1997</v>
      </c>
      <c r="D903" s="116" t="s">
        <v>1998</v>
      </c>
      <c r="E903" s="125" t="s">
        <v>164</v>
      </c>
      <c r="F903" s="116" t="s">
        <v>1600</v>
      </c>
      <c r="G903" s="125" t="s">
        <v>20</v>
      </c>
      <c r="H903" s="53"/>
      <c r="I903" s="125">
        <v>201602</v>
      </c>
      <c r="J903" s="126">
        <v>289.58</v>
      </c>
      <c r="K903" s="72">
        <f t="shared" ref="K903:K924" si="76">+K902</f>
        <v>42675</v>
      </c>
      <c r="L903" s="67">
        <f t="shared" si="72"/>
        <v>6</v>
      </c>
      <c r="M903" s="114">
        <v>2.23333E-3</v>
      </c>
      <c r="N903" s="104">
        <f t="shared" si="73"/>
        <v>3.8803662083999995</v>
      </c>
      <c r="O903" s="66"/>
      <c r="P903" s="66">
        <f t="shared" si="74"/>
        <v>0</v>
      </c>
      <c r="Q903" s="66"/>
      <c r="R903" s="66">
        <f t="shared" si="75"/>
        <v>4.7906787958333332</v>
      </c>
    </row>
    <row r="904" spans="1:18">
      <c r="A904" s="116" t="s">
        <v>626</v>
      </c>
      <c r="B904" s="125" t="s">
        <v>1681</v>
      </c>
      <c r="C904" s="125" t="s">
        <v>1999</v>
      </c>
      <c r="D904" s="116" t="s">
        <v>2000</v>
      </c>
      <c r="E904" s="125" t="s">
        <v>75</v>
      </c>
      <c r="F904" s="116" t="s">
        <v>1602</v>
      </c>
      <c r="G904" s="125" t="s">
        <v>20</v>
      </c>
      <c r="H904" s="53"/>
      <c r="I904" s="125">
        <v>201602</v>
      </c>
      <c r="J904" s="126">
        <v>259658.07</v>
      </c>
      <c r="K904" s="72">
        <f t="shared" si="76"/>
        <v>42675</v>
      </c>
      <c r="L904" s="67">
        <f t="shared" si="72"/>
        <v>6</v>
      </c>
      <c r="M904" s="127">
        <v>1.4833299999999999E-3</v>
      </c>
      <c r="N904" s="104">
        <f t="shared" si="73"/>
        <v>2310.9516298386002</v>
      </c>
      <c r="O904" s="66"/>
      <c r="P904" s="66">
        <f t="shared" si="74"/>
        <v>0</v>
      </c>
      <c r="Q904" s="66"/>
      <c r="R904" s="66">
        <f t="shared" si="75"/>
        <v>4295.6641001312501</v>
      </c>
    </row>
    <row r="905" spans="1:18">
      <c r="A905" s="116" t="s">
        <v>1942</v>
      </c>
      <c r="B905" s="125" t="s">
        <v>1681</v>
      </c>
      <c r="C905" s="125" t="s">
        <v>1999</v>
      </c>
      <c r="D905" s="116" t="s">
        <v>2000</v>
      </c>
      <c r="E905" s="125" t="s">
        <v>75</v>
      </c>
      <c r="F905" s="116" t="s">
        <v>1602</v>
      </c>
      <c r="G905" s="125" t="s">
        <v>20</v>
      </c>
      <c r="H905" s="53"/>
      <c r="I905" s="125">
        <v>201602</v>
      </c>
      <c r="J905" s="126">
        <v>1086.4100000000001</v>
      </c>
      <c r="K905" s="72">
        <f t="shared" si="76"/>
        <v>42675</v>
      </c>
      <c r="L905" s="67">
        <f t="shared" si="72"/>
        <v>6</v>
      </c>
      <c r="M905" s="114">
        <v>2.23333E-3</v>
      </c>
      <c r="N905" s="104">
        <f t="shared" si="73"/>
        <v>14.557872271799999</v>
      </c>
      <c r="O905" s="66"/>
      <c r="P905" s="66">
        <f t="shared" si="74"/>
        <v>0</v>
      </c>
      <c r="Q905" s="66"/>
      <c r="R905" s="66">
        <f t="shared" si="75"/>
        <v>17.973069102083333</v>
      </c>
    </row>
    <row r="906" spans="1:18">
      <c r="A906" s="116" t="s">
        <v>14</v>
      </c>
      <c r="B906" s="125" t="s">
        <v>1681</v>
      </c>
      <c r="C906" s="125" t="s">
        <v>1999</v>
      </c>
      <c r="D906" s="116" t="s">
        <v>2000</v>
      </c>
      <c r="E906" s="125" t="s">
        <v>75</v>
      </c>
      <c r="F906" s="116" t="s">
        <v>1602</v>
      </c>
      <c r="G906" s="125" t="s">
        <v>20</v>
      </c>
      <c r="H906" s="53"/>
      <c r="I906" s="125">
        <v>201602</v>
      </c>
      <c r="J906" s="126">
        <v>33209.67</v>
      </c>
      <c r="K906" s="72">
        <f t="shared" si="76"/>
        <v>42675</v>
      </c>
      <c r="L906" s="67">
        <f t="shared" si="72"/>
        <v>6</v>
      </c>
      <c r="M906" s="114">
        <v>2.23333E-3</v>
      </c>
      <c r="N906" s="104">
        <f t="shared" si="73"/>
        <v>445.00891380659994</v>
      </c>
      <c r="O906" s="66"/>
      <c r="P906" s="66">
        <f t="shared" si="74"/>
        <v>0</v>
      </c>
      <c r="Q906" s="66"/>
      <c r="R906" s="66">
        <f t="shared" si="75"/>
        <v>549.40555938124999</v>
      </c>
    </row>
    <row r="907" spans="1:18">
      <c r="A907" s="116" t="s">
        <v>626</v>
      </c>
      <c r="B907" s="125" t="s">
        <v>1681</v>
      </c>
      <c r="C907" s="125" t="s">
        <v>2001</v>
      </c>
      <c r="D907" s="116" t="s">
        <v>2002</v>
      </c>
      <c r="E907" s="125" t="s">
        <v>164</v>
      </c>
      <c r="F907" s="116" t="s">
        <v>1600</v>
      </c>
      <c r="G907" s="125" t="s">
        <v>20</v>
      </c>
      <c r="H907" s="53"/>
      <c r="I907" s="125">
        <v>201602</v>
      </c>
      <c r="J907" s="126">
        <v>49396.41</v>
      </c>
      <c r="K907" s="72">
        <f t="shared" si="76"/>
        <v>42675</v>
      </c>
      <c r="L907" s="67">
        <f t="shared" si="72"/>
        <v>6</v>
      </c>
      <c r="M907" s="127">
        <v>1.4833299999999999E-3</v>
      </c>
      <c r="N907" s="104">
        <f t="shared" si="73"/>
        <v>439.62706107180003</v>
      </c>
      <c r="O907" s="66"/>
      <c r="P907" s="66">
        <f t="shared" si="74"/>
        <v>0</v>
      </c>
      <c r="Q907" s="66"/>
      <c r="R907" s="66">
        <f t="shared" si="75"/>
        <v>817.19156701875011</v>
      </c>
    </row>
    <row r="908" spans="1:18">
      <c r="A908" s="116" t="s">
        <v>14</v>
      </c>
      <c r="B908" s="125" t="s">
        <v>1681</v>
      </c>
      <c r="C908" s="125" t="s">
        <v>2001</v>
      </c>
      <c r="D908" s="116" t="s">
        <v>2002</v>
      </c>
      <c r="E908" s="125" t="s">
        <v>164</v>
      </c>
      <c r="F908" s="116" t="s">
        <v>1600</v>
      </c>
      <c r="G908" s="125" t="s">
        <v>20</v>
      </c>
      <c r="H908" s="53"/>
      <c r="I908" s="125">
        <v>201602</v>
      </c>
      <c r="J908" s="126">
        <v>67.510000000000005</v>
      </c>
      <c r="K908" s="72">
        <f t="shared" si="76"/>
        <v>42675</v>
      </c>
      <c r="L908" s="67">
        <f t="shared" si="72"/>
        <v>6</v>
      </c>
      <c r="M908" s="114">
        <v>2.23333E-3</v>
      </c>
      <c r="N908" s="104">
        <f t="shared" si="73"/>
        <v>0.90463264980000002</v>
      </c>
      <c r="O908" s="66"/>
      <c r="P908" s="66">
        <f t="shared" si="74"/>
        <v>0</v>
      </c>
      <c r="Q908" s="66"/>
      <c r="R908" s="66">
        <f t="shared" si="75"/>
        <v>1.1168544979166668</v>
      </c>
    </row>
    <row r="909" spans="1:18">
      <c r="A909" s="116" t="s">
        <v>21</v>
      </c>
      <c r="B909" s="125" t="s">
        <v>1681</v>
      </c>
      <c r="C909" s="125" t="s">
        <v>2003</v>
      </c>
      <c r="D909" s="116" t="s">
        <v>2004</v>
      </c>
      <c r="E909" s="125" t="s">
        <v>164</v>
      </c>
      <c r="F909" s="116" t="s">
        <v>1600</v>
      </c>
      <c r="G909" s="125" t="s">
        <v>20</v>
      </c>
      <c r="H909" s="53"/>
      <c r="I909" s="125">
        <v>201602</v>
      </c>
      <c r="J909" s="126">
        <v>879.18</v>
      </c>
      <c r="K909" s="72">
        <f t="shared" si="76"/>
        <v>42675</v>
      </c>
      <c r="L909" s="67">
        <f t="shared" si="72"/>
        <v>6</v>
      </c>
      <c r="M909" s="127">
        <v>1.4833299999999999E-3</v>
      </c>
      <c r="N909" s="104">
        <f t="shared" si="73"/>
        <v>7.8246844163999993</v>
      </c>
      <c r="O909" s="66"/>
      <c r="P909" s="66">
        <f t="shared" si="74"/>
        <v>0</v>
      </c>
      <c r="Q909" s="66"/>
      <c r="R909" s="66">
        <f t="shared" si="75"/>
        <v>14.5447509625</v>
      </c>
    </row>
    <row r="910" spans="1:18">
      <c r="A910" s="116" t="s">
        <v>626</v>
      </c>
      <c r="B910" s="125" t="s">
        <v>1681</v>
      </c>
      <c r="C910" s="125" t="s">
        <v>2003</v>
      </c>
      <c r="D910" s="116" t="s">
        <v>2004</v>
      </c>
      <c r="E910" s="125" t="s">
        <v>164</v>
      </c>
      <c r="F910" s="116" t="s">
        <v>1600</v>
      </c>
      <c r="G910" s="125" t="s">
        <v>20</v>
      </c>
      <c r="H910" s="53"/>
      <c r="I910" s="125">
        <v>201602</v>
      </c>
      <c r="J910" s="126">
        <v>18100.91</v>
      </c>
      <c r="K910" s="72">
        <f t="shared" si="76"/>
        <v>42675</v>
      </c>
      <c r="L910" s="67">
        <f t="shared" si="72"/>
        <v>6</v>
      </c>
      <c r="M910" s="127">
        <v>1.4833299999999999E-3</v>
      </c>
      <c r="N910" s="104">
        <f t="shared" si="73"/>
        <v>161.09773698180001</v>
      </c>
      <c r="O910" s="66"/>
      <c r="P910" s="66">
        <f t="shared" si="74"/>
        <v>0</v>
      </c>
      <c r="Q910" s="66"/>
      <c r="R910" s="66">
        <f t="shared" si="75"/>
        <v>299.45315878958331</v>
      </c>
    </row>
    <row r="911" spans="1:18">
      <c r="A911" s="116" t="s">
        <v>14</v>
      </c>
      <c r="B911" s="125" t="s">
        <v>1681</v>
      </c>
      <c r="C911" s="125" t="s">
        <v>2003</v>
      </c>
      <c r="D911" s="116" t="s">
        <v>2004</v>
      </c>
      <c r="E911" s="125" t="s">
        <v>164</v>
      </c>
      <c r="F911" s="116" t="s">
        <v>1600</v>
      </c>
      <c r="G911" s="125" t="s">
        <v>20</v>
      </c>
      <c r="H911" s="53"/>
      <c r="I911" s="125">
        <v>201602</v>
      </c>
      <c r="J911" s="126">
        <v>871.45</v>
      </c>
      <c r="K911" s="72">
        <f t="shared" si="76"/>
        <v>42675</v>
      </c>
      <c r="L911" s="67">
        <f t="shared" si="72"/>
        <v>6</v>
      </c>
      <c r="M911" s="114">
        <v>2.23333E-3</v>
      </c>
      <c r="N911" s="104">
        <f t="shared" si="73"/>
        <v>11.677412571</v>
      </c>
      <c r="O911" s="66"/>
      <c r="P911" s="66">
        <f t="shared" si="74"/>
        <v>0</v>
      </c>
      <c r="Q911" s="66"/>
      <c r="R911" s="66">
        <f t="shared" si="75"/>
        <v>14.416869385416668</v>
      </c>
    </row>
    <row r="912" spans="1:18">
      <c r="A912" s="116" t="s">
        <v>626</v>
      </c>
      <c r="B912" s="125" t="s">
        <v>1681</v>
      </c>
      <c r="C912" s="125" t="s">
        <v>2005</v>
      </c>
      <c r="D912" s="116" t="s">
        <v>2006</v>
      </c>
      <c r="E912" s="125" t="s">
        <v>87</v>
      </c>
      <c r="F912" s="116" t="s">
        <v>1603</v>
      </c>
      <c r="G912" s="125" t="s">
        <v>20</v>
      </c>
      <c r="H912" s="53"/>
      <c r="I912" s="125">
        <v>201602</v>
      </c>
      <c r="J912" s="126">
        <v>91746.76</v>
      </c>
      <c r="K912" s="72">
        <f t="shared" si="76"/>
        <v>42675</v>
      </c>
      <c r="L912" s="67">
        <f t="shared" si="72"/>
        <v>6</v>
      </c>
      <c r="M912" s="127">
        <v>1.4833299999999999E-3</v>
      </c>
      <c r="N912" s="104">
        <f t="shared" si="73"/>
        <v>816.54432906479997</v>
      </c>
      <c r="O912" s="66"/>
      <c r="P912" s="66">
        <f t="shared" si="74"/>
        <v>0</v>
      </c>
      <c r="Q912" s="66"/>
      <c r="R912" s="66">
        <f t="shared" si="75"/>
        <v>1517.8163468416665</v>
      </c>
    </row>
    <row r="913" spans="1:18">
      <c r="A913" s="116" t="s">
        <v>14</v>
      </c>
      <c r="B913" s="125" t="s">
        <v>1681</v>
      </c>
      <c r="C913" s="125" t="s">
        <v>2005</v>
      </c>
      <c r="D913" s="116" t="s">
        <v>2006</v>
      </c>
      <c r="E913" s="125" t="s">
        <v>87</v>
      </c>
      <c r="F913" s="116" t="s">
        <v>1603</v>
      </c>
      <c r="G913" s="125" t="s">
        <v>20</v>
      </c>
      <c r="H913" s="53"/>
      <c r="I913" s="125">
        <v>201602</v>
      </c>
      <c r="J913" s="126">
        <v>297.14999999999998</v>
      </c>
      <c r="K913" s="72">
        <f t="shared" si="76"/>
        <v>42675</v>
      </c>
      <c r="L913" s="67">
        <f t="shared" si="72"/>
        <v>6</v>
      </c>
      <c r="M913" s="114">
        <v>2.23333E-3</v>
      </c>
      <c r="N913" s="104">
        <f t="shared" si="73"/>
        <v>3.9818040569999993</v>
      </c>
      <c r="O913" s="66"/>
      <c r="P913" s="66">
        <f t="shared" si="74"/>
        <v>0</v>
      </c>
      <c r="Q913" s="66"/>
      <c r="R913" s="66">
        <f t="shared" si="75"/>
        <v>4.9159134062499996</v>
      </c>
    </row>
    <row r="914" spans="1:18">
      <c r="A914" s="116" t="s">
        <v>626</v>
      </c>
      <c r="B914" s="125" t="s">
        <v>1681</v>
      </c>
      <c r="C914" s="125" t="s">
        <v>1853</v>
      </c>
      <c r="D914" s="116" t="s">
        <v>1854</v>
      </c>
      <c r="E914" s="125" t="s">
        <v>260</v>
      </c>
      <c r="F914" s="116" t="s">
        <v>1608</v>
      </c>
      <c r="G914" s="125" t="s">
        <v>20</v>
      </c>
      <c r="H914" s="53"/>
      <c r="I914" s="125">
        <v>201602</v>
      </c>
      <c r="J914" s="126">
        <v>2107.5500000000002</v>
      </c>
      <c r="K914" s="72">
        <f t="shared" si="76"/>
        <v>42675</v>
      </c>
      <c r="L914" s="67">
        <f t="shared" si="72"/>
        <v>6</v>
      </c>
      <c r="M914" s="127">
        <v>1.4833299999999999E-3</v>
      </c>
      <c r="N914" s="104">
        <f t="shared" si="73"/>
        <v>18.757152849000001</v>
      </c>
      <c r="O914" s="66"/>
      <c r="P914" s="66">
        <f t="shared" si="74"/>
        <v>0</v>
      </c>
      <c r="Q914" s="66"/>
      <c r="R914" s="66">
        <f t="shared" si="75"/>
        <v>34.866341239583342</v>
      </c>
    </row>
    <row r="915" spans="1:18">
      <c r="A915" s="116" t="s">
        <v>626</v>
      </c>
      <c r="B915" s="125" t="s">
        <v>1681</v>
      </c>
      <c r="C915" s="125" t="s">
        <v>2007</v>
      </c>
      <c r="D915" s="116" t="s">
        <v>2008</v>
      </c>
      <c r="E915" s="125" t="s">
        <v>260</v>
      </c>
      <c r="F915" s="116" t="s">
        <v>1608</v>
      </c>
      <c r="G915" s="125" t="s">
        <v>20</v>
      </c>
      <c r="H915" s="53"/>
      <c r="I915" s="125">
        <v>201602</v>
      </c>
      <c r="J915" s="126">
        <v>134684.87</v>
      </c>
      <c r="K915" s="72">
        <f t="shared" si="76"/>
        <v>42675</v>
      </c>
      <c r="L915" s="67">
        <f t="shared" si="72"/>
        <v>6</v>
      </c>
      <c r="M915" s="127">
        <v>1.4833299999999999E-3</v>
      </c>
      <c r="N915" s="104">
        <f t="shared" si="73"/>
        <v>1198.6926493025999</v>
      </c>
      <c r="O915" s="66"/>
      <c r="P915" s="66">
        <f t="shared" si="74"/>
        <v>0</v>
      </c>
      <c r="Q915" s="66"/>
      <c r="R915" s="66">
        <f t="shared" si="75"/>
        <v>2228.1647587145835</v>
      </c>
    </row>
    <row r="916" spans="1:18">
      <c r="A916" s="116" t="s">
        <v>626</v>
      </c>
      <c r="B916" s="125" t="s">
        <v>1681</v>
      </c>
      <c r="C916" s="125" t="s">
        <v>2009</v>
      </c>
      <c r="D916" s="116" t="s">
        <v>2010</v>
      </c>
      <c r="E916" s="125" t="s">
        <v>260</v>
      </c>
      <c r="F916" s="116" t="s">
        <v>1608</v>
      </c>
      <c r="G916" s="125" t="s">
        <v>20</v>
      </c>
      <c r="H916" s="53"/>
      <c r="I916" s="125">
        <v>201602</v>
      </c>
      <c r="J916" s="126">
        <v>663464.42000000004</v>
      </c>
      <c r="K916" s="72">
        <f t="shared" si="76"/>
        <v>42675</v>
      </c>
      <c r="L916" s="67">
        <f t="shared" si="72"/>
        <v>6</v>
      </c>
      <c r="M916" s="127">
        <v>1.4833299999999999E-3</v>
      </c>
      <c r="N916" s="104">
        <f t="shared" si="73"/>
        <v>5904.8200687116005</v>
      </c>
      <c r="O916" s="66"/>
      <c r="P916" s="66">
        <f t="shared" si="74"/>
        <v>0</v>
      </c>
      <c r="Q916" s="66"/>
      <c r="R916" s="66">
        <f t="shared" si="75"/>
        <v>10976.051276620834</v>
      </c>
    </row>
    <row r="917" spans="1:18">
      <c r="A917" s="116" t="s">
        <v>14</v>
      </c>
      <c r="B917" s="125" t="s">
        <v>1681</v>
      </c>
      <c r="C917" s="125" t="s">
        <v>2009</v>
      </c>
      <c r="D917" s="116" t="s">
        <v>2010</v>
      </c>
      <c r="E917" s="125" t="s">
        <v>260</v>
      </c>
      <c r="F917" s="116" t="s">
        <v>1608</v>
      </c>
      <c r="G917" s="125" t="s">
        <v>20</v>
      </c>
      <c r="H917" s="53"/>
      <c r="I917" s="125">
        <v>201602</v>
      </c>
      <c r="J917" s="126">
        <v>12514.86</v>
      </c>
      <c r="K917" s="72">
        <f t="shared" si="76"/>
        <v>42675</v>
      </c>
      <c r="L917" s="67">
        <f t="shared" si="72"/>
        <v>6</v>
      </c>
      <c r="M917" s="114">
        <v>2.23333E-3</v>
      </c>
      <c r="N917" s="104">
        <f t="shared" si="73"/>
        <v>167.6988737028</v>
      </c>
      <c r="O917" s="66"/>
      <c r="P917" s="66">
        <f t="shared" si="74"/>
        <v>0</v>
      </c>
      <c r="Q917" s="66"/>
      <c r="R917" s="66">
        <f t="shared" si="75"/>
        <v>207.04010786250004</v>
      </c>
    </row>
    <row r="918" spans="1:18">
      <c r="A918" s="116" t="s">
        <v>626</v>
      </c>
      <c r="B918" s="125" t="s">
        <v>1681</v>
      </c>
      <c r="C918" s="125" t="s">
        <v>2011</v>
      </c>
      <c r="D918" s="116" t="s">
        <v>2012</v>
      </c>
      <c r="E918" s="125" t="s">
        <v>260</v>
      </c>
      <c r="F918" s="116" t="s">
        <v>1608</v>
      </c>
      <c r="G918" s="125" t="s">
        <v>20</v>
      </c>
      <c r="H918" s="53"/>
      <c r="I918" s="125">
        <v>201602</v>
      </c>
      <c r="J918" s="126">
        <v>298153.7</v>
      </c>
      <c r="K918" s="72">
        <f t="shared" si="76"/>
        <v>42675</v>
      </c>
      <c r="L918" s="67">
        <f t="shared" si="72"/>
        <v>6</v>
      </c>
      <c r="M918" s="127">
        <v>1.4833299999999999E-3</v>
      </c>
      <c r="N918" s="104">
        <f t="shared" si="73"/>
        <v>2653.561966926</v>
      </c>
      <c r="O918" s="66"/>
      <c r="P918" s="66">
        <f t="shared" si="74"/>
        <v>0</v>
      </c>
      <c r="Q918" s="66"/>
      <c r="R918" s="66">
        <f t="shared" si="75"/>
        <v>4932.5181590208331</v>
      </c>
    </row>
    <row r="919" spans="1:18">
      <c r="A919" s="116" t="s">
        <v>14</v>
      </c>
      <c r="B919" s="125" t="s">
        <v>1681</v>
      </c>
      <c r="C919" s="125" t="s">
        <v>2011</v>
      </c>
      <c r="D919" s="116" t="s">
        <v>2012</v>
      </c>
      <c r="E919" s="125" t="s">
        <v>260</v>
      </c>
      <c r="F919" s="116" t="s">
        <v>1608</v>
      </c>
      <c r="G919" s="125" t="s">
        <v>20</v>
      </c>
      <c r="H919" s="53"/>
      <c r="I919" s="125">
        <v>201602</v>
      </c>
      <c r="J919" s="126">
        <v>6667.38</v>
      </c>
      <c r="K919" s="72">
        <f t="shared" si="76"/>
        <v>42675</v>
      </c>
      <c r="L919" s="67">
        <f t="shared" si="72"/>
        <v>6</v>
      </c>
      <c r="M919" s="114">
        <v>2.23333E-3</v>
      </c>
      <c r="N919" s="104">
        <f t="shared" si="73"/>
        <v>89.342758652399993</v>
      </c>
      <c r="O919" s="66"/>
      <c r="P919" s="66">
        <f t="shared" si="74"/>
        <v>0</v>
      </c>
      <c r="Q919" s="66"/>
      <c r="R919" s="66">
        <f t="shared" si="75"/>
        <v>110.30207883750001</v>
      </c>
    </row>
    <row r="920" spans="1:18">
      <c r="A920" s="116" t="s">
        <v>626</v>
      </c>
      <c r="B920" s="125" t="s">
        <v>1681</v>
      </c>
      <c r="C920" s="125" t="s">
        <v>2013</v>
      </c>
      <c r="D920" s="116" t="s">
        <v>2014</v>
      </c>
      <c r="E920" s="125" t="s">
        <v>164</v>
      </c>
      <c r="F920" s="116" t="s">
        <v>1600</v>
      </c>
      <c r="G920" s="125" t="s">
        <v>20</v>
      </c>
      <c r="H920" s="53"/>
      <c r="I920" s="125">
        <v>201602</v>
      </c>
      <c r="J920" s="126">
        <v>38343.440000000002</v>
      </c>
      <c r="K920" s="72">
        <f t="shared" si="76"/>
        <v>42675</v>
      </c>
      <c r="L920" s="67">
        <f t="shared" si="72"/>
        <v>6</v>
      </c>
      <c r="M920" s="127">
        <v>1.4833299999999999E-3</v>
      </c>
      <c r="N920" s="104">
        <f t="shared" si="73"/>
        <v>341.25584913120002</v>
      </c>
      <c r="O920" s="66"/>
      <c r="P920" s="66">
        <f t="shared" si="74"/>
        <v>0</v>
      </c>
      <c r="Q920" s="66"/>
      <c r="R920" s="66">
        <f t="shared" si="75"/>
        <v>634.33629728333347</v>
      </c>
    </row>
    <row r="921" spans="1:18">
      <c r="A921" s="116" t="s">
        <v>14</v>
      </c>
      <c r="B921" s="125" t="s">
        <v>1681</v>
      </c>
      <c r="C921" s="125" t="s">
        <v>2013</v>
      </c>
      <c r="D921" s="116" t="s">
        <v>2014</v>
      </c>
      <c r="E921" s="125" t="s">
        <v>164</v>
      </c>
      <c r="F921" s="116" t="s">
        <v>1600</v>
      </c>
      <c r="G921" s="125" t="s">
        <v>20</v>
      </c>
      <c r="H921" s="53"/>
      <c r="I921" s="125">
        <v>201602</v>
      </c>
      <c r="J921" s="126">
        <v>10024.02</v>
      </c>
      <c r="K921" s="72">
        <f t="shared" si="76"/>
        <v>42675</v>
      </c>
      <c r="L921" s="67">
        <f t="shared" si="72"/>
        <v>6</v>
      </c>
      <c r="M921" s="114">
        <v>2.23333E-3</v>
      </c>
      <c r="N921" s="104">
        <f t="shared" si="73"/>
        <v>134.3216675196</v>
      </c>
      <c r="O921" s="66"/>
      <c r="P921" s="66">
        <f t="shared" si="74"/>
        <v>0</v>
      </c>
      <c r="Q921" s="66"/>
      <c r="R921" s="66">
        <f t="shared" si="75"/>
        <v>165.83279253750001</v>
      </c>
    </row>
    <row r="922" spans="1:18">
      <c r="A922" s="116" t="s">
        <v>626</v>
      </c>
      <c r="B922" s="125" t="s">
        <v>1681</v>
      </c>
      <c r="C922" s="125" t="s">
        <v>2015</v>
      </c>
      <c r="D922" s="116" t="s">
        <v>2016</v>
      </c>
      <c r="E922" s="125" t="s">
        <v>164</v>
      </c>
      <c r="F922" s="116" t="s">
        <v>1600</v>
      </c>
      <c r="G922" s="125" t="s">
        <v>20</v>
      </c>
      <c r="H922" s="53"/>
      <c r="I922" s="125">
        <v>201602</v>
      </c>
      <c r="J922" s="126">
        <v>22312.59</v>
      </c>
      <c r="K922" s="72">
        <f t="shared" si="76"/>
        <v>42675</v>
      </c>
      <c r="L922" s="67">
        <f t="shared" si="72"/>
        <v>6</v>
      </c>
      <c r="M922" s="127">
        <v>1.4833299999999999E-3</v>
      </c>
      <c r="N922" s="104">
        <f t="shared" si="73"/>
        <v>198.58160474819999</v>
      </c>
      <c r="O922" s="66"/>
      <c r="P922" s="66">
        <f t="shared" si="74"/>
        <v>0</v>
      </c>
      <c r="Q922" s="66"/>
      <c r="R922" s="66">
        <f t="shared" si="75"/>
        <v>369.12926235624997</v>
      </c>
    </row>
    <row r="923" spans="1:18">
      <c r="A923" s="116" t="s">
        <v>14</v>
      </c>
      <c r="B923" s="125" t="s">
        <v>1681</v>
      </c>
      <c r="C923" s="125" t="s">
        <v>2015</v>
      </c>
      <c r="D923" s="116" t="s">
        <v>2016</v>
      </c>
      <c r="E923" s="125" t="s">
        <v>164</v>
      </c>
      <c r="F923" s="116" t="s">
        <v>1600</v>
      </c>
      <c r="G923" s="125" t="s">
        <v>20</v>
      </c>
      <c r="H923" s="53"/>
      <c r="I923" s="125">
        <v>201602</v>
      </c>
      <c r="J923" s="126">
        <v>2003.12</v>
      </c>
      <c r="K923" s="72">
        <f t="shared" si="76"/>
        <v>42675</v>
      </c>
      <c r="L923" s="67">
        <f t="shared" si="72"/>
        <v>6</v>
      </c>
      <c r="M923" s="114">
        <v>2.23333E-3</v>
      </c>
      <c r="N923" s="104">
        <f t="shared" si="73"/>
        <v>26.841767937599997</v>
      </c>
      <c r="O923" s="66"/>
      <c r="P923" s="66">
        <f t="shared" si="74"/>
        <v>0</v>
      </c>
      <c r="Q923" s="66"/>
      <c r="R923" s="66">
        <f t="shared" si="75"/>
        <v>33.138699183333337</v>
      </c>
    </row>
    <row r="924" spans="1:18">
      <c r="A924" s="116" t="s">
        <v>21</v>
      </c>
      <c r="B924" s="125" t="s">
        <v>1681</v>
      </c>
      <c r="C924" s="125" t="s">
        <v>2017</v>
      </c>
      <c r="D924" s="116" t="s">
        <v>2018</v>
      </c>
      <c r="E924" s="125" t="s">
        <v>87</v>
      </c>
      <c r="F924" s="116" t="s">
        <v>1603</v>
      </c>
      <c r="G924" s="125" t="s">
        <v>20</v>
      </c>
      <c r="H924" s="53"/>
      <c r="I924" s="125">
        <v>201602</v>
      </c>
      <c r="J924" s="126">
        <v>35097.43</v>
      </c>
      <c r="K924" s="72">
        <f t="shared" si="76"/>
        <v>42675</v>
      </c>
      <c r="L924" s="67">
        <f t="shared" si="72"/>
        <v>6</v>
      </c>
      <c r="M924" s="127">
        <v>1.4833299999999999E-3</v>
      </c>
      <c r="N924" s="104">
        <f t="shared" si="73"/>
        <v>312.36642505140003</v>
      </c>
      <c r="O924" s="66"/>
      <c r="P924" s="66">
        <f t="shared" si="74"/>
        <v>0</v>
      </c>
      <c r="Q924" s="66"/>
      <c r="R924" s="66">
        <f t="shared" si="75"/>
        <v>580.63579559791663</v>
      </c>
    </row>
    <row r="926" spans="1:18" ht="17.25">
      <c r="J926" s="124">
        <f>SUM(J5:J304,J306:J924)</f>
        <v>24696659.409999982</v>
      </c>
      <c r="N926" s="124">
        <f>SUM(N5:N304,N306:N924)</f>
        <v>237630.24116165107</v>
      </c>
      <c r="O926" s="124"/>
      <c r="P926" s="124">
        <f>SUM(P5:P304,P306:P924)</f>
        <v>0</v>
      </c>
      <c r="Q926" s="124"/>
      <c r="R926" s="124">
        <f>SUM(R5:R304,R306:R924)</f>
        <v>406810.68150907708</v>
      </c>
    </row>
    <row r="929" spans="19:19">
      <c r="S929" s="53">
        <f>23280061.65*0.5188</f>
        <v>12077695.98402</v>
      </c>
    </row>
  </sheetData>
  <mergeCells count="12">
    <mergeCell ref="K4:N4"/>
    <mergeCell ref="V6:X6"/>
    <mergeCell ref="Q1:R1"/>
    <mergeCell ref="Q2:Q3"/>
    <mergeCell ref="R2:R3"/>
    <mergeCell ref="K1:K3"/>
    <mergeCell ref="M1:M3"/>
    <mergeCell ref="N1:N3"/>
    <mergeCell ref="O1:P1"/>
    <mergeCell ref="L2:L3"/>
    <mergeCell ref="O2:O3"/>
    <mergeCell ref="P2:P3"/>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1751"/>
  <sheetViews>
    <sheetView topLeftCell="F2" zoomScale="90" zoomScaleNormal="90" workbookViewId="0">
      <pane ySplit="1620" topLeftCell="A1720" activePane="bottomLeft"/>
      <selection activeCell="Q5" sqref="Q5"/>
      <selection pane="bottomLeft" activeCell="J1616" sqref="J1616:J1748"/>
    </sheetView>
  </sheetViews>
  <sheetFormatPr defaultRowHeight="15"/>
  <cols>
    <col min="1" max="1" width="37" customWidth="1"/>
    <col min="2" max="2" width="17.28515625" customWidth="1"/>
    <col min="3" max="3" width="13.7109375" customWidth="1"/>
    <col min="4" max="4" width="34.5703125" customWidth="1"/>
    <col min="5" max="5" width="8.7109375" customWidth="1"/>
    <col min="6" max="6" width="36.5703125" customWidth="1"/>
    <col min="7" max="7" width="14.140625" customWidth="1"/>
    <col min="8" max="8" width="9.28515625" customWidth="1"/>
    <col min="9" max="17" width="14.85546875" customWidth="1"/>
  </cols>
  <sheetData>
    <row r="1" spans="1:23">
      <c r="A1" s="51" t="s">
        <v>0</v>
      </c>
      <c r="J1" s="447" t="s">
        <v>1</v>
      </c>
      <c r="K1" s="55">
        <v>42856</v>
      </c>
      <c r="L1" s="450" t="s">
        <v>2</v>
      </c>
      <c r="M1" s="450" t="s">
        <v>2455</v>
      </c>
      <c r="N1" s="441">
        <v>2016</v>
      </c>
      <c r="O1" s="442"/>
      <c r="P1" s="441">
        <v>2017</v>
      </c>
      <c r="Q1" s="442"/>
    </row>
    <row r="2" spans="1:23">
      <c r="A2" s="51" t="s">
        <v>2426</v>
      </c>
      <c r="J2" s="448"/>
      <c r="K2" s="453" t="s">
        <v>3</v>
      </c>
      <c r="L2" s="451"/>
      <c r="M2" s="451"/>
      <c r="N2" s="443" t="s">
        <v>4</v>
      </c>
      <c r="O2" s="445" t="s">
        <v>5</v>
      </c>
      <c r="P2" s="443" t="s">
        <v>4</v>
      </c>
      <c r="Q2" s="445" t="s">
        <v>5</v>
      </c>
    </row>
    <row r="3" spans="1:23" ht="15.75" thickBot="1">
      <c r="J3" s="449"/>
      <c r="K3" s="454"/>
      <c r="L3" s="452"/>
      <c r="M3" s="452"/>
      <c r="N3" s="444"/>
      <c r="O3" s="446"/>
      <c r="P3" s="444"/>
      <c r="Q3" s="446"/>
    </row>
    <row r="4" spans="1:23" ht="30">
      <c r="A4" s="138" t="s">
        <v>6</v>
      </c>
      <c r="B4" s="139" t="s">
        <v>7</v>
      </c>
      <c r="C4" s="139" t="s">
        <v>8</v>
      </c>
      <c r="D4" s="138" t="s">
        <v>9</v>
      </c>
      <c r="E4" s="139" t="s">
        <v>10</v>
      </c>
      <c r="F4" s="138" t="s">
        <v>11</v>
      </c>
      <c r="G4" s="140" t="s">
        <v>12</v>
      </c>
      <c r="H4" s="139" t="s">
        <v>1</v>
      </c>
      <c r="I4" s="141" t="s">
        <v>13</v>
      </c>
      <c r="J4" s="436"/>
      <c r="K4" s="437"/>
      <c r="L4" s="437"/>
      <c r="M4" s="437"/>
      <c r="N4" s="60"/>
      <c r="O4" s="61">
        <v>0.51880000000000004</v>
      </c>
      <c r="P4" s="60"/>
      <c r="Q4" s="61">
        <v>7.2190000000000004E-2</v>
      </c>
    </row>
    <row r="5" spans="1:23">
      <c r="A5" s="145" t="s">
        <v>626</v>
      </c>
      <c r="B5" s="146" t="s">
        <v>1597</v>
      </c>
      <c r="C5" s="146" t="s">
        <v>1598</v>
      </c>
      <c r="D5" s="145" t="s">
        <v>1599</v>
      </c>
      <c r="E5" s="146" t="s">
        <v>164</v>
      </c>
      <c r="F5" s="145" t="s">
        <v>1600</v>
      </c>
      <c r="G5" s="146" t="s">
        <v>20</v>
      </c>
      <c r="H5" s="146">
        <v>201603</v>
      </c>
      <c r="I5" s="147">
        <v>-1</v>
      </c>
      <c r="J5" s="297">
        <v>42675</v>
      </c>
      <c r="K5" s="67">
        <f>((YEAR($K$1)-YEAR(J5))*12+MONTH($K$1)-MONTH(J5))</f>
        <v>6</v>
      </c>
      <c r="L5" s="148">
        <v>1.4833299999999999E-3</v>
      </c>
      <c r="M5" s="104">
        <f t="shared" ref="M5:M68" si="0">L5*K5*I5</f>
        <v>-8.89998E-3</v>
      </c>
      <c r="O5" s="66"/>
      <c r="Q5" s="66">
        <f>($Q$4*0.5*I5*$T$10)</f>
        <v>-1.6543541666666668E-2</v>
      </c>
      <c r="T5" s="73" t="s">
        <v>27</v>
      </c>
      <c r="U5" s="438" t="s">
        <v>28</v>
      </c>
      <c r="V5" s="439"/>
      <c r="W5" s="440"/>
    </row>
    <row r="6" spans="1:23">
      <c r="A6" s="145" t="s">
        <v>14</v>
      </c>
      <c r="B6" s="146" t="s">
        <v>30</v>
      </c>
      <c r="C6" s="146" t="s">
        <v>31</v>
      </c>
      <c r="D6" s="145" t="s">
        <v>32</v>
      </c>
      <c r="E6" s="146" t="s">
        <v>33</v>
      </c>
      <c r="F6" s="145" t="s">
        <v>34</v>
      </c>
      <c r="G6" s="146" t="s">
        <v>20</v>
      </c>
      <c r="H6" s="146">
        <v>201603</v>
      </c>
      <c r="I6" s="147">
        <v>12857.86</v>
      </c>
      <c r="J6" s="297">
        <f>+J5</f>
        <v>42675</v>
      </c>
      <c r="K6" s="67">
        <f t="shared" ref="K6:K69" si="1">((YEAR($K$1)-YEAR(J6))*12+MONTH($K$1)-MONTH(J6))</f>
        <v>6</v>
      </c>
      <c r="L6" s="148">
        <v>2.23333E-3</v>
      </c>
      <c r="M6" s="104">
        <f t="shared" si="0"/>
        <v>172.2950668428</v>
      </c>
      <c r="O6" s="66"/>
      <c r="Q6" s="66">
        <f t="shared" ref="Q6:Q69" si="2">($Q$4*0.5*I6*$T$10)</f>
        <v>212.71454265416668</v>
      </c>
      <c r="T6" s="74">
        <f>12/12</f>
        <v>1</v>
      </c>
      <c r="U6" s="75"/>
      <c r="V6" s="76" t="s">
        <v>35</v>
      </c>
      <c r="W6" s="77" t="s">
        <v>36</v>
      </c>
    </row>
    <row r="7" spans="1:23">
      <c r="A7" s="145" t="s">
        <v>14</v>
      </c>
      <c r="B7" s="146" t="s">
        <v>37</v>
      </c>
      <c r="C7" s="146" t="s">
        <v>38</v>
      </c>
      <c r="D7" s="145" t="s">
        <v>39</v>
      </c>
      <c r="E7" s="146" t="s">
        <v>40</v>
      </c>
      <c r="F7" s="145" t="s">
        <v>41</v>
      </c>
      <c r="G7" s="146" t="s">
        <v>20</v>
      </c>
      <c r="H7" s="146">
        <v>201603</v>
      </c>
      <c r="I7" s="147">
        <v>-1585.79</v>
      </c>
      <c r="J7" s="297">
        <f t="shared" ref="J7:J70" si="3">+J6</f>
        <v>42675</v>
      </c>
      <c r="K7" s="67">
        <f t="shared" si="1"/>
        <v>6</v>
      </c>
      <c r="L7" s="148">
        <v>2.23333E-3</v>
      </c>
      <c r="M7" s="104">
        <f t="shared" si="0"/>
        <v>-21.249554284199998</v>
      </c>
      <c r="O7" s="66"/>
      <c r="Q7" s="66">
        <f t="shared" si="2"/>
        <v>-26.234582939583333</v>
      </c>
      <c r="T7" s="78">
        <f>1.5/12</f>
        <v>0.125</v>
      </c>
      <c r="U7" s="79" t="s">
        <v>42</v>
      </c>
      <c r="V7" s="80">
        <v>0.05</v>
      </c>
      <c r="W7" s="81">
        <v>3.7499999999999999E-2</v>
      </c>
    </row>
    <row r="8" spans="1:23">
      <c r="A8" s="145" t="s">
        <v>14</v>
      </c>
      <c r="B8" s="146" t="s">
        <v>43</v>
      </c>
      <c r="C8" s="146" t="s">
        <v>44</v>
      </c>
      <c r="D8" s="145" t="s">
        <v>45</v>
      </c>
      <c r="E8" s="146" t="s">
        <v>46</v>
      </c>
      <c r="F8" s="145" t="s">
        <v>41</v>
      </c>
      <c r="G8" s="146" t="s">
        <v>20</v>
      </c>
      <c r="H8" s="146">
        <v>201603</v>
      </c>
      <c r="I8" s="147">
        <v>0.05</v>
      </c>
      <c r="J8" s="297">
        <f t="shared" si="3"/>
        <v>42675</v>
      </c>
      <c r="K8" s="67">
        <f t="shared" si="1"/>
        <v>6</v>
      </c>
      <c r="L8" s="148">
        <v>2.23333E-3</v>
      </c>
      <c r="M8" s="104">
        <f t="shared" si="0"/>
        <v>6.6999900000000001E-4</v>
      </c>
      <c r="O8" s="66"/>
      <c r="Q8" s="66">
        <f t="shared" si="2"/>
        <v>8.2717708333333341E-4</v>
      </c>
      <c r="T8" s="78">
        <f>7.5/12</f>
        <v>0.625</v>
      </c>
      <c r="U8" s="79" t="s">
        <v>47</v>
      </c>
      <c r="V8" s="80">
        <v>9.5000000000000001E-2</v>
      </c>
      <c r="W8" s="81">
        <v>7.2190000000000004E-2</v>
      </c>
    </row>
    <row r="9" spans="1:23">
      <c r="A9" s="145" t="s">
        <v>990</v>
      </c>
      <c r="B9" s="146" t="s">
        <v>991</v>
      </c>
      <c r="C9" s="146" t="s">
        <v>992</v>
      </c>
      <c r="D9" s="145" t="s">
        <v>993</v>
      </c>
      <c r="E9" s="146" t="s">
        <v>994</v>
      </c>
      <c r="F9" s="145" t="s">
        <v>995</v>
      </c>
      <c r="G9" s="146" t="s">
        <v>20</v>
      </c>
      <c r="H9" s="146">
        <v>201603</v>
      </c>
      <c r="I9" s="147">
        <v>-24.02</v>
      </c>
      <c r="J9" s="297">
        <f t="shared" si="3"/>
        <v>42675</v>
      </c>
      <c r="K9" s="67">
        <f t="shared" si="1"/>
        <v>6</v>
      </c>
      <c r="L9" s="148">
        <v>2.3833299999999999E-3</v>
      </c>
      <c r="M9" s="104">
        <f t="shared" si="0"/>
        <v>-0.34348551960000001</v>
      </c>
      <c r="O9" s="66"/>
      <c r="Q9" s="66">
        <f t="shared" si="2"/>
        <v>-0.39737587083333331</v>
      </c>
      <c r="T9" s="78">
        <f>6.5/12</f>
        <v>0.54166666666666663</v>
      </c>
      <c r="U9" s="79" t="s">
        <v>53</v>
      </c>
      <c r="V9" s="80">
        <v>8.5500000000000007E-2</v>
      </c>
      <c r="W9" s="81">
        <v>6.6769999999999996E-2</v>
      </c>
    </row>
    <row r="10" spans="1:23">
      <c r="A10" s="145" t="s">
        <v>990</v>
      </c>
      <c r="B10" s="146" t="s">
        <v>996</v>
      </c>
      <c r="C10" s="146" t="s">
        <v>997</v>
      </c>
      <c r="D10" s="145" t="s">
        <v>998</v>
      </c>
      <c r="E10" s="146" t="s">
        <v>999</v>
      </c>
      <c r="F10" s="145" t="s">
        <v>995</v>
      </c>
      <c r="G10" s="146" t="s">
        <v>20</v>
      </c>
      <c r="H10" s="146">
        <v>201603</v>
      </c>
      <c r="I10" s="147">
        <v>374.93</v>
      </c>
      <c r="J10" s="297">
        <f t="shared" si="3"/>
        <v>42675</v>
      </c>
      <c r="K10" s="67">
        <f t="shared" si="1"/>
        <v>6</v>
      </c>
      <c r="L10" s="148">
        <v>2.3833299999999999E-3</v>
      </c>
      <c r="M10" s="104">
        <f t="shared" si="0"/>
        <v>5.3614915014000006</v>
      </c>
      <c r="O10" s="66"/>
      <c r="Q10" s="66">
        <f t="shared" si="2"/>
        <v>6.2026700770833338</v>
      </c>
      <c r="T10" s="78">
        <f>5.5/12</f>
        <v>0.45833333333333331</v>
      </c>
      <c r="U10" s="79" t="s">
        <v>59</v>
      </c>
      <c r="V10" s="80">
        <v>7.6999999999999999E-2</v>
      </c>
      <c r="W10" s="81">
        <v>6.1769999999999999E-2</v>
      </c>
    </row>
    <row r="11" spans="1:23">
      <c r="A11" s="145" t="s">
        <v>990</v>
      </c>
      <c r="B11" s="146" t="s">
        <v>1000</v>
      </c>
      <c r="C11" s="146" t="s">
        <v>1001</v>
      </c>
      <c r="D11" s="145" t="s">
        <v>1672</v>
      </c>
      <c r="E11" s="146" t="s">
        <v>1002</v>
      </c>
      <c r="F11" s="145" t="s">
        <v>1604</v>
      </c>
      <c r="G11" s="146" t="s">
        <v>20</v>
      </c>
      <c r="H11" s="146">
        <v>201603</v>
      </c>
      <c r="I11" s="147">
        <v>16090.71</v>
      </c>
      <c r="J11" s="297">
        <f t="shared" si="3"/>
        <v>42675</v>
      </c>
      <c r="K11" s="67">
        <f t="shared" si="1"/>
        <v>6</v>
      </c>
      <c r="L11" s="148">
        <v>2.3833299999999999E-3</v>
      </c>
      <c r="M11" s="104">
        <f t="shared" si="0"/>
        <v>230.0968311858</v>
      </c>
      <c r="O11" s="66"/>
      <c r="Q11" s="66">
        <f t="shared" si="2"/>
        <v>266.19733133124998</v>
      </c>
      <c r="T11" s="78"/>
      <c r="U11" s="82"/>
      <c r="V11" s="83"/>
      <c r="W11" s="84"/>
    </row>
    <row r="12" spans="1:23">
      <c r="A12" s="145" t="s">
        <v>14</v>
      </c>
      <c r="B12" s="146" t="s">
        <v>107</v>
      </c>
      <c r="C12" s="146" t="s">
        <v>108</v>
      </c>
      <c r="D12" s="145" t="s">
        <v>109</v>
      </c>
      <c r="E12" s="146" t="s">
        <v>110</v>
      </c>
      <c r="F12" s="145" t="s">
        <v>52</v>
      </c>
      <c r="G12" s="146" t="s">
        <v>20</v>
      </c>
      <c r="H12" s="146">
        <v>201603</v>
      </c>
      <c r="I12" s="147">
        <v>-34.08</v>
      </c>
      <c r="J12" s="297">
        <f t="shared" si="3"/>
        <v>42675</v>
      </c>
      <c r="K12" s="67">
        <f t="shared" si="1"/>
        <v>6</v>
      </c>
      <c r="L12" s="148">
        <v>2.23333E-3</v>
      </c>
      <c r="M12" s="104">
        <f t="shared" si="0"/>
        <v>-0.45667131839999991</v>
      </c>
      <c r="O12" s="66"/>
      <c r="Q12" s="66">
        <f t="shared" si="2"/>
        <v>-0.56380390000000002</v>
      </c>
    </row>
    <row r="13" spans="1:23">
      <c r="A13" s="145" t="s">
        <v>554</v>
      </c>
      <c r="B13" s="146" t="s">
        <v>116</v>
      </c>
      <c r="C13" s="146" t="s">
        <v>117</v>
      </c>
      <c r="D13" s="145" t="s">
        <v>118</v>
      </c>
      <c r="E13" s="146" t="s">
        <v>119</v>
      </c>
      <c r="F13" s="145" t="s">
        <v>1605</v>
      </c>
      <c r="G13" s="146" t="s">
        <v>20</v>
      </c>
      <c r="H13" s="146">
        <v>201603</v>
      </c>
      <c r="I13" s="147">
        <v>387237.87</v>
      </c>
      <c r="J13" s="297">
        <f t="shared" si="3"/>
        <v>42675</v>
      </c>
      <c r="K13" s="67">
        <f t="shared" si="1"/>
        <v>6</v>
      </c>
      <c r="L13" s="148">
        <v>1.4833299999999999E-3</v>
      </c>
      <c r="M13" s="104">
        <f t="shared" si="0"/>
        <v>3446.4092982426</v>
      </c>
      <c r="O13" s="66"/>
      <c r="Q13" s="66">
        <f t="shared" si="2"/>
        <v>6406.2858372562505</v>
      </c>
    </row>
    <row r="14" spans="1:23">
      <c r="A14" s="145" t="s">
        <v>14</v>
      </c>
      <c r="B14" s="146" t="s">
        <v>555</v>
      </c>
      <c r="C14" s="146" t="s">
        <v>556</v>
      </c>
      <c r="D14" s="145" t="s">
        <v>45</v>
      </c>
      <c r="E14" s="146" t="s">
        <v>557</v>
      </c>
      <c r="F14" s="145" t="s">
        <v>41</v>
      </c>
      <c r="G14" s="146" t="s">
        <v>20</v>
      </c>
      <c r="H14" s="146">
        <v>201603</v>
      </c>
      <c r="I14" s="147">
        <v>5.82</v>
      </c>
      <c r="J14" s="297">
        <f t="shared" si="3"/>
        <v>42675</v>
      </c>
      <c r="K14" s="67">
        <f t="shared" si="1"/>
        <v>6</v>
      </c>
      <c r="L14" s="148">
        <v>2.23333E-3</v>
      </c>
      <c r="M14" s="104">
        <f t="shared" si="0"/>
        <v>7.7987883600000002E-2</v>
      </c>
      <c r="O14" s="66"/>
      <c r="Q14" s="66">
        <f t="shared" si="2"/>
        <v>9.6283412500000012E-2</v>
      </c>
    </row>
    <row r="15" spans="1:23">
      <c r="A15" s="145" t="s">
        <v>990</v>
      </c>
      <c r="B15" s="146" t="s">
        <v>1003</v>
      </c>
      <c r="C15" s="146" t="s">
        <v>1004</v>
      </c>
      <c r="D15" s="145" t="s">
        <v>1673</v>
      </c>
      <c r="E15" s="146" t="s">
        <v>1006</v>
      </c>
      <c r="F15" s="145" t="s">
        <v>1606</v>
      </c>
      <c r="G15" s="146" t="s">
        <v>20</v>
      </c>
      <c r="H15" s="146">
        <v>201603</v>
      </c>
      <c r="I15" s="147">
        <v>28009.02</v>
      </c>
      <c r="J15" s="297">
        <f t="shared" si="3"/>
        <v>42675</v>
      </c>
      <c r="K15" s="67">
        <f t="shared" si="1"/>
        <v>6</v>
      </c>
      <c r="L15" s="148">
        <v>2.3833299999999999E-3</v>
      </c>
      <c r="M15" s="104">
        <f t="shared" si="0"/>
        <v>400.52842581959999</v>
      </c>
      <c r="O15" s="66"/>
      <c r="Q15" s="66">
        <f t="shared" si="2"/>
        <v>463.36838941249999</v>
      </c>
    </row>
    <row r="16" spans="1:23">
      <c r="A16" s="145" t="s">
        <v>21</v>
      </c>
      <c r="B16" s="146" t="s">
        <v>1767</v>
      </c>
      <c r="C16" s="146" t="s">
        <v>1768</v>
      </c>
      <c r="D16" s="145" t="s">
        <v>1769</v>
      </c>
      <c r="E16" s="146" t="s">
        <v>1413</v>
      </c>
      <c r="F16" s="145" t="s">
        <v>88</v>
      </c>
      <c r="G16" s="146" t="s">
        <v>20</v>
      </c>
      <c r="H16" s="146">
        <v>201603</v>
      </c>
      <c r="I16" s="147">
        <v>-431.87</v>
      </c>
      <c r="J16" s="297">
        <f t="shared" si="3"/>
        <v>42675</v>
      </c>
      <c r="K16" s="67">
        <f t="shared" si="1"/>
        <v>6</v>
      </c>
      <c r="L16" s="148">
        <v>1.4833299999999999E-3</v>
      </c>
      <c r="M16" s="104">
        <f t="shared" si="0"/>
        <v>-3.8436343626</v>
      </c>
      <c r="O16" s="66"/>
      <c r="Q16" s="66">
        <f t="shared" si="2"/>
        <v>-7.1446593395833338</v>
      </c>
    </row>
    <row r="17" spans="1:17">
      <c r="A17" s="145" t="s">
        <v>14</v>
      </c>
      <c r="B17" s="146" t="s">
        <v>183</v>
      </c>
      <c r="C17" s="146" t="s">
        <v>184</v>
      </c>
      <c r="D17" s="145" t="s">
        <v>45</v>
      </c>
      <c r="E17" s="146" t="s">
        <v>185</v>
      </c>
      <c r="F17" s="145" t="s">
        <v>41</v>
      </c>
      <c r="G17" s="146" t="s">
        <v>20</v>
      </c>
      <c r="H17" s="146">
        <v>201603</v>
      </c>
      <c r="I17" s="147">
        <v>-66.13</v>
      </c>
      <c r="J17" s="297">
        <f t="shared" si="3"/>
        <v>42675</v>
      </c>
      <c r="K17" s="67">
        <f t="shared" si="1"/>
        <v>6</v>
      </c>
      <c r="L17" s="148">
        <v>2.23333E-3</v>
      </c>
      <c r="M17" s="104">
        <f t="shared" si="0"/>
        <v>-0.88614067739999991</v>
      </c>
      <c r="O17" s="66"/>
      <c r="Q17" s="66">
        <f t="shared" si="2"/>
        <v>-1.0940244104166668</v>
      </c>
    </row>
    <row r="18" spans="1:17">
      <c r="A18" s="145" t="s">
        <v>14</v>
      </c>
      <c r="B18" s="146" t="s">
        <v>191</v>
      </c>
      <c r="C18" s="146" t="s">
        <v>192</v>
      </c>
      <c r="D18" s="145" t="s">
        <v>193</v>
      </c>
      <c r="E18" s="146" t="s">
        <v>194</v>
      </c>
      <c r="F18" s="145" t="s">
        <v>115</v>
      </c>
      <c r="G18" s="146" t="s">
        <v>20</v>
      </c>
      <c r="H18" s="146">
        <v>201603</v>
      </c>
      <c r="I18" s="147">
        <v>15.21</v>
      </c>
      <c r="J18" s="297">
        <f t="shared" si="3"/>
        <v>42675</v>
      </c>
      <c r="K18" s="67">
        <f t="shared" si="1"/>
        <v>6</v>
      </c>
      <c r="L18" s="148">
        <v>2.23333E-3</v>
      </c>
      <c r="M18" s="104">
        <f t="shared" si="0"/>
        <v>0.2038136958</v>
      </c>
      <c r="O18" s="66"/>
      <c r="Q18" s="66">
        <f t="shared" si="2"/>
        <v>0.25162726875000002</v>
      </c>
    </row>
    <row r="19" spans="1:17">
      <c r="A19" s="145" t="s">
        <v>14</v>
      </c>
      <c r="B19" s="146" t="s">
        <v>195</v>
      </c>
      <c r="C19" s="146" t="s">
        <v>196</v>
      </c>
      <c r="D19" s="145" t="s">
        <v>1674</v>
      </c>
      <c r="E19" s="146" t="s">
        <v>198</v>
      </c>
      <c r="F19" s="145" t="s">
        <v>1610</v>
      </c>
      <c r="G19" s="146" t="s">
        <v>20</v>
      </c>
      <c r="H19" s="146">
        <v>201603</v>
      </c>
      <c r="I19" s="147">
        <v>532651.63</v>
      </c>
      <c r="J19" s="297">
        <f t="shared" si="3"/>
        <v>42675</v>
      </c>
      <c r="K19" s="67">
        <f t="shared" si="1"/>
        <v>6</v>
      </c>
      <c r="L19" s="148">
        <v>2.23333E-3</v>
      </c>
      <c r="M19" s="104">
        <f t="shared" si="0"/>
        <v>7137.5211889673992</v>
      </c>
      <c r="O19" s="66"/>
      <c r="Q19" s="66">
        <f t="shared" si="2"/>
        <v>8811.9444347229164</v>
      </c>
    </row>
    <row r="20" spans="1:17">
      <c r="A20" s="145" t="s">
        <v>14</v>
      </c>
      <c r="B20" s="146" t="s">
        <v>200</v>
      </c>
      <c r="C20" s="146" t="s">
        <v>201</v>
      </c>
      <c r="D20" s="145" t="s">
        <v>1675</v>
      </c>
      <c r="E20" s="146" t="s">
        <v>202</v>
      </c>
      <c r="F20" s="145" t="s">
        <v>1611</v>
      </c>
      <c r="G20" s="146" t="s">
        <v>20</v>
      </c>
      <c r="H20" s="146">
        <v>201603</v>
      </c>
      <c r="I20" s="147">
        <v>14084.84</v>
      </c>
      <c r="J20" s="297">
        <f t="shared" si="3"/>
        <v>42675</v>
      </c>
      <c r="K20" s="67">
        <f t="shared" si="1"/>
        <v>6</v>
      </c>
      <c r="L20" s="148">
        <v>2.23333E-3</v>
      </c>
      <c r="M20" s="104">
        <f t="shared" si="0"/>
        <v>188.73657430319997</v>
      </c>
      <c r="O20" s="66"/>
      <c r="Q20" s="66">
        <f t="shared" si="2"/>
        <v>233.01313740833334</v>
      </c>
    </row>
    <row r="21" spans="1:17">
      <c r="A21" s="145" t="s">
        <v>626</v>
      </c>
      <c r="B21" s="146" t="s">
        <v>1855</v>
      </c>
      <c r="C21" s="146" t="s">
        <v>1856</v>
      </c>
      <c r="D21" s="145" t="s">
        <v>1857</v>
      </c>
      <c r="E21" s="146" t="s">
        <v>209</v>
      </c>
      <c r="F21" s="145" t="s">
        <v>1612</v>
      </c>
      <c r="G21" s="146" t="s">
        <v>20</v>
      </c>
      <c r="H21" s="146">
        <v>201603</v>
      </c>
      <c r="I21" s="147">
        <v>3691.43</v>
      </c>
      <c r="J21" s="297">
        <f t="shared" si="3"/>
        <v>42675</v>
      </c>
      <c r="K21" s="67">
        <f t="shared" si="1"/>
        <v>6</v>
      </c>
      <c r="L21" s="148">
        <v>1.4833299999999999E-3</v>
      </c>
      <c r="M21" s="104">
        <f t="shared" si="0"/>
        <v>32.853653171399998</v>
      </c>
      <c r="O21" s="66"/>
      <c r="Q21" s="66">
        <f t="shared" si="2"/>
        <v>61.069326014583325</v>
      </c>
    </row>
    <row r="22" spans="1:17">
      <c r="A22" s="145" t="s">
        <v>14</v>
      </c>
      <c r="B22" s="146" t="s">
        <v>481</v>
      </c>
      <c r="C22" s="146" t="s">
        <v>482</v>
      </c>
      <c r="D22" s="145" t="s">
        <v>483</v>
      </c>
      <c r="E22" s="146" t="s">
        <v>484</v>
      </c>
      <c r="F22" s="145" t="s">
        <v>190</v>
      </c>
      <c r="G22" s="146" t="s">
        <v>20</v>
      </c>
      <c r="H22" s="146">
        <v>201603</v>
      </c>
      <c r="I22" s="147">
        <v>-0.23</v>
      </c>
      <c r="J22" s="297">
        <f t="shared" si="3"/>
        <v>42675</v>
      </c>
      <c r="K22" s="67">
        <f t="shared" si="1"/>
        <v>6</v>
      </c>
      <c r="L22" s="148">
        <v>2.23333E-3</v>
      </c>
      <c r="M22" s="104">
        <f t="shared" si="0"/>
        <v>-3.0819953999999998E-3</v>
      </c>
      <c r="O22" s="66"/>
      <c r="Q22" s="66">
        <f t="shared" si="2"/>
        <v>-3.8050145833333337E-3</v>
      </c>
    </row>
    <row r="23" spans="1:17">
      <c r="A23" s="145" t="s">
        <v>990</v>
      </c>
      <c r="B23" s="146" t="s">
        <v>1010</v>
      </c>
      <c r="C23" s="146" t="s">
        <v>1011</v>
      </c>
      <c r="D23" s="145" t="s">
        <v>1012</v>
      </c>
      <c r="E23" s="146" t="s">
        <v>1013</v>
      </c>
      <c r="F23" s="145" t="s">
        <v>995</v>
      </c>
      <c r="G23" s="146" t="s">
        <v>20</v>
      </c>
      <c r="H23" s="146">
        <v>201603</v>
      </c>
      <c r="I23" s="147">
        <v>2229.89</v>
      </c>
      <c r="J23" s="297">
        <f t="shared" si="3"/>
        <v>42675</v>
      </c>
      <c r="K23" s="67">
        <f t="shared" si="1"/>
        <v>6</v>
      </c>
      <c r="L23" s="148">
        <v>2.3833299999999999E-3</v>
      </c>
      <c r="M23" s="104">
        <f t="shared" si="0"/>
        <v>31.8873824022</v>
      </c>
      <c r="O23" s="66"/>
      <c r="Q23" s="66">
        <f t="shared" si="2"/>
        <v>36.890278127083334</v>
      </c>
    </row>
    <row r="24" spans="1:17">
      <c r="A24" s="145" t="s">
        <v>21</v>
      </c>
      <c r="B24" s="146" t="s">
        <v>485</v>
      </c>
      <c r="C24" s="146" t="s">
        <v>486</v>
      </c>
      <c r="D24" s="145" t="s">
        <v>487</v>
      </c>
      <c r="E24" s="146" t="s">
        <v>75</v>
      </c>
      <c r="F24" s="145" t="s">
        <v>1602</v>
      </c>
      <c r="G24" s="146" t="s">
        <v>20</v>
      </c>
      <c r="H24" s="146">
        <v>201603</v>
      </c>
      <c r="I24" s="147">
        <v>-0.33</v>
      </c>
      <c r="J24" s="297">
        <f t="shared" si="3"/>
        <v>42675</v>
      </c>
      <c r="K24" s="67">
        <f t="shared" si="1"/>
        <v>6</v>
      </c>
      <c r="L24" s="148">
        <v>1.4833299999999999E-3</v>
      </c>
      <c r="M24" s="104">
        <f t="shared" si="0"/>
        <v>-2.9369934000000003E-3</v>
      </c>
      <c r="O24" s="66"/>
      <c r="Q24" s="66">
        <f t="shared" si="2"/>
        <v>-5.4593687500000005E-3</v>
      </c>
    </row>
    <row r="25" spans="1:17">
      <c r="A25" s="145" t="s">
        <v>14</v>
      </c>
      <c r="B25" s="146" t="s">
        <v>236</v>
      </c>
      <c r="C25" s="146" t="s">
        <v>237</v>
      </c>
      <c r="D25" s="145" t="s">
        <v>188</v>
      </c>
      <c r="E25" s="146" t="s">
        <v>238</v>
      </c>
      <c r="F25" s="145" t="s">
        <v>190</v>
      </c>
      <c r="G25" s="146" t="s">
        <v>20</v>
      </c>
      <c r="H25" s="146">
        <v>201603</v>
      </c>
      <c r="I25" s="147">
        <v>65601.179999999993</v>
      </c>
      <c r="J25" s="297">
        <f t="shared" si="3"/>
        <v>42675</v>
      </c>
      <c r="K25" s="67">
        <f t="shared" si="1"/>
        <v>6</v>
      </c>
      <c r="L25" s="148">
        <v>2.23333E-3</v>
      </c>
      <c r="M25" s="104">
        <f t="shared" si="0"/>
        <v>879.05449997639982</v>
      </c>
      <c r="O25" s="66"/>
      <c r="Q25" s="66">
        <f t="shared" si="2"/>
        <v>1085.2758547124999</v>
      </c>
    </row>
    <row r="26" spans="1:17">
      <c r="A26" s="145" t="s">
        <v>14</v>
      </c>
      <c r="B26" s="146" t="s">
        <v>239</v>
      </c>
      <c r="C26" s="146" t="s">
        <v>240</v>
      </c>
      <c r="D26" s="145" t="s">
        <v>197</v>
      </c>
      <c r="E26" s="146" t="s">
        <v>241</v>
      </c>
      <c r="F26" s="145" t="s">
        <v>199</v>
      </c>
      <c r="G26" s="146" t="s">
        <v>20</v>
      </c>
      <c r="H26" s="146">
        <v>201603</v>
      </c>
      <c r="I26" s="147">
        <v>12.75</v>
      </c>
      <c r="J26" s="297">
        <f t="shared" si="3"/>
        <v>42675</v>
      </c>
      <c r="K26" s="67">
        <f t="shared" si="1"/>
        <v>6</v>
      </c>
      <c r="L26" s="148">
        <v>2.23333E-3</v>
      </c>
      <c r="M26" s="104">
        <f t="shared" si="0"/>
        <v>0.170849745</v>
      </c>
      <c r="O26" s="66"/>
      <c r="Q26" s="66">
        <f t="shared" si="2"/>
        <v>0.21093015625</v>
      </c>
    </row>
    <row r="27" spans="1:17">
      <c r="A27" s="145" t="s">
        <v>127</v>
      </c>
      <c r="B27" s="146" t="s">
        <v>1032</v>
      </c>
      <c r="C27" s="146" t="s">
        <v>1033</v>
      </c>
      <c r="D27" s="145" t="s">
        <v>1034</v>
      </c>
      <c r="E27" s="146" t="s">
        <v>209</v>
      </c>
      <c r="F27" s="145" t="s">
        <v>1612</v>
      </c>
      <c r="G27" s="146" t="s">
        <v>20</v>
      </c>
      <c r="H27" s="146">
        <v>201603</v>
      </c>
      <c r="I27" s="147">
        <v>4107.96</v>
      </c>
      <c r="J27" s="297">
        <f t="shared" si="3"/>
        <v>42675</v>
      </c>
      <c r="K27" s="67">
        <f t="shared" si="1"/>
        <v>6</v>
      </c>
      <c r="L27" s="148">
        <v>2.3833299999999999E-3</v>
      </c>
      <c r="M27" s="104">
        <f t="shared" si="0"/>
        <v>58.743745840800003</v>
      </c>
      <c r="O27" s="66"/>
      <c r="Q27" s="66">
        <f t="shared" si="2"/>
        <v>67.960207425000007</v>
      </c>
    </row>
    <row r="28" spans="1:17">
      <c r="A28" s="145" t="s">
        <v>14</v>
      </c>
      <c r="B28" s="146" t="s">
        <v>706</v>
      </c>
      <c r="C28" s="146" t="s">
        <v>707</v>
      </c>
      <c r="D28" s="145" t="s">
        <v>708</v>
      </c>
      <c r="E28" s="146" t="s">
        <v>709</v>
      </c>
      <c r="F28" s="145" t="s">
        <v>710</v>
      </c>
      <c r="G28" s="146" t="s">
        <v>20</v>
      </c>
      <c r="H28" s="146">
        <v>201603</v>
      </c>
      <c r="I28" s="147">
        <v>14.75</v>
      </c>
      <c r="J28" s="297">
        <f t="shared" si="3"/>
        <v>42675</v>
      </c>
      <c r="K28" s="67">
        <f t="shared" si="1"/>
        <v>6</v>
      </c>
      <c r="L28" s="148">
        <v>2.23333E-3</v>
      </c>
      <c r="M28" s="104">
        <f t="shared" si="0"/>
        <v>0.19764970499999998</v>
      </c>
      <c r="O28" s="66"/>
      <c r="Q28" s="66">
        <f t="shared" si="2"/>
        <v>0.24401723958333335</v>
      </c>
    </row>
    <row r="29" spans="1:17">
      <c r="A29" s="145" t="s">
        <v>14</v>
      </c>
      <c r="B29" s="146" t="s">
        <v>267</v>
      </c>
      <c r="C29" s="146" t="s">
        <v>268</v>
      </c>
      <c r="D29" s="145" t="s">
        <v>269</v>
      </c>
      <c r="E29" s="146" t="s">
        <v>270</v>
      </c>
      <c r="F29" s="145" t="s">
        <v>115</v>
      </c>
      <c r="G29" s="146" t="s">
        <v>20</v>
      </c>
      <c r="H29" s="146">
        <v>201603</v>
      </c>
      <c r="I29" s="147">
        <v>-131.93</v>
      </c>
      <c r="J29" s="297">
        <f t="shared" si="3"/>
        <v>42675</v>
      </c>
      <c r="K29" s="67">
        <f t="shared" si="1"/>
        <v>6</v>
      </c>
      <c r="L29" s="148">
        <v>2.23333E-3</v>
      </c>
      <c r="M29" s="104">
        <f t="shared" si="0"/>
        <v>-1.7678593614</v>
      </c>
      <c r="O29" s="66"/>
      <c r="Q29" s="66">
        <f t="shared" si="2"/>
        <v>-2.1825894520833331</v>
      </c>
    </row>
    <row r="30" spans="1:17">
      <c r="A30" s="145" t="s">
        <v>14</v>
      </c>
      <c r="B30" s="146" t="s">
        <v>271</v>
      </c>
      <c r="C30" s="146" t="s">
        <v>272</v>
      </c>
      <c r="D30" s="145" t="s">
        <v>197</v>
      </c>
      <c r="E30" s="146" t="s">
        <v>273</v>
      </c>
      <c r="F30" s="145" t="s">
        <v>199</v>
      </c>
      <c r="G30" s="146" t="s">
        <v>20</v>
      </c>
      <c r="H30" s="146">
        <v>201603</v>
      </c>
      <c r="I30" s="147">
        <v>0.86</v>
      </c>
      <c r="J30" s="297">
        <f t="shared" si="3"/>
        <v>42675</v>
      </c>
      <c r="K30" s="67">
        <f t="shared" si="1"/>
        <v>6</v>
      </c>
      <c r="L30" s="148">
        <v>2.23333E-3</v>
      </c>
      <c r="M30" s="104">
        <f t="shared" si="0"/>
        <v>1.1523982799999999E-2</v>
      </c>
      <c r="O30" s="66"/>
      <c r="Q30" s="66">
        <f t="shared" si="2"/>
        <v>1.4227445833333333E-2</v>
      </c>
    </row>
    <row r="31" spans="1:17">
      <c r="A31" s="145" t="s">
        <v>626</v>
      </c>
      <c r="B31" s="146" t="s">
        <v>1250</v>
      </c>
      <c r="C31" s="146" t="s">
        <v>1251</v>
      </c>
      <c r="D31" s="145" t="s">
        <v>1252</v>
      </c>
      <c r="E31" s="146" t="s">
        <v>260</v>
      </c>
      <c r="F31" s="145" t="s">
        <v>1608</v>
      </c>
      <c r="G31" s="146" t="s">
        <v>20</v>
      </c>
      <c r="H31" s="146">
        <v>201603</v>
      </c>
      <c r="I31" s="147">
        <v>-23.95</v>
      </c>
      <c r="J31" s="297">
        <f t="shared" si="3"/>
        <v>42675</v>
      </c>
      <c r="K31" s="67">
        <f t="shared" si="1"/>
        <v>6</v>
      </c>
      <c r="L31" s="148">
        <v>1.4833299999999999E-3</v>
      </c>
      <c r="M31" s="104">
        <f t="shared" si="0"/>
        <v>-0.21315452099999999</v>
      </c>
      <c r="O31" s="66"/>
      <c r="Q31" s="66">
        <f t="shared" si="2"/>
        <v>-0.39621782291666668</v>
      </c>
    </row>
    <row r="32" spans="1:17">
      <c r="A32" s="145" t="s">
        <v>14</v>
      </c>
      <c r="B32" s="146" t="s">
        <v>1676</v>
      </c>
      <c r="C32" s="146" t="s">
        <v>1677</v>
      </c>
      <c r="D32" s="145" t="s">
        <v>50</v>
      </c>
      <c r="E32" s="146" t="s">
        <v>1678</v>
      </c>
      <c r="F32" s="145" t="s">
        <v>52</v>
      </c>
      <c r="G32" s="146" t="s">
        <v>20</v>
      </c>
      <c r="H32" s="146">
        <v>201603</v>
      </c>
      <c r="I32" s="147">
        <v>-2.34</v>
      </c>
      <c r="J32" s="297">
        <f t="shared" si="3"/>
        <v>42675</v>
      </c>
      <c r="K32" s="67">
        <f t="shared" si="1"/>
        <v>6</v>
      </c>
      <c r="L32" s="148">
        <v>2.23333E-3</v>
      </c>
      <c r="M32" s="104">
        <f t="shared" si="0"/>
        <v>-3.1355953199999995E-2</v>
      </c>
      <c r="O32" s="66"/>
      <c r="Q32" s="66">
        <f t="shared" si="2"/>
        <v>-3.87118875E-2</v>
      </c>
    </row>
    <row r="33" spans="1:17">
      <c r="A33" s="145" t="s">
        <v>990</v>
      </c>
      <c r="B33" s="146" t="s">
        <v>1017</v>
      </c>
      <c r="C33" s="146" t="s">
        <v>1018</v>
      </c>
      <c r="D33" s="145" t="s">
        <v>993</v>
      </c>
      <c r="E33" s="146" t="s">
        <v>1019</v>
      </c>
      <c r="F33" s="145" t="s">
        <v>995</v>
      </c>
      <c r="G33" s="146" t="s">
        <v>20</v>
      </c>
      <c r="H33" s="146">
        <v>201603</v>
      </c>
      <c r="I33" s="147">
        <v>366.21</v>
      </c>
      <c r="J33" s="297">
        <f t="shared" si="3"/>
        <v>42675</v>
      </c>
      <c r="K33" s="67">
        <f t="shared" si="1"/>
        <v>6</v>
      </c>
      <c r="L33" s="148">
        <v>2.3833299999999999E-3</v>
      </c>
      <c r="M33" s="104">
        <f t="shared" si="0"/>
        <v>5.2367956757999998</v>
      </c>
      <c r="O33" s="66"/>
      <c r="Q33" s="66">
        <f t="shared" si="2"/>
        <v>6.05841039375</v>
      </c>
    </row>
    <row r="34" spans="1:17">
      <c r="A34" s="145" t="s">
        <v>14</v>
      </c>
      <c r="B34" s="146" t="s">
        <v>292</v>
      </c>
      <c r="C34" s="146" t="s">
        <v>293</v>
      </c>
      <c r="D34" s="145" t="s">
        <v>1679</v>
      </c>
      <c r="E34" s="146" t="s">
        <v>294</v>
      </c>
      <c r="F34" s="145" t="s">
        <v>1613</v>
      </c>
      <c r="G34" s="146" t="s">
        <v>20</v>
      </c>
      <c r="H34" s="146">
        <v>201603</v>
      </c>
      <c r="I34" s="147">
        <v>64836</v>
      </c>
      <c r="J34" s="297">
        <f t="shared" si="3"/>
        <v>42675</v>
      </c>
      <c r="K34" s="67">
        <f t="shared" si="1"/>
        <v>6</v>
      </c>
      <c r="L34" s="148">
        <v>2.23333E-3</v>
      </c>
      <c r="M34" s="104">
        <f t="shared" si="0"/>
        <v>868.80110327999989</v>
      </c>
      <c r="O34" s="66"/>
      <c r="Q34" s="66">
        <f t="shared" si="2"/>
        <v>1072.6170674999998</v>
      </c>
    </row>
    <row r="35" spans="1:17">
      <c r="A35" s="145" t="s">
        <v>14</v>
      </c>
      <c r="B35" s="146" t="s">
        <v>419</v>
      </c>
      <c r="C35" s="146" t="s">
        <v>420</v>
      </c>
      <c r="D35" s="145" t="s">
        <v>50</v>
      </c>
      <c r="E35" s="146" t="s">
        <v>421</v>
      </c>
      <c r="F35" s="145" t="s">
        <v>52</v>
      </c>
      <c r="G35" s="146" t="s">
        <v>20</v>
      </c>
      <c r="H35" s="146">
        <v>201603</v>
      </c>
      <c r="I35" s="147">
        <v>3118.93</v>
      </c>
      <c r="J35" s="297">
        <f t="shared" si="3"/>
        <v>42675</v>
      </c>
      <c r="K35" s="67">
        <f t="shared" si="1"/>
        <v>6</v>
      </c>
      <c r="L35" s="148">
        <v>2.23333E-3</v>
      </c>
      <c r="M35" s="104">
        <f t="shared" si="0"/>
        <v>41.793599621399991</v>
      </c>
      <c r="O35" s="66"/>
      <c r="Q35" s="66">
        <f t="shared" si="2"/>
        <v>51.598148410416663</v>
      </c>
    </row>
    <row r="36" spans="1:17">
      <c r="A36" s="145" t="s">
        <v>990</v>
      </c>
      <c r="B36" s="146" t="s">
        <v>1020</v>
      </c>
      <c r="C36" s="146" t="s">
        <v>1021</v>
      </c>
      <c r="D36" s="145" t="s">
        <v>1680</v>
      </c>
      <c r="E36" s="146" t="s">
        <v>1022</v>
      </c>
      <c r="F36" s="145" t="s">
        <v>1614</v>
      </c>
      <c r="G36" s="146" t="s">
        <v>20</v>
      </c>
      <c r="H36" s="146">
        <v>201603</v>
      </c>
      <c r="I36" s="147">
        <v>-3463.02</v>
      </c>
      <c r="J36" s="297">
        <f t="shared" si="3"/>
        <v>42675</v>
      </c>
      <c r="K36" s="67">
        <f t="shared" si="1"/>
        <v>6</v>
      </c>
      <c r="L36" s="148">
        <v>2.3833299999999999E-3</v>
      </c>
      <c r="M36" s="104">
        <f t="shared" si="0"/>
        <v>-49.521116739600004</v>
      </c>
      <c r="O36" s="66"/>
      <c r="Q36" s="66">
        <f t="shared" si="2"/>
        <v>-57.290615662500002</v>
      </c>
    </row>
    <row r="37" spans="1:17">
      <c r="A37" s="145" t="s">
        <v>14</v>
      </c>
      <c r="B37" s="146" t="s">
        <v>325</v>
      </c>
      <c r="C37" s="146" t="s">
        <v>326</v>
      </c>
      <c r="D37" s="145" t="s">
        <v>327</v>
      </c>
      <c r="E37" s="146" t="s">
        <v>328</v>
      </c>
      <c r="F37" s="145" t="s">
        <v>58</v>
      </c>
      <c r="G37" s="146" t="s">
        <v>20</v>
      </c>
      <c r="H37" s="146">
        <v>201603</v>
      </c>
      <c r="I37" s="147">
        <v>2574.58</v>
      </c>
      <c r="J37" s="297">
        <f t="shared" si="3"/>
        <v>42675</v>
      </c>
      <c r="K37" s="67">
        <f t="shared" si="1"/>
        <v>6</v>
      </c>
      <c r="L37" s="148">
        <v>2.23333E-3</v>
      </c>
      <c r="M37" s="104">
        <f t="shared" si="0"/>
        <v>34.499320508399997</v>
      </c>
      <c r="O37" s="66"/>
      <c r="Q37" s="66">
        <f t="shared" si="2"/>
        <v>42.592671504166667</v>
      </c>
    </row>
    <row r="38" spans="1:17">
      <c r="A38" s="145" t="s">
        <v>626</v>
      </c>
      <c r="B38" s="146" t="s">
        <v>1823</v>
      </c>
      <c r="C38" s="146" t="s">
        <v>1824</v>
      </c>
      <c r="D38" s="145" t="s">
        <v>1825</v>
      </c>
      <c r="E38" s="146" t="s">
        <v>260</v>
      </c>
      <c r="F38" s="145" t="s">
        <v>1608</v>
      </c>
      <c r="G38" s="146" t="s">
        <v>20</v>
      </c>
      <c r="H38" s="146">
        <v>201603</v>
      </c>
      <c r="I38" s="147">
        <v>-32.840000000000003</v>
      </c>
      <c r="J38" s="297">
        <f t="shared" si="3"/>
        <v>42675</v>
      </c>
      <c r="K38" s="67">
        <f t="shared" si="1"/>
        <v>6</v>
      </c>
      <c r="L38" s="148">
        <v>1.4833299999999999E-3</v>
      </c>
      <c r="M38" s="104">
        <f t="shared" si="0"/>
        <v>-0.29227534320000004</v>
      </c>
      <c r="O38" s="66"/>
      <c r="Q38" s="66">
        <f t="shared" si="2"/>
        <v>-0.54328990833333346</v>
      </c>
    </row>
    <row r="39" spans="1:17">
      <c r="A39" s="145" t="s">
        <v>626</v>
      </c>
      <c r="B39" s="146" t="s">
        <v>1826</v>
      </c>
      <c r="C39" s="146" t="s">
        <v>1827</v>
      </c>
      <c r="D39" s="145" t="s">
        <v>1828</v>
      </c>
      <c r="E39" s="146" t="s">
        <v>25</v>
      </c>
      <c r="F39" s="145" t="s">
        <v>26</v>
      </c>
      <c r="G39" s="146" t="s">
        <v>20</v>
      </c>
      <c r="H39" s="146">
        <v>201603</v>
      </c>
      <c r="I39" s="147">
        <v>5965.78</v>
      </c>
      <c r="J39" s="297">
        <f t="shared" si="3"/>
        <v>42675</v>
      </c>
      <c r="K39" s="67">
        <f t="shared" si="1"/>
        <v>6</v>
      </c>
      <c r="L39" s="148">
        <v>1.4833299999999999E-3</v>
      </c>
      <c r="M39" s="104">
        <f t="shared" si="0"/>
        <v>53.095322684399996</v>
      </c>
      <c r="O39" s="66"/>
      <c r="Q39" s="66">
        <f t="shared" si="2"/>
        <v>98.695130004166671</v>
      </c>
    </row>
    <row r="40" spans="1:17">
      <c r="A40" s="145" t="s">
        <v>626</v>
      </c>
      <c r="B40" s="146" t="s">
        <v>1615</v>
      </c>
      <c r="C40" s="146" t="s">
        <v>1616</v>
      </c>
      <c r="D40" s="145" t="s">
        <v>1617</v>
      </c>
      <c r="E40" s="146" t="s">
        <v>497</v>
      </c>
      <c r="F40" s="145" t="s">
        <v>26</v>
      </c>
      <c r="G40" s="146" t="s">
        <v>20</v>
      </c>
      <c r="H40" s="146">
        <v>201603</v>
      </c>
      <c r="I40" s="147">
        <v>2.12</v>
      </c>
      <c r="J40" s="297">
        <f t="shared" si="3"/>
        <v>42675</v>
      </c>
      <c r="K40" s="67">
        <f t="shared" si="1"/>
        <v>6</v>
      </c>
      <c r="L40" s="148">
        <v>1.4833299999999999E-3</v>
      </c>
      <c r="M40" s="104">
        <f t="shared" si="0"/>
        <v>1.8867957600000002E-2</v>
      </c>
      <c r="O40" s="66"/>
      <c r="Q40" s="66">
        <f t="shared" si="2"/>
        <v>3.5072308333333337E-2</v>
      </c>
    </row>
    <row r="41" spans="1:17">
      <c r="A41" s="145" t="s">
        <v>626</v>
      </c>
      <c r="B41" s="146" t="s">
        <v>1148</v>
      </c>
      <c r="C41" s="146" t="s">
        <v>1149</v>
      </c>
      <c r="D41" s="145" t="s">
        <v>1150</v>
      </c>
      <c r="E41" s="146" t="s">
        <v>93</v>
      </c>
      <c r="F41" s="145" t="s">
        <v>1601</v>
      </c>
      <c r="G41" s="146" t="s">
        <v>20</v>
      </c>
      <c r="H41" s="146">
        <v>201603</v>
      </c>
      <c r="I41" s="147">
        <v>0.45</v>
      </c>
      <c r="J41" s="297">
        <f t="shared" si="3"/>
        <v>42675</v>
      </c>
      <c r="K41" s="67">
        <f t="shared" si="1"/>
        <v>6</v>
      </c>
      <c r="L41" s="148">
        <v>1.4833299999999999E-3</v>
      </c>
      <c r="M41" s="104">
        <f t="shared" si="0"/>
        <v>4.0049910000000003E-3</v>
      </c>
      <c r="O41" s="66"/>
      <c r="Q41" s="66">
        <f t="shared" si="2"/>
        <v>7.4445937499999998E-3</v>
      </c>
    </row>
    <row r="42" spans="1:17">
      <c r="A42" s="145" t="s">
        <v>21</v>
      </c>
      <c r="B42" s="146" t="s">
        <v>1502</v>
      </c>
      <c r="C42" s="146" t="s">
        <v>1503</v>
      </c>
      <c r="D42" s="145" t="s">
        <v>1504</v>
      </c>
      <c r="E42" s="146" t="s">
        <v>172</v>
      </c>
      <c r="F42" s="145" t="s">
        <v>1609</v>
      </c>
      <c r="G42" s="146" t="s">
        <v>20</v>
      </c>
      <c r="H42" s="146">
        <v>201603</v>
      </c>
      <c r="I42" s="147">
        <v>1.18</v>
      </c>
      <c r="J42" s="297">
        <f t="shared" si="3"/>
        <v>42675</v>
      </c>
      <c r="K42" s="67">
        <f t="shared" si="1"/>
        <v>6</v>
      </c>
      <c r="L42" s="148">
        <v>1.4833299999999999E-3</v>
      </c>
      <c r="M42" s="104">
        <f t="shared" si="0"/>
        <v>1.05019764E-2</v>
      </c>
      <c r="O42" s="66"/>
      <c r="Q42" s="66">
        <f t="shared" si="2"/>
        <v>1.9521379166666665E-2</v>
      </c>
    </row>
    <row r="43" spans="1:17">
      <c r="A43" s="145" t="s">
        <v>21</v>
      </c>
      <c r="B43" s="146" t="s">
        <v>1948</v>
      </c>
      <c r="C43" s="146" t="s">
        <v>1949</v>
      </c>
      <c r="D43" s="145" t="s">
        <v>1950</v>
      </c>
      <c r="E43" s="146" t="s">
        <v>756</v>
      </c>
      <c r="F43" s="145" t="s">
        <v>757</v>
      </c>
      <c r="G43" s="146" t="s">
        <v>20</v>
      </c>
      <c r="H43" s="146">
        <v>201603</v>
      </c>
      <c r="I43" s="147">
        <v>-38.15</v>
      </c>
      <c r="J43" s="297">
        <f t="shared" si="3"/>
        <v>42675</v>
      </c>
      <c r="K43" s="67">
        <f t="shared" si="1"/>
        <v>6</v>
      </c>
      <c r="L43" s="148">
        <v>1.4833299999999999E-3</v>
      </c>
      <c r="M43" s="104">
        <f t="shared" si="0"/>
        <v>-0.33953423700000002</v>
      </c>
      <c r="O43" s="66"/>
      <c r="Q43" s="66">
        <f t="shared" si="2"/>
        <v>-0.6311361145833333</v>
      </c>
    </row>
    <row r="44" spans="1:17">
      <c r="A44" s="145" t="s">
        <v>21</v>
      </c>
      <c r="B44" s="146" t="s">
        <v>1858</v>
      </c>
      <c r="C44" s="146" t="s">
        <v>1859</v>
      </c>
      <c r="D44" s="145" t="s">
        <v>1860</v>
      </c>
      <c r="E44" s="146" t="s">
        <v>70</v>
      </c>
      <c r="F44" s="145" t="s">
        <v>71</v>
      </c>
      <c r="G44" s="146" t="s">
        <v>20</v>
      </c>
      <c r="H44" s="146">
        <v>201603</v>
      </c>
      <c r="I44" s="147">
        <v>-4.7300000000000004</v>
      </c>
      <c r="J44" s="297">
        <f t="shared" si="3"/>
        <v>42675</v>
      </c>
      <c r="K44" s="67">
        <f t="shared" si="1"/>
        <v>6</v>
      </c>
      <c r="L44" s="148">
        <v>1.4833299999999999E-3</v>
      </c>
      <c r="M44" s="104">
        <f t="shared" si="0"/>
        <v>-4.2096905400000002E-2</v>
      </c>
      <c r="O44" s="66"/>
      <c r="Q44" s="66">
        <f t="shared" si="2"/>
        <v>-7.8250952083333339E-2</v>
      </c>
    </row>
    <row r="45" spans="1:17">
      <c r="A45" s="145" t="s">
        <v>626</v>
      </c>
      <c r="B45" s="146" t="s">
        <v>1545</v>
      </c>
      <c r="C45" s="146" t="s">
        <v>1546</v>
      </c>
      <c r="D45" s="145" t="s">
        <v>1547</v>
      </c>
      <c r="E45" s="146" t="s">
        <v>164</v>
      </c>
      <c r="F45" s="145" t="s">
        <v>1600</v>
      </c>
      <c r="G45" s="146" t="s">
        <v>20</v>
      </c>
      <c r="H45" s="146">
        <v>201603</v>
      </c>
      <c r="I45" s="147">
        <v>0.41</v>
      </c>
      <c r="J45" s="297">
        <f t="shared" si="3"/>
        <v>42675</v>
      </c>
      <c r="K45" s="67">
        <f t="shared" si="1"/>
        <v>6</v>
      </c>
      <c r="L45" s="148">
        <v>1.4833299999999999E-3</v>
      </c>
      <c r="M45" s="104">
        <f t="shared" si="0"/>
        <v>3.6489917999999997E-3</v>
      </c>
      <c r="O45" s="66"/>
      <c r="Q45" s="66">
        <f t="shared" si="2"/>
        <v>6.7828520833333331E-3</v>
      </c>
    </row>
    <row r="46" spans="1:17">
      <c r="A46" s="145" t="s">
        <v>626</v>
      </c>
      <c r="B46" s="146" t="s">
        <v>1420</v>
      </c>
      <c r="C46" s="146" t="s">
        <v>1421</v>
      </c>
      <c r="D46" s="145" t="s">
        <v>1422</v>
      </c>
      <c r="E46" s="146" t="s">
        <v>260</v>
      </c>
      <c r="F46" s="145" t="s">
        <v>1608</v>
      </c>
      <c r="G46" s="146" t="s">
        <v>20</v>
      </c>
      <c r="H46" s="146">
        <v>201603</v>
      </c>
      <c r="I46" s="147">
        <v>-0.32</v>
      </c>
      <c r="J46" s="297">
        <f t="shared" si="3"/>
        <v>42675</v>
      </c>
      <c r="K46" s="67">
        <f t="shared" si="1"/>
        <v>6</v>
      </c>
      <c r="L46" s="148">
        <v>1.4833299999999999E-3</v>
      </c>
      <c r="M46" s="104">
        <f t="shared" si="0"/>
        <v>-2.8479936000000003E-3</v>
      </c>
      <c r="O46" s="66"/>
      <c r="Q46" s="66">
        <f t="shared" si="2"/>
        <v>-5.2939333333333338E-3</v>
      </c>
    </row>
    <row r="47" spans="1:17">
      <c r="A47" s="145" t="s">
        <v>21</v>
      </c>
      <c r="B47" s="146" t="s">
        <v>1420</v>
      </c>
      <c r="C47" s="146" t="s">
        <v>1421</v>
      </c>
      <c r="D47" s="145" t="s">
        <v>1422</v>
      </c>
      <c r="E47" s="146" t="s">
        <v>260</v>
      </c>
      <c r="F47" s="145" t="s">
        <v>1608</v>
      </c>
      <c r="G47" s="146" t="s">
        <v>20</v>
      </c>
      <c r="H47" s="146">
        <v>201603</v>
      </c>
      <c r="I47" s="147">
        <v>-7.0000000000000007E-2</v>
      </c>
      <c r="J47" s="297">
        <f t="shared" si="3"/>
        <v>42675</v>
      </c>
      <c r="K47" s="67">
        <f t="shared" si="1"/>
        <v>6</v>
      </c>
      <c r="L47" s="148">
        <v>1.4833299999999999E-3</v>
      </c>
      <c r="M47" s="104">
        <f t="shared" si="0"/>
        <v>-6.2299860000000003E-4</v>
      </c>
      <c r="O47" s="66"/>
      <c r="Q47" s="66">
        <f t="shared" si="2"/>
        <v>-1.1580479166666668E-3</v>
      </c>
    </row>
    <row r="48" spans="1:17">
      <c r="A48" s="145" t="s">
        <v>626</v>
      </c>
      <c r="B48" s="146" t="s">
        <v>1268</v>
      </c>
      <c r="C48" s="146" t="s">
        <v>1269</v>
      </c>
      <c r="D48" s="145" t="s">
        <v>1270</v>
      </c>
      <c r="E48" s="146" t="s">
        <v>260</v>
      </c>
      <c r="F48" s="145" t="s">
        <v>1608</v>
      </c>
      <c r="G48" s="146" t="s">
        <v>20</v>
      </c>
      <c r="H48" s="146">
        <v>201603</v>
      </c>
      <c r="I48" s="147">
        <v>-15.01</v>
      </c>
      <c r="J48" s="297">
        <f t="shared" si="3"/>
        <v>42675</v>
      </c>
      <c r="K48" s="67">
        <f t="shared" si="1"/>
        <v>6</v>
      </c>
      <c r="L48" s="148">
        <v>1.4833299999999999E-3</v>
      </c>
      <c r="M48" s="104">
        <f t="shared" si="0"/>
        <v>-0.13358869979999999</v>
      </c>
      <c r="O48" s="66"/>
      <c r="Q48" s="66">
        <f t="shared" si="2"/>
        <v>-0.24831856041666669</v>
      </c>
    </row>
    <row r="49" spans="1:17">
      <c r="A49" s="145" t="s">
        <v>127</v>
      </c>
      <c r="B49" s="146" t="s">
        <v>1785</v>
      </c>
      <c r="C49" s="146" t="s">
        <v>1786</v>
      </c>
      <c r="D49" s="145" t="s">
        <v>1787</v>
      </c>
      <c r="E49" s="146" t="s">
        <v>1580</v>
      </c>
      <c r="F49" s="145" t="s">
        <v>217</v>
      </c>
      <c r="G49" s="146" t="s">
        <v>20</v>
      </c>
      <c r="H49" s="146">
        <v>201603</v>
      </c>
      <c r="I49" s="147">
        <v>-32.619999999999997</v>
      </c>
      <c r="J49" s="297">
        <f t="shared" si="3"/>
        <v>42675</v>
      </c>
      <c r="K49" s="67">
        <f t="shared" si="1"/>
        <v>6</v>
      </c>
      <c r="L49" s="148">
        <v>2.3833299999999999E-3</v>
      </c>
      <c r="M49" s="104">
        <f t="shared" si="0"/>
        <v>-0.46646534759999997</v>
      </c>
      <c r="O49" s="66"/>
      <c r="Q49" s="66">
        <f t="shared" si="2"/>
        <v>-0.53965032916666666</v>
      </c>
    </row>
    <row r="50" spans="1:17">
      <c r="A50" s="145" t="s">
        <v>626</v>
      </c>
      <c r="B50" s="146" t="s">
        <v>1829</v>
      </c>
      <c r="C50" s="146" t="s">
        <v>1830</v>
      </c>
      <c r="D50" s="145" t="s">
        <v>1831</v>
      </c>
      <c r="E50" s="146" t="s">
        <v>497</v>
      </c>
      <c r="F50" s="145" t="s">
        <v>26</v>
      </c>
      <c r="G50" s="146" t="s">
        <v>20</v>
      </c>
      <c r="H50" s="146">
        <v>201603</v>
      </c>
      <c r="I50" s="147">
        <v>-2.4700000000000002</v>
      </c>
      <c r="J50" s="297">
        <f t="shared" si="3"/>
        <v>42675</v>
      </c>
      <c r="K50" s="67">
        <f t="shared" si="1"/>
        <v>6</v>
      </c>
      <c r="L50" s="148">
        <v>1.4833299999999999E-3</v>
      </c>
      <c r="M50" s="104">
        <f t="shared" si="0"/>
        <v>-2.1982950600000002E-2</v>
      </c>
      <c r="O50" s="66"/>
      <c r="Q50" s="66">
        <f t="shared" si="2"/>
        <v>-4.0862547916666672E-2</v>
      </c>
    </row>
    <row r="51" spans="1:17">
      <c r="A51" s="145" t="s">
        <v>626</v>
      </c>
      <c r="B51" s="146" t="s">
        <v>1709</v>
      </c>
      <c r="C51" s="146" t="s">
        <v>1710</v>
      </c>
      <c r="D51" s="145" t="s">
        <v>1711</v>
      </c>
      <c r="E51" s="146" t="s">
        <v>497</v>
      </c>
      <c r="F51" s="145" t="s">
        <v>26</v>
      </c>
      <c r="G51" s="146" t="s">
        <v>20</v>
      </c>
      <c r="H51" s="146">
        <v>201603</v>
      </c>
      <c r="I51" s="147">
        <v>-0.3</v>
      </c>
      <c r="J51" s="297">
        <f t="shared" si="3"/>
        <v>42675</v>
      </c>
      <c r="K51" s="67">
        <f t="shared" si="1"/>
        <v>6</v>
      </c>
      <c r="L51" s="148">
        <v>1.4833299999999999E-3</v>
      </c>
      <c r="M51" s="104">
        <f t="shared" si="0"/>
        <v>-2.6699939999999998E-3</v>
      </c>
      <c r="O51" s="66"/>
      <c r="Q51" s="66">
        <f t="shared" si="2"/>
        <v>-4.9630624999999996E-3</v>
      </c>
    </row>
    <row r="52" spans="1:17">
      <c r="A52" s="145" t="s">
        <v>626</v>
      </c>
      <c r="B52" s="146" t="s">
        <v>1861</v>
      </c>
      <c r="C52" s="146" t="s">
        <v>1862</v>
      </c>
      <c r="D52" s="145" t="s">
        <v>1863</v>
      </c>
      <c r="E52" s="146" t="s">
        <v>75</v>
      </c>
      <c r="F52" s="145" t="s">
        <v>1602</v>
      </c>
      <c r="G52" s="146" t="s">
        <v>20</v>
      </c>
      <c r="H52" s="146">
        <v>201603</v>
      </c>
      <c r="I52" s="147">
        <v>-251.67</v>
      </c>
      <c r="J52" s="297">
        <f t="shared" si="3"/>
        <v>42675</v>
      </c>
      <c r="K52" s="67">
        <f t="shared" si="1"/>
        <v>6</v>
      </c>
      <c r="L52" s="148">
        <v>1.4833299999999999E-3</v>
      </c>
      <c r="M52" s="104">
        <f t="shared" si="0"/>
        <v>-2.2398579665999998</v>
      </c>
      <c r="O52" s="66"/>
      <c r="Q52" s="66">
        <f t="shared" si="2"/>
        <v>-4.1635131312500002</v>
      </c>
    </row>
    <row r="53" spans="1:17">
      <c r="A53" s="145" t="s">
        <v>626</v>
      </c>
      <c r="B53" s="146" t="s">
        <v>1511</v>
      </c>
      <c r="C53" s="146" t="s">
        <v>1512</v>
      </c>
      <c r="D53" s="145" t="s">
        <v>1513</v>
      </c>
      <c r="E53" s="146" t="s">
        <v>260</v>
      </c>
      <c r="F53" s="145" t="s">
        <v>1608</v>
      </c>
      <c r="G53" s="146" t="s">
        <v>20</v>
      </c>
      <c r="H53" s="146">
        <v>201603</v>
      </c>
      <c r="I53" s="147">
        <v>-1.08</v>
      </c>
      <c r="J53" s="297">
        <f t="shared" si="3"/>
        <v>42675</v>
      </c>
      <c r="K53" s="67">
        <f t="shared" si="1"/>
        <v>6</v>
      </c>
      <c r="L53" s="148">
        <v>1.4833299999999999E-3</v>
      </c>
      <c r="M53" s="104">
        <f t="shared" si="0"/>
        <v>-9.6119784000000003E-3</v>
      </c>
      <c r="O53" s="66"/>
      <c r="Q53" s="66">
        <f t="shared" si="2"/>
        <v>-1.7867025000000002E-2</v>
      </c>
    </row>
    <row r="54" spans="1:17">
      <c r="A54" s="145" t="s">
        <v>626</v>
      </c>
      <c r="B54" s="146" t="s">
        <v>1864</v>
      </c>
      <c r="C54" s="146" t="s">
        <v>1865</v>
      </c>
      <c r="D54" s="145" t="s">
        <v>1866</v>
      </c>
      <c r="E54" s="146" t="s">
        <v>75</v>
      </c>
      <c r="F54" s="145" t="s">
        <v>1602</v>
      </c>
      <c r="G54" s="146" t="s">
        <v>20</v>
      </c>
      <c r="H54" s="146">
        <v>201603</v>
      </c>
      <c r="I54" s="147">
        <v>-668.37</v>
      </c>
      <c r="J54" s="297">
        <f t="shared" si="3"/>
        <v>42675</v>
      </c>
      <c r="K54" s="67">
        <f t="shared" si="1"/>
        <v>6</v>
      </c>
      <c r="L54" s="148">
        <v>1.4833299999999999E-3</v>
      </c>
      <c r="M54" s="104">
        <f t="shared" si="0"/>
        <v>-5.9484796325999998</v>
      </c>
      <c r="O54" s="66"/>
      <c r="Q54" s="66">
        <f t="shared" si="2"/>
        <v>-11.05720694375</v>
      </c>
    </row>
    <row r="55" spans="1:17">
      <c r="A55" s="145" t="s">
        <v>626</v>
      </c>
      <c r="B55" s="146" t="s">
        <v>1867</v>
      </c>
      <c r="C55" s="146" t="s">
        <v>1868</v>
      </c>
      <c r="D55" s="145" t="s">
        <v>1869</v>
      </c>
      <c r="E55" s="146" t="s">
        <v>75</v>
      </c>
      <c r="F55" s="145" t="s">
        <v>1602</v>
      </c>
      <c r="G55" s="146" t="s">
        <v>20</v>
      </c>
      <c r="H55" s="146">
        <v>201603</v>
      </c>
      <c r="I55" s="147">
        <v>-105.97</v>
      </c>
      <c r="J55" s="297">
        <f t="shared" si="3"/>
        <v>42675</v>
      </c>
      <c r="K55" s="67">
        <f t="shared" si="1"/>
        <v>6</v>
      </c>
      <c r="L55" s="148">
        <v>1.4833299999999999E-3</v>
      </c>
      <c r="M55" s="104">
        <f t="shared" si="0"/>
        <v>-0.94313088059999994</v>
      </c>
      <c r="O55" s="66"/>
      <c r="Q55" s="66">
        <f t="shared" si="2"/>
        <v>-1.7531191104166666</v>
      </c>
    </row>
    <row r="56" spans="1:17">
      <c r="A56" s="145" t="s">
        <v>626</v>
      </c>
      <c r="B56" s="146" t="s">
        <v>1870</v>
      </c>
      <c r="C56" s="146" t="s">
        <v>1871</v>
      </c>
      <c r="D56" s="145" t="s">
        <v>1872</v>
      </c>
      <c r="E56" s="146" t="s">
        <v>75</v>
      </c>
      <c r="F56" s="145" t="s">
        <v>1602</v>
      </c>
      <c r="G56" s="146" t="s">
        <v>20</v>
      </c>
      <c r="H56" s="146">
        <v>201603</v>
      </c>
      <c r="I56" s="147">
        <v>-248.08</v>
      </c>
      <c r="J56" s="297">
        <f t="shared" si="3"/>
        <v>42675</v>
      </c>
      <c r="K56" s="67">
        <f t="shared" si="1"/>
        <v>6</v>
      </c>
      <c r="L56" s="148">
        <v>1.4833299999999999E-3</v>
      </c>
      <c r="M56" s="104">
        <f t="shared" si="0"/>
        <v>-2.2079070384000001</v>
      </c>
      <c r="O56" s="66"/>
      <c r="Q56" s="66">
        <f t="shared" si="2"/>
        <v>-4.1041218166666669</v>
      </c>
    </row>
    <row r="57" spans="1:17">
      <c r="A57" s="145" t="s">
        <v>626</v>
      </c>
      <c r="B57" s="146" t="s">
        <v>1514</v>
      </c>
      <c r="C57" s="146" t="s">
        <v>1515</v>
      </c>
      <c r="D57" s="145" t="s">
        <v>1516</v>
      </c>
      <c r="E57" s="146" t="s">
        <v>809</v>
      </c>
      <c r="F57" s="145" t="s">
        <v>26</v>
      </c>
      <c r="G57" s="146" t="s">
        <v>20</v>
      </c>
      <c r="H57" s="146">
        <v>201603</v>
      </c>
      <c r="I57" s="147">
        <v>-1.24</v>
      </c>
      <c r="J57" s="297">
        <f t="shared" si="3"/>
        <v>42675</v>
      </c>
      <c r="K57" s="67">
        <f t="shared" si="1"/>
        <v>6</v>
      </c>
      <c r="L57" s="148">
        <v>1.4833299999999999E-3</v>
      </c>
      <c r="M57" s="104">
        <f t="shared" si="0"/>
        <v>-1.1035975199999999E-2</v>
      </c>
      <c r="O57" s="66"/>
      <c r="Q57" s="66">
        <f t="shared" si="2"/>
        <v>-2.0513991666666665E-2</v>
      </c>
    </row>
    <row r="58" spans="1:17">
      <c r="A58" s="145" t="s">
        <v>626</v>
      </c>
      <c r="B58" s="146" t="s">
        <v>1873</v>
      </c>
      <c r="C58" s="146" t="s">
        <v>1874</v>
      </c>
      <c r="D58" s="145" t="s">
        <v>1875</v>
      </c>
      <c r="E58" s="146" t="s">
        <v>75</v>
      </c>
      <c r="F58" s="145" t="s">
        <v>1602</v>
      </c>
      <c r="G58" s="146" t="s">
        <v>20</v>
      </c>
      <c r="H58" s="146">
        <v>201603</v>
      </c>
      <c r="I58" s="147">
        <v>-680.64</v>
      </c>
      <c r="J58" s="297">
        <f t="shared" si="3"/>
        <v>42675</v>
      </c>
      <c r="K58" s="67">
        <f t="shared" si="1"/>
        <v>6</v>
      </c>
      <c r="L58" s="148">
        <v>1.4833299999999999E-3</v>
      </c>
      <c r="M58" s="104">
        <f t="shared" si="0"/>
        <v>-6.0576823871999999</v>
      </c>
      <c r="O58" s="66"/>
      <c r="Q58" s="66">
        <f t="shared" si="2"/>
        <v>-11.260196199999999</v>
      </c>
    </row>
    <row r="59" spans="1:17">
      <c r="A59" s="145" t="s">
        <v>626</v>
      </c>
      <c r="B59" s="146" t="s">
        <v>1681</v>
      </c>
      <c r="C59" s="146" t="s">
        <v>1703</v>
      </c>
      <c r="D59" s="145" t="s">
        <v>1704</v>
      </c>
      <c r="E59" s="146" t="s">
        <v>164</v>
      </c>
      <c r="F59" s="145" t="s">
        <v>1600</v>
      </c>
      <c r="G59" s="146" t="s">
        <v>20</v>
      </c>
      <c r="H59" s="146">
        <v>201603</v>
      </c>
      <c r="I59" s="147">
        <v>693.01</v>
      </c>
      <c r="J59" s="297">
        <f t="shared" si="3"/>
        <v>42675</v>
      </c>
      <c r="K59" s="67">
        <f t="shared" si="1"/>
        <v>6</v>
      </c>
      <c r="L59" s="148">
        <v>1.4833299999999999E-3</v>
      </c>
      <c r="M59" s="104">
        <f t="shared" si="0"/>
        <v>6.1677751397999998</v>
      </c>
      <c r="O59" s="66"/>
      <c r="Q59" s="66">
        <f t="shared" si="2"/>
        <v>11.464839810416667</v>
      </c>
    </row>
    <row r="60" spans="1:17">
      <c r="A60" s="145" t="s">
        <v>626</v>
      </c>
      <c r="B60" s="146" t="s">
        <v>1681</v>
      </c>
      <c r="C60" s="146" t="s">
        <v>1705</v>
      </c>
      <c r="D60" s="145" t="s">
        <v>1706</v>
      </c>
      <c r="E60" s="146" t="s">
        <v>75</v>
      </c>
      <c r="F60" s="145" t="s">
        <v>1602</v>
      </c>
      <c r="G60" s="146" t="s">
        <v>20</v>
      </c>
      <c r="H60" s="146">
        <v>201603</v>
      </c>
      <c r="I60" s="147">
        <v>55791.61</v>
      </c>
      <c r="J60" s="297">
        <f t="shared" si="3"/>
        <v>42675</v>
      </c>
      <c r="K60" s="67">
        <f t="shared" si="1"/>
        <v>6</v>
      </c>
      <c r="L60" s="148">
        <v>1.4833299999999999E-3</v>
      </c>
      <c r="M60" s="104">
        <f t="shared" si="0"/>
        <v>496.54421316780002</v>
      </c>
      <c r="O60" s="66"/>
      <c r="Q60" s="66">
        <f t="shared" si="2"/>
        <v>922.99082468541678</v>
      </c>
    </row>
    <row r="61" spans="1:17">
      <c r="A61" s="145" t="s">
        <v>626</v>
      </c>
      <c r="B61" s="146" t="s">
        <v>1681</v>
      </c>
      <c r="C61" s="146" t="s">
        <v>1707</v>
      </c>
      <c r="D61" s="145" t="s">
        <v>1708</v>
      </c>
      <c r="E61" s="146" t="s">
        <v>75</v>
      </c>
      <c r="F61" s="145" t="s">
        <v>1602</v>
      </c>
      <c r="G61" s="146" t="s">
        <v>20</v>
      </c>
      <c r="H61" s="146">
        <v>201603</v>
      </c>
      <c r="I61" s="147">
        <v>-581.25</v>
      </c>
      <c r="J61" s="297">
        <f t="shared" si="3"/>
        <v>42675</v>
      </c>
      <c r="K61" s="67">
        <f t="shared" si="1"/>
        <v>6</v>
      </c>
      <c r="L61" s="148">
        <v>1.4833299999999999E-3</v>
      </c>
      <c r="M61" s="104">
        <f t="shared" si="0"/>
        <v>-5.1731133749999998</v>
      </c>
      <c r="O61" s="66"/>
      <c r="Q61" s="66">
        <f t="shared" si="2"/>
        <v>-9.6159335937500003</v>
      </c>
    </row>
    <row r="62" spans="1:17">
      <c r="A62" s="145" t="s">
        <v>626</v>
      </c>
      <c r="B62" s="146" t="s">
        <v>1832</v>
      </c>
      <c r="C62" s="146" t="s">
        <v>1833</v>
      </c>
      <c r="D62" s="145" t="s">
        <v>1834</v>
      </c>
      <c r="E62" s="146" t="s">
        <v>497</v>
      </c>
      <c r="F62" s="145" t="s">
        <v>26</v>
      </c>
      <c r="G62" s="146" t="s">
        <v>20</v>
      </c>
      <c r="H62" s="146">
        <v>201603</v>
      </c>
      <c r="I62" s="147">
        <v>-150.94999999999999</v>
      </c>
      <c r="J62" s="297">
        <f t="shared" si="3"/>
        <v>42675</v>
      </c>
      <c r="K62" s="67">
        <f t="shared" si="1"/>
        <v>6</v>
      </c>
      <c r="L62" s="148">
        <v>1.4833299999999999E-3</v>
      </c>
      <c r="M62" s="104">
        <f t="shared" si="0"/>
        <v>-1.3434519809999999</v>
      </c>
      <c r="O62" s="66"/>
      <c r="Q62" s="66">
        <f t="shared" si="2"/>
        <v>-2.4972476145833333</v>
      </c>
    </row>
    <row r="63" spans="1:17">
      <c r="A63" s="145" t="s">
        <v>626</v>
      </c>
      <c r="B63" s="146" t="s">
        <v>1712</v>
      </c>
      <c r="C63" s="146" t="s">
        <v>1713</v>
      </c>
      <c r="D63" s="145" t="s">
        <v>1714</v>
      </c>
      <c r="E63" s="146" t="s">
        <v>497</v>
      </c>
      <c r="F63" s="145" t="s">
        <v>26</v>
      </c>
      <c r="G63" s="146" t="s">
        <v>20</v>
      </c>
      <c r="H63" s="146">
        <v>201603</v>
      </c>
      <c r="I63" s="147">
        <v>-19</v>
      </c>
      <c r="J63" s="297">
        <f t="shared" si="3"/>
        <v>42675</v>
      </c>
      <c r="K63" s="67">
        <f t="shared" si="1"/>
        <v>6</v>
      </c>
      <c r="L63" s="148">
        <v>1.4833299999999999E-3</v>
      </c>
      <c r="M63" s="104">
        <f t="shared" si="0"/>
        <v>-0.16909962000000001</v>
      </c>
      <c r="O63" s="66"/>
      <c r="Q63" s="66">
        <f t="shared" si="2"/>
        <v>-0.31432729166666667</v>
      </c>
    </row>
    <row r="64" spans="1:17">
      <c r="A64" s="145" t="s">
        <v>626</v>
      </c>
      <c r="B64" s="146" t="s">
        <v>1715</v>
      </c>
      <c r="C64" s="146" t="s">
        <v>1716</v>
      </c>
      <c r="D64" s="145" t="s">
        <v>1717</v>
      </c>
      <c r="E64" s="146" t="s">
        <v>497</v>
      </c>
      <c r="F64" s="145" t="s">
        <v>26</v>
      </c>
      <c r="G64" s="146" t="s">
        <v>20</v>
      </c>
      <c r="H64" s="146">
        <v>201603</v>
      </c>
      <c r="I64" s="147">
        <v>9.25</v>
      </c>
      <c r="J64" s="297">
        <f t="shared" si="3"/>
        <v>42675</v>
      </c>
      <c r="K64" s="67">
        <f t="shared" si="1"/>
        <v>6</v>
      </c>
      <c r="L64" s="148">
        <v>1.4833299999999999E-3</v>
      </c>
      <c r="M64" s="104">
        <f t="shared" si="0"/>
        <v>8.2324814999999996E-2</v>
      </c>
      <c r="O64" s="66"/>
      <c r="Q64" s="66">
        <f t="shared" si="2"/>
        <v>0.15302776041666666</v>
      </c>
    </row>
    <row r="65" spans="1:17">
      <c r="A65" s="145" t="s">
        <v>626</v>
      </c>
      <c r="B65" s="146" t="s">
        <v>1951</v>
      </c>
      <c r="C65" s="146" t="s">
        <v>1952</v>
      </c>
      <c r="D65" s="145" t="s">
        <v>1759</v>
      </c>
      <c r="E65" s="146" t="s">
        <v>75</v>
      </c>
      <c r="F65" s="145" t="s">
        <v>1602</v>
      </c>
      <c r="G65" s="146" t="s">
        <v>20</v>
      </c>
      <c r="H65" s="146">
        <v>201603</v>
      </c>
      <c r="I65" s="147">
        <v>-1314.19</v>
      </c>
      <c r="J65" s="297">
        <f t="shared" si="3"/>
        <v>42675</v>
      </c>
      <c r="K65" s="67">
        <f t="shared" si="1"/>
        <v>6</v>
      </c>
      <c r="L65" s="148">
        <v>1.4833299999999999E-3</v>
      </c>
      <c r="M65" s="104">
        <f t="shared" si="0"/>
        <v>-11.6962647162</v>
      </c>
      <c r="O65" s="66"/>
      <c r="Q65" s="66">
        <f t="shared" si="2"/>
        <v>-21.741357022916667</v>
      </c>
    </row>
    <row r="66" spans="1:17">
      <c r="A66" s="145" t="s">
        <v>626</v>
      </c>
      <c r="B66" s="146" t="s">
        <v>1835</v>
      </c>
      <c r="C66" s="146" t="s">
        <v>1836</v>
      </c>
      <c r="D66" s="145" t="s">
        <v>1837</v>
      </c>
      <c r="E66" s="146" t="s">
        <v>497</v>
      </c>
      <c r="F66" s="145" t="s">
        <v>26</v>
      </c>
      <c r="G66" s="146" t="s">
        <v>20</v>
      </c>
      <c r="H66" s="146">
        <v>201603</v>
      </c>
      <c r="I66" s="147">
        <v>-18.079999999999998</v>
      </c>
      <c r="J66" s="297">
        <f t="shared" si="3"/>
        <v>42675</v>
      </c>
      <c r="K66" s="67">
        <f t="shared" si="1"/>
        <v>6</v>
      </c>
      <c r="L66" s="148">
        <v>1.4833299999999999E-3</v>
      </c>
      <c r="M66" s="104">
        <f t="shared" si="0"/>
        <v>-0.16091163839999997</v>
      </c>
      <c r="O66" s="66"/>
      <c r="Q66" s="66">
        <f t="shared" si="2"/>
        <v>-0.29910723333333333</v>
      </c>
    </row>
    <row r="67" spans="1:17">
      <c r="A67" s="145" t="s">
        <v>626</v>
      </c>
      <c r="B67" s="146" t="s">
        <v>1718</v>
      </c>
      <c r="C67" s="146" t="s">
        <v>1719</v>
      </c>
      <c r="D67" s="145" t="s">
        <v>1720</v>
      </c>
      <c r="E67" s="146" t="s">
        <v>497</v>
      </c>
      <c r="F67" s="145" t="s">
        <v>26</v>
      </c>
      <c r="G67" s="146" t="s">
        <v>20</v>
      </c>
      <c r="H67" s="146">
        <v>201603</v>
      </c>
      <c r="I67" s="147">
        <v>-4.58</v>
      </c>
      <c r="J67" s="297">
        <f t="shared" si="3"/>
        <v>42675</v>
      </c>
      <c r="K67" s="67">
        <f t="shared" si="1"/>
        <v>6</v>
      </c>
      <c r="L67" s="148">
        <v>1.4833299999999999E-3</v>
      </c>
      <c r="M67" s="104">
        <f t="shared" si="0"/>
        <v>-4.0761908399999998E-2</v>
      </c>
      <c r="O67" s="66"/>
      <c r="Q67" s="66">
        <f t="shared" si="2"/>
        <v>-7.5769420833333337E-2</v>
      </c>
    </row>
    <row r="68" spans="1:17">
      <c r="A68" s="145" t="s">
        <v>626</v>
      </c>
      <c r="B68" s="146" t="s">
        <v>1620</v>
      </c>
      <c r="C68" s="146" t="s">
        <v>1621</v>
      </c>
      <c r="D68" s="145" t="s">
        <v>1622</v>
      </c>
      <c r="E68" s="146" t="s">
        <v>497</v>
      </c>
      <c r="F68" s="145" t="s">
        <v>26</v>
      </c>
      <c r="G68" s="146" t="s">
        <v>20</v>
      </c>
      <c r="H68" s="146">
        <v>201603</v>
      </c>
      <c r="I68" s="147">
        <v>-57.02</v>
      </c>
      <c r="J68" s="297">
        <f t="shared" si="3"/>
        <v>42675</v>
      </c>
      <c r="K68" s="67">
        <f t="shared" si="1"/>
        <v>6</v>
      </c>
      <c r="L68" s="148">
        <v>1.4833299999999999E-3</v>
      </c>
      <c r="M68" s="104">
        <f t="shared" si="0"/>
        <v>-0.5074768596</v>
      </c>
      <c r="O68" s="66"/>
      <c r="Q68" s="66">
        <f t="shared" si="2"/>
        <v>-0.94331274583333335</v>
      </c>
    </row>
    <row r="69" spans="1:17">
      <c r="A69" s="145" t="s">
        <v>626</v>
      </c>
      <c r="B69" s="146" t="s">
        <v>1770</v>
      </c>
      <c r="C69" s="146" t="s">
        <v>1771</v>
      </c>
      <c r="D69" s="145" t="s">
        <v>1772</v>
      </c>
      <c r="E69" s="146" t="s">
        <v>93</v>
      </c>
      <c r="F69" s="145" t="s">
        <v>1601</v>
      </c>
      <c r="G69" s="146" t="s">
        <v>20</v>
      </c>
      <c r="H69" s="146">
        <v>201603</v>
      </c>
      <c r="I69" s="147">
        <v>-1.58</v>
      </c>
      <c r="J69" s="297">
        <f t="shared" si="3"/>
        <v>42675</v>
      </c>
      <c r="K69" s="67">
        <f t="shared" si="1"/>
        <v>6</v>
      </c>
      <c r="L69" s="148">
        <v>1.4833299999999999E-3</v>
      </c>
      <c r="M69" s="104">
        <f t="shared" ref="M69:M132" si="4">L69*K69*I69</f>
        <v>-1.4061968400000001E-2</v>
      </c>
      <c r="O69" s="66"/>
      <c r="Q69" s="66">
        <f t="shared" si="2"/>
        <v>-2.6138795833333336E-2</v>
      </c>
    </row>
    <row r="70" spans="1:17">
      <c r="A70" s="145" t="s">
        <v>626</v>
      </c>
      <c r="B70" s="146" t="s">
        <v>1721</v>
      </c>
      <c r="C70" s="146" t="s">
        <v>1722</v>
      </c>
      <c r="D70" s="145" t="s">
        <v>1723</v>
      </c>
      <c r="E70" s="146" t="s">
        <v>75</v>
      </c>
      <c r="F70" s="145" t="s">
        <v>1602</v>
      </c>
      <c r="G70" s="146" t="s">
        <v>20</v>
      </c>
      <c r="H70" s="146">
        <v>201603</v>
      </c>
      <c r="I70" s="147">
        <v>-1.46</v>
      </c>
      <c r="J70" s="297">
        <f t="shared" si="3"/>
        <v>42675</v>
      </c>
      <c r="K70" s="67">
        <f t="shared" ref="K70:K133" si="5">((YEAR($K$1)-YEAR(J70))*12+MONTH($K$1)-MONTH(J70))</f>
        <v>6</v>
      </c>
      <c r="L70" s="148">
        <v>1.4833299999999999E-3</v>
      </c>
      <c r="M70" s="104">
        <f t="shared" si="4"/>
        <v>-1.2993970799999999E-2</v>
      </c>
      <c r="O70" s="66"/>
      <c r="Q70" s="66">
        <f t="shared" ref="Q70:Q133" si="6">($Q$4*0.5*I70*$T$10)</f>
        <v>-2.4153570833333332E-2</v>
      </c>
    </row>
    <row r="71" spans="1:17">
      <c r="A71" s="145" t="s">
        <v>626</v>
      </c>
      <c r="B71" s="146" t="s">
        <v>1953</v>
      </c>
      <c r="C71" s="146" t="s">
        <v>1954</v>
      </c>
      <c r="D71" s="145" t="s">
        <v>1955</v>
      </c>
      <c r="E71" s="146" t="s">
        <v>75</v>
      </c>
      <c r="F71" s="145" t="s">
        <v>1602</v>
      </c>
      <c r="G71" s="146" t="s">
        <v>20</v>
      </c>
      <c r="H71" s="146">
        <v>201603</v>
      </c>
      <c r="I71" s="147">
        <v>-1.73</v>
      </c>
      <c r="J71" s="297">
        <f t="shared" ref="J71:J134" si="7">+J70</f>
        <v>42675</v>
      </c>
      <c r="K71" s="67">
        <f t="shared" si="5"/>
        <v>6</v>
      </c>
      <c r="L71" s="148">
        <v>1.4833299999999999E-3</v>
      </c>
      <c r="M71" s="104">
        <f t="shared" si="4"/>
        <v>-1.53969654E-2</v>
      </c>
      <c r="O71" s="66"/>
      <c r="Q71" s="66">
        <f t="shared" si="6"/>
        <v>-2.8620327083333334E-2</v>
      </c>
    </row>
    <row r="72" spans="1:17">
      <c r="A72" s="145" t="s">
        <v>626</v>
      </c>
      <c r="B72" s="146" t="s">
        <v>1548</v>
      </c>
      <c r="C72" s="146" t="s">
        <v>1549</v>
      </c>
      <c r="D72" s="145" t="s">
        <v>1550</v>
      </c>
      <c r="E72" s="146" t="s">
        <v>164</v>
      </c>
      <c r="F72" s="145" t="s">
        <v>1600</v>
      </c>
      <c r="G72" s="146" t="s">
        <v>20</v>
      </c>
      <c r="H72" s="146">
        <v>201603</v>
      </c>
      <c r="I72" s="147">
        <v>-0.5</v>
      </c>
      <c r="J72" s="297">
        <f t="shared" si="7"/>
        <v>42675</v>
      </c>
      <c r="K72" s="67">
        <f t="shared" si="5"/>
        <v>6</v>
      </c>
      <c r="L72" s="148">
        <v>1.4833299999999999E-3</v>
      </c>
      <c r="M72" s="104">
        <f t="shared" si="4"/>
        <v>-4.44999E-3</v>
      </c>
      <c r="O72" s="66"/>
      <c r="Q72" s="66">
        <f t="shared" si="6"/>
        <v>-8.2717708333333341E-3</v>
      </c>
    </row>
    <row r="73" spans="1:17">
      <c r="A73" s="145" t="s">
        <v>626</v>
      </c>
      <c r="B73" s="146" t="s">
        <v>1724</v>
      </c>
      <c r="C73" s="146" t="s">
        <v>1725</v>
      </c>
      <c r="D73" s="145" t="s">
        <v>1726</v>
      </c>
      <c r="E73" s="146" t="s">
        <v>75</v>
      </c>
      <c r="F73" s="145" t="s">
        <v>1602</v>
      </c>
      <c r="G73" s="146" t="s">
        <v>20</v>
      </c>
      <c r="H73" s="146">
        <v>201603</v>
      </c>
      <c r="I73" s="147">
        <v>13.84</v>
      </c>
      <c r="J73" s="297">
        <f t="shared" si="7"/>
        <v>42675</v>
      </c>
      <c r="K73" s="67">
        <f t="shared" si="5"/>
        <v>6</v>
      </c>
      <c r="L73" s="148">
        <v>1.4833299999999999E-3</v>
      </c>
      <c r="M73" s="104">
        <f t="shared" si="4"/>
        <v>0.1231757232</v>
      </c>
      <c r="O73" s="66"/>
      <c r="Q73" s="66">
        <f t="shared" si="6"/>
        <v>0.22896261666666667</v>
      </c>
    </row>
    <row r="74" spans="1:17">
      <c r="A74" s="145" t="s">
        <v>626</v>
      </c>
      <c r="B74" s="146" t="s">
        <v>1375</v>
      </c>
      <c r="C74" s="146" t="s">
        <v>1376</v>
      </c>
      <c r="D74" s="145" t="s">
        <v>1374</v>
      </c>
      <c r="E74" s="146" t="s">
        <v>497</v>
      </c>
      <c r="F74" s="145" t="s">
        <v>26</v>
      </c>
      <c r="G74" s="146" t="s">
        <v>20</v>
      </c>
      <c r="H74" s="146">
        <v>201603</v>
      </c>
      <c r="I74" s="147">
        <v>-18.86</v>
      </c>
      <c r="J74" s="297">
        <f t="shared" si="7"/>
        <v>42675</v>
      </c>
      <c r="K74" s="67">
        <f t="shared" si="5"/>
        <v>6</v>
      </c>
      <c r="L74" s="148">
        <v>1.4833299999999999E-3</v>
      </c>
      <c r="M74" s="104">
        <f t="shared" si="4"/>
        <v>-0.16785362279999999</v>
      </c>
      <c r="O74" s="66"/>
      <c r="Q74" s="66">
        <f t="shared" si="6"/>
        <v>-0.31201119583333337</v>
      </c>
    </row>
    <row r="75" spans="1:17">
      <c r="A75" s="145" t="s">
        <v>626</v>
      </c>
      <c r="B75" s="146" t="s">
        <v>1444</v>
      </c>
      <c r="C75" s="146" t="s">
        <v>1445</v>
      </c>
      <c r="D75" s="145" t="s">
        <v>1282</v>
      </c>
      <c r="E75" s="146" t="s">
        <v>164</v>
      </c>
      <c r="F75" s="145" t="s">
        <v>1600</v>
      </c>
      <c r="G75" s="146" t="s">
        <v>20</v>
      </c>
      <c r="H75" s="146">
        <v>201603</v>
      </c>
      <c r="I75" s="147">
        <v>13.17</v>
      </c>
      <c r="J75" s="297">
        <f t="shared" si="7"/>
        <v>42675</v>
      </c>
      <c r="K75" s="67">
        <f t="shared" si="5"/>
        <v>6</v>
      </c>
      <c r="L75" s="148">
        <v>1.4833299999999999E-3</v>
      </c>
      <c r="M75" s="104">
        <f t="shared" si="4"/>
        <v>0.11721273660000001</v>
      </c>
      <c r="O75" s="66"/>
      <c r="Q75" s="66">
        <f t="shared" si="6"/>
        <v>0.21787844375000001</v>
      </c>
    </row>
    <row r="76" spans="1:17">
      <c r="A76" s="145" t="s">
        <v>626</v>
      </c>
      <c r="B76" s="146" t="s">
        <v>1788</v>
      </c>
      <c r="C76" s="146" t="s">
        <v>1789</v>
      </c>
      <c r="D76" s="145" t="s">
        <v>1790</v>
      </c>
      <c r="E76" s="146" t="s">
        <v>25</v>
      </c>
      <c r="F76" s="145" t="s">
        <v>26</v>
      </c>
      <c r="G76" s="146" t="s">
        <v>20</v>
      </c>
      <c r="H76" s="146">
        <v>201603</v>
      </c>
      <c r="I76" s="147">
        <v>379.8</v>
      </c>
      <c r="J76" s="297">
        <f t="shared" si="7"/>
        <v>42675</v>
      </c>
      <c r="K76" s="67">
        <f t="shared" si="5"/>
        <v>6</v>
      </c>
      <c r="L76" s="148">
        <v>1.4833299999999999E-3</v>
      </c>
      <c r="M76" s="104">
        <f t="shared" si="4"/>
        <v>3.3802124040000003</v>
      </c>
      <c r="O76" s="66"/>
      <c r="Q76" s="66">
        <f t="shared" si="6"/>
        <v>6.2832371250000003</v>
      </c>
    </row>
    <row r="77" spans="1:17">
      <c r="A77" s="145" t="s">
        <v>626</v>
      </c>
      <c r="B77" s="146" t="s">
        <v>1791</v>
      </c>
      <c r="C77" s="146" t="s">
        <v>1792</v>
      </c>
      <c r="D77" s="145" t="s">
        <v>1793</v>
      </c>
      <c r="E77" s="146" t="s">
        <v>75</v>
      </c>
      <c r="F77" s="145" t="s">
        <v>1602</v>
      </c>
      <c r="G77" s="146" t="s">
        <v>20</v>
      </c>
      <c r="H77" s="146">
        <v>201603</v>
      </c>
      <c r="I77" s="147">
        <v>2388.21</v>
      </c>
      <c r="J77" s="297">
        <f t="shared" si="7"/>
        <v>42675</v>
      </c>
      <c r="K77" s="67">
        <f t="shared" si="5"/>
        <v>6</v>
      </c>
      <c r="L77" s="148">
        <v>1.4833299999999999E-3</v>
      </c>
      <c r="M77" s="104">
        <f t="shared" si="4"/>
        <v>21.255021235800001</v>
      </c>
      <c r="O77" s="66"/>
      <c r="Q77" s="66">
        <f t="shared" si="6"/>
        <v>39.509451643750005</v>
      </c>
    </row>
    <row r="78" spans="1:17">
      <c r="A78" s="145" t="s">
        <v>626</v>
      </c>
      <c r="B78" s="146" t="s">
        <v>1838</v>
      </c>
      <c r="C78" s="146" t="s">
        <v>1839</v>
      </c>
      <c r="D78" s="145" t="s">
        <v>1840</v>
      </c>
      <c r="E78" s="146" t="s">
        <v>260</v>
      </c>
      <c r="F78" s="145" t="s">
        <v>1608</v>
      </c>
      <c r="G78" s="146" t="s">
        <v>20</v>
      </c>
      <c r="H78" s="146">
        <v>201603</v>
      </c>
      <c r="I78" s="147">
        <v>-2759.31</v>
      </c>
      <c r="J78" s="297">
        <f t="shared" si="7"/>
        <v>42675</v>
      </c>
      <c r="K78" s="67">
        <f t="shared" si="5"/>
        <v>6</v>
      </c>
      <c r="L78" s="148">
        <v>1.4833299999999999E-3</v>
      </c>
      <c r="M78" s="104">
        <f t="shared" si="4"/>
        <v>-24.5578038138</v>
      </c>
      <c r="O78" s="66"/>
      <c r="Q78" s="66">
        <f t="shared" si="6"/>
        <v>-45.648759956250004</v>
      </c>
    </row>
    <row r="79" spans="1:17">
      <c r="A79" s="342" t="s">
        <v>133</v>
      </c>
      <c r="B79" s="343" t="s">
        <v>1876</v>
      </c>
      <c r="C79" s="343" t="s">
        <v>1877</v>
      </c>
      <c r="D79" s="342" t="s">
        <v>1878</v>
      </c>
      <c r="E79" s="343" t="s">
        <v>75</v>
      </c>
      <c r="F79" s="342" t="s">
        <v>1602</v>
      </c>
      <c r="G79" s="343" t="s">
        <v>20</v>
      </c>
      <c r="H79" s="343">
        <v>201603</v>
      </c>
      <c r="I79" s="344">
        <v>0</v>
      </c>
      <c r="J79" s="347">
        <f t="shared" si="7"/>
        <v>42675</v>
      </c>
      <c r="K79" s="348">
        <f t="shared" si="5"/>
        <v>6</v>
      </c>
      <c r="L79" s="345">
        <v>1.4833299999999999E-3</v>
      </c>
      <c r="M79" s="349">
        <f t="shared" si="4"/>
        <v>0</v>
      </c>
      <c r="N79" s="350"/>
      <c r="O79" s="351"/>
      <c r="P79" s="350"/>
      <c r="Q79" s="66">
        <f t="shared" si="6"/>
        <v>0</v>
      </c>
    </row>
    <row r="80" spans="1:17">
      <c r="A80" s="145" t="s">
        <v>626</v>
      </c>
      <c r="B80" s="146" t="s">
        <v>1879</v>
      </c>
      <c r="C80" s="146" t="s">
        <v>1880</v>
      </c>
      <c r="D80" s="145" t="s">
        <v>1273</v>
      </c>
      <c r="E80" s="146" t="s">
        <v>75</v>
      </c>
      <c r="F80" s="145" t="s">
        <v>1602</v>
      </c>
      <c r="G80" s="146" t="s">
        <v>20</v>
      </c>
      <c r="H80" s="146">
        <v>201603</v>
      </c>
      <c r="I80" s="147">
        <v>-315.85000000000002</v>
      </c>
      <c r="J80" s="297">
        <f t="shared" si="7"/>
        <v>42675</v>
      </c>
      <c r="K80" s="67">
        <f t="shared" si="5"/>
        <v>6</v>
      </c>
      <c r="L80" s="148">
        <v>1.4833299999999999E-3</v>
      </c>
      <c r="M80" s="104">
        <f t="shared" si="4"/>
        <v>-2.8110586830000002</v>
      </c>
      <c r="O80" s="66"/>
      <c r="Q80" s="66">
        <f t="shared" si="6"/>
        <v>-5.2252776354166679</v>
      </c>
    </row>
    <row r="81" spans="1:17">
      <c r="A81" s="145" t="s">
        <v>626</v>
      </c>
      <c r="B81" s="146" t="s">
        <v>1794</v>
      </c>
      <c r="C81" s="146" t="s">
        <v>1795</v>
      </c>
      <c r="D81" s="145" t="s">
        <v>1796</v>
      </c>
      <c r="E81" s="146" t="s">
        <v>809</v>
      </c>
      <c r="F81" s="145" t="s">
        <v>26</v>
      </c>
      <c r="G81" s="146" t="s">
        <v>20</v>
      </c>
      <c r="H81" s="146">
        <v>201603</v>
      </c>
      <c r="I81" s="147">
        <v>-1379.62</v>
      </c>
      <c r="J81" s="297">
        <f t="shared" si="7"/>
        <v>42675</v>
      </c>
      <c r="K81" s="67">
        <f t="shared" si="5"/>
        <v>6</v>
      </c>
      <c r="L81" s="148">
        <v>1.4833299999999999E-3</v>
      </c>
      <c r="M81" s="104">
        <f t="shared" si="4"/>
        <v>-12.278590407599999</v>
      </c>
      <c r="O81" s="66"/>
      <c r="Q81" s="66">
        <f t="shared" si="6"/>
        <v>-22.823800954166664</v>
      </c>
    </row>
    <row r="82" spans="1:17">
      <c r="A82" s="145" t="s">
        <v>626</v>
      </c>
      <c r="B82" s="146" t="s">
        <v>1844</v>
      </c>
      <c r="C82" s="146" t="s">
        <v>1845</v>
      </c>
      <c r="D82" s="145" t="s">
        <v>1846</v>
      </c>
      <c r="E82" s="146" t="s">
        <v>160</v>
      </c>
      <c r="F82" s="145" t="s">
        <v>19</v>
      </c>
      <c r="G82" s="146" t="s">
        <v>20</v>
      </c>
      <c r="H82" s="146">
        <v>201603</v>
      </c>
      <c r="I82" s="147">
        <v>-290.64999999999998</v>
      </c>
      <c r="J82" s="297">
        <f t="shared" si="7"/>
        <v>42675</v>
      </c>
      <c r="K82" s="67">
        <f t="shared" si="5"/>
        <v>6</v>
      </c>
      <c r="L82" s="148">
        <v>1.4833299999999999E-3</v>
      </c>
      <c r="M82" s="104">
        <f t="shared" si="4"/>
        <v>-2.5867791869999999</v>
      </c>
      <c r="O82" s="66"/>
      <c r="Q82" s="66">
        <f t="shared" si="6"/>
        <v>-4.8083803854166662</v>
      </c>
    </row>
    <row r="83" spans="1:17">
      <c r="A83" s="145" t="s">
        <v>21</v>
      </c>
      <c r="B83" s="146" t="s">
        <v>1727</v>
      </c>
      <c r="C83" s="146" t="s">
        <v>1728</v>
      </c>
      <c r="D83" s="145" t="s">
        <v>1729</v>
      </c>
      <c r="E83" s="146" t="s">
        <v>75</v>
      </c>
      <c r="F83" s="145" t="s">
        <v>1602</v>
      </c>
      <c r="G83" s="146" t="s">
        <v>20</v>
      </c>
      <c r="H83" s="146">
        <v>201603</v>
      </c>
      <c r="I83" s="147">
        <v>-1840.12</v>
      </c>
      <c r="J83" s="297">
        <f t="shared" si="7"/>
        <v>42675</v>
      </c>
      <c r="K83" s="67">
        <f t="shared" si="5"/>
        <v>6</v>
      </c>
      <c r="L83" s="148">
        <v>1.4833299999999999E-3</v>
      </c>
      <c r="M83" s="104">
        <f t="shared" si="4"/>
        <v>-16.377031197599997</v>
      </c>
      <c r="O83" s="66"/>
      <c r="Q83" s="66">
        <f t="shared" si="6"/>
        <v>-30.442101891666663</v>
      </c>
    </row>
    <row r="84" spans="1:17">
      <c r="A84" s="145" t="s">
        <v>990</v>
      </c>
      <c r="B84" s="146" t="s">
        <v>1581</v>
      </c>
      <c r="C84" s="146" t="s">
        <v>1584</v>
      </c>
      <c r="D84" s="145" t="s">
        <v>1583</v>
      </c>
      <c r="E84" s="146" t="s">
        <v>216</v>
      </c>
      <c r="F84" s="145" t="s">
        <v>217</v>
      </c>
      <c r="G84" s="146" t="s">
        <v>20</v>
      </c>
      <c r="H84" s="146">
        <v>201603</v>
      </c>
      <c r="I84" s="147">
        <v>-13.19</v>
      </c>
      <c r="J84" s="297">
        <f t="shared" si="7"/>
        <v>42675</v>
      </c>
      <c r="K84" s="67">
        <f t="shared" si="5"/>
        <v>6</v>
      </c>
      <c r="L84" s="148">
        <v>2.3833299999999999E-3</v>
      </c>
      <c r="M84" s="104">
        <f t="shared" si="4"/>
        <v>-0.1886167362</v>
      </c>
      <c r="O84" s="66"/>
      <c r="Q84" s="66">
        <f t="shared" si="6"/>
        <v>-0.21820931458333334</v>
      </c>
    </row>
    <row r="85" spans="1:17">
      <c r="A85" s="145" t="s">
        <v>127</v>
      </c>
      <c r="B85" s="146" t="s">
        <v>1581</v>
      </c>
      <c r="C85" s="146" t="s">
        <v>1584</v>
      </c>
      <c r="D85" s="145" t="s">
        <v>1583</v>
      </c>
      <c r="E85" s="146" t="s">
        <v>216</v>
      </c>
      <c r="F85" s="145" t="s">
        <v>217</v>
      </c>
      <c r="G85" s="146" t="s">
        <v>20</v>
      </c>
      <c r="H85" s="146">
        <v>201603</v>
      </c>
      <c r="I85" s="147">
        <v>13.19</v>
      </c>
      <c r="J85" s="297">
        <f t="shared" si="7"/>
        <v>42675</v>
      </c>
      <c r="K85" s="67">
        <f t="shared" si="5"/>
        <v>6</v>
      </c>
      <c r="L85" s="148">
        <v>2.3833299999999999E-3</v>
      </c>
      <c r="M85" s="104">
        <f t="shared" si="4"/>
        <v>0.1886167362</v>
      </c>
      <c r="O85" s="66"/>
      <c r="Q85" s="66">
        <f t="shared" si="6"/>
        <v>0.21820931458333334</v>
      </c>
    </row>
    <row r="86" spans="1:17">
      <c r="A86" s="145" t="s">
        <v>990</v>
      </c>
      <c r="B86" s="146" t="s">
        <v>1730</v>
      </c>
      <c r="C86" s="146" t="s">
        <v>1731</v>
      </c>
      <c r="D86" s="145" t="s">
        <v>1732</v>
      </c>
      <c r="E86" s="146" t="s">
        <v>1688</v>
      </c>
      <c r="F86" s="145" t="s">
        <v>1689</v>
      </c>
      <c r="G86" s="146" t="s">
        <v>20</v>
      </c>
      <c r="H86" s="146">
        <v>201603</v>
      </c>
      <c r="I86" s="147">
        <v>1.36</v>
      </c>
      <c r="J86" s="297">
        <f t="shared" si="7"/>
        <v>42675</v>
      </c>
      <c r="K86" s="67">
        <f t="shared" si="5"/>
        <v>6</v>
      </c>
      <c r="L86" s="148">
        <v>2.3833299999999999E-3</v>
      </c>
      <c r="M86" s="104">
        <f t="shared" si="4"/>
        <v>1.9447972800000001E-2</v>
      </c>
      <c r="O86" s="66"/>
      <c r="Q86" s="66">
        <f t="shared" si="6"/>
        <v>2.2499216666666669E-2</v>
      </c>
    </row>
    <row r="87" spans="1:17">
      <c r="A87" s="145" t="s">
        <v>990</v>
      </c>
      <c r="B87" s="146" t="s">
        <v>1733</v>
      </c>
      <c r="C87" s="146" t="s">
        <v>1734</v>
      </c>
      <c r="D87" s="145" t="s">
        <v>1735</v>
      </c>
      <c r="E87" s="146" t="s">
        <v>1688</v>
      </c>
      <c r="F87" s="145" t="s">
        <v>1689</v>
      </c>
      <c r="G87" s="146" t="s">
        <v>20</v>
      </c>
      <c r="H87" s="146">
        <v>201603</v>
      </c>
      <c r="I87" s="147">
        <v>-6.19</v>
      </c>
      <c r="J87" s="297">
        <f t="shared" si="7"/>
        <v>42675</v>
      </c>
      <c r="K87" s="67">
        <f t="shared" si="5"/>
        <v>6</v>
      </c>
      <c r="L87" s="148">
        <v>2.3833299999999999E-3</v>
      </c>
      <c r="M87" s="104">
        <f t="shared" si="4"/>
        <v>-8.8516876200000011E-2</v>
      </c>
      <c r="O87" s="66"/>
      <c r="Q87" s="66">
        <f t="shared" si="6"/>
        <v>-0.10240452291666667</v>
      </c>
    </row>
    <row r="88" spans="1:17">
      <c r="A88" s="145" t="s">
        <v>626</v>
      </c>
      <c r="B88" s="146" t="s">
        <v>1881</v>
      </c>
      <c r="C88" s="146" t="s">
        <v>1882</v>
      </c>
      <c r="D88" s="145" t="s">
        <v>1883</v>
      </c>
      <c r="E88" s="146" t="s">
        <v>75</v>
      </c>
      <c r="F88" s="145" t="s">
        <v>1602</v>
      </c>
      <c r="G88" s="146" t="s">
        <v>20</v>
      </c>
      <c r="H88" s="146">
        <v>201603</v>
      </c>
      <c r="I88" s="147">
        <v>-193.43</v>
      </c>
      <c r="J88" s="297">
        <f t="shared" si="7"/>
        <v>42675</v>
      </c>
      <c r="K88" s="67">
        <f t="shared" si="5"/>
        <v>6</v>
      </c>
      <c r="L88" s="148">
        <v>1.4833299999999999E-3</v>
      </c>
      <c r="M88" s="104">
        <f t="shared" si="4"/>
        <v>-1.7215231314000001</v>
      </c>
      <c r="O88" s="66"/>
      <c r="Q88" s="66">
        <f t="shared" si="6"/>
        <v>-3.2000172645833334</v>
      </c>
    </row>
    <row r="89" spans="1:17">
      <c r="A89" s="145" t="s">
        <v>626</v>
      </c>
      <c r="B89" s="146" t="s">
        <v>1496</v>
      </c>
      <c r="C89" s="146" t="s">
        <v>1497</v>
      </c>
      <c r="D89" s="145" t="s">
        <v>1498</v>
      </c>
      <c r="E89" s="146" t="s">
        <v>164</v>
      </c>
      <c r="F89" s="145" t="s">
        <v>1600</v>
      </c>
      <c r="G89" s="146" t="s">
        <v>20</v>
      </c>
      <c r="H89" s="146">
        <v>201603</v>
      </c>
      <c r="I89" s="147">
        <v>2.02</v>
      </c>
      <c r="J89" s="297">
        <f t="shared" si="7"/>
        <v>42675</v>
      </c>
      <c r="K89" s="67">
        <f t="shared" si="5"/>
        <v>6</v>
      </c>
      <c r="L89" s="148">
        <v>1.4833299999999999E-3</v>
      </c>
      <c r="M89" s="104">
        <f t="shared" si="4"/>
        <v>1.7977959599999999E-2</v>
      </c>
      <c r="O89" s="66"/>
      <c r="Q89" s="66">
        <f t="shared" si="6"/>
        <v>3.3417954166666666E-2</v>
      </c>
    </row>
    <row r="90" spans="1:17">
      <c r="A90" s="145" t="s">
        <v>626</v>
      </c>
      <c r="B90" s="146" t="s">
        <v>1884</v>
      </c>
      <c r="C90" s="146" t="s">
        <v>1885</v>
      </c>
      <c r="D90" s="145" t="s">
        <v>1886</v>
      </c>
      <c r="E90" s="146" t="s">
        <v>75</v>
      </c>
      <c r="F90" s="145" t="s">
        <v>1602</v>
      </c>
      <c r="G90" s="146" t="s">
        <v>20</v>
      </c>
      <c r="H90" s="146">
        <v>201603</v>
      </c>
      <c r="I90" s="147">
        <v>-78.06</v>
      </c>
      <c r="J90" s="297">
        <f t="shared" si="7"/>
        <v>42675</v>
      </c>
      <c r="K90" s="67">
        <f t="shared" si="5"/>
        <v>6</v>
      </c>
      <c r="L90" s="148">
        <v>1.4833299999999999E-3</v>
      </c>
      <c r="M90" s="104">
        <f t="shared" si="4"/>
        <v>-0.69473243880000002</v>
      </c>
      <c r="O90" s="66"/>
      <c r="Q90" s="66">
        <f t="shared" si="6"/>
        <v>-1.2913888625000001</v>
      </c>
    </row>
    <row r="91" spans="1:17">
      <c r="A91" s="145" t="s">
        <v>626</v>
      </c>
      <c r="B91" s="146" t="s">
        <v>1736</v>
      </c>
      <c r="C91" s="146" t="s">
        <v>1737</v>
      </c>
      <c r="D91" s="145" t="s">
        <v>1738</v>
      </c>
      <c r="E91" s="146" t="s">
        <v>164</v>
      </c>
      <c r="F91" s="145" t="s">
        <v>1600</v>
      </c>
      <c r="G91" s="146" t="s">
        <v>20</v>
      </c>
      <c r="H91" s="146">
        <v>201603</v>
      </c>
      <c r="I91" s="147">
        <v>-220.8</v>
      </c>
      <c r="J91" s="297">
        <f t="shared" si="7"/>
        <v>42675</v>
      </c>
      <c r="K91" s="67">
        <f t="shared" si="5"/>
        <v>6</v>
      </c>
      <c r="L91" s="148">
        <v>1.4833299999999999E-3</v>
      </c>
      <c r="M91" s="104">
        <f t="shared" si="4"/>
        <v>-1.9651155840000001</v>
      </c>
      <c r="O91" s="66"/>
      <c r="Q91" s="66">
        <f t="shared" si="6"/>
        <v>-3.6528140000000007</v>
      </c>
    </row>
    <row r="92" spans="1:17">
      <c r="A92" s="145" t="s">
        <v>626</v>
      </c>
      <c r="B92" s="146" t="s">
        <v>1847</v>
      </c>
      <c r="C92" s="146" t="s">
        <v>1848</v>
      </c>
      <c r="D92" s="145" t="s">
        <v>1849</v>
      </c>
      <c r="E92" s="146" t="s">
        <v>63</v>
      </c>
      <c r="F92" s="145" t="s">
        <v>19</v>
      </c>
      <c r="G92" s="146" t="s">
        <v>20</v>
      </c>
      <c r="H92" s="146">
        <v>201603</v>
      </c>
      <c r="I92" s="147">
        <v>-0.44</v>
      </c>
      <c r="J92" s="297">
        <f t="shared" si="7"/>
        <v>42675</v>
      </c>
      <c r="K92" s="67">
        <f t="shared" si="5"/>
        <v>6</v>
      </c>
      <c r="L92" s="148">
        <v>1.4833299999999999E-3</v>
      </c>
      <c r="M92" s="104">
        <f t="shared" si="4"/>
        <v>-3.9159911999999998E-3</v>
      </c>
      <c r="O92" s="66"/>
      <c r="Q92" s="66">
        <f t="shared" si="6"/>
        <v>-7.279158333333334E-3</v>
      </c>
    </row>
    <row r="93" spans="1:17">
      <c r="A93" s="145" t="s">
        <v>626</v>
      </c>
      <c r="B93" s="146" t="s">
        <v>1594</v>
      </c>
      <c r="C93" s="146" t="s">
        <v>1595</v>
      </c>
      <c r="D93" s="145" t="s">
        <v>1596</v>
      </c>
      <c r="E93" s="146" t="s">
        <v>87</v>
      </c>
      <c r="F93" s="145" t="s">
        <v>1603</v>
      </c>
      <c r="G93" s="146" t="s">
        <v>20</v>
      </c>
      <c r="H93" s="146">
        <v>201603</v>
      </c>
      <c r="I93" s="147">
        <v>-0.49</v>
      </c>
      <c r="J93" s="297">
        <f t="shared" si="7"/>
        <v>42675</v>
      </c>
      <c r="K93" s="67">
        <f t="shared" si="5"/>
        <v>6</v>
      </c>
      <c r="L93" s="148">
        <v>1.4833299999999999E-3</v>
      </c>
      <c r="M93" s="104">
        <f t="shared" si="4"/>
        <v>-4.3609901999999996E-3</v>
      </c>
      <c r="O93" s="66"/>
      <c r="Q93" s="66">
        <f t="shared" si="6"/>
        <v>-8.1063354166666674E-3</v>
      </c>
    </row>
    <row r="94" spans="1:17">
      <c r="A94" s="145" t="s">
        <v>626</v>
      </c>
      <c r="B94" s="146" t="s">
        <v>1739</v>
      </c>
      <c r="C94" s="146" t="s">
        <v>1740</v>
      </c>
      <c r="D94" s="145" t="s">
        <v>1741</v>
      </c>
      <c r="E94" s="146" t="s">
        <v>164</v>
      </c>
      <c r="F94" s="145" t="s">
        <v>1600</v>
      </c>
      <c r="G94" s="146" t="s">
        <v>20</v>
      </c>
      <c r="H94" s="146">
        <v>201603</v>
      </c>
      <c r="I94" s="147">
        <v>2855.04</v>
      </c>
      <c r="J94" s="297">
        <f t="shared" si="7"/>
        <v>42675</v>
      </c>
      <c r="K94" s="67">
        <f t="shared" si="5"/>
        <v>6</v>
      </c>
      <c r="L94" s="148">
        <v>1.4833299999999999E-3</v>
      </c>
      <c r="M94" s="104">
        <f t="shared" si="4"/>
        <v>25.409798899199998</v>
      </c>
      <c r="O94" s="66"/>
      <c r="Q94" s="66">
        <f t="shared" si="6"/>
        <v>47.232473200000001</v>
      </c>
    </row>
    <row r="95" spans="1:17">
      <c r="A95" s="145" t="s">
        <v>626</v>
      </c>
      <c r="B95" s="146" t="s">
        <v>1632</v>
      </c>
      <c r="C95" s="146" t="s">
        <v>1633</v>
      </c>
      <c r="D95" s="145" t="s">
        <v>1634</v>
      </c>
      <c r="E95" s="146" t="s">
        <v>471</v>
      </c>
      <c r="F95" s="145" t="s">
        <v>165</v>
      </c>
      <c r="G95" s="146" t="s">
        <v>20</v>
      </c>
      <c r="H95" s="146">
        <v>201603</v>
      </c>
      <c r="I95" s="147">
        <v>-2.31</v>
      </c>
      <c r="J95" s="297">
        <f t="shared" si="7"/>
        <v>42675</v>
      </c>
      <c r="K95" s="67">
        <f t="shared" si="5"/>
        <v>6</v>
      </c>
      <c r="L95" s="148">
        <v>1.4833299999999999E-3</v>
      </c>
      <c r="M95" s="104">
        <f t="shared" si="4"/>
        <v>-2.0558953800000002E-2</v>
      </c>
      <c r="O95" s="66"/>
      <c r="Q95" s="66">
        <f t="shared" si="6"/>
        <v>-3.8215581250000005E-2</v>
      </c>
    </row>
    <row r="96" spans="1:17">
      <c r="A96" s="145" t="s">
        <v>21</v>
      </c>
      <c r="B96" s="146" t="s">
        <v>1635</v>
      </c>
      <c r="C96" s="146" t="s">
        <v>1636</v>
      </c>
      <c r="D96" s="145" t="s">
        <v>1637</v>
      </c>
      <c r="E96" s="146" t="s">
        <v>360</v>
      </c>
      <c r="F96" s="145" t="s">
        <v>19</v>
      </c>
      <c r="G96" s="146" t="s">
        <v>20</v>
      </c>
      <c r="H96" s="146">
        <v>201603</v>
      </c>
      <c r="I96" s="147">
        <v>-1</v>
      </c>
      <c r="J96" s="297">
        <f t="shared" si="7"/>
        <v>42675</v>
      </c>
      <c r="K96" s="67">
        <f t="shared" si="5"/>
        <v>6</v>
      </c>
      <c r="L96" s="148">
        <v>1.4833299999999999E-3</v>
      </c>
      <c r="M96" s="104">
        <f t="shared" si="4"/>
        <v>-8.89998E-3</v>
      </c>
      <c r="O96" s="66"/>
      <c r="Q96" s="66">
        <f t="shared" si="6"/>
        <v>-1.6543541666666668E-2</v>
      </c>
    </row>
    <row r="97" spans="1:17">
      <c r="A97" s="145" t="s">
        <v>626</v>
      </c>
      <c r="B97" s="146" t="s">
        <v>1797</v>
      </c>
      <c r="C97" s="146" t="s">
        <v>1798</v>
      </c>
      <c r="D97" s="145" t="s">
        <v>1799</v>
      </c>
      <c r="E97" s="146" t="s">
        <v>164</v>
      </c>
      <c r="F97" s="145" t="s">
        <v>1600</v>
      </c>
      <c r="G97" s="146" t="s">
        <v>20</v>
      </c>
      <c r="H97" s="146">
        <v>201603</v>
      </c>
      <c r="I97" s="147">
        <v>-1778.96</v>
      </c>
      <c r="J97" s="297">
        <f t="shared" si="7"/>
        <v>42675</v>
      </c>
      <c r="K97" s="67">
        <f t="shared" si="5"/>
        <v>6</v>
      </c>
      <c r="L97" s="148">
        <v>1.4833299999999999E-3</v>
      </c>
      <c r="M97" s="104">
        <f t="shared" si="4"/>
        <v>-15.8327084208</v>
      </c>
      <c r="O97" s="66"/>
      <c r="Q97" s="66">
        <f t="shared" si="6"/>
        <v>-29.430298883333336</v>
      </c>
    </row>
    <row r="98" spans="1:17">
      <c r="A98" s="145" t="s">
        <v>626</v>
      </c>
      <c r="B98" s="146" t="s">
        <v>1890</v>
      </c>
      <c r="C98" s="146" t="s">
        <v>1891</v>
      </c>
      <c r="D98" s="145" t="s">
        <v>1495</v>
      </c>
      <c r="E98" s="146" t="s">
        <v>75</v>
      </c>
      <c r="F98" s="145" t="s">
        <v>1602</v>
      </c>
      <c r="G98" s="146" t="s">
        <v>20</v>
      </c>
      <c r="H98" s="146">
        <v>201603</v>
      </c>
      <c r="I98" s="147">
        <v>-238.48</v>
      </c>
      <c r="J98" s="297">
        <f t="shared" si="7"/>
        <v>42675</v>
      </c>
      <c r="K98" s="67">
        <f t="shared" si="5"/>
        <v>6</v>
      </c>
      <c r="L98" s="148">
        <v>1.4833299999999999E-3</v>
      </c>
      <c r="M98" s="104">
        <f t="shared" si="4"/>
        <v>-2.1224672303999998</v>
      </c>
      <c r="O98" s="66"/>
      <c r="Q98" s="66">
        <f t="shared" si="6"/>
        <v>-3.9453038166666663</v>
      </c>
    </row>
    <row r="99" spans="1:17">
      <c r="A99" s="145" t="s">
        <v>21</v>
      </c>
      <c r="B99" s="146" t="s">
        <v>1956</v>
      </c>
      <c r="C99" s="146" t="s">
        <v>1957</v>
      </c>
      <c r="D99" s="145" t="s">
        <v>1958</v>
      </c>
      <c r="E99" s="146" t="s">
        <v>75</v>
      </c>
      <c r="F99" s="145" t="s">
        <v>1602</v>
      </c>
      <c r="G99" s="146" t="s">
        <v>20</v>
      </c>
      <c r="H99" s="146">
        <v>201603</v>
      </c>
      <c r="I99" s="147">
        <v>19374.82</v>
      </c>
      <c r="J99" s="297">
        <f t="shared" si="7"/>
        <v>42675</v>
      </c>
      <c r="K99" s="67">
        <f t="shared" si="5"/>
        <v>6</v>
      </c>
      <c r="L99" s="148">
        <v>1.4833299999999999E-3</v>
      </c>
      <c r="M99" s="104">
        <f t="shared" si="4"/>
        <v>172.4355105036</v>
      </c>
      <c r="O99" s="66"/>
      <c r="Q99" s="66">
        <f t="shared" si="6"/>
        <v>320.52814195416664</v>
      </c>
    </row>
    <row r="100" spans="1:17">
      <c r="A100" s="145" t="s">
        <v>626</v>
      </c>
      <c r="B100" s="146" t="s">
        <v>1892</v>
      </c>
      <c r="C100" s="146" t="s">
        <v>1893</v>
      </c>
      <c r="D100" s="145" t="s">
        <v>1894</v>
      </c>
      <c r="E100" s="146" t="s">
        <v>75</v>
      </c>
      <c r="F100" s="145" t="s">
        <v>1602</v>
      </c>
      <c r="G100" s="146" t="s">
        <v>20</v>
      </c>
      <c r="H100" s="146">
        <v>201603</v>
      </c>
      <c r="I100" s="147">
        <v>1000.61</v>
      </c>
      <c r="J100" s="297">
        <f t="shared" si="7"/>
        <v>42675</v>
      </c>
      <c r="K100" s="67">
        <f t="shared" si="5"/>
        <v>6</v>
      </c>
      <c r="L100" s="148">
        <v>1.4833299999999999E-3</v>
      </c>
      <c r="M100" s="104">
        <f t="shared" si="4"/>
        <v>8.9054089877999996</v>
      </c>
      <c r="O100" s="66"/>
      <c r="Q100" s="66">
        <f t="shared" si="6"/>
        <v>16.553633227083335</v>
      </c>
    </row>
    <row r="101" spans="1:17">
      <c r="A101" s="145" t="s">
        <v>626</v>
      </c>
      <c r="B101" s="146" t="s">
        <v>1959</v>
      </c>
      <c r="C101" s="146" t="s">
        <v>1960</v>
      </c>
      <c r="D101" s="145" t="s">
        <v>1495</v>
      </c>
      <c r="E101" s="146" t="s">
        <v>75</v>
      </c>
      <c r="F101" s="145" t="s">
        <v>1602</v>
      </c>
      <c r="G101" s="146" t="s">
        <v>20</v>
      </c>
      <c r="H101" s="146">
        <v>201603</v>
      </c>
      <c r="I101" s="147">
        <v>-2.4700000000000002</v>
      </c>
      <c r="J101" s="297">
        <f t="shared" si="7"/>
        <v>42675</v>
      </c>
      <c r="K101" s="67">
        <f t="shared" si="5"/>
        <v>6</v>
      </c>
      <c r="L101" s="148">
        <v>1.4833299999999999E-3</v>
      </c>
      <c r="M101" s="104">
        <f t="shared" si="4"/>
        <v>-2.1982950600000002E-2</v>
      </c>
      <c r="O101" s="66"/>
      <c r="Q101" s="66">
        <f t="shared" si="6"/>
        <v>-4.0862547916666672E-2</v>
      </c>
    </row>
    <row r="102" spans="1:17">
      <c r="A102" s="145" t="s">
        <v>626</v>
      </c>
      <c r="B102" s="146" t="s">
        <v>1898</v>
      </c>
      <c r="C102" s="146" t="s">
        <v>1899</v>
      </c>
      <c r="D102" s="145" t="s">
        <v>1900</v>
      </c>
      <c r="E102" s="146" t="s">
        <v>75</v>
      </c>
      <c r="F102" s="145" t="s">
        <v>1602</v>
      </c>
      <c r="G102" s="146" t="s">
        <v>20</v>
      </c>
      <c r="H102" s="146">
        <v>201603</v>
      </c>
      <c r="I102" s="147">
        <v>-333.69</v>
      </c>
      <c r="J102" s="297">
        <f t="shared" si="7"/>
        <v>42675</v>
      </c>
      <c r="K102" s="67">
        <f t="shared" si="5"/>
        <v>6</v>
      </c>
      <c r="L102" s="148">
        <v>1.4833299999999999E-3</v>
      </c>
      <c r="M102" s="104">
        <f t="shared" si="4"/>
        <v>-2.9698343262</v>
      </c>
      <c r="O102" s="66"/>
      <c r="Q102" s="66">
        <f t="shared" si="6"/>
        <v>-5.5204144187499997</v>
      </c>
    </row>
    <row r="103" spans="1:17">
      <c r="A103" s="145" t="s">
        <v>626</v>
      </c>
      <c r="B103" s="146" t="s">
        <v>1901</v>
      </c>
      <c r="C103" s="146" t="s">
        <v>1902</v>
      </c>
      <c r="D103" s="145" t="s">
        <v>1903</v>
      </c>
      <c r="E103" s="146" t="s">
        <v>75</v>
      </c>
      <c r="F103" s="145" t="s">
        <v>1602</v>
      </c>
      <c r="G103" s="146" t="s">
        <v>20</v>
      </c>
      <c r="H103" s="146">
        <v>201603</v>
      </c>
      <c r="I103" s="147">
        <v>1311.11</v>
      </c>
      <c r="J103" s="297">
        <f t="shared" si="7"/>
        <v>42675</v>
      </c>
      <c r="K103" s="67">
        <f t="shared" si="5"/>
        <v>6</v>
      </c>
      <c r="L103" s="148">
        <v>1.4833299999999999E-3</v>
      </c>
      <c r="M103" s="104">
        <f t="shared" si="4"/>
        <v>11.6688527778</v>
      </c>
      <c r="O103" s="66"/>
      <c r="Q103" s="66">
        <f t="shared" si="6"/>
        <v>21.690402914583334</v>
      </c>
    </row>
    <row r="104" spans="1:17">
      <c r="A104" s="145" t="s">
        <v>626</v>
      </c>
      <c r="B104" s="146" t="s">
        <v>1693</v>
      </c>
      <c r="C104" s="146" t="s">
        <v>1694</v>
      </c>
      <c r="D104" s="145" t="s">
        <v>1695</v>
      </c>
      <c r="E104" s="146" t="s">
        <v>809</v>
      </c>
      <c r="F104" s="145" t="s">
        <v>26</v>
      </c>
      <c r="G104" s="146" t="s">
        <v>20</v>
      </c>
      <c r="H104" s="146">
        <v>201603</v>
      </c>
      <c r="I104" s="147">
        <v>-64.540000000000006</v>
      </c>
      <c r="J104" s="297">
        <f t="shared" si="7"/>
        <v>42675</v>
      </c>
      <c r="K104" s="67">
        <f t="shared" si="5"/>
        <v>6</v>
      </c>
      <c r="L104" s="148">
        <v>1.4833299999999999E-3</v>
      </c>
      <c r="M104" s="104">
        <f t="shared" si="4"/>
        <v>-0.57440470920000009</v>
      </c>
      <c r="O104" s="66"/>
      <c r="Q104" s="66">
        <f t="shared" si="6"/>
        <v>-1.0677201791666668</v>
      </c>
    </row>
    <row r="105" spans="1:17">
      <c r="A105" s="145" t="s">
        <v>626</v>
      </c>
      <c r="B105" s="146" t="s">
        <v>1638</v>
      </c>
      <c r="C105" s="146" t="s">
        <v>1639</v>
      </c>
      <c r="D105" s="145" t="s">
        <v>1640</v>
      </c>
      <c r="E105" s="146" t="s">
        <v>164</v>
      </c>
      <c r="F105" s="145" t="s">
        <v>1600</v>
      </c>
      <c r="G105" s="146" t="s">
        <v>20</v>
      </c>
      <c r="H105" s="146">
        <v>201603</v>
      </c>
      <c r="I105" s="147">
        <v>-0.64</v>
      </c>
      <c r="J105" s="297">
        <f t="shared" si="7"/>
        <v>42675</v>
      </c>
      <c r="K105" s="67">
        <f t="shared" si="5"/>
        <v>6</v>
      </c>
      <c r="L105" s="148">
        <v>1.4833299999999999E-3</v>
      </c>
      <c r="M105" s="104">
        <f t="shared" si="4"/>
        <v>-5.6959872000000005E-3</v>
      </c>
      <c r="O105" s="66"/>
      <c r="Q105" s="66">
        <f t="shared" si="6"/>
        <v>-1.0587866666666668E-2</v>
      </c>
    </row>
    <row r="106" spans="1:17">
      <c r="A106" s="145" t="s">
        <v>626</v>
      </c>
      <c r="B106" s="146" t="s">
        <v>1904</v>
      </c>
      <c r="C106" s="146" t="s">
        <v>1905</v>
      </c>
      <c r="D106" s="145" t="s">
        <v>1906</v>
      </c>
      <c r="E106" s="146" t="s">
        <v>75</v>
      </c>
      <c r="F106" s="145" t="s">
        <v>1602</v>
      </c>
      <c r="G106" s="146" t="s">
        <v>20</v>
      </c>
      <c r="H106" s="146">
        <v>201603</v>
      </c>
      <c r="I106" s="147">
        <v>-122.41</v>
      </c>
      <c r="J106" s="297">
        <f t="shared" si="7"/>
        <v>42675</v>
      </c>
      <c r="K106" s="67">
        <f t="shared" si="5"/>
        <v>6</v>
      </c>
      <c r="L106" s="148">
        <v>1.4833299999999999E-3</v>
      </c>
      <c r="M106" s="104">
        <f t="shared" si="4"/>
        <v>-1.0894465518000001</v>
      </c>
      <c r="O106" s="66"/>
      <c r="Q106" s="66">
        <f t="shared" si="6"/>
        <v>-2.0250949354166665</v>
      </c>
    </row>
    <row r="107" spans="1:17">
      <c r="A107" s="145" t="s">
        <v>626</v>
      </c>
      <c r="B107" s="146" t="s">
        <v>1742</v>
      </c>
      <c r="C107" s="146" t="s">
        <v>1743</v>
      </c>
      <c r="D107" s="145" t="s">
        <v>1744</v>
      </c>
      <c r="E107" s="146" t="s">
        <v>497</v>
      </c>
      <c r="F107" s="145" t="s">
        <v>26</v>
      </c>
      <c r="G107" s="146" t="s">
        <v>20</v>
      </c>
      <c r="H107" s="146">
        <v>201603</v>
      </c>
      <c r="I107" s="147">
        <v>-94.37</v>
      </c>
      <c r="J107" s="297">
        <f t="shared" si="7"/>
        <v>42675</v>
      </c>
      <c r="K107" s="67">
        <f t="shared" si="5"/>
        <v>6</v>
      </c>
      <c r="L107" s="148">
        <v>1.4833299999999999E-3</v>
      </c>
      <c r="M107" s="104">
        <f t="shared" si="4"/>
        <v>-0.83989111260000004</v>
      </c>
      <c r="O107" s="66"/>
      <c r="Q107" s="66">
        <f t="shared" si="6"/>
        <v>-1.5612140270833335</v>
      </c>
    </row>
    <row r="108" spans="1:17">
      <c r="A108" s="145" t="s">
        <v>626</v>
      </c>
      <c r="B108" s="146" t="s">
        <v>1745</v>
      </c>
      <c r="C108" s="146" t="s">
        <v>1746</v>
      </c>
      <c r="D108" s="145" t="s">
        <v>1747</v>
      </c>
      <c r="E108" s="146" t="s">
        <v>497</v>
      </c>
      <c r="F108" s="145" t="s">
        <v>26</v>
      </c>
      <c r="G108" s="146" t="s">
        <v>20</v>
      </c>
      <c r="H108" s="146">
        <v>201603</v>
      </c>
      <c r="I108" s="147">
        <v>1368.72</v>
      </c>
      <c r="J108" s="297">
        <f t="shared" si="7"/>
        <v>42675</v>
      </c>
      <c r="K108" s="67">
        <f t="shared" si="5"/>
        <v>6</v>
      </c>
      <c r="L108" s="148">
        <v>1.4833299999999999E-3</v>
      </c>
      <c r="M108" s="104">
        <f t="shared" si="4"/>
        <v>12.181580625600001</v>
      </c>
      <c r="O108" s="66"/>
      <c r="Q108" s="66">
        <f t="shared" si="6"/>
        <v>22.64347635</v>
      </c>
    </row>
    <row r="109" spans="1:17">
      <c r="A109" s="145" t="s">
        <v>626</v>
      </c>
      <c r="B109" s="146" t="s">
        <v>1800</v>
      </c>
      <c r="C109" s="146" t="s">
        <v>1801</v>
      </c>
      <c r="D109" s="145" t="s">
        <v>1802</v>
      </c>
      <c r="E109" s="146" t="s">
        <v>75</v>
      </c>
      <c r="F109" s="145" t="s">
        <v>1602</v>
      </c>
      <c r="G109" s="146" t="s">
        <v>20</v>
      </c>
      <c r="H109" s="146">
        <v>201603</v>
      </c>
      <c r="I109" s="147">
        <v>-12942.58</v>
      </c>
      <c r="J109" s="297">
        <f t="shared" si="7"/>
        <v>42675</v>
      </c>
      <c r="K109" s="67">
        <f t="shared" si="5"/>
        <v>6</v>
      </c>
      <c r="L109" s="148">
        <v>1.4833299999999999E-3</v>
      </c>
      <c r="M109" s="104">
        <f t="shared" si="4"/>
        <v>-115.18870314839999</v>
      </c>
      <c r="O109" s="66"/>
      <c r="Q109" s="66">
        <f t="shared" si="6"/>
        <v>-214.11611150416667</v>
      </c>
    </row>
    <row r="110" spans="1:17">
      <c r="A110" s="145" t="s">
        <v>626</v>
      </c>
      <c r="B110" s="146" t="s">
        <v>1961</v>
      </c>
      <c r="C110" s="146" t="s">
        <v>1962</v>
      </c>
      <c r="D110" s="145" t="s">
        <v>1963</v>
      </c>
      <c r="E110" s="146" t="s">
        <v>75</v>
      </c>
      <c r="F110" s="145" t="s">
        <v>1602</v>
      </c>
      <c r="G110" s="146" t="s">
        <v>20</v>
      </c>
      <c r="H110" s="146">
        <v>201603</v>
      </c>
      <c r="I110" s="147">
        <v>-2714.3</v>
      </c>
      <c r="J110" s="297">
        <f t="shared" si="7"/>
        <v>42675</v>
      </c>
      <c r="K110" s="67">
        <f t="shared" si="5"/>
        <v>6</v>
      </c>
      <c r="L110" s="148">
        <v>1.4833299999999999E-3</v>
      </c>
      <c r="M110" s="104">
        <f t="shared" si="4"/>
        <v>-24.157215714000003</v>
      </c>
      <c r="O110" s="66"/>
      <c r="Q110" s="66">
        <f t="shared" si="6"/>
        <v>-44.904135145833337</v>
      </c>
    </row>
    <row r="111" spans="1:17">
      <c r="A111" s="145" t="s">
        <v>626</v>
      </c>
      <c r="B111" s="146" t="s">
        <v>1907</v>
      </c>
      <c r="C111" s="146" t="s">
        <v>1908</v>
      </c>
      <c r="D111" s="145" t="s">
        <v>1909</v>
      </c>
      <c r="E111" s="146" t="s">
        <v>75</v>
      </c>
      <c r="F111" s="145" t="s">
        <v>1602</v>
      </c>
      <c r="G111" s="146" t="s">
        <v>20</v>
      </c>
      <c r="H111" s="146">
        <v>201603</v>
      </c>
      <c r="I111" s="147">
        <v>-49140.34</v>
      </c>
      <c r="J111" s="297">
        <f t="shared" si="7"/>
        <v>42675</v>
      </c>
      <c r="K111" s="67">
        <f t="shared" si="5"/>
        <v>6</v>
      </c>
      <c r="L111" s="148">
        <v>1.4833299999999999E-3</v>
      </c>
      <c r="M111" s="104">
        <f t="shared" si="4"/>
        <v>-437.3480431932</v>
      </c>
      <c r="O111" s="66"/>
      <c r="Q111" s="66">
        <f t="shared" si="6"/>
        <v>-812.95526230416658</v>
      </c>
    </row>
    <row r="112" spans="1:17">
      <c r="A112" s="145" t="s">
        <v>626</v>
      </c>
      <c r="B112" s="146" t="s">
        <v>1803</v>
      </c>
      <c r="C112" s="146" t="s">
        <v>1804</v>
      </c>
      <c r="D112" s="145" t="s">
        <v>1805</v>
      </c>
      <c r="E112" s="146" t="s">
        <v>164</v>
      </c>
      <c r="F112" s="145" t="s">
        <v>1600</v>
      </c>
      <c r="G112" s="146" t="s">
        <v>20</v>
      </c>
      <c r="H112" s="146">
        <v>201603</v>
      </c>
      <c r="I112" s="147">
        <v>-1901.79</v>
      </c>
      <c r="J112" s="297">
        <f t="shared" si="7"/>
        <v>42675</v>
      </c>
      <c r="K112" s="67">
        <f t="shared" si="5"/>
        <v>6</v>
      </c>
      <c r="L112" s="148">
        <v>1.4833299999999999E-3</v>
      </c>
      <c r="M112" s="104">
        <f t="shared" si="4"/>
        <v>-16.925892964199999</v>
      </c>
      <c r="O112" s="66"/>
      <c r="Q112" s="66">
        <f t="shared" si="6"/>
        <v>-31.462342106249999</v>
      </c>
    </row>
    <row r="113" spans="1:17">
      <c r="A113" s="145" t="s">
        <v>626</v>
      </c>
      <c r="B113" s="146" t="s">
        <v>1748</v>
      </c>
      <c r="C113" s="146" t="s">
        <v>1749</v>
      </c>
      <c r="D113" s="145" t="s">
        <v>1750</v>
      </c>
      <c r="E113" s="146" t="s">
        <v>75</v>
      </c>
      <c r="F113" s="145" t="s">
        <v>1602</v>
      </c>
      <c r="G113" s="146" t="s">
        <v>20</v>
      </c>
      <c r="H113" s="146">
        <v>201603</v>
      </c>
      <c r="I113" s="147">
        <v>-413.94</v>
      </c>
      <c r="J113" s="297">
        <f t="shared" si="7"/>
        <v>42675</v>
      </c>
      <c r="K113" s="67">
        <f t="shared" si="5"/>
        <v>6</v>
      </c>
      <c r="L113" s="148">
        <v>1.4833299999999999E-3</v>
      </c>
      <c r="M113" s="104">
        <f t="shared" si="4"/>
        <v>-3.6840577211999999</v>
      </c>
      <c r="O113" s="66"/>
      <c r="Q113" s="66">
        <f t="shared" si="6"/>
        <v>-6.8480336375000004</v>
      </c>
    </row>
    <row r="114" spans="1:17">
      <c r="A114" s="145" t="s">
        <v>626</v>
      </c>
      <c r="B114" s="146" t="s">
        <v>1910</v>
      </c>
      <c r="C114" s="146" t="s">
        <v>1911</v>
      </c>
      <c r="D114" s="145" t="s">
        <v>1912</v>
      </c>
      <c r="E114" s="146" t="s">
        <v>75</v>
      </c>
      <c r="F114" s="145" t="s">
        <v>1602</v>
      </c>
      <c r="G114" s="146" t="s">
        <v>20</v>
      </c>
      <c r="H114" s="146">
        <v>201603</v>
      </c>
      <c r="I114" s="147">
        <v>2723</v>
      </c>
      <c r="J114" s="297">
        <f t="shared" si="7"/>
        <v>42675</v>
      </c>
      <c r="K114" s="67">
        <f t="shared" si="5"/>
        <v>6</v>
      </c>
      <c r="L114" s="148">
        <v>1.4833299999999999E-3</v>
      </c>
      <c r="M114" s="104">
        <f t="shared" si="4"/>
        <v>24.234645539999999</v>
      </c>
      <c r="O114" s="66"/>
      <c r="Q114" s="66">
        <f t="shared" si="6"/>
        <v>45.048063958333337</v>
      </c>
    </row>
    <row r="115" spans="1:17">
      <c r="A115" s="145" t="s">
        <v>626</v>
      </c>
      <c r="B115" s="146" t="s">
        <v>1913</v>
      </c>
      <c r="C115" s="146" t="s">
        <v>1914</v>
      </c>
      <c r="D115" s="145" t="s">
        <v>1915</v>
      </c>
      <c r="E115" s="146" t="s">
        <v>75</v>
      </c>
      <c r="F115" s="145" t="s">
        <v>1602</v>
      </c>
      <c r="G115" s="146" t="s">
        <v>20</v>
      </c>
      <c r="H115" s="146">
        <v>201603</v>
      </c>
      <c r="I115" s="147">
        <v>-381.94</v>
      </c>
      <c r="J115" s="297">
        <f t="shared" si="7"/>
        <v>42675</v>
      </c>
      <c r="K115" s="67">
        <f t="shared" si="5"/>
        <v>6</v>
      </c>
      <c r="L115" s="148">
        <v>1.4833299999999999E-3</v>
      </c>
      <c r="M115" s="104">
        <f t="shared" si="4"/>
        <v>-3.3992583611999998</v>
      </c>
      <c r="O115" s="66"/>
      <c r="Q115" s="66">
        <f t="shared" si="6"/>
        <v>-6.3186403041666672</v>
      </c>
    </row>
    <row r="116" spans="1:17">
      <c r="A116" s="145" t="s">
        <v>626</v>
      </c>
      <c r="B116" s="146" t="s">
        <v>1916</v>
      </c>
      <c r="C116" s="146" t="s">
        <v>1917</v>
      </c>
      <c r="D116" s="145" t="s">
        <v>1273</v>
      </c>
      <c r="E116" s="146" t="s">
        <v>75</v>
      </c>
      <c r="F116" s="145" t="s">
        <v>1602</v>
      </c>
      <c r="G116" s="146" t="s">
        <v>20</v>
      </c>
      <c r="H116" s="146">
        <v>201603</v>
      </c>
      <c r="I116" s="147">
        <v>-622.54</v>
      </c>
      <c r="J116" s="297">
        <f t="shared" si="7"/>
        <v>42675</v>
      </c>
      <c r="K116" s="67">
        <f t="shared" si="5"/>
        <v>6</v>
      </c>
      <c r="L116" s="148">
        <v>1.4833299999999999E-3</v>
      </c>
      <c r="M116" s="104">
        <f t="shared" si="4"/>
        <v>-5.5405935491999996</v>
      </c>
      <c r="O116" s="66"/>
      <c r="Q116" s="66">
        <f t="shared" si="6"/>
        <v>-10.299016429166667</v>
      </c>
    </row>
    <row r="117" spans="1:17">
      <c r="A117" s="145" t="s">
        <v>626</v>
      </c>
      <c r="B117" s="146" t="s">
        <v>1776</v>
      </c>
      <c r="C117" s="146" t="s">
        <v>1777</v>
      </c>
      <c r="D117" s="145" t="s">
        <v>1778</v>
      </c>
      <c r="E117" s="146" t="s">
        <v>452</v>
      </c>
      <c r="F117" s="145" t="s">
        <v>398</v>
      </c>
      <c r="G117" s="146" t="s">
        <v>20</v>
      </c>
      <c r="H117" s="146">
        <v>201603</v>
      </c>
      <c r="I117" s="147">
        <v>-0.92</v>
      </c>
      <c r="J117" s="297">
        <f t="shared" si="7"/>
        <v>42675</v>
      </c>
      <c r="K117" s="67">
        <f t="shared" si="5"/>
        <v>6</v>
      </c>
      <c r="L117" s="148">
        <v>1.4833299999999999E-3</v>
      </c>
      <c r="M117" s="104">
        <f t="shared" si="4"/>
        <v>-8.1879815999999998E-3</v>
      </c>
      <c r="O117" s="66"/>
      <c r="Q117" s="66">
        <f t="shared" si="6"/>
        <v>-1.5220058333333335E-2</v>
      </c>
    </row>
    <row r="118" spans="1:17">
      <c r="A118" s="145" t="s">
        <v>626</v>
      </c>
      <c r="B118" s="146" t="s">
        <v>1806</v>
      </c>
      <c r="C118" s="146" t="s">
        <v>1807</v>
      </c>
      <c r="D118" s="145" t="s">
        <v>1808</v>
      </c>
      <c r="E118" s="146" t="s">
        <v>75</v>
      </c>
      <c r="F118" s="145" t="s">
        <v>1602</v>
      </c>
      <c r="G118" s="146" t="s">
        <v>20</v>
      </c>
      <c r="H118" s="146">
        <v>201603</v>
      </c>
      <c r="I118" s="147">
        <v>-137.9</v>
      </c>
      <c r="J118" s="297">
        <f t="shared" si="7"/>
        <v>42675</v>
      </c>
      <c r="K118" s="67">
        <f t="shared" si="5"/>
        <v>6</v>
      </c>
      <c r="L118" s="148">
        <v>1.4833299999999999E-3</v>
      </c>
      <c r="M118" s="104">
        <f t="shared" si="4"/>
        <v>-1.227307242</v>
      </c>
      <c r="O118" s="66"/>
      <c r="Q118" s="66">
        <f t="shared" si="6"/>
        <v>-2.2813543958333335</v>
      </c>
    </row>
    <row r="119" spans="1:17">
      <c r="A119" s="145" t="s">
        <v>626</v>
      </c>
      <c r="B119" s="146" t="s">
        <v>1918</v>
      </c>
      <c r="C119" s="146" t="s">
        <v>1919</v>
      </c>
      <c r="D119" s="145" t="s">
        <v>1920</v>
      </c>
      <c r="E119" s="146" t="s">
        <v>75</v>
      </c>
      <c r="F119" s="145" t="s">
        <v>1602</v>
      </c>
      <c r="G119" s="146" t="s">
        <v>20</v>
      </c>
      <c r="H119" s="146">
        <v>201603</v>
      </c>
      <c r="I119" s="147">
        <v>-280.25</v>
      </c>
      <c r="J119" s="297">
        <f t="shared" si="7"/>
        <v>42675</v>
      </c>
      <c r="K119" s="67">
        <f t="shared" si="5"/>
        <v>6</v>
      </c>
      <c r="L119" s="148">
        <v>1.4833299999999999E-3</v>
      </c>
      <c r="M119" s="104">
        <f t="shared" si="4"/>
        <v>-2.494219395</v>
      </c>
      <c r="O119" s="66"/>
      <c r="Q119" s="66">
        <f t="shared" si="6"/>
        <v>-4.6363275520833334</v>
      </c>
    </row>
    <row r="120" spans="1:17">
      <c r="A120" s="145" t="s">
        <v>626</v>
      </c>
      <c r="B120" s="146" t="s">
        <v>1921</v>
      </c>
      <c r="C120" s="146" t="s">
        <v>1922</v>
      </c>
      <c r="D120" s="145" t="s">
        <v>1923</v>
      </c>
      <c r="E120" s="146" t="s">
        <v>156</v>
      </c>
      <c r="F120" s="145" t="s">
        <v>26</v>
      </c>
      <c r="G120" s="146" t="s">
        <v>20</v>
      </c>
      <c r="H120" s="146">
        <v>201603</v>
      </c>
      <c r="I120" s="147">
        <v>-2391.35</v>
      </c>
      <c r="J120" s="297">
        <f t="shared" si="7"/>
        <v>42675</v>
      </c>
      <c r="K120" s="67">
        <f t="shared" si="5"/>
        <v>6</v>
      </c>
      <c r="L120" s="148">
        <v>1.4833299999999999E-3</v>
      </c>
      <c r="M120" s="104">
        <f t="shared" si="4"/>
        <v>-21.282967172999999</v>
      </c>
      <c r="O120" s="66"/>
      <c r="Q120" s="66">
        <f t="shared" si="6"/>
        <v>-39.561398364583333</v>
      </c>
    </row>
    <row r="121" spans="1:17">
      <c r="A121" s="145" t="s">
        <v>14</v>
      </c>
      <c r="B121" s="146" t="s">
        <v>1661</v>
      </c>
      <c r="C121" s="146" t="s">
        <v>1662</v>
      </c>
      <c r="D121" s="145" t="s">
        <v>1663</v>
      </c>
      <c r="E121" s="146" t="s">
        <v>284</v>
      </c>
      <c r="F121" s="145" t="s">
        <v>285</v>
      </c>
      <c r="G121" s="146" t="s">
        <v>20</v>
      </c>
      <c r="H121" s="146">
        <v>201603</v>
      </c>
      <c r="I121" s="147">
        <v>0.01</v>
      </c>
      <c r="J121" s="297">
        <f t="shared" si="7"/>
        <v>42675</v>
      </c>
      <c r="K121" s="67">
        <f t="shared" si="5"/>
        <v>6</v>
      </c>
      <c r="L121" s="148">
        <v>2.23333E-3</v>
      </c>
      <c r="M121" s="104">
        <f t="shared" si="4"/>
        <v>1.3399979999999999E-4</v>
      </c>
      <c r="O121" s="66"/>
      <c r="Q121" s="66">
        <f t="shared" si="6"/>
        <v>1.6543541666666668E-4</v>
      </c>
    </row>
    <row r="122" spans="1:17">
      <c r="A122" s="145" t="s">
        <v>21</v>
      </c>
      <c r="B122" s="146" t="s">
        <v>1664</v>
      </c>
      <c r="C122" s="146" t="s">
        <v>1665</v>
      </c>
      <c r="D122" s="145" t="s">
        <v>1666</v>
      </c>
      <c r="E122" s="146" t="s">
        <v>87</v>
      </c>
      <c r="F122" s="145" t="s">
        <v>1603</v>
      </c>
      <c r="G122" s="146" t="s">
        <v>20</v>
      </c>
      <c r="H122" s="146">
        <v>201603</v>
      </c>
      <c r="I122" s="147">
        <v>5.53</v>
      </c>
      <c r="J122" s="297">
        <f t="shared" si="7"/>
        <v>42675</v>
      </c>
      <c r="K122" s="67">
        <f t="shared" si="5"/>
        <v>6</v>
      </c>
      <c r="L122" s="148">
        <v>1.4833299999999999E-3</v>
      </c>
      <c r="M122" s="104">
        <f t="shared" si="4"/>
        <v>4.9216889400000005E-2</v>
      </c>
      <c r="O122" s="66"/>
      <c r="Q122" s="66">
        <f t="shared" si="6"/>
        <v>9.1485785416666673E-2</v>
      </c>
    </row>
    <row r="123" spans="1:17">
      <c r="A123" s="145" t="s">
        <v>990</v>
      </c>
      <c r="B123" s="146" t="s">
        <v>1751</v>
      </c>
      <c r="C123" s="146" t="s">
        <v>1752</v>
      </c>
      <c r="D123" s="145" t="s">
        <v>1753</v>
      </c>
      <c r="E123" s="146" t="s">
        <v>1688</v>
      </c>
      <c r="F123" s="145" t="s">
        <v>1689</v>
      </c>
      <c r="G123" s="146" t="s">
        <v>20</v>
      </c>
      <c r="H123" s="146">
        <v>201603</v>
      </c>
      <c r="I123" s="147">
        <v>-6.19</v>
      </c>
      <c r="J123" s="297">
        <f t="shared" si="7"/>
        <v>42675</v>
      </c>
      <c r="K123" s="67">
        <f t="shared" si="5"/>
        <v>6</v>
      </c>
      <c r="L123" s="148">
        <v>2.3833299999999999E-3</v>
      </c>
      <c r="M123" s="104">
        <f t="shared" si="4"/>
        <v>-8.8516876200000011E-2</v>
      </c>
      <c r="O123" s="66"/>
      <c r="Q123" s="66">
        <f t="shared" si="6"/>
        <v>-0.10240452291666667</v>
      </c>
    </row>
    <row r="124" spans="1:17">
      <c r="A124" s="145" t="s">
        <v>990</v>
      </c>
      <c r="B124" s="146" t="s">
        <v>1754</v>
      </c>
      <c r="C124" s="146" t="s">
        <v>1755</v>
      </c>
      <c r="D124" s="145" t="s">
        <v>1756</v>
      </c>
      <c r="E124" s="146" t="s">
        <v>1688</v>
      </c>
      <c r="F124" s="145" t="s">
        <v>1689</v>
      </c>
      <c r="G124" s="146" t="s">
        <v>20</v>
      </c>
      <c r="H124" s="146">
        <v>201603</v>
      </c>
      <c r="I124" s="147">
        <v>-53.01</v>
      </c>
      <c r="J124" s="297">
        <f t="shared" si="7"/>
        <v>42675</v>
      </c>
      <c r="K124" s="67">
        <f t="shared" si="5"/>
        <v>6</v>
      </c>
      <c r="L124" s="148">
        <v>2.3833299999999999E-3</v>
      </c>
      <c r="M124" s="104">
        <f t="shared" si="4"/>
        <v>-0.75804193980000001</v>
      </c>
      <c r="O124" s="66"/>
      <c r="Q124" s="66">
        <f t="shared" si="6"/>
        <v>-0.87697314374999991</v>
      </c>
    </row>
    <row r="125" spans="1:17">
      <c r="A125" s="145" t="s">
        <v>626</v>
      </c>
      <c r="B125" s="146" t="s">
        <v>1924</v>
      </c>
      <c r="C125" s="146" t="s">
        <v>1925</v>
      </c>
      <c r="D125" s="145" t="s">
        <v>1926</v>
      </c>
      <c r="E125" s="146" t="s">
        <v>75</v>
      </c>
      <c r="F125" s="145" t="s">
        <v>1602</v>
      </c>
      <c r="G125" s="146" t="s">
        <v>20</v>
      </c>
      <c r="H125" s="146">
        <v>201603</v>
      </c>
      <c r="I125" s="147">
        <v>-9.48</v>
      </c>
      <c r="J125" s="297">
        <f t="shared" si="7"/>
        <v>42675</v>
      </c>
      <c r="K125" s="67">
        <f t="shared" si="5"/>
        <v>6</v>
      </c>
      <c r="L125" s="148">
        <v>1.4833299999999999E-3</v>
      </c>
      <c r="M125" s="104">
        <f t="shared" si="4"/>
        <v>-8.4371810400000011E-2</v>
      </c>
      <c r="O125" s="66"/>
      <c r="Q125" s="66">
        <f t="shared" si="6"/>
        <v>-0.15683277500000001</v>
      </c>
    </row>
    <row r="126" spans="1:17">
      <c r="A126" s="145" t="s">
        <v>626</v>
      </c>
      <c r="B126" s="146" t="s">
        <v>1927</v>
      </c>
      <c r="C126" s="146" t="s">
        <v>1928</v>
      </c>
      <c r="D126" s="145" t="s">
        <v>1929</v>
      </c>
      <c r="E126" s="146" t="s">
        <v>75</v>
      </c>
      <c r="F126" s="145" t="s">
        <v>1602</v>
      </c>
      <c r="G126" s="146" t="s">
        <v>20</v>
      </c>
      <c r="H126" s="146">
        <v>201603</v>
      </c>
      <c r="I126" s="147">
        <v>-8.93</v>
      </c>
      <c r="J126" s="297">
        <f t="shared" si="7"/>
        <v>42675</v>
      </c>
      <c r="K126" s="67">
        <f t="shared" si="5"/>
        <v>6</v>
      </c>
      <c r="L126" s="148">
        <v>1.4833299999999999E-3</v>
      </c>
      <c r="M126" s="104">
        <f t="shared" si="4"/>
        <v>-7.9476821399999995E-2</v>
      </c>
      <c r="O126" s="66"/>
      <c r="Q126" s="66">
        <f t="shared" si="6"/>
        <v>-0.14773382708333332</v>
      </c>
    </row>
    <row r="127" spans="1:17">
      <c r="A127" s="145" t="s">
        <v>21</v>
      </c>
      <c r="B127" s="146" t="s">
        <v>1820</v>
      </c>
      <c r="C127" s="146" t="s">
        <v>1821</v>
      </c>
      <c r="D127" s="145" t="s">
        <v>1822</v>
      </c>
      <c r="E127" s="146" t="s">
        <v>87</v>
      </c>
      <c r="F127" s="145" t="s">
        <v>1603</v>
      </c>
      <c r="G127" s="146" t="s">
        <v>20</v>
      </c>
      <c r="H127" s="146">
        <v>201603</v>
      </c>
      <c r="I127" s="147">
        <v>-435.23</v>
      </c>
      <c r="J127" s="297">
        <f t="shared" si="7"/>
        <v>42675</v>
      </c>
      <c r="K127" s="67">
        <f t="shared" si="5"/>
        <v>6</v>
      </c>
      <c r="L127" s="148">
        <v>1.4833299999999999E-3</v>
      </c>
      <c r="M127" s="104">
        <f t="shared" si="4"/>
        <v>-3.8735382954000004</v>
      </c>
      <c r="O127" s="66"/>
      <c r="Q127" s="66">
        <f t="shared" si="6"/>
        <v>-7.2002456395833336</v>
      </c>
    </row>
    <row r="128" spans="1:17">
      <c r="A128" s="145" t="s">
        <v>626</v>
      </c>
      <c r="B128" s="146" t="s">
        <v>1699</v>
      </c>
      <c r="C128" s="146" t="s">
        <v>1700</v>
      </c>
      <c r="D128" s="145" t="s">
        <v>1701</v>
      </c>
      <c r="E128" s="146" t="s">
        <v>544</v>
      </c>
      <c r="F128" s="145" t="s">
        <v>26</v>
      </c>
      <c r="G128" s="146" t="s">
        <v>20</v>
      </c>
      <c r="H128" s="146">
        <v>201603</v>
      </c>
      <c r="I128" s="147">
        <v>-381.21</v>
      </c>
      <c r="J128" s="297">
        <f t="shared" si="7"/>
        <v>42675</v>
      </c>
      <c r="K128" s="67">
        <f t="shared" si="5"/>
        <v>6</v>
      </c>
      <c r="L128" s="148">
        <v>1.4833299999999999E-3</v>
      </c>
      <c r="M128" s="104">
        <f t="shared" si="4"/>
        <v>-3.3927613757999997</v>
      </c>
      <c r="O128" s="66"/>
      <c r="Q128" s="66">
        <f t="shared" si="6"/>
        <v>-6.30656351875</v>
      </c>
    </row>
    <row r="129" spans="1:17">
      <c r="A129" s="145" t="s">
        <v>127</v>
      </c>
      <c r="B129" s="146" t="s">
        <v>1964</v>
      </c>
      <c r="C129" s="146" t="s">
        <v>1965</v>
      </c>
      <c r="D129" s="145" t="s">
        <v>1966</v>
      </c>
      <c r="E129" s="146" t="s">
        <v>87</v>
      </c>
      <c r="F129" s="145" t="s">
        <v>1603</v>
      </c>
      <c r="G129" s="146" t="s">
        <v>20</v>
      </c>
      <c r="H129" s="146">
        <v>201603</v>
      </c>
      <c r="I129" s="147">
        <v>-160.38999999999999</v>
      </c>
      <c r="J129" s="297">
        <f t="shared" si="7"/>
        <v>42675</v>
      </c>
      <c r="K129" s="67">
        <f t="shared" si="5"/>
        <v>6</v>
      </c>
      <c r="L129" s="148">
        <v>2.3833299999999999E-3</v>
      </c>
      <c r="M129" s="104">
        <f t="shared" si="4"/>
        <v>-2.2935737921999997</v>
      </c>
      <c r="O129" s="66"/>
      <c r="Q129" s="66">
        <f t="shared" si="6"/>
        <v>-2.6534186479166664</v>
      </c>
    </row>
    <row r="130" spans="1:17">
      <c r="A130" s="145" t="s">
        <v>626</v>
      </c>
      <c r="B130" s="146" t="s">
        <v>1930</v>
      </c>
      <c r="C130" s="146" t="s">
        <v>1931</v>
      </c>
      <c r="D130" s="145" t="s">
        <v>1932</v>
      </c>
      <c r="E130" s="146" t="s">
        <v>75</v>
      </c>
      <c r="F130" s="145" t="s">
        <v>1602</v>
      </c>
      <c r="G130" s="146" t="s">
        <v>20</v>
      </c>
      <c r="H130" s="146">
        <v>201603</v>
      </c>
      <c r="I130" s="147">
        <v>-77.81</v>
      </c>
      <c r="J130" s="297">
        <f t="shared" si="7"/>
        <v>42675</v>
      </c>
      <c r="K130" s="67">
        <f t="shared" si="5"/>
        <v>6</v>
      </c>
      <c r="L130" s="148">
        <v>1.4833299999999999E-3</v>
      </c>
      <c r="M130" s="104">
        <f t="shared" si="4"/>
        <v>-0.69250744380000007</v>
      </c>
      <c r="O130" s="66"/>
      <c r="Q130" s="66">
        <f t="shared" si="6"/>
        <v>-1.2872529770833334</v>
      </c>
    </row>
    <row r="131" spans="1:17">
      <c r="A131" s="145" t="s">
        <v>626</v>
      </c>
      <c r="B131" s="146" t="s">
        <v>1782</v>
      </c>
      <c r="C131" s="146" t="s">
        <v>1783</v>
      </c>
      <c r="D131" s="145" t="s">
        <v>1784</v>
      </c>
      <c r="E131" s="146" t="s">
        <v>87</v>
      </c>
      <c r="F131" s="145" t="s">
        <v>1603</v>
      </c>
      <c r="G131" s="146" t="s">
        <v>20</v>
      </c>
      <c r="H131" s="146">
        <v>201603</v>
      </c>
      <c r="I131" s="147">
        <v>-33.72</v>
      </c>
      <c r="J131" s="297">
        <f t="shared" si="7"/>
        <v>42675</v>
      </c>
      <c r="K131" s="67">
        <f t="shared" si="5"/>
        <v>6</v>
      </c>
      <c r="L131" s="148">
        <v>1.4833299999999999E-3</v>
      </c>
      <c r="M131" s="104">
        <f t="shared" si="4"/>
        <v>-0.30010732559999997</v>
      </c>
      <c r="O131" s="66"/>
      <c r="Q131" s="66">
        <f t="shared" si="6"/>
        <v>-0.55784822499999998</v>
      </c>
    </row>
    <row r="132" spans="1:17">
      <c r="A132" s="145" t="s">
        <v>626</v>
      </c>
      <c r="B132" s="146" t="s">
        <v>1933</v>
      </c>
      <c r="C132" s="146" t="s">
        <v>1934</v>
      </c>
      <c r="D132" s="145" t="s">
        <v>1935</v>
      </c>
      <c r="E132" s="146" t="s">
        <v>75</v>
      </c>
      <c r="F132" s="145" t="s">
        <v>1602</v>
      </c>
      <c r="G132" s="146" t="s">
        <v>20</v>
      </c>
      <c r="H132" s="146">
        <v>201603</v>
      </c>
      <c r="I132" s="147">
        <v>-375.96</v>
      </c>
      <c r="J132" s="297">
        <f t="shared" si="7"/>
        <v>42675</v>
      </c>
      <c r="K132" s="67">
        <f t="shared" si="5"/>
        <v>6</v>
      </c>
      <c r="L132" s="148">
        <v>1.4833299999999999E-3</v>
      </c>
      <c r="M132" s="104">
        <f t="shared" si="4"/>
        <v>-3.3460364808</v>
      </c>
      <c r="O132" s="66"/>
      <c r="Q132" s="66">
        <f t="shared" si="6"/>
        <v>-6.2197099250000001</v>
      </c>
    </row>
    <row r="133" spans="1:17">
      <c r="A133" s="145" t="s">
        <v>626</v>
      </c>
      <c r="B133" s="146" t="s">
        <v>1967</v>
      </c>
      <c r="C133" s="146" t="s">
        <v>1968</v>
      </c>
      <c r="D133" s="145" t="s">
        <v>1969</v>
      </c>
      <c r="E133" s="146" t="s">
        <v>544</v>
      </c>
      <c r="F133" s="145" t="s">
        <v>26</v>
      </c>
      <c r="G133" s="146" t="s">
        <v>20</v>
      </c>
      <c r="H133" s="146">
        <v>201603</v>
      </c>
      <c r="I133" s="147">
        <v>49102.86</v>
      </c>
      <c r="J133" s="297">
        <f t="shared" si="7"/>
        <v>42675</v>
      </c>
      <c r="K133" s="67">
        <f t="shared" si="5"/>
        <v>6</v>
      </c>
      <c r="L133" s="148">
        <v>1.4833299999999999E-3</v>
      </c>
      <c r="M133" s="104">
        <f t="shared" ref="M133:M196" si="8">L133*K133*I133</f>
        <v>437.01447194280001</v>
      </c>
      <c r="O133" s="66"/>
      <c r="Q133" s="66">
        <f t="shared" si="6"/>
        <v>812.33521036249999</v>
      </c>
    </row>
    <row r="134" spans="1:17">
      <c r="A134" s="145" t="s">
        <v>626</v>
      </c>
      <c r="B134" s="146" t="s">
        <v>1936</v>
      </c>
      <c r="C134" s="146" t="s">
        <v>1937</v>
      </c>
      <c r="D134" s="145" t="s">
        <v>1938</v>
      </c>
      <c r="E134" s="146" t="s">
        <v>75</v>
      </c>
      <c r="F134" s="145" t="s">
        <v>1602</v>
      </c>
      <c r="G134" s="146" t="s">
        <v>20</v>
      </c>
      <c r="H134" s="146">
        <v>201603</v>
      </c>
      <c r="I134" s="147">
        <v>-14.46</v>
      </c>
      <c r="J134" s="297">
        <f t="shared" si="7"/>
        <v>42675</v>
      </c>
      <c r="K134" s="67">
        <f t="shared" ref="K134:K197" si="9">((YEAR($K$1)-YEAR(J134))*12+MONTH($K$1)-MONTH(J134))</f>
        <v>6</v>
      </c>
      <c r="L134" s="148">
        <v>1.4833299999999999E-3</v>
      </c>
      <c r="M134" s="104">
        <f t="shared" si="8"/>
        <v>-0.1286937108</v>
      </c>
      <c r="O134" s="66"/>
      <c r="Q134" s="66">
        <f t="shared" ref="Q134:Q197" si="10">($Q$4*0.5*I134*$T$10)</f>
        <v>-0.23921961250000001</v>
      </c>
    </row>
    <row r="135" spans="1:17">
      <c r="A135" s="145" t="s">
        <v>626</v>
      </c>
      <c r="B135" s="146" t="s">
        <v>1970</v>
      </c>
      <c r="C135" s="146" t="s">
        <v>1971</v>
      </c>
      <c r="D135" s="145" t="s">
        <v>1972</v>
      </c>
      <c r="E135" s="146" t="s">
        <v>93</v>
      </c>
      <c r="F135" s="145" t="s">
        <v>1601</v>
      </c>
      <c r="G135" s="146" t="s">
        <v>20</v>
      </c>
      <c r="H135" s="146">
        <v>201603</v>
      </c>
      <c r="I135" s="147">
        <v>84314.26</v>
      </c>
      <c r="J135" s="297">
        <f t="shared" ref="J135:J198" si="11">+J134</f>
        <v>42675</v>
      </c>
      <c r="K135" s="67">
        <f t="shared" si="9"/>
        <v>6</v>
      </c>
      <c r="L135" s="148">
        <v>1.4833299999999999E-3</v>
      </c>
      <c r="M135" s="104">
        <f t="shared" si="8"/>
        <v>750.39522771479994</v>
      </c>
      <c r="O135" s="66"/>
      <c r="Q135" s="66">
        <f t="shared" si="10"/>
        <v>1394.8564734041665</v>
      </c>
    </row>
    <row r="136" spans="1:17">
      <c r="A136" s="145" t="s">
        <v>21</v>
      </c>
      <c r="B136" s="146" t="s">
        <v>1939</v>
      </c>
      <c r="C136" s="146" t="s">
        <v>1940</v>
      </c>
      <c r="D136" s="145" t="s">
        <v>1941</v>
      </c>
      <c r="E136" s="146" t="s">
        <v>87</v>
      </c>
      <c r="F136" s="145" t="s">
        <v>1603</v>
      </c>
      <c r="G136" s="146" t="s">
        <v>20</v>
      </c>
      <c r="H136" s="146">
        <v>201603</v>
      </c>
      <c r="I136" s="147">
        <v>5406.04</v>
      </c>
      <c r="J136" s="297">
        <f t="shared" si="11"/>
        <v>42675</v>
      </c>
      <c r="K136" s="67">
        <f t="shared" si="9"/>
        <v>6</v>
      </c>
      <c r="L136" s="148">
        <v>1.4833299999999999E-3</v>
      </c>
      <c r="M136" s="104">
        <f t="shared" si="8"/>
        <v>48.113647879200002</v>
      </c>
      <c r="O136" s="66"/>
      <c r="Q136" s="66">
        <f t="shared" si="10"/>
        <v>89.435047991666664</v>
      </c>
    </row>
    <row r="137" spans="1:17">
      <c r="A137" s="145" t="s">
        <v>21</v>
      </c>
      <c r="B137" s="146" t="s">
        <v>1973</v>
      </c>
      <c r="C137" s="146" t="s">
        <v>1974</v>
      </c>
      <c r="D137" s="145" t="s">
        <v>1975</v>
      </c>
      <c r="E137" s="146" t="s">
        <v>87</v>
      </c>
      <c r="F137" s="145" t="s">
        <v>1603</v>
      </c>
      <c r="G137" s="146" t="s">
        <v>20</v>
      </c>
      <c r="H137" s="146">
        <v>201603</v>
      </c>
      <c r="I137" s="147">
        <v>2399.7399999999998</v>
      </c>
      <c r="J137" s="297">
        <f t="shared" si="11"/>
        <v>42675</v>
      </c>
      <c r="K137" s="67">
        <f t="shared" si="9"/>
        <v>6</v>
      </c>
      <c r="L137" s="148">
        <v>1.4833299999999999E-3</v>
      </c>
      <c r="M137" s="104">
        <f t="shared" si="8"/>
        <v>21.357638005199998</v>
      </c>
      <c r="O137" s="66"/>
      <c r="Q137" s="66">
        <f t="shared" si="10"/>
        <v>39.700198679166668</v>
      </c>
    </row>
    <row r="138" spans="1:17">
      <c r="A138" s="145" t="s">
        <v>626</v>
      </c>
      <c r="B138" s="146" t="s">
        <v>1811</v>
      </c>
      <c r="C138" s="146" t="s">
        <v>1812</v>
      </c>
      <c r="D138" s="145" t="s">
        <v>1813</v>
      </c>
      <c r="E138" s="146" t="s">
        <v>25</v>
      </c>
      <c r="F138" s="145" t="s">
        <v>26</v>
      </c>
      <c r="G138" s="146" t="s">
        <v>20</v>
      </c>
      <c r="H138" s="146">
        <v>201603</v>
      </c>
      <c r="I138" s="147">
        <v>-525.41999999999996</v>
      </c>
      <c r="J138" s="297">
        <f t="shared" si="11"/>
        <v>42675</v>
      </c>
      <c r="K138" s="67">
        <f t="shared" si="9"/>
        <v>6</v>
      </c>
      <c r="L138" s="148">
        <v>1.4833299999999999E-3</v>
      </c>
      <c r="M138" s="104">
        <f t="shared" si="8"/>
        <v>-4.6762274915999997</v>
      </c>
      <c r="O138" s="66"/>
      <c r="Q138" s="66">
        <f t="shared" si="10"/>
        <v>-8.6923076624999993</v>
      </c>
    </row>
    <row r="139" spans="1:17">
      <c r="A139" s="145" t="s">
        <v>1942</v>
      </c>
      <c r="B139" s="146" t="s">
        <v>1681</v>
      </c>
      <c r="C139" s="146" t="s">
        <v>1682</v>
      </c>
      <c r="D139" s="145" t="s">
        <v>1683</v>
      </c>
      <c r="E139" s="146" t="s">
        <v>198</v>
      </c>
      <c r="F139" s="145" t="s">
        <v>1610</v>
      </c>
      <c r="G139" s="146" t="s">
        <v>20</v>
      </c>
      <c r="H139" s="146">
        <v>201603</v>
      </c>
      <c r="I139" s="147">
        <v>-5515.17</v>
      </c>
      <c r="J139" s="297">
        <f t="shared" si="11"/>
        <v>42675</v>
      </c>
      <c r="K139" s="67">
        <f t="shared" si="9"/>
        <v>6</v>
      </c>
      <c r="L139" s="148">
        <v>2.23333E-3</v>
      </c>
      <c r="M139" s="104">
        <f t="shared" si="8"/>
        <v>-73.903167696599994</v>
      </c>
      <c r="O139" s="66"/>
      <c r="Q139" s="66">
        <f t="shared" si="10"/>
        <v>-91.240444693750007</v>
      </c>
    </row>
    <row r="140" spans="1:17">
      <c r="A140" s="145" t="s">
        <v>1942</v>
      </c>
      <c r="B140" s="146" t="s">
        <v>1681</v>
      </c>
      <c r="C140" s="146" t="s">
        <v>1943</v>
      </c>
      <c r="D140" s="145" t="s">
        <v>1944</v>
      </c>
      <c r="E140" s="146" t="s">
        <v>202</v>
      </c>
      <c r="F140" s="145" t="s">
        <v>1611</v>
      </c>
      <c r="G140" s="146" t="s">
        <v>20</v>
      </c>
      <c r="H140" s="146">
        <v>201603</v>
      </c>
      <c r="I140" s="147">
        <v>9006.61</v>
      </c>
      <c r="J140" s="297">
        <f t="shared" si="11"/>
        <v>42675</v>
      </c>
      <c r="K140" s="67">
        <f t="shared" si="9"/>
        <v>6</v>
      </c>
      <c r="L140" s="148">
        <v>2.23333E-3</v>
      </c>
      <c r="M140" s="104">
        <f t="shared" si="8"/>
        <v>120.6883938678</v>
      </c>
      <c r="O140" s="66"/>
      <c r="Q140" s="66">
        <f t="shared" si="10"/>
        <v>149.00122781041668</v>
      </c>
    </row>
    <row r="141" spans="1:17">
      <c r="A141" s="145" t="s">
        <v>1942</v>
      </c>
      <c r="B141" s="146" t="s">
        <v>1681</v>
      </c>
      <c r="C141" s="146" t="s">
        <v>1976</v>
      </c>
      <c r="D141" s="145" t="s">
        <v>1977</v>
      </c>
      <c r="E141" s="146" t="s">
        <v>294</v>
      </c>
      <c r="F141" s="145" t="s">
        <v>1613</v>
      </c>
      <c r="G141" s="146" t="s">
        <v>20</v>
      </c>
      <c r="H141" s="146">
        <v>201603</v>
      </c>
      <c r="I141" s="147">
        <v>-1488.14</v>
      </c>
      <c r="J141" s="297">
        <f t="shared" si="11"/>
        <v>42675</v>
      </c>
      <c r="K141" s="67">
        <f t="shared" si="9"/>
        <v>6</v>
      </c>
      <c r="L141" s="148">
        <v>2.23333E-3</v>
      </c>
      <c r="M141" s="104">
        <f t="shared" si="8"/>
        <v>-19.941046237199998</v>
      </c>
      <c r="O141" s="66"/>
      <c r="Q141" s="66">
        <f t="shared" si="10"/>
        <v>-24.619106095833335</v>
      </c>
    </row>
    <row r="142" spans="1:17">
      <c r="A142" s="145" t="s">
        <v>626</v>
      </c>
      <c r="B142" s="146" t="s">
        <v>1978</v>
      </c>
      <c r="C142" s="146" t="s">
        <v>1979</v>
      </c>
      <c r="D142" s="145" t="s">
        <v>1980</v>
      </c>
      <c r="E142" s="146" t="s">
        <v>75</v>
      </c>
      <c r="F142" s="145" t="s">
        <v>1602</v>
      </c>
      <c r="G142" s="146" t="s">
        <v>20</v>
      </c>
      <c r="H142" s="146">
        <v>201603</v>
      </c>
      <c r="I142" s="147">
        <v>21650.39</v>
      </c>
      <c r="J142" s="297">
        <f t="shared" si="11"/>
        <v>42675</v>
      </c>
      <c r="K142" s="67">
        <f t="shared" si="9"/>
        <v>6</v>
      </c>
      <c r="L142" s="148">
        <v>1.4833299999999999E-3</v>
      </c>
      <c r="M142" s="104">
        <f t="shared" si="8"/>
        <v>192.68803799220001</v>
      </c>
      <c r="O142" s="66"/>
      <c r="Q142" s="66">
        <f t="shared" si="10"/>
        <v>358.17412906458333</v>
      </c>
    </row>
    <row r="143" spans="1:17">
      <c r="A143" s="145" t="s">
        <v>626</v>
      </c>
      <c r="B143" s="146" t="s">
        <v>1757</v>
      </c>
      <c r="C143" s="146" t="s">
        <v>1758</v>
      </c>
      <c r="D143" s="145" t="s">
        <v>1759</v>
      </c>
      <c r="E143" s="146" t="s">
        <v>75</v>
      </c>
      <c r="F143" s="145" t="s">
        <v>1602</v>
      </c>
      <c r="G143" s="146" t="s">
        <v>20</v>
      </c>
      <c r="H143" s="146">
        <v>201603</v>
      </c>
      <c r="I143" s="147">
        <v>-12.61</v>
      </c>
      <c r="J143" s="297">
        <f t="shared" si="11"/>
        <v>42675</v>
      </c>
      <c r="K143" s="67">
        <f t="shared" si="9"/>
        <v>6</v>
      </c>
      <c r="L143" s="148">
        <v>1.4833299999999999E-3</v>
      </c>
      <c r="M143" s="104">
        <f t="shared" si="8"/>
        <v>-0.1122287478</v>
      </c>
      <c r="O143" s="66"/>
      <c r="Q143" s="66">
        <f t="shared" si="10"/>
        <v>-0.20861406041666666</v>
      </c>
    </row>
    <row r="144" spans="1:17">
      <c r="A144" s="145" t="s">
        <v>626</v>
      </c>
      <c r="B144" s="146" t="s">
        <v>1981</v>
      </c>
      <c r="C144" s="146" t="s">
        <v>1982</v>
      </c>
      <c r="D144" s="145" t="s">
        <v>1983</v>
      </c>
      <c r="E144" s="146" t="s">
        <v>75</v>
      </c>
      <c r="F144" s="145" t="s">
        <v>1602</v>
      </c>
      <c r="G144" s="146" t="s">
        <v>20</v>
      </c>
      <c r="H144" s="146">
        <v>201603</v>
      </c>
      <c r="I144" s="147">
        <v>70333.570000000007</v>
      </c>
      <c r="J144" s="297">
        <f t="shared" si="11"/>
        <v>42675</v>
      </c>
      <c r="K144" s="67">
        <f t="shared" si="9"/>
        <v>6</v>
      </c>
      <c r="L144" s="148">
        <v>1.4833299999999999E-3</v>
      </c>
      <c r="M144" s="104">
        <f t="shared" si="8"/>
        <v>625.96736632860006</v>
      </c>
      <c r="O144" s="66"/>
      <c r="Q144" s="66">
        <f t="shared" si="10"/>
        <v>1163.566345860417</v>
      </c>
    </row>
    <row r="145" spans="1:17">
      <c r="A145" s="145" t="s">
        <v>626</v>
      </c>
      <c r="B145" s="146" t="s">
        <v>1984</v>
      </c>
      <c r="C145" s="146" t="s">
        <v>1985</v>
      </c>
      <c r="D145" s="145" t="s">
        <v>1986</v>
      </c>
      <c r="E145" s="146" t="s">
        <v>156</v>
      </c>
      <c r="F145" s="145" t="s">
        <v>26</v>
      </c>
      <c r="G145" s="146" t="s">
        <v>20</v>
      </c>
      <c r="H145" s="146">
        <v>201603</v>
      </c>
      <c r="I145" s="147">
        <v>27979.62</v>
      </c>
      <c r="J145" s="297">
        <f t="shared" si="11"/>
        <v>42675</v>
      </c>
      <c r="K145" s="67">
        <f t="shared" si="9"/>
        <v>6</v>
      </c>
      <c r="L145" s="148">
        <v>1.4833299999999999E-3</v>
      </c>
      <c r="M145" s="104">
        <f t="shared" si="8"/>
        <v>249.01805840759999</v>
      </c>
      <c r="O145" s="66"/>
      <c r="Q145" s="66">
        <f t="shared" si="10"/>
        <v>462.88200928750001</v>
      </c>
    </row>
    <row r="146" spans="1:17">
      <c r="A146" s="145" t="s">
        <v>626</v>
      </c>
      <c r="B146" s="146" t="s">
        <v>1850</v>
      </c>
      <c r="C146" s="146" t="s">
        <v>1851</v>
      </c>
      <c r="D146" s="145" t="s">
        <v>1852</v>
      </c>
      <c r="E146" s="146" t="s">
        <v>260</v>
      </c>
      <c r="F146" s="145" t="s">
        <v>1608</v>
      </c>
      <c r="G146" s="146" t="s">
        <v>20</v>
      </c>
      <c r="H146" s="146">
        <v>201603</v>
      </c>
      <c r="I146" s="147">
        <v>-1392.06</v>
      </c>
      <c r="J146" s="297">
        <f t="shared" si="11"/>
        <v>42675</v>
      </c>
      <c r="K146" s="67">
        <f t="shared" si="9"/>
        <v>6</v>
      </c>
      <c r="L146" s="148">
        <v>1.4833299999999999E-3</v>
      </c>
      <c r="M146" s="104">
        <f t="shared" si="8"/>
        <v>-12.3893061588</v>
      </c>
      <c r="O146" s="66"/>
      <c r="Q146" s="66">
        <f t="shared" si="10"/>
        <v>-23.0296026125</v>
      </c>
    </row>
    <row r="147" spans="1:17">
      <c r="A147" s="145" t="s">
        <v>626</v>
      </c>
      <c r="B147" s="146" t="s">
        <v>1814</v>
      </c>
      <c r="C147" s="146" t="s">
        <v>1815</v>
      </c>
      <c r="D147" s="145" t="s">
        <v>1816</v>
      </c>
      <c r="E147" s="146" t="s">
        <v>25</v>
      </c>
      <c r="F147" s="145" t="s">
        <v>26</v>
      </c>
      <c r="G147" s="146" t="s">
        <v>20</v>
      </c>
      <c r="H147" s="146">
        <v>201603</v>
      </c>
      <c r="I147" s="147">
        <v>-1677.88</v>
      </c>
      <c r="J147" s="297">
        <f t="shared" si="11"/>
        <v>42675</v>
      </c>
      <c r="K147" s="67">
        <f t="shared" si="9"/>
        <v>6</v>
      </c>
      <c r="L147" s="148">
        <v>1.4833299999999999E-3</v>
      </c>
      <c r="M147" s="104">
        <f t="shared" si="8"/>
        <v>-14.9330984424</v>
      </c>
      <c r="O147" s="66"/>
      <c r="Q147" s="66">
        <f t="shared" si="10"/>
        <v>-27.758077691666667</v>
      </c>
    </row>
    <row r="148" spans="1:17">
      <c r="A148" s="145" t="s">
        <v>626</v>
      </c>
      <c r="B148" s="146" t="s">
        <v>1760</v>
      </c>
      <c r="C148" s="146" t="s">
        <v>1761</v>
      </c>
      <c r="D148" s="145" t="s">
        <v>1388</v>
      </c>
      <c r="E148" s="146" t="s">
        <v>164</v>
      </c>
      <c r="F148" s="145" t="s">
        <v>1600</v>
      </c>
      <c r="G148" s="146" t="s">
        <v>20</v>
      </c>
      <c r="H148" s="146">
        <v>201603</v>
      </c>
      <c r="I148" s="147">
        <v>-39.44</v>
      </c>
      <c r="J148" s="297">
        <f t="shared" si="11"/>
        <v>42675</v>
      </c>
      <c r="K148" s="67">
        <f t="shared" si="9"/>
        <v>6</v>
      </c>
      <c r="L148" s="148">
        <v>1.4833299999999999E-3</v>
      </c>
      <c r="M148" s="104">
        <f t="shared" si="8"/>
        <v>-0.35101521119999995</v>
      </c>
      <c r="O148" s="66"/>
      <c r="Q148" s="66">
        <f t="shared" si="10"/>
        <v>-0.65247728333333332</v>
      </c>
    </row>
    <row r="149" spans="1:17">
      <c r="A149" s="145" t="s">
        <v>21</v>
      </c>
      <c r="B149" s="146" t="s">
        <v>1760</v>
      </c>
      <c r="C149" s="146" t="s">
        <v>1761</v>
      </c>
      <c r="D149" s="145" t="s">
        <v>1388</v>
      </c>
      <c r="E149" s="146" t="s">
        <v>164</v>
      </c>
      <c r="F149" s="145" t="s">
        <v>1600</v>
      </c>
      <c r="G149" s="146" t="s">
        <v>20</v>
      </c>
      <c r="H149" s="146">
        <v>201603</v>
      </c>
      <c r="I149" s="147">
        <v>-0.9</v>
      </c>
      <c r="J149" s="297">
        <f t="shared" si="11"/>
        <v>42675</v>
      </c>
      <c r="K149" s="67">
        <f t="shared" si="9"/>
        <v>6</v>
      </c>
      <c r="L149" s="148">
        <v>1.4833299999999999E-3</v>
      </c>
      <c r="M149" s="104">
        <f t="shared" si="8"/>
        <v>-8.0099820000000006E-3</v>
      </c>
      <c r="O149" s="66"/>
      <c r="Q149" s="66">
        <f t="shared" si="10"/>
        <v>-1.48891875E-2</v>
      </c>
    </row>
    <row r="150" spans="1:17">
      <c r="A150" s="145" t="s">
        <v>626</v>
      </c>
      <c r="B150" s="146" t="s">
        <v>1762</v>
      </c>
      <c r="C150" s="146" t="s">
        <v>1763</v>
      </c>
      <c r="D150" s="145" t="s">
        <v>1344</v>
      </c>
      <c r="E150" s="146" t="s">
        <v>164</v>
      </c>
      <c r="F150" s="145" t="s">
        <v>1600</v>
      </c>
      <c r="G150" s="146" t="s">
        <v>20</v>
      </c>
      <c r="H150" s="146">
        <v>201603</v>
      </c>
      <c r="I150" s="147">
        <v>-6.01</v>
      </c>
      <c r="J150" s="297">
        <f t="shared" si="11"/>
        <v>42675</v>
      </c>
      <c r="K150" s="67">
        <f t="shared" si="9"/>
        <v>6</v>
      </c>
      <c r="L150" s="148">
        <v>1.4833299999999999E-3</v>
      </c>
      <c r="M150" s="104">
        <f t="shared" si="8"/>
        <v>-5.34888798E-2</v>
      </c>
      <c r="O150" s="66"/>
      <c r="Q150" s="66">
        <f t="shared" si="10"/>
        <v>-9.9426685416666674E-2</v>
      </c>
    </row>
    <row r="151" spans="1:17">
      <c r="A151" s="145" t="s">
        <v>626</v>
      </c>
      <c r="B151" s="146" t="s">
        <v>1987</v>
      </c>
      <c r="C151" s="146" t="s">
        <v>1988</v>
      </c>
      <c r="D151" s="145" t="s">
        <v>1338</v>
      </c>
      <c r="E151" s="146" t="s">
        <v>75</v>
      </c>
      <c r="F151" s="145" t="s">
        <v>1602</v>
      </c>
      <c r="G151" s="146" t="s">
        <v>20</v>
      </c>
      <c r="H151" s="146">
        <v>201603</v>
      </c>
      <c r="I151" s="147">
        <v>14336.54</v>
      </c>
      <c r="J151" s="297">
        <f t="shared" si="11"/>
        <v>42675</v>
      </c>
      <c r="K151" s="67">
        <f t="shared" si="9"/>
        <v>6</v>
      </c>
      <c r="L151" s="148">
        <v>1.4833299999999999E-3</v>
      </c>
      <c r="M151" s="104">
        <f t="shared" si="8"/>
        <v>127.59491926920001</v>
      </c>
      <c r="O151" s="66"/>
      <c r="Q151" s="66">
        <f t="shared" si="10"/>
        <v>237.17714684583336</v>
      </c>
    </row>
    <row r="152" spans="1:17">
      <c r="A152" s="342" t="s">
        <v>133</v>
      </c>
      <c r="B152" s="343" t="s">
        <v>1817</v>
      </c>
      <c r="C152" s="343" t="s">
        <v>1818</v>
      </c>
      <c r="D152" s="342" t="s">
        <v>1819</v>
      </c>
      <c r="E152" s="343" t="s">
        <v>75</v>
      </c>
      <c r="F152" s="342" t="s">
        <v>1602</v>
      </c>
      <c r="G152" s="343" t="s">
        <v>20</v>
      </c>
      <c r="H152" s="343">
        <v>201603</v>
      </c>
      <c r="I152" s="344">
        <v>0</v>
      </c>
      <c r="J152" s="347">
        <f t="shared" si="11"/>
        <v>42675</v>
      </c>
      <c r="K152" s="348">
        <f t="shared" si="9"/>
        <v>6</v>
      </c>
      <c r="L152" s="345">
        <v>1.4833299999999999E-3</v>
      </c>
      <c r="M152" s="349">
        <f t="shared" si="8"/>
        <v>0</v>
      </c>
      <c r="N152" s="350"/>
      <c r="O152" s="351"/>
      <c r="P152" s="350"/>
      <c r="Q152" s="66">
        <f t="shared" si="10"/>
        <v>0</v>
      </c>
    </row>
    <row r="153" spans="1:17">
      <c r="A153" s="145" t="s">
        <v>626</v>
      </c>
      <c r="B153" s="146" t="s">
        <v>1989</v>
      </c>
      <c r="C153" s="146" t="s">
        <v>1990</v>
      </c>
      <c r="D153" s="145" t="s">
        <v>1495</v>
      </c>
      <c r="E153" s="146" t="s">
        <v>75</v>
      </c>
      <c r="F153" s="145" t="s">
        <v>1602</v>
      </c>
      <c r="G153" s="146" t="s">
        <v>20</v>
      </c>
      <c r="H153" s="146">
        <v>201603</v>
      </c>
      <c r="I153" s="147">
        <v>-10336.94</v>
      </c>
      <c r="J153" s="297">
        <f t="shared" si="11"/>
        <v>42675</v>
      </c>
      <c r="K153" s="67">
        <f t="shared" si="9"/>
        <v>6</v>
      </c>
      <c r="L153" s="148">
        <v>1.4833299999999999E-3</v>
      </c>
      <c r="M153" s="104">
        <f t="shared" si="8"/>
        <v>-91.9985592612</v>
      </c>
      <c r="O153" s="66"/>
      <c r="Q153" s="66">
        <f t="shared" si="10"/>
        <v>-171.00959759583333</v>
      </c>
    </row>
    <row r="154" spans="1:17">
      <c r="A154" s="145" t="s">
        <v>626</v>
      </c>
      <c r="B154" s="146" t="s">
        <v>1764</v>
      </c>
      <c r="C154" s="146" t="s">
        <v>1765</v>
      </c>
      <c r="D154" s="145" t="s">
        <v>1766</v>
      </c>
      <c r="E154" s="146" t="s">
        <v>156</v>
      </c>
      <c r="F154" s="145" t="s">
        <v>26</v>
      </c>
      <c r="G154" s="146" t="s">
        <v>20</v>
      </c>
      <c r="H154" s="146">
        <v>201603</v>
      </c>
      <c r="I154" s="147">
        <v>-1374.12</v>
      </c>
      <c r="J154" s="297">
        <f t="shared" si="11"/>
        <v>42675</v>
      </c>
      <c r="K154" s="67">
        <f t="shared" si="9"/>
        <v>6</v>
      </c>
      <c r="L154" s="148">
        <v>1.4833299999999999E-3</v>
      </c>
      <c r="M154" s="104">
        <f t="shared" si="8"/>
        <v>-12.229640517599998</v>
      </c>
      <c r="O154" s="66"/>
      <c r="Q154" s="66">
        <f t="shared" si="10"/>
        <v>-22.732811474999998</v>
      </c>
    </row>
    <row r="155" spans="1:17">
      <c r="A155" s="145" t="s">
        <v>626</v>
      </c>
      <c r="B155" s="146" t="s">
        <v>1945</v>
      </c>
      <c r="C155" s="146" t="s">
        <v>1946</v>
      </c>
      <c r="D155" s="145" t="s">
        <v>1947</v>
      </c>
      <c r="E155" s="146" t="s">
        <v>93</v>
      </c>
      <c r="F155" s="145" t="s">
        <v>1601</v>
      </c>
      <c r="G155" s="146" t="s">
        <v>20</v>
      </c>
      <c r="H155" s="146">
        <v>201603</v>
      </c>
      <c r="I155" s="147">
        <v>-244.6</v>
      </c>
      <c r="J155" s="297">
        <f t="shared" si="11"/>
        <v>42675</v>
      </c>
      <c r="K155" s="67">
        <f t="shared" si="9"/>
        <v>6</v>
      </c>
      <c r="L155" s="148">
        <v>1.4833299999999999E-3</v>
      </c>
      <c r="M155" s="104">
        <f t="shared" si="8"/>
        <v>-2.1769351079999999</v>
      </c>
      <c r="O155" s="66"/>
      <c r="Q155" s="66">
        <f t="shared" si="10"/>
        <v>-4.0465502916666667</v>
      </c>
    </row>
    <row r="156" spans="1:17">
      <c r="A156" s="145" t="s">
        <v>626</v>
      </c>
      <c r="B156" s="146" t="s">
        <v>1991</v>
      </c>
      <c r="C156" s="146" t="s">
        <v>1992</v>
      </c>
      <c r="D156" s="145" t="s">
        <v>1993</v>
      </c>
      <c r="E156" s="146" t="s">
        <v>497</v>
      </c>
      <c r="F156" s="145" t="s">
        <v>26</v>
      </c>
      <c r="G156" s="146" t="s">
        <v>20</v>
      </c>
      <c r="H156" s="146">
        <v>201603</v>
      </c>
      <c r="I156" s="147">
        <v>-311.73</v>
      </c>
      <c r="J156" s="297">
        <f t="shared" si="11"/>
        <v>42675</v>
      </c>
      <c r="K156" s="67">
        <f t="shared" si="9"/>
        <v>6</v>
      </c>
      <c r="L156" s="148">
        <v>1.4833299999999999E-3</v>
      </c>
      <c r="M156" s="104">
        <f t="shared" si="8"/>
        <v>-2.7743907654000002</v>
      </c>
      <c r="O156" s="66"/>
      <c r="Q156" s="66">
        <f t="shared" si="10"/>
        <v>-5.1571182437500003</v>
      </c>
    </row>
    <row r="157" spans="1:17">
      <c r="A157" s="145" t="s">
        <v>127</v>
      </c>
      <c r="B157" s="146" t="s">
        <v>1994</v>
      </c>
      <c r="C157" s="146" t="s">
        <v>1995</v>
      </c>
      <c r="D157" s="145" t="s">
        <v>1996</v>
      </c>
      <c r="E157" s="146" t="s">
        <v>87</v>
      </c>
      <c r="F157" s="145" t="s">
        <v>1603</v>
      </c>
      <c r="G157" s="146" t="s">
        <v>20</v>
      </c>
      <c r="H157" s="146">
        <v>201603</v>
      </c>
      <c r="I157" s="147">
        <v>-70.099999999999994</v>
      </c>
      <c r="J157" s="297">
        <f t="shared" si="11"/>
        <v>42675</v>
      </c>
      <c r="K157" s="67">
        <f t="shared" si="9"/>
        <v>6</v>
      </c>
      <c r="L157" s="148">
        <v>2.3833299999999999E-3</v>
      </c>
      <c r="M157" s="104">
        <f t="shared" si="8"/>
        <v>-1.0024285979999998</v>
      </c>
      <c r="O157" s="66"/>
      <c r="Q157" s="66">
        <f t="shared" si="10"/>
        <v>-1.1597022708333333</v>
      </c>
    </row>
    <row r="158" spans="1:17">
      <c r="A158" s="145" t="s">
        <v>626</v>
      </c>
      <c r="B158" s="146" t="s">
        <v>1681</v>
      </c>
      <c r="C158" s="146" t="s">
        <v>1997</v>
      </c>
      <c r="D158" s="145" t="s">
        <v>1998</v>
      </c>
      <c r="E158" s="146" t="s">
        <v>164</v>
      </c>
      <c r="F158" s="145" t="s">
        <v>1600</v>
      </c>
      <c r="G158" s="146" t="s">
        <v>20</v>
      </c>
      <c r="H158" s="146">
        <v>201603</v>
      </c>
      <c r="I158" s="147">
        <v>-1072.26</v>
      </c>
      <c r="J158" s="297">
        <f t="shared" si="11"/>
        <v>42675</v>
      </c>
      <c r="K158" s="67">
        <f t="shared" si="9"/>
        <v>6</v>
      </c>
      <c r="L158" s="148">
        <v>1.4833299999999999E-3</v>
      </c>
      <c r="M158" s="104">
        <f t="shared" si="8"/>
        <v>-9.5430925547999994</v>
      </c>
      <c r="O158" s="66"/>
      <c r="Q158" s="66">
        <f t="shared" si="10"/>
        <v>-17.7389779875</v>
      </c>
    </row>
    <row r="159" spans="1:17">
      <c r="A159" s="145" t="s">
        <v>1942</v>
      </c>
      <c r="B159" s="146" t="s">
        <v>1681</v>
      </c>
      <c r="C159" s="146" t="s">
        <v>1997</v>
      </c>
      <c r="D159" s="145" t="s">
        <v>1998</v>
      </c>
      <c r="E159" s="146" t="s">
        <v>164</v>
      </c>
      <c r="F159" s="145" t="s">
        <v>1600</v>
      </c>
      <c r="G159" s="146" t="s">
        <v>20</v>
      </c>
      <c r="H159" s="146">
        <v>201603</v>
      </c>
      <c r="I159" s="147">
        <v>-2.46</v>
      </c>
      <c r="J159" s="297">
        <f t="shared" si="11"/>
        <v>42675</v>
      </c>
      <c r="K159" s="67">
        <f t="shared" si="9"/>
        <v>6</v>
      </c>
      <c r="L159" s="148">
        <v>2.23333E-3</v>
      </c>
      <c r="M159" s="104">
        <f t="shared" si="8"/>
        <v>-3.2963950799999996E-2</v>
      </c>
      <c r="O159" s="66"/>
      <c r="Q159" s="66">
        <f t="shared" si="10"/>
        <v>-4.06971125E-2</v>
      </c>
    </row>
    <row r="160" spans="1:17">
      <c r="A160" s="145" t="s">
        <v>626</v>
      </c>
      <c r="B160" s="146" t="s">
        <v>1681</v>
      </c>
      <c r="C160" s="146" t="s">
        <v>1999</v>
      </c>
      <c r="D160" s="145" t="s">
        <v>2000</v>
      </c>
      <c r="E160" s="146" t="s">
        <v>75</v>
      </c>
      <c r="F160" s="145" t="s">
        <v>1602</v>
      </c>
      <c r="G160" s="146" t="s">
        <v>20</v>
      </c>
      <c r="H160" s="146">
        <v>201603</v>
      </c>
      <c r="I160" s="147">
        <v>-1308.51</v>
      </c>
      <c r="J160" s="297">
        <f t="shared" si="11"/>
        <v>42675</v>
      </c>
      <c r="K160" s="67">
        <f t="shared" si="9"/>
        <v>6</v>
      </c>
      <c r="L160" s="148">
        <v>1.4833299999999999E-3</v>
      </c>
      <c r="M160" s="104">
        <f t="shared" si="8"/>
        <v>-11.645712829800001</v>
      </c>
      <c r="O160" s="66"/>
      <c r="Q160" s="66">
        <f t="shared" si="10"/>
        <v>-21.647389706249999</v>
      </c>
    </row>
    <row r="161" spans="1:17">
      <c r="A161" s="145" t="s">
        <v>14</v>
      </c>
      <c r="B161" s="146" t="s">
        <v>1681</v>
      </c>
      <c r="C161" s="146" t="s">
        <v>1999</v>
      </c>
      <c r="D161" s="145" t="s">
        <v>2000</v>
      </c>
      <c r="E161" s="146" t="s">
        <v>75</v>
      </c>
      <c r="F161" s="145" t="s">
        <v>1602</v>
      </c>
      <c r="G161" s="146" t="s">
        <v>20</v>
      </c>
      <c r="H161" s="146">
        <v>201603</v>
      </c>
      <c r="I161" s="147">
        <v>-167.35</v>
      </c>
      <c r="J161" s="297">
        <f t="shared" si="11"/>
        <v>42675</v>
      </c>
      <c r="K161" s="67">
        <f t="shared" si="9"/>
        <v>6</v>
      </c>
      <c r="L161" s="148">
        <v>2.23333E-3</v>
      </c>
      <c r="M161" s="104">
        <f t="shared" si="8"/>
        <v>-2.2424866529999998</v>
      </c>
      <c r="O161" s="66"/>
      <c r="Q161" s="66">
        <f t="shared" si="10"/>
        <v>-2.7685616979166663</v>
      </c>
    </row>
    <row r="162" spans="1:17">
      <c r="A162" s="145" t="s">
        <v>1942</v>
      </c>
      <c r="B162" s="146" t="s">
        <v>1681</v>
      </c>
      <c r="C162" s="146" t="s">
        <v>1999</v>
      </c>
      <c r="D162" s="145" t="s">
        <v>2000</v>
      </c>
      <c r="E162" s="146" t="s">
        <v>75</v>
      </c>
      <c r="F162" s="145" t="s">
        <v>1602</v>
      </c>
      <c r="G162" s="146" t="s">
        <v>20</v>
      </c>
      <c r="H162" s="146">
        <v>201603</v>
      </c>
      <c r="I162" s="147">
        <v>-5.48</v>
      </c>
      <c r="J162" s="297">
        <f t="shared" si="11"/>
        <v>42675</v>
      </c>
      <c r="K162" s="67">
        <f t="shared" si="9"/>
        <v>6</v>
      </c>
      <c r="L162" s="148">
        <v>2.23333E-3</v>
      </c>
      <c r="M162" s="104">
        <f t="shared" si="8"/>
        <v>-7.3431890400000005E-2</v>
      </c>
      <c r="O162" s="66"/>
      <c r="Q162" s="66">
        <f t="shared" si="10"/>
        <v>-9.0658608333333335E-2</v>
      </c>
    </row>
    <row r="163" spans="1:17">
      <c r="A163" s="145" t="s">
        <v>626</v>
      </c>
      <c r="B163" s="146" t="s">
        <v>1681</v>
      </c>
      <c r="C163" s="146" t="s">
        <v>2001</v>
      </c>
      <c r="D163" s="145" t="s">
        <v>2002</v>
      </c>
      <c r="E163" s="146" t="s">
        <v>164</v>
      </c>
      <c r="F163" s="145" t="s">
        <v>1600</v>
      </c>
      <c r="G163" s="146" t="s">
        <v>20</v>
      </c>
      <c r="H163" s="146">
        <v>201603</v>
      </c>
      <c r="I163" s="147">
        <v>-113.5</v>
      </c>
      <c r="J163" s="297">
        <f t="shared" si="11"/>
        <v>42675</v>
      </c>
      <c r="K163" s="67">
        <f t="shared" si="9"/>
        <v>6</v>
      </c>
      <c r="L163" s="148">
        <v>1.4833299999999999E-3</v>
      </c>
      <c r="M163" s="104">
        <f t="shared" si="8"/>
        <v>-1.0101477299999999</v>
      </c>
      <c r="O163" s="66"/>
      <c r="Q163" s="66">
        <f t="shared" si="10"/>
        <v>-1.8776919791666669</v>
      </c>
    </row>
    <row r="164" spans="1:17">
      <c r="A164" s="145" t="s">
        <v>14</v>
      </c>
      <c r="B164" s="146" t="s">
        <v>1681</v>
      </c>
      <c r="C164" s="146" t="s">
        <v>2001</v>
      </c>
      <c r="D164" s="145" t="s">
        <v>2002</v>
      </c>
      <c r="E164" s="146" t="s">
        <v>164</v>
      </c>
      <c r="F164" s="145" t="s">
        <v>1600</v>
      </c>
      <c r="G164" s="146" t="s">
        <v>20</v>
      </c>
      <c r="H164" s="146">
        <v>201603</v>
      </c>
      <c r="I164" s="147">
        <v>-0.16</v>
      </c>
      <c r="J164" s="297">
        <f t="shared" si="11"/>
        <v>42675</v>
      </c>
      <c r="K164" s="67">
        <f t="shared" si="9"/>
        <v>6</v>
      </c>
      <c r="L164" s="148">
        <v>2.23333E-3</v>
      </c>
      <c r="M164" s="104">
        <f t="shared" si="8"/>
        <v>-2.1439967999999998E-3</v>
      </c>
      <c r="O164" s="66"/>
      <c r="Q164" s="66">
        <f t="shared" si="10"/>
        <v>-2.6469666666666669E-3</v>
      </c>
    </row>
    <row r="165" spans="1:17">
      <c r="A165" s="145" t="s">
        <v>14</v>
      </c>
      <c r="B165" s="146" t="s">
        <v>1681</v>
      </c>
      <c r="C165" s="146" t="s">
        <v>2003</v>
      </c>
      <c r="D165" s="145" t="s">
        <v>2004</v>
      </c>
      <c r="E165" s="146" t="s">
        <v>164</v>
      </c>
      <c r="F165" s="145" t="s">
        <v>1600</v>
      </c>
      <c r="G165" s="146" t="s">
        <v>20</v>
      </c>
      <c r="H165" s="146">
        <v>201603</v>
      </c>
      <c r="I165" s="147">
        <v>117.54</v>
      </c>
      <c r="J165" s="297">
        <f t="shared" si="11"/>
        <v>42675</v>
      </c>
      <c r="K165" s="67">
        <f t="shared" si="9"/>
        <v>6</v>
      </c>
      <c r="L165" s="148">
        <v>2.23333E-3</v>
      </c>
      <c r="M165" s="104">
        <f t="shared" si="8"/>
        <v>1.5750336491999999</v>
      </c>
      <c r="O165" s="66"/>
      <c r="Q165" s="66">
        <f t="shared" si="10"/>
        <v>1.9445278875000001</v>
      </c>
    </row>
    <row r="166" spans="1:17">
      <c r="A166" s="145" t="s">
        <v>21</v>
      </c>
      <c r="B166" s="146" t="s">
        <v>1681</v>
      </c>
      <c r="C166" s="146" t="s">
        <v>2003</v>
      </c>
      <c r="D166" s="145" t="s">
        <v>2004</v>
      </c>
      <c r="E166" s="146" t="s">
        <v>164</v>
      </c>
      <c r="F166" s="145" t="s">
        <v>1600</v>
      </c>
      <c r="G166" s="146" t="s">
        <v>20</v>
      </c>
      <c r="H166" s="146">
        <v>201603</v>
      </c>
      <c r="I166" s="147">
        <v>118.57</v>
      </c>
      <c r="J166" s="297">
        <f t="shared" si="11"/>
        <v>42675</v>
      </c>
      <c r="K166" s="67">
        <f t="shared" si="9"/>
        <v>6</v>
      </c>
      <c r="L166" s="148">
        <v>1.4833299999999999E-3</v>
      </c>
      <c r="M166" s="104">
        <f t="shared" si="8"/>
        <v>1.0552706286</v>
      </c>
      <c r="O166" s="66"/>
      <c r="Q166" s="66">
        <f t="shared" si="10"/>
        <v>1.9615677354166667</v>
      </c>
    </row>
    <row r="167" spans="1:17">
      <c r="A167" s="145" t="s">
        <v>626</v>
      </c>
      <c r="B167" s="146" t="s">
        <v>1681</v>
      </c>
      <c r="C167" s="146" t="s">
        <v>2003</v>
      </c>
      <c r="D167" s="145" t="s">
        <v>2004</v>
      </c>
      <c r="E167" s="146" t="s">
        <v>164</v>
      </c>
      <c r="F167" s="145" t="s">
        <v>1600</v>
      </c>
      <c r="G167" s="146" t="s">
        <v>20</v>
      </c>
      <c r="H167" s="146">
        <v>201603</v>
      </c>
      <c r="I167" s="147">
        <v>2441.14</v>
      </c>
      <c r="J167" s="297">
        <f t="shared" si="11"/>
        <v>42675</v>
      </c>
      <c r="K167" s="67">
        <f t="shared" si="9"/>
        <v>6</v>
      </c>
      <c r="L167" s="148">
        <v>1.4833299999999999E-3</v>
      </c>
      <c r="M167" s="104">
        <f t="shared" si="8"/>
        <v>21.7260971772</v>
      </c>
      <c r="O167" s="66"/>
      <c r="Q167" s="66">
        <f t="shared" si="10"/>
        <v>40.385101304166668</v>
      </c>
    </row>
    <row r="168" spans="1:17">
      <c r="A168" s="145" t="s">
        <v>626</v>
      </c>
      <c r="B168" s="146" t="s">
        <v>1681</v>
      </c>
      <c r="C168" s="146" t="s">
        <v>2005</v>
      </c>
      <c r="D168" s="145" t="s">
        <v>2006</v>
      </c>
      <c r="E168" s="146" t="s">
        <v>87</v>
      </c>
      <c r="F168" s="145" t="s">
        <v>1603</v>
      </c>
      <c r="G168" s="146" t="s">
        <v>20</v>
      </c>
      <c r="H168" s="146">
        <v>201603</v>
      </c>
      <c r="I168" s="147">
        <v>-199.96</v>
      </c>
      <c r="J168" s="297">
        <f t="shared" si="11"/>
        <v>42675</v>
      </c>
      <c r="K168" s="67">
        <f t="shared" si="9"/>
        <v>6</v>
      </c>
      <c r="L168" s="148">
        <v>1.4833299999999999E-3</v>
      </c>
      <c r="M168" s="104">
        <f t="shared" si="8"/>
        <v>-1.7796400008000002</v>
      </c>
      <c r="O168" s="66"/>
      <c r="Q168" s="66">
        <f t="shared" si="10"/>
        <v>-3.3080465916666668</v>
      </c>
    </row>
    <row r="169" spans="1:17">
      <c r="A169" s="145" t="s">
        <v>14</v>
      </c>
      <c r="B169" s="146" t="s">
        <v>1681</v>
      </c>
      <c r="C169" s="146" t="s">
        <v>2005</v>
      </c>
      <c r="D169" s="145" t="s">
        <v>2006</v>
      </c>
      <c r="E169" s="146" t="s">
        <v>87</v>
      </c>
      <c r="F169" s="145" t="s">
        <v>1603</v>
      </c>
      <c r="G169" s="146" t="s">
        <v>20</v>
      </c>
      <c r="H169" s="146">
        <v>201603</v>
      </c>
      <c r="I169" s="147">
        <v>-0.66</v>
      </c>
      <c r="J169" s="297">
        <f t="shared" si="11"/>
        <v>42675</v>
      </c>
      <c r="K169" s="67">
        <f t="shared" si="9"/>
        <v>6</v>
      </c>
      <c r="L169" s="148">
        <v>2.23333E-3</v>
      </c>
      <c r="M169" s="104">
        <f t="shared" si="8"/>
        <v>-8.8439868000000001E-3</v>
      </c>
      <c r="O169" s="66"/>
      <c r="Q169" s="66">
        <f t="shared" si="10"/>
        <v>-1.0918737500000001E-2</v>
      </c>
    </row>
    <row r="170" spans="1:17">
      <c r="A170" s="145" t="s">
        <v>626</v>
      </c>
      <c r="B170" s="146" t="s">
        <v>1681</v>
      </c>
      <c r="C170" s="146" t="s">
        <v>1853</v>
      </c>
      <c r="D170" s="145" t="s">
        <v>1854</v>
      </c>
      <c r="E170" s="146" t="s">
        <v>260</v>
      </c>
      <c r="F170" s="145" t="s">
        <v>1608</v>
      </c>
      <c r="G170" s="146" t="s">
        <v>20</v>
      </c>
      <c r="H170" s="146">
        <v>201603</v>
      </c>
      <c r="I170" s="147">
        <v>-506.32</v>
      </c>
      <c r="J170" s="297">
        <f t="shared" si="11"/>
        <v>42675</v>
      </c>
      <c r="K170" s="67">
        <f t="shared" si="9"/>
        <v>6</v>
      </c>
      <c r="L170" s="148">
        <v>1.4833299999999999E-3</v>
      </c>
      <c r="M170" s="104">
        <f t="shared" si="8"/>
        <v>-4.5062378735999999</v>
      </c>
      <c r="O170" s="66"/>
      <c r="Q170" s="66">
        <f t="shared" si="10"/>
        <v>-8.3763260166666669</v>
      </c>
    </row>
    <row r="171" spans="1:17">
      <c r="A171" s="145" t="s">
        <v>626</v>
      </c>
      <c r="B171" s="146" t="s">
        <v>1681</v>
      </c>
      <c r="C171" s="146" t="s">
        <v>2007</v>
      </c>
      <c r="D171" s="145" t="s">
        <v>2008</v>
      </c>
      <c r="E171" s="146" t="s">
        <v>260</v>
      </c>
      <c r="F171" s="145" t="s">
        <v>1608</v>
      </c>
      <c r="G171" s="146" t="s">
        <v>20</v>
      </c>
      <c r="H171" s="146">
        <v>201603</v>
      </c>
      <c r="I171" s="147">
        <v>-922.23</v>
      </c>
      <c r="J171" s="297">
        <f t="shared" si="11"/>
        <v>42675</v>
      </c>
      <c r="K171" s="67">
        <f t="shared" si="9"/>
        <v>6</v>
      </c>
      <c r="L171" s="148">
        <v>1.4833299999999999E-3</v>
      </c>
      <c r="M171" s="104">
        <f t="shared" si="8"/>
        <v>-8.2078285554000008</v>
      </c>
      <c r="O171" s="66"/>
      <c r="Q171" s="66">
        <f t="shared" si="10"/>
        <v>-15.256950431249999</v>
      </c>
    </row>
    <row r="172" spans="1:17">
      <c r="A172" s="145" t="s">
        <v>14</v>
      </c>
      <c r="B172" s="146" t="s">
        <v>1681</v>
      </c>
      <c r="C172" s="146" t="s">
        <v>2009</v>
      </c>
      <c r="D172" s="145" t="s">
        <v>2010</v>
      </c>
      <c r="E172" s="146" t="s">
        <v>260</v>
      </c>
      <c r="F172" s="145" t="s">
        <v>1608</v>
      </c>
      <c r="G172" s="146" t="s">
        <v>20</v>
      </c>
      <c r="H172" s="146">
        <v>201603</v>
      </c>
      <c r="I172" s="147">
        <v>695.81</v>
      </c>
      <c r="J172" s="297">
        <f t="shared" si="11"/>
        <v>42675</v>
      </c>
      <c r="K172" s="67">
        <f t="shared" si="9"/>
        <v>6</v>
      </c>
      <c r="L172" s="148">
        <v>2.23333E-3</v>
      </c>
      <c r="M172" s="104">
        <f t="shared" si="8"/>
        <v>9.3238400837999986</v>
      </c>
      <c r="O172" s="66"/>
      <c r="Q172" s="66">
        <f t="shared" si="10"/>
        <v>11.511161727083334</v>
      </c>
    </row>
    <row r="173" spans="1:17">
      <c r="A173" s="145" t="s">
        <v>626</v>
      </c>
      <c r="B173" s="146" t="s">
        <v>1681</v>
      </c>
      <c r="C173" s="146" t="s">
        <v>2009</v>
      </c>
      <c r="D173" s="145" t="s">
        <v>2010</v>
      </c>
      <c r="E173" s="146" t="s">
        <v>260</v>
      </c>
      <c r="F173" s="145" t="s">
        <v>1608</v>
      </c>
      <c r="G173" s="146" t="s">
        <v>20</v>
      </c>
      <c r="H173" s="146">
        <v>201603</v>
      </c>
      <c r="I173" s="147">
        <v>36887.22</v>
      </c>
      <c r="J173" s="297">
        <f t="shared" si="11"/>
        <v>42675</v>
      </c>
      <c r="K173" s="67">
        <f t="shared" si="9"/>
        <v>6</v>
      </c>
      <c r="L173" s="148">
        <v>1.4833299999999999E-3</v>
      </c>
      <c r="M173" s="104">
        <f t="shared" si="8"/>
        <v>328.29552025560002</v>
      </c>
      <c r="O173" s="66"/>
      <c r="Q173" s="66">
        <f t="shared" si="10"/>
        <v>610.24526103749997</v>
      </c>
    </row>
    <row r="174" spans="1:17">
      <c r="A174" s="145" t="s">
        <v>14</v>
      </c>
      <c r="B174" s="146" t="s">
        <v>1681</v>
      </c>
      <c r="C174" s="146" t="s">
        <v>2011</v>
      </c>
      <c r="D174" s="145" t="s">
        <v>2012</v>
      </c>
      <c r="E174" s="146" t="s">
        <v>260</v>
      </c>
      <c r="F174" s="145" t="s">
        <v>1608</v>
      </c>
      <c r="G174" s="146" t="s">
        <v>20</v>
      </c>
      <c r="H174" s="146">
        <v>201603</v>
      </c>
      <c r="I174" s="147">
        <v>1500.43</v>
      </c>
      <c r="J174" s="297">
        <f t="shared" si="11"/>
        <v>42675</v>
      </c>
      <c r="K174" s="67">
        <f t="shared" si="9"/>
        <v>6</v>
      </c>
      <c r="L174" s="148">
        <v>2.23333E-3</v>
      </c>
      <c r="M174" s="104">
        <f t="shared" si="8"/>
        <v>20.105731991399999</v>
      </c>
      <c r="O174" s="66"/>
      <c r="Q174" s="66">
        <f t="shared" si="10"/>
        <v>24.822426222916668</v>
      </c>
    </row>
    <row r="175" spans="1:17">
      <c r="A175" s="145" t="s">
        <v>626</v>
      </c>
      <c r="B175" s="146" t="s">
        <v>1681</v>
      </c>
      <c r="C175" s="146" t="s">
        <v>2011</v>
      </c>
      <c r="D175" s="145" t="s">
        <v>2012</v>
      </c>
      <c r="E175" s="146" t="s">
        <v>260</v>
      </c>
      <c r="F175" s="145" t="s">
        <v>1608</v>
      </c>
      <c r="G175" s="146" t="s">
        <v>20</v>
      </c>
      <c r="H175" s="146">
        <v>201603</v>
      </c>
      <c r="I175" s="147">
        <v>67096.899999999994</v>
      </c>
      <c r="J175" s="297">
        <f t="shared" si="11"/>
        <v>42675</v>
      </c>
      <c r="K175" s="67">
        <f t="shared" si="9"/>
        <v>6</v>
      </c>
      <c r="L175" s="148">
        <v>1.4833299999999999E-3</v>
      </c>
      <c r="M175" s="104">
        <f t="shared" si="8"/>
        <v>597.16106806199991</v>
      </c>
      <c r="O175" s="66"/>
      <c r="Q175" s="66">
        <f t="shared" si="10"/>
        <v>1110.0203608541667</v>
      </c>
    </row>
    <row r="176" spans="1:17">
      <c r="A176" s="145" t="s">
        <v>14</v>
      </c>
      <c r="B176" s="146" t="s">
        <v>1681</v>
      </c>
      <c r="C176" s="146" t="s">
        <v>2013</v>
      </c>
      <c r="D176" s="145" t="s">
        <v>2014</v>
      </c>
      <c r="E176" s="146" t="s">
        <v>164</v>
      </c>
      <c r="F176" s="145" t="s">
        <v>1600</v>
      </c>
      <c r="G176" s="146" t="s">
        <v>20</v>
      </c>
      <c r="H176" s="146">
        <v>201603</v>
      </c>
      <c r="I176" s="147">
        <v>2874.26</v>
      </c>
      <c r="J176" s="297">
        <f t="shared" si="11"/>
        <v>42675</v>
      </c>
      <c r="K176" s="67">
        <f t="shared" si="9"/>
        <v>6</v>
      </c>
      <c r="L176" s="148">
        <v>2.23333E-3</v>
      </c>
      <c r="M176" s="104">
        <f t="shared" si="8"/>
        <v>38.515026514799999</v>
      </c>
      <c r="O176" s="66"/>
      <c r="Q176" s="66">
        <f t="shared" si="10"/>
        <v>47.550440070833339</v>
      </c>
    </row>
    <row r="177" spans="1:17">
      <c r="A177" s="145" t="s">
        <v>626</v>
      </c>
      <c r="B177" s="146" t="s">
        <v>1681</v>
      </c>
      <c r="C177" s="146" t="s">
        <v>2013</v>
      </c>
      <c r="D177" s="145" t="s">
        <v>2014</v>
      </c>
      <c r="E177" s="146" t="s">
        <v>164</v>
      </c>
      <c r="F177" s="145" t="s">
        <v>1600</v>
      </c>
      <c r="G177" s="146" t="s">
        <v>20</v>
      </c>
      <c r="H177" s="146">
        <v>201603</v>
      </c>
      <c r="I177" s="147">
        <v>10994.46</v>
      </c>
      <c r="J177" s="297">
        <f t="shared" si="11"/>
        <v>42675</v>
      </c>
      <c r="K177" s="67">
        <f t="shared" si="9"/>
        <v>6</v>
      </c>
      <c r="L177" s="148">
        <v>1.4833299999999999E-3</v>
      </c>
      <c r="M177" s="104">
        <f t="shared" si="8"/>
        <v>97.850474110799993</v>
      </c>
      <c r="O177" s="66"/>
      <c r="Q177" s="66">
        <f t="shared" si="10"/>
        <v>181.8873071125</v>
      </c>
    </row>
    <row r="178" spans="1:17">
      <c r="A178" s="145" t="s">
        <v>14</v>
      </c>
      <c r="B178" s="146" t="s">
        <v>1681</v>
      </c>
      <c r="C178" s="146" t="s">
        <v>2015</v>
      </c>
      <c r="D178" s="145" t="s">
        <v>2016</v>
      </c>
      <c r="E178" s="146" t="s">
        <v>164</v>
      </c>
      <c r="F178" s="145" t="s">
        <v>1600</v>
      </c>
      <c r="G178" s="146" t="s">
        <v>20</v>
      </c>
      <c r="H178" s="146">
        <v>201603</v>
      </c>
      <c r="I178" s="147">
        <v>2048.56</v>
      </c>
      <c r="J178" s="297">
        <f t="shared" si="11"/>
        <v>42675</v>
      </c>
      <c r="K178" s="67">
        <f t="shared" si="9"/>
        <v>6</v>
      </c>
      <c r="L178" s="148">
        <v>2.23333E-3</v>
      </c>
      <c r="M178" s="104">
        <f t="shared" si="8"/>
        <v>27.450663028799998</v>
      </c>
      <c r="O178" s="66"/>
      <c r="Q178" s="66">
        <f t="shared" si="10"/>
        <v>33.890437716666668</v>
      </c>
    </row>
    <row r="179" spans="1:17">
      <c r="A179" s="145" t="s">
        <v>626</v>
      </c>
      <c r="B179" s="146" t="s">
        <v>1681</v>
      </c>
      <c r="C179" s="146" t="s">
        <v>2015</v>
      </c>
      <c r="D179" s="145" t="s">
        <v>2016</v>
      </c>
      <c r="E179" s="146" t="s">
        <v>164</v>
      </c>
      <c r="F179" s="145" t="s">
        <v>1600</v>
      </c>
      <c r="G179" s="146" t="s">
        <v>20</v>
      </c>
      <c r="H179" s="146">
        <v>201603</v>
      </c>
      <c r="I179" s="147">
        <v>22818.81</v>
      </c>
      <c r="J179" s="297">
        <f t="shared" si="11"/>
        <v>42675</v>
      </c>
      <c r="K179" s="67">
        <f t="shared" si="9"/>
        <v>6</v>
      </c>
      <c r="L179" s="148">
        <v>1.4833299999999999E-3</v>
      </c>
      <c r="M179" s="104">
        <f t="shared" si="8"/>
        <v>203.08695262380002</v>
      </c>
      <c r="O179" s="66"/>
      <c r="Q179" s="66">
        <f t="shared" si="10"/>
        <v>377.50393401875004</v>
      </c>
    </row>
    <row r="180" spans="1:17">
      <c r="A180" s="145" t="s">
        <v>21</v>
      </c>
      <c r="B180" s="146" t="s">
        <v>1681</v>
      </c>
      <c r="C180" s="146" t="s">
        <v>2017</v>
      </c>
      <c r="D180" s="145" t="s">
        <v>2018</v>
      </c>
      <c r="E180" s="146" t="s">
        <v>87</v>
      </c>
      <c r="F180" s="145" t="s">
        <v>1603</v>
      </c>
      <c r="G180" s="146" t="s">
        <v>20</v>
      </c>
      <c r="H180" s="146">
        <v>201603</v>
      </c>
      <c r="I180" s="147">
        <v>429.72</v>
      </c>
      <c r="J180" s="297">
        <f t="shared" si="11"/>
        <v>42675</v>
      </c>
      <c r="K180" s="67">
        <f t="shared" si="9"/>
        <v>6</v>
      </c>
      <c r="L180" s="148">
        <v>1.4833299999999999E-3</v>
      </c>
      <c r="M180" s="104">
        <f t="shared" si="8"/>
        <v>3.8244994056000001</v>
      </c>
      <c r="O180" s="66"/>
      <c r="Q180" s="66">
        <f t="shared" si="10"/>
        <v>7.1090907250000006</v>
      </c>
    </row>
    <row r="181" spans="1:17">
      <c r="A181" s="145" t="s">
        <v>626</v>
      </c>
      <c r="B181" s="146" t="s">
        <v>1597</v>
      </c>
      <c r="C181" s="146" t="s">
        <v>1598</v>
      </c>
      <c r="D181" s="145" t="s">
        <v>1599</v>
      </c>
      <c r="E181" s="146" t="s">
        <v>164</v>
      </c>
      <c r="F181" s="145" t="s">
        <v>1600</v>
      </c>
      <c r="G181" s="146" t="s">
        <v>20</v>
      </c>
      <c r="H181" s="146">
        <v>201604</v>
      </c>
      <c r="I181" s="147">
        <v>11.71</v>
      </c>
      <c r="J181" s="297">
        <f t="shared" si="11"/>
        <v>42675</v>
      </c>
      <c r="K181" s="67">
        <f t="shared" si="9"/>
        <v>6</v>
      </c>
      <c r="L181" s="148">
        <v>1.4833299999999999E-3</v>
      </c>
      <c r="M181" s="104">
        <f t="shared" si="8"/>
        <v>0.1042187658</v>
      </c>
      <c r="O181" s="66"/>
      <c r="Q181" s="66">
        <f t="shared" si="10"/>
        <v>0.19372487291666668</v>
      </c>
    </row>
    <row r="182" spans="1:17">
      <c r="A182" s="145" t="s">
        <v>14</v>
      </c>
      <c r="B182" s="146" t="s">
        <v>30</v>
      </c>
      <c r="C182" s="146" t="s">
        <v>31</v>
      </c>
      <c r="D182" s="145" t="s">
        <v>32</v>
      </c>
      <c r="E182" s="146" t="s">
        <v>33</v>
      </c>
      <c r="F182" s="145" t="s">
        <v>34</v>
      </c>
      <c r="G182" s="146" t="s">
        <v>20</v>
      </c>
      <c r="H182" s="146">
        <v>201604</v>
      </c>
      <c r="I182" s="147">
        <v>5879.03</v>
      </c>
      <c r="J182" s="297">
        <f t="shared" si="11"/>
        <v>42675</v>
      </c>
      <c r="K182" s="67">
        <f t="shared" si="9"/>
        <v>6</v>
      </c>
      <c r="L182" s="148">
        <v>2.23333E-3</v>
      </c>
      <c r="M182" s="104">
        <f t="shared" si="8"/>
        <v>78.778884419399986</v>
      </c>
      <c r="O182" s="66"/>
      <c r="Q182" s="66">
        <f t="shared" si="10"/>
        <v>97.259977764583326</v>
      </c>
    </row>
    <row r="183" spans="1:17">
      <c r="A183" s="145" t="s">
        <v>14</v>
      </c>
      <c r="B183" s="146" t="s">
        <v>37</v>
      </c>
      <c r="C183" s="146" t="s">
        <v>38</v>
      </c>
      <c r="D183" s="145" t="s">
        <v>39</v>
      </c>
      <c r="E183" s="146" t="s">
        <v>40</v>
      </c>
      <c r="F183" s="145" t="s">
        <v>41</v>
      </c>
      <c r="G183" s="146" t="s">
        <v>20</v>
      </c>
      <c r="H183" s="146">
        <v>201604</v>
      </c>
      <c r="I183" s="147">
        <v>19025.830000000002</v>
      </c>
      <c r="J183" s="297">
        <f t="shared" si="11"/>
        <v>42675</v>
      </c>
      <c r="K183" s="67">
        <f t="shared" si="9"/>
        <v>6</v>
      </c>
      <c r="L183" s="148">
        <v>2.23333E-3</v>
      </c>
      <c r="M183" s="104">
        <f t="shared" si="8"/>
        <v>254.94574148340001</v>
      </c>
      <c r="O183" s="66"/>
      <c r="Q183" s="66">
        <f t="shared" si="10"/>
        <v>314.75461134791669</v>
      </c>
    </row>
    <row r="184" spans="1:17">
      <c r="A184" s="145" t="s">
        <v>14</v>
      </c>
      <c r="B184" s="146" t="s">
        <v>43</v>
      </c>
      <c r="C184" s="146" t="s">
        <v>44</v>
      </c>
      <c r="D184" s="145" t="s">
        <v>45</v>
      </c>
      <c r="E184" s="146" t="s">
        <v>46</v>
      </c>
      <c r="F184" s="145" t="s">
        <v>41</v>
      </c>
      <c r="G184" s="146" t="s">
        <v>20</v>
      </c>
      <c r="H184" s="146">
        <v>201604</v>
      </c>
      <c r="I184" s="147">
        <v>115.84</v>
      </c>
      <c r="J184" s="297">
        <f t="shared" si="11"/>
        <v>42675</v>
      </c>
      <c r="K184" s="67">
        <f t="shared" si="9"/>
        <v>6</v>
      </c>
      <c r="L184" s="148">
        <v>2.23333E-3</v>
      </c>
      <c r="M184" s="104">
        <f t="shared" si="8"/>
        <v>1.5522536832</v>
      </c>
      <c r="O184" s="66"/>
      <c r="Q184" s="66">
        <f t="shared" si="10"/>
        <v>1.9164038666666665</v>
      </c>
    </row>
    <row r="185" spans="1:17">
      <c r="A185" s="145" t="s">
        <v>990</v>
      </c>
      <c r="B185" s="146" t="s">
        <v>991</v>
      </c>
      <c r="C185" s="146" t="s">
        <v>992</v>
      </c>
      <c r="D185" s="145" t="s">
        <v>993</v>
      </c>
      <c r="E185" s="146" t="s">
        <v>994</v>
      </c>
      <c r="F185" s="145" t="s">
        <v>995</v>
      </c>
      <c r="G185" s="146" t="s">
        <v>20</v>
      </c>
      <c r="H185" s="146">
        <v>201604</v>
      </c>
      <c r="I185" s="147">
        <v>485.97</v>
      </c>
      <c r="J185" s="297">
        <f t="shared" si="11"/>
        <v>42675</v>
      </c>
      <c r="K185" s="67">
        <f t="shared" si="9"/>
        <v>6</v>
      </c>
      <c r="L185" s="148">
        <v>2.3833299999999999E-3</v>
      </c>
      <c r="M185" s="104">
        <f t="shared" si="8"/>
        <v>6.9493612806000007</v>
      </c>
      <c r="O185" s="66"/>
      <c r="Q185" s="66">
        <f t="shared" si="10"/>
        <v>8.039664943750001</v>
      </c>
    </row>
    <row r="186" spans="1:17">
      <c r="A186" s="145" t="s">
        <v>990</v>
      </c>
      <c r="B186" s="146" t="s">
        <v>996</v>
      </c>
      <c r="C186" s="146" t="s">
        <v>997</v>
      </c>
      <c r="D186" s="145" t="s">
        <v>998</v>
      </c>
      <c r="E186" s="146" t="s">
        <v>999</v>
      </c>
      <c r="F186" s="145" t="s">
        <v>995</v>
      </c>
      <c r="G186" s="146" t="s">
        <v>20</v>
      </c>
      <c r="H186" s="146">
        <v>201604</v>
      </c>
      <c r="I186" s="147">
        <v>829.61</v>
      </c>
      <c r="J186" s="297">
        <f t="shared" si="11"/>
        <v>42675</v>
      </c>
      <c r="K186" s="67">
        <f t="shared" si="9"/>
        <v>6</v>
      </c>
      <c r="L186" s="148">
        <v>2.3833299999999999E-3</v>
      </c>
      <c r="M186" s="104">
        <f t="shared" si="8"/>
        <v>11.863406407800001</v>
      </c>
      <c r="O186" s="66"/>
      <c r="Q186" s="66">
        <f t="shared" si="10"/>
        <v>13.724687602083334</v>
      </c>
    </row>
    <row r="187" spans="1:17">
      <c r="A187" s="145" t="s">
        <v>990</v>
      </c>
      <c r="B187" s="146" t="s">
        <v>1000</v>
      </c>
      <c r="C187" s="146" t="s">
        <v>1001</v>
      </c>
      <c r="D187" s="145" t="s">
        <v>1672</v>
      </c>
      <c r="E187" s="146" t="s">
        <v>1002</v>
      </c>
      <c r="F187" s="145" t="s">
        <v>1604</v>
      </c>
      <c r="G187" s="146" t="s">
        <v>20</v>
      </c>
      <c r="H187" s="146">
        <v>201604</v>
      </c>
      <c r="I187" s="147">
        <v>9136.4</v>
      </c>
      <c r="J187" s="297">
        <f t="shared" si="11"/>
        <v>42675</v>
      </c>
      <c r="K187" s="67">
        <f t="shared" si="9"/>
        <v>6</v>
      </c>
      <c r="L187" s="148">
        <v>2.3833299999999999E-3</v>
      </c>
      <c r="M187" s="104">
        <f t="shared" si="8"/>
        <v>130.650337272</v>
      </c>
      <c r="O187" s="66"/>
      <c r="Q187" s="66">
        <f t="shared" si="10"/>
        <v>151.14841408333334</v>
      </c>
    </row>
    <row r="188" spans="1:17">
      <c r="A188" s="145" t="s">
        <v>14</v>
      </c>
      <c r="B188" s="146" t="s">
        <v>107</v>
      </c>
      <c r="C188" s="146" t="s">
        <v>108</v>
      </c>
      <c r="D188" s="145" t="s">
        <v>109</v>
      </c>
      <c r="E188" s="146" t="s">
        <v>110</v>
      </c>
      <c r="F188" s="145" t="s">
        <v>52</v>
      </c>
      <c r="G188" s="146" t="s">
        <v>20</v>
      </c>
      <c r="H188" s="146">
        <v>201604</v>
      </c>
      <c r="I188" s="147">
        <v>6408.81</v>
      </c>
      <c r="J188" s="297">
        <f t="shared" si="11"/>
        <v>42675</v>
      </c>
      <c r="K188" s="67">
        <f t="shared" si="9"/>
        <v>6</v>
      </c>
      <c r="L188" s="148">
        <v>2.23333E-3</v>
      </c>
      <c r="M188" s="104">
        <f t="shared" si="8"/>
        <v>85.877925823799998</v>
      </c>
      <c r="O188" s="66"/>
      <c r="Q188" s="66">
        <f t="shared" si="10"/>
        <v>106.02441526875</v>
      </c>
    </row>
    <row r="189" spans="1:17">
      <c r="A189" s="145" t="s">
        <v>554</v>
      </c>
      <c r="B189" s="146" t="s">
        <v>116</v>
      </c>
      <c r="C189" s="146" t="s">
        <v>117</v>
      </c>
      <c r="D189" s="145" t="s">
        <v>118</v>
      </c>
      <c r="E189" s="146" t="s">
        <v>119</v>
      </c>
      <c r="F189" s="145" t="s">
        <v>1605</v>
      </c>
      <c r="G189" s="146" t="s">
        <v>20</v>
      </c>
      <c r="H189" s="146">
        <v>201604</v>
      </c>
      <c r="I189" s="147">
        <v>221699.39</v>
      </c>
      <c r="J189" s="297">
        <f t="shared" si="11"/>
        <v>42675</v>
      </c>
      <c r="K189" s="67">
        <f t="shared" si="9"/>
        <v>6</v>
      </c>
      <c r="L189" s="148">
        <v>1.4833299999999999E-3</v>
      </c>
      <c r="M189" s="104">
        <f t="shared" si="8"/>
        <v>1973.1201370122001</v>
      </c>
      <c r="O189" s="66"/>
      <c r="Q189" s="66">
        <f t="shared" si="10"/>
        <v>3667.6930959395836</v>
      </c>
    </row>
    <row r="190" spans="1:17">
      <c r="A190" s="145" t="s">
        <v>14</v>
      </c>
      <c r="B190" s="146" t="s">
        <v>555</v>
      </c>
      <c r="C190" s="146" t="s">
        <v>556</v>
      </c>
      <c r="D190" s="145" t="s">
        <v>45</v>
      </c>
      <c r="E190" s="146" t="s">
        <v>557</v>
      </c>
      <c r="F190" s="145" t="s">
        <v>41</v>
      </c>
      <c r="G190" s="146" t="s">
        <v>20</v>
      </c>
      <c r="H190" s="146">
        <v>201604</v>
      </c>
      <c r="I190" s="147">
        <v>-69.19</v>
      </c>
      <c r="J190" s="297">
        <f t="shared" si="11"/>
        <v>42675</v>
      </c>
      <c r="K190" s="67">
        <f t="shared" si="9"/>
        <v>6</v>
      </c>
      <c r="L190" s="148">
        <v>2.23333E-3</v>
      </c>
      <c r="M190" s="104">
        <f t="shared" si="8"/>
        <v>-0.92714461619999988</v>
      </c>
      <c r="O190" s="66"/>
      <c r="Q190" s="66">
        <f t="shared" si="10"/>
        <v>-1.1446476479166667</v>
      </c>
    </row>
    <row r="191" spans="1:17">
      <c r="A191" s="145" t="s">
        <v>990</v>
      </c>
      <c r="B191" s="146" t="s">
        <v>1003</v>
      </c>
      <c r="C191" s="146" t="s">
        <v>1004</v>
      </c>
      <c r="D191" s="145" t="s">
        <v>1673</v>
      </c>
      <c r="E191" s="146" t="s">
        <v>1006</v>
      </c>
      <c r="F191" s="145" t="s">
        <v>1606</v>
      </c>
      <c r="G191" s="146" t="s">
        <v>20</v>
      </c>
      <c r="H191" s="146">
        <v>201604</v>
      </c>
      <c r="I191" s="147">
        <v>24843.67</v>
      </c>
      <c r="J191" s="297">
        <f t="shared" si="11"/>
        <v>42675</v>
      </c>
      <c r="K191" s="67">
        <f t="shared" si="9"/>
        <v>6</v>
      </c>
      <c r="L191" s="148">
        <v>2.3833299999999999E-3</v>
      </c>
      <c r="M191" s="104">
        <f t="shared" si="8"/>
        <v>355.26398412660001</v>
      </c>
      <c r="O191" s="66"/>
      <c r="Q191" s="66">
        <f t="shared" si="10"/>
        <v>411.00228979791666</v>
      </c>
    </row>
    <row r="192" spans="1:17">
      <c r="A192" s="145" t="s">
        <v>14</v>
      </c>
      <c r="B192" s="146" t="s">
        <v>2026</v>
      </c>
      <c r="C192" s="146" t="s">
        <v>2027</v>
      </c>
      <c r="D192" s="145" t="s">
        <v>2028</v>
      </c>
      <c r="E192" s="146" t="s">
        <v>2029</v>
      </c>
      <c r="F192" s="145" t="s">
        <v>710</v>
      </c>
      <c r="G192" s="146" t="s">
        <v>20</v>
      </c>
      <c r="H192" s="146">
        <v>201604</v>
      </c>
      <c r="I192" s="147">
        <v>6840.49</v>
      </c>
      <c r="J192" s="297">
        <f t="shared" si="11"/>
        <v>42675</v>
      </c>
      <c r="K192" s="67">
        <f t="shared" si="9"/>
        <v>6</v>
      </c>
      <c r="L192" s="148">
        <v>2.23333E-3</v>
      </c>
      <c r="M192" s="104">
        <f t="shared" si="8"/>
        <v>91.662429190199987</v>
      </c>
      <c r="O192" s="66"/>
      <c r="Q192" s="66">
        <f t="shared" si="10"/>
        <v>113.16593133541667</v>
      </c>
    </row>
    <row r="193" spans="1:17">
      <c r="A193" s="145" t="s">
        <v>14</v>
      </c>
      <c r="B193" s="146" t="s">
        <v>1247</v>
      </c>
      <c r="C193" s="146" t="s">
        <v>1248</v>
      </c>
      <c r="D193" s="145" t="s">
        <v>708</v>
      </c>
      <c r="E193" s="146" t="s">
        <v>1249</v>
      </c>
      <c r="F193" s="145" t="s">
        <v>710</v>
      </c>
      <c r="G193" s="146" t="s">
        <v>20</v>
      </c>
      <c r="H193" s="146">
        <v>201604</v>
      </c>
      <c r="I193" s="147">
        <v>14.11</v>
      </c>
      <c r="J193" s="297">
        <f t="shared" si="11"/>
        <v>42675</v>
      </c>
      <c r="K193" s="67">
        <f t="shared" si="9"/>
        <v>6</v>
      </c>
      <c r="L193" s="148">
        <v>2.23333E-3</v>
      </c>
      <c r="M193" s="104">
        <f t="shared" si="8"/>
        <v>0.18907371779999999</v>
      </c>
      <c r="O193" s="66"/>
      <c r="Q193" s="66">
        <f t="shared" si="10"/>
        <v>0.23342937291666666</v>
      </c>
    </row>
    <row r="194" spans="1:17">
      <c r="A194" s="145" t="s">
        <v>21</v>
      </c>
      <c r="B194" s="146" t="s">
        <v>1767</v>
      </c>
      <c r="C194" s="146" t="s">
        <v>1768</v>
      </c>
      <c r="D194" s="145" t="s">
        <v>1769</v>
      </c>
      <c r="E194" s="146" t="s">
        <v>1413</v>
      </c>
      <c r="F194" s="145" t="s">
        <v>88</v>
      </c>
      <c r="G194" s="146" t="s">
        <v>20</v>
      </c>
      <c r="H194" s="146">
        <v>201604</v>
      </c>
      <c r="I194" s="147">
        <v>313.20999999999998</v>
      </c>
      <c r="J194" s="297">
        <f t="shared" si="11"/>
        <v>42675</v>
      </c>
      <c r="K194" s="67">
        <f t="shared" si="9"/>
        <v>6</v>
      </c>
      <c r="L194" s="148">
        <v>1.4833299999999999E-3</v>
      </c>
      <c r="M194" s="104">
        <f t="shared" si="8"/>
        <v>2.7875627357999999</v>
      </c>
      <c r="O194" s="66"/>
      <c r="Q194" s="66">
        <f t="shared" si="10"/>
        <v>5.1816026854166664</v>
      </c>
    </row>
    <row r="195" spans="1:17">
      <c r="A195" s="145" t="s">
        <v>21</v>
      </c>
      <c r="B195" s="146" t="s">
        <v>1072</v>
      </c>
      <c r="C195" s="146" t="s">
        <v>1073</v>
      </c>
      <c r="D195" s="145" t="s">
        <v>1074</v>
      </c>
      <c r="E195" s="146" t="s">
        <v>857</v>
      </c>
      <c r="F195" s="145" t="s">
        <v>88</v>
      </c>
      <c r="G195" s="146" t="s">
        <v>20</v>
      </c>
      <c r="H195" s="146">
        <v>201604</v>
      </c>
      <c r="I195" s="147">
        <v>2114.7199999999998</v>
      </c>
      <c r="J195" s="297">
        <f t="shared" si="11"/>
        <v>42675</v>
      </c>
      <c r="K195" s="67">
        <f t="shared" si="9"/>
        <v>6</v>
      </c>
      <c r="L195" s="148">
        <v>1.4833299999999999E-3</v>
      </c>
      <c r="M195" s="104">
        <f t="shared" si="8"/>
        <v>18.820965705599999</v>
      </c>
      <c r="O195" s="66"/>
      <c r="Q195" s="66">
        <f t="shared" si="10"/>
        <v>34.984958433333333</v>
      </c>
    </row>
    <row r="196" spans="1:17">
      <c r="A196" s="145" t="s">
        <v>14</v>
      </c>
      <c r="B196" s="146" t="s">
        <v>183</v>
      </c>
      <c r="C196" s="146" t="s">
        <v>184</v>
      </c>
      <c r="D196" s="145" t="s">
        <v>45</v>
      </c>
      <c r="E196" s="146" t="s">
        <v>185</v>
      </c>
      <c r="F196" s="145" t="s">
        <v>41</v>
      </c>
      <c r="G196" s="146" t="s">
        <v>20</v>
      </c>
      <c r="H196" s="146">
        <v>201604</v>
      </c>
      <c r="I196" s="147">
        <v>785.3</v>
      </c>
      <c r="J196" s="297">
        <f t="shared" si="11"/>
        <v>42675</v>
      </c>
      <c r="K196" s="67">
        <f t="shared" si="9"/>
        <v>6</v>
      </c>
      <c r="L196" s="148">
        <v>2.23333E-3</v>
      </c>
      <c r="M196" s="104">
        <f t="shared" si="8"/>
        <v>10.523004293999998</v>
      </c>
      <c r="O196" s="66"/>
      <c r="Q196" s="66">
        <f t="shared" si="10"/>
        <v>12.991643270833332</v>
      </c>
    </row>
    <row r="197" spans="1:17">
      <c r="A197" s="145" t="s">
        <v>14</v>
      </c>
      <c r="B197" s="146" t="s">
        <v>191</v>
      </c>
      <c r="C197" s="146" t="s">
        <v>192</v>
      </c>
      <c r="D197" s="145" t="s">
        <v>193</v>
      </c>
      <c r="E197" s="146" t="s">
        <v>194</v>
      </c>
      <c r="F197" s="145" t="s">
        <v>115</v>
      </c>
      <c r="G197" s="146" t="s">
        <v>20</v>
      </c>
      <c r="H197" s="146">
        <v>201604</v>
      </c>
      <c r="I197" s="147">
        <v>-47.63</v>
      </c>
      <c r="J197" s="297">
        <f t="shared" si="11"/>
        <v>42675</v>
      </c>
      <c r="K197" s="67">
        <f t="shared" si="9"/>
        <v>6</v>
      </c>
      <c r="L197" s="148">
        <v>2.23333E-3</v>
      </c>
      <c r="M197" s="104">
        <f t="shared" ref="M197:M260" si="12">L197*K197*I197</f>
        <v>-0.63824104739999998</v>
      </c>
      <c r="O197" s="66"/>
      <c r="Q197" s="66">
        <f t="shared" si="10"/>
        <v>-0.78796888958333333</v>
      </c>
    </row>
    <row r="198" spans="1:17">
      <c r="A198" s="145" t="s">
        <v>14</v>
      </c>
      <c r="B198" s="146" t="s">
        <v>195</v>
      </c>
      <c r="C198" s="146" t="s">
        <v>196</v>
      </c>
      <c r="D198" s="145" t="s">
        <v>1674</v>
      </c>
      <c r="E198" s="146" t="s">
        <v>198</v>
      </c>
      <c r="F198" s="145" t="s">
        <v>1610</v>
      </c>
      <c r="G198" s="146" t="s">
        <v>20</v>
      </c>
      <c r="H198" s="146">
        <v>201604</v>
      </c>
      <c r="I198" s="147">
        <v>326071.76</v>
      </c>
      <c r="J198" s="297">
        <f t="shared" si="11"/>
        <v>42675</v>
      </c>
      <c r="K198" s="67">
        <f t="shared" ref="K198:K261" si="13">((YEAR($K$1)-YEAR(J198))*12+MONTH($K$1)-MONTH(J198))</f>
        <v>6</v>
      </c>
      <c r="L198" s="148">
        <v>2.23333E-3</v>
      </c>
      <c r="M198" s="104">
        <f t="shared" si="12"/>
        <v>4369.3550625647995</v>
      </c>
      <c r="O198" s="66"/>
      <c r="Q198" s="66">
        <f t="shared" ref="Q198:Q261" si="14">($Q$4*0.5*I198*$T$10)</f>
        <v>5394.3817478833334</v>
      </c>
    </row>
    <row r="199" spans="1:17">
      <c r="A199" s="145" t="s">
        <v>14</v>
      </c>
      <c r="B199" s="146" t="s">
        <v>200</v>
      </c>
      <c r="C199" s="146" t="s">
        <v>201</v>
      </c>
      <c r="D199" s="145" t="s">
        <v>1675</v>
      </c>
      <c r="E199" s="146" t="s">
        <v>202</v>
      </c>
      <c r="F199" s="145" t="s">
        <v>1611</v>
      </c>
      <c r="G199" s="146" t="s">
        <v>20</v>
      </c>
      <c r="H199" s="146">
        <v>201604</v>
      </c>
      <c r="I199" s="147">
        <v>24735.46</v>
      </c>
      <c r="J199" s="297">
        <f t="shared" ref="J199:J262" si="15">+J198</f>
        <v>42675</v>
      </c>
      <c r="K199" s="67">
        <f t="shared" si="13"/>
        <v>6</v>
      </c>
      <c r="L199" s="148">
        <v>2.23333E-3</v>
      </c>
      <c r="M199" s="104">
        <f t="shared" si="12"/>
        <v>331.45466929079998</v>
      </c>
      <c r="O199" s="66"/>
      <c r="Q199" s="66">
        <f t="shared" si="14"/>
        <v>409.21211315416667</v>
      </c>
    </row>
    <row r="200" spans="1:17">
      <c r="A200" s="145" t="s">
        <v>626</v>
      </c>
      <c r="B200" s="146" t="s">
        <v>1855</v>
      </c>
      <c r="C200" s="146" t="s">
        <v>1856</v>
      </c>
      <c r="D200" s="145" t="s">
        <v>1857</v>
      </c>
      <c r="E200" s="146" t="s">
        <v>209</v>
      </c>
      <c r="F200" s="145" t="s">
        <v>1612</v>
      </c>
      <c r="G200" s="146" t="s">
        <v>20</v>
      </c>
      <c r="H200" s="146">
        <v>201604</v>
      </c>
      <c r="I200" s="147">
        <v>3583.64</v>
      </c>
      <c r="J200" s="297">
        <f t="shared" si="15"/>
        <v>42675</v>
      </c>
      <c r="K200" s="67">
        <f t="shared" si="13"/>
        <v>6</v>
      </c>
      <c r="L200" s="148">
        <v>1.4833299999999999E-3</v>
      </c>
      <c r="M200" s="104">
        <f t="shared" si="12"/>
        <v>31.8943243272</v>
      </c>
      <c r="O200" s="66"/>
      <c r="Q200" s="66">
        <f t="shared" si="14"/>
        <v>59.286097658333333</v>
      </c>
    </row>
    <row r="201" spans="1:17">
      <c r="A201" s="145" t="s">
        <v>14</v>
      </c>
      <c r="B201" s="146" t="s">
        <v>481</v>
      </c>
      <c r="C201" s="146" t="s">
        <v>482</v>
      </c>
      <c r="D201" s="145" t="s">
        <v>483</v>
      </c>
      <c r="E201" s="146" t="s">
        <v>484</v>
      </c>
      <c r="F201" s="145" t="s">
        <v>190</v>
      </c>
      <c r="G201" s="146" t="s">
        <v>20</v>
      </c>
      <c r="H201" s="146">
        <v>201604</v>
      </c>
      <c r="I201" s="147">
        <v>5899.45</v>
      </c>
      <c r="J201" s="297">
        <f t="shared" si="15"/>
        <v>42675</v>
      </c>
      <c r="K201" s="67">
        <f t="shared" si="13"/>
        <v>6</v>
      </c>
      <c r="L201" s="148">
        <v>2.23333E-3</v>
      </c>
      <c r="M201" s="104">
        <f t="shared" si="12"/>
        <v>79.05251201099999</v>
      </c>
      <c r="O201" s="66"/>
      <c r="Q201" s="66">
        <f t="shared" si="14"/>
        <v>97.59779688541667</v>
      </c>
    </row>
    <row r="202" spans="1:17">
      <c r="A202" s="145" t="s">
        <v>990</v>
      </c>
      <c r="B202" s="146" t="s">
        <v>1010</v>
      </c>
      <c r="C202" s="146" t="s">
        <v>1011</v>
      </c>
      <c r="D202" s="145" t="s">
        <v>1012</v>
      </c>
      <c r="E202" s="146" t="s">
        <v>1013</v>
      </c>
      <c r="F202" s="145" t="s">
        <v>995</v>
      </c>
      <c r="G202" s="146" t="s">
        <v>20</v>
      </c>
      <c r="H202" s="146">
        <v>201604</v>
      </c>
      <c r="I202" s="147">
        <v>3195.5</v>
      </c>
      <c r="J202" s="297">
        <f t="shared" si="15"/>
        <v>42675</v>
      </c>
      <c r="K202" s="67">
        <f t="shared" si="13"/>
        <v>6</v>
      </c>
      <c r="L202" s="148">
        <v>2.3833299999999999E-3</v>
      </c>
      <c r="M202" s="104">
        <f t="shared" si="12"/>
        <v>45.695586089999999</v>
      </c>
      <c r="O202" s="66"/>
      <c r="Q202" s="66">
        <f t="shared" si="14"/>
        <v>52.864887395833335</v>
      </c>
    </row>
    <row r="203" spans="1:17">
      <c r="A203" s="145" t="s">
        <v>21</v>
      </c>
      <c r="B203" s="146" t="s">
        <v>485</v>
      </c>
      <c r="C203" s="146" t="s">
        <v>486</v>
      </c>
      <c r="D203" s="145" t="s">
        <v>487</v>
      </c>
      <c r="E203" s="146" t="s">
        <v>75</v>
      </c>
      <c r="F203" s="145" t="s">
        <v>1602</v>
      </c>
      <c r="G203" s="146" t="s">
        <v>20</v>
      </c>
      <c r="H203" s="146">
        <v>201604</v>
      </c>
      <c r="I203" s="147">
        <v>3.89</v>
      </c>
      <c r="J203" s="297">
        <f t="shared" si="15"/>
        <v>42675</v>
      </c>
      <c r="K203" s="67">
        <f t="shared" si="13"/>
        <v>6</v>
      </c>
      <c r="L203" s="148">
        <v>1.4833299999999999E-3</v>
      </c>
      <c r="M203" s="104">
        <f t="shared" si="12"/>
        <v>3.4620922200000001E-2</v>
      </c>
      <c r="O203" s="66"/>
      <c r="Q203" s="66">
        <f t="shared" si="14"/>
        <v>6.4354377083333345E-2</v>
      </c>
    </row>
    <row r="204" spans="1:17">
      <c r="A204" s="145" t="s">
        <v>14</v>
      </c>
      <c r="B204" s="146" t="s">
        <v>236</v>
      </c>
      <c r="C204" s="146" t="s">
        <v>237</v>
      </c>
      <c r="D204" s="145" t="s">
        <v>188</v>
      </c>
      <c r="E204" s="146" t="s">
        <v>238</v>
      </c>
      <c r="F204" s="145" t="s">
        <v>190</v>
      </c>
      <c r="G204" s="146" t="s">
        <v>20</v>
      </c>
      <c r="H204" s="146">
        <v>201604</v>
      </c>
      <c r="I204" s="147">
        <v>67018.759999999995</v>
      </c>
      <c r="J204" s="297">
        <f t="shared" si="15"/>
        <v>42675</v>
      </c>
      <c r="K204" s="67">
        <f t="shared" si="13"/>
        <v>6</v>
      </c>
      <c r="L204" s="148">
        <v>2.23333E-3</v>
      </c>
      <c r="M204" s="104">
        <f t="shared" si="12"/>
        <v>898.05004362479986</v>
      </c>
      <c r="O204" s="66"/>
      <c r="Q204" s="66">
        <f t="shared" si="14"/>
        <v>1108.7276485083332</v>
      </c>
    </row>
    <row r="205" spans="1:17">
      <c r="A205" s="145" t="s">
        <v>14</v>
      </c>
      <c r="B205" s="146" t="s">
        <v>239</v>
      </c>
      <c r="C205" s="146" t="s">
        <v>240</v>
      </c>
      <c r="D205" s="145" t="s">
        <v>197</v>
      </c>
      <c r="E205" s="146" t="s">
        <v>241</v>
      </c>
      <c r="F205" s="145" t="s">
        <v>199</v>
      </c>
      <c r="G205" s="146" t="s">
        <v>20</v>
      </c>
      <c r="H205" s="146">
        <v>201604</v>
      </c>
      <c r="I205" s="147">
        <v>-21.18</v>
      </c>
      <c r="J205" s="297">
        <f t="shared" si="15"/>
        <v>42675</v>
      </c>
      <c r="K205" s="67">
        <f t="shared" si="13"/>
        <v>6</v>
      </c>
      <c r="L205" s="148">
        <v>2.23333E-3</v>
      </c>
      <c r="M205" s="104">
        <f t="shared" si="12"/>
        <v>-0.28381157639999999</v>
      </c>
      <c r="O205" s="66"/>
      <c r="Q205" s="66">
        <f t="shared" si="14"/>
        <v>-0.35039221249999997</v>
      </c>
    </row>
    <row r="206" spans="1:17">
      <c r="A206" s="145" t="s">
        <v>127</v>
      </c>
      <c r="B206" s="146" t="s">
        <v>1032</v>
      </c>
      <c r="C206" s="146" t="s">
        <v>1033</v>
      </c>
      <c r="D206" s="145" t="s">
        <v>1034</v>
      </c>
      <c r="E206" s="146" t="s">
        <v>209</v>
      </c>
      <c r="F206" s="145" t="s">
        <v>1612</v>
      </c>
      <c r="G206" s="146" t="s">
        <v>20</v>
      </c>
      <c r="H206" s="146">
        <v>201604</v>
      </c>
      <c r="I206" s="147">
        <v>1093.03</v>
      </c>
      <c r="J206" s="297">
        <f t="shared" si="15"/>
        <v>42675</v>
      </c>
      <c r="K206" s="67">
        <f t="shared" si="13"/>
        <v>6</v>
      </c>
      <c r="L206" s="148">
        <v>2.3833299999999999E-3</v>
      </c>
      <c r="M206" s="104">
        <f t="shared" si="12"/>
        <v>15.630307139399999</v>
      </c>
      <c r="O206" s="66"/>
      <c r="Q206" s="66">
        <f t="shared" si="14"/>
        <v>18.082587347916665</v>
      </c>
    </row>
    <row r="207" spans="1:17">
      <c r="A207" s="145" t="s">
        <v>14</v>
      </c>
      <c r="B207" s="146" t="s">
        <v>706</v>
      </c>
      <c r="C207" s="146" t="s">
        <v>707</v>
      </c>
      <c r="D207" s="145" t="s">
        <v>708</v>
      </c>
      <c r="E207" s="146" t="s">
        <v>709</v>
      </c>
      <c r="F207" s="145" t="s">
        <v>710</v>
      </c>
      <c r="G207" s="146" t="s">
        <v>20</v>
      </c>
      <c r="H207" s="146">
        <v>201604</v>
      </c>
      <c r="I207" s="147">
        <v>-33.71</v>
      </c>
      <c r="J207" s="297">
        <f t="shared" si="15"/>
        <v>42675</v>
      </c>
      <c r="K207" s="67">
        <f t="shared" si="13"/>
        <v>6</v>
      </c>
      <c r="L207" s="148">
        <v>2.23333E-3</v>
      </c>
      <c r="M207" s="104">
        <f t="shared" si="12"/>
        <v>-0.45171332579999995</v>
      </c>
      <c r="O207" s="66"/>
      <c r="Q207" s="66">
        <f t="shared" si="14"/>
        <v>-0.55768278958333328</v>
      </c>
    </row>
    <row r="208" spans="1:17">
      <c r="A208" s="145" t="s">
        <v>14</v>
      </c>
      <c r="B208" s="146" t="s">
        <v>267</v>
      </c>
      <c r="C208" s="146" t="s">
        <v>268</v>
      </c>
      <c r="D208" s="145" t="s">
        <v>269</v>
      </c>
      <c r="E208" s="146" t="s">
        <v>270</v>
      </c>
      <c r="F208" s="145" t="s">
        <v>115</v>
      </c>
      <c r="G208" s="146" t="s">
        <v>20</v>
      </c>
      <c r="H208" s="146">
        <v>201604</v>
      </c>
      <c r="I208" s="147">
        <v>7090.08</v>
      </c>
      <c r="J208" s="297">
        <f t="shared" si="15"/>
        <v>42675</v>
      </c>
      <c r="K208" s="67">
        <f t="shared" si="13"/>
        <v>6</v>
      </c>
      <c r="L208" s="148">
        <v>2.23333E-3</v>
      </c>
      <c r="M208" s="104">
        <f t="shared" si="12"/>
        <v>95.006930198399985</v>
      </c>
      <c r="O208" s="66"/>
      <c r="Q208" s="66">
        <f t="shared" si="14"/>
        <v>117.29503390000001</v>
      </c>
    </row>
    <row r="209" spans="1:17">
      <c r="A209" s="145" t="s">
        <v>14</v>
      </c>
      <c r="B209" s="146" t="s">
        <v>271</v>
      </c>
      <c r="C209" s="146" t="s">
        <v>272</v>
      </c>
      <c r="D209" s="145" t="s">
        <v>197</v>
      </c>
      <c r="E209" s="146" t="s">
        <v>273</v>
      </c>
      <c r="F209" s="145" t="s">
        <v>199</v>
      </c>
      <c r="G209" s="146" t="s">
        <v>20</v>
      </c>
      <c r="H209" s="146">
        <v>201604</v>
      </c>
      <c r="I209" s="147">
        <v>0.62</v>
      </c>
      <c r="J209" s="297">
        <f t="shared" si="15"/>
        <v>42675</v>
      </c>
      <c r="K209" s="67">
        <f t="shared" si="13"/>
        <v>6</v>
      </c>
      <c r="L209" s="148">
        <v>2.23333E-3</v>
      </c>
      <c r="M209" s="104">
        <f t="shared" si="12"/>
        <v>8.3079875999999987E-3</v>
      </c>
      <c r="O209" s="66"/>
      <c r="Q209" s="66">
        <f t="shared" si="14"/>
        <v>1.0256995833333333E-2</v>
      </c>
    </row>
    <row r="210" spans="1:17">
      <c r="A210" s="145" t="s">
        <v>626</v>
      </c>
      <c r="B210" s="146" t="s">
        <v>1250</v>
      </c>
      <c r="C210" s="146" t="s">
        <v>1251</v>
      </c>
      <c r="D210" s="145" t="s">
        <v>1252</v>
      </c>
      <c r="E210" s="146" t="s">
        <v>260</v>
      </c>
      <c r="F210" s="145" t="s">
        <v>1608</v>
      </c>
      <c r="G210" s="146" t="s">
        <v>20</v>
      </c>
      <c r="H210" s="146">
        <v>201604</v>
      </c>
      <c r="I210" s="147">
        <v>284.12</v>
      </c>
      <c r="J210" s="297">
        <f t="shared" si="15"/>
        <v>42675</v>
      </c>
      <c r="K210" s="67">
        <f t="shared" si="13"/>
        <v>6</v>
      </c>
      <c r="L210" s="148">
        <v>1.4833299999999999E-3</v>
      </c>
      <c r="M210" s="104">
        <f t="shared" si="12"/>
        <v>2.5286623176000003</v>
      </c>
      <c r="O210" s="66"/>
      <c r="Q210" s="66">
        <f t="shared" si="14"/>
        <v>4.7003510583333332</v>
      </c>
    </row>
    <row r="211" spans="1:17">
      <c r="A211" s="145" t="s">
        <v>14</v>
      </c>
      <c r="B211" s="146" t="s">
        <v>1676</v>
      </c>
      <c r="C211" s="146" t="s">
        <v>1677</v>
      </c>
      <c r="D211" s="145" t="s">
        <v>50</v>
      </c>
      <c r="E211" s="146" t="s">
        <v>1678</v>
      </c>
      <c r="F211" s="145" t="s">
        <v>52</v>
      </c>
      <c r="G211" s="146" t="s">
        <v>20</v>
      </c>
      <c r="H211" s="146">
        <v>201604</v>
      </c>
      <c r="I211" s="147">
        <v>27.71</v>
      </c>
      <c r="J211" s="297">
        <f t="shared" si="15"/>
        <v>42675</v>
      </c>
      <c r="K211" s="67">
        <f t="shared" si="13"/>
        <v>6</v>
      </c>
      <c r="L211" s="148">
        <v>2.23333E-3</v>
      </c>
      <c r="M211" s="104">
        <f t="shared" si="12"/>
        <v>0.37131344579999997</v>
      </c>
      <c r="O211" s="66"/>
      <c r="Q211" s="66">
        <f t="shared" si="14"/>
        <v>0.45842153958333337</v>
      </c>
    </row>
    <row r="212" spans="1:17">
      <c r="A212" s="145" t="s">
        <v>990</v>
      </c>
      <c r="B212" s="146" t="s">
        <v>1017</v>
      </c>
      <c r="C212" s="146" t="s">
        <v>1018</v>
      </c>
      <c r="D212" s="145" t="s">
        <v>993</v>
      </c>
      <c r="E212" s="146" t="s">
        <v>1019</v>
      </c>
      <c r="F212" s="145" t="s">
        <v>995</v>
      </c>
      <c r="G212" s="146" t="s">
        <v>20</v>
      </c>
      <c r="H212" s="146">
        <v>201604</v>
      </c>
      <c r="I212" s="147">
        <v>28.18</v>
      </c>
      <c r="J212" s="297">
        <f t="shared" si="15"/>
        <v>42675</v>
      </c>
      <c r="K212" s="67">
        <f t="shared" si="13"/>
        <v>6</v>
      </c>
      <c r="L212" s="148">
        <v>2.3833299999999999E-3</v>
      </c>
      <c r="M212" s="104">
        <f t="shared" si="12"/>
        <v>0.4029734364</v>
      </c>
      <c r="O212" s="66"/>
      <c r="Q212" s="66">
        <f t="shared" si="14"/>
        <v>0.46619700416666671</v>
      </c>
    </row>
    <row r="213" spans="1:17">
      <c r="A213" s="145" t="s">
        <v>14</v>
      </c>
      <c r="B213" s="146" t="s">
        <v>292</v>
      </c>
      <c r="C213" s="146" t="s">
        <v>293</v>
      </c>
      <c r="D213" s="145" t="s">
        <v>1679</v>
      </c>
      <c r="E213" s="146" t="s">
        <v>294</v>
      </c>
      <c r="F213" s="145" t="s">
        <v>1613</v>
      </c>
      <c r="G213" s="146" t="s">
        <v>20</v>
      </c>
      <c r="H213" s="146">
        <v>201604</v>
      </c>
      <c r="I213" s="147">
        <v>64703.11</v>
      </c>
      <c r="J213" s="297">
        <f t="shared" si="15"/>
        <v>42675</v>
      </c>
      <c r="K213" s="67">
        <f t="shared" si="13"/>
        <v>6</v>
      </c>
      <c r="L213" s="148">
        <v>2.23333E-3</v>
      </c>
      <c r="M213" s="104">
        <f t="shared" si="12"/>
        <v>867.02037993779993</v>
      </c>
      <c r="O213" s="66"/>
      <c r="Q213" s="66">
        <f t="shared" si="14"/>
        <v>1070.4185962479169</v>
      </c>
    </row>
    <row r="214" spans="1:17">
      <c r="A214" s="145" t="s">
        <v>14</v>
      </c>
      <c r="B214" s="146" t="s">
        <v>419</v>
      </c>
      <c r="C214" s="146" t="s">
        <v>420</v>
      </c>
      <c r="D214" s="145" t="s">
        <v>50</v>
      </c>
      <c r="E214" s="146" t="s">
        <v>421</v>
      </c>
      <c r="F214" s="145" t="s">
        <v>52</v>
      </c>
      <c r="G214" s="146" t="s">
        <v>20</v>
      </c>
      <c r="H214" s="146">
        <v>201604</v>
      </c>
      <c r="I214" s="147">
        <v>1277.6099999999999</v>
      </c>
      <c r="J214" s="297">
        <f t="shared" si="15"/>
        <v>42675</v>
      </c>
      <c r="K214" s="67">
        <f t="shared" si="13"/>
        <v>6</v>
      </c>
      <c r="L214" s="148">
        <v>2.23333E-3</v>
      </c>
      <c r="M214" s="104">
        <f t="shared" si="12"/>
        <v>17.119948447799999</v>
      </c>
      <c r="O214" s="66"/>
      <c r="Q214" s="66">
        <f t="shared" si="14"/>
        <v>21.136194268749996</v>
      </c>
    </row>
    <row r="215" spans="1:17">
      <c r="A215" s="145" t="s">
        <v>990</v>
      </c>
      <c r="B215" s="146" t="s">
        <v>1020</v>
      </c>
      <c r="C215" s="146" t="s">
        <v>1021</v>
      </c>
      <c r="D215" s="145" t="s">
        <v>1680</v>
      </c>
      <c r="E215" s="146" t="s">
        <v>1022</v>
      </c>
      <c r="F215" s="145" t="s">
        <v>1614</v>
      </c>
      <c r="G215" s="146" t="s">
        <v>20</v>
      </c>
      <c r="H215" s="146">
        <v>201604</v>
      </c>
      <c r="I215" s="147">
        <v>8535.56</v>
      </c>
      <c r="J215" s="297">
        <f t="shared" si="15"/>
        <v>42675</v>
      </c>
      <c r="K215" s="67">
        <f t="shared" si="13"/>
        <v>6</v>
      </c>
      <c r="L215" s="148">
        <v>2.3833299999999999E-3</v>
      </c>
      <c r="M215" s="104">
        <f t="shared" si="12"/>
        <v>122.05833728879999</v>
      </c>
      <c r="O215" s="66"/>
      <c r="Q215" s="66">
        <f t="shared" si="14"/>
        <v>141.20839250833333</v>
      </c>
    </row>
    <row r="216" spans="1:17">
      <c r="A216" s="145" t="s">
        <v>14</v>
      </c>
      <c r="B216" s="146" t="s">
        <v>325</v>
      </c>
      <c r="C216" s="146" t="s">
        <v>326</v>
      </c>
      <c r="D216" s="145" t="s">
        <v>327</v>
      </c>
      <c r="E216" s="146" t="s">
        <v>328</v>
      </c>
      <c r="F216" s="145" t="s">
        <v>58</v>
      </c>
      <c r="G216" s="146" t="s">
        <v>20</v>
      </c>
      <c r="H216" s="146">
        <v>201604</v>
      </c>
      <c r="I216" s="147">
        <v>2880.19</v>
      </c>
      <c r="J216" s="297">
        <f t="shared" si="15"/>
        <v>42675</v>
      </c>
      <c r="K216" s="67">
        <f t="shared" si="13"/>
        <v>6</v>
      </c>
      <c r="L216" s="148">
        <v>2.23333E-3</v>
      </c>
      <c r="M216" s="104">
        <f t="shared" si="12"/>
        <v>38.594488396199999</v>
      </c>
      <c r="O216" s="66"/>
      <c r="Q216" s="66">
        <f t="shared" si="14"/>
        <v>47.648543272916669</v>
      </c>
    </row>
    <row r="217" spans="1:17">
      <c r="A217" s="145" t="s">
        <v>626</v>
      </c>
      <c r="B217" s="146" t="s">
        <v>1823</v>
      </c>
      <c r="C217" s="146" t="s">
        <v>1824</v>
      </c>
      <c r="D217" s="145" t="s">
        <v>1825</v>
      </c>
      <c r="E217" s="146" t="s">
        <v>260</v>
      </c>
      <c r="F217" s="145" t="s">
        <v>1608</v>
      </c>
      <c r="G217" s="146" t="s">
        <v>20</v>
      </c>
      <c r="H217" s="146">
        <v>201604</v>
      </c>
      <c r="I217" s="147">
        <v>-33739.65</v>
      </c>
      <c r="J217" s="297">
        <f t="shared" si="15"/>
        <v>42675</v>
      </c>
      <c r="K217" s="67">
        <f t="shared" si="13"/>
        <v>6</v>
      </c>
      <c r="L217" s="148">
        <v>1.4833299999999999E-3</v>
      </c>
      <c r="M217" s="104">
        <f t="shared" si="12"/>
        <v>-300.28221020699999</v>
      </c>
      <c r="O217" s="66"/>
      <c r="Q217" s="66">
        <f t="shared" si="14"/>
        <v>-558.17330559375</v>
      </c>
    </row>
    <row r="218" spans="1:17">
      <c r="A218" s="145" t="s">
        <v>21</v>
      </c>
      <c r="B218" s="146" t="s">
        <v>1823</v>
      </c>
      <c r="C218" s="146" t="s">
        <v>1824</v>
      </c>
      <c r="D218" s="145" t="s">
        <v>1825</v>
      </c>
      <c r="E218" s="146" t="s">
        <v>260</v>
      </c>
      <c r="F218" s="145" t="s">
        <v>1608</v>
      </c>
      <c r="G218" s="146" t="s">
        <v>20</v>
      </c>
      <c r="H218" s="146">
        <v>201604</v>
      </c>
      <c r="I218" s="147">
        <v>34251.43</v>
      </c>
      <c r="J218" s="297">
        <f t="shared" si="15"/>
        <v>42675</v>
      </c>
      <c r="K218" s="67">
        <f t="shared" si="13"/>
        <v>6</v>
      </c>
      <c r="L218" s="148">
        <v>1.4833299999999999E-3</v>
      </c>
      <c r="M218" s="104">
        <f t="shared" si="12"/>
        <v>304.83704197140003</v>
      </c>
      <c r="O218" s="66"/>
      <c r="Q218" s="66">
        <f t="shared" si="14"/>
        <v>566.63995934791672</v>
      </c>
    </row>
    <row r="219" spans="1:17">
      <c r="A219" s="145" t="s">
        <v>127</v>
      </c>
      <c r="B219" s="146" t="s">
        <v>1130</v>
      </c>
      <c r="C219" s="146" t="s">
        <v>1131</v>
      </c>
      <c r="D219" s="145" t="s">
        <v>1132</v>
      </c>
      <c r="E219" s="146" t="s">
        <v>131</v>
      </c>
      <c r="F219" s="145" t="s">
        <v>1607</v>
      </c>
      <c r="G219" s="146" t="s">
        <v>20</v>
      </c>
      <c r="H219" s="146">
        <v>201604</v>
      </c>
      <c r="I219" s="147">
        <v>11544.71</v>
      </c>
      <c r="J219" s="297">
        <f t="shared" si="15"/>
        <v>42675</v>
      </c>
      <c r="K219" s="67">
        <f t="shared" si="13"/>
        <v>6</v>
      </c>
      <c r="L219" s="148">
        <v>2.3833299999999999E-3</v>
      </c>
      <c r="M219" s="104">
        <f t="shared" si="12"/>
        <v>165.08912210579999</v>
      </c>
      <c r="O219" s="66"/>
      <c r="Q219" s="66">
        <f t="shared" si="14"/>
        <v>190.99039091458332</v>
      </c>
    </row>
    <row r="220" spans="1:17">
      <c r="A220" s="145" t="s">
        <v>626</v>
      </c>
      <c r="B220" s="146" t="s">
        <v>1136</v>
      </c>
      <c r="C220" s="146" t="s">
        <v>1137</v>
      </c>
      <c r="D220" s="145" t="s">
        <v>1138</v>
      </c>
      <c r="E220" s="146" t="s">
        <v>962</v>
      </c>
      <c r="F220" s="145" t="s">
        <v>88</v>
      </c>
      <c r="G220" s="146" t="s">
        <v>20</v>
      </c>
      <c r="H220" s="146">
        <v>201604</v>
      </c>
      <c r="I220" s="147">
        <v>6070.61</v>
      </c>
      <c r="J220" s="297">
        <f t="shared" si="15"/>
        <v>42675</v>
      </c>
      <c r="K220" s="67">
        <f t="shared" si="13"/>
        <v>6</v>
      </c>
      <c r="L220" s="148">
        <v>1.4833299999999999E-3</v>
      </c>
      <c r="M220" s="104">
        <f t="shared" si="12"/>
        <v>54.028307587800001</v>
      </c>
      <c r="O220" s="66"/>
      <c r="Q220" s="66">
        <f t="shared" si="14"/>
        <v>100.42938947708333</v>
      </c>
    </row>
    <row r="221" spans="1:17">
      <c r="A221" s="145" t="s">
        <v>626</v>
      </c>
      <c r="B221" s="146" t="s">
        <v>1826</v>
      </c>
      <c r="C221" s="146" t="s">
        <v>1827</v>
      </c>
      <c r="D221" s="145" t="s">
        <v>1828</v>
      </c>
      <c r="E221" s="146" t="s">
        <v>25</v>
      </c>
      <c r="F221" s="145" t="s">
        <v>26</v>
      </c>
      <c r="G221" s="146" t="s">
        <v>20</v>
      </c>
      <c r="H221" s="146">
        <v>201604</v>
      </c>
      <c r="I221" s="147">
        <v>13112.69</v>
      </c>
      <c r="J221" s="297">
        <f t="shared" si="15"/>
        <v>42675</v>
      </c>
      <c r="K221" s="67">
        <f t="shared" si="13"/>
        <v>6</v>
      </c>
      <c r="L221" s="148">
        <v>1.4833299999999999E-3</v>
      </c>
      <c r="M221" s="104">
        <f t="shared" si="12"/>
        <v>116.70267874620001</v>
      </c>
      <c r="O221" s="66"/>
      <c r="Q221" s="66">
        <f t="shared" si="14"/>
        <v>216.93033337708334</v>
      </c>
    </row>
    <row r="222" spans="1:17">
      <c r="A222" s="145" t="s">
        <v>626</v>
      </c>
      <c r="B222" s="146" t="s">
        <v>1139</v>
      </c>
      <c r="C222" s="146" t="s">
        <v>1140</v>
      </c>
      <c r="D222" s="145" t="s">
        <v>1141</v>
      </c>
      <c r="E222" s="146" t="s">
        <v>280</v>
      </c>
      <c r="F222" s="145" t="s">
        <v>26</v>
      </c>
      <c r="G222" s="146" t="s">
        <v>20</v>
      </c>
      <c r="H222" s="146">
        <v>201604</v>
      </c>
      <c r="I222" s="147">
        <v>1430.21</v>
      </c>
      <c r="J222" s="297">
        <f t="shared" si="15"/>
        <v>42675</v>
      </c>
      <c r="K222" s="67">
        <f t="shared" si="13"/>
        <v>6</v>
      </c>
      <c r="L222" s="148">
        <v>1.4833299999999999E-3</v>
      </c>
      <c r="M222" s="104">
        <f t="shared" si="12"/>
        <v>12.728840395800001</v>
      </c>
      <c r="O222" s="66"/>
      <c r="Q222" s="66">
        <f t="shared" si="14"/>
        <v>23.660738727083334</v>
      </c>
    </row>
    <row r="223" spans="1:17">
      <c r="A223" s="145" t="s">
        <v>626</v>
      </c>
      <c r="B223" s="146" t="s">
        <v>1142</v>
      </c>
      <c r="C223" s="146" t="s">
        <v>1143</v>
      </c>
      <c r="D223" s="145" t="s">
        <v>1144</v>
      </c>
      <c r="E223" s="146" t="s">
        <v>164</v>
      </c>
      <c r="F223" s="145" t="s">
        <v>1600</v>
      </c>
      <c r="G223" s="146" t="s">
        <v>20</v>
      </c>
      <c r="H223" s="146">
        <v>201604</v>
      </c>
      <c r="I223" s="147">
        <v>579.16999999999996</v>
      </c>
      <c r="J223" s="297">
        <f t="shared" si="15"/>
        <v>42675</v>
      </c>
      <c r="K223" s="67">
        <f t="shared" si="13"/>
        <v>6</v>
      </c>
      <c r="L223" s="148">
        <v>1.4833299999999999E-3</v>
      </c>
      <c r="M223" s="104">
        <f t="shared" si="12"/>
        <v>5.1546014165999994</v>
      </c>
      <c r="O223" s="66"/>
      <c r="Q223" s="66">
        <f t="shared" si="14"/>
        <v>9.5815230270833318</v>
      </c>
    </row>
    <row r="224" spans="1:17">
      <c r="A224" s="145" t="s">
        <v>626</v>
      </c>
      <c r="B224" s="146" t="s">
        <v>1615</v>
      </c>
      <c r="C224" s="146" t="s">
        <v>1616</v>
      </c>
      <c r="D224" s="145" t="s">
        <v>1617</v>
      </c>
      <c r="E224" s="146" t="s">
        <v>497</v>
      </c>
      <c r="F224" s="145" t="s">
        <v>26</v>
      </c>
      <c r="G224" s="146" t="s">
        <v>20</v>
      </c>
      <c r="H224" s="146">
        <v>201604</v>
      </c>
      <c r="I224" s="147">
        <v>70764.38</v>
      </c>
      <c r="J224" s="297">
        <f t="shared" si="15"/>
        <v>42675</v>
      </c>
      <c r="K224" s="67">
        <f t="shared" si="13"/>
        <v>6</v>
      </c>
      <c r="L224" s="148">
        <v>1.4833299999999999E-3</v>
      </c>
      <c r="M224" s="104">
        <f t="shared" si="12"/>
        <v>629.80156671240002</v>
      </c>
      <c r="O224" s="66"/>
      <c r="Q224" s="66">
        <f t="shared" si="14"/>
        <v>1170.6934690458334</v>
      </c>
    </row>
    <row r="225" spans="1:17">
      <c r="A225" s="145" t="s">
        <v>626</v>
      </c>
      <c r="B225" s="146" t="s">
        <v>1148</v>
      </c>
      <c r="C225" s="146" t="s">
        <v>1149</v>
      </c>
      <c r="D225" s="145" t="s">
        <v>1150</v>
      </c>
      <c r="E225" s="146" t="s">
        <v>93</v>
      </c>
      <c r="F225" s="145" t="s">
        <v>1601</v>
      </c>
      <c r="G225" s="146" t="s">
        <v>20</v>
      </c>
      <c r="H225" s="146">
        <v>201604</v>
      </c>
      <c r="I225" s="147">
        <v>-0.42</v>
      </c>
      <c r="J225" s="297">
        <f t="shared" si="15"/>
        <v>42675</v>
      </c>
      <c r="K225" s="67">
        <f t="shared" si="13"/>
        <v>6</v>
      </c>
      <c r="L225" s="148">
        <v>1.4833299999999999E-3</v>
      </c>
      <c r="M225" s="104">
        <f t="shared" si="12"/>
        <v>-3.7379915999999997E-3</v>
      </c>
      <c r="O225" s="66"/>
      <c r="Q225" s="66">
        <f t="shared" si="14"/>
        <v>-6.9482874999999998E-3</v>
      </c>
    </row>
    <row r="226" spans="1:17">
      <c r="A226" s="145" t="s">
        <v>21</v>
      </c>
      <c r="B226" s="146" t="s">
        <v>1502</v>
      </c>
      <c r="C226" s="146" t="s">
        <v>1503</v>
      </c>
      <c r="D226" s="145" t="s">
        <v>1504</v>
      </c>
      <c r="E226" s="146" t="s">
        <v>172</v>
      </c>
      <c r="F226" s="145" t="s">
        <v>1609</v>
      </c>
      <c r="G226" s="146" t="s">
        <v>20</v>
      </c>
      <c r="H226" s="146">
        <v>201604</v>
      </c>
      <c r="I226" s="147">
        <v>-13.84</v>
      </c>
      <c r="J226" s="297">
        <f t="shared" si="15"/>
        <v>42675</v>
      </c>
      <c r="K226" s="67">
        <f t="shared" si="13"/>
        <v>6</v>
      </c>
      <c r="L226" s="148">
        <v>1.4833299999999999E-3</v>
      </c>
      <c r="M226" s="104">
        <f t="shared" si="12"/>
        <v>-0.1231757232</v>
      </c>
      <c r="O226" s="66"/>
      <c r="Q226" s="66">
        <f t="shared" si="14"/>
        <v>-0.22896261666666667</v>
      </c>
    </row>
    <row r="227" spans="1:17">
      <c r="A227" s="145" t="s">
        <v>21</v>
      </c>
      <c r="B227" s="146" t="s">
        <v>1948</v>
      </c>
      <c r="C227" s="146" t="s">
        <v>1949</v>
      </c>
      <c r="D227" s="145" t="s">
        <v>1950</v>
      </c>
      <c r="E227" s="146" t="s">
        <v>756</v>
      </c>
      <c r="F227" s="145" t="s">
        <v>757</v>
      </c>
      <c r="G227" s="146" t="s">
        <v>20</v>
      </c>
      <c r="H227" s="146">
        <v>201604</v>
      </c>
      <c r="I227" s="147">
        <v>452.73</v>
      </c>
      <c r="J227" s="297">
        <f t="shared" si="15"/>
        <v>42675</v>
      </c>
      <c r="K227" s="67">
        <f t="shared" si="13"/>
        <v>6</v>
      </c>
      <c r="L227" s="148">
        <v>1.4833299999999999E-3</v>
      </c>
      <c r="M227" s="104">
        <f t="shared" si="12"/>
        <v>4.0292879454000001</v>
      </c>
      <c r="O227" s="66"/>
      <c r="Q227" s="66">
        <f t="shared" si="14"/>
        <v>7.4897576187499997</v>
      </c>
    </row>
    <row r="228" spans="1:17">
      <c r="A228" s="145" t="s">
        <v>21</v>
      </c>
      <c r="B228" s="146" t="s">
        <v>1858</v>
      </c>
      <c r="C228" s="146" t="s">
        <v>1859</v>
      </c>
      <c r="D228" s="145" t="s">
        <v>1860</v>
      </c>
      <c r="E228" s="146" t="s">
        <v>70</v>
      </c>
      <c r="F228" s="145" t="s">
        <v>71</v>
      </c>
      <c r="G228" s="146" t="s">
        <v>20</v>
      </c>
      <c r="H228" s="146">
        <v>201604</v>
      </c>
      <c r="I228" s="147">
        <v>55.96</v>
      </c>
      <c r="J228" s="297">
        <f t="shared" si="15"/>
        <v>42675</v>
      </c>
      <c r="K228" s="67">
        <f t="shared" si="13"/>
        <v>6</v>
      </c>
      <c r="L228" s="148">
        <v>1.4833299999999999E-3</v>
      </c>
      <c r="M228" s="104">
        <f t="shared" si="12"/>
        <v>0.49804288080000003</v>
      </c>
      <c r="O228" s="66"/>
      <c r="Q228" s="66">
        <f t="shared" si="14"/>
        <v>0.9257765916666667</v>
      </c>
    </row>
    <row r="229" spans="1:17">
      <c r="A229" s="145" t="s">
        <v>626</v>
      </c>
      <c r="B229" s="146" t="s">
        <v>1169</v>
      </c>
      <c r="C229" s="146" t="s">
        <v>1170</v>
      </c>
      <c r="D229" s="145" t="s">
        <v>1171</v>
      </c>
      <c r="E229" s="146" t="s">
        <v>164</v>
      </c>
      <c r="F229" s="145" t="s">
        <v>1600</v>
      </c>
      <c r="G229" s="146" t="s">
        <v>20</v>
      </c>
      <c r="H229" s="146">
        <v>201604</v>
      </c>
      <c r="I229" s="147">
        <v>3924.77</v>
      </c>
      <c r="J229" s="297">
        <f t="shared" si="15"/>
        <v>42675</v>
      </c>
      <c r="K229" s="67">
        <f t="shared" si="13"/>
        <v>6</v>
      </c>
      <c r="L229" s="148">
        <v>1.4833299999999999E-3</v>
      </c>
      <c r="M229" s="104">
        <f t="shared" si="12"/>
        <v>34.930374504600003</v>
      </c>
      <c r="O229" s="66"/>
      <c r="Q229" s="66">
        <f t="shared" si="14"/>
        <v>64.929596027083335</v>
      </c>
    </row>
    <row r="230" spans="1:17">
      <c r="A230" s="145" t="s">
        <v>626</v>
      </c>
      <c r="B230" s="146" t="s">
        <v>1172</v>
      </c>
      <c r="C230" s="146" t="s">
        <v>1173</v>
      </c>
      <c r="D230" s="145" t="s">
        <v>1174</v>
      </c>
      <c r="E230" s="146" t="s">
        <v>156</v>
      </c>
      <c r="F230" s="145" t="s">
        <v>26</v>
      </c>
      <c r="G230" s="146" t="s">
        <v>20</v>
      </c>
      <c r="H230" s="146">
        <v>201604</v>
      </c>
      <c r="I230" s="147">
        <v>543.78</v>
      </c>
      <c r="J230" s="297">
        <f t="shared" si="15"/>
        <v>42675</v>
      </c>
      <c r="K230" s="67">
        <f t="shared" si="13"/>
        <v>6</v>
      </c>
      <c r="L230" s="148">
        <v>1.4833299999999999E-3</v>
      </c>
      <c r="M230" s="104">
        <f t="shared" si="12"/>
        <v>4.8396311243999994</v>
      </c>
      <c r="O230" s="66"/>
      <c r="Q230" s="66">
        <f t="shared" si="14"/>
        <v>8.9960470874999992</v>
      </c>
    </row>
    <row r="231" spans="1:17">
      <c r="A231" s="145" t="s">
        <v>626</v>
      </c>
      <c r="B231" s="146" t="s">
        <v>1545</v>
      </c>
      <c r="C231" s="146" t="s">
        <v>1546</v>
      </c>
      <c r="D231" s="145" t="s">
        <v>1547</v>
      </c>
      <c r="E231" s="146" t="s">
        <v>164</v>
      </c>
      <c r="F231" s="145" t="s">
        <v>1600</v>
      </c>
      <c r="G231" s="146" t="s">
        <v>20</v>
      </c>
      <c r="H231" s="146">
        <v>201604</v>
      </c>
      <c r="I231" s="147">
        <v>-5.46</v>
      </c>
      <c r="J231" s="297">
        <f t="shared" si="15"/>
        <v>42675</v>
      </c>
      <c r="K231" s="67">
        <f t="shared" si="13"/>
        <v>6</v>
      </c>
      <c r="L231" s="148">
        <v>1.4833299999999999E-3</v>
      </c>
      <c r="M231" s="104">
        <f t="shared" si="12"/>
        <v>-4.8593890799999997E-2</v>
      </c>
      <c r="O231" s="66"/>
      <c r="Q231" s="66">
        <f t="shared" si="14"/>
        <v>-9.0327737500000005E-2</v>
      </c>
    </row>
    <row r="232" spans="1:17">
      <c r="A232" s="145" t="s">
        <v>21</v>
      </c>
      <c r="B232" s="146" t="s">
        <v>1420</v>
      </c>
      <c r="C232" s="146" t="s">
        <v>1421</v>
      </c>
      <c r="D232" s="145" t="s">
        <v>1422</v>
      </c>
      <c r="E232" s="146" t="s">
        <v>260</v>
      </c>
      <c r="F232" s="145" t="s">
        <v>1608</v>
      </c>
      <c r="G232" s="146" t="s">
        <v>20</v>
      </c>
      <c r="H232" s="146">
        <v>201604</v>
      </c>
      <c r="I232" s="147">
        <v>12.89</v>
      </c>
      <c r="J232" s="297">
        <f t="shared" si="15"/>
        <v>42675</v>
      </c>
      <c r="K232" s="67">
        <f t="shared" si="13"/>
        <v>6</v>
      </c>
      <c r="L232" s="148">
        <v>1.4833299999999999E-3</v>
      </c>
      <c r="M232" s="104">
        <f t="shared" si="12"/>
        <v>0.1147207422</v>
      </c>
      <c r="O232" s="66"/>
      <c r="Q232" s="66">
        <f t="shared" si="14"/>
        <v>0.21324625208333334</v>
      </c>
    </row>
    <row r="233" spans="1:17">
      <c r="A233" s="145" t="s">
        <v>626</v>
      </c>
      <c r="B233" s="146" t="s">
        <v>1420</v>
      </c>
      <c r="C233" s="146" t="s">
        <v>1421</v>
      </c>
      <c r="D233" s="145" t="s">
        <v>1422</v>
      </c>
      <c r="E233" s="146" t="s">
        <v>260</v>
      </c>
      <c r="F233" s="145" t="s">
        <v>1608</v>
      </c>
      <c r="G233" s="146" t="s">
        <v>20</v>
      </c>
      <c r="H233" s="146">
        <v>201604</v>
      </c>
      <c r="I233" s="147">
        <v>50.22</v>
      </c>
      <c r="J233" s="297">
        <f t="shared" si="15"/>
        <v>42675</v>
      </c>
      <c r="K233" s="67">
        <f t="shared" si="13"/>
        <v>6</v>
      </c>
      <c r="L233" s="148">
        <v>1.4833299999999999E-3</v>
      </c>
      <c r="M233" s="104">
        <f t="shared" si="12"/>
        <v>0.44695699560000002</v>
      </c>
      <c r="O233" s="66"/>
      <c r="Q233" s="66">
        <f t="shared" si="14"/>
        <v>0.83081666249999997</v>
      </c>
    </row>
    <row r="234" spans="1:17">
      <c r="A234" s="145" t="s">
        <v>626</v>
      </c>
      <c r="B234" s="146" t="s">
        <v>1268</v>
      </c>
      <c r="C234" s="146" t="s">
        <v>1269</v>
      </c>
      <c r="D234" s="145" t="s">
        <v>1270</v>
      </c>
      <c r="E234" s="146" t="s">
        <v>260</v>
      </c>
      <c r="F234" s="145" t="s">
        <v>1608</v>
      </c>
      <c r="G234" s="146" t="s">
        <v>20</v>
      </c>
      <c r="H234" s="146">
        <v>201604</v>
      </c>
      <c r="I234" s="147">
        <v>-0.31</v>
      </c>
      <c r="J234" s="297">
        <f t="shared" si="15"/>
        <v>42675</v>
      </c>
      <c r="K234" s="67">
        <f t="shared" si="13"/>
        <v>6</v>
      </c>
      <c r="L234" s="148">
        <v>1.4833299999999999E-3</v>
      </c>
      <c r="M234" s="104">
        <f t="shared" si="12"/>
        <v>-2.7589937999999998E-3</v>
      </c>
      <c r="O234" s="66"/>
      <c r="Q234" s="66">
        <f t="shared" si="14"/>
        <v>-5.1284979166666663E-3</v>
      </c>
    </row>
    <row r="235" spans="1:17">
      <c r="A235" s="145" t="s">
        <v>127</v>
      </c>
      <c r="B235" s="146" t="s">
        <v>1785</v>
      </c>
      <c r="C235" s="146" t="s">
        <v>1786</v>
      </c>
      <c r="D235" s="145" t="s">
        <v>1787</v>
      </c>
      <c r="E235" s="146" t="s">
        <v>1580</v>
      </c>
      <c r="F235" s="145" t="s">
        <v>217</v>
      </c>
      <c r="G235" s="146" t="s">
        <v>20</v>
      </c>
      <c r="H235" s="146">
        <v>201604</v>
      </c>
      <c r="I235" s="147">
        <v>105.33</v>
      </c>
      <c r="J235" s="297">
        <f t="shared" si="15"/>
        <v>42675</v>
      </c>
      <c r="K235" s="67">
        <f t="shared" si="13"/>
        <v>6</v>
      </c>
      <c r="L235" s="148">
        <v>2.3833299999999999E-3</v>
      </c>
      <c r="M235" s="104">
        <f t="shared" si="12"/>
        <v>1.5062168934</v>
      </c>
      <c r="O235" s="66"/>
      <c r="Q235" s="66">
        <f t="shared" si="14"/>
        <v>1.74253124375</v>
      </c>
    </row>
    <row r="236" spans="1:17">
      <c r="A236" s="145" t="s">
        <v>626</v>
      </c>
      <c r="B236" s="146" t="s">
        <v>1508</v>
      </c>
      <c r="C236" s="146" t="s">
        <v>1509</v>
      </c>
      <c r="D236" s="145" t="s">
        <v>1510</v>
      </c>
      <c r="E236" s="146" t="s">
        <v>75</v>
      </c>
      <c r="F236" s="145" t="s">
        <v>1602</v>
      </c>
      <c r="G236" s="146" t="s">
        <v>20</v>
      </c>
      <c r="H236" s="146">
        <v>201604</v>
      </c>
      <c r="I236" s="147">
        <v>1627.66</v>
      </c>
      <c r="J236" s="297">
        <f t="shared" si="15"/>
        <v>42675</v>
      </c>
      <c r="K236" s="67">
        <f t="shared" si="13"/>
        <v>6</v>
      </c>
      <c r="L236" s="148">
        <v>1.4833299999999999E-3</v>
      </c>
      <c r="M236" s="104">
        <f t="shared" si="12"/>
        <v>14.486141446800001</v>
      </c>
      <c r="O236" s="66"/>
      <c r="Q236" s="66">
        <f t="shared" si="14"/>
        <v>26.927261029166669</v>
      </c>
    </row>
    <row r="237" spans="1:17">
      <c r="A237" s="145" t="s">
        <v>626</v>
      </c>
      <c r="B237" s="146" t="s">
        <v>1829</v>
      </c>
      <c r="C237" s="146" t="s">
        <v>1830</v>
      </c>
      <c r="D237" s="145" t="s">
        <v>1831</v>
      </c>
      <c r="E237" s="146" t="s">
        <v>497</v>
      </c>
      <c r="F237" s="145" t="s">
        <v>26</v>
      </c>
      <c r="G237" s="146" t="s">
        <v>20</v>
      </c>
      <c r="H237" s="146">
        <v>201604</v>
      </c>
      <c r="I237" s="147">
        <v>-4636.46</v>
      </c>
      <c r="J237" s="297">
        <f t="shared" si="15"/>
        <v>42675</v>
      </c>
      <c r="K237" s="67">
        <f t="shared" si="13"/>
        <v>6</v>
      </c>
      <c r="L237" s="148">
        <v>1.4833299999999999E-3</v>
      </c>
      <c r="M237" s="104">
        <f t="shared" si="12"/>
        <v>-41.264401270800001</v>
      </c>
      <c r="O237" s="66"/>
      <c r="Q237" s="66">
        <f t="shared" si="14"/>
        <v>-76.703469195833335</v>
      </c>
    </row>
    <row r="238" spans="1:17">
      <c r="A238" s="145" t="s">
        <v>21</v>
      </c>
      <c r="B238" s="146" t="s">
        <v>1829</v>
      </c>
      <c r="C238" s="146" t="s">
        <v>1830</v>
      </c>
      <c r="D238" s="145" t="s">
        <v>1831</v>
      </c>
      <c r="E238" s="146" t="s">
        <v>497</v>
      </c>
      <c r="F238" s="145" t="s">
        <v>26</v>
      </c>
      <c r="G238" s="146" t="s">
        <v>20</v>
      </c>
      <c r="H238" s="146">
        <v>201604</v>
      </c>
      <c r="I238" s="147">
        <v>4671.67</v>
      </c>
      <c r="J238" s="297">
        <f t="shared" si="15"/>
        <v>42675</v>
      </c>
      <c r="K238" s="67">
        <f t="shared" si="13"/>
        <v>6</v>
      </c>
      <c r="L238" s="148">
        <v>1.4833299999999999E-3</v>
      </c>
      <c r="M238" s="104">
        <f t="shared" si="12"/>
        <v>41.577769566600004</v>
      </c>
      <c r="O238" s="66"/>
      <c r="Q238" s="66">
        <f t="shared" si="14"/>
        <v>77.28596729791667</v>
      </c>
    </row>
    <row r="239" spans="1:17">
      <c r="A239" s="145" t="s">
        <v>626</v>
      </c>
      <c r="B239" s="146" t="s">
        <v>1709</v>
      </c>
      <c r="C239" s="146" t="s">
        <v>1710</v>
      </c>
      <c r="D239" s="145" t="s">
        <v>1711</v>
      </c>
      <c r="E239" s="146" t="s">
        <v>497</v>
      </c>
      <c r="F239" s="145" t="s">
        <v>26</v>
      </c>
      <c r="G239" s="146" t="s">
        <v>20</v>
      </c>
      <c r="H239" s="146">
        <v>201604</v>
      </c>
      <c r="I239" s="147">
        <v>5.1100000000000003</v>
      </c>
      <c r="J239" s="297">
        <f t="shared" si="15"/>
        <v>42675</v>
      </c>
      <c r="K239" s="67">
        <f t="shared" si="13"/>
        <v>6</v>
      </c>
      <c r="L239" s="148">
        <v>1.4833299999999999E-3</v>
      </c>
      <c r="M239" s="104">
        <f t="shared" si="12"/>
        <v>4.5478897800000001E-2</v>
      </c>
      <c r="O239" s="66"/>
      <c r="Q239" s="66">
        <f t="shared" si="14"/>
        <v>8.4537497916666662E-2</v>
      </c>
    </row>
    <row r="240" spans="1:17">
      <c r="A240" s="145" t="s">
        <v>626</v>
      </c>
      <c r="B240" s="146" t="s">
        <v>1861</v>
      </c>
      <c r="C240" s="146" t="s">
        <v>1862</v>
      </c>
      <c r="D240" s="145" t="s">
        <v>1863</v>
      </c>
      <c r="E240" s="146" t="s">
        <v>75</v>
      </c>
      <c r="F240" s="145" t="s">
        <v>1602</v>
      </c>
      <c r="G240" s="146" t="s">
        <v>20</v>
      </c>
      <c r="H240" s="146">
        <v>201604</v>
      </c>
      <c r="I240" s="147">
        <v>587.9</v>
      </c>
      <c r="J240" s="297">
        <f t="shared" si="15"/>
        <v>42675</v>
      </c>
      <c r="K240" s="67">
        <f t="shared" si="13"/>
        <v>6</v>
      </c>
      <c r="L240" s="148">
        <v>1.4833299999999999E-3</v>
      </c>
      <c r="M240" s="104">
        <f t="shared" si="12"/>
        <v>5.2322982419999997</v>
      </c>
      <c r="O240" s="66"/>
      <c r="Q240" s="66">
        <f t="shared" si="14"/>
        <v>9.7259481458333319</v>
      </c>
    </row>
    <row r="241" spans="1:17">
      <c r="A241" s="145" t="s">
        <v>626</v>
      </c>
      <c r="B241" s="146" t="s">
        <v>1511</v>
      </c>
      <c r="C241" s="146" t="s">
        <v>1512</v>
      </c>
      <c r="D241" s="145" t="s">
        <v>1513</v>
      </c>
      <c r="E241" s="146" t="s">
        <v>260</v>
      </c>
      <c r="F241" s="145" t="s">
        <v>1608</v>
      </c>
      <c r="G241" s="146" t="s">
        <v>20</v>
      </c>
      <c r="H241" s="146">
        <v>201604</v>
      </c>
      <c r="I241" s="147">
        <v>15.96</v>
      </c>
      <c r="J241" s="297">
        <f t="shared" si="15"/>
        <v>42675</v>
      </c>
      <c r="K241" s="67">
        <f t="shared" si="13"/>
        <v>6</v>
      </c>
      <c r="L241" s="148">
        <v>1.4833299999999999E-3</v>
      </c>
      <c r="M241" s="104">
        <f t="shared" si="12"/>
        <v>0.14204368080000002</v>
      </c>
      <c r="O241" s="66"/>
      <c r="Q241" s="66">
        <f t="shared" si="14"/>
        <v>0.26403492500000003</v>
      </c>
    </row>
    <row r="242" spans="1:17">
      <c r="A242" s="145" t="s">
        <v>626</v>
      </c>
      <c r="B242" s="146" t="s">
        <v>1864</v>
      </c>
      <c r="C242" s="146" t="s">
        <v>1865</v>
      </c>
      <c r="D242" s="145" t="s">
        <v>1866</v>
      </c>
      <c r="E242" s="146" t="s">
        <v>75</v>
      </c>
      <c r="F242" s="145" t="s">
        <v>1602</v>
      </c>
      <c r="G242" s="146" t="s">
        <v>20</v>
      </c>
      <c r="H242" s="146">
        <v>201604</v>
      </c>
      <c r="I242" s="147">
        <v>-4635.05</v>
      </c>
      <c r="J242" s="297">
        <f t="shared" si="15"/>
        <v>42675</v>
      </c>
      <c r="K242" s="67">
        <f t="shared" si="13"/>
        <v>6</v>
      </c>
      <c r="L242" s="148">
        <v>1.4833299999999999E-3</v>
      </c>
      <c r="M242" s="104">
        <f t="shared" si="12"/>
        <v>-41.251852298999999</v>
      </c>
      <c r="O242" s="66"/>
      <c r="Q242" s="66">
        <f t="shared" si="14"/>
        <v>-76.680142802083338</v>
      </c>
    </row>
    <row r="243" spans="1:17">
      <c r="A243" s="145" t="s">
        <v>626</v>
      </c>
      <c r="B243" s="146" t="s">
        <v>1867</v>
      </c>
      <c r="C243" s="146" t="s">
        <v>1868</v>
      </c>
      <c r="D243" s="145" t="s">
        <v>1869</v>
      </c>
      <c r="E243" s="146" t="s">
        <v>75</v>
      </c>
      <c r="F243" s="145" t="s">
        <v>1602</v>
      </c>
      <c r="G243" s="146" t="s">
        <v>20</v>
      </c>
      <c r="H243" s="146">
        <v>201604</v>
      </c>
      <c r="I243" s="147">
        <v>69.61</v>
      </c>
      <c r="J243" s="297">
        <f t="shared" si="15"/>
        <v>42675</v>
      </c>
      <c r="K243" s="67">
        <f t="shared" si="13"/>
        <v>6</v>
      </c>
      <c r="L243" s="148">
        <v>1.4833299999999999E-3</v>
      </c>
      <c r="M243" s="104">
        <f t="shared" si="12"/>
        <v>0.61952760780000005</v>
      </c>
      <c r="O243" s="66"/>
      <c r="Q243" s="66">
        <f t="shared" si="14"/>
        <v>1.1515959354166667</v>
      </c>
    </row>
    <row r="244" spans="1:17">
      <c r="A244" s="145" t="s">
        <v>626</v>
      </c>
      <c r="B244" s="146" t="s">
        <v>1870</v>
      </c>
      <c r="C244" s="146" t="s">
        <v>1871</v>
      </c>
      <c r="D244" s="145" t="s">
        <v>1872</v>
      </c>
      <c r="E244" s="146" t="s">
        <v>75</v>
      </c>
      <c r="F244" s="145" t="s">
        <v>1602</v>
      </c>
      <c r="G244" s="146" t="s">
        <v>20</v>
      </c>
      <c r="H244" s="146">
        <v>201604</v>
      </c>
      <c r="I244" s="147">
        <v>2050.66</v>
      </c>
      <c r="J244" s="297">
        <f t="shared" si="15"/>
        <v>42675</v>
      </c>
      <c r="K244" s="67">
        <f t="shared" si="13"/>
        <v>6</v>
      </c>
      <c r="L244" s="148">
        <v>1.4833299999999999E-3</v>
      </c>
      <c r="M244" s="104">
        <f t="shared" si="12"/>
        <v>18.250832986799999</v>
      </c>
      <c r="O244" s="66"/>
      <c r="Q244" s="66">
        <f t="shared" si="14"/>
        <v>33.925179154166663</v>
      </c>
    </row>
    <row r="245" spans="1:17">
      <c r="A245" s="145" t="s">
        <v>626</v>
      </c>
      <c r="B245" s="146" t="s">
        <v>1514</v>
      </c>
      <c r="C245" s="146" t="s">
        <v>1515</v>
      </c>
      <c r="D245" s="145" t="s">
        <v>1516</v>
      </c>
      <c r="E245" s="146" t="s">
        <v>809</v>
      </c>
      <c r="F245" s="145" t="s">
        <v>26</v>
      </c>
      <c r="G245" s="146" t="s">
        <v>20</v>
      </c>
      <c r="H245" s="146">
        <v>201604</v>
      </c>
      <c r="I245" s="147">
        <v>19.57</v>
      </c>
      <c r="J245" s="297">
        <f t="shared" si="15"/>
        <v>42675</v>
      </c>
      <c r="K245" s="67">
        <f t="shared" si="13"/>
        <v>6</v>
      </c>
      <c r="L245" s="148">
        <v>1.4833299999999999E-3</v>
      </c>
      <c r="M245" s="104">
        <f t="shared" si="12"/>
        <v>0.1741726086</v>
      </c>
      <c r="O245" s="66"/>
      <c r="Q245" s="66">
        <f t="shared" si="14"/>
        <v>0.32375711041666666</v>
      </c>
    </row>
    <row r="246" spans="1:17">
      <c r="A246" s="145" t="s">
        <v>626</v>
      </c>
      <c r="B246" s="146" t="s">
        <v>1873</v>
      </c>
      <c r="C246" s="146" t="s">
        <v>1874</v>
      </c>
      <c r="D246" s="145" t="s">
        <v>1875</v>
      </c>
      <c r="E246" s="146" t="s">
        <v>75</v>
      </c>
      <c r="F246" s="145" t="s">
        <v>1602</v>
      </c>
      <c r="G246" s="146" t="s">
        <v>20</v>
      </c>
      <c r="H246" s="146">
        <v>201604</v>
      </c>
      <c r="I246" s="147">
        <v>3328.83</v>
      </c>
      <c r="J246" s="297">
        <f t="shared" si="15"/>
        <v>42675</v>
      </c>
      <c r="K246" s="67">
        <f t="shared" si="13"/>
        <v>6</v>
      </c>
      <c r="L246" s="148">
        <v>1.4833299999999999E-3</v>
      </c>
      <c r="M246" s="104">
        <f t="shared" si="12"/>
        <v>29.626520423399999</v>
      </c>
      <c r="O246" s="66"/>
      <c r="Q246" s="66">
        <f t="shared" si="14"/>
        <v>55.070637806249998</v>
      </c>
    </row>
    <row r="247" spans="1:17">
      <c r="A247" s="145" t="s">
        <v>626</v>
      </c>
      <c r="B247" s="146" t="s">
        <v>1681</v>
      </c>
      <c r="C247" s="146" t="s">
        <v>1703</v>
      </c>
      <c r="D247" s="145" t="s">
        <v>1704</v>
      </c>
      <c r="E247" s="146" t="s">
        <v>164</v>
      </c>
      <c r="F247" s="145" t="s">
        <v>1600</v>
      </c>
      <c r="G247" s="146" t="s">
        <v>20</v>
      </c>
      <c r="H247" s="146">
        <v>201604</v>
      </c>
      <c r="I247" s="147">
        <v>52953.26</v>
      </c>
      <c r="J247" s="297">
        <f t="shared" si="15"/>
        <v>42675</v>
      </c>
      <c r="K247" s="67">
        <f t="shared" si="13"/>
        <v>6</v>
      </c>
      <c r="L247" s="148">
        <v>1.4833299999999999E-3</v>
      </c>
      <c r="M247" s="104">
        <f t="shared" si="12"/>
        <v>471.28295493480005</v>
      </c>
      <c r="O247" s="66"/>
      <c r="Q247" s="66">
        <f t="shared" si="14"/>
        <v>876.03446319583338</v>
      </c>
    </row>
    <row r="248" spans="1:17">
      <c r="A248" s="145" t="s">
        <v>626</v>
      </c>
      <c r="B248" s="146" t="s">
        <v>1681</v>
      </c>
      <c r="C248" s="146" t="s">
        <v>1705</v>
      </c>
      <c r="D248" s="145" t="s">
        <v>1706</v>
      </c>
      <c r="E248" s="146" t="s">
        <v>75</v>
      </c>
      <c r="F248" s="145" t="s">
        <v>1602</v>
      </c>
      <c r="G248" s="146" t="s">
        <v>20</v>
      </c>
      <c r="H248" s="146">
        <v>201604</v>
      </c>
      <c r="I248" s="147">
        <v>23340.87</v>
      </c>
      <c r="J248" s="297">
        <f t="shared" si="15"/>
        <v>42675</v>
      </c>
      <c r="K248" s="67">
        <f t="shared" si="13"/>
        <v>6</v>
      </c>
      <c r="L248" s="148">
        <v>1.4833299999999999E-3</v>
      </c>
      <c r="M248" s="104">
        <f t="shared" si="12"/>
        <v>207.73327618259998</v>
      </c>
      <c r="O248" s="66"/>
      <c r="Q248" s="66">
        <f t="shared" si="14"/>
        <v>386.14065538124999</v>
      </c>
    </row>
    <row r="249" spans="1:17">
      <c r="A249" s="145" t="s">
        <v>626</v>
      </c>
      <c r="B249" s="146" t="s">
        <v>1681</v>
      </c>
      <c r="C249" s="146" t="s">
        <v>1707</v>
      </c>
      <c r="D249" s="145" t="s">
        <v>1708</v>
      </c>
      <c r="E249" s="146" t="s">
        <v>75</v>
      </c>
      <c r="F249" s="145" t="s">
        <v>1602</v>
      </c>
      <c r="G249" s="146" t="s">
        <v>20</v>
      </c>
      <c r="H249" s="146">
        <v>201604</v>
      </c>
      <c r="I249" s="147">
        <v>408.31</v>
      </c>
      <c r="J249" s="297">
        <f t="shared" si="15"/>
        <v>42675</v>
      </c>
      <c r="K249" s="67">
        <f t="shared" si="13"/>
        <v>6</v>
      </c>
      <c r="L249" s="148">
        <v>1.4833299999999999E-3</v>
      </c>
      <c r="M249" s="104">
        <f t="shared" si="12"/>
        <v>3.6339508338000002</v>
      </c>
      <c r="O249" s="66"/>
      <c r="Q249" s="66">
        <f t="shared" si="14"/>
        <v>6.7548934979166662</v>
      </c>
    </row>
    <row r="250" spans="1:17">
      <c r="A250" s="145" t="s">
        <v>626</v>
      </c>
      <c r="B250" s="146" t="s">
        <v>1832</v>
      </c>
      <c r="C250" s="146" t="s">
        <v>1833</v>
      </c>
      <c r="D250" s="145" t="s">
        <v>1834</v>
      </c>
      <c r="E250" s="146" t="s">
        <v>497</v>
      </c>
      <c r="F250" s="145" t="s">
        <v>26</v>
      </c>
      <c r="G250" s="146" t="s">
        <v>20</v>
      </c>
      <c r="H250" s="146">
        <v>201604</v>
      </c>
      <c r="I250" s="147">
        <v>129.38999999999999</v>
      </c>
      <c r="J250" s="297">
        <f t="shared" si="15"/>
        <v>42675</v>
      </c>
      <c r="K250" s="67">
        <f t="shared" si="13"/>
        <v>6</v>
      </c>
      <c r="L250" s="148">
        <v>1.4833299999999999E-3</v>
      </c>
      <c r="M250" s="104">
        <f t="shared" si="12"/>
        <v>1.1515684121999998</v>
      </c>
      <c r="O250" s="66"/>
      <c r="Q250" s="66">
        <f t="shared" si="14"/>
        <v>2.1405688562499998</v>
      </c>
    </row>
    <row r="251" spans="1:17">
      <c r="A251" s="145" t="s">
        <v>626</v>
      </c>
      <c r="B251" s="146" t="s">
        <v>1712</v>
      </c>
      <c r="C251" s="146" t="s">
        <v>1713</v>
      </c>
      <c r="D251" s="145" t="s">
        <v>1714</v>
      </c>
      <c r="E251" s="146" t="s">
        <v>497</v>
      </c>
      <c r="F251" s="145" t="s">
        <v>26</v>
      </c>
      <c r="G251" s="146" t="s">
        <v>20</v>
      </c>
      <c r="H251" s="146">
        <v>201604</v>
      </c>
      <c r="I251" s="147">
        <v>15.71</v>
      </c>
      <c r="J251" s="297">
        <f t="shared" si="15"/>
        <v>42675</v>
      </c>
      <c r="K251" s="67">
        <f t="shared" si="13"/>
        <v>6</v>
      </c>
      <c r="L251" s="148">
        <v>1.4833299999999999E-3</v>
      </c>
      <c r="M251" s="104">
        <f t="shared" si="12"/>
        <v>0.13981868580000001</v>
      </c>
      <c r="O251" s="66"/>
      <c r="Q251" s="66">
        <f t="shared" si="14"/>
        <v>0.25989903958333332</v>
      </c>
    </row>
    <row r="252" spans="1:17">
      <c r="A252" s="145" t="s">
        <v>626</v>
      </c>
      <c r="B252" s="146" t="s">
        <v>2030</v>
      </c>
      <c r="C252" s="146" t="s">
        <v>2031</v>
      </c>
      <c r="D252" s="145" t="s">
        <v>2032</v>
      </c>
      <c r="E252" s="146" t="s">
        <v>497</v>
      </c>
      <c r="F252" s="145" t="s">
        <v>26</v>
      </c>
      <c r="G252" s="146" t="s">
        <v>20</v>
      </c>
      <c r="H252" s="146">
        <v>201604</v>
      </c>
      <c r="I252" s="147">
        <v>3086.38</v>
      </c>
      <c r="J252" s="297">
        <f t="shared" si="15"/>
        <v>42675</v>
      </c>
      <c r="K252" s="67">
        <f t="shared" si="13"/>
        <v>6</v>
      </c>
      <c r="L252" s="148">
        <v>1.4833299999999999E-3</v>
      </c>
      <c r="M252" s="104">
        <f t="shared" si="12"/>
        <v>27.468720272400002</v>
      </c>
      <c r="O252" s="66"/>
      <c r="Q252" s="66">
        <f t="shared" si="14"/>
        <v>51.059656129166669</v>
      </c>
    </row>
    <row r="253" spans="1:17">
      <c r="A253" s="145" t="s">
        <v>626</v>
      </c>
      <c r="B253" s="146" t="s">
        <v>1715</v>
      </c>
      <c r="C253" s="146" t="s">
        <v>1716</v>
      </c>
      <c r="D253" s="145" t="s">
        <v>1717</v>
      </c>
      <c r="E253" s="146" t="s">
        <v>497</v>
      </c>
      <c r="F253" s="145" t="s">
        <v>26</v>
      </c>
      <c r="G253" s="146" t="s">
        <v>20</v>
      </c>
      <c r="H253" s="146">
        <v>201604</v>
      </c>
      <c r="I253" s="147">
        <v>-8.44</v>
      </c>
      <c r="J253" s="297">
        <f t="shared" si="15"/>
        <v>42675</v>
      </c>
      <c r="K253" s="67">
        <f t="shared" si="13"/>
        <v>6</v>
      </c>
      <c r="L253" s="148">
        <v>1.4833299999999999E-3</v>
      </c>
      <c r="M253" s="104">
        <f t="shared" si="12"/>
        <v>-7.5115831199999997E-2</v>
      </c>
      <c r="O253" s="66"/>
      <c r="Q253" s="66">
        <f t="shared" si="14"/>
        <v>-0.13962749166666666</v>
      </c>
    </row>
    <row r="254" spans="1:17">
      <c r="A254" s="145" t="s">
        <v>626</v>
      </c>
      <c r="B254" s="146" t="s">
        <v>1951</v>
      </c>
      <c r="C254" s="146" t="s">
        <v>1952</v>
      </c>
      <c r="D254" s="145" t="s">
        <v>1759</v>
      </c>
      <c r="E254" s="146" t="s">
        <v>75</v>
      </c>
      <c r="F254" s="145" t="s">
        <v>1602</v>
      </c>
      <c r="G254" s="146" t="s">
        <v>20</v>
      </c>
      <c r="H254" s="146">
        <v>201604</v>
      </c>
      <c r="I254" s="147">
        <v>1557.28</v>
      </c>
      <c r="J254" s="297">
        <f t="shared" si="15"/>
        <v>42675</v>
      </c>
      <c r="K254" s="67">
        <f t="shared" si="13"/>
        <v>6</v>
      </c>
      <c r="L254" s="148">
        <v>1.4833299999999999E-3</v>
      </c>
      <c r="M254" s="104">
        <f t="shared" si="12"/>
        <v>13.859760854399999</v>
      </c>
      <c r="O254" s="66"/>
      <c r="Q254" s="66">
        <f t="shared" si="14"/>
        <v>25.762926566666668</v>
      </c>
    </row>
    <row r="255" spans="1:17">
      <c r="A255" s="145" t="s">
        <v>626</v>
      </c>
      <c r="B255" s="146" t="s">
        <v>1835</v>
      </c>
      <c r="C255" s="146" t="s">
        <v>1836</v>
      </c>
      <c r="D255" s="145" t="s">
        <v>1837</v>
      </c>
      <c r="E255" s="146" t="s">
        <v>497</v>
      </c>
      <c r="F255" s="145" t="s">
        <v>26</v>
      </c>
      <c r="G255" s="146" t="s">
        <v>20</v>
      </c>
      <c r="H255" s="146">
        <v>201604</v>
      </c>
      <c r="I255" s="147">
        <v>247.08</v>
      </c>
      <c r="J255" s="297">
        <f t="shared" si="15"/>
        <v>42675</v>
      </c>
      <c r="K255" s="67">
        <f t="shared" si="13"/>
        <v>6</v>
      </c>
      <c r="L255" s="148">
        <v>1.4833299999999999E-3</v>
      </c>
      <c r="M255" s="104">
        <f t="shared" si="12"/>
        <v>2.1990070584000003</v>
      </c>
      <c r="O255" s="66"/>
      <c r="Q255" s="66">
        <f t="shared" si="14"/>
        <v>4.0875782750000003</v>
      </c>
    </row>
    <row r="256" spans="1:17">
      <c r="A256" s="145" t="s">
        <v>626</v>
      </c>
      <c r="B256" s="146" t="s">
        <v>1718</v>
      </c>
      <c r="C256" s="146" t="s">
        <v>1719</v>
      </c>
      <c r="D256" s="145" t="s">
        <v>1720</v>
      </c>
      <c r="E256" s="146" t="s">
        <v>497</v>
      </c>
      <c r="F256" s="145" t="s">
        <v>26</v>
      </c>
      <c r="G256" s="146" t="s">
        <v>20</v>
      </c>
      <c r="H256" s="146">
        <v>201604</v>
      </c>
      <c r="I256" s="147">
        <v>70.48</v>
      </c>
      <c r="J256" s="297">
        <f t="shared" si="15"/>
        <v>42675</v>
      </c>
      <c r="K256" s="67">
        <f t="shared" si="13"/>
        <v>6</v>
      </c>
      <c r="L256" s="148">
        <v>1.4833299999999999E-3</v>
      </c>
      <c r="M256" s="104">
        <f t="shared" si="12"/>
        <v>0.62727059039999999</v>
      </c>
      <c r="O256" s="66"/>
      <c r="Q256" s="66">
        <f t="shared" si="14"/>
        <v>1.1659888166666668</v>
      </c>
    </row>
    <row r="257" spans="1:17">
      <c r="A257" s="145" t="s">
        <v>626</v>
      </c>
      <c r="B257" s="146" t="s">
        <v>1620</v>
      </c>
      <c r="C257" s="146" t="s">
        <v>1621</v>
      </c>
      <c r="D257" s="145" t="s">
        <v>1622</v>
      </c>
      <c r="E257" s="146" t="s">
        <v>497</v>
      </c>
      <c r="F257" s="145" t="s">
        <v>26</v>
      </c>
      <c r="G257" s="146" t="s">
        <v>20</v>
      </c>
      <c r="H257" s="146">
        <v>201604</v>
      </c>
      <c r="I257" s="147">
        <v>8404.01</v>
      </c>
      <c r="J257" s="297">
        <f t="shared" si="15"/>
        <v>42675</v>
      </c>
      <c r="K257" s="67">
        <f t="shared" si="13"/>
        <v>6</v>
      </c>
      <c r="L257" s="148">
        <v>1.4833299999999999E-3</v>
      </c>
      <c r="M257" s="104">
        <f t="shared" si="12"/>
        <v>74.795520919799998</v>
      </c>
      <c r="O257" s="66"/>
      <c r="Q257" s="66">
        <f t="shared" si="14"/>
        <v>139.03208960208332</v>
      </c>
    </row>
    <row r="258" spans="1:17">
      <c r="A258" s="145" t="s">
        <v>626</v>
      </c>
      <c r="B258" s="146" t="s">
        <v>2036</v>
      </c>
      <c r="C258" s="146" t="s">
        <v>2037</v>
      </c>
      <c r="D258" s="145" t="s">
        <v>2038</v>
      </c>
      <c r="E258" s="146" t="s">
        <v>160</v>
      </c>
      <c r="F258" s="145" t="s">
        <v>19</v>
      </c>
      <c r="G258" s="146" t="s">
        <v>20</v>
      </c>
      <c r="H258" s="146">
        <v>201604</v>
      </c>
      <c r="I258" s="147">
        <v>119473.49</v>
      </c>
      <c r="J258" s="297">
        <f t="shared" si="15"/>
        <v>42675</v>
      </c>
      <c r="K258" s="67">
        <f t="shared" si="13"/>
        <v>6</v>
      </c>
      <c r="L258" s="148">
        <v>1.4833299999999999E-3</v>
      </c>
      <c r="M258" s="104">
        <f t="shared" si="12"/>
        <v>1063.3116715302001</v>
      </c>
      <c r="O258" s="66"/>
      <c r="Q258" s="66">
        <f t="shared" si="14"/>
        <v>1976.5146598770834</v>
      </c>
    </row>
    <row r="259" spans="1:17">
      <c r="A259" s="145" t="s">
        <v>626</v>
      </c>
      <c r="B259" s="146" t="s">
        <v>1770</v>
      </c>
      <c r="C259" s="146" t="s">
        <v>1771</v>
      </c>
      <c r="D259" s="145" t="s">
        <v>1772</v>
      </c>
      <c r="E259" s="146" t="s">
        <v>93</v>
      </c>
      <c r="F259" s="145" t="s">
        <v>1601</v>
      </c>
      <c r="G259" s="146" t="s">
        <v>20</v>
      </c>
      <c r="H259" s="146">
        <v>201604</v>
      </c>
      <c r="I259" s="147">
        <v>23.85</v>
      </c>
      <c r="J259" s="297">
        <f t="shared" si="15"/>
        <v>42675</v>
      </c>
      <c r="K259" s="67">
        <f t="shared" si="13"/>
        <v>6</v>
      </c>
      <c r="L259" s="148">
        <v>1.4833299999999999E-3</v>
      </c>
      <c r="M259" s="104">
        <f t="shared" si="12"/>
        <v>0.21226452300000001</v>
      </c>
      <c r="O259" s="66"/>
      <c r="Q259" s="66">
        <f t="shared" si="14"/>
        <v>0.39456346875000003</v>
      </c>
    </row>
    <row r="260" spans="1:17">
      <c r="A260" s="145" t="s">
        <v>626</v>
      </c>
      <c r="B260" s="146" t="s">
        <v>1721</v>
      </c>
      <c r="C260" s="146" t="s">
        <v>1722</v>
      </c>
      <c r="D260" s="145" t="s">
        <v>1723</v>
      </c>
      <c r="E260" s="146" t="s">
        <v>75</v>
      </c>
      <c r="F260" s="145" t="s">
        <v>1602</v>
      </c>
      <c r="G260" s="146" t="s">
        <v>20</v>
      </c>
      <c r="H260" s="146">
        <v>201604</v>
      </c>
      <c r="I260" s="147">
        <v>21.09</v>
      </c>
      <c r="J260" s="297">
        <f t="shared" si="15"/>
        <v>42675</v>
      </c>
      <c r="K260" s="67">
        <f t="shared" si="13"/>
        <v>6</v>
      </c>
      <c r="L260" s="148">
        <v>1.4833299999999999E-3</v>
      </c>
      <c r="M260" s="104">
        <f t="shared" si="12"/>
        <v>0.1877005782</v>
      </c>
      <c r="O260" s="66"/>
      <c r="Q260" s="66">
        <f t="shared" si="14"/>
        <v>0.34890329374999995</v>
      </c>
    </row>
    <row r="261" spans="1:17">
      <c r="A261" s="145" t="s">
        <v>626</v>
      </c>
      <c r="B261" s="146" t="s">
        <v>1953</v>
      </c>
      <c r="C261" s="146" t="s">
        <v>1954</v>
      </c>
      <c r="D261" s="145" t="s">
        <v>1955</v>
      </c>
      <c r="E261" s="146" t="s">
        <v>75</v>
      </c>
      <c r="F261" s="145" t="s">
        <v>1602</v>
      </c>
      <c r="G261" s="146" t="s">
        <v>20</v>
      </c>
      <c r="H261" s="146">
        <v>201604</v>
      </c>
      <c r="I261" s="147">
        <v>50.75</v>
      </c>
      <c r="J261" s="297">
        <f t="shared" si="15"/>
        <v>42675</v>
      </c>
      <c r="K261" s="67">
        <f t="shared" si="13"/>
        <v>6</v>
      </c>
      <c r="L261" s="148">
        <v>1.4833299999999999E-3</v>
      </c>
      <c r="M261" s="104">
        <f t="shared" ref="M261:M324" si="16">L261*K261*I261</f>
        <v>0.451673985</v>
      </c>
      <c r="O261" s="66"/>
      <c r="Q261" s="66">
        <f t="shared" si="14"/>
        <v>0.83958473958333335</v>
      </c>
    </row>
    <row r="262" spans="1:17">
      <c r="A262" s="145" t="s">
        <v>626</v>
      </c>
      <c r="B262" s="146" t="s">
        <v>1548</v>
      </c>
      <c r="C262" s="146" t="s">
        <v>1549</v>
      </c>
      <c r="D262" s="145" t="s">
        <v>1550</v>
      </c>
      <c r="E262" s="146" t="s">
        <v>164</v>
      </c>
      <c r="F262" s="145" t="s">
        <v>1600</v>
      </c>
      <c r="G262" s="146" t="s">
        <v>20</v>
      </c>
      <c r="H262" s="146">
        <v>201604</v>
      </c>
      <c r="I262" s="147">
        <v>26.66</v>
      </c>
      <c r="J262" s="297">
        <f t="shared" si="15"/>
        <v>42675</v>
      </c>
      <c r="K262" s="67">
        <f t="shared" ref="K262:K325" si="17">((YEAR($K$1)-YEAR(J262))*12+MONTH($K$1)-MONTH(J262))</f>
        <v>6</v>
      </c>
      <c r="L262" s="148">
        <v>1.4833299999999999E-3</v>
      </c>
      <c r="M262" s="104">
        <f t="shared" si="16"/>
        <v>0.2372734668</v>
      </c>
      <c r="O262" s="66"/>
      <c r="Q262" s="66">
        <f t="shared" ref="Q262:Q325" si="18">($Q$4*0.5*I262*$T$10)</f>
        <v>0.44105082083333336</v>
      </c>
    </row>
    <row r="263" spans="1:17">
      <c r="A263" s="145" t="s">
        <v>626</v>
      </c>
      <c r="B263" s="146" t="s">
        <v>1724</v>
      </c>
      <c r="C263" s="146" t="s">
        <v>1725</v>
      </c>
      <c r="D263" s="145" t="s">
        <v>1726</v>
      </c>
      <c r="E263" s="146" t="s">
        <v>75</v>
      </c>
      <c r="F263" s="145" t="s">
        <v>1602</v>
      </c>
      <c r="G263" s="146" t="s">
        <v>20</v>
      </c>
      <c r="H263" s="146">
        <v>201604</v>
      </c>
      <c r="I263" s="147">
        <v>-18.47</v>
      </c>
      <c r="J263" s="297">
        <f t="shared" ref="J263:J326" si="19">+J262</f>
        <v>42675</v>
      </c>
      <c r="K263" s="67">
        <f t="shared" si="17"/>
        <v>6</v>
      </c>
      <c r="L263" s="148">
        <v>1.4833299999999999E-3</v>
      </c>
      <c r="M263" s="104">
        <f t="shared" si="16"/>
        <v>-0.1643826306</v>
      </c>
      <c r="O263" s="66"/>
      <c r="Q263" s="66">
        <f t="shared" si="18"/>
        <v>-0.30555921458333335</v>
      </c>
    </row>
    <row r="264" spans="1:17">
      <c r="A264" s="145" t="s">
        <v>626</v>
      </c>
      <c r="B264" s="146" t="s">
        <v>1375</v>
      </c>
      <c r="C264" s="146" t="s">
        <v>1376</v>
      </c>
      <c r="D264" s="145" t="s">
        <v>1374</v>
      </c>
      <c r="E264" s="146" t="s">
        <v>497</v>
      </c>
      <c r="F264" s="145" t="s">
        <v>26</v>
      </c>
      <c r="G264" s="146" t="s">
        <v>20</v>
      </c>
      <c r="H264" s="146">
        <v>201604</v>
      </c>
      <c r="I264" s="147">
        <v>264.76</v>
      </c>
      <c r="J264" s="297">
        <f t="shared" si="19"/>
        <v>42675</v>
      </c>
      <c r="K264" s="67">
        <f t="shared" si="17"/>
        <v>6</v>
      </c>
      <c r="L264" s="148">
        <v>1.4833299999999999E-3</v>
      </c>
      <c r="M264" s="104">
        <f t="shared" si="16"/>
        <v>2.3563587047999999</v>
      </c>
      <c r="O264" s="66"/>
      <c r="Q264" s="66">
        <f t="shared" si="18"/>
        <v>4.3800680916666668</v>
      </c>
    </row>
    <row r="265" spans="1:17">
      <c r="A265" s="145" t="s">
        <v>626</v>
      </c>
      <c r="B265" s="146" t="s">
        <v>1444</v>
      </c>
      <c r="C265" s="146" t="s">
        <v>1445</v>
      </c>
      <c r="D265" s="145" t="s">
        <v>1282</v>
      </c>
      <c r="E265" s="146" t="s">
        <v>164</v>
      </c>
      <c r="F265" s="145" t="s">
        <v>1600</v>
      </c>
      <c r="G265" s="146" t="s">
        <v>20</v>
      </c>
      <c r="H265" s="146">
        <v>201604</v>
      </c>
      <c r="I265" s="147">
        <v>-191.97</v>
      </c>
      <c r="J265" s="297">
        <f t="shared" si="19"/>
        <v>42675</v>
      </c>
      <c r="K265" s="67">
        <f t="shared" si="17"/>
        <v>6</v>
      </c>
      <c r="L265" s="148">
        <v>1.4833299999999999E-3</v>
      </c>
      <c r="M265" s="104">
        <f t="shared" si="16"/>
        <v>-1.7085291605999999</v>
      </c>
      <c r="O265" s="66"/>
      <c r="Q265" s="66">
        <f t="shared" si="18"/>
        <v>-3.1758636937499998</v>
      </c>
    </row>
    <row r="266" spans="1:17">
      <c r="A266" s="145" t="s">
        <v>626</v>
      </c>
      <c r="B266" s="146" t="s">
        <v>1788</v>
      </c>
      <c r="C266" s="146" t="s">
        <v>1789</v>
      </c>
      <c r="D266" s="145" t="s">
        <v>1790</v>
      </c>
      <c r="E266" s="146" t="s">
        <v>25</v>
      </c>
      <c r="F266" s="145" t="s">
        <v>26</v>
      </c>
      <c r="G266" s="146" t="s">
        <v>20</v>
      </c>
      <c r="H266" s="146">
        <v>201604</v>
      </c>
      <c r="I266" s="147">
        <v>84.94</v>
      </c>
      <c r="J266" s="297">
        <f t="shared" si="19"/>
        <v>42675</v>
      </c>
      <c r="K266" s="67">
        <f t="shared" si="17"/>
        <v>6</v>
      </c>
      <c r="L266" s="148">
        <v>1.4833299999999999E-3</v>
      </c>
      <c r="M266" s="104">
        <f t="shared" si="16"/>
        <v>0.75596430120000002</v>
      </c>
      <c r="O266" s="66"/>
      <c r="Q266" s="66">
        <f t="shared" si="18"/>
        <v>1.4052084291666667</v>
      </c>
    </row>
    <row r="267" spans="1:17">
      <c r="A267" s="145" t="s">
        <v>626</v>
      </c>
      <c r="B267" s="146" t="s">
        <v>1791</v>
      </c>
      <c r="C267" s="146" t="s">
        <v>1792</v>
      </c>
      <c r="D267" s="145" t="s">
        <v>1793</v>
      </c>
      <c r="E267" s="146" t="s">
        <v>75</v>
      </c>
      <c r="F267" s="145" t="s">
        <v>1602</v>
      </c>
      <c r="G267" s="146" t="s">
        <v>20</v>
      </c>
      <c r="H267" s="146">
        <v>201604</v>
      </c>
      <c r="I267" s="147">
        <v>6075.28</v>
      </c>
      <c r="J267" s="297">
        <f t="shared" si="19"/>
        <v>42675</v>
      </c>
      <c r="K267" s="67">
        <f t="shared" si="17"/>
        <v>6</v>
      </c>
      <c r="L267" s="148">
        <v>1.4833299999999999E-3</v>
      </c>
      <c r="M267" s="104">
        <f t="shared" si="16"/>
        <v>54.0698704944</v>
      </c>
      <c r="O267" s="66"/>
      <c r="Q267" s="66">
        <f t="shared" si="18"/>
        <v>100.50664781666667</v>
      </c>
    </row>
    <row r="268" spans="1:17">
      <c r="A268" s="145" t="s">
        <v>626</v>
      </c>
      <c r="B268" s="146" t="s">
        <v>1838</v>
      </c>
      <c r="C268" s="146" t="s">
        <v>1839</v>
      </c>
      <c r="D268" s="145" t="s">
        <v>1840</v>
      </c>
      <c r="E268" s="146" t="s">
        <v>260</v>
      </c>
      <c r="F268" s="145" t="s">
        <v>1608</v>
      </c>
      <c r="G268" s="146" t="s">
        <v>20</v>
      </c>
      <c r="H268" s="146">
        <v>201604</v>
      </c>
      <c r="I268" s="147">
        <v>8794.4699999999993</v>
      </c>
      <c r="J268" s="297">
        <f t="shared" si="19"/>
        <v>42675</v>
      </c>
      <c r="K268" s="67">
        <f t="shared" si="17"/>
        <v>6</v>
      </c>
      <c r="L268" s="148">
        <v>1.4833299999999999E-3</v>
      </c>
      <c r="M268" s="104">
        <f t="shared" si="16"/>
        <v>78.270607110599997</v>
      </c>
      <c r="O268" s="66"/>
      <c r="Q268" s="66">
        <f t="shared" si="18"/>
        <v>145.49168088125001</v>
      </c>
    </row>
    <row r="269" spans="1:17">
      <c r="A269" s="342" t="s">
        <v>133</v>
      </c>
      <c r="B269" s="343" t="s">
        <v>1876</v>
      </c>
      <c r="C269" s="343" t="s">
        <v>1877</v>
      </c>
      <c r="D269" s="342" t="s">
        <v>1878</v>
      </c>
      <c r="E269" s="343" t="s">
        <v>75</v>
      </c>
      <c r="F269" s="342" t="s">
        <v>1602</v>
      </c>
      <c r="G269" s="343" t="s">
        <v>20</v>
      </c>
      <c r="H269" s="343">
        <v>201604</v>
      </c>
      <c r="I269" s="344">
        <v>0</v>
      </c>
      <c r="J269" s="297">
        <f t="shared" si="19"/>
        <v>42675</v>
      </c>
      <c r="K269" s="348">
        <f t="shared" si="17"/>
        <v>6</v>
      </c>
      <c r="L269" s="345">
        <v>1.4833299999999999E-3</v>
      </c>
      <c r="M269" s="349">
        <f t="shared" si="16"/>
        <v>0</v>
      </c>
      <c r="N269" s="350"/>
      <c r="O269" s="351"/>
      <c r="P269" s="350"/>
      <c r="Q269" s="66">
        <f t="shared" si="18"/>
        <v>0</v>
      </c>
    </row>
    <row r="270" spans="1:17">
      <c r="A270" s="145" t="s">
        <v>626</v>
      </c>
      <c r="B270" s="146" t="s">
        <v>2039</v>
      </c>
      <c r="C270" s="146" t="s">
        <v>2040</v>
      </c>
      <c r="D270" s="145" t="s">
        <v>2041</v>
      </c>
      <c r="E270" s="146" t="s">
        <v>497</v>
      </c>
      <c r="F270" s="145" t="s">
        <v>26</v>
      </c>
      <c r="G270" s="146" t="s">
        <v>20</v>
      </c>
      <c r="H270" s="146">
        <v>201604</v>
      </c>
      <c r="I270" s="147">
        <v>90026.14</v>
      </c>
      <c r="J270" s="297">
        <f t="shared" si="19"/>
        <v>42675</v>
      </c>
      <c r="K270" s="67">
        <f t="shared" si="17"/>
        <v>6</v>
      </c>
      <c r="L270" s="148">
        <v>1.4833299999999999E-3</v>
      </c>
      <c r="M270" s="104">
        <f t="shared" si="16"/>
        <v>801.23084547719998</v>
      </c>
      <c r="O270" s="66"/>
      <c r="Q270" s="66">
        <f t="shared" si="18"/>
        <v>1489.3511981791667</v>
      </c>
    </row>
    <row r="271" spans="1:17">
      <c r="A271" s="145" t="s">
        <v>626</v>
      </c>
      <c r="B271" s="146" t="s">
        <v>1879</v>
      </c>
      <c r="C271" s="146" t="s">
        <v>1880</v>
      </c>
      <c r="D271" s="145" t="s">
        <v>1273</v>
      </c>
      <c r="E271" s="146" t="s">
        <v>75</v>
      </c>
      <c r="F271" s="145" t="s">
        <v>1602</v>
      </c>
      <c r="G271" s="146" t="s">
        <v>20</v>
      </c>
      <c r="H271" s="146">
        <v>201604</v>
      </c>
      <c r="I271" s="147">
        <v>260.91000000000003</v>
      </c>
      <c r="J271" s="297">
        <f t="shared" si="19"/>
        <v>42675</v>
      </c>
      <c r="K271" s="67">
        <f t="shared" si="17"/>
        <v>6</v>
      </c>
      <c r="L271" s="148">
        <v>1.4833299999999999E-3</v>
      </c>
      <c r="M271" s="104">
        <f t="shared" si="16"/>
        <v>2.3220937818</v>
      </c>
      <c r="O271" s="66"/>
      <c r="Q271" s="66">
        <f t="shared" si="18"/>
        <v>4.3163754562500003</v>
      </c>
    </row>
    <row r="272" spans="1:17">
      <c r="A272" s="145" t="s">
        <v>626</v>
      </c>
      <c r="B272" s="146" t="s">
        <v>1794</v>
      </c>
      <c r="C272" s="146" t="s">
        <v>1795</v>
      </c>
      <c r="D272" s="145" t="s">
        <v>1796</v>
      </c>
      <c r="E272" s="146" t="s">
        <v>809</v>
      </c>
      <c r="F272" s="145" t="s">
        <v>26</v>
      </c>
      <c r="G272" s="146" t="s">
        <v>20</v>
      </c>
      <c r="H272" s="146">
        <v>201604</v>
      </c>
      <c r="I272" s="147">
        <v>870.7</v>
      </c>
      <c r="J272" s="297">
        <f t="shared" si="19"/>
        <v>42675</v>
      </c>
      <c r="K272" s="67">
        <f t="shared" si="17"/>
        <v>6</v>
      </c>
      <c r="L272" s="148">
        <v>1.4833299999999999E-3</v>
      </c>
      <c r="M272" s="104">
        <f t="shared" si="16"/>
        <v>7.7492125860000005</v>
      </c>
      <c r="O272" s="66"/>
      <c r="Q272" s="66">
        <f t="shared" si="18"/>
        <v>14.404461729166668</v>
      </c>
    </row>
    <row r="273" spans="1:17">
      <c r="A273" s="145" t="s">
        <v>626</v>
      </c>
      <c r="B273" s="146" t="s">
        <v>1844</v>
      </c>
      <c r="C273" s="146" t="s">
        <v>1845</v>
      </c>
      <c r="D273" s="145" t="s">
        <v>1846</v>
      </c>
      <c r="E273" s="146" t="s">
        <v>160</v>
      </c>
      <c r="F273" s="145" t="s">
        <v>19</v>
      </c>
      <c r="G273" s="146" t="s">
        <v>20</v>
      </c>
      <c r="H273" s="146">
        <v>201604</v>
      </c>
      <c r="I273" s="147">
        <v>977.5</v>
      </c>
      <c r="J273" s="297">
        <f t="shared" si="19"/>
        <v>42675</v>
      </c>
      <c r="K273" s="67">
        <f t="shared" si="17"/>
        <v>6</v>
      </c>
      <c r="L273" s="148">
        <v>1.4833299999999999E-3</v>
      </c>
      <c r="M273" s="104">
        <f t="shared" si="16"/>
        <v>8.6997304500000006</v>
      </c>
      <c r="O273" s="66"/>
      <c r="Q273" s="66">
        <f t="shared" si="18"/>
        <v>16.171311979166667</v>
      </c>
    </row>
    <row r="274" spans="1:17">
      <c r="A274" s="145" t="s">
        <v>21</v>
      </c>
      <c r="B274" s="146" t="s">
        <v>1727</v>
      </c>
      <c r="C274" s="146" t="s">
        <v>1728</v>
      </c>
      <c r="D274" s="145" t="s">
        <v>1729</v>
      </c>
      <c r="E274" s="146" t="s">
        <v>75</v>
      </c>
      <c r="F274" s="145" t="s">
        <v>1602</v>
      </c>
      <c r="G274" s="146" t="s">
        <v>20</v>
      </c>
      <c r="H274" s="146">
        <v>201604</v>
      </c>
      <c r="I274" s="147">
        <v>308.83999999999997</v>
      </c>
      <c r="J274" s="297">
        <f t="shared" si="19"/>
        <v>42675</v>
      </c>
      <c r="K274" s="67">
        <f t="shared" si="17"/>
        <v>6</v>
      </c>
      <c r="L274" s="148">
        <v>1.4833299999999999E-3</v>
      </c>
      <c r="M274" s="104">
        <f t="shared" si="16"/>
        <v>2.7486698231999998</v>
      </c>
      <c r="O274" s="66"/>
      <c r="Q274" s="66">
        <f t="shared" si="18"/>
        <v>5.1093074083333327</v>
      </c>
    </row>
    <row r="275" spans="1:17">
      <c r="A275" s="145" t="s">
        <v>990</v>
      </c>
      <c r="B275" s="146" t="s">
        <v>1581</v>
      </c>
      <c r="C275" s="146" t="s">
        <v>1584</v>
      </c>
      <c r="D275" s="145" t="s">
        <v>1583</v>
      </c>
      <c r="E275" s="146" t="s">
        <v>216</v>
      </c>
      <c r="F275" s="145" t="s">
        <v>217</v>
      </c>
      <c r="G275" s="146" t="s">
        <v>20</v>
      </c>
      <c r="H275" s="146">
        <v>201604</v>
      </c>
      <c r="I275" s="147">
        <v>13.19</v>
      </c>
      <c r="J275" s="297">
        <f t="shared" si="19"/>
        <v>42675</v>
      </c>
      <c r="K275" s="67">
        <f t="shared" si="17"/>
        <v>6</v>
      </c>
      <c r="L275" s="148">
        <v>2.3833299999999999E-3</v>
      </c>
      <c r="M275" s="104">
        <f t="shared" si="16"/>
        <v>0.1886167362</v>
      </c>
      <c r="O275" s="66"/>
      <c r="Q275" s="66">
        <f t="shared" si="18"/>
        <v>0.21820931458333334</v>
      </c>
    </row>
    <row r="276" spans="1:17">
      <c r="A276" s="145" t="s">
        <v>990</v>
      </c>
      <c r="B276" s="146" t="s">
        <v>1730</v>
      </c>
      <c r="C276" s="146" t="s">
        <v>1731</v>
      </c>
      <c r="D276" s="145" t="s">
        <v>1732</v>
      </c>
      <c r="E276" s="146" t="s">
        <v>1688</v>
      </c>
      <c r="F276" s="145" t="s">
        <v>1689</v>
      </c>
      <c r="G276" s="146" t="s">
        <v>20</v>
      </c>
      <c r="H276" s="146">
        <v>201604</v>
      </c>
      <c r="I276" s="147">
        <v>-3.09</v>
      </c>
      <c r="J276" s="297">
        <f t="shared" si="19"/>
        <v>42675</v>
      </c>
      <c r="K276" s="67">
        <f t="shared" si="17"/>
        <v>6</v>
      </c>
      <c r="L276" s="148">
        <v>2.3833299999999999E-3</v>
      </c>
      <c r="M276" s="104">
        <f t="shared" si="16"/>
        <v>-4.4186938199999998E-2</v>
      </c>
      <c r="O276" s="66"/>
      <c r="Q276" s="66">
        <f t="shared" si="18"/>
        <v>-5.1119543749999996E-2</v>
      </c>
    </row>
    <row r="277" spans="1:17">
      <c r="A277" s="145" t="s">
        <v>990</v>
      </c>
      <c r="B277" s="146" t="s">
        <v>1733</v>
      </c>
      <c r="C277" s="146" t="s">
        <v>1734</v>
      </c>
      <c r="D277" s="145" t="s">
        <v>1735</v>
      </c>
      <c r="E277" s="146" t="s">
        <v>1688</v>
      </c>
      <c r="F277" s="145" t="s">
        <v>1689</v>
      </c>
      <c r="G277" s="146" t="s">
        <v>20</v>
      </c>
      <c r="H277" s="146">
        <v>201604</v>
      </c>
      <c r="I277" s="147">
        <v>13.73</v>
      </c>
      <c r="J277" s="297">
        <f t="shared" si="19"/>
        <v>42675</v>
      </c>
      <c r="K277" s="67">
        <f t="shared" si="17"/>
        <v>6</v>
      </c>
      <c r="L277" s="148">
        <v>2.3833299999999999E-3</v>
      </c>
      <c r="M277" s="104">
        <f t="shared" si="16"/>
        <v>0.1963387254</v>
      </c>
      <c r="O277" s="66"/>
      <c r="Q277" s="66">
        <f t="shared" si="18"/>
        <v>0.22714282708333336</v>
      </c>
    </row>
    <row r="278" spans="1:17">
      <c r="A278" s="145" t="s">
        <v>626</v>
      </c>
      <c r="B278" s="146" t="s">
        <v>1881</v>
      </c>
      <c r="C278" s="146" t="s">
        <v>1882</v>
      </c>
      <c r="D278" s="145" t="s">
        <v>1883</v>
      </c>
      <c r="E278" s="146" t="s">
        <v>75</v>
      </c>
      <c r="F278" s="145" t="s">
        <v>1602</v>
      </c>
      <c r="G278" s="146" t="s">
        <v>20</v>
      </c>
      <c r="H278" s="146">
        <v>201604</v>
      </c>
      <c r="I278" s="147">
        <v>272.52</v>
      </c>
      <c r="J278" s="297">
        <f t="shared" si="19"/>
        <v>42675</v>
      </c>
      <c r="K278" s="67">
        <f t="shared" si="17"/>
        <v>6</v>
      </c>
      <c r="L278" s="148">
        <v>1.4833299999999999E-3</v>
      </c>
      <c r="M278" s="104">
        <f t="shared" si="16"/>
        <v>2.4254225495999999</v>
      </c>
      <c r="O278" s="66"/>
      <c r="Q278" s="66">
        <f t="shared" si="18"/>
        <v>4.5084459749999999</v>
      </c>
    </row>
    <row r="279" spans="1:17">
      <c r="A279" s="145" t="s">
        <v>626</v>
      </c>
      <c r="B279" s="146" t="s">
        <v>1496</v>
      </c>
      <c r="C279" s="146" t="s">
        <v>1497</v>
      </c>
      <c r="D279" s="145" t="s">
        <v>1498</v>
      </c>
      <c r="E279" s="146" t="s">
        <v>164</v>
      </c>
      <c r="F279" s="145" t="s">
        <v>1600</v>
      </c>
      <c r="G279" s="146" t="s">
        <v>20</v>
      </c>
      <c r="H279" s="146">
        <v>201604</v>
      </c>
      <c r="I279" s="147">
        <v>-28.02</v>
      </c>
      <c r="J279" s="297">
        <f t="shared" si="19"/>
        <v>42675</v>
      </c>
      <c r="K279" s="67">
        <f t="shared" si="17"/>
        <v>6</v>
      </c>
      <c r="L279" s="148">
        <v>1.4833299999999999E-3</v>
      </c>
      <c r="M279" s="104">
        <f t="shared" si="16"/>
        <v>-0.2493774396</v>
      </c>
      <c r="O279" s="66"/>
      <c r="Q279" s="66">
        <f t="shared" si="18"/>
        <v>-0.46355003749999996</v>
      </c>
    </row>
    <row r="280" spans="1:17">
      <c r="A280" s="145" t="s">
        <v>626</v>
      </c>
      <c r="B280" s="146" t="s">
        <v>1884</v>
      </c>
      <c r="C280" s="146" t="s">
        <v>1885</v>
      </c>
      <c r="D280" s="145" t="s">
        <v>1886</v>
      </c>
      <c r="E280" s="146" t="s">
        <v>75</v>
      </c>
      <c r="F280" s="145" t="s">
        <v>1602</v>
      </c>
      <c r="G280" s="146" t="s">
        <v>20</v>
      </c>
      <c r="H280" s="146">
        <v>201604</v>
      </c>
      <c r="I280" s="147">
        <v>146.33000000000001</v>
      </c>
      <c r="J280" s="297">
        <f t="shared" si="19"/>
        <v>42675</v>
      </c>
      <c r="K280" s="67">
        <f t="shared" si="17"/>
        <v>6</v>
      </c>
      <c r="L280" s="148">
        <v>1.4833299999999999E-3</v>
      </c>
      <c r="M280" s="104">
        <f t="shared" si="16"/>
        <v>1.3023340734000002</v>
      </c>
      <c r="O280" s="66"/>
      <c r="Q280" s="66">
        <f t="shared" si="18"/>
        <v>2.4208164520833337</v>
      </c>
    </row>
    <row r="281" spans="1:17">
      <c r="A281" s="145" t="s">
        <v>626</v>
      </c>
      <c r="B281" s="146" t="s">
        <v>1736</v>
      </c>
      <c r="C281" s="146" t="s">
        <v>1737</v>
      </c>
      <c r="D281" s="145" t="s">
        <v>1738</v>
      </c>
      <c r="E281" s="146" t="s">
        <v>164</v>
      </c>
      <c r="F281" s="145" t="s">
        <v>1600</v>
      </c>
      <c r="G281" s="146" t="s">
        <v>20</v>
      </c>
      <c r="H281" s="146">
        <v>201604</v>
      </c>
      <c r="I281" s="147">
        <v>759.49</v>
      </c>
      <c r="J281" s="297">
        <f t="shared" si="19"/>
        <v>42675</v>
      </c>
      <c r="K281" s="67">
        <f t="shared" si="17"/>
        <v>6</v>
      </c>
      <c r="L281" s="148">
        <v>1.4833299999999999E-3</v>
      </c>
      <c r="M281" s="104">
        <f t="shared" si="16"/>
        <v>6.7594458101999999</v>
      </c>
      <c r="O281" s="66"/>
      <c r="Q281" s="66">
        <f t="shared" si="18"/>
        <v>12.564654460416667</v>
      </c>
    </row>
    <row r="282" spans="1:17">
      <c r="A282" s="145" t="s">
        <v>626</v>
      </c>
      <c r="B282" s="146" t="s">
        <v>1847</v>
      </c>
      <c r="C282" s="146" t="s">
        <v>1848</v>
      </c>
      <c r="D282" s="145" t="s">
        <v>1849</v>
      </c>
      <c r="E282" s="146" t="s">
        <v>63</v>
      </c>
      <c r="F282" s="145" t="s">
        <v>19</v>
      </c>
      <c r="G282" s="146" t="s">
        <v>20</v>
      </c>
      <c r="H282" s="146">
        <v>201604</v>
      </c>
      <c r="I282" s="147">
        <v>6.73</v>
      </c>
      <c r="J282" s="297">
        <f t="shared" si="19"/>
        <v>42675</v>
      </c>
      <c r="K282" s="67">
        <f t="shared" si="17"/>
        <v>6</v>
      </c>
      <c r="L282" s="148">
        <v>1.4833299999999999E-3</v>
      </c>
      <c r="M282" s="104">
        <f t="shared" si="16"/>
        <v>5.9896865400000006E-2</v>
      </c>
      <c r="O282" s="66"/>
      <c r="Q282" s="66">
        <f t="shared" si="18"/>
        <v>0.11133803541666668</v>
      </c>
    </row>
    <row r="283" spans="1:17">
      <c r="A283" s="145" t="s">
        <v>626</v>
      </c>
      <c r="B283" s="146" t="s">
        <v>1594</v>
      </c>
      <c r="C283" s="146" t="s">
        <v>1595</v>
      </c>
      <c r="D283" s="145" t="s">
        <v>1596</v>
      </c>
      <c r="E283" s="146" t="s">
        <v>87</v>
      </c>
      <c r="F283" s="145" t="s">
        <v>1603</v>
      </c>
      <c r="G283" s="146" t="s">
        <v>20</v>
      </c>
      <c r="H283" s="146">
        <v>201604</v>
      </c>
      <c r="I283" s="147">
        <v>8.61</v>
      </c>
      <c r="J283" s="297">
        <f t="shared" si="19"/>
        <v>42675</v>
      </c>
      <c r="K283" s="67">
        <f t="shared" si="17"/>
        <v>6</v>
      </c>
      <c r="L283" s="148">
        <v>1.4833299999999999E-3</v>
      </c>
      <c r="M283" s="104">
        <f t="shared" si="16"/>
        <v>7.6628827799999993E-2</v>
      </c>
      <c r="O283" s="66"/>
      <c r="Q283" s="66">
        <f t="shared" si="18"/>
        <v>0.14243989375000002</v>
      </c>
    </row>
    <row r="284" spans="1:17">
      <c r="A284" s="145" t="s">
        <v>127</v>
      </c>
      <c r="B284" s="146" t="s">
        <v>1773</v>
      </c>
      <c r="C284" s="146" t="s">
        <v>1774</v>
      </c>
      <c r="D284" s="145" t="s">
        <v>1775</v>
      </c>
      <c r="E284" s="146" t="s">
        <v>209</v>
      </c>
      <c r="F284" s="145" t="s">
        <v>1612</v>
      </c>
      <c r="G284" s="146" t="s">
        <v>20</v>
      </c>
      <c r="H284" s="146">
        <v>201604</v>
      </c>
      <c r="I284" s="147">
        <v>13826.22</v>
      </c>
      <c r="J284" s="297">
        <f t="shared" si="19"/>
        <v>42675</v>
      </c>
      <c r="K284" s="67">
        <f t="shared" si="17"/>
        <v>6</v>
      </c>
      <c r="L284" s="148">
        <v>2.3833299999999999E-3</v>
      </c>
      <c r="M284" s="104">
        <f t="shared" si="16"/>
        <v>197.7146694756</v>
      </c>
      <c r="O284" s="66"/>
      <c r="Q284" s="66">
        <f t="shared" si="18"/>
        <v>228.73464666249998</v>
      </c>
    </row>
    <row r="285" spans="1:17">
      <c r="A285" s="145" t="s">
        <v>626</v>
      </c>
      <c r="B285" s="146" t="s">
        <v>1739</v>
      </c>
      <c r="C285" s="146" t="s">
        <v>1740</v>
      </c>
      <c r="D285" s="145" t="s">
        <v>1741</v>
      </c>
      <c r="E285" s="146" t="s">
        <v>164</v>
      </c>
      <c r="F285" s="145" t="s">
        <v>1600</v>
      </c>
      <c r="G285" s="146" t="s">
        <v>20</v>
      </c>
      <c r="H285" s="146">
        <v>201604</v>
      </c>
      <c r="I285" s="147">
        <v>2396.35</v>
      </c>
      <c r="J285" s="297">
        <f t="shared" si="19"/>
        <v>42675</v>
      </c>
      <c r="K285" s="67">
        <f t="shared" si="17"/>
        <v>6</v>
      </c>
      <c r="L285" s="148">
        <v>1.4833299999999999E-3</v>
      </c>
      <c r="M285" s="104">
        <f t="shared" si="16"/>
        <v>21.327467072999998</v>
      </c>
      <c r="O285" s="66"/>
      <c r="Q285" s="66">
        <f t="shared" si="18"/>
        <v>39.64411607291666</v>
      </c>
    </row>
    <row r="286" spans="1:17">
      <c r="A286" s="145" t="s">
        <v>626</v>
      </c>
      <c r="B286" s="146" t="s">
        <v>1632</v>
      </c>
      <c r="C286" s="146" t="s">
        <v>1633</v>
      </c>
      <c r="D286" s="145" t="s">
        <v>1634</v>
      </c>
      <c r="E286" s="146" t="s">
        <v>471</v>
      </c>
      <c r="F286" s="145" t="s">
        <v>165</v>
      </c>
      <c r="G286" s="146" t="s">
        <v>20</v>
      </c>
      <c r="H286" s="146">
        <v>201604</v>
      </c>
      <c r="I286" s="147">
        <v>29.17</v>
      </c>
      <c r="J286" s="297">
        <f t="shared" si="19"/>
        <v>42675</v>
      </c>
      <c r="K286" s="67">
        <f t="shared" si="17"/>
        <v>6</v>
      </c>
      <c r="L286" s="148">
        <v>1.4833299999999999E-3</v>
      </c>
      <c r="M286" s="104">
        <f t="shared" si="16"/>
        <v>0.25961241660000001</v>
      </c>
      <c r="O286" s="66"/>
      <c r="Q286" s="66">
        <f t="shared" si="18"/>
        <v>0.48257511041666673</v>
      </c>
    </row>
    <row r="287" spans="1:17">
      <c r="A287" s="145" t="s">
        <v>21</v>
      </c>
      <c r="B287" s="146" t="s">
        <v>1635</v>
      </c>
      <c r="C287" s="146" t="s">
        <v>1636</v>
      </c>
      <c r="D287" s="145" t="s">
        <v>1637</v>
      </c>
      <c r="E287" s="146" t="s">
        <v>360</v>
      </c>
      <c r="F287" s="145" t="s">
        <v>19</v>
      </c>
      <c r="G287" s="146" t="s">
        <v>20</v>
      </c>
      <c r="H287" s="146">
        <v>201604</v>
      </c>
      <c r="I287" s="147">
        <v>13.82</v>
      </c>
      <c r="J287" s="297">
        <f t="shared" si="19"/>
        <v>42675</v>
      </c>
      <c r="K287" s="67">
        <f t="shared" si="17"/>
        <v>6</v>
      </c>
      <c r="L287" s="148">
        <v>1.4833299999999999E-3</v>
      </c>
      <c r="M287" s="104">
        <f t="shared" si="16"/>
        <v>0.1229977236</v>
      </c>
      <c r="O287" s="66"/>
      <c r="Q287" s="66">
        <f t="shared" si="18"/>
        <v>0.22863174583333334</v>
      </c>
    </row>
    <row r="288" spans="1:17">
      <c r="A288" s="145" t="s">
        <v>626</v>
      </c>
      <c r="B288" s="146" t="s">
        <v>1797</v>
      </c>
      <c r="C288" s="146" t="s">
        <v>1798</v>
      </c>
      <c r="D288" s="145" t="s">
        <v>1799</v>
      </c>
      <c r="E288" s="146" t="s">
        <v>164</v>
      </c>
      <c r="F288" s="145" t="s">
        <v>1600</v>
      </c>
      <c r="G288" s="146" t="s">
        <v>20</v>
      </c>
      <c r="H288" s="146">
        <v>201604</v>
      </c>
      <c r="I288" s="147">
        <v>6203.25</v>
      </c>
      <c r="J288" s="297">
        <f t="shared" si="19"/>
        <v>42675</v>
      </c>
      <c r="K288" s="67">
        <f t="shared" si="17"/>
        <v>6</v>
      </c>
      <c r="L288" s="148">
        <v>1.4833299999999999E-3</v>
      </c>
      <c r="M288" s="104">
        <f t="shared" si="16"/>
        <v>55.208800934999999</v>
      </c>
      <c r="O288" s="66"/>
      <c r="Q288" s="66">
        <f t="shared" si="18"/>
        <v>102.62372484375001</v>
      </c>
    </row>
    <row r="289" spans="1:17">
      <c r="A289" s="145" t="s">
        <v>626</v>
      </c>
      <c r="B289" s="146" t="s">
        <v>1890</v>
      </c>
      <c r="C289" s="146" t="s">
        <v>1891</v>
      </c>
      <c r="D289" s="145" t="s">
        <v>1495</v>
      </c>
      <c r="E289" s="146" t="s">
        <v>75</v>
      </c>
      <c r="F289" s="145" t="s">
        <v>1602</v>
      </c>
      <c r="G289" s="146" t="s">
        <v>20</v>
      </c>
      <c r="H289" s="146">
        <v>201604</v>
      </c>
      <c r="I289" s="147">
        <v>849.85</v>
      </c>
      <c r="J289" s="297">
        <f t="shared" si="19"/>
        <v>42675</v>
      </c>
      <c r="K289" s="67">
        <f t="shared" si="17"/>
        <v>6</v>
      </c>
      <c r="L289" s="148">
        <v>1.4833299999999999E-3</v>
      </c>
      <c r="M289" s="104">
        <f t="shared" si="16"/>
        <v>7.563648003</v>
      </c>
      <c r="O289" s="66"/>
      <c r="Q289" s="66">
        <f t="shared" si="18"/>
        <v>14.059528885416666</v>
      </c>
    </row>
    <row r="290" spans="1:17">
      <c r="A290" s="145" t="s">
        <v>21</v>
      </c>
      <c r="B290" s="146" t="s">
        <v>1956</v>
      </c>
      <c r="C290" s="146" t="s">
        <v>1957</v>
      </c>
      <c r="D290" s="145" t="s">
        <v>1958</v>
      </c>
      <c r="E290" s="146" t="s">
        <v>75</v>
      </c>
      <c r="F290" s="145" t="s">
        <v>1602</v>
      </c>
      <c r="G290" s="146" t="s">
        <v>20</v>
      </c>
      <c r="H290" s="146">
        <v>201604</v>
      </c>
      <c r="I290" s="147">
        <v>32043.040000000001</v>
      </c>
      <c r="J290" s="297">
        <f t="shared" si="19"/>
        <v>42675</v>
      </c>
      <c r="K290" s="67">
        <f t="shared" si="17"/>
        <v>6</v>
      </c>
      <c r="L290" s="148">
        <v>1.4833299999999999E-3</v>
      </c>
      <c r="M290" s="104">
        <f t="shared" si="16"/>
        <v>285.18241513920003</v>
      </c>
      <c r="O290" s="66"/>
      <c r="Q290" s="66">
        <f t="shared" si="18"/>
        <v>530.10536736666666</v>
      </c>
    </row>
    <row r="291" spans="1:17">
      <c r="A291" s="145" t="s">
        <v>626</v>
      </c>
      <c r="B291" s="146" t="s">
        <v>1892</v>
      </c>
      <c r="C291" s="146" t="s">
        <v>1893</v>
      </c>
      <c r="D291" s="145" t="s">
        <v>1894</v>
      </c>
      <c r="E291" s="146" t="s">
        <v>75</v>
      </c>
      <c r="F291" s="145" t="s">
        <v>1602</v>
      </c>
      <c r="G291" s="146" t="s">
        <v>20</v>
      </c>
      <c r="H291" s="146">
        <v>201604</v>
      </c>
      <c r="I291" s="147">
        <v>1865.73</v>
      </c>
      <c r="J291" s="297">
        <f t="shared" si="19"/>
        <v>42675</v>
      </c>
      <c r="K291" s="67">
        <f t="shared" si="17"/>
        <v>6</v>
      </c>
      <c r="L291" s="148">
        <v>1.4833299999999999E-3</v>
      </c>
      <c r="M291" s="104">
        <f t="shared" si="16"/>
        <v>16.604959685400001</v>
      </c>
      <c r="O291" s="66"/>
      <c r="Q291" s="66">
        <f t="shared" si="18"/>
        <v>30.865781993750002</v>
      </c>
    </row>
    <row r="292" spans="1:17">
      <c r="A292" s="145" t="s">
        <v>626</v>
      </c>
      <c r="B292" s="146" t="s">
        <v>1895</v>
      </c>
      <c r="C292" s="146" t="s">
        <v>1896</v>
      </c>
      <c r="D292" s="145" t="s">
        <v>1897</v>
      </c>
      <c r="E292" s="146" t="s">
        <v>79</v>
      </c>
      <c r="F292" s="145" t="s">
        <v>26</v>
      </c>
      <c r="G292" s="146" t="s">
        <v>20</v>
      </c>
      <c r="H292" s="146">
        <v>201604</v>
      </c>
      <c r="I292" s="147">
        <v>236.39</v>
      </c>
      <c r="J292" s="297">
        <f t="shared" si="19"/>
        <v>42675</v>
      </c>
      <c r="K292" s="67">
        <f t="shared" si="17"/>
        <v>6</v>
      </c>
      <c r="L292" s="148">
        <v>1.4833299999999999E-3</v>
      </c>
      <c r="M292" s="104">
        <f t="shared" si="16"/>
        <v>2.1038662721999999</v>
      </c>
      <c r="O292" s="66"/>
      <c r="Q292" s="66">
        <f t="shared" si="18"/>
        <v>3.9107278145833333</v>
      </c>
    </row>
    <row r="293" spans="1:17">
      <c r="A293" s="145" t="s">
        <v>626</v>
      </c>
      <c r="B293" s="146" t="s">
        <v>1959</v>
      </c>
      <c r="C293" s="146" t="s">
        <v>1960</v>
      </c>
      <c r="D293" s="145" t="s">
        <v>1495</v>
      </c>
      <c r="E293" s="146" t="s">
        <v>75</v>
      </c>
      <c r="F293" s="145" t="s">
        <v>1602</v>
      </c>
      <c r="G293" s="146" t="s">
        <v>20</v>
      </c>
      <c r="H293" s="146">
        <v>201604</v>
      </c>
      <c r="I293" s="147">
        <v>34.590000000000003</v>
      </c>
      <c r="J293" s="297">
        <f t="shared" si="19"/>
        <v>42675</v>
      </c>
      <c r="K293" s="67">
        <f t="shared" si="17"/>
        <v>6</v>
      </c>
      <c r="L293" s="148">
        <v>1.4833299999999999E-3</v>
      </c>
      <c r="M293" s="104">
        <f t="shared" si="16"/>
        <v>0.30785030820000003</v>
      </c>
      <c r="O293" s="66"/>
      <c r="Q293" s="66">
        <f t="shared" si="18"/>
        <v>0.57224110625000002</v>
      </c>
    </row>
    <row r="294" spans="1:17">
      <c r="A294" s="145" t="s">
        <v>626</v>
      </c>
      <c r="B294" s="146" t="s">
        <v>1898</v>
      </c>
      <c r="C294" s="146" t="s">
        <v>1899</v>
      </c>
      <c r="D294" s="145" t="s">
        <v>1900</v>
      </c>
      <c r="E294" s="146" t="s">
        <v>75</v>
      </c>
      <c r="F294" s="145" t="s">
        <v>1602</v>
      </c>
      <c r="G294" s="146" t="s">
        <v>20</v>
      </c>
      <c r="H294" s="146">
        <v>201604</v>
      </c>
      <c r="I294" s="147">
        <v>823.68</v>
      </c>
      <c r="J294" s="297">
        <f t="shared" si="19"/>
        <v>42675</v>
      </c>
      <c r="K294" s="67">
        <f t="shared" si="17"/>
        <v>6</v>
      </c>
      <c r="L294" s="148">
        <v>1.4833299999999999E-3</v>
      </c>
      <c r="M294" s="104">
        <f t="shared" si="16"/>
        <v>7.3307355263999998</v>
      </c>
      <c r="O294" s="66"/>
      <c r="Q294" s="66">
        <f t="shared" si="18"/>
        <v>13.626584399999999</v>
      </c>
    </row>
    <row r="295" spans="1:17">
      <c r="A295" s="145" t="s">
        <v>626</v>
      </c>
      <c r="B295" s="146" t="s">
        <v>1901</v>
      </c>
      <c r="C295" s="146" t="s">
        <v>1902</v>
      </c>
      <c r="D295" s="145" t="s">
        <v>1903</v>
      </c>
      <c r="E295" s="146" t="s">
        <v>75</v>
      </c>
      <c r="F295" s="145" t="s">
        <v>1602</v>
      </c>
      <c r="G295" s="146" t="s">
        <v>20</v>
      </c>
      <c r="H295" s="146">
        <v>201604</v>
      </c>
      <c r="I295" s="147">
        <v>5549.6</v>
      </c>
      <c r="J295" s="297">
        <f t="shared" si="19"/>
        <v>42675</v>
      </c>
      <c r="K295" s="67">
        <f t="shared" si="17"/>
        <v>6</v>
      </c>
      <c r="L295" s="148">
        <v>1.4833299999999999E-3</v>
      </c>
      <c r="M295" s="104">
        <f t="shared" si="16"/>
        <v>49.391329008000007</v>
      </c>
      <c r="O295" s="66"/>
      <c r="Q295" s="66">
        <f t="shared" si="18"/>
        <v>91.810038833333351</v>
      </c>
    </row>
    <row r="296" spans="1:17">
      <c r="A296" s="145" t="s">
        <v>626</v>
      </c>
      <c r="B296" s="146" t="s">
        <v>1693</v>
      </c>
      <c r="C296" s="146" t="s">
        <v>1694</v>
      </c>
      <c r="D296" s="145" t="s">
        <v>1695</v>
      </c>
      <c r="E296" s="146" t="s">
        <v>809</v>
      </c>
      <c r="F296" s="145" t="s">
        <v>26</v>
      </c>
      <c r="G296" s="146" t="s">
        <v>20</v>
      </c>
      <c r="H296" s="146">
        <v>201604</v>
      </c>
      <c r="I296" s="147">
        <v>183.34</v>
      </c>
      <c r="J296" s="297">
        <f t="shared" si="19"/>
        <v>42675</v>
      </c>
      <c r="K296" s="67">
        <f t="shared" si="17"/>
        <v>6</v>
      </c>
      <c r="L296" s="148">
        <v>1.4833299999999999E-3</v>
      </c>
      <c r="M296" s="104">
        <f t="shared" si="16"/>
        <v>1.6317223331999999</v>
      </c>
      <c r="O296" s="66"/>
      <c r="Q296" s="66">
        <f t="shared" si="18"/>
        <v>3.0330929291666666</v>
      </c>
    </row>
    <row r="297" spans="1:17">
      <c r="A297" s="145" t="s">
        <v>626</v>
      </c>
      <c r="B297" s="146" t="s">
        <v>1638</v>
      </c>
      <c r="C297" s="146" t="s">
        <v>1639</v>
      </c>
      <c r="D297" s="145" t="s">
        <v>1640</v>
      </c>
      <c r="E297" s="146" t="s">
        <v>164</v>
      </c>
      <c r="F297" s="145" t="s">
        <v>1600</v>
      </c>
      <c r="G297" s="146" t="s">
        <v>20</v>
      </c>
      <c r="H297" s="146">
        <v>201604</v>
      </c>
      <c r="I297" s="147">
        <v>19.84</v>
      </c>
      <c r="J297" s="297">
        <f t="shared" si="19"/>
        <v>42675</v>
      </c>
      <c r="K297" s="67">
        <f t="shared" si="17"/>
        <v>6</v>
      </c>
      <c r="L297" s="148">
        <v>1.4833299999999999E-3</v>
      </c>
      <c r="M297" s="104">
        <f t="shared" si="16"/>
        <v>0.17657560319999999</v>
      </c>
      <c r="O297" s="66"/>
      <c r="Q297" s="66">
        <f t="shared" si="18"/>
        <v>0.32822386666666664</v>
      </c>
    </row>
    <row r="298" spans="1:17">
      <c r="A298" s="145" t="s">
        <v>626</v>
      </c>
      <c r="B298" s="146" t="s">
        <v>1904</v>
      </c>
      <c r="C298" s="146" t="s">
        <v>1905</v>
      </c>
      <c r="D298" s="145" t="s">
        <v>1906</v>
      </c>
      <c r="E298" s="146" t="s">
        <v>75</v>
      </c>
      <c r="F298" s="145" t="s">
        <v>1602</v>
      </c>
      <c r="G298" s="146" t="s">
        <v>20</v>
      </c>
      <c r="H298" s="146">
        <v>201604</v>
      </c>
      <c r="I298" s="147">
        <v>748.05</v>
      </c>
      <c r="J298" s="297">
        <f t="shared" si="19"/>
        <v>42675</v>
      </c>
      <c r="K298" s="67">
        <f t="shared" si="17"/>
        <v>6</v>
      </c>
      <c r="L298" s="148">
        <v>1.4833299999999999E-3</v>
      </c>
      <c r="M298" s="104">
        <f t="shared" si="16"/>
        <v>6.6576300389999998</v>
      </c>
      <c r="O298" s="66"/>
      <c r="Q298" s="66">
        <f t="shared" si="18"/>
        <v>12.375396343749999</v>
      </c>
    </row>
    <row r="299" spans="1:17">
      <c r="A299" s="145" t="s">
        <v>626</v>
      </c>
      <c r="B299" s="146" t="s">
        <v>1742</v>
      </c>
      <c r="C299" s="146" t="s">
        <v>1743</v>
      </c>
      <c r="D299" s="145" t="s">
        <v>1744</v>
      </c>
      <c r="E299" s="146" t="s">
        <v>497</v>
      </c>
      <c r="F299" s="145" t="s">
        <v>26</v>
      </c>
      <c r="G299" s="146" t="s">
        <v>20</v>
      </c>
      <c r="H299" s="146">
        <v>201604</v>
      </c>
      <c r="I299" s="147">
        <v>104.41</v>
      </c>
      <c r="J299" s="297">
        <f t="shared" si="19"/>
        <v>42675</v>
      </c>
      <c r="K299" s="67">
        <f t="shared" si="17"/>
        <v>6</v>
      </c>
      <c r="L299" s="148">
        <v>1.4833299999999999E-3</v>
      </c>
      <c r="M299" s="104">
        <f t="shared" si="16"/>
        <v>0.92924691179999996</v>
      </c>
      <c r="O299" s="66"/>
      <c r="Q299" s="66">
        <f t="shared" si="18"/>
        <v>1.7273111854166665</v>
      </c>
    </row>
    <row r="300" spans="1:17">
      <c r="A300" s="145" t="s">
        <v>626</v>
      </c>
      <c r="B300" s="146" t="s">
        <v>1745</v>
      </c>
      <c r="C300" s="146" t="s">
        <v>1746</v>
      </c>
      <c r="D300" s="145" t="s">
        <v>1747</v>
      </c>
      <c r="E300" s="146" t="s">
        <v>497</v>
      </c>
      <c r="F300" s="145" t="s">
        <v>26</v>
      </c>
      <c r="G300" s="146" t="s">
        <v>20</v>
      </c>
      <c r="H300" s="146">
        <v>201604</v>
      </c>
      <c r="I300" s="147">
        <v>22934.91</v>
      </c>
      <c r="J300" s="297">
        <f t="shared" si="19"/>
        <v>42675</v>
      </c>
      <c r="K300" s="67">
        <f t="shared" si="17"/>
        <v>6</v>
      </c>
      <c r="L300" s="148">
        <v>1.4833299999999999E-3</v>
      </c>
      <c r="M300" s="104">
        <f t="shared" si="16"/>
        <v>204.12024030180001</v>
      </c>
      <c r="O300" s="66"/>
      <c r="Q300" s="66">
        <f t="shared" si="18"/>
        <v>379.42463920624999</v>
      </c>
    </row>
    <row r="301" spans="1:17">
      <c r="A301" s="145" t="s">
        <v>626</v>
      </c>
      <c r="B301" s="146" t="s">
        <v>1800</v>
      </c>
      <c r="C301" s="146" t="s">
        <v>1801</v>
      </c>
      <c r="D301" s="145" t="s">
        <v>1802</v>
      </c>
      <c r="E301" s="146" t="s">
        <v>75</v>
      </c>
      <c r="F301" s="145" t="s">
        <v>1602</v>
      </c>
      <c r="G301" s="146" t="s">
        <v>20</v>
      </c>
      <c r="H301" s="146">
        <v>201604</v>
      </c>
      <c r="I301" s="147">
        <v>9785.5400000000009</v>
      </c>
      <c r="J301" s="297">
        <f t="shared" si="19"/>
        <v>42675</v>
      </c>
      <c r="K301" s="67">
        <f t="shared" si="17"/>
        <v>6</v>
      </c>
      <c r="L301" s="148">
        <v>1.4833299999999999E-3</v>
      </c>
      <c r="M301" s="104">
        <f t="shared" si="16"/>
        <v>87.091110289200003</v>
      </c>
      <c r="O301" s="66"/>
      <c r="Q301" s="66">
        <f t="shared" si="18"/>
        <v>161.88748872083337</v>
      </c>
    </row>
    <row r="302" spans="1:17">
      <c r="A302" s="145" t="s">
        <v>626</v>
      </c>
      <c r="B302" s="146" t="s">
        <v>2045</v>
      </c>
      <c r="C302" s="146" t="s">
        <v>2046</v>
      </c>
      <c r="D302" s="145" t="s">
        <v>2047</v>
      </c>
      <c r="E302" s="146" t="s">
        <v>75</v>
      </c>
      <c r="F302" s="145" t="s">
        <v>1602</v>
      </c>
      <c r="G302" s="146" t="s">
        <v>20</v>
      </c>
      <c r="H302" s="146">
        <v>201604</v>
      </c>
      <c r="I302" s="147">
        <v>323453.55</v>
      </c>
      <c r="J302" s="297">
        <f t="shared" si="19"/>
        <v>42675</v>
      </c>
      <c r="K302" s="67">
        <f t="shared" si="17"/>
        <v>6</v>
      </c>
      <c r="L302" s="148">
        <v>1.4833299999999999E-3</v>
      </c>
      <c r="M302" s="104">
        <f t="shared" si="16"/>
        <v>2878.7301259289998</v>
      </c>
      <c r="O302" s="66"/>
      <c r="Q302" s="66">
        <f t="shared" si="18"/>
        <v>5351.0672816562501</v>
      </c>
    </row>
    <row r="303" spans="1:17">
      <c r="A303" s="145" t="s">
        <v>626</v>
      </c>
      <c r="B303" s="146" t="s">
        <v>1961</v>
      </c>
      <c r="C303" s="146" t="s">
        <v>1962</v>
      </c>
      <c r="D303" s="145" t="s">
        <v>1963</v>
      </c>
      <c r="E303" s="146" t="s">
        <v>75</v>
      </c>
      <c r="F303" s="145" t="s">
        <v>1602</v>
      </c>
      <c r="G303" s="146" t="s">
        <v>20</v>
      </c>
      <c r="H303" s="146">
        <v>201604</v>
      </c>
      <c r="I303" s="147">
        <v>2214.38</v>
      </c>
      <c r="J303" s="297">
        <f t="shared" si="19"/>
        <v>42675</v>
      </c>
      <c r="K303" s="67">
        <f t="shared" si="17"/>
        <v>6</v>
      </c>
      <c r="L303" s="148">
        <v>1.4833299999999999E-3</v>
      </c>
      <c r="M303" s="104">
        <f t="shared" si="16"/>
        <v>19.7079377124</v>
      </c>
      <c r="O303" s="66"/>
      <c r="Q303" s="66">
        <f t="shared" si="18"/>
        <v>36.633687795833332</v>
      </c>
    </row>
    <row r="304" spans="1:17">
      <c r="A304" s="145" t="s">
        <v>626</v>
      </c>
      <c r="B304" s="146" t="s">
        <v>1907</v>
      </c>
      <c r="C304" s="146" t="s">
        <v>1908</v>
      </c>
      <c r="D304" s="145" t="s">
        <v>1909</v>
      </c>
      <c r="E304" s="146" t="s">
        <v>75</v>
      </c>
      <c r="F304" s="145" t="s">
        <v>1602</v>
      </c>
      <c r="G304" s="146" t="s">
        <v>20</v>
      </c>
      <c r="H304" s="146">
        <v>201604</v>
      </c>
      <c r="I304" s="147">
        <v>3857.9</v>
      </c>
      <c r="J304" s="297">
        <f t="shared" si="19"/>
        <v>42675</v>
      </c>
      <c r="K304" s="67">
        <f t="shared" si="17"/>
        <v>6</v>
      </c>
      <c r="L304" s="148">
        <v>1.4833299999999999E-3</v>
      </c>
      <c r="M304" s="104">
        <f t="shared" si="16"/>
        <v>34.335232842000003</v>
      </c>
      <c r="O304" s="66"/>
      <c r="Q304" s="66">
        <f t="shared" si="18"/>
        <v>63.823329395833333</v>
      </c>
    </row>
    <row r="305" spans="1:17">
      <c r="A305" s="145" t="s">
        <v>626</v>
      </c>
      <c r="B305" s="146" t="s">
        <v>1803</v>
      </c>
      <c r="C305" s="146" t="s">
        <v>1804</v>
      </c>
      <c r="D305" s="145" t="s">
        <v>1805</v>
      </c>
      <c r="E305" s="146" t="s">
        <v>164</v>
      </c>
      <c r="F305" s="145" t="s">
        <v>1600</v>
      </c>
      <c r="G305" s="146" t="s">
        <v>20</v>
      </c>
      <c r="H305" s="146">
        <v>201604</v>
      </c>
      <c r="I305" s="147">
        <v>6434.75</v>
      </c>
      <c r="J305" s="297">
        <f t="shared" si="19"/>
        <v>42675</v>
      </c>
      <c r="K305" s="67">
        <f t="shared" si="17"/>
        <v>6</v>
      </c>
      <c r="L305" s="148">
        <v>1.4833299999999999E-3</v>
      </c>
      <c r="M305" s="104">
        <f t="shared" si="16"/>
        <v>57.269146305</v>
      </c>
      <c r="O305" s="66"/>
      <c r="Q305" s="66">
        <f t="shared" si="18"/>
        <v>106.45355473958334</v>
      </c>
    </row>
    <row r="306" spans="1:17">
      <c r="A306" s="145" t="s">
        <v>626</v>
      </c>
      <c r="B306" s="146" t="s">
        <v>1748</v>
      </c>
      <c r="C306" s="146" t="s">
        <v>1749</v>
      </c>
      <c r="D306" s="145" t="s">
        <v>1750</v>
      </c>
      <c r="E306" s="146" t="s">
        <v>75</v>
      </c>
      <c r="F306" s="145" t="s">
        <v>1602</v>
      </c>
      <c r="G306" s="146" t="s">
        <v>20</v>
      </c>
      <c r="H306" s="146">
        <v>201604</v>
      </c>
      <c r="I306" s="147">
        <v>4220.22</v>
      </c>
      <c r="J306" s="297">
        <f t="shared" si="19"/>
        <v>42675</v>
      </c>
      <c r="K306" s="67">
        <f t="shared" si="17"/>
        <v>6</v>
      </c>
      <c r="L306" s="148">
        <v>1.4833299999999999E-3</v>
      </c>
      <c r="M306" s="104">
        <f t="shared" si="16"/>
        <v>37.559873595600003</v>
      </c>
      <c r="O306" s="66"/>
      <c r="Q306" s="66">
        <f t="shared" si="18"/>
        <v>69.817385412500002</v>
      </c>
    </row>
    <row r="307" spans="1:17">
      <c r="A307" s="145" t="s">
        <v>626</v>
      </c>
      <c r="B307" s="146" t="s">
        <v>1910</v>
      </c>
      <c r="C307" s="146" t="s">
        <v>1911</v>
      </c>
      <c r="D307" s="145" t="s">
        <v>1912</v>
      </c>
      <c r="E307" s="146" t="s">
        <v>75</v>
      </c>
      <c r="F307" s="145" t="s">
        <v>1602</v>
      </c>
      <c r="G307" s="146" t="s">
        <v>20</v>
      </c>
      <c r="H307" s="146">
        <v>201604</v>
      </c>
      <c r="I307" s="147">
        <v>4301.6099999999997</v>
      </c>
      <c r="J307" s="297">
        <f t="shared" si="19"/>
        <v>42675</v>
      </c>
      <c r="K307" s="67">
        <f t="shared" si="17"/>
        <v>6</v>
      </c>
      <c r="L307" s="148">
        <v>1.4833299999999999E-3</v>
      </c>
      <c r="M307" s="104">
        <f t="shared" si="16"/>
        <v>38.284242967799997</v>
      </c>
      <c r="O307" s="66"/>
      <c r="Q307" s="66">
        <f t="shared" si="18"/>
        <v>71.16386426874999</v>
      </c>
    </row>
    <row r="308" spans="1:17">
      <c r="A308" s="145" t="s">
        <v>626</v>
      </c>
      <c r="B308" s="146" t="s">
        <v>1913</v>
      </c>
      <c r="C308" s="146" t="s">
        <v>1914</v>
      </c>
      <c r="D308" s="145" t="s">
        <v>1915</v>
      </c>
      <c r="E308" s="146" t="s">
        <v>75</v>
      </c>
      <c r="F308" s="145" t="s">
        <v>1602</v>
      </c>
      <c r="G308" s="146" t="s">
        <v>20</v>
      </c>
      <c r="H308" s="146">
        <v>201604</v>
      </c>
      <c r="I308" s="147">
        <v>350.52</v>
      </c>
      <c r="J308" s="297">
        <f t="shared" si="19"/>
        <v>42675</v>
      </c>
      <c r="K308" s="67">
        <f t="shared" si="17"/>
        <v>6</v>
      </c>
      <c r="L308" s="148">
        <v>1.4833299999999999E-3</v>
      </c>
      <c r="M308" s="104">
        <f t="shared" si="16"/>
        <v>3.1196209896</v>
      </c>
      <c r="O308" s="66"/>
      <c r="Q308" s="66">
        <f t="shared" si="18"/>
        <v>5.7988422249999996</v>
      </c>
    </row>
    <row r="309" spans="1:17">
      <c r="A309" s="145" t="s">
        <v>626</v>
      </c>
      <c r="B309" s="146" t="s">
        <v>1916</v>
      </c>
      <c r="C309" s="146" t="s">
        <v>1917</v>
      </c>
      <c r="D309" s="145" t="s">
        <v>1273</v>
      </c>
      <c r="E309" s="146" t="s">
        <v>75</v>
      </c>
      <c r="F309" s="145" t="s">
        <v>1602</v>
      </c>
      <c r="G309" s="146" t="s">
        <v>20</v>
      </c>
      <c r="H309" s="146">
        <v>201604</v>
      </c>
      <c r="I309" s="147">
        <v>2765.92</v>
      </c>
      <c r="J309" s="297">
        <f t="shared" si="19"/>
        <v>42675</v>
      </c>
      <c r="K309" s="67">
        <f t="shared" si="17"/>
        <v>6</v>
      </c>
      <c r="L309" s="148">
        <v>1.4833299999999999E-3</v>
      </c>
      <c r="M309" s="104">
        <f t="shared" si="16"/>
        <v>24.616632681600002</v>
      </c>
      <c r="O309" s="66"/>
      <c r="Q309" s="66">
        <f t="shared" si="18"/>
        <v>45.758112766666663</v>
      </c>
    </row>
    <row r="310" spans="1:17">
      <c r="A310" s="145" t="s">
        <v>626</v>
      </c>
      <c r="B310" s="146" t="s">
        <v>1776</v>
      </c>
      <c r="C310" s="146" t="s">
        <v>1777</v>
      </c>
      <c r="D310" s="145" t="s">
        <v>1778</v>
      </c>
      <c r="E310" s="146" t="s">
        <v>452</v>
      </c>
      <c r="F310" s="145" t="s">
        <v>398</v>
      </c>
      <c r="G310" s="146" t="s">
        <v>20</v>
      </c>
      <c r="H310" s="146">
        <v>201604</v>
      </c>
      <c r="I310" s="147">
        <v>6413.47</v>
      </c>
      <c r="J310" s="297">
        <f t="shared" si="19"/>
        <v>42675</v>
      </c>
      <c r="K310" s="67">
        <f t="shared" si="17"/>
        <v>6</v>
      </c>
      <c r="L310" s="148">
        <v>1.4833299999999999E-3</v>
      </c>
      <c r="M310" s="104">
        <f t="shared" si="16"/>
        <v>57.079754730600001</v>
      </c>
      <c r="O310" s="66"/>
      <c r="Q310" s="66">
        <f t="shared" si="18"/>
        <v>106.10150817291667</v>
      </c>
    </row>
    <row r="311" spans="1:17">
      <c r="A311" s="145" t="s">
        <v>626</v>
      </c>
      <c r="B311" s="146" t="s">
        <v>1806</v>
      </c>
      <c r="C311" s="146" t="s">
        <v>1807</v>
      </c>
      <c r="D311" s="145" t="s">
        <v>1808</v>
      </c>
      <c r="E311" s="146" t="s">
        <v>75</v>
      </c>
      <c r="F311" s="145" t="s">
        <v>1602</v>
      </c>
      <c r="G311" s="146" t="s">
        <v>20</v>
      </c>
      <c r="H311" s="146">
        <v>201604</v>
      </c>
      <c r="I311" s="147">
        <v>366.1</v>
      </c>
      <c r="J311" s="297">
        <f t="shared" si="19"/>
        <v>42675</v>
      </c>
      <c r="K311" s="67">
        <f t="shared" si="17"/>
        <v>6</v>
      </c>
      <c r="L311" s="148">
        <v>1.4833299999999999E-3</v>
      </c>
      <c r="M311" s="104">
        <f t="shared" si="16"/>
        <v>3.258282678</v>
      </c>
      <c r="O311" s="66"/>
      <c r="Q311" s="66">
        <f t="shared" si="18"/>
        <v>6.0565906041666668</v>
      </c>
    </row>
    <row r="312" spans="1:17">
      <c r="A312" s="145" t="s">
        <v>626</v>
      </c>
      <c r="B312" s="146" t="s">
        <v>1918</v>
      </c>
      <c r="C312" s="146" t="s">
        <v>1919</v>
      </c>
      <c r="D312" s="145" t="s">
        <v>1920</v>
      </c>
      <c r="E312" s="146" t="s">
        <v>75</v>
      </c>
      <c r="F312" s="145" t="s">
        <v>1602</v>
      </c>
      <c r="G312" s="146" t="s">
        <v>20</v>
      </c>
      <c r="H312" s="146">
        <v>201604</v>
      </c>
      <c r="I312" s="147">
        <v>259.12</v>
      </c>
      <c r="J312" s="297">
        <f t="shared" si="19"/>
        <v>42675</v>
      </c>
      <c r="K312" s="67">
        <f t="shared" si="17"/>
        <v>6</v>
      </c>
      <c r="L312" s="148">
        <v>1.4833299999999999E-3</v>
      </c>
      <c r="M312" s="104">
        <f t="shared" si="16"/>
        <v>2.3061628176000002</v>
      </c>
      <c r="O312" s="66"/>
      <c r="Q312" s="66">
        <f t="shared" si="18"/>
        <v>4.2867625166666672</v>
      </c>
    </row>
    <row r="313" spans="1:17">
      <c r="A313" s="145" t="s">
        <v>626</v>
      </c>
      <c r="B313" s="146" t="s">
        <v>1658</v>
      </c>
      <c r="C313" s="146" t="s">
        <v>1659</v>
      </c>
      <c r="D313" s="145" t="s">
        <v>1660</v>
      </c>
      <c r="E313" s="146" t="s">
        <v>209</v>
      </c>
      <c r="F313" s="145" t="s">
        <v>1612</v>
      </c>
      <c r="G313" s="146" t="s">
        <v>20</v>
      </c>
      <c r="H313" s="146">
        <v>201604</v>
      </c>
      <c r="I313" s="147">
        <v>-10.64</v>
      </c>
      <c r="J313" s="297">
        <f t="shared" si="19"/>
        <v>42675</v>
      </c>
      <c r="K313" s="67">
        <f t="shared" si="17"/>
        <v>6</v>
      </c>
      <c r="L313" s="148">
        <v>1.4833299999999999E-3</v>
      </c>
      <c r="M313" s="104">
        <f t="shared" si="16"/>
        <v>-9.4695787200000006E-2</v>
      </c>
      <c r="O313" s="66"/>
      <c r="Q313" s="66">
        <f t="shared" si="18"/>
        <v>-0.17602328333333334</v>
      </c>
    </row>
    <row r="314" spans="1:17">
      <c r="A314" s="145" t="s">
        <v>626</v>
      </c>
      <c r="B314" s="146" t="s">
        <v>1921</v>
      </c>
      <c r="C314" s="146" t="s">
        <v>1922</v>
      </c>
      <c r="D314" s="145" t="s">
        <v>1923</v>
      </c>
      <c r="E314" s="146" t="s">
        <v>156</v>
      </c>
      <c r="F314" s="145" t="s">
        <v>26</v>
      </c>
      <c r="G314" s="146" t="s">
        <v>20</v>
      </c>
      <c r="H314" s="146">
        <v>201604</v>
      </c>
      <c r="I314" s="147">
        <v>1753.12</v>
      </c>
      <c r="J314" s="297">
        <f t="shared" si="19"/>
        <v>42675</v>
      </c>
      <c r="K314" s="67">
        <f t="shared" si="17"/>
        <v>6</v>
      </c>
      <c r="L314" s="148">
        <v>1.4833299999999999E-3</v>
      </c>
      <c r="M314" s="104">
        <f t="shared" si="16"/>
        <v>15.602732937599999</v>
      </c>
      <c r="O314" s="66"/>
      <c r="Q314" s="66">
        <f t="shared" si="18"/>
        <v>29.002813766666666</v>
      </c>
    </row>
    <row r="315" spans="1:17">
      <c r="A315" s="145" t="s">
        <v>14</v>
      </c>
      <c r="B315" s="146" t="s">
        <v>1661</v>
      </c>
      <c r="C315" s="146" t="s">
        <v>1662</v>
      </c>
      <c r="D315" s="145" t="s">
        <v>1663</v>
      </c>
      <c r="E315" s="146" t="s">
        <v>284</v>
      </c>
      <c r="F315" s="145" t="s">
        <v>285</v>
      </c>
      <c r="G315" s="146" t="s">
        <v>20</v>
      </c>
      <c r="H315" s="146">
        <v>201604</v>
      </c>
      <c r="I315" s="147">
        <v>-0.01</v>
      </c>
      <c r="J315" s="297">
        <f t="shared" si="19"/>
        <v>42675</v>
      </c>
      <c r="K315" s="67">
        <f t="shared" si="17"/>
        <v>6</v>
      </c>
      <c r="L315" s="148">
        <v>2.23333E-3</v>
      </c>
      <c r="M315" s="104">
        <f t="shared" si="16"/>
        <v>-1.3399979999999999E-4</v>
      </c>
      <c r="O315" s="66"/>
      <c r="Q315" s="66">
        <f t="shared" si="18"/>
        <v>-1.6543541666666668E-4</v>
      </c>
    </row>
    <row r="316" spans="1:17">
      <c r="A316" s="145" t="s">
        <v>21</v>
      </c>
      <c r="B316" s="146" t="s">
        <v>1664</v>
      </c>
      <c r="C316" s="146" t="s">
        <v>1665</v>
      </c>
      <c r="D316" s="145" t="s">
        <v>1666</v>
      </c>
      <c r="E316" s="146" t="s">
        <v>87</v>
      </c>
      <c r="F316" s="145" t="s">
        <v>1603</v>
      </c>
      <c r="G316" s="146" t="s">
        <v>20</v>
      </c>
      <c r="H316" s="146">
        <v>201604</v>
      </c>
      <c r="I316" s="147">
        <v>-77.37</v>
      </c>
      <c r="J316" s="297">
        <f t="shared" si="19"/>
        <v>42675</v>
      </c>
      <c r="K316" s="67">
        <f t="shared" si="17"/>
        <v>6</v>
      </c>
      <c r="L316" s="148">
        <v>1.4833299999999999E-3</v>
      </c>
      <c r="M316" s="104">
        <f t="shared" si="16"/>
        <v>-0.6885914526000001</v>
      </c>
      <c r="O316" s="66"/>
      <c r="Q316" s="66">
        <f t="shared" si="18"/>
        <v>-1.27997381875</v>
      </c>
    </row>
    <row r="317" spans="1:17">
      <c r="A317" s="145" t="s">
        <v>990</v>
      </c>
      <c r="B317" s="146" t="s">
        <v>1751</v>
      </c>
      <c r="C317" s="146" t="s">
        <v>1752</v>
      </c>
      <c r="D317" s="145" t="s">
        <v>1753</v>
      </c>
      <c r="E317" s="146" t="s">
        <v>1688</v>
      </c>
      <c r="F317" s="145" t="s">
        <v>1689</v>
      </c>
      <c r="G317" s="146" t="s">
        <v>20</v>
      </c>
      <c r="H317" s="146">
        <v>201604</v>
      </c>
      <c r="I317" s="147">
        <v>13.73</v>
      </c>
      <c r="J317" s="297">
        <f t="shared" si="19"/>
        <v>42675</v>
      </c>
      <c r="K317" s="67">
        <f t="shared" si="17"/>
        <v>6</v>
      </c>
      <c r="L317" s="148">
        <v>2.3833299999999999E-3</v>
      </c>
      <c r="M317" s="104">
        <f t="shared" si="16"/>
        <v>0.1963387254</v>
      </c>
      <c r="O317" s="66"/>
      <c r="Q317" s="66">
        <f t="shared" si="18"/>
        <v>0.22714282708333336</v>
      </c>
    </row>
    <row r="318" spans="1:17">
      <c r="A318" s="145" t="s">
        <v>990</v>
      </c>
      <c r="B318" s="146" t="s">
        <v>1754</v>
      </c>
      <c r="C318" s="146" t="s">
        <v>1755</v>
      </c>
      <c r="D318" s="145" t="s">
        <v>1756</v>
      </c>
      <c r="E318" s="146" t="s">
        <v>1688</v>
      </c>
      <c r="F318" s="145" t="s">
        <v>1689</v>
      </c>
      <c r="G318" s="146" t="s">
        <v>20</v>
      </c>
      <c r="H318" s="146">
        <v>201604</v>
      </c>
      <c r="I318" s="147">
        <v>56.9</v>
      </c>
      <c r="J318" s="297">
        <f t="shared" si="19"/>
        <v>42675</v>
      </c>
      <c r="K318" s="67">
        <f t="shared" si="17"/>
        <v>6</v>
      </c>
      <c r="L318" s="148">
        <v>2.3833299999999999E-3</v>
      </c>
      <c r="M318" s="104">
        <f t="shared" si="16"/>
        <v>0.81366886199999999</v>
      </c>
      <c r="O318" s="66"/>
      <c r="Q318" s="66">
        <f t="shared" si="18"/>
        <v>0.94132752083333338</v>
      </c>
    </row>
    <row r="319" spans="1:17">
      <c r="A319" s="145" t="s">
        <v>21</v>
      </c>
      <c r="B319" s="146" t="s">
        <v>1667</v>
      </c>
      <c r="C319" s="146" t="s">
        <v>1668</v>
      </c>
      <c r="D319" s="145" t="s">
        <v>1651</v>
      </c>
      <c r="E319" s="146" t="s">
        <v>209</v>
      </c>
      <c r="F319" s="145" t="s">
        <v>1612</v>
      </c>
      <c r="G319" s="146" t="s">
        <v>20</v>
      </c>
      <c r="H319" s="146">
        <v>201604</v>
      </c>
      <c r="I319" s="147">
        <v>2691.95</v>
      </c>
      <c r="J319" s="297">
        <f t="shared" si="19"/>
        <v>42675</v>
      </c>
      <c r="K319" s="67">
        <f t="shared" si="17"/>
        <v>6</v>
      </c>
      <c r="L319" s="148">
        <v>1.4833299999999999E-3</v>
      </c>
      <c r="M319" s="104">
        <f t="shared" si="16"/>
        <v>23.958301160999998</v>
      </c>
      <c r="O319" s="66"/>
      <c r="Q319" s="66">
        <f t="shared" si="18"/>
        <v>44.534386989583332</v>
      </c>
    </row>
    <row r="320" spans="1:17">
      <c r="A320" s="145" t="s">
        <v>626</v>
      </c>
      <c r="B320" s="146" t="s">
        <v>1924</v>
      </c>
      <c r="C320" s="146" t="s">
        <v>1925</v>
      </c>
      <c r="D320" s="145" t="s">
        <v>1926</v>
      </c>
      <c r="E320" s="146" t="s">
        <v>75</v>
      </c>
      <c r="F320" s="145" t="s">
        <v>1602</v>
      </c>
      <c r="G320" s="146" t="s">
        <v>20</v>
      </c>
      <c r="H320" s="146">
        <v>201604</v>
      </c>
      <c r="I320" s="147">
        <v>130.28</v>
      </c>
      <c r="J320" s="297">
        <f t="shared" si="19"/>
        <v>42675</v>
      </c>
      <c r="K320" s="67">
        <f t="shared" si="17"/>
        <v>6</v>
      </c>
      <c r="L320" s="148">
        <v>1.4833299999999999E-3</v>
      </c>
      <c r="M320" s="104">
        <f t="shared" si="16"/>
        <v>1.1594893944</v>
      </c>
      <c r="O320" s="66"/>
      <c r="Q320" s="66">
        <f t="shared" si="18"/>
        <v>2.1552926083333337</v>
      </c>
    </row>
    <row r="321" spans="1:17">
      <c r="A321" s="145" t="s">
        <v>626</v>
      </c>
      <c r="B321" s="146" t="s">
        <v>1927</v>
      </c>
      <c r="C321" s="146" t="s">
        <v>1928</v>
      </c>
      <c r="D321" s="145" t="s">
        <v>1929</v>
      </c>
      <c r="E321" s="146" t="s">
        <v>75</v>
      </c>
      <c r="F321" s="145" t="s">
        <v>1602</v>
      </c>
      <c r="G321" s="146" t="s">
        <v>20</v>
      </c>
      <c r="H321" s="146">
        <v>201604</v>
      </c>
      <c r="I321" s="147">
        <v>125.24</v>
      </c>
      <c r="J321" s="297">
        <f t="shared" si="19"/>
        <v>42675</v>
      </c>
      <c r="K321" s="67">
        <f t="shared" si="17"/>
        <v>6</v>
      </c>
      <c r="L321" s="148">
        <v>1.4833299999999999E-3</v>
      </c>
      <c r="M321" s="104">
        <f t="shared" si="16"/>
        <v>1.1146334951999999</v>
      </c>
      <c r="O321" s="66"/>
      <c r="Q321" s="66">
        <f t="shared" si="18"/>
        <v>2.0719131583333334</v>
      </c>
    </row>
    <row r="322" spans="1:17">
      <c r="A322" s="145" t="s">
        <v>21</v>
      </c>
      <c r="B322" s="146" t="s">
        <v>1820</v>
      </c>
      <c r="C322" s="146" t="s">
        <v>1821</v>
      </c>
      <c r="D322" s="145" t="s">
        <v>1822</v>
      </c>
      <c r="E322" s="146" t="s">
        <v>87</v>
      </c>
      <c r="F322" s="145" t="s">
        <v>1603</v>
      </c>
      <c r="G322" s="146" t="s">
        <v>20</v>
      </c>
      <c r="H322" s="146">
        <v>201604</v>
      </c>
      <c r="I322" s="147">
        <v>506.09</v>
      </c>
      <c r="J322" s="297">
        <f t="shared" si="19"/>
        <v>42675</v>
      </c>
      <c r="K322" s="67">
        <f t="shared" si="17"/>
        <v>6</v>
      </c>
      <c r="L322" s="148">
        <v>1.4833299999999999E-3</v>
      </c>
      <c r="M322" s="104">
        <f t="shared" si="16"/>
        <v>4.5041908782000002</v>
      </c>
      <c r="O322" s="66"/>
      <c r="Q322" s="66">
        <f t="shared" si="18"/>
        <v>8.3725210020833316</v>
      </c>
    </row>
    <row r="323" spans="1:17">
      <c r="A323" s="145" t="s">
        <v>626</v>
      </c>
      <c r="B323" s="146" t="s">
        <v>1699</v>
      </c>
      <c r="C323" s="146" t="s">
        <v>1700</v>
      </c>
      <c r="D323" s="145" t="s">
        <v>1701</v>
      </c>
      <c r="E323" s="146" t="s">
        <v>544</v>
      </c>
      <c r="F323" s="145" t="s">
        <v>26</v>
      </c>
      <c r="G323" s="146" t="s">
        <v>20</v>
      </c>
      <c r="H323" s="146">
        <v>201604</v>
      </c>
      <c r="I323" s="147">
        <v>-74.400000000000006</v>
      </c>
      <c r="J323" s="297">
        <f t="shared" si="19"/>
        <v>42675</v>
      </c>
      <c r="K323" s="67">
        <f t="shared" si="17"/>
        <v>6</v>
      </c>
      <c r="L323" s="148">
        <v>1.4833299999999999E-3</v>
      </c>
      <c r="M323" s="104">
        <f t="shared" si="16"/>
        <v>-0.66215851200000009</v>
      </c>
      <c r="O323" s="66"/>
      <c r="Q323" s="66">
        <f t="shared" si="18"/>
        <v>-1.2308395000000001</v>
      </c>
    </row>
    <row r="324" spans="1:17">
      <c r="A324" s="145" t="s">
        <v>127</v>
      </c>
      <c r="B324" s="146" t="s">
        <v>1964</v>
      </c>
      <c r="C324" s="146" t="s">
        <v>1965</v>
      </c>
      <c r="D324" s="145" t="s">
        <v>1966</v>
      </c>
      <c r="E324" s="146" t="s">
        <v>87</v>
      </c>
      <c r="F324" s="145" t="s">
        <v>1603</v>
      </c>
      <c r="G324" s="146" t="s">
        <v>20</v>
      </c>
      <c r="H324" s="146">
        <v>201604</v>
      </c>
      <c r="I324" s="147">
        <v>161.15</v>
      </c>
      <c r="J324" s="297">
        <f t="shared" si="19"/>
        <v>42675</v>
      </c>
      <c r="K324" s="67">
        <f t="shared" si="17"/>
        <v>6</v>
      </c>
      <c r="L324" s="148">
        <v>2.3833299999999999E-3</v>
      </c>
      <c r="M324" s="104">
        <f t="shared" si="16"/>
        <v>2.3044417770000001</v>
      </c>
      <c r="O324" s="66"/>
      <c r="Q324" s="66">
        <f t="shared" si="18"/>
        <v>2.6659917395833337</v>
      </c>
    </row>
    <row r="325" spans="1:17">
      <c r="A325" s="145" t="s">
        <v>626</v>
      </c>
      <c r="B325" s="146" t="s">
        <v>1930</v>
      </c>
      <c r="C325" s="146" t="s">
        <v>1931</v>
      </c>
      <c r="D325" s="145" t="s">
        <v>1932</v>
      </c>
      <c r="E325" s="146" t="s">
        <v>75</v>
      </c>
      <c r="F325" s="145" t="s">
        <v>1602</v>
      </c>
      <c r="G325" s="146" t="s">
        <v>20</v>
      </c>
      <c r="H325" s="146">
        <v>201604</v>
      </c>
      <c r="I325" s="147">
        <v>428.99</v>
      </c>
      <c r="J325" s="297">
        <f t="shared" si="19"/>
        <v>42675</v>
      </c>
      <c r="K325" s="67">
        <f t="shared" si="17"/>
        <v>6</v>
      </c>
      <c r="L325" s="148">
        <v>1.4833299999999999E-3</v>
      </c>
      <c r="M325" s="104">
        <f t="shared" ref="M325:M388" si="20">L325*K325*I325</f>
        <v>3.8180024202</v>
      </c>
      <c r="O325" s="66"/>
      <c r="Q325" s="66">
        <f t="shared" si="18"/>
        <v>7.0970139395833334</v>
      </c>
    </row>
    <row r="326" spans="1:17">
      <c r="A326" s="145" t="s">
        <v>626</v>
      </c>
      <c r="B326" s="146" t="s">
        <v>1782</v>
      </c>
      <c r="C326" s="146" t="s">
        <v>1783</v>
      </c>
      <c r="D326" s="145" t="s">
        <v>1784</v>
      </c>
      <c r="E326" s="146" t="s">
        <v>87</v>
      </c>
      <c r="F326" s="145" t="s">
        <v>1603</v>
      </c>
      <c r="G326" s="146" t="s">
        <v>20</v>
      </c>
      <c r="H326" s="146">
        <v>201604</v>
      </c>
      <c r="I326" s="147">
        <v>122.32</v>
      </c>
      <c r="J326" s="297">
        <f t="shared" si="19"/>
        <v>42675</v>
      </c>
      <c r="K326" s="67">
        <f t="shared" ref="K326:K389" si="21">((YEAR($K$1)-YEAR(J326))*12+MONTH($K$1)-MONTH(J326))</f>
        <v>6</v>
      </c>
      <c r="L326" s="148">
        <v>1.4833299999999999E-3</v>
      </c>
      <c r="M326" s="104">
        <f t="shared" si="20"/>
        <v>1.0886455535999999</v>
      </c>
      <c r="O326" s="66"/>
      <c r="Q326" s="66">
        <f t="shared" ref="Q326:Q389" si="22">($Q$4*0.5*I326*$T$10)</f>
        <v>2.0236060166666667</v>
      </c>
    </row>
    <row r="327" spans="1:17">
      <c r="A327" s="145" t="s">
        <v>626</v>
      </c>
      <c r="B327" s="146" t="s">
        <v>1933</v>
      </c>
      <c r="C327" s="146" t="s">
        <v>1934</v>
      </c>
      <c r="D327" s="145" t="s">
        <v>1935</v>
      </c>
      <c r="E327" s="146" t="s">
        <v>75</v>
      </c>
      <c r="F327" s="145" t="s">
        <v>1602</v>
      </c>
      <c r="G327" s="146" t="s">
        <v>20</v>
      </c>
      <c r="H327" s="146">
        <v>201604</v>
      </c>
      <c r="I327" s="147">
        <v>274.92</v>
      </c>
      <c r="J327" s="297">
        <f t="shared" ref="J327:J390" si="23">+J326</f>
        <v>42675</v>
      </c>
      <c r="K327" s="67">
        <f t="shared" si="21"/>
        <v>6</v>
      </c>
      <c r="L327" s="148">
        <v>1.4833299999999999E-3</v>
      </c>
      <c r="M327" s="104">
        <f t="shared" si="20"/>
        <v>2.4467825016</v>
      </c>
      <c r="O327" s="66"/>
      <c r="Q327" s="66">
        <f t="shared" si="22"/>
        <v>4.5481504750000008</v>
      </c>
    </row>
    <row r="328" spans="1:17">
      <c r="A328" s="145" t="s">
        <v>626</v>
      </c>
      <c r="B328" s="146" t="s">
        <v>1967</v>
      </c>
      <c r="C328" s="146" t="s">
        <v>1968</v>
      </c>
      <c r="D328" s="145" t="s">
        <v>1969</v>
      </c>
      <c r="E328" s="146" t="s">
        <v>544</v>
      </c>
      <c r="F328" s="145" t="s">
        <v>26</v>
      </c>
      <c r="G328" s="146" t="s">
        <v>20</v>
      </c>
      <c r="H328" s="146">
        <v>201604</v>
      </c>
      <c r="I328" s="147">
        <v>2595.21</v>
      </c>
      <c r="J328" s="297">
        <f t="shared" si="23"/>
        <v>42675</v>
      </c>
      <c r="K328" s="67">
        <f t="shared" si="21"/>
        <v>6</v>
      </c>
      <c r="L328" s="148">
        <v>1.4833299999999999E-3</v>
      </c>
      <c r="M328" s="104">
        <f t="shared" si="20"/>
        <v>23.097317095800001</v>
      </c>
      <c r="O328" s="66"/>
      <c r="Q328" s="66">
        <f t="shared" si="22"/>
        <v>42.933964768750002</v>
      </c>
    </row>
    <row r="329" spans="1:17">
      <c r="A329" s="145" t="s">
        <v>626</v>
      </c>
      <c r="B329" s="146" t="s">
        <v>1936</v>
      </c>
      <c r="C329" s="146" t="s">
        <v>1937</v>
      </c>
      <c r="D329" s="145" t="s">
        <v>1938</v>
      </c>
      <c r="E329" s="146" t="s">
        <v>75</v>
      </c>
      <c r="F329" s="145" t="s">
        <v>1602</v>
      </c>
      <c r="G329" s="146" t="s">
        <v>20</v>
      </c>
      <c r="H329" s="146">
        <v>201604</v>
      </c>
      <c r="I329" s="147">
        <v>254.42</v>
      </c>
      <c r="J329" s="297">
        <f t="shared" si="23"/>
        <v>42675</v>
      </c>
      <c r="K329" s="67">
        <f t="shared" si="21"/>
        <v>6</v>
      </c>
      <c r="L329" s="148">
        <v>1.4833299999999999E-3</v>
      </c>
      <c r="M329" s="104">
        <f t="shared" si="20"/>
        <v>2.2643329115999999</v>
      </c>
      <c r="O329" s="66"/>
      <c r="Q329" s="66">
        <f t="shared" si="22"/>
        <v>4.2090078708333332</v>
      </c>
    </row>
    <row r="330" spans="1:17">
      <c r="A330" s="145" t="s">
        <v>626</v>
      </c>
      <c r="B330" s="146" t="s">
        <v>1970</v>
      </c>
      <c r="C330" s="146" t="s">
        <v>1971</v>
      </c>
      <c r="D330" s="145" t="s">
        <v>1972</v>
      </c>
      <c r="E330" s="146" t="s">
        <v>93</v>
      </c>
      <c r="F330" s="145" t="s">
        <v>1601</v>
      </c>
      <c r="G330" s="146" t="s">
        <v>20</v>
      </c>
      <c r="H330" s="146">
        <v>201604</v>
      </c>
      <c r="I330" s="147">
        <v>50007.199999999997</v>
      </c>
      <c r="J330" s="297">
        <f t="shared" si="23"/>
        <v>42675</v>
      </c>
      <c r="K330" s="67">
        <f t="shared" si="21"/>
        <v>6</v>
      </c>
      <c r="L330" s="148">
        <v>1.4833299999999999E-3</v>
      </c>
      <c r="M330" s="104">
        <f t="shared" si="20"/>
        <v>445.063079856</v>
      </c>
      <c r="O330" s="66"/>
      <c r="Q330" s="66">
        <f t="shared" si="22"/>
        <v>827.29619683333328</v>
      </c>
    </row>
    <row r="331" spans="1:17">
      <c r="A331" s="145" t="s">
        <v>21</v>
      </c>
      <c r="B331" s="146" t="s">
        <v>1939</v>
      </c>
      <c r="C331" s="146" t="s">
        <v>1940</v>
      </c>
      <c r="D331" s="145" t="s">
        <v>1941</v>
      </c>
      <c r="E331" s="146" t="s">
        <v>87</v>
      </c>
      <c r="F331" s="145" t="s">
        <v>1603</v>
      </c>
      <c r="G331" s="146" t="s">
        <v>20</v>
      </c>
      <c r="H331" s="146">
        <v>201604</v>
      </c>
      <c r="I331" s="147">
        <v>2652.14</v>
      </c>
      <c r="J331" s="297">
        <f t="shared" si="23"/>
        <v>42675</v>
      </c>
      <c r="K331" s="67">
        <f t="shared" si="21"/>
        <v>6</v>
      </c>
      <c r="L331" s="148">
        <v>1.4833299999999999E-3</v>
      </c>
      <c r="M331" s="104">
        <f t="shared" si="20"/>
        <v>23.603992957199999</v>
      </c>
      <c r="O331" s="66"/>
      <c r="Q331" s="66">
        <f t="shared" si="22"/>
        <v>43.875788595833335</v>
      </c>
    </row>
    <row r="332" spans="1:17">
      <c r="A332" s="145" t="s">
        <v>21</v>
      </c>
      <c r="B332" s="146" t="s">
        <v>1973</v>
      </c>
      <c r="C332" s="146" t="s">
        <v>1974</v>
      </c>
      <c r="D332" s="145" t="s">
        <v>1975</v>
      </c>
      <c r="E332" s="146" t="s">
        <v>87</v>
      </c>
      <c r="F332" s="145" t="s">
        <v>1603</v>
      </c>
      <c r="G332" s="146" t="s">
        <v>20</v>
      </c>
      <c r="H332" s="146">
        <v>201604</v>
      </c>
      <c r="I332" s="147">
        <v>2493.0500000000002</v>
      </c>
      <c r="J332" s="297">
        <f t="shared" si="23"/>
        <v>42675</v>
      </c>
      <c r="K332" s="67">
        <f t="shared" si="21"/>
        <v>6</v>
      </c>
      <c r="L332" s="148">
        <v>1.4833299999999999E-3</v>
      </c>
      <c r="M332" s="104">
        <f t="shared" si="20"/>
        <v>22.188095139000001</v>
      </c>
      <c r="O332" s="66"/>
      <c r="Q332" s="66">
        <f t="shared" si="22"/>
        <v>41.243876552083336</v>
      </c>
    </row>
    <row r="333" spans="1:17">
      <c r="A333" s="145" t="s">
        <v>626</v>
      </c>
      <c r="B333" s="146" t="s">
        <v>1809</v>
      </c>
      <c r="C333" s="146" t="s">
        <v>1810</v>
      </c>
      <c r="D333" s="145" t="s">
        <v>1323</v>
      </c>
      <c r="E333" s="146" t="s">
        <v>75</v>
      </c>
      <c r="F333" s="145" t="s">
        <v>1602</v>
      </c>
      <c r="G333" s="146" t="s">
        <v>20</v>
      </c>
      <c r="H333" s="146">
        <v>201604</v>
      </c>
      <c r="I333" s="147">
        <v>-0.48</v>
      </c>
      <c r="J333" s="297">
        <f t="shared" si="23"/>
        <v>42675</v>
      </c>
      <c r="K333" s="67">
        <f t="shared" si="21"/>
        <v>6</v>
      </c>
      <c r="L333" s="148">
        <v>1.4833299999999999E-3</v>
      </c>
      <c r="M333" s="104">
        <f t="shared" si="20"/>
        <v>-4.2719904E-3</v>
      </c>
      <c r="O333" s="66"/>
      <c r="Q333" s="66">
        <f t="shared" si="22"/>
        <v>-7.940899999999999E-3</v>
      </c>
    </row>
    <row r="334" spans="1:17">
      <c r="A334" s="145" t="s">
        <v>626</v>
      </c>
      <c r="B334" s="146" t="s">
        <v>1811</v>
      </c>
      <c r="C334" s="146" t="s">
        <v>1812</v>
      </c>
      <c r="D334" s="145" t="s">
        <v>1813</v>
      </c>
      <c r="E334" s="146" t="s">
        <v>25</v>
      </c>
      <c r="F334" s="145" t="s">
        <v>26</v>
      </c>
      <c r="G334" s="146" t="s">
        <v>20</v>
      </c>
      <c r="H334" s="146">
        <v>201604</v>
      </c>
      <c r="I334" s="147">
        <v>465.78</v>
      </c>
      <c r="J334" s="297">
        <f t="shared" si="23"/>
        <v>42675</v>
      </c>
      <c r="K334" s="67">
        <f t="shared" si="21"/>
        <v>6</v>
      </c>
      <c r="L334" s="148">
        <v>1.4833299999999999E-3</v>
      </c>
      <c r="M334" s="104">
        <f t="shared" si="20"/>
        <v>4.1454326843999993</v>
      </c>
      <c r="O334" s="66"/>
      <c r="Q334" s="66">
        <f t="shared" si="22"/>
        <v>7.7056508374999995</v>
      </c>
    </row>
    <row r="335" spans="1:17">
      <c r="A335" s="145" t="s">
        <v>1942</v>
      </c>
      <c r="B335" s="146" t="s">
        <v>1681</v>
      </c>
      <c r="C335" s="146" t="s">
        <v>1682</v>
      </c>
      <c r="D335" s="145" t="s">
        <v>1683</v>
      </c>
      <c r="E335" s="146" t="s">
        <v>198</v>
      </c>
      <c r="F335" s="145" t="s">
        <v>1610</v>
      </c>
      <c r="G335" s="146" t="s">
        <v>20</v>
      </c>
      <c r="H335" s="146">
        <v>201604</v>
      </c>
      <c r="I335" s="147">
        <v>3074.58</v>
      </c>
      <c r="J335" s="297">
        <f t="shared" si="23"/>
        <v>42675</v>
      </c>
      <c r="K335" s="67">
        <f t="shared" si="21"/>
        <v>6</v>
      </c>
      <c r="L335" s="148">
        <v>2.23333E-3</v>
      </c>
      <c r="M335" s="104">
        <f t="shared" si="20"/>
        <v>41.199310508399996</v>
      </c>
      <c r="O335" s="66"/>
      <c r="Q335" s="66">
        <f t="shared" si="22"/>
        <v>50.864442337500002</v>
      </c>
    </row>
    <row r="336" spans="1:17">
      <c r="A336" s="145" t="s">
        <v>1942</v>
      </c>
      <c r="B336" s="146" t="s">
        <v>1681</v>
      </c>
      <c r="C336" s="146" t="s">
        <v>1943</v>
      </c>
      <c r="D336" s="145" t="s">
        <v>1944</v>
      </c>
      <c r="E336" s="146" t="s">
        <v>202</v>
      </c>
      <c r="F336" s="145" t="s">
        <v>1611</v>
      </c>
      <c r="G336" s="146" t="s">
        <v>20</v>
      </c>
      <c r="H336" s="146">
        <v>201604</v>
      </c>
      <c r="I336" s="147">
        <v>1011.31</v>
      </c>
      <c r="J336" s="297">
        <f t="shared" si="23"/>
        <v>42675</v>
      </c>
      <c r="K336" s="67">
        <f t="shared" si="21"/>
        <v>6</v>
      </c>
      <c r="L336" s="148">
        <v>2.23333E-3</v>
      </c>
      <c r="M336" s="104">
        <f t="shared" si="20"/>
        <v>13.551533773799997</v>
      </c>
      <c r="O336" s="66"/>
      <c r="Q336" s="66">
        <f t="shared" si="22"/>
        <v>16.730649122916667</v>
      </c>
    </row>
    <row r="337" spans="1:17">
      <c r="A337" s="145" t="s">
        <v>1942</v>
      </c>
      <c r="B337" s="146" t="s">
        <v>1681</v>
      </c>
      <c r="C337" s="146" t="s">
        <v>1976</v>
      </c>
      <c r="D337" s="145" t="s">
        <v>1977</v>
      </c>
      <c r="E337" s="146" t="s">
        <v>294</v>
      </c>
      <c r="F337" s="145" t="s">
        <v>1613</v>
      </c>
      <c r="G337" s="146" t="s">
        <v>20</v>
      </c>
      <c r="H337" s="146">
        <v>201604</v>
      </c>
      <c r="I337" s="147">
        <v>8911.31</v>
      </c>
      <c r="J337" s="297">
        <f t="shared" si="23"/>
        <v>42675</v>
      </c>
      <c r="K337" s="67">
        <f t="shared" si="21"/>
        <v>6</v>
      </c>
      <c r="L337" s="148">
        <v>2.23333E-3</v>
      </c>
      <c r="M337" s="104">
        <f t="shared" si="20"/>
        <v>119.41137577379999</v>
      </c>
      <c r="O337" s="66"/>
      <c r="Q337" s="66">
        <f t="shared" si="22"/>
        <v>147.42462828958332</v>
      </c>
    </row>
    <row r="338" spans="1:17">
      <c r="A338" s="145" t="s">
        <v>626</v>
      </c>
      <c r="B338" s="146" t="s">
        <v>1978</v>
      </c>
      <c r="C338" s="146" t="s">
        <v>1979</v>
      </c>
      <c r="D338" s="145" t="s">
        <v>1980</v>
      </c>
      <c r="E338" s="146" t="s">
        <v>75</v>
      </c>
      <c r="F338" s="145" t="s">
        <v>1602</v>
      </c>
      <c r="G338" s="146" t="s">
        <v>20</v>
      </c>
      <c r="H338" s="146">
        <v>201604</v>
      </c>
      <c r="I338" s="147">
        <v>39438.81</v>
      </c>
      <c r="J338" s="297">
        <f t="shared" si="23"/>
        <v>42675</v>
      </c>
      <c r="K338" s="67">
        <f t="shared" si="21"/>
        <v>6</v>
      </c>
      <c r="L338" s="148">
        <v>1.4833299999999999E-3</v>
      </c>
      <c r="M338" s="104">
        <f t="shared" si="20"/>
        <v>351.00462022379998</v>
      </c>
      <c r="O338" s="66"/>
      <c r="Q338" s="66">
        <f t="shared" si="22"/>
        <v>652.45759651874994</v>
      </c>
    </row>
    <row r="339" spans="1:17">
      <c r="A339" s="145" t="s">
        <v>626</v>
      </c>
      <c r="B339" s="146" t="s">
        <v>1757</v>
      </c>
      <c r="C339" s="146" t="s">
        <v>1758</v>
      </c>
      <c r="D339" s="145" t="s">
        <v>1759</v>
      </c>
      <c r="E339" s="146" t="s">
        <v>75</v>
      </c>
      <c r="F339" s="145" t="s">
        <v>1602</v>
      </c>
      <c r="G339" s="146" t="s">
        <v>20</v>
      </c>
      <c r="H339" s="146">
        <v>201604</v>
      </c>
      <c r="I339" s="147">
        <v>206.07</v>
      </c>
      <c r="J339" s="297">
        <f t="shared" si="23"/>
        <v>42675</v>
      </c>
      <c r="K339" s="67">
        <f t="shared" si="21"/>
        <v>6</v>
      </c>
      <c r="L339" s="148">
        <v>1.4833299999999999E-3</v>
      </c>
      <c r="M339" s="104">
        <f t="shared" si="20"/>
        <v>1.8340188786</v>
      </c>
      <c r="O339" s="66"/>
      <c r="Q339" s="66">
        <f t="shared" si="22"/>
        <v>3.4091276312500001</v>
      </c>
    </row>
    <row r="340" spans="1:17">
      <c r="A340" s="145" t="s">
        <v>626</v>
      </c>
      <c r="B340" s="146" t="s">
        <v>1981</v>
      </c>
      <c r="C340" s="146" t="s">
        <v>1982</v>
      </c>
      <c r="D340" s="145" t="s">
        <v>1983</v>
      </c>
      <c r="E340" s="146" t="s">
        <v>75</v>
      </c>
      <c r="F340" s="145" t="s">
        <v>1602</v>
      </c>
      <c r="G340" s="146" t="s">
        <v>20</v>
      </c>
      <c r="H340" s="146">
        <v>201604</v>
      </c>
      <c r="I340" s="147">
        <v>4616.5600000000004</v>
      </c>
      <c r="J340" s="297">
        <f t="shared" si="23"/>
        <v>42675</v>
      </c>
      <c r="K340" s="67">
        <f t="shared" si="21"/>
        <v>6</v>
      </c>
      <c r="L340" s="148">
        <v>1.4833299999999999E-3</v>
      </c>
      <c r="M340" s="104">
        <f t="shared" si="20"/>
        <v>41.087291668800006</v>
      </c>
      <c r="O340" s="66"/>
      <c r="Q340" s="66">
        <f t="shared" si="22"/>
        <v>76.374252716666675</v>
      </c>
    </row>
    <row r="341" spans="1:17">
      <c r="A341" s="145" t="s">
        <v>626</v>
      </c>
      <c r="B341" s="146" t="s">
        <v>1984</v>
      </c>
      <c r="C341" s="146" t="s">
        <v>1985</v>
      </c>
      <c r="D341" s="145" t="s">
        <v>1986</v>
      </c>
      <c r="E341" s="146" t="s">
        <v>156</v>
      </c>
      <c r="F341" s="145" t="s">
        <v>26</v>
      </c>
      <c r="G341" s="146" t="s">
        <v>20</v>
      </c>
      <c r="H341" s="146">
        <v>201604</v>
      </c>
      <c r="I341" s="147">
        <v>24879.89</v>
      </c>
      <c r="J341" s="297">
        <f t="shared" si="23"/>
        <v>42675</v>
      </c>
      <c r="K341" s="67">
        <f t="shared" si="21"/>
        <v>6</v>
      </c>
      <c r="L341" s="148">
        <v>1.4833299999999999E-3</v>
      </c>
      <c r="M341" s="104">
        <f t="shared" si="20"/>
        <v>221.43052340220001</v>
      </c>
      <c r="O341" s="66"/>
      <c r="Q341" s="66">
        <f t="shared" si="22"/>
        <v>411.60149687708338</v>
      </c>
    </row>
    <row r="342" spans="1:17">
      <c r="A342" s="145" t="s">
        <v>626</v>
      </c>
      <c r="B342" s="146" t="s">
        <v>1850</v>
      </c>
      <c r="C342" s="146" t="s">
        <v>1851</v>
      </c>
      <c r="D342" s="145" t="s">
        <v>1852</v>
      </c>
      <c r="E342" s="146" t="s">
        <v>260</v>
      </c>
      <c r="F342" s="145" t="s">
        <v>1608</v>
      </c>
      <c r="G342" s="146" t="s">
        <v>20</v>
      </c>
      <c r="H342" s="146">
        <v>201604</v>
      </c>
      <c r="I342" s="147">
        <v>5153.46</v>
      </c>
      <c r="J342" s="297">
        <f t="shared" si="23"/>
        <v>42675</v>
      </c>
      <c r="K342" s="67">
        <f t="shared" si="21"/>
        <v>6</v>
      </c>
      <c r="L342" s="148">
        <v>1.4833299999999999E-3</v>
      </c>
      <c r="M342" s="104">
        <f t="shared" si="20"/>
        <v>45.8656909308</v>
      </c>
      <c r="O342" s="66"/>
      <c r="Q342" s="66">
        <f t="shared" si="22"/>
        <v>85.2564802375</v>
      </c>
    </row>
    <row r="343" spans="1:17">
      <c r="A343" s="145" t="s">
        <v>626</v>
      </c>
      <c r="B343" s="146" t="s">
        <v>1814</v>
      </c>
      <c r="C343" s="146" t="s">
        <v>1815</v>
      </c>
      <c r="D343" s="145" t="s">
        <v>1816</v>
      </c>
      <c r="E343" s="146" t="s">
        <v>25</v>
      </c>
      <c r="F343" s="145" t="s">
        <v>26</v>
      </c>
      <c r="G343" s="146" t="s">
        <v>20</v>
      </c>
      <c r="H343" s="146">
        <v>201604</v>
      </c>
      <c r="I343" s="147">
        <v>1063.75</v>
      </c>
      <c r="J343" s="297">
        <f t="shared" si="23"/>
        <v>42675</v>
      </c>
      <c r="K343" s="67">
        <f t="shared" si="21"/>
        <v>6</v>
      </c>
      <c r="L343" s="148">
        <v>1.4833299999999999E-3</v>
      </c>
      <c r="M343" s="104">
        <f t="shared" si="20"/>
        <v>9.4673537250000006</v>
      </c>
      <c r="O343" s="66"/>
      <c r="Q343" s="66">
        <f t="shared" si="22"/>
        <v>17.598192447916666</v>
      </c>
    </row>
    <row r="344" spans="1:17">
      <c r="A344" s="145" t="s">
        <v>21</v>
      </c>
      <c r="B344" s="146" t="s">
        <v>1760</v>
      </c>
      <c r="C344" s="146" t="s">
        <v>1761</v>
      </c>
      <c r="D344" s="145" t="s">
        <v>1388</v>
      </c>
      <c r="E344" s="146" t="s">
        <v>164</v>
      </c>
      <c r="F344" s="145" t="s">
        <v>1600</v>
      </c>
      <c r="G344" s="146" t="s">
        <v>20</v>
      </c>
      <c r="H344" s="146">
        <v>201604</v>
      </c>
      <c r="I344" s="147">
        <v>1.79</v>
      </c>
      <c r="J344" s="297">
        <f t="shared" si="23"/>
        <v>42675</v>
      </c>
      <c r="K344" s="67">
        <f t="shared" si="21"/>
        <v>6</v>
      </c>
      <c r="L344" s="148">
        <v>1.4833299999999999E-3</v>
      </c>
      <c r="M344" s="104">
        <f t="shared" si="20"/>
        <v>1.5930964200000002E-2</v>
      </c>
      <c r="O344" s="66"/>
      <c r="Q344" s="66">
        <f t="shared" si="22"/>
        <v>2.9612939583333334E-2</v>
      </c>
    </row>
    <row r="345" spans="1:17">
      <c r="A345" s="145" t="s">
        <v>626</v>
      </c>
      <c r="B345" s="146" t="s">
        <v>1760</v>
      </c>
      <c r="C345" s="146" t="s">
        <v>1761</v>
      </c>
      <c r="D345" s="145" t="s">
        <v>1388</v>
      </c>
      <c r="E345" s="146" t="s">
        <v>164</v>
      </c>
      <c r="F345" s="145" t="s">
        <v>1600</v>
      </c>
      <c r="G345" s="146" t="s">
        <v>20</v>
      </c>
      <c r="H345" s="146">
        <v>201604</v>
      </c>
      <c r="I345" s="147">
        <v>76.92</v>
      </c>
      <c r="J345" s="297">
        <f t="shared" si="23"/>
        <v>42675</v>
      </c>
      <c r="K345" s="67">
        <f t="shared" si="21"/>
        <v>6</v>
      </c>
      <c r="L345" s="148">
        <v>1.4833299999999999E-3</v>
      </c>
      <c r="M345" s="104">
        <f t="shared" si="20"/>
        <v>0.68458646160000003</v>
      </c>
      <c r="O345" s="66"/>
      <c r="Q345" s="66">
        <f t="shared" si="22"/>
        <v>1.272529225</v>
      </c>
    </row>
    <row r="346" spans="1:17">
      <c r="A346" s="145" t="s">
        <v>626</v>
      </c>
      <c r="B346" s="146" t="s">
        <v>1762</v>
      </c>
      <c r="C346" s="146" t="s">
        <v>1763</v>
      </c>
      <c r="D346" s="145" t="s">
        <v>1344</v>
      </c>
      <c r="E346" s="146" t="s">
        <v>164</v>
      </c>
      <c r="F346" s="145" t="s">
        <v>1600</v>
      </c>
      <c r="G346" s="146" t="s">
        <v>20</v>
      </c>
      <c r="H346" s="146">
        <v>201604</v>
      </c>
      <c r="I346" s="147">
        <v>-10435.74</v>
      </c>
      <c r="J346" s="297">
        <f t="shared" si="23"/>
        <v>42675</v>
      </c>
      <c r="K346" s="67">
        <f t="shared" si="21"/>
        <v>6</v>
      </c>
      <c r="L346" s="148">
        <v>1.4833299999999999E-3</v>
      </c>
      <c r="M346" s="104">
        <f t="shared" si="20"/>
        <v>-92.8778772852</v>
      </c>
      <c r="O346" s="66"/>
      <c r="Q346" s="66">
        <f t="shared" si="22"/>
        <v>-172.64409951250002</v>
      </c>
    </row>
    <row r="347" spans="1:17">
      <c r="A347" s="145" t="s">
        <v>626</v>
      </c>
      <c r="B347" s="146" t="s">
        <v>1987</v>
      </c>
      <c r="C347" s="146" t="s">
        <v>1988</v>
      </c>
      <c r="D347" s="145" t="s">
        <v>1338</v>
      </c>
      <c r="E347" s="146" t="s">
        <v>75</v>
      </c>
      <c r="F347" s="145" t="s">
        <v>1602</v>
      </c>
      <c r="G347" s="146" t="s">
        <v>20</v>
      </c>
      <c r="H347" s="146">
        <v>201604</v>
      </c>
      <c r="I347" s="147">
        <v>3770.56</v>
      </c>
      <c r="J347" s="297">
        <f t="shared" si="23"/>
        <v>42675</v>
      </c>
      <c r="K347" s="67">
        <f t="shared" si="21"/>
        <v>6</v>
      </c>
      <c r="L347" s="148">
        <v>1.4833299999999999E-3</v>
      </c>
      <c r="M347" s="104">
        <f t="shared" si="20"/>
        <v>33.557908588799997</v>
      </c>
      <c r="O347" s="66"/>
      <c r="Q347" s="66">
        <f t="shared" si="22"/>
        <v>62.378416466666664</v>
      </c>
    </row>
    <row r="348" spans="1:17">
      <c r="A348" s="342" t="s">
        <v>133</v>
      </c>
      <c r="B348" s="343" t="s">
        <v>1817</v>
      </c>
      <c r="C348" s="343" t="s">
        <v>1818</v>
      </c>
      <c r="D348" s="342" t="s">
        <v>1819</v>
      </c>
      <c r="E348" s="343" t="s">
        <v>75</v>
      </c>
      <c r="F348" s="342" t="s">
        <v>1602</v>
      </c>
      <c r="G348" s="343" t="s">
        <v>20</v>
      </c>
      <c r="H348" s="343">
        <v>201604</v>
      </c>
      <c r="I348" s="344">
        <v>0</v>
      </c>
      <c r="J348" s="297">
        <f t="shared" si="23"/>
        <v>42675</v>
      </c>
      <c r="K348" s="348">
        <f t="shared" si="21"/>
        <v>6</v>
      </c>
      <c r="L348" s="345">
        <v>1.4833299999999999E-3</v>
      </c>
      <c r="M348" s="349">
        <f t="shared" si="20"/>
        <v>0</v>
      </c>
      <c r="N348" s="350"/>
      <c r="O348" s="351"/>
      <c r="P348" s="350"/>
      <c r="Q348" s="66">
        <f t="shared" si="22"/>
        <v>0</v>
      </c>
    </row>
    <row r="349" spans="1:17">
      <c r="A349" s="145" t="s">
        <v>626</v>
      </c>
      <c r="B349" s="146" t="s">
        <v>1989</v>
      </c>
      <c r="C349" s="146" t="s">
        <v>1990</v>
      </c>
      <c r="D349" s="145" t="s">
        <v>1495</v>
      </c>
      <c r="E349" s="146" t="s">
        <v>75</v>
      </c>
      <c r="F349" s="145" t="s">
        <v>1602</v>
      </c>
      <c r="G349" s="146" t="s">
        <v>20</v>
      </c>
      <c r="H349" s="146">
        <v>201604</v>
      </c>
      <c r="I349" s="147">
        <v>3762.85</v>
      </c>
      <c r="J349" s="297">
        <f t="shared" si="23"/>
        <v>42675</v>
      </c>
      <c r="K349" s="67">
        <f t="shared" si="21"/>
        <v>6</v>
      </c>
      <c r="L349" s="148">
        <v>1.4833299999999999E-3</v>
      </c>
      <c r="M349" s="104">
        <f t="shared" si="20"/>
        <v>33.489289743</v>
      </c>
      <c r="O349" s="66"/>
      <c r="Q349" s="66">
        <f t="shared" si="22"/>
        <v>62.250865760416673</v>
      </c>
    </row>
    <row r="350" spans="1:17">
      <c r="A350" s="145" t="s">
        <v>626</v>
      </c>
      <c r="B350" s="146" t="s">
        <v>1764</v>
      </c>
      <c r="C350" s="146" t="s">
        <v>1765</v>
      </c>
      <c r="D350" s="145" t="s">
        <v>1766</v>
      </c>
      <c r="E350" s="146" t="s">
        <v>156</v>
      </c>
      <c r="F350" s="145" t="s">
        <v>26</v>
      </c>
      <c r="G350" s="146" t="s">
        <v>20</v>
      </c>
      <c r="H350" s="146">
        <v>201604</v>
      </c>
      <c r="I350" s="147">
        <v>1123.53</v>
      </c>
      <c r="J350" s="297">
        <f t="shared" si="23"/>
        <v>42675</v>
      </c>
      <c r="K350" s="67">
        <f t="shared" si="21"/>
        <v>6</v>
      </c>
      <c r="L350" s="148">
        <v>1.4833299999999999E-3</v>
      </c>
      <c r="M350" s="104">
        <f t="shared" si="20"/>
        <v>9.9993945294</v>
      </c>
      <c r="O350" s="66"/>
      <c r="Q350" s="66">
        <f t="shared" si="22"/>
        <v>18.58716536875</v>
      </c>
    </row>
    <row r="351" spans="1:17">
      <c r="A351" s="145" t="s">
        <v>626</v>
      </c>
      <c r="B351" s="146" t="s">
        <v>1945</v>
      </c>
      <c r="C351" s="146" t="s">
        <v>1946</v>
      </c>
      <c r="D351" s="145" t="s">
        <v>1947</v>
      </c>
      <c r="E351" s="146" t="s">
        <v>93</v>
      </c>
      <c r="F351" s="145" t="s">
        <v>1601</v>
      </c>
      <c r="G351" s="146" t="s">
        <v>20</v>
      </c>
      <c r="H351" s="146">
        <v>201604</v>
      </c>
      <c r="I351" s="147">
        <v>5992.43</v>
      </c>
      <c r="J351" s="297">
        <f t="shared" si="23"/>
        <v>42675</v>
      </c>
      <c r="K351" s="67">
        <f t="shared" si="21"/>
        <v>6</v>
      </c>
      <c r="L351" s="148">
        <v>1.4833299999999999E-3</v>
      </c>
      <c r="M351" s="104">
        <f t="shared" si="20"/>
        <v>53.332507151400002</v>
      </c>
      <c r="O351" s="66"/>
      <c r="Q351" s="66">
        <f t="shared" si="22"/>
        <v>99.136015389583335</v>
      </c>
    </row>
    <row r="352" spans="1:17">
      <c r="A352" s="145" t="s">
        <v>626</v>
      </c>
      <c r="B352" s="146" t="s">
        <v>1991</v>
      </c>
      <c r="C352" s="146" t="s">
        <v>1992</v>
      </c>
      <c r="D352" s="145" t="s">
        <v>1993</v>
      </c>
      <c r="E352" s="146" t="s">
        <v>497</v>
      </c>
      <c r="F352" s="145" t="s">
        <v>26</v>
      </c>
      <c r="G352" s="146" t="s">
        <v>20</v>
      </c>
      <c r="H352" s="146">
        <v>201604</v>
      </c>
      <c r="I352" s="147">
        <v>2671.73</v>
      </c>
      <c r="J352" s="297">
        <f t="shared" si="23"/>
        <v>42675</v>
      </c>
      <c r="K352" s="67">
        <f t="shared" si="21"/>
        <v>6</v>
      </c>
      <c r="L352" s="148">
        <v>1.4833299999999999E-3</v>
      </c>
      <c r="M352" s="104">
        <f t="shared" si="20"/>
        <v>23.7783435654</v>
      </c>
      <c r="O352" s="66"/>
      <c r="Q352" s="66">
        <f t="shared" si="22"/>
        <v>44.19987657708333</v>
      </c>
    </row>
    <row r="353" spans="1:17">
      <c r="A353" s="145" t="s">
        <v>127</v>
      </c>
      <c r="B353" s="146" t="s">
        <v>1994</v>
      </c>
      <c r="C353" s="146" t="s">
        <v>1995</v>
      </c>
      <c r="D353" s="145" t="s">
        <v>1996</v>
      </c>
      <c r="E353" s="146" t="s">
        <v>87</v>
      </c>
      <c r="F353" s="145" t="s">
        <v>1603</v>
      </c>
      <c r="G353" s="146" t="s">
        <v>20</v>
      </c>
      <c r="H353" s="146">
        <v>201604</v>
      </c>
      <c r="I353" s="147">
        <v>1163.43</v>
      </c>
      <c r="J353" s="297">
        <f t="shared" si="23"/>
        <v>42675</v>
      </c>
      <c r="K353" s="67">
        <f t="shared" si="21"/>
        <v>6</v>
      </c>
      <c r="L353" s="148">
        <v>2.3833299999999999E-3</v>
      </c>
      <c r="M353" s="104">
        <f t="shared" si="20"/>
        <v>16.637025731400001</v>
      </c>
      <c r="O353" s="66"/>
      <c r="Q353" s="66">
        <f t="shared" si="22"/>
        <v>19.247252681250004</v>
      </c>
    </row>
    <row r="354" spans="1:17">
      <c r="A354" s="145" t="s">
        <v>990</v>
      </c>
      <c r="B354" s="146" t="s">
        <v>1681</v>
      </c>
      <c r="C354" s="146" t="s">
        <v>2063</v>
      </c>
      <c r="D354" s="145" t="s">
        <v>2064</v>
      </c>
      <c r="E354" s="146" t="s">
        <v>1688</v>
      </c>
      <c r="F354" s="145" t="s">
        <v>1689</v>
      </c>
      <c r="G354" s="146" t="s">
        <v>20</v>
      </c>
      <c r="H354" s="146">
        <v>201604</v>
      </c>
      <c r="I354" s="147">
        <v>2497.5500000000002</v>
      </c>
      <c r="J354" s="297">
        <f t="shared" si="23"/>
        <v>42675</v>
      </c>
      <c r="K354" s="67">
        <f t="shared" si="21"/>
        <v>6</v>
      </c>
      <c r="L354" s="148">
        <v>2.3833299999999999E-3</v>
      </c>
      <c r="M354" s="104">
        <f t="shared" si="20"/>
        <v>35.714915049000005</v>
      </c>
      <c r="O354" s="66"/>
      <c r="Q354" s="66">
        <f t="shared" si="22"/>
        <v>41.318322489583338</v>
      </c>
    </row>
    <row r="355" spans="1:17">
      <c r="A355" s="145" t="s">
        <v>626</v>
      </c>
      <c r="B355" s="146" t="s">
        <v>1681</v>
      </c>
      <c r="C355" s="146" t="s">
        <v>1997</v>
      </c>
      <c r="D355" s="145" t="s">
        <v>1998</v>
      </c>
      <c r="E355" s="146" t="s">
        <v>164</v>
      </c>
      <c r="F355" s="145" t="s">
        <v>1600</v>
      </c>
      <c r="G355" s="146" t="s">
        <v>20</v>
      </c>
      <c r="H355" s="146">
        <v>201604</v>
      </c>
      <c r="I355" s="147">
        <v>-95.17</v>
      </c>
      <c r="J355" s="297">
        <f t="shared" si="23"/>
        <v>42675</v>
      </c>
      <c r="K355" s="67">
        <f t="shared" si="21"/>
        <v>6</v>
      </c>
      <c r="L355" s="148">
        <v>1.4833299999999999E-3</v>
      </c>
      <c r="M355" s="104">
        <f t="shared" si="20"/>
        <v>-0.84701109660000007</v>
      </c>
      <c r="O355" s="66"/>
      <c r="Q355" s="66">
        <f t="shared" si="22"/>
        <v>-1.5744488604166667</v>
      </c>
    </row>
    <row r="356" spans="1:17">
      <c r="A356" s="145" t="s">
        <v>1942</v>
      </c>
      <c r="B356" s="146" t="s">
        <v>1681</v>
      </c>
      <c r="C356" s="146" t="s">
        <v>1997</v>
      </c>
      <c r="D356" s="145" t="s">
        <v>1998</v>
      </c>
      <c r="E356" s="146" t="s">
        <v>164</v>
      </c>
      <c r="F356" s="145" t="s">
        <v>1600</v>
      </c>
      <c r="G356" s="146" t="s">
        <v>20</v>
      </c>
      <c r="H356" s="146">
        <v>201604</v>
      </c>
      <c r="I356" s="147">
        <v>-0.22</v>
      </c>
      <c r="J356" s="297">
        <f t="shared" si="23"/>
        <v>42675</v>
      </c>
      <c r="K356" s="67">
        <f t="shared" si="21"/>
        <v>6</v>
      </c>
      <c r="L356" s="148">
        <v>2.23333E-3</v>
      </c>
      <c r="M356" s="104">
        <f t="shared" si="20"/>
        <v>-2.9479955999999999E-3</v>
      </c>
      <c r="O356" s="66"/>
      <c r="Q356" s="66">
        <f t="shared" si="22"/>
        <v>-3.639579166666667E-3</v>
      </c>
    </row>
    <row r="357" spans="1:17">
      <c r="A357" s="145" t="s">
        <v>1942</v>
      </c>
      <c r="B357" s="146" t="s">
        <v>1681</v>
      </c>
      <c r="C357" s="146" t="s">
        <v>1999</v>
      </c>
      <c r="D357" s="145" t="s">
        <v>2000</v>
      </c>
      <c r="E357" s="146" t="s">
        <v>75</v>
      </c>
      <c r="F357" s="145" t="s">
        <v>1602</v>
      </c>
      <c r="G357" s="146" t="s">
        <v>20</v>
      </c>
      <c r="H357" s="146">
        <v>201604</v>
      </c>
      <c r="I357" s="147">
        <v>64.94</v>
      </c>
      <c r="J357" s="297">
        <f t="shared" si="23"/>
        <v>42675</v>
      </c>
      <c r="K357" s="67">
        <f t="shared" si="21"/>
        <v>6</v>
      </c>
      <c r="L357" s="148">
        <v>2.23333E-3</v>
      </c>
      <c r="M357" s="104">
        <f t="shared" si="20"/>
        <v>0.87019470119999986</v>
      </c>
      <c r="O357" s="66"/>
      <c r="Q357" s="66">
        <f t="shared" si="22"/>
        <v>1.0743375958333334</v>
      </c>
    </row>
    <row r="358" spans="1:17">
      <c r="A358" s="145" t="s">
        <v>14</v>
      </c>
      <c r="B358" s="146" t="s">
        <v>1681</v>
      </c>
      <c r="C358" s="146" t="s">
        <v>1999</v>
      </c>
      <c r="D358" s="145" t="s">
        <v>2000</v>
      </c>
      <c r="E358" s="146" t="s">
        <v>75</v>
      </c>
      <c r="F358" s="145" t="s">
        <v>1602</v>
      </c>
      <c r="G358" s="146" t="s">
        <v>20</v>
      </c>
      <c r="H358" s="146">
        <v>201604</v>
      </c>
      <c r="I358" s="147">
        <v>1985.41</v>
      </c>
      <c r="J358" s="297">
        <f t="shared" si="23"/>
        <v>42675</v>
      </c>
      <c r="K358" s="67">
        <f t="shared" si="21"/>
        <v>6</v>
      </c>
      <c r="L358" s="148">
        <v>2.23333E-3</v>
      </c>
      <c r="M358" s="104">
        <f t="shared" si="20"/>
        <v>26.6044542918</v>
      </c>
      <c r="O358" s="66"/>
      <c r="Q358" s="66">
        <f t="shared" si="22"/>
        <v>32.845713060416671</v>
      </c>
    </row>
    <row r="359" spans="1:17">
      <c r="A359" s="145" t="s">
        <v>626</v>
      </c>
      <c r="B359" s="146" t="s">
        <v>1681</v>
      </c>
      <c r="C359" s="146" t="s">
        <v>1999</v>
      </c>
      <c r="D359" s="145" t="s">
        <v>2000</v>
      </c>
      <c r="E359" s="146" t="s">
        <v>75</v>
      </c>
      <c r="F359" s="145" t="s">
        <v>1602</v>
      </c>
      <c r="G359" s="146" t="s">
        <v>20</v>
      </c>
      <c r="H359" s="146">
        <v>201604</v>
      </c>
      <c r="I359" s="147">
        <v>15523.27</v>
      </c>
      <c r="J359" s="297">
        <f t="shared" si="23"/>
        <v>42675</v>
      </c>
      <c r="K359" s="67">
        <f t="shared" si="21"/>
        <v>6</v>
      </c>
      <c r="L359" s="148">
        <v>1.4833299999999999E-3</v>
      </c>
      <c r="M359" s="104">
        <f t="shared" si="20"/>
        <v>138.15679253460002</v>
      </c>
      <c r="O359" s="66"/>
      <c r="Q359" s="66">
        <f t="shared" si="22"/>
        <v>256.80986404791668</v>
      </c>
    </row>
    <row r="360" spans="1:17">
      <c r="A360" s="145" t="s">
        <v>14</v>
      </c>
      <c r="B360" s="146" t="s">
        <v>1681</v>
      </c>
      <c r="C360" s="146" t="s">
        <v>2001</v>
      </c>
      <c r="D360" s="145" t="s">
        <v>2002</v>
      </c>
      <c r="E360" s="146" t="s">
        <v>164</v>
      </c>
      <c r="F360" s="145" t="s">
        <v>1600</v>
      </c>
      <c r="G360" s="146" t="s">
        <v>20</v>
      </c>
      <c r="H360" s="146">
        <v>201604</v>
      </c>
      <c r="I360" s="147">
        <v>0.91</v>
      </c>
      <c r="J360" s="297">
        <f t="shared" si="23"/>
        <v>42675</v>
      </c>
      <c r="K360" s="67">
        <f t="shared" si="21"/>
        <v>6</v>
      </c>
      <c r="L360" s="148">
        <v>2.23333E-3</v>
      </c>
      <c r="M360" s="104">
        <f t="shared" si="20"/>
        <v>1.21939818E-2</v>
      </c>
      <c r="O360" s="66"/>
      <c r="Q360" s="66">
        <f t="shared" si="22"/>
        <v>1.5054622916666668E-2</v>
      </c>
    </row>
    <row r="361" spans="1:17">
      <c r="A361" s="145" t="s">
        <v>626</v>
      </c>
      <c r="B361" s="146" t="s">
        <v>1681</v>
      </c>
      <c r="C361" s="146" t="s">
        <v>2001</v>
      </c>
      <c r="D361" s="145" t="s">
        <v>2002</v>
      </c>
      <c r="E361" s="146" t="s">
        <v>164</v>
      </c>
      <c r="F361" s="145" t="s">
        <v>1600</v>
      </c>
      <c r="G361" s="146" t="s">
        <v>20</v>
      </c>
      <c r="H361" s="146">
        <v>201604</v>
      </c>
      <c r="I361" s="147">
        <v>661.94</v>
      </c>
      <c r="J361" s="297">
        <f t="shared" si="23"/>
        <v>42675</v>
      </c>
      <c r="K361" s="67">
        <f t="shared" si="21"/>
        <v>6</v>
      </c>
      <c r="L361" s="148">
        <v>1.4833299999999999E-3</v>
      </c>
      <c r="M361" s="104">
        <f t="shared" si="20"/>
        <v>5.8912527612000005</v>
      </c>
      <c r="O361" s="66"/>
      <c r="Q361" s="66">
        <f t="shared" si="22"/>
        <v>10.950831970833335</v>
      </c>
    </row>
    <row r="362" spans="1:17">
      <c r="A362" s="145" t="s">
        <v>626</v>
      </c>
      <c r="B362" s="146" t="s">
        <v>1681</v>
      </c>
      <c r="C362" s="146" t="s">
        <v>2003</v>
      </c>
      <c r="D362" s="145" t="s">
        <v>2004</v>
      </c>
      <c r="E362" s="146" t="s">
        <v>164</v>
      </c>
      <c r="F362" s="145" t="s">
        <v>1600</v>
      </c>
      <c r="G362" s="146" t="s">
        <v>20</v>
      </c>
      <c r="H362" s="146">
        <v>201604</v>
      </c>
      <c r="I362" s="147">
        <v>-65.8</v>
      </c>
      <c r="J362" s="297">
        <f t="shared" si="23"/>
        <v>42675</v>
      </c>
      <c r="K362" s="67">
        <f t="shared" si="21"/>
        <v>6</v>
      </c>
      <c r="L362" s="148">
        <v>1.4833299999999999E-3</v>
      </c>
      <c r="M362" s="104">
        <f t="shared" si="20"/>
        <v>-0.58561868399999994</v>
      </c>
      <c r="O362" s="66"/>
      <c r="Q362" s="66">
        <f t="shared" si="22"/>
        <v>-1.0885650416666666</v>
      </c>
    </row>
    <row r="363" spans="1:17">
      <c r="A363" s="145" t="s">
        <v>21</v>
      </c>
      <c r="B363" s="146" t="s">
        <v>1681</v>
      </c>
      <c r="C363" s="146" t="s">
        <v>2003</v>
      </c>
      <c r="D363" s="145" t="s">
        <v>2004</v>
      </c>
      <c r="E363" s="146" t="s">
        <v>164</v>
      </c>
      <c r="F363" s="145" t="s">
        <v>1600</v>
      </c>
      <c r="G363" s="146" t="s">
        <v>20</v>
      </c>
      <c r="H363" s="146">
        <v>201604</v>
      </c>
      <c r="I363" s="147">
        <v>-3.2</v>
      </c>
      <c r="J363" s="297">
        <f t="shared" si="23"/>
        <v>42675</v>
      </c>
      <c r="K363" s="67">
        <f t="shared" si="21"/>
        <v>6</v>
      </c>
      <c r="L363" s="148">
        <v>1.4833299999999999E-3</v>
      </c>
      <c r="M363" s="104">
        <f t="shared" si="20"/>
        <v>-2.8479936000000001E-2</v>
      </c>
      <c r="O363" s="66"/>
      <c r="Q363" s="66">
        <f t="shared" si="22"/>
        <v>-5.2939333333333338E-2</v>
      </c>
    </row>
    <row r="364" spans="1:17">
      <c r="A364" s="145" t="s">
        <v>14</v>
      </c>
      <c r="B364" s="146" t="s">
        <v>1681</v>
      </c>
      <c r="C364" s="146" t="s">
        <v>2003</v>
      </c>
      <c r="D364" s="145" t="s">
        <v>2004</v>
      </c>
      <c r="E364" s="146" t="s">
        <v>164</v>
      </c>
      <c r="F364" s="145" t="s">
        <v>1600</v>
      </c>
      <c r="G364" s="146" t="s">
        <v>20</v>
      </c>
      <c r="H364" s="146">
        <v>201604</v>
      </c>
      <c r="I364" s="147">
        <v>-3.16</v>
      </c>
      <c r="J364" s="297">
        <f t="shared" si="23"/>
        <v>42675</v>
      </c>
      <c r="K364" s="67">
        <f t="shared" si="21"/>
        <v>6</v>
      </c>
      <c r="L364" s="148">
        <v>2.23333E-3</v>
      </c>
      <c r="M364" s="104">
        <f t="shared" si="20"/>
        <v>-4.2343936799999995E-2</v>
      </c>
      <c r="O364" s="66"/>
      <c r="Q364" s="66">
        <f t="shared" si="22"/>
        <v>-5.2277591666666672E-2</v>
      </c>
    </row>
    <row r="365" spans="1:17">
      <c r="A365" s="145" t="s">
        <v>14</v>
      </c>
      <c r="B365" s="146" t="s">
        <v>1681</v>
      </c>
      <c r="C365" s="146" t="s">
        <v>2005</v>
      </c>
      <c r="D365" s="145" t="s">
        <v>2006</v>
      </c>
      <c r="E365" s="146" t="s">
        <v>87</v>
      </c>
      <c r="F365" s="145" t="s">
        <v>1603</v>
      </c>
      <c r="G365" s="146" t="s">
        <v>20</v>
      </c>
      <c r="H365" s="146">
        <v>201604</v>
      </c>
      <c r="I365" s="147">
        <v>4.99</v>
      </c>
      <c r="J365" s="297">
        <f t="shared" si="23"/>
        <v>42675</v>
      </c>
      <c r="K365" s="67">
        <f t="shared" si="21"/>
        <v>6</v>
      </c>
      <c r="L365" s="148">
        <v>2.23333E-3</v>
      </c>
      <c r="M365" s="104">
        <f t="shared" si="20"/>
        <v>6.6865900199999995E-2</v>
      </c>
      <c r="O365" s="66"/>
      <c r="Q365" s="66">
        <f t="shared" si="22"/>
        <v>8.2552272916666669E-2</v>
      </c>
    </row>
    <row r="366" spans="1:17">
      <c r="A366" s="145" t="s">
        <v>626</v>
      </c>
      <c r="B366" s="146" t="s">
        <v>1681</v>
      </c>
      <c r="C366" s="146" t="s">
        <v>2005</v>
      </c>
      <c r="D366" s="145" t="s">
        <v>2006</v>
      </c>
      <c r="E366" s="146" t="s">
        <v>87</v>
      </c>
      <c r="F366" s="145" t="s">
        <v>1603</v>
      </c>
      <c r="G366" s="146" t="s">
        <v>20</v>
      </c>
      <c r="H366" s="146">
        <v>201604</v>
      </c>
      <c r="I366" s="147">
        <v>1540.36</v>
      </c>
      <c r="J366" s="297">
        <f t="shared" si="23"/>
        <v>42675</v>
      </c>
      <c r="K366" s="67">
        <f t="shared" si="21"/>
        <v>6</v>
      </c>
      <c r="L366" s="148">
        <v>1.4833299999999999E-3</v>
      </c>
      <c r="M366" s="104">
        <f t="shared" si="20"/>
        <v>13.7091731928</v>
      </c>
      <c r="O366" s="66"/>
      <c r="Q366" s="66">
        <f t="shared" si="22"/>
        <v>25.483009841666668</v>
      </c>
    </row>
    <row r="367" spans="1:17">
      <c r="A367" s="145" t="s">
        <v>626</v>
      </c>
      <c r="B367" s="146" t="s">
        <v>1681</v>
      </c>
      <c r="C367" s="146" t="s">
        <v>1853</v>
      </c>
      <c r="D367" s="145" t="s">
        <v>1854</v>
      </c>
      <c r="E367" s="146" t="s">
        <v>260</v>
      </c>
      <c r="F367" s="145" t="s">
        <v>1608</v>
      </c>
      <c r="G367" s="146" t="s">
        <v>20</v>
      </c>
      <c r="H367" s="146">
        <v>201604</v>
      </c>
      <c r="I367" s="147">
        <v>491.39</v>
      </c>
      <c r="J367" s="297">
        <f t="shared" si="23"/>
        <v>42675</v>
      </c>
      <c r="K367" s="67">
        <f t="shared" si="21"/>
        <v>6</v>
      </c>
      <c r="L367" s="148">
        <v>1.4833299999999999E-3</v>
      </c>
      <c r="M367" s="104">
        <f t="shared" si="20"/>
        <v>4.3733611722000001</v>
      </c>
      <c r="O367" s="66"/>
      <c r="Q367" s="66">
        <f t="shared" si="22"/>
        <v>8.1293309395833333</v>
      </c>
    </row>
    <row r="368" spans="1:17">
      <c r="A368" s="145" t="s">
        <v>626</v>
      </c>
      <c r="B368" s="146" t="s">
        <v>1681</v>
      </c>
      <c r="C368" s="146" t="s">
        <v>2065</v>
      </c>
      <c r="D368" s="145" t="s">
        <v>2066</v>
      </c>
      <c r="E368" s="146" t="s">
        <v>209</v>
      </c>
      <c r="F368" s="145" t="s">
        <v>1612</v>
      </c>
      <c r="G368" s="146" t="s">
        <v>20</v>
      </c>
      <c r="H368" s="146">
        <v>201604</v>
      </c>
      <c r="I368" s="147">
        <v>53122.34</v>
      </c>
      <c r="J368" s="297">
        <f t="shared" si="23"/>
        <v>42675</v>
      </c>
      <c r="K368" s="67">
        <f t="shared" si="21"/>
        <v>6</v>
      </c>
      <c r="L368" s="148">
        <v>1.4833299999999999E-3</v>
      </c>
      <c r="M368" s="104">
        <f t="shared" si="20"/>
        <v>472.78776355319997</v>
      </c>
      <c r="O368" s="66"/>
      <c r="Q368" s="66">
        <f t="shared" si="22"/>
        <v>878.83164522083325</v>
      </c>
    </row>
    <row r="369" spans="1:17">
      <c r="A369" s="145" t="s">
        <v>626</v>
      </c>
      <c r="B369" s="146" t="s">
        <v>1681</v>
      </c>
      <c r="C369" s="146" t="s">
        <v>2067</v>
      </c>
      <c r="D369" s="145" t="s">
        <v>2068</v>
      </c>
      <c r="E369" s="146" t="s">
        <v>93</v>
      </c>
      <c r="F369" s="145" t="s">
        <v>1601</v>
      </c>
      <c r="G369" s="146" t="s">
        <v>20</v>
      </c>
      <c r="H369" s="146">
        <v>201604</v>
      </c>
      <c r="I369" s="147">
        <v>1104.58</v>
      </c>
      <c r="J369" s="297">
        <f t="shared" si="23"/>
        <v>42675</v>
      </c>
      <c r="K369" s="67">
        <f t="shared" si="21"/>
        <v>6</v>
      </c>
      <c r="L369" s="148">
        <v>1.4833299999999999E-3</v>
      </c>
      <c r="M369" s="104">
        <f t="shared" si="20"/>
        <v>9.8307399084</v>
      </c>
      <c r="O369" s="66"/>
      <c r="Q369" s="66">
        <f t="shared" si="22"/>
        <v>18.273665254166666</v>
      </c>
    </row>
    <row r="370" spans="1:17">
      <c r="A370" s="145" t="s">
        <v>626</v>
      </c>
      <c r="B370" s="146" t="s">
        <v>1681</v>
      </c>
      <c r="C370" s="146" t="s">
        <v>2007</v>
      </c>
      <c r="D370" s="145" t="s">
        <v>2008</v>
      </c>
      <c r="E370" s="146" t="s">
        <v>260</v>
      </c>
      <c r="F370" s="145" t="s">
        <v>1608</v>
      </c>
      <c r="G370" s="146" t="s">
        <v>20</v>
      </c>
      <c r="H370" s="146">
        <v>201604</v>
      </c>
      <c r="I370" s="147">
        <v>2746.88</v>
      </c>
      <c r="J370" s="297">
        <f t="shared" si="23"/>
        <v>42675</v>
      </c>
      <c r="K370" s="67">
        <f t="shared" si="21"/>
        <v>6</v>
      </c>
      <c r="L370" s="148">
        <v>1.4833299999999999E-3</v>
      </c>
      <c r="M370" s="104">
        <f t="shared" si="20"/>
        <v>24.447177062400002</v>
      </c>
      <c r="O370" s="66"/>
      <c r="Q370" s="66">
        <f t="shared" si="22"/>
        <v>45.443123733333337</v>
      </c>
    </row>
    <row r="371" spans="1:17">
      <c r="A371" s="145" t="s">
        <v>14</v>
      </c>
      <c r="B371" s="146" t="s">
        <v>1681</v>
      </c>
      <c r="C371" s="146" t="s">
        <v>2009</v>
      </c>
      <c r="D371" s="145" t="s">
        <v>2010</v>
      </c>
      <c r="E371" s="146" t="s">
        <v>260</v>
      </c>
      <c r="F371" s="145" t="s">
        <v>1608</v>
      </c>
      <c r="G371" s="146" t="s">
        <v>20</v>
      </c>
      <c r="H371" s="146">
        <v>201604</v>
      </c>
      <c r="I371" s="147">
        <v>1341.98</v>
      </c>
      <c r="J371" s="297">
        <f t="shared" si="23"/>
        <v>42675</v>
      </c>
      <c r="K371" s="67">
        <f t="shared" si="21"/>
        <v>6</v>
      </c>
      <c r="L371" s="148">
        <v>2.23333E-3</v>
      </c>
      <c r="M371" s="104">
        <f t="shared" si="20"/>
        <v>17.982505160399999</v>
      </c>
      <c r="O371" s="66"/>
      <c r="Q371" s="66">
        <f t="shared" si="22"/>
        <v>22.201102045833334</v>
      </c>
    </row>
    <row r="372" spans="1:17">
      <c r="A372" s="145" t="s">
        <v>626</v>
      </c>
      <c r="B372" s="146" t="s">
        <v>1681</v>
      </c>
      <c r="C372" s="146" t="s">
        <v>2009</v>
      </c>
      <c r="D372" s="145" t="s">
        <v>2010</v>
      </c>
      <c r="E372" s="146" t="s">
        <v>260</v>
      </c>
      <c r="F372" s="145" t="s">
        <v>1608</v>
      </c>
      <c r="G372" s="146" t="s">
        <v>20</v>
      </c>
      <c r="H372" s="146">
        <v>201604</v>
      </c>
      <c r="I372" s="147">
        <v>71143.92</v>
      </c>
      <c r="J372" s="297">
        <f t="shared" si="23"/>
        <v>42675</v>
      </c>
      <c r="K372" s="67">
        <f t="shared" si="21"/>
        <v>6</v>
      </c>
      <c r="L372" s="148">
        <v>1.4833299999999999E-3</v>
      </c>
      <c r="M372" s="104">
        <f t="shared" si="20"/>
        <v>633.17946512159995</v>
      </c>
      <c r="O372" s="66"/>
      <c r="Q372" s="66">
        <f t="shared" si="22"/>
        <v>1176.97240485</v>
      </c>
    </row>
    <row r="373" spans="1:17">
      <c r="A373" s="145" t="s">
        <v>14</v>
      </c>
      <c r="B373" s="146" t="s">
        <v>1681</v>
      </c>
      <c r="C373" s="146" t="s">
        <v>2011</v>
      </c>
      <c r="D373" s="145" t="s">
        <v>2012</v>
      </c>
      <c r="E373" s="146" t="s">
        <v>260</v>
      </c>
      <c r="F373" s="145" t="s">
        <v>1608</v>
      </c>
      <c r="G373" s="146" t="s">
        <v>20</v>
      </c>
      <c r="H373" s="146">
        <v>201604</v>
      </c>
      <c r="I373" s="147">
        <v>816.69</v>
      </c>
      <c r="J373" s="297">
        <f t="shared" si="23"/>
        <v>42675</v>
      </c>
      <c r="K373" s="67">
        <f t="shared" si="21"/>
        <v>6</v>
      </c>
      <c r="L373" s="148">
        <v>2.23333E-3</v>
      </c>
      <c r="M373" s="104">
        <f t="shared" si="20"/>
        <v>10.9436296662</v>
      </c>
      <c r="O373" s="66"/>
      <c r="Q373" s="66">
        <f t="shared" si="22"/>
        <v>13.510945043750002</v>
      </c>
    </row>
    <row r="374" spans="1:17">
      <c r="A374" s="145" t="s">
        <v>626</v>
      </c>
      <c r="B374" s="146" t="s">
        <v>1681</v>
      </c>
      <c r="C374" s="146" t="s">
        <v>2011</v>
      </c>
      <c r="D374" s="145" t="s">
        <v>2012</v>
      </c>
      <c r="E374" s="146" t="s">
        <v>260</v>
      </c>
      <c r="F374" s="145" t="s">
        <v>1608</v>
      </c>
      <c r="G374" s="146" t="s">
        <v>20</v>
      </c>
      <c r="H374" s="146">
        <v>201604</v>
      </c>
      <c r="I374" s="147">
        <v>36520.93</v>
      </c>
      <c r="J374" s="297">
        <f t="shared" si="23"/>
        <v>42675</v>
      </c>
      <c r="K374" s="67">
        <f t="shared" si="21"/>
        <v>6</v>
      </c>
      <c r="L374" s="148">
        <v>1.4833299999999999E-3</v>
      </c>
      <c r="M374" s="104">
        <f t="shared" si="20"/>
        <v>325.03554658140001</v>
      </c>
      <c r="O374" s="66"/>
      <c r="Q374" s="66">
        <f t="shared" si="22"/>
        <v>604.18552716041665</v>
      </c>
    </row>
    <row r="375" spans="1:17">
      <c r="A375" s="145" t="s">
        <v>14</v>
      </c>
      <c r="B375" s="146" t="s">
        <v>1681</v>
      </c>
      <c r="C375" s="146" t="s">
        <v>2069</v>
      </c>
      <c r="D375" s="145" t="s">
        <v>2070</v>
      </c>
      <c r="E375" s="146" t="s">
        <v>164</v>
      </c>
      <c r="F375" s="145" t="s">
        <v>1600</v>
      </c>
      <c r="G375" s="146" t="s">
        <v>20</v>
      </c>
      <c r="H375" s="146">
        <v>201604</v>
      </c>
      <c r="I375" s="147">
        <v>72815.7</v>
      </c>
      <c r="J375" s="297">
        <f t="shared" si="23"/>
        <v>42675</v>
      </c>
      <c r="K375" s="67">
        <f t="shared" si="21"/>
        <v>6</v>
      </c>
      <c r="L375" s="148">
        <v>2.23333E-3</v>
      </c>
      <c r="M375" s="104">
        <f t="shared" si="20"/>
        <v>975.72892368599992</v>
      </c>
      <c r="O375" s="66"/>
      <c r="Q375" s="66">
        <f t="shared" si="22"/>
        <v>1204.6295669374999</v>
      </c>
    </row>
    <row r="376" spans="1:17">
      <c r="A376" s="145" t="s">
        <v>626</v>
      </c>
      <c r="B376" s="146" t="s">
        <v>1681</v>
      </c>
      <c r="C376" s="146" t="s">
        <v>2069</v>
      </c>
      <c r="D376" s="145" t="s">
        <v>2070</v>
      </c>
      <c r="E376" s="146" t="s">
        <v>164</v>
      </c>
      <c r="F376" s="145" t="s">
        <v>1600</v>
      </c>
      <c r="G376" s="146" t="s">
        <v>20</v>
      </c>
      <c r="H376" s="146">
        <v>201604</v>
      </c>
      <c r="I376" s="147">
        <v>341258.33</v>
      </c>
      <c r="J376" s="297">
        <f t="shared" si="23"/>
        <v>42675</v>
      </c>
      <c r="K376" s="67">
        <f t="shared" si="21"/>
        <v>6</v>
      </c>
      <c r="L376" s="148">
        <v>1.4833299999999999E-3</v>
      </c>
      <c r="M376" s="104">
        <f t="shared" si="20"/>
        <v>3037.1923118334003</v>
      </c>
      <c r="O376" s="66"/>
      <c r="Q376" s="66">
        <f t="shared" si="22"/>
        <v>5645.6214014520838</v>
      </c>
    </row>
    <row r="377" spans="1:17">
      <c r="A377" s="145" t="s">
        <v>14</v>
      </c>
      <c r="B377" s="146" t="s">
        <v>1681</v>
      </c>
      <c r="C377" s="146" t="s">
        <v>2013</v>
      </c>
      <c r="D377" s="145" t="s">
        <v>2014</v>
      </c>
      <c r="E377" s="146" t="s">
        <v>164</v>
      </c>
      <c r="F377" s="145" t="s">
        <v>1600</v>
      </c>
      <c r="G377" s="146" t="s">
        <v>20</v>
      </c>
      <c r="H377" s="146">
        <v>201604</v>
      </c>
      <c r="I377" s="147">
        <v>654.41</v>
      </c>
      <c r="J377" s="297">
        <f t="shared" si="23"/>
        <v>42675</v>
      </c>
      <c r="K377" s="67">
        <f t="shared" si="21"/>
        <v>6</v>
      </c>
      <c r="L377" s="148">
        <v>2.23333E-3</v>
      </c>
      <c r="M377" s="104">
        <f t="shared" si="20"/>
        <v>8.7690809117999979</v>
      </c>
      <c r="O377" s="66"/>
      <c r="Q377" s="66">
        <f t="shared" si="22"/>
        <v>10.826259102083332</v>
      </c>
    </row>
    <row r="378" spans="1:17">
      <c r="A378" s="145" t="s">
        <v>626</v>
      </c>
      <c r="B378" s="146" t="s">
        <v>1681</v>
      </c>
      <c r="C378" s="146" t="s">
        <v>2013</v>
      </c>
      <c r="D378" s="145" t="s">
        <v>2014</v>
      </c>
      <c r="E378" s="146" t="s">
        <v>164</v>
      </c>
      <c r="F378" s="145" t="s">
        <v>1600</v>
      </c>
      <c r="G378" s="146" t="s">
        <v>20</v>
      </c>
      <c r="H378" s="146">
        <v>201604</v>
      </c>
      <c r="I378" s="147">
        <v>2503.21</v>
      </c>
      <c r="J378" s="297">
        <f t="shared" si="23"/>
        <v>42675</v>
      </c>
      <c r="K378" s="67">
        <f t="shared" si="21"/>
        <v>6</v>
      </c>
      <c r="L378" s="148">
        <v>1.4833299999999999E-3</v>
      </c>
      <c r="M378" s="104">
        <f t="shared" si="20"/>
        <v>22.278518935800001</v>
      </c>
      <c r="O378" s="66"/>
      <c r="Q378" s="66">
        <f t="shared" si="22"/>
        <v>41.411958935416664</v>
      </c>
    </row>
    <row r="379" spans="1:17">
      <c r="A379" s="145" t="s">
        <v>14</v>
      </c>
      <c r="B379" s="146" t="s">
        <v>1681</v>
      </c>
      <c r="C379" s="146" t="s">
        <v>2015</v>
      </c>
      <c r="D379" s="145" t="s">
        <v>2016</v>
      </c>
      <c r="E379" s="146" t="s">
        <v>164</v>
      </c>
      <c r="F379" s="145" t="s">
        <v>1600</v>
      </c>
      <c r="G379" s="146" t="s">
        <v>20</v>
      </c>
      <c r="H379" s="146">
        <v>201604</v>
      </c>
      <c r="I379" s="147">
        <v>16.97</v>
      </c>
      <c r="J379" s="297">
        <f t="shared" si="23"/>
        <v>42675</v>
      </c>
      <c r="K379" s="67">
        <f t="shared" si="21"/>
        <v>6</v>
      </c>
      <c r="L379" s="148">
        <v>2.23333E-3</v>
      </c>
      <c r="M379" s="104">
        <f t="shared" si="20"/>
        <v>0.22739766059999997</v>
      </c>
      <c r="O379" s="66"/>
      <c r="Q379" s="66">
        <f t="shared" si="22"/>
        <v>0.28074390208333327</v>
      </c>
    </row>
    <row r="380" spans="1:17">
      <c r="A380" s="145" t="s">
        <v>626</v>
      </c>
      <c r="B380" s="146" t="s">
        <v>1681</v>
      </c>
      <c r="C380" s="146" t="s">
        <v>2015</v>
      </c>
      <c r="D380" s="145" t="s">
        <v>2016</v>
      </c>
      <c r="E380" s="146" t="s">
        <v>164</v>
      </c>
      <c r="F380" s="145" t="s">
        <v>1600</v>
      </c>
      <c r="G380" s="146" t="s">
        <v>20</v>
      </c>
      <c r="H380" s="146">
        <v>201604</v>
      </c>
      <c r="I380" s="147">
        <v>188.93</v>
      </c>
      <c r="J380" s="297">
        <f t="shared" si="23"/>
        <v>42675</v>
      </c>
      <c r="K380" s="67">
        <f t="shared" si="21"/>
        <v>6</v>
      </c>
      <c r="L380" s="148">
        <v>1.4833299999999999E-3</v>
      </c>
      <c r="M380" s="104">
        <f t="shared" si="20"/>
        <v>1.6814732214000001</v>
      </c>
      <c r="O380" s="66"/>
      <c r="Q380" s="66">
        <f t="shared" si="22"/>
        <v>3.1255713270833336</v>
      </c>
    </row>
    <row r="381" spans="1:17">
      <c r="A381" s="145" t="s">
        <v>626</v>
      </c>
      <c r="B381" s="146" t="s">
        <v>1681</v>
      </c>
      <c r="C381" s="146" t="s">
        <v>2079</v>
      </c>
      <c r="D381" s="145" t="s">
        <v>2080</v>
      </c>
      <c r="E381" s="146" t="s">
        <v>75</v>
      </c>
      <c r="F381" s="145" t="s">
        <v>1602</v>
      </c>
      <c r="G381" s="146" t="s">
        <v>20</v>
      </c>
      <c r="H381" s="146">
        <v>201604</v>
      </c>
      <c r="I381" s="147">
        <v>109132.49</v>
      </c>
      <c r="J381" s="297">
        <f t="shared" si="23"/>
        <v>42675</v>
      </c>
      <c r="K381" s="67">
        <f t="shared" si="21"/>
        <v>6</v>
      </c>
      <c r="L381" s="148">
        <v>1.4833299999999999E-3</v>
      </c>
      <c r="M381" s="104">
        <f t="shared" si="20"/>
        <v>971.27697835020001</v>
      </c>
      <c r="O381" s="66"/>
      <c r="Q381" s="66">
        <f t="shared" si="22"/>
        <v>1805.4378955020834</v>
      </c>
    </row>
    <row r="382" spans="1:17">
      <c r="A382" s="145" t="s">
        <v>21</v>
      </c>
      <c r="B382" s="146" t="s">
        <v>1681</v>
      </c>
      <c r="C382" s="146" t="s">
        <v>2017</v>
      </c>
      <c r="D382" s="145" t="s">
        <v>2018</v>
      </c>
      <c r="E382" s="146" t="s">
        <v>87</v>
      </c>
      <c r="F382" s="145" t="s">
        <v>1603</v>
      </c>
      <c r="G382" s="146" t="s">
        <v>20</v>
      </c>
      <c r="H382" s="146">
        <v>201604</v>
      </c>
      <c r="I382" s="147">
        <v>801.92</v>
      </c>
      <c r="J382" s="297">
        <f t="shared" si="23"/>
        <v>42675</v>
      </c>
      <c r="K382" s="67">
        <f t="shared" si="21"/>
        <v>6</v>
      </c>
      <c r="L382" s="148">
        <v>1.4833299999999999E-3</v>
      </c>
      <c r="M382" s="104">
        <f t="shared" si="20"/>
        <v>7.1370719615999993</v>
      </c>
      <c r="O382" s="66"/>
      <c r="Q382" s="66">
        <f t="shared" si="22"/>
        <v>13.266596933333332</v>
      </c>
    </row>
    <row r="383" spans="1:17">
      <c r="A383" s="145" t="s">
        <v>14</v>
      </c>
      <c r="B383" s="146" t="s">
        <v>1681</v>
      </c>
      <c r="C383" s="146" t="s">
        <v>2091</v>
      </c>
      <c r="D383" s="145" t="s">
        <v>2092</v>
      </c>
      <c r="E383" s="146" t="s">
        <v>93</v>
      </c>
      <c r="F383" s="145" t="s">
        <v>1601</v>
      </c>
      <c r="G383" s="146" t="s">
        <v>20</v>
      </c>
      <c r="H383" s="146">
        <v>201604</v>
      </c>
      <c r="I383" s="147">
        <v>2763.22</v>
      </c>
      <c r="J383" s="297">
        <f t="shared" si="23"/>
        <v>42675</v>
      </c>
      <c r="K383" s="67">
        <f t="shared" si="21"/>
        <v>6</v>
      </c>
      <c r="L383" s="148">
        <v>2.23333E-3</v>
      </c>
      <c r="M383" s="104">
        <f t="shared" si="20"/>
        <v>37.027092735599993</v>
      </c>
      <c r="O383" s="66"/>
      <c r="Q383" s="66">
        <f t="shared" si="22"/>
        <v>45.713445204166661</v>
      </c>
    </row>
    <row r="384" spans="1:17">
      <c r="A384" s="145" t="s">
        <v>626</v>
      </c>
      <c r="B384" s="146" t="s">
        <v>1681</v>
      </c>
      <c r="C384" s="146" t="s">
        <v>2093</v>
      </c>
      <c r="D384" s="145" t="s">
        <v>2094</v>
      </c>
      <c r="E384" s="146" t="s">
        <v>209</v>
      </c>
      <c r="F384" s="145" t="s">
        <v>1612</v>
      </c>
      <c r="G384" s="146" t="s">
        <v>20</v>
      </c>
      <c r="H384" s="146">
        <v>201604</v>
      </c>
      <c r="I384" s="147">
        <v>24940.37</v>
      </c>
      <c r="J384" s="297">
        <f t="shared" si="23"/>
        <v>42675</v>
      </c>
      <c r="K384" s="67">
        <f t="shared" si="21"/>
        <v>6</v>
      </c>
      <c r="L384" s="148">
        <v>1.4833299999999999E-3</v>
      </c>
      <c r="M384" s="104">
        <f t="shared" si="20"/>
        <v>221.9687941926</v>
      </c>
      <c r="O384" s="66"/>
      <c r="Q384" s="66">
        <f t="shared" si="22"/>
        <v>412.60205027708332</v>
      </c>
    </row>
    <row r="385" spans="1:17">
      <c r="A385" s="145" t="s">
        <v>626</v>
      </c>
      <c r="B385" s="146" t="s">
        <v>1597</v>
      </c>
      <c r="C385" s="146" t="s">
        <v>1598</v>
      </c>
      <c r="D385" s="145" t="s">
        <v>1599</v>
      </c>
      <c r="E385" s="146" t="s">
        <v>164</v>
      </c>
      <c r="F385" s="145" t="s">
        <v>1600</v>
      </c>
      <c r="G385" s="146" t="s">
        <v>20</v>
      </c>
      <c r="H385" s="146">
        <v>201605</v>
      </c>
      <c r="I385" s="147">
        <v>8.36</v>
      </c>
      <c r="J385" s="297">
        <f t="shared" si="23"/>
        <v>42675</v>
      </c>
      <c r="K385" s="67">
        <f t="shared" si="21"/>
        <v>6</v>
      </c>
      <c r="L385" s="148">
        <v>1.4833299999999999E-3</v>
      </c>
      <c r="M385" s="104">
        <f t="shared" si="20"/>
        <v>7.44038328E-2</v>
      </c>
      <c r="O385" s="66"/>
      <c r="Q385" s="66">
        <f t="shared" si="22"/>
        <v>0.13830400833333331</v>
      </c>
    </row>
    <row r="386" spans="1:17">
      <c r="A386" s="145" t="s">
        <v>14</v>
      </c>
      <c r="B386" s="146" t="s">
        <v>30</v>
      </c>
      <c r="C386" s="146" t="s">
        <v>31</v>
      </c>
      <c r="D386" s="145" t="s">
        <v>32</v>
      </c>
      <c r="E386" s="146" t="s">
        <v>33</v>
      </c>
      <c r="F386" s="145" t="s">
        <v>34</v>
      </c>
      <c r="G386" s="146" t="s">
        <v>20</v>
      </c>
      <c r="H386" s="146">
        <v>201605</v>
      </c>
      <c r="I386" s="147">
        <v>6706.62</v>
      </c>
      <c r="J386" s="297">
        <f t="shared" si="23"/>
        <v>42675</v>
      </c>
      <c r="K386" s="67">
        <f t="shared" si="21"/>
        <v>6</v>
      </c>
      <c r="L386" s="148">
        <v>2.23333E-3</v>
      </c>
      <c r="M386" s="104">
        <f t="shared" si="20"/>
        <v>89.868573867599991</v>
      </c>
      <c r="O386" s="66"/>
      <c r="Q386" s="66">
        <f t="shared" si="22"/>
        <v>110.9512474125</v>
      </c>
    </row>
    <row r="387" spans="1:17">
      <c r="A387" s="145" t="s">
        <v>14</v>
      </c>
      <c r="B387" s="146" t="s">
        <v>37</v>
      </c>
      <c r="C387" s="146" t="s">
        <v>38</v>
      </c>
      <c r="D387" s="145" t="s">
        <v>39</v>
      </c>
      <c r="E387" s="146" t="s">
        <v>40</v>
      </c>
      <c r="F387" s="145" t="s">
        <v>41</v>
      </c>
      <c r="G387" s="146" t="s">
        <v>20</v>
      </c>
      <c r="H387" s="146">
        <v>201605</v>
      </c>
      <c r="I387" s="147">
        <v>13470.27</v>
      </c>
      <c r="J387" s="297">
        <f t="shared" si="23"/>
        <v>42675</v>
      </c>
      <c r="K387" s="67">
        <f t="shared" si="21"/>
        <v>6</v>
      </c>
      <c r="L387" s="148">
        <v>2.23333E-3</v>
      </c>
      <c r="M387" s="104">
        <f t="shared" si="20"/>
        <v>180.50134859459999</v>
      </c>
      <c r="O387" s="66"/>
      <c r="Q387" s="66">
        <f t="shared" si="22"/>
        <v>222.84597300625001</v>
      </c>
    </row>
    <row r="388" spans="1:17">
      <c r="A388" s="145" t="s">
        <v>14</v>
      </c>
      <c r="B388" s="146" t="s">
        <v>43</v>
      </c>
      <c r="C388" s="146" t="s">
        <v>44</v>
      </c>
      <c r="D388" s="145" t="s">
        <v>45</v>
      </c>
      <c r="E388" s="146" t="s">
        <v>46</v>
      </c>
      <c r="F388" s="145" t="s">
        <v>41</v>
      </c>
      <c r="G388" s="146" t="s">
        <v>20</v>
      </c>
      <c r="H388" s="146">
        <v>201605</v>
      </c>
      <c r="I388" s="147">
        <v>82.36</v>
      </c>
      <c r="J388" s="297">
        <f t="shared" si="23"/>
        <v>42675</v>
      </c>
      <c r="K388" s="67">
        <f t="shared" si="21"/>
        <v>6</v>
      </c>
      <c r="L388" s="148">
        <v>2.23333E-3</v>
      </c>
      <c r="M388" s="104">
        <f t="shared" si="20"/>
        <v>1.1036223528</v>
      </c>
      <c r="O388" s="66"/>
      <c r="Q388" s="66">
        <f t="shared" si="22"/>
        <v>1.3625260916666666</v>
      </c>
    </row>
    <row r="389" spans="1:17">
      <c r="A389" s="145" t="s">
        <v>990</v>
      </c>
      <c r="B389" s="146" t="s">
        <v>991</v>
      </c>
      <c r="C389" s="146" t="s">
        <v>992</v>
      </c>
      <c r="D389" s="145" t="s">
        <v>993</v>
      </c>
      <c r="E389" s="146" t="s">
        <v>994</v>
      </c>
      <c r="F389" s="145" t="s">
        <v>995</v>
      </c>
      <c r="G389" s="146" t="s">
        <v>20</v>
      </c>
      <c r="H389" s="146">
        <v>201605</v>
      </c>
      <c r="I389" s="147">
        <v>211.45</v>
      </c>
      <c r="J389" s="297">
        <f t="shared" si="23"/>
        <v>42675</v>
      </c>
      <c r="K389" s="67">
        <f t="shared" si="21"/>
        <v>6</v>
      </c>
      <c r="L389" s="148">
        <v>2.3833299999999999E-3</v>
      </c>
      <c r="M389" s="104">
        <f t="shared" ref="M389:M452" si="24">L389*K389*I389</f>
        <v>3.0237307709999999</v>
      </c>
      <c r="O389" s="66"/>
      <c r="Q389" s="66">
        <f t="shared" si="22"/>
        <v>3.4981318854166665</v>
      </c>
    </row>
    <row r="390" spans="1:17">
      <c r="A390" s="145" t="s">
        <v>990</v>
      </c>
      <c r="B390" s="146" t="s">
        <v>996</v>
      </c>
      <c r="C390" s="146" t="s">
        <v>997</v>
      </c>
      <c r="D390" s="145" t="s">
        <v>998</v>
      </c>
      <c r="E390" s="146" t="s">
        <v>999</v>
      </c>
      <c r="F390" s="145" t="s">
        <v>995</v>
      </c>
      <c r="G390" s="146" t="s">
        <v>20</v>
      </c>
      <c r="H390" s="146">
        <v>201605</v>
      </c>
      <c r="I390" s="147">
        <v>102.23</v>
      </c>
      <c r="J390" s="297">
        <f t="shared" si="23"/>
        <v>42675</v>
      </c>
      <c r="K390" s="67">
        <f t="shared" ref="K390:K453" si="25">((YEAR($K$1)-YEAR(J390))*12+MONTH($K$1)-MONTH(J390))</f>
        <v>6</v>
      </c>
      <c r="L390" s="148">
        <v>2.3833299999999999E-3</v>
      </c>
      <c r="M390" s="104">
        <f t="shared" si="24"/>
        <v>1.4618869554</v>
      </c>
      <c r="O390" s="66"/>
      <c r="Q390" s="66">
        <f t="shared" ref="Q390:Q453" si="26">($Q$4*0.5*I390*$T$10)</f>
        <v>1.6912462645833333</v>
      </c>
    </row>
    <row r="391" spans="1:17">
      <c r="A391" s="145" t="s">
        <v>990</v>
      </c>
      <c r="B391" s="146" t="s">
        <v>1000</v>
      </c>
      <c r="C391" s="146" t="s">
        <v>1001</v>
      </c>
      <c r="D391" s="145" t="s">
        <v>1672</v>
      </c>
      <c r="E391" s="146" t="s">
        <v>1002</v>
      </c>
      <c r="F391" s="145" t="s">
        <v>1604</v>
      </c>
      <c r="G391" s="146" t="s">
        <v>20</v>
      </c>
      <c r="H391" s="146">
        <v>201605</v>
      </c>
      <c r="I391" s="147">
        <v>4189.82</v>
      </c>
      <c r="J391" s="297">
        <f t="shared" ref="J391:J454" si="27">+J390</f>
        <v>42675</v>
      </c>
      <c r="K391" s="67">
        <f t="shared" si="25"/>
        <v>6</v>
      </c>
      <c r="L391" s="148">
        <v>2.3833299999999999E-3</v>
      </c>
      <c r="M391" s="104">
        <f t="shared" si="24"/>
        <v>59.9143422036</v>
      </c>
      <c r="O391" s="66"/>
      <c r="Q391" s="66">
        <f t="shared" si="26"/>
        <v>69.314461745833327</v>
      </c>
    </row>
    <row r="392" spans="1:17">
      <c r="A392" s="145" t="s">
        <v>14</v>
      </c>
      <c r="B392" s="146" t="s">
        <v>107</v>
      </c>
      <c r="C392" s="146" t="s">
        <v>108</v>
      </c>
      <c r="D392" s="145" t="s">
        <v>109</v>
      </c>
      <c r="E392" s="146" t="s">
        <v>110</v>
      </c>
      <c r="F392" s="145" t="s">
        <v>52</v>
      </c>
      <c r="G392" s="146" t="s">
        <v>20</v>
      </c>
      <c r="H392" s="146">
        <v>201605</v>
      </c>
      <c r="I392" s="147">
        <v>-429.66</v>
      </c>
      <c r="J392" s="297">
        <f t="shared" si="27"/>
        <v>42675</v>
      </c>
      <c r="K392" s="67">
        <f t="shared" si="25"/>
        <v>6</v>
      </c>
      <c r="L392" s="148">
        <v>2.23333E-3</v>
      </c>
      <c r="M392" s="104">
        <f t="shared" si="24"/>
        <v>-5.7574354068</v>
      </c>
      <c r="O392" s="66"/>
      <c r="Q392" s="66">
        <f t="shared" si="26"/>
        <v>-7.1080981125000005</v>
      </c>
    </row>
    <row r="393" spans="1:17">
      <c r="A393" s="145" t="s">
        <v>554</v>
      </c>
      <c r="B393" s="146" t="s">
        <v>116</v>
      </c>
      <c r="C393" s="146" t="s">
        <v>117</v>
      </c>
      <c r="D393" s="145" t="s">
        <v>118</v>
      </c>
      <c r="E393" s="146" t="s">
        <v>119</v>
      </c>
      <c r="F393" s="145" t="s">
        <v>1605</v>
      </c>
      <c r="G393" s="146" t="s">
        <v>20</v>
      </c>
      <c r="H393" s="146">
        <v>201605</v>
      </c>
      <c r="I393" s="147">
        <v>57492.88</v>
      </c>
      <c r="J393" s="297">
        <f t="shared" si="27"/>
        <v>42675</v>
      </c>
      <c r="K393" s="67">
        <f t="shared" si="25"/>
        <v>6</v>
      </c>
      <c r="L393" s="148">
        <v>1.4833299999999999E-3</v>
      </c>
      <c r="M393" s="104">
        <f t="shared" si="24"/>
        <v>511.68548214239996</v>
      </c>
      <c r="O393" s="66"/>
      <c r="Q393" s="66">
        <f t="shared" si="26"/>
        <v>951.13585581666666</v>
      </c>
    </row>
    <row r="394" spans="1:17">
      <c r="A394" s="145" t="s">
        <v>14</v>
      </c>
      <c r="B394" s="146" t="s">
        <v>555</v>
      </c>
      <c r="C394" s="146" t="s">
        <v>556</v>
      </c>
      <c r="D394" s="145" t="s">
        <v>45</v>
      </c>
      <c r="E394" s="146" t="s">
        <v>557</v>
      </c>
      <c r="F394" s="145" t="s">
        <v>41</v>
      </c>
      <c r="G394" s="146" t="s">
        <v>20</v>
      </c>
      <c r="H394" s="146">
        <v>201605</v>
      </c>
      <c r="I394" s="147">
        <v>-49.65</v>
      </c>
      <c r="J394" s="297">
        <f t="shared" si="27"/>
        <v>42675</v>
      </c>
      <c r="K394" s="67">
        <f t="shared" si="25"/>
        <v>6</v>
      </c>
      <c r="L394" s="148">
        <v>2.23333E-3</v>
      </c>
      <c r="M394" s="104">
        <f t="shared" si="24"/>
        <v>-0.66530900699999995</v>
      </c>
      <c r="O394" s="66"/>
      <c r="Q394" s="66">
        <f t="shared" si="26"/>
        <v>-0.82138684375000004</v>
      </c>
    </row>
    <row r="395" spans="1:17">
      <c r="A395" s="145" t="s">
        <v>990</v>
      </c>
      <c r="B395" s="146" t="s">
        <v>1003</v>
      </c>
      <c r="C395" s="146" t="s">
        <v>1004</v>
      </c>
      <c r="D395" s="145" t="s">
        <v>1673</v>
      </c>
      <c r="E395" s="146" t="s">
        <v>1006</v>
      </c>
      <c r="F395" s="145" t="s">
        <v>1606</v>
      </c>
      <c r="G395" s="146" t="s">
        <v>20</v>
      </c>
      <c r="H395" s="146">
        <v>201605</v>
      </c>
      <c r="I395" s="147">
        <v>14068.65</v>
      </c>
      <c r="J395" s="297">
        <f t="shared" si="27"/>
        <v>42675</v>
      </c>
      <c r="K395" s="67">
        <f t="shared" si="25"/>
        <v>6</v>
      </c>
      <c r="L395" s="148">
        <v>2.3833299999999999E-3</v>
      </c>
      <c r="M395" s="104">
        <f t="shared" si="24"/>
        <v>201.18141362700001</v>
      </c>
      <c r="O395" s="66"/>
      <c r="Q395" s="66">
        <f t="shared" si="26"/>
        <v>232.74529746874998</v>
      </c>
    </row>
    <row r="396" spans="1:17">
      <c r="A396" s="145" t="s">
        <v>14</v>
      </c>
      <c r="B396" s="146" t="s">
        <v>2026</v>
      </c>
      <c r="C396" s="146" t="s">
        <v>2027</v>
      </c>
      <c r="D396" s="145" t="s">
        <v>2028</v>
      </c>
      <c r="E396" s="146" t="s">
        <v>2029</v>
      </c>
      <c r="F396" s="145" t="s">
        <v>710</v>
      </c>
      <c r="G396" s="146" t="s">
        <v>20</v>
      </c>
      <c r="H396" s="146">
        <v>201605</v>
      </c>
      <c r="I396" s="147">
        <v>109.83</v>
      </c>
      <c r="J396" s="297">
        <f t="shared" si="27"/>
        <v>42675</v>
      </c>
      <c r="K396" s="67">
        <f t="shared" si="25"/>
        <v>6</v>
      </c>
      <c r="L396" s="148">
        <v>2.23333E-3</v>
      </c>
      <c r="M396" s="104">
        <f t="shared" si="24"/>
        <v>1.4717198033999999</v>
      </c>
      <c r="O396" s="66"/>
      <c r="Q396" s="66">
        <f t="shared" si="26"/>
        <v>1.8169771812500002</v>
      </c>
    </row>
    <row r="397" spans="1:17">
      <c r="A397" s="145" t="s">
        <v>14</v>
      </c>
      <c r="B397" s="146" t="s">
        <v>1247</v>
      </c>
      <c r="C397" s="146" t="s">
        <v>1248</v>
      </c>
      <c r="D397" s="145" t="s">
        <v>708</v>
      </c>
      <c r="E397" s="146" t="s">
        <v>1249</v>
      </c>
      <c r="F397" s="145" t="s">
        <v>710</v>
      </c>
      <c r="G397" s="146" t="s">
        <v>20</v>
      </c>
      <c r="H397" s="146">
        <v>201605</v>
      </c>
      <c r="I397" s="147">
        <v>0.21</v>
      </c>
      <c r="J397" s="297">
        <f t="shared" si="27"/>
        <v>42675</v>
      </c>
      <c r="K397" s="67">
        <f t="shared" si="25"/>
        <v>6</v>
      </c>
      <c r="L397" s="148">
        <v>2.23333E-3</v>
      </c>
      <c r="M397" s="104">
        <f t="shared" si="24"/>
        <v>2.8139957999999995E-3</v>
      </c>
      <c r="O397" s="66"/>
      <c r="Q397" s="66">
        <f t="shared" si="26"/>
        <v>3.4741437499999999E-3</v>
      </c>
    </row>
    <row r="398" spans="1:17">
      <c r="A398" s="145" t="s">
        <v>21</v>
      </c>
      <c r="B398" s="146" t="s">
        <v>1767</v>
      </c>
      <c r="C398" s="146" t="s">
        <v>1768</v>
      </c>
      <c r="D398" s="145" t="s">
        <v>1769</v>
      </c>
      <c r="E398" s="146" t="s">
        <v>1413</v>
      </c>
      <c r="F398" s="145" t="s">
        <v>88</v>
      </c>
      <c r="G398" s="146" t="s">
        <v>20</v>
      </c>
      <c r="H398" s="146">
        <v>201605</v>
      </c>
      <c r="I398" s="147">
        <v>268.66000000000003</v>
      </c>
      <c r="J398" s="297">
        <f t="shared" si="27"/>
        <v>42675</v>
      </c>
      <c r="K398" s="67">
        <f t="shared" si="25"/>
        <v>6</v>
      </c>
      <c r="L398" s="148">
        <v>1.4833299999999999E-3</v>
      </c>
      <c r="M398" s="104">
        <f t="shared" si="24"/>
        <v>2.3910686268000001</v>
      </c>
      <c r="O398" s="66"/>
      <c r="Q398" s="66">
        <f t="shared" si="26"/>
        <v>4.4445879041666672</v>
      </c>
    </row>
    <row r="399" spans="1:17">
      <c r="A399" s="145" t="s">
        <v>21</v>
      </c>
      <c r="B399" s="146" t="s">
        <v>1072</v>
      </c>
      <c r="C399" s="146" t="s">
        <v>1073</v>
      </c>
      <c r="D399" s="145" t="s">
        <v>1074</v>
      </c>
      <c r="E399" s="146" t="s">
        <v>857</v>
      </c>
      <c r="F399" s="145" t="s">
        <v>88</v>
      </c>
      <c r="G399" s="146" t="s">
        <v>20</v>
      </c>
      <c r="H399" s="146">
        <v>201605</v>
      </c>
      <c r="I399" s="147">
        <v>33.96</v>
      </c>
      <c r="J399" s="297">
        <f t="shared" si="27"/>
        <v>42675</v>
      </c>
      <c r="K399" s="67">
        <f t="shared" si="25"/>
        <v>6</v>
      </c>
      <c r="L399" s="148">
        <v>1.4833299999999999E-3</v>
      </c>
      <c r="M399" s="104">
        <f t="shared" si="24"/>
        <v>0.30224332079999999</v>
      </c>
      <c r="O399" s="66"/>
      <c r="Q399" s="66">
        <f t="shared" si="26"/>
        <v>0.56181867500000005</v>
      </c>
    </row>
    <row r="400" spans="1:17">
      <c r="A400" s="145" t="s">
        <v>14</v>
      </c>
      <c r="B400" s="146" t="s">
        <v>183</v>
      </c>
      <c r="C400" s="146" t="s">
        <v>184</v>
      </c>
      <c r="D400" s="145" t="s">
        <v>45</v>
      </c>
      <c r="E400" s="146" t="s">
        <v>185</v>
      </c>
      <c r="F400" s="145" t="s">
        <v>41</v>
      </c>
      <c r="G400" s="146" t="s">
        <v>20</v>
      </c>
      <c r="H400" s="146">
        <v>201605</v>
      </c>
      <c r="I400" s="147">
        <v>563.53</v>
      </c>
      <c r="J400" s="297">
        <f t="shared" si="27"/>
        <v>42675</v>
      </c>
      <c r="K400" s="67">
        <f t="shared" si="25"/>
        <v>6</v>
      </c>
      <c r="L400" s="148">
        <v>2.23333E-3</v>
      </c>
      <c r="M400" s="104">
        <f t="shared" si="24"/>
        <v>7.5512907293999989</v>
      </c>
      <c r="O400" s="66"/>
      <c r="Q400" s="66">
        <f t="shared" si="26"/>
        <v>9.3227820354166671</v>
      </c>
    </row>
    <row r="401" spans="1:17">
      <c r="A401" s="145" t="s">
        <v>14</v>
      </c>
      <c r="B401" s="146" t="s">
        <v>191</v>
      </c>
      <c r="C401" s="146" t="s">
        <v>192</v>
      </c>
      <c r="D401" s="145" t="s">
        <v>193</v>
      </c>
      <c r="E401" s="146" t="s">
        <v>194</v>
      </c>
      <c r="F401" s="145" t="s">
        <v>115</v>
      </c>
      <c r="G401" s="146" t="s">
        <v>20</v>
      </c>
      <c r="H401" s="146">
        <v>201605</v>
      </c>
      <c r="I401" s="147">
        <v>-35.020000000000003</v>
      </c>
      <c r="J401" s="297">
        <f t="shared" si="27"/>
        <v>42675</v>
      </c>
      <c r="K401" s="67">
        <f t="shared" si="25"/>
        <v>6</v>
      </c>
      <c r="L401" s="148">
        <v>2.23333E-3</v>
      </c>
      <c r="M401" s="104">
        <f t="shared" si="24"/>
        <v>-0.46926729960000002</v>
      </c>
      <c r="O401" s="66"/>
      <c r="Q401" s="66">
        <f t="shared" si="26"/>
        <v>-0.5793548291666667</v>
      </c>
    </row>
    <row r="402" spans="1:17">
      <c r="A402" s="145" t="s">
        <v>14</v>
      </c>
      <c r="B402" s="146" t="s">
        <v>195</v>
      </c>
      <c r="C402" s="146" t="s">
        <v>196</v>
      </c>
      <c r="D402" s="145" t="s">
        <v>1674</v>
      </c>
      <c r="E402" s="146" t="s">
        <v>198</v>
      </c>
      <c r="F402" s="145" t="s">
        <v>1610</v>
      </c>
      <c r="G402" s="146" t="s">
        <v>20</v>
      </c>
      <c r="H402" s="146">
        <v>201605</v>
      </c>
      <c r="I402" s="147">
        <v>374323.56</v>
      </c>
      <c r="J402" s="297">
        <f t="shared" si="27"/>
        <v>42675</v>
      </c>
      <c r="K402" s="67">
        <f t="shared" si="25"/>
        <v>6</v>
      </c>
      <c r="L402" s="148">
        <v>2.23333E-3</v>
      </c>
      <c r="M402" s="104">
        <f t="shared" si="24"/>
        <v>5015.9282175287999</v>
      </c>
      <c r="O402" s="66"/>
      <c r="Q402" s="66">
        <f t="shared" si="26"/>
        <v>6192.6374116750003</v>
      </c>
    </row>
    <row r="403" spans="1:17">
      <c r="A403" s="145" t="s">
        <v>14</v>
      </c>
      <c r="B403" s="146" t="s">
        <v>200</v>
      </c>
      <c r="C403" s="146" t="s">
        <v>201</v>
      </c>
      <c r="D403" s="145" t="s">
        <v>1675</v>
      </c>
      <c r="E403" s="146" t="s">
        <v>202</v>
      </c>
      <c r="F403" s="145" t="s">
        <v>1611</v>
      </c>
      <c r="G403" s="146" t="s">
        <v>20</v>
      </c>
      <c r="H403" s="146">
        <v>201605</v>
      </c>
      <c r="I403" s="147">
        <v>50093.1</v>
      </c>
      <c r="J403" s="297">
        <f t="shared" si="27"/>
        <v>42675</v>
      </c>
      <c r="K403" s="67">
        <f t="shared" si="25"/>
        <v>6</v>
      </c>
      <c r="L403" s="148">
        <v>2.23333E-3</v>
      </c>
      <c r="M403" s="104">
        <f t="shared" si="24"/>
        <v>671.24653813799989</v>
      </c>
      <c r="O403" s="66"/>
      <c r="Q403" s="66">
        <f t="shared" si="26"/>
        <v>828.71728706249996</v>
      </c>
    </row>
    <row r="404" spans="1:17">
      <c r="A404" s="145" t="s">
        <v>626</v>
      </c>
      <c r="B404" s="146" t="s">
        <v>1855</v>
      </c>
      <c r="C404" s="146" t="s">
        <v>1856</v>
      </c>
      <c r="D404" s="145" t="s">
        <v>1857</v>
      </c>
      <c r="E404" s="146" t="s">
        <v>209</v>
      </c>
      <c r="F404" s="145" t="s">
        <v>1612</v>
      </c>
      <c r="G404" s="146" t="s">
        <v>20</v>
      </c>
      <c r="H404" s="146">
        <v>201605</v>
      </c>
      <c r="I404" s="147">
        <v>2702.91</v>
      </c>
      <c r="J404" s="297">
        <f t="shared" si="27"/>
        <v>42675</v>
      </c>
      <c r="K404" s="67">
        <f t="shared" si="25"/>
        <v>6</v>
      </c>
      <c r="L404" s="148">
        <v>1.4833299999999999E-3</v>
      </c>
      <c r="M404" s="104">
        <f t="shared" si="24"/>
        <v>24.0558449418</v>
      </c>
      <c r="O404" s="66"/>
      <c r="Q404" s="66">
        <f t="shared" si="26"/>
        <v>44.715704206250003</v>
      </c>
    </row>
    <row r="405" spans="1:17">
      <c r="A405" s="145" t="s">
        <v>14</v>
      </c>
      <c r="B405" s="146" t="s">
        <v>481</v>
      </c>
      <c r="C405" s="146" t="s">
        <v>482</v>
      </c>
      <c r="D405" s="145" t="s">
        <v>483</v>
      </c>
      <c r="E405" s="146" t="s">
        <v>484</v>
      </c>
      <c r="F405" s="145" t="s">
        <v>190</v>
      </c>
      <c r="G405" s="146" t="s">
        <v>20</v>
      </c>
      <c r="H405" s="146">
        <v>201605</v>
      </c>
      <c r="I405" s="147">
        <v>-1394</v>
      </c>
      <c r="J405" s="297">
        <f t="shared" si="27"/>
        <v>42675</v>
      </c>
      <c r="K405" s="67">
        <f t="shared" si="25"/>
        <v>6</v>
      </c>
      <c r="L405" s="148">
        <v>2.23333E-3</v>
      </c>
      <c r="M405" s="104">
        <f t="shared" si="24"/>
        <v>-18.67957212</v>
      </c>
      <c r="O405" s="66"/>
      <c r="Q405" s="66">
        <f t="shared" si="26"/>
        <v>-23.061697083333335</v>
      </c>
    </row>
    <row r="406" spans="1:17">
      <c r="A406" s="145" t="s">
        <v>990</v>
      </c>
      <c r="B406" s="146" t="s">
        <v>1010</v>
      </c>
      <c r="C406" s="146" t="s">
        <v>1011</v>
      </c>
      <c r="D406" s="145" t="s">
        <v>1012</v>
      </c>
      <c r="E406" s="146" t="s">
        <v>1013</v>
      </c>
      <c r="F406" s="145" t="s">
        <v>995</v>
      </c>
      <c r="G406" s="146" t="s">
        <v>20</v>
      </c>
      <c r="H406" s="146">
        <v>201605</v>
      </c>
      <c r="I406" s="147">
        <v>4131.16</v>
      </c>
      <c r="J406" s="297">
        <f t="shared" si="27"/>
        <v>42675</v>
      </c>
      <c r="K406" s="67">
        <f t="shared" si="25"/>
        <v>6</v>
      </c>
      <c r="L406" s="148">
        <v>2.3833299999999999E-3</v>
      </c>
      <c r="M406" s="104">
        <f t="shared" si="24"/>
        <v>59.075505376800002</v>
      </c>
      <c r="O406" s="66"/>
      <c r="Q406" s="66">
        <f t="shared" si="26"/>
        <v>68.34401759166667</v>
      </c>
    </row>
    <row r="407" spans="1:17">
      <c r="A407" s="145" t="s">
        <v>21</v>
      </c>
      <c r="B407" s="146" t="s">
        <v>485</v>
      </c>
      <c r="C407" s="146" t="s">
        <v>486</v>
      </c>
      <c r="D407" s="145" t="s">
        <v>487</v>
      </c>
      <c r="E407" s="146" t="s">
        <v>75</v>
      </c>
      <c r="F407" s="145" t="s">
        <v>1602</v>
      </c>
      <c r="G407" s="146" t="s">
        <v>20</v>
      </c>
      <c r="H407" s="146">
        <v>201605</v>
      </c>
      <c r="I407" s="147">
        <v>2.85</v>
      </c>
      <c r="J407" s="297">
        <f t="shared" si="27"/>
        <v>42675</v>
      </c>
      <c r="K407" s="67">
        <f t="shared" si="25"/>
        <v>6</v>
      </c>
      <c r="L407" s="148">
        <v>1.4833299999999999E-3</v>
      </c>
      <c r="M407" s="104">
        <f t="shared" si="24"/>
        <v>2.5364943000000001E-2</v>
      </c>
      <c r="O407" s="66"/>
      <c r="Q407" s="66">
        <f t="shared" si="26"/>
        <v>4.7149093750000003E-2</v>
      </c>
    </row>
    <row r="408" spans="1:17">
      <c r="A408" s="145" t="s">
        <v>14</v>
      </c>
      <c r="B408" s="146" t="s">
        <v>236</v>
      </c>
      <c r="C408" s="146" t="s">
        <v>237</v>
      </c>
      <c r="D408" s="145" t="s">
        <v>188</v>
      </c>
      <c r="E408" s="146" t="s">
        <v>238</v>
      </c>
      <c r="F408" s="145" t="s">
        <v>190</v>
      </c>
      <c r="G408" s="146" t="s">
        <v>20</v>
      </c>
      <c r="H408" s="146">
        <v>201605</v>
      </c>
      <c r="I408" s="147">
        <v>82683.45</v>
      </c>
      <c r="J408" s="297">
        <f t="shared" si="27"/>
        <v>42675</v>
      </c>
      <c r="K408" s="67">
        <f t="shared" si="25"/>
        <v>6</v>
      </c>
      <c r="L408" s="148">
        <v>2.23333E-3</v>
      </c>
      <c r="M408" s="104">
        <f t="shared" si="24"/>
        <v>1107.956576331</v>
      </c>
      <c r="O408" s="66"/>
      <c r="Q408" s="66">
        <f t="shared" si="26"/>
        <v>1367.87710021875</v>
      </c>
    </row>
    <row r="409" spans="1:17">
      <c r="A409" s="145" t="s">
        <v>14</v>
      </c>
      <c r="B409" s="146" t="s">
        <v>239</v>
      </c>
      <c r="C409" s="146" t="s">
        <v>240</v>
      </c>
      <c r="D409" s="145" t="s">
        <v>197</v>
      </c>
      <c r="E409" s="146" t="s">
        <v>241</v>
      </c>
      <c r="F409" s="145" t="s">
        <v>199</v>
      </c>
      <c r="G409" s="146" t="s">
        <v>20</v>
      </c>
      <c r="H409" s="146">
        <v>201605</v>
      </c>
      <c r="I409" s="147">
        <v>-16.04</v>
      </c>
      <c r="J409" s="297">
        <f t="shared" si="27"/>
        <v>42675</v>
      </c>
      <c r="K409" s="67">
        <f t="shared" si="25"/>
        <v>6</v>
      </c>
      <c r="L409" s="148">
        <v>2.23333E-3</v>
      </c>
      <c r="M409" s="104">
        <f t="shared" si="24"/>
        <v>-0.21493567919999998</v>
      </c>
      <c r="O409" s="66"/>
      <c r="Q409" s="66">
        <f t="shared" si="26"/>
        <v>-0.26535840833333335</v>
      </c>
    </row>
    <row r="410" spans="1:17">
      <c r="A410" s="145" t="s">
        <v>127</v>
      </c>
      <c r="B410" s="146" t="s">
        <v>1032</v>
      </c>
      <c r="C410" s="146" t="s">
        <v>1033</v>
      </c>
      <c r="D410" s="145" t="s">
        <v>1034</v>
      </c>
      <c r="E410" s="146" t="s">
        <v>209</v>
      </c>
      <c r="F410" s="145" t="s">
        <v>1612</v>
      </c>
      <c r="G410" s="146" t="s">
        <v>20</v>
      </c>
      <c r="H410" s="146">
        <v>201605</v>
      </c>
      <c r="I410" s="147">
        <v>196.51</v>
      </c>
      <c r="J410" s="297">
        <f t="shared" si="27"/>
        <v>42675</v>
      </c>
      <c r="K410" s="67">
        <f t="shared" si="25"/>
        <v>6</v>
      </c>
      <c r="L410" s="148">
        <v>2.3833299999999999E-3</v>
      </c>
      <c r="M410" s="104">
        <f t="shared" si="24"/>
        <v>2.8100890698000001</v>
      </c>
      <c r="O410" s="66"/>
      <c r="Q410" s="66">
        <f t="shared" si="26"/>
        <v>3.2509713729166667</v>
      </c>
    </row>
    <row r="411" spans="1:17">
      <c r="A411" s="145" t="s">
        <v>14</v>
      </c>
      <c r="B411" s="146" t="s">
        <v>706</v>
      </c>
      <c r="C411" s="146" t="s">
        <v>707</v>
      </c>
      <c r="D411" s="145" t="s">
        <v>708</v>
      </c>
      <c r="E411" s="146" t="s">
        <v>709</v>
      </c>
      <c r="F411" s="145" t="s">
        <v>710</v>
      </c>
      <c r="G411" s="146" t="s">
        <v>20</v>
      </c>
      <c r="H411" s="146">
        <v>201605</v>
      </c>
      <c r="I411" s="147">
        <v>-25.11</v>
      </c>
      <c r="J411" s="297">
        <f t="shared" si="27"/>
        <v>42675</v>
      </c>
      <c r="K411" s="67">
        <f t="shared" si="25"/>
        <v>6</v>
      </c>
      <c r="L411" s="148">
        <v>2.23333E-3</v>
      </c>
      <c r="M411" s="104">
        <f t="shared" si="24"/>
        <v>-0.33647349779999997</v>
      </c>
      <c r="O411" s="66"/>
      <c r="Q411" s="66">
        <f t="shared" si="26"/>
        <v>-0.41540833124999998</v>
      </c>
    </row>
    <row r="412" spans="1:17">
      <c r="A412" s="145" t="s">
        <v>14</v>
      </c>
      <c r="B412" s="146" t="s">
        <v>267</v>
      </c>
      <c r="C412" s="146" t="s">
        <v>268</v>
      </c>
      <c r="D412" s="145" t="s">
        <v>269</v>
      </c>
      <c r="E412" s="146" t="s">
        <v>270</v>
      </c>
      <c r="F412" s="145" t="s">
        <v>115</v>
      </c>
      <c r="G412" s="146" t="s">
        <v>20</v>
      </c>
      <c r="H412" s="146">
        <v>201605</v>
      </c>
      <c r="I412" s="147">
        <v>-4209.45</v>
      </c>
      <c r="J412" s="297">
        <f t="shared" si="27"/>
        <v>42675</v>
      </c>
      <c r="K412" s="67">
        <f t="shared" si="25"/>
        <v>6</v>
      </c>
      <c r="L412" s="148">
        <v>2.23333E-3</v>
      </c>
      <c r="M412" s="104">
        <f t="shared" si="24"/>
        <v>-56.406545810999994</v>
      </c>
      <c r="O412" s="66"/>
      <c r="Q412" s="66">
        <f t="shared" si="26"/>
        <v>-69.639211468750005</v>
      </c>
    </row>
    <row r="413" spans="1:17">
      <c r="A413" s="145" t="s">
        <v>14</v>
      </c>
      <c r="B413" s="146" t="s">
        <v>271</v>
      </c>
      <c r="C413" s="146" t="s">
        <v>272</v>
      </c>
      <c r="D413" s="145" t="s">
        <v>197</v>
      </c>
      <c r="E413" s="146" t="s">
        <v>273</v>
      </c>
      <c r="F413" s="145" t="s">
        <v>199</v>
      </c>
      <c r="G413" s="146" t="s">
        <v>20</v>
      </c>
      <c r="H413" s="146">
        <v>201605</v>
      </c>
      <c r="I413" s="147">
        <v>0.36</v>
      </c>
      <c r="J413" s="297">
        <f t="shared" si="27"/>
        <v>42675</v>
      </c>
      <c r="K413" s="67">
        <f t="shared" si="25"/>
        <v>6</v>
      </c>
      <c r="L413" s="148">
        <v>2.23333E-3</v>
      </c>
      <c r="M413" s="104">
        <f t="shared" si="24"/>
        <v>4.8239927999999994E-3</v>
      </c>
      <c r="O413" s="66"/>
      <c r="Q413" s="66">
        <f t="shared" si="26"/>
        <v>5.9556750000000006E-3</v>
      </c>
    </row>
    <row r="414" spans="1:17">
      <c r="A414" s="145" t="s">
        <v>626</v>
      </c>
      <c r="B414" s="146" t="s">
        <v>1250</v>
      </c>
      <c r="C414" s="146" t="s">
        <v>1251</v>
      </c>
      <c r="D414" s="145" t="s">
        <v>1252</v>
      </c>
      <c r="E414" s="146" t="s">
        <v>260</v>
      </c>
      <c r="F414" s="145" t="s">
        <v>1608</v>
      </c>
      <c r="G414" s="146" t="s">
        <v>20</v>
      </c>
      <c r="H414" s="146">
        <v>201605</v>
      </c>
      <c r="I414" s="147">
        <v>203.86</v>
      </c>
      <c r="J414" s="297">
        <f t="shared" si="27"/>
        <v>42675</v>
      </c>
      <c r="K414" s="67">
        <f t="shared" si="25"/>
        <v>6</v>
      </c>
      <c r="L414" s="148">
        <v>1.4833299999999999E-3</v>
      </c>
      <c r="M414" s="104">
        <f t="shared" si="24"/>
        <v>1.8143499228000002</v>
      </c>
      <c r="O414" s="66"/>
      <c r="Q414" s="66">
        <f t="shared" si="26"/>
        <v>3.3725664041666672</v>
      </c>
    </row>
    <row r="415" spans="1:17">
      <c r="A415" s="145" t="s">
        <v>14</v>
      </c>
      <c r="B415" s="146" t="s">
        <v>1676</v>
      </c>
      <c r="C415" s="146" t="s">
        <v>1677</v>
      </c>
      <c r="D415" s="145" t="s">
        <v>50</v>
      </c>
      <c r="E415" s="146" t="s">
        <v>1678</v>
      </c>
      <c r="F415" s="145" t="s">
        <v>52</v>
      </c>
      <c r="G415" s="146" t="s">
        <v>20</v>
      </c>
      <c r="H415" s="146">
        <v>201605</v>
      </c>
      <c r="I415" s="147">
        <v>19.91</v>
      </c>
      <c r="J415" s="297">
        <f t="shared" si="27"/>
        <v>42675</v>
      </c>
      <c r="K415" s="67">
        <f t="shared" si="25"/>
        <v>6</v>
      </c>
      <c r="L415" s="148">
        <v>2.23333E-3</v>
      </c>
      <c r="M415" s="104">
        <f t="shared" si="24"/>
        <v>0.2667936018</v>
      </c>
      <c r="O415" s="66"/>
      <c r="Q415" s="66">
        <f t="shared" si="26"/>
        <v>0.32938191458333338</v>
      </c>
    </row>
    <row r="416" spans="1:17">
      <c r="A416" s="145" t="s">
        <v>990</v>
      </c>
      <c r="B416" s="146" t="s">
        <v>1017</v>
      </c>
      <c r="C416" s="146" t="s">
        <v>1018</v>
      </c>
      <c r="D416" s="145" t="s">
        <v>993</v>
      </c>
      <c r="E416" s="146" t="s">
        <v>1019</v>
      </c>
      <c r="F416" s="145" t="s">
        <v>995</v>
      </c>
      <c r="G416" s="146" t="s">
        <v>20</v>
      </c>
      <c r="H416" s="146">
        <v>201605</v>
      </c>
      <c r="I416" s="147">
        <v>19.97</v>
      </c>
      <c r="J416" s="297">
        <f t="shared" si="27"/>
        <v>42675</v>
      </c>
      <c r="K416" s="67">
        <f t="shared" si="25"/>
        <v>6</v>
      </c>
      <c r="L416" s="148">
        <v>2.3833299999999999E-3</v>
      </c>
      <c r="M416" s="104">
        <f t="shared" si="24"/>
        <v>0.2855706006</v>
      </c>
      <c r="O416" s="66"/>
      <c r="Q416" s="66">
        <f t="shared" si="26"/>
        <v>0.33037452708333331</v>
      </c>
    </row>
    <row r="417" spans="1:17">
      <c r="A417" s="145" t="s">
        <v>14</v>
      </c>
      <c r="B417" s="146" t="s">
        <v>292</v>
      </c>
      <c r="C417" s="146" t="s">
        <v>293</v>
      </c>
      <c r="D417" s="145" t="s">
        <v>1679</v>
      </c>
      <c r="E417" s="146" t="s">
        <v>294</v>
      </c>
      <c r="F417" s="145" t="s">
        <v>1613</v>
      </c>
      <c r="G417" s="146" t="s">
        <v>20</v>
      </c>
      <c r="H417" s="146">
        <v>201605</v>
      </c>
      <c r="I417" s="147">
        <v>105796.79</v>
      </c>
      <c r="J417" s="297">
        <f t="shared" si="27"/>
        <v>42675</v>
      </c>
      <c r="K417" s="67">
        <f t="shared" si="25"/>
        <v>6</v>
      </c>
      <c r="L417" s="148">
        <v>2.23333E-3</v>
      </c>
      <c r="M417" s="104">
        <f t="shared" si="24"/>
        <v>1417.6748700641997</v>
      </c>
      <c r="O417" s="66"/>
      <c r="Q417" s="66">
        <f t="shared" si="26"/>
        <v>1750.2536035645833</v>
      </c>
    </row>
    <row r="418" spans="1:17">
      <c r="A418" s="145" t="s">
        <v>14</v>
      </c>
      <c r="B418" s="146" t="s">
        <v>419</v>
      </c>
      <c r="C418" s="146" t="s">
        <v>420</v>
      </c>
      <c r="D418" s="145" t="s">
        <v>50</v>
      </c>
      <c r="E418" s="146" t="s">
        <v>421</v>
      </c>
      <c r="F418" s="145" t="s">
        <v>52</v>
      </c>
      <c r="G418" s="146" t="s">
        <v>20</v>
      </c>
      <c r="H418" s="146">
        <v>201605</v>
      </c>
      <c r="I418" s="147">
        <v>888.11</v>
      </c>
      <c r="J418" s="297">
        <f t="shared" si="27"/>
        <v>42675</v>
      </c>
      <c r="K418" s="67">
        <f t="shared" si="25"/>
        <v>6</v>
      </c>
      <c r="L418" s="148">
        <v>2.23333E-3</v>
      </c>
      <c r="M418" s="104">
        <f t="shared" si="24"/>
        <v>11.9006562378</v>
      </c>
      <c r="O418" s="66"/>
      <c r="Q418" s="66">
        <f t="shared" si="26"/>
        <v>14.692484789583334</v>
      </c>
    </row>
    <row r="419" spans="1:17">
      <c r="A419" s="145" t="s">
        <v>14</v>
      </c>
      <c r="B419" s="146" t="s">
        <v>839</v>
      </c>
      <c r="C419" s="146" t="s">
        <v>840</v>
      </c>
      <c r="D419" s="145" t="s">
        <v>50</v>
      </c>
      <c r="E419" s="146" t="s">
        <v>841</v>
      </c>
      <c r="F419" s="145" t="s">
        <v>52</v>
      </c>
      <c r="G419" s="146" t="s">
        <v>20</v>
      </c>
      <c r="H419" s="146">
        <v>201605</v>
      </c>
      <c r="I419" s="147">
        <v>1019.88</v>
      </c>
      <c r="J419" s="297">
        <f t="shared" si="27"/>
        <v>42675</v>
      </c>
      <c r="K419" s="67">
        <f t="shared" si="25"/>
        <v>6</v>
      </c>
      <c r="L419" s="148">
        <v>2.23333E-3</v>
      </c>
      <c r="M419" s="104">
        <f t="shared" si="24"/>
        <v>13.666371602399998</v>
      </c>
      <c r="O419" s="66"/>
      <c r="Q419" s="66">
        <f t="shared" si="26"/>
        <v>16.872427275</v>
      </c>
    </row>
    <row r="420" spans="1:17">
      <c r="A420" s="145" t="s">
        <v>990</v>
      </c>
      <c r="B420" s="146" t="s">
        <v>1020</v>
      </c>
      <c r="C420" s="146" t="s">
        <v>1021</v>
      </c>
      <c r="D420" s="145" t="s">
        <v>1680</v>
      </c>
      <c r="E420" s="146" t="s">
        <v>1022</v>
      </c>
      <c r="F420" s="145" t="s">
        <v>1614</v>
      </c>
      <c r="G420" s="146" t="s">
        <v>20</v>
      </c>
      <c r="H420" s="146">
        <v>201605</v>
      </c>
      <c r="I420" s="147">
        <v>8395.52</v>
      </c>
      <c r="J420" s="297">
        <f t="shared" si="27"/>
        <v>42675</v>
      </c>
      <c r="K420" s="67">
        <f t="shared" si="25"/>
        <v>6</v>
      </c>
      <c r="L420" s="148">
        <v>2.3833299999999999E-3</v>
      </c>
      <c r="M420" s="104">
        <f t="shared" si="24"/>
        <v>120.05576808960001</v>
      </c>
      <c r="O420" s="66"/>
      <c r="Q420" s="66">
        <f t="shared" si="26"/>
        <v>138.89163493333334</v>
      </c>
    </row>
    <row r="421" spans="1:17">
      <c r="A421" s="145" t="s">
        <v>14</v>
      </c>
      <c r="B421" s="146" t="s">
        <v>325</v>
      </c>
      <c r="C421" s="146" t="s">
        <v>326</v>
      </c>
      <c r="D421" s="145" t="s">
        <v>327</v>
      </c>
      <c r="E421" s="146" t="s">
        <v>328</v>
      </c>
      <c r="F421" s="145" t="s">
        <v>58</v>
      </c>
      <c r="G421" s="146" t="s">
        <v>20</v>
      </c>
      <c r="H421" s="146">
        <v>201605</v>
      </c>
      <c r="I421" s="147">
        <v>428.66</v>
      </c>
      <c r="J421" s="297">
        <f t="shared" si="27"/>
        <v>42675</v>
      </c>
      <c r="K421" s="67">
        <f t="shared" si="25"/>
        <v>6</v>
      </c>
      <c r="L421" s="148">
        <v>2.23333E-3</v>
      </c>
      <c r="M421" s="104">
        <f t="shared" si="24"/>
        <v>5.7440354268</v>
      </c>
      <c r="O421" s="66"/>
      <c r="Q421" s="66">
        <f t="shared" si="26"/>
        <v>7.0915545708333338</v>
      </c>
    </row>
    <row r="422" spans="1:17">
      <c r="A422" s="145" t="s">
        <v>21</v>
      </c>
      <c r="B422" s="146" t="s">
        <v>1823</v>
      </c>
      <c r="C422" s="146" t="s">
        <v>1824</v>
      </c>
      <c r="D422" s="145" t="s">
        <v>1825</v>
      </c>
      <c r="E422" s="146" t="s">
        <v>260</v>
      </c>
      <c r="F422" s="145" t="s">
        <v>1608</v>
      </c>
      <c r="G422" s="146" t="s">
        <v>20</v>
      </c>
      <c r="H422" s="146">
        <v>201605</v>
      </c>
      <c r="I422" s="147">
        <v>48.04</v>
      </c>
      <c r="J422" s="297">
        <f t="shared" si="27"/>
        <v>42675</v>
      </c>
      <c r="K422" s="67">
        <f t="shared" si="25"/>
        <v>6</v>
      </c>
      <c r="L422" s="148">
        <v>1.4833299999999999E-3</v>
      </c>
      <c r="M422" s="104">
        <f t="shared" si="24"/>
        <v>0.42755503919999999</v>
      </c>
      <c r="O422" s="66"/>
      <c r="Q422" s="66">
        <f t="shared" si="26"/>
        <v>0.79475174166666662</v>
      </c>
    </row>
    <row r="423" spans="1:17">
      <c r="A423" s="145" t="s">
        <v>626</v>
      </c>
      <c r="B423" s="146" t="s">
        <v>1823</v>
      </c>
      <c r="C423" s="146" t="s">
        <v>1824</v>
      </c>
      <c r="D423" s="145" t="s">
        <v>1825</v>
      </c>
      <c r="E423" s="146" t="s">
        <v>260</v>
      </c>
      <c r="F423" s="145" t="s">
        <v>1608</v>
      </c>
      <c r="G423" s="146" t="s">
        <v>20</v>
      </c>
      <c r="H423" s="146">
        <v>201605</v>
      </c>
      <c r="I423" s="147">
        <v>386.55</v>
      </c>
      <c r="J423" s="297">
        <f t="shared" si="27"/>
        <v>42675</v>
      </c>
      <c r="K423" s="67">
        <f t="shared" si="25"/>
        <v>6</v>
      </c>
      <c r="L423" s="148">
        <v>1.4833299999999999E-3</v>
      </c>
      <c r="M423" s="104">
        <f t="shared" si="24"/>
        <v>3.4402872690000001</v>
      </c>
      <c r="O423" s="66"/>
      <c r="Q423" s="66">
        <f t="shared" si="26"/>
        <v>6.3949060312500006</v>
      </c>
    </row>
    <row r="424" spans="1:17">
      <c r="A424" s="145" t="s">
        <v>127</v>
      </c>
      <c r="B424" s="146" t="s">
        <v>1130</v>
      </c>
      <c r="C424" s="146" t="s">
        <v>1131</v>
      </c>
      <c r="D424" s="145" t="s">
        <v>1132</v>
      </c>
      <c r="E424" s="146" t="s">
        <v>131</v>
      </c>
      <c r="F424" s="145" t="s">
        <v>1607</v>
      </c>
      <c r="G424" s="146" t="s">
        <v>20</v>
      </c>
      <c r="H424" s="146">
        <v>201605</v>
      </c>
      <c r="I424" s="147">
        <v>7.0000000000000007E-2</v>
      </c>
      <c r="J424" s="297">
        <f t="shared" si="27"/>
        <v>42675</v>
      </c>
      <c r="K424" s="67">
        <f t="shared" si="25"/>
        <v>6</v>
      </c>
      <c r="L424" s="148">
        <v>2.3833299999999999E-3</v>
      </c>
      <c r="M424" s="104">
        <f t="shared" si="24"/>
        <v>1.0009986000000001E-3</v>
      </c>
      <c r="O424" s="66"/>
      <c r="Q424" s="66">
        <f t="shared" si="26"/>
        <v>1.1580479166666668E-3</v>
      </c>
    </row>
    <row r="425" spans="1:17">
      <c r="A425" s="145" t="s">
        <v>626</v>
      </c>
      <c r="B425" s="146" t="s">
        <v>1136</v>
      </c>
      <c r="C425" s="146" t="s">
        <v>1137</v>
      </c>
      <c r="D425" s="145" t="s">
        <v>1138</v>
      </c>
      <c r="E425" s="146" t="s">
        <v>962</v>
      </c>
      <c r="F425" s="145" t="s">
        <v>88</v>
      </c>
      <c r="G425" s="146" t="s">
        <v>20</v>
      </c>
      <c r="H425" s="146">
        <v>201605</v>
      </c>
      <c r="I425" s="147">
        <v>13.43</v>
      </c>
      <c r="J425" s="297">
        <f t="shared" si="27"/>
        <v>42675</v>
      </c>
      <c r="K425" s="67">
        <f t="shared" si="25"/>
        <v>6</v>
      </c>
      <c r="L425" s="148">
        <v>1.4833299999999999E-3</v>
      </c>
      <c r="M425" s="104">
        <f t="shared" si="24"/>
        <v>0.1195267314</v>
      </c>
      <c r="O425" s="66"/>
      <c r="Q425" s="66">
        <f t="shared" si="26"/>
        <v>0.22217976458333336</v>
      </c>
    </row>
    <row r="426" spans="1:17">
      <c r="A426" s="145" t="s">
        <v>626</v>
      </c>
      <c r="B426" s="146" t="s">
        <v>1826</v>
      </c>
      <c r="C426" s="146" t="s">
        <v>1827</v>
      </c>
      <c r="D426" s="145" t="s">
        <v>1828</v>
      </c>
      <c r="E426" s="146" t="s">
        <v>25</v>
      </c>
      <c r="F426" s="145" t="s">
        <v>26</v>
      </c>
      <c r="G426" s="146" t="s">
        <v>20</v>
      </c>
      <c r="H426" s="146">
        <v>201605</v>
      </c>
      <c r="I426" s="147">
        <v>-119998.69</v>
      </c>
      <c r="J426" s="297">
        <f t="shared" si="27"/>
        <v>42675</v>
      </c>
      <c r="K426" s="67">
        <f t="shared" si="25"/>
        <v>6</v>
      </c>
      <c r="L426" s="148">
        <v>1.4833299999999999E-3</v>
      </c>
      <c r="M426" s="104">
        <f t="shared" si="24"/>
        <v>-1067.9859410262</v>
      </c>
      <c r="O426" s="66"/>
      <c r="Q426" s="66">
        <f t="shared" si="26"/>
        <v>-1985.2033279604168</v>
      </c>
    </row>
    <row r="427" spans="1:17">
      <c r="A427" s="145" t="s">
        <v>21</v>
      </c>
      <c r="B427" s="146" t="s">
        <v>1826</v>
      </c>
      <c r="C427" s="146" t="s">
        <v>1827</v>
      </c>
      <c r="D427" s="145" t="s">
        <v>1828</v>
      </c>
      <c r="E427" s="146" t="s">
        <v>25</v>
      </c>
      <c r="F427" s="145" t="s">
        <v>26</v>
      </c>
      <c r="G427" s="146" t="s">
        <v>20</v>
      </c>
      <c r="H427" s="146">
        <v>201605</v>
      </c>
      <c r="I427" s="147">
        <v>125497.77</v>
      </c>
      <c r="J427" s="297">
        <f t="shared" si="27"/>
        <v>42675</v>
      </c>
      <c r="K427" s="67">
        <f t="shared" si="25"/>
        <v>6</v>
      </c>
      <c r="L427" s="148">
        <v>1.4833299999999999E-3</v>
      </c>
      <c r="M427" s="104">
        <f t="shared" si="24"/>
        <v>1116.9276430446</v>
      </c>
      <c r="O427" s="66"/>
      <c r="Q427" s="66">
        <f t="shared" si="26"/>
        <v>2076.1775870687502</v>
      </c>
    </row>
    <row r="428" spans="1:17">
      <c r="A428" s="145" t="s">
        <v>626</v>
      </c>
      <c r="B428" s="146" t="s">
        <v>1139</v>
      </c>
      <c r="C428" s="146" t="s">
        <v>1140</v>
      </c>
      <c r="D428" s="145" t="s">
        <v>1141</v>
      </c>
      <c r="E428" s="146" t="s">
        <v>280</v>
      </c>
      <c r="F428" s="145" t="s">
        <v>26</v>
      </c>
      <c r="G428" s="146" t="s">
        <v>20</v>
      </c>
      <c r="H428" s="146">
        <v>201605</v>
      </c>
      <c r="I428" s="147">
        <v>3.13</v>
      </c>
      <c r="J428" s="297">
        <f t="shared" si="27"/>
        <v>42675</v>
      </c>
      <c r="K428" s="67">
        <f t="shared" si="25"/>
        <v>6</v>
      </c>
      <c r="L428" s="148">
        <v>1.4833299999999999E-3</v>
      </c>
      <c r="M428" s="104">
        <f t="shared" si="24"/>
        <v>2.78569374E-2</v>
      </c>
      <c r="O428" s="66"/>
      <c r="Q428" s="66">
        <f t="shared" si="26"/>
        <v>5.178128541666667E-2</v>
      </c>
    </row>
    <row r="429" spans="1:17">
      <c r="A429" s="145" t="s">
        <v>626</v>
      </c>
      <c r="B429" s="146" t="s">
        <v>1142</v>
      </c>
      <c r="C429" s="146" t="s">
        <v>1143</v>
      </c>
      <c r="D429" s="145" t="s">
        <v>1144</v>
      </c>
      <c r="E429" s="146" t="s">
        <v>164</v>
      </c>
      <c r="F429" s="145" t="s">
        <v>1600</v>
      </c>
      <c r="G429" s="146" t="s">
        <v>20</v>
      </c>
      <c r="H429" s="146">
        <v>201605</v>
      </c>
      <c r="I429" s="147">
        <v>1.31</v>
      </c>
      <c r="J429" s="297">
        <f t="shared" si="27"/>
        <v>42675</v>
      </c>
      <c r="K429" s="67">
        <f t="shared" si="25"/>
        <v>6</v>
      </c>
      <c r="L429" s="148">
        <v>1.4833299999999999E-3</v>
      </c>
      <c r="M429" s="104">
        <f t="shared" si="24"/>
        <v>1.16589738E-2</v>
      </c>
      <c r="O429" s="66"/>
      <c r="Q429" s="66">
        <f t="shared" si="26"/>
        <v>2.1672039583333334E-2</v>
      </c>
    </row>
    <row r="430" spans="1:17">
      <c r="A430" s="145" t="s">
        <v>626</v>
      </c>
      <c r="B430" s="146" t="s">
        <v>1615</v>
      </c>
      <c r="C430" s="146" t="s">
        <v>1616</v>
      </c>
      <c r="D430" s="145" t="s">
        <v>1617</v>
      </c>
      <c r="E430" s="146" t="s">
        <v>497</v>
      </c>
      <c r="F430" s="145" t="s">
        <v>26</v>
      </c>
      <c r="G430" s="146" t="s">
        <v>20</v>
      </c>
      <c r="H430" s="146">
        <v>201605</v>
      </c>
      <c r="I430" s="147">
        <v>-379.57</v>
      </c>
      <c r="J430" s="297">
        <f t="shared" si="27"/>
        <v>42675</v>
      </c>
      <c r="K430" s="67">
        <f t="shared" si="25"/>
        <v>6</v>
      </c>
      <c r="L430" s="148">
        <v>1.4833299999999999E-3</v>
      </c>
      <c r="M430" s="104">
        <f t="shared" si="24"/>
        <v>-3.3781654086000001</v>
      </c>
      <c r="O430" s="66"/>
      <c r="Q430" s="66">
        <f t="shared" si="26"/>
        <v>-6.2794321104166668</v>
      </c>
    </row>
    <row r="431" spans="1:17">
      <c r="A431" s="145" t="s">
        <v>626</v>
      </c>
      <c r="B431" s="146" t="s">
        <v>1148</v>
      </c>
      <c r="C431" s="146" t="s">
        <v>1149</v>
      </c>
      <c r="D431" s="145" t="s">
        <v>1150</v>
      </c>
      <c r="E431" s="146" t="s">
        <v>93</v>
      </c>
      <c r="F431" s="145" t="s">
        <v>1601</v>
      </c>
      <c r="G431" s="146" t="s">
        <v>20</v>
      </c>
      <c r="H431" s="146">
        <v>201605</v>
      </c>
      <c r="I431" s="147">
        <v>-0.28000000000000003</v>
      </c>
      <c r="J431" s="297">
        <f t="shared" si="27"/>
        <v>42675</v>
      </c>
      <c r="K431" s="67">
        <f t="shared" si="25"/>
        <v>6</v>
      </c>
      <c r="L431" s="148">
        <v>1.4833299999999999E-3</v>
      </c>
      <c r="M431" s="104">
        <f t="shared" si="24"/>
        <v>-2.4919944000000001E-3</v>
      </c>
      <c r="O431" s="66"/>
      <c r="Q431" s="66">
        <f t="shared" si="26"/>
        <v>-4.6321916666666671E-3</v>
      </c>
    </row>
    <row r="432" spans="1:17">
      <c r="A432" s="145" t="s">
        <v>21</v>
      </c>
      <c r="B432" s="146" t="s">
        <v>1502</v>
      </c>
      <c r="C432" s="146" t="s">
        <v>1503</v>
      </c>
      <c r="D432" s="145" t="s">
        <v>1504</v>
      </c>
      <c r="E432" s="146" t="s">
        <v>172</v>
      </c>
      <c r="F432" s="145" t="s">
        <v>1609</v>
      </c>
      <c r="G432" s="146" t="s">
        <v>20</v>
      </c>
      <c r="H432" s="146">
        <v>201605</v>
      </c>
      <c r="I432" s="147">
        <v>-9.9</v>
      </c>
      <c r="J432" s="297">
        <f t="shared" si="27"/>
        <v>42675</v>
      </c>
      <c r="K432" s="67">
        <f t="shared" si="25"/>
        <v>6</v>
      </c>
      <c r="L432" s="148">
        <v>1.4833299999999999E-3</v>
      </c>
      <c r="M432" s="104">
        <f t="shared" si="24"/>
        <v>-8.8109802000000001E-2</v>
      </c>
      <c r="O432" s="66"/>
      <c r="Q432" s="66">
        <f t="shared" si="26"/>
        <v>-0.16378106250000002</v>
      </c>
    </row>
    <row r="433" spans="1:17">
      <c r="A433" s="145" t="s">
        <v>21</v>
      </c>
      <c r="B433" s="146" t="s">
        <v>1948</v>
      </c>
      <c r="C433" s="146" t="s">
        <v>1949</v>
      </c>
      <c r="D433" s="145" t="s">
        <v>1950</v>
      </c>
      <c r="E433" s="146" t="s">
        <v>756</v>
      </c>
      <c r="F433" s="145" t="s">
        <v>757</v>
      </c>
      <c r="G433" s="146" t="s">
        <v>20</v>
      </c>
      <c r="H433" s="146">
        <v>201605</v>
      </c>
      <c r="I433" s="147">
        <v>324.85000000000002</v>
      </c>
      <c r="J433" s="297">
        <f t="shared" si="27"/>
        <v>42675</v>
      </c>
      <c r="K433" s="67">
        <f t="shared" si="25"/>
        <v>6</v>
      </c>
      <c r="L433" s="148">
        <v>1.4833299999999999E-3</v>
      </c>
      <c r="M433" s="104">
        <f t="shared" si="24"/>
        <v>2.8911585030000002</v>
      </c>
      <c r="O433" s="66"/>
      <c r="Q433" s="66">
        <f t="shared" si="26"/>
        <v>5.3741695104166674</v>
      </c>
    </row>
    <row r="434" spans="1:17">
      <c r="A434" s="145" t="s">
        <v>21</v>
      </c>
      <c r="B434" s="146" t="s">
        <v>1858</v>
      </c>
      <c r="C434" s="146" t="s">
        <v>1859</v>
      </c>
      <c r="D434" s="145" t="s">
        <v>1860</v>
      </c>
      <c r="E434" s="146" t="s">
        <v>70</v>
      </c>
      <c r="F434" s="145" t="s">
        <v>71</v>
      </c>
      <c r="G434" s="146" t="s">
        <v>20</v>
      </c>
      <c r="H434" s="146">
        <v>201605</v>
      </c>
      <c r="I434" s="147">
        <v>40.130000000000003</v>
      </c>
      <c r="J434" s="297">
        <f t="shared" si="27"/>
        <v>42675</v>
      </c>
      <c r="K434" s="67">
        <f t="shared" si="25"/>
        <v>6</v>
      </c>
      <c r="L434" s="148">
        <v>1.4833299999999999E-3</v>
      </c>
      <c r="M434" s="104">
        <f t="shared" si="24"/>
        <v>0.35715619740000004</v>
      </c>
      <c r="O434" s="66"/>
      <c r="Q434" s="66">
        <f t="shared" si="26"/>
        <v>0.66389232708333346</v>
      </c>
    </row>
    <row r="435" spans="1:17">
      <c r="A435" s="145" t="s">
        <v>626</v>
      </c>
      <c r="B435" s="146" t="s">
        <v>1169</v>
      </c>
      <c r="C435" s="146" t="s">
        <v>1170</v>
      </c>
      <c r="D435" s="145" t="s">
        <v>1171</v>
      </c>
      <c r="E435" s="146" t="s">
        <v>164</v>
      </c>
      <c r="F435" s="145" t="s">
        <v>1600</v>
      </c>
      <c r="G435" s="146" t="s">
        <v>20</v>
      </c>
      <c r="H435" s="146">
        <v>201605</v>
      </c>
      <c r="I435" s="147">
        <v>8.64</v>
      </c>
      <c r="J435" s="297">
        <f t="shared" si="27"/>
        <v>42675</v>
      </c>
      <c r="K435" s="67">
        <f t="shared" si="25"/>
        <v>6</v>
      </c>
      <c r="L435" s="148">
        <v>1.4833299999999999E-3</v>
      </c>
      <c r="M435" s="104">
        <f t="shared" si="24"/>
        <v>7.6895827200000003E-2</v>
      </c>
      <c r="O435" s="66"/>
      <c r="Q435" s="66">
        <f t="shared" si="26"/>
        <v>0.14293620000000001</v>
      </c>
    </row>
    <row r="436" spans="1:17">
      <c r="A436" s="145" t="s">
        <v>626</v>
      </c>
      <c r="B436" s="146" t="s">
        <v>1172</v>
      </c>
      <c r="C436" s="146" t="s">
        <v>1173</v>
      </c>
      <c r="D436" s="145" t="s">
        <v>1174</v>
      </c>
      <c r="E436" s="146" t="s">
        <v>156</v>
      </c>
      <c r="F436" s="145" t="s">
        <v>26</v>
      </c>
      <c r="G436" s="146" t="s">
        <v>20</v>
      </c>
      <c r="H436" s="146">
        <v>201605</v>
      </c>
      <c r="I436" s="147">
        <v>1.2</v>
      </c>
      <c r="J436" s="297">
        <f t="shared" si="27"/>
        <v>42675</v>
      </c>
      <c r="K436" s="67">
        <f t="shared" si="25"/>
        <v>6</v>
      </c>
      <c r="L436" s="148">
        <v>1.4833299999999999E-3</v>
      </c>
      <c r="M436" s="104">
        <f t="shared" si="24"/>
        <v>1.0679975999999999E-2</v>
      </c>
      <c r="O436" s="66"/>
      <c r="Q436" s="66">
        <f t="shared" si="26"/>
        <v>1.9852249999999998E-2</v>
      </c>
    </row>
    <row r="437" spans="1:17">
      <c r="A437" s="145" t="s">
        <v>626</v>
      </c>
      <c r="B437" s="146" t="s">
        <v>1545</v>
      </c>
      <c r="C437" s="146" t="s">
        <v>1546</v>
      </c>
      <c r="D437" s="145" t="s">
        <v>1547</v>
      </c>
      <c r="E437" s="146" t="s">
        <v>164</v>
      </c>
      <c r="F437" s="145" t="s">
        <v>1600</v>
      </c>
      <c r="G437" s="146" t="s">
        <v>20</v>
      </c>
      <c r="H437" s="146">
        <v>201605</v>
      </c>
      <c r="I437" s="147">
        <v>-5.68</v>
      </c>
      <c r="J437" s="297">
        <f t="shared" si="27"/>
        <v>42675</v>
      </c>
      <c r="K437" s="67">
        <f t="shared" si="25"/>
        <v>6</v>
      </c>
      <c r="L437" s="148">
        <v>1.4833299999999999E-3</v>
      </c>
      <c r="M437" s="104">
        <f t="shared" si="24"/>
        <v>-5.0551886399999996E-2</v>
      </c>
      <c r="O437" s="66"/>
      <c r="Q437" s="66">
        <f t="shared" si="26"/>
        <v>-9.3967316666666661E-2</v>
      </c>
    </row>
    <row r="438" spans="1:17">
      <c r="A438" s="145" t="s">
        <v>21</v>
      </c>
      <c r="B438" s="146" t="s">
        <v>1420</v>
      </c>
      <c r="C438" s="146" t="s">
        <v>1421</v>
      </c>
      <c r="D438" s="145" t="s">
        <v>1422</v>
      </c>
      <c r="E438" s="146" t="s">
        <v>260</v>
      </c>
      <c r="F438" s="145" t="s">
        <v>1608</v>
      </c>
      <c r="G438" s="146" t="s">
        <v>20</v>
      </c>
      <c r="H438" s="146">
        <v>201605</v>
      </c>
      <c r="I438" s="147">
        <v>9.2899999999999991</v>
      </c>
      <c r="J438" s="297">
        <f t="shared" si="27"/>
        <v>42675</v>
      </c>
      <c r="K438" s="67">
        <f t="shared" si="25"/>
        <v>6</v>
      </c>
      <c r="L438" s="148">
        <v>1.4833299999999999E-3</v>
      </c>
      <c r="M438" s="104">
        <f t="shared" si="24"/>
        <v>8.2680814199999994E-2</v>
      </c>
      <c r="O438" s="66"/>
      <c r="Q438" s="66">
        <f t="shared" si="26"/>
        <v>0.15368950208333332</v>
      </c>
    </row>
    <row r="439" spans="1:17">
      <c r="A439" s="145" t="s">
        <v>626</v>
      </c>
      <c r="B439" s="146" t="s">
        <v>1420</v>
      </c>
      <c r="C439" s="146" t="s">
        <v>1421</v>
      </c>
      <c r="D439" s="145" t="s">
        <v>1422</v>
      </c>
      <c r="E439" s="146" t="s">
        <v>260</v>
      </c>
      <c r="F439" s="145" t="s">
        <v>1608</v>
      </c>
      <c r="G439" s="146" t="s">
        <v>20</v>
      </c>
      <c r="H439" s="146">
        <v>201605</v>
      </c>
      <c r="I439" s="147">
        <v>36.15</v>
      </c>
      <c r="J439" s="297">
        <f t="shared" si="27"/>
        <v>42675</v>
      </c>
      <c r="K439" s="67">
        <f t="shared" si="25"/>
        <v>6</v>
      </c>
      <c r="L439" s="148">
        <v>1.4833299999999999E-3</v>
      </c>
      <c r="M439" s="104">
        <f t="shared" si="24"/>
        <v>0.32173427700000001</v>
      </c>
      <c r="O439" s="66"/>
      <c r="Q439" s="66">
        <f t="shared" si="26"/>
        <v>0.59804903124999997</v>
      </c>
    </row>
    <row r="440" spans="1:17">
      <c r="A440" s="145" t="s">
        <v>626</v>
      </c>
      <c r="B440" s="146" t="s">
        <v>1268</v>
      </c>
      <c r="C440" s="146" t="s">
        <v>1269</v>
      </c>
      <c r="D440" s="145" t="s">
        <v>1270</v>
      </c>
      <c r="E440" s="146" t="s">
        <v>260</v>
      </c>
      <c r="F440" s="145" t="s">
        <v>1608</v>
      </c>
      <c r="G440" s="146" t="s">
        <v>20</v>
      </c>
      <c r="H440" s="146">
        <v>201605</v>
      </c>
      <c r="I440" s="147">
        <v>-0.17</v>
      </c>
      <c r="J440" s="297">
        <f t="shared" si="27"/>
        <v>42675</v>
      </c>
      <c r="K440" s="67">
        <f t="shared" si="25"/>
        <v>6</v>
      </c>
      <c r="L440" s="148">
        <v>1.4833299999999999E-3</v>
      </c>
      <c r="M440" s="104">
        <f t="shared" si="24"/>
        <v>-1.5129966000000002E-3</v>
      </c>
      <c r="O440" s="66"/>
      <c r="Q440" s="66">
        <f t="shared" si="26"/>
        <v>-2.8124020833333336E-3</v>
      </c>
    </row>
    <row r="441" spans="1:17">
      <c r="A441" s="145" t="s">
        <v>127</v>
      </c>
      <c r="B441" s="146" t="s">
        <v>1785</v>
      </c>
      <c r="C441" s="146" t="s">
        <v>1786</v>
      </c>
      <c r="D441" s="145" t="s">
        <v>1787</v>
      </c>
      <c r="E441" s="146" t="s">
        <v>1580</v>
      </c>
      <c r="F441" s="145" t="s">
        <v>217</v>
      </c>
      <c r="G441" s="146" t="s">
        <v>20</v>
      </c>
      <c r="H441" s="146">
        <v>201605</v>
      </c>
      <c r="I441" s="147">
        <v>59.36</v>
      </c>
      <c r="J441" s="297">
        <f t="shared" si="27"/>
        <v>42675</v>
      </c>
      <c r="K441" s="67">
        <f t="shared" si="25"/>
        <v>6</v>
      </c>
      <c r="L441" s="148">
        <v>2.3833299999999999E-3</v>
      </c>
      <c r="M441" s="104">
        <f t="shared" si="24"/>
        <v>0.84884681279999996</v>
      </c>
      <c r="O441" s="66"/>
      <c r="Q441" s="66">
        <f t="shared" si="26"/>
        <v>0.98202463333333345</v>
      </c>
    </row>
    <row r="442" spans="1:17">
      <c r="A442" s="145" t="s">
        <v>626</v>
      </c>
      <c r="B442" s="146" t="s">
        <v>1508</v>
      </c>
      <c r="C442" s="146" t="s">
        <v>1509</v>
      </c>
      <c r="D442" s="145" t="s">
        <v>1510</v>
      </c>
      <c r="E442" s="146" t="s">
        <v>75</v>
      </c>
      <c r="F442" s="145" t="s">
        <v>1602</v>
      </c>
      <c r="G442" s="146" t="s">
        <v>20</v>
      </c>
      <c r="H442" s="146">
        <v>201605</v>
      </c>
      <c r="I442" s="147">
        <v>26.15</v>
      </c>
      <c r="J442" s="297">
        <f t="shared" si="27"/>
        <v>42675</v>
      </c>
      <c r="K442" s="67">
        <f t="shared" si="25"/>
        <v>6</v>
      </c>
      <c r="L442" s="148">
        <v>1.4833299999999999E-3</v>
      </c>
      <c r="M442" s="104">
        <f t="shared" si="24"/>
        <v>0.232734477</v>
      </c>
      <c r="O442" s="66"/>
      <c r="Q442" s="66">
        <f t="shared" si="26"/>
        <v>0.43261361458333331</v>
      </c>
    </row>
    <row r="443" spans="1:17">
      <c r="A443" s="145" t="s">
        <v>21</v>
      </c>
      <c r="B443" s="146" t="s">
        <v>1829</v>
      </c>
      <c r="C443" s="146" t="s">
        <v>1830</v>
      </c>
      <c r="D443" s="145" t="s">
        <v>1831</v>
      </c>
      <c r="E443" s="146" t="s">
        <v>497</v>
      </c>
      <c r="F443" s="145" t="s">
        <v>26</v>
      </c>
      <c r="G443" s="146" t="s">
        <v>20</v>
      </c>
      <c r="H443" s="146">
        <v>201605</v>
      </c>
      <c r="I443" s="147">
        <v>3.95</v>
      </c>
      <c r="J443" s="297">
        <f t="shared" si="27"/>
        <v>42675</v>
      </c>
      <c r="K443" s="67">
        <f t="shared" si="25"/>
        <v>6</v>
      </c>
      <c r="L443" s="148">
        <v>1.4833299999999999E-3</v>
      </c>
      <c r="M443" s="104">
        <f t="shared" si="24"/>
        <v>3.5154920999999999E-2</v>
      </c>
      <c r="O443" s="66"/>
      <c r="Q443" s="66">
        <f t="shared" si="26"/>
        <v>6.5346989583333334E-2</v>
      </c>
    </row>
    <row r="444" spans="1:17">
      <c r="A444" s="145" t="s">
        <v>626</v>
      </c>
      <c r="B444" s="146" t="s">
        <v>1829</v>
      </c>
      <c r="C444" s="146" t="s">
        <v>1830</v>
      </c>
      <c r="D444" s="145" t="s">
        <v>1831</v>
      </c>
      <c r="E444" s="146" t="s">
        <v>497</v>
      </c>
      <c r="F444" s="145" t="s">
        <v>26</v>
      </c>
      <c r="G444" s="146" t="s">
        <v>20</v>
      </c>
      <c r="H444" s="146">
        <v>201605</v>
      </c>
      <c r="I444" s="147">
        <v>26.87</v>
      </c>
      <c r="J444" s="297">
        <f t="shared" si="27"/>
        <v>42675</v>
      </c>
      <c r="K444" s="67">
        <f t="shared" si="25"/>
        <v>6</v>
      </c>
      <c r="L444" s="148">
        <v>1.4833299999999999E-3</v>
      </c>
      <c r="M444" s="104">
        <f t="shared" si="24"/>
        <v>0.23914246260000002</v>
      </c>
      <c r="O444" s="66"/>
      <c r="Q444" s="66">
        <f t="shared" si="26"/>
        <v>0.44452496458333335</v>
      </c>
    </row>
    <row r="445" spans="1:17">
      <c r="A445" s="145" t="s">
        <v>626</v>
      </c>
      <c r="B445" s="146" t="s">
        <v>1709</v>
      </c>
      <c r="C445" s="146" t="s">
        <v>1710</v>
      </c>
      <c r="D445" s="145" t="s">
        <v>1711</v>
      </c>
      <c r="E445" s="146" t="s">
        <v>497</v>
      </c>
      <c r="F445" s="145" t="s">
        <v>26</v>
      </c>
      <c r="G445" s="146" t="s">
        <v>20</v>
      </c>
      <c r="H445" s="146">
        <v>201605</v>
      </c>
      <c r="I445" s="147">
        <v>5.28</v>
      </c>
      <c r="J445" s="297">
        <f t="shared" si="27"/>
        <v>42675</v>
      </c>
      <c r="K445" s="67">
        <f t="shared" si="25"/>
        <v>6</v>
      </c>
      <c r="L445" s="148">
        <v>1.4833299999999999E-3</v>
      </c>
      <c r="M445" s="104">
        <f t="shared" si="24"/>
        <v>4.6991894400000005E-2</v>
      </c>
      <c r="O445" s="66"/>
      <c r="Q445" s="66">
        <f t="shared" si="26"/>
        <v>8.7349900000000008E-2</v>
      </c>
    </row>
    <row r="446" spans="1:17">
      <c r="A446" s="145" t="s">
        <v>626</v>
      </c>
      <c r="B446" s="146" t="s">
        <v>1861</v>
      </c>
      <c r="C446" s="146" t="s">
        <v>1862</v>
      </c>
      <c r="D446" s="145" t="s">
        <v>1863</v>
      </c>
      <c r="E446" s="146" t="s">
        <v>75</v>
      </c>
      <c r="F446" s="145" t="s">
        <v>1602</v>
      </c>
      <c r="G446" s="146" t="s">
        <v>20</v>
      </c>
      <c r="H446" s="146">
        <v>201605</v>
      </c>
      <c r="I446" s="147">
        <v>576.08000000000004</v>
      </c>
      <c r="J446" s="297">
        <f t="shared" si="27"/>
        <v>42675</v>
      </c>
      <c r="K446" s="67">
        <f t="shared" si="25"/>
        <v>6</v>
      </c>
      <c r="L446" s="148">
        <v>1.4833299999999999E-3</v>
      </c>
      <c r="M446" s="104">
        <f t="shared" si="24"/>
        <v>5.1271004784</v>
      </c>
      <c r="O446" s="66"/>
      <c r="Q446" s="66">
        <f t="shared" si="26"/>
        <v>9.530403483333334</v>
      </c>
    </row>
    <row r="447" spans="1:17">
      <c r="A447" s="145" t="s">
        <v>626</v>
      </c>
      <c r="B447" s="146" t="s">
        <v>1511</v>
      </c>
      <c r="C447" s="146" t="s">
        <v>1512</v>
      </c>
      <c r="D447" s="145" t="s">
        <v>1513</v>
      </c>
      <c r="E447" s="146" t="s">
        <v>260</v>
      </c>
      <c r="F447" s="145" t="s">
        <v>1608</v>
      </c>
      <c r="G447" s="146" t="s">
        <v>20</v>
      </c>
      <c r="H447" s="146">
        <v>201605</v>
      </c>
      <c r="I447" s="147">
        <v>16.850000000000001</v>
      </c>
      <c r="J447" s="297">
        <f t="shared" si="27"/>
        <v>42675</v>
      </c>
      <c r="K447" s="67">
        <f t="shared" si="25"/>
        <v>6</v>
      </c>
      <c r="L447" s="148">
        <v>1.4833299999999999E-3</v>
      </c>
      <c r="M447" s="104">
        <f t="shared" si="24"/>
        <v>0.14996466300000003</v>
      </c>
      <c r="O447" s="66"/>
      <c r="Q447" s="66">
        <f t="shared" si="26"/>
        <v>0.27875867708333335</v>
      </c>
    </row>
    <row r="448" spans="1:17">
      <c r="A448" s="145" t="s">
        <v>626</v>
      </c>
      <c r="B448" s="146" t="s">
        <v>1864</v>
      </c>
      <c r="C448" s="146" t="s">
        <v>1865</v>
      </c>
      <c r="D448" s="145" t="s">
        <v>1866</v>
      </c>
      <c r="E448" s="146" t="s">
        <v>75</v>
      </c>
      <c r="F448" s="145" t="s">
        <v>1602</v>
      </c>
      <c r="G448" s="146" t="s">
        <v>20</v>
      </c>
      <c r="H448" s="146">
        <v>201605</v>
      </c>
      <c r="I448" s="147">
        <v>3610.55</v>
      </c>
      <c r="J448" s="297">
        <f t="shared" si="27"/>
        <v>42675</v>
      </c>
      <c r="K448" s="67">
        <f t="shared" si="25"/>
        <v>6</v>
      </c>
      <c r="L448" s="148">
        <v>1.4833299999999999E-3</v>
      </c>
      <c r="M448" s="104">
        <f t="shared" si="24"/>
        <v>32.133822789</v>
      </c>
      <c r="O448" s="66"/>
      <c r="Q448" s="66">
        <f t="shared" si="26"/>
        <v>59.731284364583338</v>
      </c>
    </row>
    <row r="449" spans="1:17">
      <c r="A449" s="145" t="s">
        <v>626</v>
      </c>
      <c r="B449" s="146" t="s">
        <v>1867</v>
      </c>
      <c r="C449" s="146" t="s">
        <v>1868</v>
      </c>
      <c r="D449" s="145" t="s">
        <v>1869</v>
      </c>
      <c r="E449" s="146" t="s">
        <v>75</v>
      </c>
      <c r="F449" s="145" t="s">
        <v>1602</v>
      </c>
      <c r="G449" s="146" t="s">
        <v>20</v>
      </c>
      <c r="H449" s="146">
        <v>201605</v>
      </c>
      <c r="I449" s="147">
        <v>63.05</v>
      </c>
      <c r="J449" s="297">
        <f t="shared" si="27"/>
        <v>42675</v>
      </c>
      <c r="K449" s="67">
        <f t="shared" si="25"/>
        <v>6</v>
      </c>
      <c r="L449" s="148">
        <v>1.4833299999999999E-3</v>
      </c>
      <c r="M449" s="104">
        <f t="shared" si="24"/>
        <v>0.56114373900000003</v>
      </c>
      <c r="O449" s="66"/>
      <c r="Q449" s="66">
        <f t="shared" si="26"/>
        <v>1.0430703020833332</v>
      </c>
    </row>
    <row r="450" spans="1:17">
      <c r="A450" s="145" t="s">
        <v>626</v>
      </c>
      <c r="B450" s="146" t="s">
        <v>1870</v>
      </c>
      <c r="C450" s="146" t="s">
        <v>1871</v>
      </c>
      <c r="D450" s="145" t="s">
        <v>1872</v>
      </c>
      <c r="E450" s="146" t="s">
        <v>75</v>
      </c>
      <c r="F450" s="145" t="s">
        <v>1602</v>
      </c>
      <c r="G450" s="146" t="s">
        <v>20</v>
      </c>
      <c r="H450" s="146">
        <v>201605</v>
      </c>
      <c r="I450" s="147">
        <v>-464.86</v>
      </c>
      <c r="J450" s="297">
        <f t="shared" si="27"/>
        <v>42675</v>
      </c>
      <c r="K450" s="67">
        <f t="shared" si="25"/>
        <v>6</v>
      </c>
      <c r="L450" s="148">
        <v>1.4833299999999999E-3</v>
      </c>
      <c r="M450" s="104">
        <f t="shared" si="24"/>
        <v>-4.1372447028000003</v>
      </c>
      <c r="O450" s="66"/>
      <c r="Q450" s="66">
        <f t="shared" si="26"/>
        <v>-7.6904307791666664</v>
      </c>
    </row>
    <row r="451" spans="1:17">
      <c r="A451" s="145" t="s">
        <v>626</v>
      </c>
      <c r="B451" s="146" t="s">
        <v>1514</v>
      </c>
      <c r="C451" s="146" t="s">
        <v>1515</v>
      </c>
      <c r="D451" s="145" t="s">
        <v>1516</v>
      </c>
      <c r="E451" s="146" t="s">
        <v>809</v>
      </c>
      <c r="F451" s="145" t="s">
        <v>26</v>
      </c>
      <c r="G451" s="146" t="s">
        <v>20</v>
      </c>
      <c r="H451" s="146">
        <v>201605</v>
      </c>
      <c r="I451" s="147">
        <v>20.36</v>
      </c>
      <c r="J451" s="297">
        <f t="shared" si="27"/>
        <v>42675</v>
      </c>
      <c r="K451" s="67">
        <f t="shared" si="25"/>
        <v>6</v>
      </c>
      <c r="L451" s="148">
        <v>1.4833299999999999E-3</v>
      </c>
      <c r="M451" s="104">
        <f t="shared" si="24"/>
        <v>0.18120359280000001</v>
      </c>
      <c r="O451" s="66"/>
      <c r="Q451" s="66">
        <f t="shared" si="26"/>
        <v>0.33682650833333333</v>
      </c>
    </row>
    <row r="452" spans="1:17">
      <c r="A452" s="145" t="s">
        <v>626</v>
      </c>
      <c r="B452" s="146" t="s">
        <v>1873</v>
      </c>
      <c r="C452" s="146" t="s">
        <v>1874</v>
      </c>
      <c r="D452" s="145" t="s">
        <v>1875</v>
      </c>
      <c r="E452" s="146" t="s">
        <v>75</v>
      </c>
      <c r="F452" s="145" t="s">
        <v>1602</v>
      </c>
      <c r="G452" s="146" t="s">
        <v>20</v>
      </c>
      <c r="H452" s="146">
        <v>201605</v>
      </c>
      <c r="I452" s="147">
        <v>3213.12</v>
      </c>
      <c r="J452" s="297">
        <f t="shared" si="27"/>
        <v>42675</v>
      </c>
      <c r="K452" s="67">
        <f t="shared" si="25"/>
        <v>6</v>
      </c>
      <c r="L452" s="148">
        <v>1.4833299999999999E-3</v>
      </c>
      <c r="M452" s="104">
        <f t="shared" si="24"/>
        <v>28.596703737599999</v>
      </c>
      <c r="O452" s="66"/>
      <c r="Q452" s="66">
        <f t="shared" si="26"/>
        <v>53.156384599999996</v>
      </c>
    </row>
    <row r="453" spans="1:17">
      <c r="A453" s="145" t="s">
        <v>626</v>
      </c>
      <c r="B453" s="146" t="s">
        <v>1681</v>
      </c>
      <c r="C453" s="146" t="s">
        <v>1703</v>
      </c>
      <c r="D453" s="145" t="s">
        <v>1704</v>
      </c>
      <c r="E453" s="146" t="s">
        <v>164</v>
      </c>
      <c r="F453" s="145" t="s">
        <v>1600</v>
      </c>
      <c r="G453" s="146" t="s">
        <v>20</v>
      </c>
      <c r="H453" s="146">
        <v>201605</v>
      </c>
      <c r="I453" s="147">
        <v>29261.37</v>
      </c>
      <c r="J453" s="297">
        <f t="shared" si="27"/>
        <v>42675</v>
      </c>
      <c r="K453" s="67">
        <f t="shared" si="25"/>
        <v>6</v>
      </c>
      <c r="L453" s="148">
        <v>1.4833299999999999E-3</v>
      </c>
      <c r="M453" s="104">
        <f t="shared" ref="M453:M516" si="28">L453*K453*I453</f>
        <v>260.42560777260002</v>
      </c>
      <c r="O453" s="66"/>
      <c r="Q453" s="66">
        <f t="shared" si="26"/>
        <v>484.08669381874995</v>
      </c>
    </row>
    <row r="454" spans="1:17">
      <c r="A454" s="145" t="s">
        <v>626</v>
      </c>
      <c r="B454" s="146" t="s">
        <v>1681</v>
      </c>
      <c r="C454" s="146" t="s">
        <v>1705</v>
      </c>
      <c r="D454" s="145" t="s">
        <v>1706</v>
      </c>
      <c r="E454" s="146" t="s">
        <v>75</v>
      </c>
      <c r="F454" s="145" t="s">
        <v>1602</v>
      </c>
      <c r="G454" s="146" t="s">
        <v>20</v>
      </c>
      <c r="H454" s="146">
        <v>201605</v>
      </c>
      <c r="I454" s="147">
        <v>4795.1899999999996</v>
      </c>
      <c r="J454" s="297">
        <f t="shared" si="27"/>
        <v>42675</v>
      </c>
      <c r="K454" s="67">
        <f t="shared" ref="K454:K517" si="29">((YEAR($K$1)-YEAR(J454))*12+MONTH($K$1)-MONTH(J454))</f>
        <v>6</v>
      </c>
      <c r="L454" s="148">
        <v>1.4833299999999999E-3</v>
      </c>
      <c r="M454" s="104">
        <f t="shared" si="28"/>
        <v>42.677095096199999</v>
      </c>
      <c r="O454" s="66"/>
      <c r="Q454" s="66">
        <f t="shared" ref="Q454:Q517" si="30">($Q$4*0.5*I454*$T$10)</f>
        <v>79.329425564583332</v>
      </c>
    </row>
    <row r="455" spans="1:17">
      <c r="A455" s="145" t="s">
        <v>626</v>
      </c>
      <c r="B455" s="146" t="s">
        <v>1681</v>
      </c>
      <c r="C455" s="146" t="s">
        <v>1707</v>
      </c>
      <c r="D455" s="145" t="s">
        <v>1708</v>
      </c>
      <c r="E455" s="146" t="s">
        <v>75</v>
      </c>
      <c r="F455" s="145" t="s">
        <v>1602</v>
      </c>
      <c r="G455" s="146" t="s">
        <v>20</v>
      </c>
      <c r="H455" s="146">
        <v>201605</v>
      </c>
      <c r="I455" s="147">
        <v>353.94</v>
      </c>
      <c r="J455" s="297">
        <f t="shared" ref="J455:J518" si="31">+J454</f>
        <v>42675</v>
      </c>
      <c r="K455" s="67">
        <f t="shared" si="29"/>
        <v>6</v>
      </c>
      <c r="L455" s="148">
        <v>1.4833299999999999E-3</v>
      </c>
      <c r="M455" s="104">
        <f t="shared" si="28"/>
        <v>3.1500589211999999</v>
      </c>
      <c r="O455" s="66"/>
      <c r="Q455" s="66">
        <f t="shared" si="30"/>
        <v>5.8554211375000005</v>
      </c>
    </row>
    <row r="456" spans="1:17">
      <c r="A456" s="145" t="s">
        <v>626</v>
      </c>
      <c r="B456" s="146" t="s">
        <v>1832</v>
      </c>
      <c r="C456" s="146" t="s">
        <v>1833</v>
      </c>
      <c r="D456" s="145" t="s">
        <v>1834</v>
      </c>
      <c r="E456" s="146" t="s">
        <v>497</v>
      </c>
      <c r="F456" s="145" t="s">
        <v>26</v>
      </c>
      <c r="G456" s="146" t="s">
        <v>20</v>
      </c>
      <c r="H456" s="146">
        <v>201605</v>
      </c>
      <c r="I456" s="147">
        <v>124.41</v>
      </c>
      <c r="J456" s="297">
        <f t="shared" si="31"/>
        <v>42675</v>
      </c>
      <c r="K456" s="67">
        <f t="shared" si="29"/>
        <v>6</v>
      </c>
      <c r="L456" s="148">
        <v>1.4833299999999999E-3</v>
      </c>
      <c r="M456" s="104">
        <f t="shared" si="28"/>
        <v>1.1072465117999999</v>
      </c>
      <c r="O456" s="66"/>
      <c r="Q456" s="66">
        <f t="shared" si="30"/>
        <v>2.0581820187499997</v>
      </c>
    </row>
    <row r="457" spans="1:17">
      <c r="A457" s="145" t="s">
        <v>626</v>
      </c>
      <c r="B457" s="146" t="s">
        <v>1712</v>
      </c>
      <c r="C457" s="146" t="s">
        <v>1713</v>
      </c>
      <c r="D457" s="145" t="s">
        <v>1714</v>
      </c>
      <c r="E457" s="146" t="s">
        <v>497</v>
      </c>
      <c r="F457" s="145" t="s">
        <v>26</v>
      </c>
      <c r="G457" s="146" t="s">
        <v>20</v>
      </c>
      <c r="H457" s="146">
        <v>201605</v>
      </c>
      <c r="I457" s="147">
        <v>15.64</v>
      </c>
      <c r="J457" s="297">
        <f t="shared" si="31"/>
        <v>42675</v>
      </c>
      <c r="K457" s="67">
        <f t="shared" si="29"/>
        <v>6</v>
      </c>
      <c r="L457" s="148">
        <v>1.4833299999999999E-3</v>
      </c>
      <c r="M457" s="104">
        <f t="shared" si="28"/>
        <v>0.1391956872</v>
      </c>
      <c r="O457" s="66"/>
      <c r="Q457" s="66">
        <f t="shared" si="30"/>
        <v>0.2587409916666667</v>
      </c>
    </row>
    <row r="458" spans="1:17">
      <c r="A458" s="145" t="s">
        <v>626</v>
      </c>
      <c r="B458" s="146" t="s">
        <v>2030</v>
      </c>
      <c r="C458" s="146" t="s">
        <v>2031</v>
      </c>
      <c r="D458" s="145" t="s">
        <v>2032</v>
      </c>
      <c r="E458" s="146" t="s">
        <v>497</v>
      </c>
      <c r="F458" s="145" t="s">
        <v>26</v>
      </c>
      <c r="G458" s="146" t="s">
        <v>20</v>
      </c>
      <c r="H458" s="146">
        <v>201605</v>
      </c>
      <c r="I458" s="147">
        <v>18523.46</v>
      </c>
      <c r="J458" s="297">
        <f t="shared" si="31"/>
        <v>42675</v>
      </c>
      <c r="K458" s="67">
        <f t="shared" si="29"/>
        <v>6</v>
      </c>
      <c r="L458" s="148">
        <v>1.4833299999999999E-3</v>
      </c>
      <c r="M458" s="104">
        <f t="shared" si="28"/>
        <v>164.8584235308</v>
      </c>
      <c r="O458" s="66"/>
      <c r="Q458" s="66">
        <f t="shared" si="30"/>
        <v>306.44363232083333</v>
      </c>
    </row>
    <row r="459" spans="1:17">
      <c r="A459" s="145" t="s">
        <v>626</v>
      </c>
      <c r="B459" s="146" t="s">
        <v>1715</v>
      </c>
      <c r="C459" s="146" t="s">
        <v>1716</v>
      </c>
      <c r="D459" s="145" t="s">
        <v>1717</v>
      </c>
      <c r="E459" s="146" t="s">
        <v>497</v>
      </c>
      <c r="F459" s="145" t="s">
        <v>26</v>
      </c>
      <c r="G459" s="146" t="s">
        <v>20</v>
      </c>
      <c r="H459" s="146">
        <v>201605</v>
      </c>
      <c r="I459" s="147">
        <v>-1.99</v>
      </c>
      <c r="J459" s="297">
        <f t="shared" si="31"/>
        <v>42675</v>
      </c>
      <c r="K459" s="67">
        <f t="shared" si="29"/>
        <v>6</v>
      </c>
      <c r="L459" s="148">
        <v>1.4833299999999999E-3</v>
      </c>
      <c r="M459" s="104">
        <f t="shared" si="28"/>
        <v>-1.77109602E-2</v>
      </c>
      <c r="O459" s="66"/>
      <c r="Q459" s="66">
        <f t="shared" si="30"/>
        <v>-3.2921647916666665E-2</v>
      </c>
    </row>
    <row r="460" spans="1:17">
      <c r="A460" s="145" t="s">
        <v>626</v>
      </c>
      <c r="B460" s="146" t="s">
        <v>1951</v>
      </c>
      <c r="C460" s="146" t="s">
        <v>1952</v>
      </c>
      <c r="D460" s="145" t="s">
        <v>1759</v>
      </c>
      <c r="E460" s="146" t="s">
        <v>75</v>
      </c>
      <c r="F460" s="145" t="s">
        <v>1602</v>
      </c>
      <c r="G460" s="146" t="s">
        <v>20</v>
      </c>
      <c r="H460" s="146">
        <v>201605</v>
      </c>
      <c r="I460" s="147">
        <v>-340.54</v>
      </c>
      <c r="J460" s="297">
        <f t="shared" si="31"/>
        <v>42675</v>
      </c>
      <c r="K460" s="67">
        <f t="shared" si="29"/>
        <v>6</v>
      </c>
      <c r="L460" s="148">
        <v>1.4833299999999999E-3</v>
      </c>
      <c r="M460" s="104">
        <f t="shared" si="28"/>
        <v>-3.0307991892000001</v>
      </c>
      <c r="O460" s="66"/>
      <c r="Q460" s="66">
        <f t="shared" si="30"/>
        <v>-5.6337376791666669</v>
      </c>
    </row>
    <row r="461" spans="1:17">
      <c r="A461" s="145" t="s">
        <v>626</v>
      </c>
      <c r="B461" s="146" t="s">
        <v>1835</v>
      </c>
      <c r="C461" s="146" t="s">
        <v>1836</v>
      </c>
      <c r="D461" s="145" t="s">
        <v>1837</v>
      </c>
      <c r="E461" s="146" t="s">
        <v>497</v>
      </c>
      <c r="F461" s="145" t="s">
        <v>26</v>
      </c>
      <c r="G461" s="146" t="s">
        <v>20</v>
      </c>
      <c r="H461" s="146">
        <v>201605</v>
      </c>
      <c r="I461" s="147">
        <v>222.81</v>
      </c>
      <c r="J461" s="297">
        <f t="shared" si="31"/>
        <v>42675</v>
      </c>
      <c r="K461" s="67">
        <f t="shared" si="29"/>
        <v>6</v>
      </c>
      <c r="L461" s="148">
        <v>1.4833299999999999E-3</v>
      </c>
      <c r="M461" s="104">
        <f t="shared" si="28"/>
        <v>1.9830045438000001</v>
      </c>
      <c r="O461" s="66"/>
      <c r="Q461" s="66">
        <f t="shared" si="30"/>
        <v>3.6860665187500006</v>
      </c>
    </row>
    <row r="462" spans="1:17">
      <c r="A462" s="145" t="s">
        <v>626</v>
      </c>
      <c r="B462" s="146" t="s">
        <v>1718</v>
      </c>
      <c r="C462" s="146" t="s">
        <v>1719</v>
      </c>
      <c r="D462" s="145" t="s">
        <v>1720</v>
      </c>
      <c r="E462" s="146" t="s">
        <v>497</v>
      </c>
      <c r="F462" s="145" t="s">
        <v>26</v>
      </c>
      <c r="G462" s="146" t="s">
        <v>20</v>
      </c>
      <c r="H462" s="146">
        <v>201605</v>
      </c>
      <c r="I462" s="147">
        <v>50.72</v>
      </c>
      <c r="J462" s="297">
        <f t="shared" si="31"/>
        <v>42675</v>
      </c>
      <c r="K462" s="67">
        <f t="shared" si="29"/>
        <v>6</v>
      </c>
      <c r="L462" s="148">
        <v>1.4833299999999999E-3</v>
      </c>
      <c r="M462" s="104">
        <f t="shared" si="28"/>
        <v>0.45140698559999998</v>
      </c>
      <c r="O462" s="66"/>
      <c r="Q462" s="66">
        <f t="shared" si="30"/>
        <v>0.83908843333333327</v>
      </c>
    </row>
    <row r="463" spans="1:17">
      <c r="A463" s="145" t="s">
        <v>626</v>
      </c>
      <c r="B463" s="146" t="s">
        <v>1620</v>
      </c>
      <c r="C463" s="146" t="s">
        <v>1621</v>
      </c>
      <c r="D463" s="145" t="s">
        <v>1622</v>
      </c>
      <c r="E463" s="146" t="s">
        <v>497</v>
      </c>
      <c r="F463" s="145" t="s">
        <v>26</v>
      </c>
      <c r="G463" s="146" t="s">
        <v>20</v>
      </c>
      <c r="H463" s="146">
        <v>201605</v>
      </c>
      <c r="I463" s="147">
        <v>159.38999999999999</v>
      </c>
      <c r="J463" s="297">
        <f t="shared" si="31"/>
        <v>42675</v>
      </c>
      <c r="K463" s="67">
        <f t="shared" si="29"/>
        <v>6</v>
      </c>
      <c r="L463" s="148">
        <v>1.4833299999999999E-3</v>
      </c>
      <c r="M463" s="104">
        <f t="shared" si="28"/>
        <v>1.4185678121999998</v>
      </c>
      <c r="O463" s="66"/>
      <c r="Q463" s="66">
        <f t="shared" si="30"/>
        <v>2.6368751062499998</v>
      </c>
    </row>
    <row r="464" spans="1:17">
      <c r="A464" s="145" t="s">
        <v>626</v>
      </c>
      <c r="B464" s="146" t="s">
        <v>2036</v>
      </c>
      <c r="C464" s="146" t="s">
        <v>2037</v>
      </c>
      <c r="D464" s="145" t="s">
        <v>2038</v>
      </c>
      <c r="E464" s="146" t="s">
        <v>160</v>
      </c>
      <c r="F464" s="145" t="s">
        <v>19</v>
      </c>
      <c r="G464" s="146" t="s">
        <v>20</v>
      </c>
      <c r="H464" s="146">
        <v>201605</v>
      </c>
      <c r="I464" s="147">
        <v>1408.9</v>
      </c>
      <c r="J464" s="297">
        <f t="shared" si="31"/>
        <v>42675</v>
      </c>
      <c r="K464" s="67">
        <f t="shared" si="29"/>
        <v>6</v>
      </c>
      <c r="L464" s="148">
        <v>1.4833299999999999E-3</v>
      </c>
      <c r="M464" s="104">
        <f t="shared" si="28"/>
        <v>12.539181822000002</v>
      </c>
      <c r="O464" s="66"/>
      <c r="Q464" s="66">
        <f t="shared" si="30"/>
        <v>23.308195854166669</v>
      </c>
    </row>
    <row r="465" spans="1:17">
      <c r="A465" s="145" t="s">
        <v>626</v>
      </c>
      <c r="B465" s="146" t="s">
        <v>1770</v>
      </c>
      <c r="C465" s="146" t="s">
        <v>1771</v>
      </c>
      <c r="D465" s="145" t="s">
        <v>1772</v>
      </c>
      <c r="E465" s="146" t="s">
        <v>93</v>
      </c>
      <c r="F465" s="145" t="s">
        <v>1601</v>
      </c>
      <c r="G465" s="146" t="s">
        <v>20</v>
      </c>
      <c r="H465" s="146">
        <v>201605</v>
      </c>
      <c r="I465" s="147">
        <v>28.46</v>
      </c>
      <c r="J465" s="297">
        <f t="shared" si="31"/>
        <v>42675</v>
      </c>
      <c r="K465" s="67">
        <f t="shared" si="29"/>
        <v>6</v>
      </c>
      <c r="L465" s="148">
        <v>1.4833299999999999E-3</v>
      </c>
      <c r="M465" s="104">
        <f t="shared" si="28"/>
        <v>0.2532934308</v>
      </c>
      <c r="O465" s="66"/>
      <c r="Q465" s="66">
        <f t="shared" si="30"/>
        <v>0.47082919583333332</v>
      </c>
    </row>
    <row r="466" spans="1:17">
      <c r="A466" s="145" t="s">
        <v>626</v>
      </c>
      <c r="B466" s="146" t="s">
        <v>1721</v>
      </c>
      <c r="C466" s="146" t="s">
        <v>1722</v>
      </c>
      <c r="D466" s="145" t="s">
        <v>1723</v>
      </c>
      <c r="E466" s="146" t="s">
        <v>75</v>
      </c>
      <c r="F466" s="145" t="s">
        <v>1602</v>
      </c>
      <c r="G466" s="146" t="s">
        <v>20</v>
      </c>
      <c r="H466" s="146">
        <v>201605</v>
      </c>
      <c r="I466" s="147">
        <v>15.2</v>
      </c>
      <c r="J466" s="297">
        <f t="shared" si="31"/>
        <v>42675</v>
      </c>
      <c r="K466" s="67">
        <f t="shared" si="29"/>
        <v>6</v>
      </c>
      <c r="L466" s="148">
        <v>1.4833299999999999E-3</v>
      </c>
      <c r="M466" s="104">
        <f t="shared" si="28"/>
        <v>0.135279696</v>
      </c>
      <c r="O466" s="66"/>
      <c r="Q466" s="66">
        <f t="shared" si="30"/>
        <v>0.25146183333333333</v>
      </c>
    </row>
    <row r="467" spans="1:17">
      <c r="A467" s="145" t="s">
        <v>626</v>
      </c>
      <c r="B467" s="146" t="s">
        <v>1953</v>
      </c>
      <c r="C467" s="146" t="s">
        <v>1954</v>
      </c>
      <c r="D467" s="145" t="s">
        <v>1955</v>
      </c>
      <c r="E467" s="146" t="s">
        <v>75</v>
      </c>
      <c r="F467" s="145" t="s">
        <v>1602</v>
      </c>
      <c r="G467" s="146" t="s">
        <v>20</v>
      </c>
      <c r="H467" s="146">
        <v>201605</v>
      </c>
      <c r="I467" s="147">
        <v>18.29</v>
      </c>
      <c r="J467" s="297">
        <f t="shared" si="31"/>
        <v>42675</v>
      </c>
      <c r="K467" s="67">
        <f t="shared" si="29"/>
        <v>6</v>
      </c>
      <c r="L467" s="148">
        <v>1.4833299999999999E-3</v>
      </c>
      <c r="M467" s="104">
        <f t="shared" si="28"/>
        <v>0.1627806342</v>
      </c>
      <c r="O467" s="66"/>
      <c r="Q467" s="66">
        <f t="shared" si="30"/>
        <v>0.30258137708333332</v>
      </c>
    </row>
    <row r="468" spans="1:17">
      <c r="A468" s="145" t="s">
        <v>626</v>
      </c>
      <c r="B468" s="146" t="s">
        <v>1548</v>
      </c>
      <c r="C468" s="146" t="s">
        <v>1549</v>
      </c>
      <c r="D468" s="145" t="s">
        <v>1550</v>
      </c>
      <c r="E468" s="146" t="s">
        <v>164</v>
      </c>
      <c r="F468" s="145" t="s">
        <v>1600</v>
      </c>
      <c r="G468" s="146" t="s">
        <v>20</v>
      </c>
      <c r="H468" s="146">
        <v>201605</v>
      </c>
      <c r="I468" s="147">
        <v>142.09</v>
      </c>
      <c r="J468" s="297">
        <f t="shared" si="31"/>
        <v>42675</v>
      </c>
      <c r="K468" s="67">
        <f t="shared" si="29"/>
        <v>6</v>
      </c>
      <c r="L468" s="148">
        <v>1.4833299999999999E-3</v>
      </c>
      <c r="M468" s="104">
        <f t="shared" si="28"/>
        <v>1.2645981582000001</v>
      </c>
      <c r="O468" s="66"/>
      <c r="Q468" s="66">
        <f t="shared" si="30"/>
        <v>2.3506718354166667</v>
      </c>
    </row>
    <row r="469" spans="1:17">
      <c r="A469" s="145" t="s">
        <v>626</v>
      </c>
      <c r="B469" s="146" t="s">
        <v>1724</v>
      </c>
      <c r="C469" s="146" t="s">
        <v>1725</v>
      </c>
      <c r="D469" s="145" t="s">
        <v>1726</v>
      </c>
      <c r="E469" s="146" t="s">
        <v>75</v>
      </c>
      <c r="F469" s="145" t="s">
        <v>1602</v>
      </c>
      <c r="G469" s="146" t="s">
        <v>20</v>
      </c>
      <c r="H469" s="146">
        <v>201605</v>
      </c>
      <c r="I469" s="147">
        <v>-14.2</v>
      </c>
      <c r="J469" s="297">
        <f t="shared" si="31"/>
        <v>42675</v>
      </c>
      <c r="K469" s="67">
        <f t="shared" si="29"/>
        <v>6</v>
      </c>
      <c r="L469" s="148">
        <v>1.4833299999999999E-3</v>
      </c>
      <c r="M469" s="104">
        <f t="shared" si="28"/>
        <v>-0.126379716</v>
      </c>
      <c r="O469" s="66"/>
      <c r="Q469" s="66">
        <f t="shared" si="30"/>
        <v>-0.23491829166666667</v>
      </c>
    </row>
    <row r="470" spans="1:17">
      <c r="A470" s="145" t="s">
        <v>626</v>
      </c>
      <c r="B470" s="146" t="s">
        <v>1375</v>
      </c>
      <c r="C470" s="146" t="s">
        <v>1376</v>
      </c>
      <c r="D470" s="145" t="s">
        <v>1374</v>
      </c>
      <c r="E470" s="146" t="s">
        <v>497</v>
      </c>
      <c r="F470" s="145" t="s">
        <v>26</v>
      </c>
      <c r="G470" s="146" t="s">
        <v>20</v>
      </c>
      <c r="H470" s="146">
        <v>201605</v>
      </c>
      <c r="I470" s="147">
        <v>190.46</v>
      </c>
      <c r="J470" s="297">
        <f t="shared" si="31"/>
        <v>42675</v>
      </c>
      <c r="K470" s="67">
        <f t="shared" si="29"/>
        <v>6</v>
      </c>
      <c r="L470" s="148">
        <v>1.4833299999999999E-3</v>
      </c>
      <c r="M470" s="104">
        <f t="shared" si="28"/>
        <v>1.6950901908</v>
      </c>
      <c r="O470" s="66"/>
      <c r="Q470" s="66">
        <f t="shared" si="30"/>
        <v>3.1508829458333336</v>
      </c>
    </row>
    <row r="471" spans="1:17">
      <c r="A471" s="145" t="s">
        <v>626</v>
      </c>
      <c r="B471" s="146" t="s">
        <v>1444</v>
      </c>
      <c r="C471" s="146" t="s">
        <v>1445</v>
      </c>
      <c r="D471" s="145" t="s">
        <v>1282</v>
      </c>
      <c r="E471" s="146" t="s">
        <v>164</v>
      </c>
      <c r="F471" s="145" t="s">
        <v>1600</v>
      </c>
      <c r="G471" s="146" t="s">
        <v>20</v>
      </c>
      <c r="H471" s="146">
        <v>201605</v>
      </c>
      <c r="I471" s="147">
        <v>-138.22</v>
      </c>
      <c r="J471" s="297">
        <f t="shared" si="31"/>
        <v>42675</v>
      </c>
      <c r="K471" s="67">
        <f t="shared" si="29"/>
        <v>6</v>
      </c>
      <c r="L471" s="148">
        <v>1.4833299999999999E-3</v>
      </c>
      <c r="M471" s="104">
        <f t="shared" si="28"/>
        <v>-1.2301552356000001</v>
      </c>
      <c r="O471" s="66"/>
      <c r="Q471" s="66">
        <f t="shared" si="30"/>
        <v>-2.2866483291666668</v>
      </c>
    </row>
    <row r="472" spans="1:17">
      <c r="A472" s="145" t="s">
        <v>626</v>
      </c>
      <c r="B472" s="146" t="s">
        <v>1788</v>
      </c>
      <c r="C472" s="146" t="s">
        <v>1789</v>
      </c>
      <c r="D472" s="145" t="s">
        <v>1790</v>
      </c>
      <c r="E472" s="146" t="s">
        <v>25</v>
      </c>
      <c r="F472" s="145" t="s">
        <v>26</v>
      </c>
      <c r="G472" s="146" t="s">
        <v>20</v>
      </c>
      <c r="H472" s="146">
        <v>201605</v>
      </c>
      <c r="I472" s="147">
        <v>209.73</v>
      </c>
      <c r="J472" s="297">
        <f t="shared" si="31"/>
        <v>42675</v>
      </c>
      <c r="K472" s="67">
        <f t="shared" si="29"/>
        <v>6</v>
      </c>
      <c r="L472" s="148">
        <v>1.4833299999999999E-3</v>
      </c>
      <c r="M472" s="104">
        <f t="shared" si="28"/>
        <v>1.8665928053999998</v>
      </c>
      <c r="O472" s="66"/>
      <c r="Q472" s="66">
        <f t="shared" si="30"/>
        <v>3.4696769937499998</v>
      </c>
    </row>
    <row r="473" spans="1:17">
      <c r="A473" s="145" t="s">
        <v>626</v>
      </c>
      <c r="B473" s="146" t="s">
        <v>1791</v>
      </c>
      <c r="C473" s="146" t="s">
        <v>1792</v>
      </c>
      <c r="D473" s="145" t="s">
        <v>1793</v>
      </c>
      <c r="E473" s="146" t="s">
        <v>75</v>
      </c>
      <c r="F473" s="145" t="s">
        <v>1602</v>
      </c>
      <c r="G473" s="146" t="s">
        <v>20</v>
      </c>
      <c r="H473" s="146">
        <v>201605</v>
      </c>
      <c r="I473" s="147">
        <v>1800.78</v>
      </c>
      <c r="J473" s="297">
        <f t="shared" si="31"/>
        <v>42675</v>
      </c>
      <c r="K473" s="67">
        <f t="shared" si="29"/>
        <v>6</v>
      </c>
      <c r="L473" s="148">
        <v>1.4833299999999999E-3</v>
      </c>
      <c r="M473" s="104">
        <f t="shared" si="28"/>
        <v>16.026905984399999</v>
      </c>
      <c r="O473" s="66"/>
      <c r="Q473" s="66">
        <f t="shared" si="30"/>
        <v>29.791278962499998</v>
      </c>
    </row>
    <row r="474" spans="1:17">
      <c r="A474" s="145" t="s">
        <v>626</v>
      </c>
      <c r="B474" s="146" t="s">
        <v>1838</v>
      </c>
      <c r="C474" s="146" t="s">
        <v>1839</v>
      </c>
      <c r="D474" s="145" t="s">
        <v>1840</v>
      </c>
      <c r="E474" s="146" t="s">
        <v>260</v>
      </c>
      <c r="F474" s="145" t="s">
        <v>1608</v>
      </c>
      <c r="G474" s="146" t="s">
        <v>20</v>
      </c>
      <c r="H474" s="146">
        <v>201605</v>
      </c>
      <c r="I474" s="147">
        <v>4906.59</v>
      </c>
      <c r="J474" s="297">
        <f t="shared" si="31"/>
        <v>42675</v>
      </c>
      <c r="K474" s="67">
        <f t="shared" si="29"/>
        <v>6</v>
      </c>
      <c r="L474" s="148">
        <v>1.4833299999999999E-3</v>
      </c>
      <c r="M474" s="104">
        <f t="shared" si="28"/>
        <v>43.668552868200003</v>
      </c>
      <c r="O474" s="66"/>
      <c r="Q474" s="66">
        <f t="shared" si="30"/>
        <v>81.172376106249999</v>
      </c>
    </row>
    <row r="475" spans="1:17">
      <c r="A475" s="342" t="s">
        <v>133</v>
      </c>
      <c r="B475" s="343" t="s">
        <v>1876</v>
      </c>
      <c r="C475" s="343" t="s">
        <v>1877</v>
      </c>
      <c r="D475" s="342" t="s">
        <v>1878</v>
      </c>
      <c r="E475" s="343" t="s">
        <v>75</v>
      </c>
      <c r="F475" s="342" t="s">
        <v>1602</v>
      </c>
      <c r="G475" s="343" t="s">
        <v>20</v>
      </c>
      <c r="H475" s="343">
        <v>201605</v>
      </c>
      <c r="I475" s="344">
        <v>0</v>
      </c>
      <c r="J475" s="297">
        <f t="shared" si="31"/>
        <v>42675</v>
      </c>
      <c r="K475" s="348">
        <f t="shared" si="29"/>
        <v>6</v>
      </c>
      <c r="L475" s="345">
        <v>1.4833299999999999E-3</v>
      </c>
      <c r="M475" s="349">
        <f t="shared" si="28"/>
        <v>0</v>
      </c>
      <c r="N475" s="350"/>
      <c r="O475" s="351"/>
      <c r="P475" s="350"/>
      <c r="Q475" s="66">
        <f t="shared" si="30"/>
        <v>0</v>
      </c>
    </row>
    <row r="476" spans="1:17">
      <c r="A476" s="145" t="s">
        <v>626</v>
      </c>
      <c r="B476" s="146" t="s">
        <v>2039</v>
      </c>
      <c r="C476" s="146" t="s">
        <v>2040</v>
      </c>
      <c r="D476" s="145" t="s">
        <v>2041</v>
      </c>
      <c r="E476" s="146" t="s">
        <v>497</v>
      </c>
      <c r="F476" s="145" t="s">
        <v>26</v>
      </c>
      <c r="G476" s="146" t="s">
        <v>20</v>
      </c>
      <c r="H476" s="146">
        <v>201605</v>
      </c>
      <c r="I476" s="147">
        <v>7136.76</v>
      </c>
      <c r="J476" s="297">
        <f t="shared" si="31"/>
        <v>42675</v>
      </c>
      <c r="K476" s="67">
        <f t="shared" si="29"/>
        <v>6</v>
      </c>
      <c r="L476" s="148">
        <v>1.4833299999999999E-3</v>
      </c>
      <c r="M476" s="104">
        <f t="shared" si="28"/>
        <v>63.5170212648</v>
      </c>
      <c r="O476" s="66"/>
      <c r="Q476" s="66">
        <f t="shared" si="30"/>
        <v>118.06728642499999</v>
      </c>
    </row>
    <row r="477" spans="1:17">
      <c r="A477" s="145" t="s">
        <v>626</v>
      </c>
      <c r="B477" s="146" t="s">
        <v>1879</v>
      </c>
      <c r="C477" s="146" t="s">
        <v>1880</v>
      </c>
      <c r="D477" s="145" t="s">
        <v>1273</v>
      </c>
      <c r="E477" s="146" t="s">
        <v>75</v>
      </c>
      <c r="F477" s="145" t="s">
        <v>1602</v>
      </c>
      <c r="G477" s="146" t="s">
        <v>20</v>
      </c>
      <c r="H477" s="146">
        <v>201605</v>
      </c>
      <c r="I477" s="147">
        <v>244.94</v>
      </c>
      <c r="J477" s="297">
        <f t="shared" si="31"/>
        <v>42675</v>
      </c>
      <c r="K477" s="67">
        <f t="shared" si="29"/>
        <v>6</v>
      </c>
      <c r="L477" s="148">
        <v>1.4833299999999999E-3</v>
      </c>
      <c r="M477" s="104">
        <f t="shared" si="28"/>
        <v>2.1799611012</v>
      </c>
      <c r="O477" s="66"/>
      <c r="Q477" s="66">
        <f t="shared" si="30"/>
        <v>4.0521750958333334</v>
      </c>
    </row>
    <row r="478" spans="1:17">
      <c r="A478" s="145" t="s">
        <v>626</v>
      </c>
      <c r="B478" s="146" t="s">
        <v>2042</v>
      </c>
      <c r="C478" s="146" t="s">
        <v>2043</v>
      </c>
      <c r="D478" s="145" t="s">
        <v>2044</v>
      </c>
      <c r="E478" s="146" t="s">
        <v>497</v>
      </c>
      <c r="F478" s="145" t="s">
        <v>26</v>
      </c>
      <c r="G478" s="146" t="s">
        <v>20</v>
      </c>
      <c r="H478" s="146">
        <v>201605</v>
      </c>
      <c r="I478" s="147">
        <v>160421.72</v>
      </c>
      <c r="J478" s="297">
        <f t="shared" si="31"/>
        <v>42675</v>
      </c>
      <c r="K478" s="67">
        <f t="shared" si="29"/>
        <v>6</v>
      </c>
      <c r="L478" s="148">
        <v>1.4833299999999999E-3</v>
      </c>
      <c r="M478" s="104">
        <f t="shared" si="28"/>
        <v>1427.7500995656001</v>
      </c>
      <c r="O478" s="66"/>
      <c r="Q478" s="66">
        <f t="shared" si="30"/>
        <v>2653.9434090583336</v>
      </c>
    </row>
    <row r="479" spans="1:17">
      <c r="A479" s="145" t="s">
        <v>626</v>
      </c>
      <c r="B479" s="146" t="s">
        <v>1794</v>
      </c>
      <c r="C479" s="146" t="s">
        <v>1795</v>
      </c>
      <c r="D479" s="145" t="s">
        <v>1796</v>
      </c>
      <c r="E479" s="146" t="s">
        <v>809</v>
      </c>
      <c r="F479" s="145" t="s">
        <v>26</v>
      </c>
      <c r="G479" s="146" t="s">
        <v>20</v>
      </c>
      <c r="H479" s="146">
        <v>201605</v>
      </c>
      <c r="I479" s="147">
        <v>798.45</v>
      </c>
      <c r="J479" s="297">
        <f t="shared" si="31"/>
        <v>42675</v>
      </c>
      <c r="K479" s="67">
        <f t="shared" si="29"/>
        <v>6</v>
      </c>
      <c r="L479" s="148">
        <v>1.4833299999999999E-3</v>
      </c>
      <c r="M479" s="104">
        <f t="shared" si="28"/>
        <v>7.1061890310000004</v>
      </c>
      <c r="O479" s="66"/>
      <c r="Q479" s="66">
        <f t="shared" si="30"/>
        <v>13.209190843750001</v>
      </c>
    </row>
    <row r="480" spans="1:17">
      <c r="A480" s="145" t="s">
        <v>626</v>
      </c>
      <c r="B480" s="146" t="s">
        <v>1844</v>
      </c>
      <c r="C480" s="146" t="s">
        <v>1845</v>
      </c>
      <c r="D480" s="145" t="s">
        <v>1846</v>
      </c>
      <c r="E480" s="146" t="s">
        <v>160</v>
      </c>
      <c r="F480" s="145" t="s">
        <v>19</v>
      </c>
      <c r="G480" s="146" t="s">
        <v>20</v>
      </c>
      <c r="H480" s="146">
        <v>201605</v>
      </c>
      <c r="I480" s="147">
        <v>903.77</v>
      </c>
      <c r="J480" s="297">
        <f t="shared" si="31"/>
        <v>42675</v>
      </c>
      <c r="K480" s="67">
        <f t="shared" si="29"/>
        <v>6</v>
      </c>
      <c r="L480" s="148">
        <v>1.4833299999999999E-3</v>
      </c>
      <c r="M480" s="104">
        <f t="shared" si="28"/>
        <v>8.0435349245999994</v>
      </c>
      <c r="O480" s="66"/>
      <c r="Q480" s="66">
        <f t="shared" si="30"/>
        <v>14.951556652083331</v>
      </c>
    </row>
    <row r="481" spans="1:17">
      <c r="A481" s="145" t="s">
        <v>21</v>
      </c>
      <c r="B481" s="146" t="s">
        <v>1727</v>
      </c>
      <c r="C481" s="146" t="s">
        <v>1728</v>
      </c>
      <c r="D481" s="145" t="s">
        <v>1729</v>
      </c>
      <c r="E481" s="146" t="s">
        <v>75</v>
      </c>
      <c r="F481" s="145" t="s">
        <v>1602</v>
      </c>
      <c r="G481" s="146" t="s">
        <v>20</v>
      </c>
      <c r="H481" s="146">
        <v>201605</v>
      </c>
      <c r="I481" s="147">
        <v>161.82</v>
      </c>
      <c r="J481" s="297">
        <f t="shared" si="31"/>
        <v>42675</v>
      </c>
      <c r="K481" s="67">
        <f t="shared" si="29"/>
        <v>6</v>
      </c>
      <c r="L481" s="148">
        <v>1.4833299999999999E-3</v>
      </c>
      <c r="M481" s="104">
        <f t="shared" si="28"/>
        <v>1.4401947635999999</v>
      </c>
      <c r="O481" s="66"/>
      <c r="Q481" s="66">
        <f t="shared" si="30"/>
        <v>2.6770759124999999</v>
      </c>
    </row>
    <row r="482" spans="1:17">
      <c r="A482" s="145" t="s">
        <v>990</v>
      </c>
      <c r="B482" s="146" t="s">
        <v>1730</v>
      </c>
      <c r="C482" s="146" t="s">
        <v>1731</v>
      </c>
      <c r="D482" s="145" t="s">
        <v>1732</v>
      </c>
      <c r="E482" s="146" t="s">
        <v>1688</v>
      </c>
      <c r="F482" s="145" t="s">
        <v>1689</v>
      </c>
      <c r="G482" s="146" t="s">
        <v>20</v>
      </c>
      <c r="H482" s="146">
        <v>201605</v>
      </c>
      <c r="I482" s="147">
        <v>-2.31</v>
      </c>
      <c r="J482" s="297">
        <f t="shared" si="31"/>
        <v>42675</v>
      </c>
      <c r="K482" s="67">
        <f t="shared" si="29"/>
        <v>6</v>
      </c>
      <c r="L482" s="148">
        <v>2.3833299999999999E-3</v>
      </c>
      <c r="M482" s="104">
        <f t="shared" si="28"/>
        <v>-3.3032953800000001E-2</v>
      </c>
      <c r="O482" s="66"/>
      <c r="Q482" s="66">
        <f t="shared" si="30"/>
        <v>-3.8215581250000005E-2</v>
      </c>
    </row>
    <row r="483" spans="1:17">
      <c r="A483" s="145" t="s">
        <v>990</v>
      </c>
      <c r="B483" s="146" t="s">
        <v>1733</v>
      </c>
      <c r="C483" s="146" t="s">
        <v>1734</v>
      </c>
      <c r="D483" s="145" t="s">
        <v>1735</v>
      </c>
      <c r="E483" s="146" t="s">
        <v>1688</v>
      </c>
      <c r="F483" s="145" t="s">
        <v>1689</v>
      </c>
      <c r="G483" s="146" t="s">
        <v>20</v>
      </c>
      <c r="H483" s="146">
        <v>201605</v>
      </c>
      <c r="I483" s="147">
        <v>11.21</v>
      </c>
      <c r="J483" s="297">
        <f t="shared" si="31"/>
        <v>42675</v>
      </c>
      <c r="K483" s="67">
        <f t="shared" si="29"/>
        <v>6</v>
      </c>
      <c r="L483" s="148">
        <v>2.3833299999999999E-3</v>
      </c>
      <c r="M483" s="104">
        <f t="shared" si="28"/>
        <v>0.16030277580000002</v>
      </c>
      <c r="O483" s="66"/>
      <c r="Q483" s="66">
        <f t="shared" si="30"/>
        <v>0.18545310208333335</v>
      </c>
    </row>
    <row r="484" spans="1:17">
      <c r="A484" s="145" t="s">
        <v>626</v>
      </c>
      <c r="B484" s="146" t="s">
        <v>1881</v>
      </c>
      <c r="C484" s="146" t="s">
        <v>1882</v>
      </c>
      <c r="D484" s="145" t="s">
        <v>1883</v>
      </c>
      <c r="E484" s="146" t="s">
        <v>75</v>
      </c>
      <c r="F484" s="145" t="s">
        <v>1602</v>
      </c>
      <c r="G484" s="146" t="s">
        <v>20</v>
      </c>
      <c r="H484" s="146">
        <v>201605</v>
      </c>
      <c r="I484" s="147">
        <v>-1545.21</v>
      </c>
      <c r="J484" s="297">
        <f t="shared" si="31"/>
        <v>42675</v>
      </c>
      <c r="K484" s="67">
        <f t="shared" si="29"/>
        <v>6</v>
      </c>
      <c r="L484" s="148">
        <v>1.4833299999999999E-3</v>
      </c>
      <c r="M484" s="104">
        <f t="shared" si="28"/>
        <v>-13.752338095800001</v>
      </c>
      <c r="O484" s="66"/>
      <c r="Q484" s="66">
        <f t="shared" si="30"/>
        <v>-25.56324601875</v>
      </c>
    </row>
    <row r="485" spans="1:17">
      <c r="A485" s="145" t="s">
        <v>626</v>
      </c>
      <c r="B485" s="146" t="s">
        <v>1496</v>
      </c>
      <c r="C485" s="146" t="s">
        <v>1497</v>
      </c>
      <c r="D485" s="145" t="s">
        <v>1498</v>
      </c>
      <c r="E485" s="146" t="s">
        <v>164</v>
      </c>
      <c r="F485" s="145" t="s">
        <v>1600</v>
      </c>
      <c r="G485" s="146" t="s">
        <v>20</v>
      </c>
      <c r="H485" s="146">
        <v>201605</v>
      </c>
      <c r="I485" s="147">
        <v>-20.14</v>
      </c>
      <c r="J485" s="297">
        <f t="shared" si="31"/>
        <v>42675</v>
      </c>
      <c r="K485" s="67">
        <f t="shared" si="29"/>
        <v>6</v>
      </c>
      <c r="L485" s="148">
        <v>1.4833299999999999E-3</v>
      </c>
      <c r="M485" s="104">
        <f t="shared" si="28"/>
        <v>-0.1792455972</v>
      </c>
      <c r="O485" s="66"/>
      <c r="Q485" s="66">
        <f t="shared" si="30"/>
        <v>-0.33318692916666665</v>
      </c>
    </row>
    <row r="486" spans="1:17">
      <c r="A486" s="145" t="s">
        <v>626</v>
      </c>
      <c r="B486" s="146" t="s">
        <v>1884</v>
      </c>
      <c r="C486" s="146" t="s">
        <v>1885</v>
      </c>
      <c r="D486" s="145" t="s">
        <v>1886</v>
      </c>
      <c r="E486" s="146" t="s">
        <v>75</v>
      </c>
      <c r="F486" s="145" t="s">
        <v>1602</v>
      </c>
      <c r="G486" s="146" t="s">
        <v>20</v>
      </c>
      <c r="H486" s="146">
        <v>201605</v>
      </c>
      <c r="I486" s="147">
        <v>112.23</v>
      </c>
      <c r="J486" s="297">
        <f t="shared" si="31"/>
        <v>42675</v>
      </c>
      <c r="K486" s="67">
        <f t="shared" si="29"/>
        <v>6</v>
      </c>
      <c r="L486" s="148">
        <v>1.4833299999999999E-3</v>
      </c>
      <c r="M486" s="104">
        <f t="shared" si="28"/>
        <v>0.99884475540000006</v>
      </c>
      <c r="O486" s="66"/>
      <c r="Q486" s="66">
        <f t="shared" si="30"/>
        <v>1.85668168125</v>
      </c>
    </row>
    <row r="487" spans="1:17">
      <c r="A487" s="145" t="s">
        <v>626</v>
      </c>
      <c r="B487" s="146" t="s">
        <v>1736</v>
      </c>
      <c r="C487" s="146" t="s">
        <v>1737</v>
      </c>
      <c r="D487" s="145" t="s">
        <v>1738</v>
      </c>
      <c r="E487" s="146" t="s">
        <v>164</v>
      </c>
      <c r="F487" s="145" t="s">
        <v>1600</v>
      </c>
      <c r="G487" s="146" t="s">
        <v>20</v>
      </c>
      <c r="H487" s="146">
        <v>201605</v>
      </c>
      <c r="I487" s="147">
        <v>603.33000000000004</v>
      </c>
      <c r="J487" s="297">
        <f t="shared" si="31"/>
        <v>42675</v>
      </c>
      <c r="K487" s="67">
        <f t="shared" si="29"/>
        <v>6</v>
      </c>
      <c r="L487" s="148">
        <v>1.4833299999999999E-3</v>
      </c>
      <c r="M487" s="104">
        <f t="shared" si="28"/>
        <v>5.3696249334000008</v>
      </c>
      <c r="O487" s="66"/>
      <c r="Q487" s="66">
        <f t="shared" si="30"/>
        <v>9.981214993750001</v>
      </c>
    </row>
    <row r="488" spans="1:17">
      <c r="A488" s="145" t="s">
        <v>626</v>
      </c>
      <c r="B488" s="146" t="s">
        <v>1847</v>
      </c>
      <c r="C488" s="146" t="s">
        <v>1848</v>
      </c>
      <c r="D488" s="145" t="s">
        <v>1849</v>
      </c>
      <c r="E488" s="146" t="s">
        <v>63</v>
      </c>
      <c r="F488" s="145" t="s">
        <v>19</v>
      </c>
      <c r="G488" s="146" t="s">
        <v>20</v>
      </c>
      <c r="H488" s="146">
        <v>201605</v>
      </c>
      <c r="I488" s="147">
        <v>6.23</v>
      </c>
      <c r="J488" s="297">
        <f t="shared" si="31"/>
        <v>42675</v>
      </c>
      <c r="K488" s="67">
        <f t="shared" si="29"/>
        <v>6</v>
      </c>
      <c r="L488" s="148">
        <v>1.4833299999999999E-3</v>
      </c>
      <c r="M488" s="104">
        <f t="shared" si="28"/>
        <v>5.5446875400000005E-2</v>
      </c>
      <c r="O488" s="66"/>
      <c r="Q488" s="66">
        <f t="shared" si="30"/>
        <v>0.10306626458333334</v>
      </c>
    </row>
    <row r="489" spans="1:17">
      <c r="A489" s="145" t="s">
        <v>626</v>
      </c>
      <c r="B489" s="146" t="s">
        <v>1594</v>
      </c>
      <c r="C489" s="146" t="s">
        <v>1595</v>
      </c>
      <c r="D489" s="145" t="s">
        <v>1596</v>
      </c>
      <c r="E489" s="146" t="s">
        <v>87</v>
      </c>
      <c r="F489" s="145" t="s">
        <v>1603</v>
      </c>
      <c r="G489" s="146" t="s">
        <v>20</v>
      </c>
      <c r="H489" s="146">
        <v>201605</v>
      </c>
      <c r="I489" s="147">
        <v>4.5599999999999996</v>
      </c>
      <c r="J489" s="297">
        <f t="shared" si="31"/>
        <v>42675</v>
      </c>
      <c r="K489" s="67">
        <f t="shared" si="29"/>
        <v>6</v>
      </c>
      <c r="L489" s="148">
        <v>1.4833299999999999E-3</v>
      </c>
      <c r="M489" s="104">
        <f t="shared" si="28"/>
        <v>4.0583908799999999E-2</v>
      </c>
      <c r="O489" s="66"/>
      <c r="Q489" s="66">
        <f t="shared" si="30"/>
        <v>7.5438549999999993E-2</v>
      </c>
    </row>
    <row r="490" spans="1:17">
      <c r="A490" s="145" t="s">
        <v>127</v>
      </c>
      <c r="B490" s="146" t="s">
        <v>1773</v>
      </c>
      <c r="C490" s="146" t="s">
        <v>1774</v>
      </c>
      <c r="D490" s="145" t="s">
        <v>1775</v>
      </c>
      <c r="E490" s="146" t="s">
        <v>209</v>
      </c>
      <c r="F490" s="145" t="s">
        <v>1612</v>
      </c>
      <c r="G490" s="146" t="s">
        <v>20</v>
      </c>
      <c r="H490" s="146">
        <v>201605</v>
      </c>
      <c r="I490" s="147">
        <v>-24.53</v>
      </c>
      <c r="J490" s="297">
        <f t="shared" si="31"/>
        <v>42675</v>
      </c>
      <c r="K490" s="67">
        <f t="shared" si="29"/>
        <v>6</v>
      </c>
      <c r="L490" s="148">
        <v>2.3833299999999999E-3</v>
      </c>
      <c r="M490" s="104">
        <f t="shared" si="28"/>
        <v>-0.35077850940000005</v>
      </c>
      <c r="O490" s="66"/>
      <c r="Q490" s="66">
        <f t="shared" si="30"/>
        <v>-0.40581307708333336</v>
      </c>
    </row>
    <row r="491" spans="1:17">
      <c r="A491" s="145" t="s">
        <v>626</v>
      </c>
      <c r="B491" s="146" t="s">
        <v>1739</v>
      </c>
      <c r="C491" s="146" t="s">
        <v>1740</v>
      </c>
      <c r="D491" s="145" t="s">
        <v>1741</v>
      </c>
      <c r="E491" s="146" t="s">
        <v>164</v>
      </c>
      <c r="F491" s="145" t="s">
        <v>1600</v>
      </c>
      <c r="G491" s="146" t="s">
        <v>20</v>
      </c>
      <c r="H491" s="146">
        <v>201605</v>
      </c>
      <c r="I491" s="147">
        <v>2560.29</v>
      </c>
      <c r="J491" s="297">
        <f t="shared" si="31"/>
        <v>42675</v>
      </c>
      <c r="K491" s="67">
        <f t="shared" si="29"/>
        <v>6</v>
      </c>
      <c r="L491" s="148">
        <v>1.4833299999999999E-3</v>
      </c>
      <c r="M491" s="104">
        <f t="shared" si="28"/>
        <v>22.7865297942</v>
      </c>
      <c r="O491" s="66"/>
      <c r="Q491" s="66">
        <f t="shared" si="30"/>
        <v>42.356264293750002</v>
      </c>
    </row>
    <row r="492" spans="1:17">
      <c r="A492" s="145" t="s">
        <v>626</v>
      </c>
      <c r="B492" s="146" t="s">
        <v>1632</v>
      </c>
      <c r="C492" s="146" t="s">
        <v>1633</v>
      </c>
      <c r="D492" s="145" t="s">
        <v>1634</v>
      </c>
      <c r="E492" s="146" t="s">
        <v>471</v>
      </c>
      <c r="F492" s="145" t="s">
        <v>165</v>
      </c>
      <c r="G492" s="146" t="s">
        <v>20</v>
      </c>
      <c r="H492" s="146">
        <v>201605</v>
      </c>
      <c r="I492" s="147">
        <v>26.48</v>
      </c>
      <c r="J492" s="297">
        <f t="shared" si="31"/>
        <v>42675</v>
      </c>
      <c r="K492" s="67">
        <f t="shared" si="29"/>
        <v>6</v>
      </c>
      <c r="L492" s="148">
        <v>1.4833299999999999E-3</v>
      </c>
      <c r="M492" s="104">
        <f t="shared" si="28"/>
        <v>0.2356714704</v>
      </c>
      <c r="O492" s="66"/>
      <c r="Q492" s="66">
        <f t="shared" si="30"/>
        <v>0.43807298333333333</v>
      </c>
    </row>
    <row r="493" spans="1:17">
      <c r="A493" s="145" t="s">
        <v>21</v>
      </c>
      <c r="B493" s="146" t="s">
        <v>1635</v>
      </c>
      <c r="C493" s="146" t="s">
        <v>1636</v>
      </c>
      <c r="D493" s="145" t="s">
        <v>1637</v>
      </c>
      <c r="E493" s="146" t="s">
        <v>360</v>
      </c>
      <c r="F493" s="145" t="s">
        <v>19</v>
      </c>
      <c r="G493" s="146" t="s">
        <v>20</v>
      </c>
      <c r="H493" s="146">
        <v>201605</v>
      </c>
      <c r="I493" s="147">
        <v>9.98</v>
      </c>
      <c r="J493" s="297">
        <f t="shared" si="31"/>
        <v>42675</v>
      </c>
      <c r="K493" s="67">
        <f t="shared" si="29"/>
        <v>6</v>
      </c>
      <c r="L493" s="148">
        <v>1.4833299999999999E-3</v>
      </c>
      <c r="M493" s="104">
        <f t="shared" si="28"/>
        <v>8.8821800399999998E-2</v>
      </c>
      <c r="O493" s="66"/>
      <c r="Q493" s="66">
        <f t="shared" si="30"/>
        <v>0.16510454583333334</v>
      </c>
    </row>
    <row r="494" spans="1:17">
      <c r="A494" s="145" t="s">
        <v>626</v>
      </c>
      <c r="B494" s="146" t="s">
        <v>1797</v>
      </c>
      <c r="C494" s="146" t="s">
        <v>1798</v>
      </c>
      <c r="D494" s="145" t="s">
        <v>1799</v>
      </c>
      <c r="E494" s="146" t="s">
        <v>164</v>
      </c>
      <c r="F494" s="145" t="s">
        <v>1600</v>
      </c>
      <c r="G494" s="146" t="s">
        <v>20</v>
      </c>
      <c r="H494" s="146">
        <v>201605</v>
      </c>
      <c r="I494" s="147">
        <v>13983.13</v>
      </c>
      <c r="J494" s="297">
        <f t="shared" si="31"/>
        <v>42675</v>
      </c>
      <c r="K494" s="67">
        <f t="shared" si="29"/>
        <v>6</v>
      </c>
      <c r="L494" s="148">
        <v>1.4833299999999999E-3</v>
      </c>
      <c r="M494" s="104">
        <f t="shared" si="28"/>
        <v>124.44957733739999</v>
      </c>
      <c r="O494" s="66"/>
      <c r="Q494" s="66">
        <f t="shared" si="30"/>
        <v>231.33049378541665</v>
      </c>
    </row>
    <row r="495" spans="1:17">
      <c r="A495" s="145" t="s">
        <v>21</v>
      </c>
      <c r="B495" s="146" t="s">
        <v>1470</v>
      </c>
      <c r="C495" s="146" t="s">
        <v>1471</v>
      </c>
      <c r="D495" s="145" t="s">
        <v>1472</v>
      </c>
      <c r="E495" s="146" t="s">
        <v>497</v>
      </c>
      <c r="F495" s="145" t="s">
        <v>26</v>
      </c>
      <c r="G495" s="146" t="s">
        <v>20</v>
      </c>
      <c r="H495" s="146">
        <v>201605</v>
      </c>
      <c r="I495" s="147">
        <v>-7.18</v>
      </c>
      <c r="J495" s="297">
        <f t="shared" si="31"/>
        <v>42675</v>
      </c>
      <c r="K495" s="67">
        <f t="shared" si="29"/>
        <v>6</v>
      </c>
      <c r="L495" s="148">
        <v>1.4833299999999999E-3</v>
      </c>
      <c r="M495" s="104">
        <f t="shared" si="28"/>
        <v>-6.3901856399999998E-2</v>
      </c>
      <c r="O495" s="66"/>
      <c r="Q495" s="66">
        <f t="shared" si="30"/>
        <v>-0.11878262916666667</v>
      </c>
    </row>
    <row r="496" spans="1:17">
      <c r="A496" s="145" t="s">
        <v>626</v>
      </c>
      <c r="B496" s="146" t="s">
        <v>1890</v>
      </c>
      <c r="C496" s="146" t="s">
        <v>1891</v>
      </c>
      <c r="D496" s="145" t="s">
        <v>1495</v>
      </c>
      <c r="E496" s="146" t="s">
        <v>75</v>
      </c>
      <c r="F496" s="145" t="s">
        <v>1602</v>
      </c>
      <c r="G496" s="146" t="s">
        <v>20</v>
      </c>
      <c r="H496" s="146">
        <v>201605</v>
      </c>
      <c r="I496" s="147">
        <v>785.01</v>
      </c>
      <c r="J496" s="297">
        <f t="shared" si="31"/>
        <v>42675</v>
      </c>
      <c r="K496" s="67">
        <f t="shared" si="29"/>
        <v>6</v>
      </c>
      <c r="L496" s="148">
        <v>1.4833299999999999E-3</v>
      </c>
      <c r="M496" s="104">
        <f t="shared" si="28"/>
        <v>6.9865732997999999</v>
      </c>
      <c r="O496" s="66"/>
      <c r="Q496" s="66">
        <f t="shared" si="30"/>
        <v>12.98684564375</v>
      </c>
    </row>
    <row r="497" spans="1:17">
      <c r="A497" s="145" t="s">
        <v>21</v>
      </c>
      <c r="B497" s="146" t="s">
        <v>1956</v>
      </c>
      <c r="C497" s="146" t="s">
        <v>1957</v>
      </c>
      <c r="D497" s="145" t="s">
        <v>1958</v>
      </c>
      <c r="E497" s="146" t="s">
        <v>75</v>
      </c>
      <c r="F497" s="145" t="s">
        <v>1602</v>
      </c>
      <c r="G497" s="146" t="s">
        <v>20</v>
      </c>
      <c r="H497" s="146">
        <v>201605</v>
      </c>
      <c r="I497" s="147">
        <v>50672.2</v>
      </c>
      <c r="J497" s="297">
        <f t="shared" si="31"/>
        <v>42675</v>
      </c>
      <c r="K497" s="67">
        <f t="shared" si="29"/>
        <v>6</v>
      </c>
      <c r="L497" s="148">
        <v>1.4833299999999999E-3</v>
      </c>
      <c r="M497" s="104">
        <f t="shared" si="28"/>
        <v>450.98156655599996</v>
      </c>
      <c r="O497" s="66"/>
      <c r="Q497" s="66">
        <f t="shared" si="30"/>
        <v>838.29765204166665</v>
      </c>
    </row>
    <row r="498" spans="1:17">
      <c r="A498" s="145" t="s">
        <v>626</v>
      </c>
      <c r="B498" s="146" t="s">
        <v>1892</v>
      </c>
      <c r="C498" s="146" t="s">
        <v>1893</v>
      </c>
      <c r="D498" s="145" t="s">
        <v>1894</v>
      </c>
      <c r="E498" s="146" t="s">
        <v>75</v>
      </c>
      <c r="F498" s="145" t="s">
        <v>1602</v>
      </c>
      <c r="G498" s="146" t="s">
        <v>20</v>
      </c>
      <c r="H498" s="146">
        <v>201605</v>
      </c>
      <c r="I498" s="147">
        <v>1781.39</v>
      </c>
      <c r="J498" s="297">
        <f t="shared" si="31"/>
        <v>42675</v>
      </c>
      <c r="K498" s="67">
        <f t="shared" si="29"/>
        <v>6</v>
      </c>
      <c r="L498" s="148">
        <v>1.4833299999999999E-3</v>
      </c>
      <c r="M498" s="104">
        <f t="shared" si="28"/>
        <v>15.854335372200001</v>
      </c>
      <c r="O498" s="66"/>
      <c r="Q498" s="66">
        <f t="shared" si="30"/>
        <v>29.470499689583338</v>
      </c>
    </row>
    <row r="499" spans="1:17">
      <c r="A499" s="145" t="s">
        <v>626</v>
      </c>
      <c r="B499" s="146" t="s">
        <v>1959</v>
      </c>
      <c r="C499" s="146" t="s">
        <v>1960</v>
      </c>
      <c r="D499" s="145" t="s">
        <v>1495</v>
      </c>
      <c r="E499" s="146" t="s">
        <v>75</v>
      </c>
      <c r="F499" s="145" t="s">
        <v>1602</v>
      </c>
      <c r="G499" s="146" t="s">
        <v>20</v>
      </c>
      <c r="H499" s="146">
        <v>201605</v>
      </c>
      <c r="I499" s="147">
        <v>-123.99</v>
      </c>
      <c r="J499" s="297">
        <f t="shared" si="31"/>
        <v>42675</v>
      </c>
      <c r="K499" s="67">
        <f t="shared" si="29"/>
        <v>6</v>
      </c>
      <c r="L499" s="148">
        <v>1.4833299999999999E-3</v>
      </c>
      <c r="M499" s="104">
        <f t="shared" si="28"/>
        <v>-1.1035085201999999</v>
      </c>
      <c r="O499" s="66"/>
      <c r="Q499" s="66">
        <f t="shared" si="30"/>
        <v>-2.05123373125</v>
      </c>
    </row>
    <row r="500" spans="1:17">
      <c r="A500" s="145" t="s">
        <v>626</v>
      </c>
      <c r="B500" s="146" t="s">
        <v>1898</v>
      </c>
      <c r="C500" s="146" t="s">
        <v>1899</v>
      </c>
      <c r="D500" s="145" t="s">
        <v>1900</v>
      </c>
      <c r="E500" s="146" t="s">
        <v>75</v>
      </c>
      <c r="F500" s="145" t="s">
        <v>1602</v>
      </c>
      <c r="G500" s="146" t="s">
        <v>20</v>
      </c>
      <c r="H500" s="146">
        <v>201605</v>
      </c>
      <c r="I500" s="147">
        <v>837.04</v>
      </c>
      <c r="J500" s="297">
        <f t="shared" si="31"/>
        <v>42675</v>
      </c>
      <c r="K500" s="67">
        <f t="shared" si="29"/>
        <v>6</v>
      </c>
      <c r="L500" s="148">
        <v>1.4833299999999999E-3</v>
      </c>
      <c r="M500" s="104">
        <f t="shared" si="28"/>
        <v>7.4496392591999996</v>
      </c>
      <c r="O500" s="66"/>
      <c r="Q500" s="66">
        <f t="shared" si="30"/>
        <v>13.847606116666666</v>
      </c>
    </row>
    <row r="501" spans="1:17">
      <c r="A501" s="145" t="s">
        <v>626</v>
      </c>
      <c r="B501" s="146" t="s">
        <v>1901</v>
      </c>
      <c r="C501" s="146" t="s">
        <v>1902</v>
      </c>
      <c r="D501" s="145" t="s">
        <v>1903</v>
      </c>
      <c r="E501" s="146" t="s">
        <v>75</v>
      </c>
      <c r="F501" s="145" t="s">
        <v>1602</v>
      </c>
      <c r="G501" s="146" t="s">
        <v>20</v>
      </c>
      <c r="H501" s="146">
        <v>201605</v>
      </c>
      <c r="I501" s="147">
        <v>5071.58</v>
      </c>
      <c r="J501" s="297">
        <f t="shared" si="31"/>
        <v>42675</v>
      </c>
      <c r="K501" s="67">
        <f t="shared" si="29"/>
        <v>6</v>
      </c>
      <c r="L501" s="148">
        <v>1.4833299999999999E-3</v>
      </c>
      <c r="M501" s="104">
        <f t="shared" si="28"/>
        <v>45.136960568399999</v>
      </c>
      <c r="O501" s="66"/>
      <c r="Q501" s="66">
        <f t="shared" si="30"/>
        <v>83.901895045833328</v>
      </c>
    </row>
    <row r="502" spans="1:17">
      <c r="A502" s="145" t="s">
        <v>626</v>
      </c>
      <c r="B502" s="146" t="s">
        <v>1693</v>
      </c>
      <c r="C502" s="146" t="s">
        <v>1694</v>
      </c>
      <c r="D502" s="145" t="s">
        <v>1695</v>
      </c>
      <c r="E502" s="146" t="s">
        <v>809</v>
      </c>
      <c r="F502" s="145" t="s">
        <v>26</v>
      </c>
      <c r="G502" s="146" t="s">
        <v>20</v>
      </c>
      <c r="H502" s="146">
        <v>201605</v>
      </c>
      <c r="I502" s="147">
        <v>4759.37</v>
      </c>
      <c r="J502" s="297">
        <f t="shared" si="31"/>
        <v>42675</v>
      </c>
      <c r="K502" s="67">
        <f t="shared" si="29"/>
        <v>6</v>
      </c>
      <c r="L502" s="148">
        <v>1.4833299999999999E-3</v>
      </c>
      <c r="M502" s="104">
        <f t="shared" si="28"/>
        <v>42.3582978126</v>
      </c>
      <c r="O502" s="66"/>
      <c r="Q502" s="66">
        <f t="shared" si="30"/>
        <v>78.736835902083328</v>
      </c>
    </row>
    <row r="503" spans="1:17">
      <c r="A503" s="145" t="s">
        <v>626</v>
      </c>
      <c r="B503" s="146" t="s">
        <v>1638</v>
      </c>
      <c r="C503" s="146" t="s">
        <v>1639</v>
      </c>
      <c r="D503" s="145" t="s">
        <v>1640</v>
      </c>
      <c r="E503" s="146" t="s">
        <v>164</v>
      </c>
      <c r="F503" s="145" t="s">
        <v>1600</v>
      </c>
      <c r="G503" s="146" t="s">
        <v>20</v>
      </c>
      <c r="H503" s="146">
        <v>201605</v>
      </c>
      <c r="I503" s="147">
        <v>8.06</v>
      </c>
      <c r="J503" s="297">
        <f t="shared" si="31"/>
        <v>42675</v>
      </c>
      <c r="K503" s="67">
        <f t="shared" si="29"/>
        <v>6</v>
      </c>
      <c r="L503" s="148">
        <v>1.4833299999999999E-3</v>
      </c>
      <c r="M503" s="104">
        <f t="shared" si="28"/>
        <v>7.1733838800000005E-2</v>
      </c>
      <c r="O503" s="66"/>
      <c r="Q503" s="66">
        <f t="shared" si="30"/>
        <v>0.13334094583333334</v>
      </c>
    </row>
    <row r="504" spans="1:17">
      <c r="A504" s="145" t="s">
        <v>626</v>
      </c>
      <c r="B504" s="146" t="s">
        <v>1904</v>
      </c>
      <c r="C504" s="146" t="s">
        <v>1905</v>
      </c>
      <c r="D504" s="145" t="s">
        <v>1906</v>
      </c>
      <c r="E504" s="146" t="s">
        <v>75</v>
      </c>
      <c r="F504" s="145" t="s">
        <v>1602</v>
      </c>
      <c r="G504" s="146" t="s">
        <v>20</v>
      </c>
      <c r="H504" s="146">
        <v>201605</v>
      </c>
      <c r="I504" s="147">
        <v>545.24</v>
      </c>
      <c r="J504" s="297">
        <f t="shared" si="31"/>
        <v>42675</v>
      </c>
      <c r="K504" s="67">
        <f t="shared" si="29"/>
        <v>6</v>
      </c>
      <c r="L504" s="148">
        <v>1.4833299999999999E-3</v>
      </c>
      <c r="M504" s="104">
        <f t="shared" si="28"/>
        <v>4.8526250952000005</v>
      </c>
      <c r="O504" s="66"/>
      <c r="Q504" s="66">
        <f t="shared" si="30"/>
        <v>9.0202006583333336</v>
      </c>
    </row>
    <row r="505" spans="1:17">
      <c r="A505" s="145" t="s">
        <v>626</v>
      </c>
      <c r="B505" s="146" t="s">
        <v>1742</v>
      </c>
      <c r="C505" s="146" t="s">
        <v>1743</v>
      </c>
      <c r="D505" s="145" t="s">
        <v>1744</v>
      </c>
      <c r="E505" s="146" t="s">
        <v>497</v>
      </c>
      <c r="F505" s="145" t="s">
        <v>26</v>
      </c>
      <c r="G505" s="146" t="s">
        <v>20</v>
      </c>
      <c r="H505" s="146">
        <v>201605</v>
      </c>
      <c r="I505" s="147">
        <v>96.39</v>
      </c>
      <c r="J505" s="297">
        <f t="shared" si="31"/>
        <v>42675</v>
      </c>
      <c r="K505" s="67">
        <f t="shared" si="29"/>
        <v>6</v>
      </c>
      <c r="L505" s="148">
        <v>1.4833299999999999E-3</v>
      </c>
      <c r="M505" s="104">
        <f t="shared" si="28"/>
        <v>0.85786907219999997</v>
      </c>
      <c r="O505" s="66"/>
      <c r="Q505" s="66">
        <f t="shared" si="30"/>
        <v>1.5946319812500001</v>
      </c>
    </row>
    <row r="506" spans="1:17">
      <c r="A506" s="145" t="s">
        <v>626</v>
      </c>
      <c r="B506" s="146" t="s">
        <v>1745</v>
      </c>
      <c r="C506" s="146" t="s">
        <v>1746</v>
      </c>
      <c r="D506" s="145" t="s">
        <v>1747</v>
      </c>
      <c r="E506" s="146" t="s">
        <v>497</v>
      </c>
      <c r="F506" s="145" t="s">
        <v>26</v>
      </c>
      <c r="G506" s="146" t="s">
        <v>20</v>
      </c>
      <c r="H506" s="146">
        <v>201605</v>
      </c>
      <c r="I506" s="147">
        <v>-14341.88</v>
      </c>
      <c r="J506" s="297">
        <f t="shared" si="31"/>
        <v>42675</v>
      </c>
      <c r="K506" s="67">
        <f t="shared" si="29"/>
        <v>6</v>
      </c>
      <c r="L506" s="148">
        <v>1.4833299999999999E-3</v>
      </c>
      <c r="M506" s="104">
        <f t="shared" si="28"/>
        <v>-127.64244516239999</v>
      </c>
      <c r="O506" s="66"/>
      <c r="Q506" s="66">
        <f t="shared" si="30"/>
        <v>-237.26548935833333</v>
      </c>
    </row>
    <row r="507" spans="1:17">
      <c r="A507" s="145" t="s">
        <v>21</v>
      </c>
      <c r="B507" s="146" t="s">
        <v>1745</v>
      </c>
      <c r="C507" s="146" t="s">
        <v>1746</v>
      </c>
      <c r="D507" s="145" t="s">
        <v>1747</v>
      </c>
      <c r="E507" s="146" t="s">
        <v>497</v>
      </c>
      <c r="F507" s="145" t="s">
        <v>26</v>
      </c>
      <c r="G507" s="146" t="s">
        <v>20</v>
      </c>
      <c r="H507" s="146">
        <v>201605</v>
      </c>
      <c r="I507" s="147">
        <v>14125.97</v>
      </c>
      <c r="J507" s="297">
        <f t="shared" si="31"/>
        <v>42675</v>
      </c>
      <c r="K507" s="67">
        <f t="shared" si="29"/>
        <v>6</v>
      </c>
      <c r="L507" s="148">
        <v>1.4833299999999999E-3</v>
      </c>
      <c r="M507" s="104">
        <f t="shared" si="28"/>
        <v>125.72085048059999</v>
      </c>
      <c r="O507" s="66"/>
      <c r="Q507" s="66">
        <f t="shared" si="30"/>
        <v>233.69357327708335</v>
      </c>
    </row>
    <row r="508" spans="1:17">
      <c r="A508" s="145" t="s">
        <v>626</v>
      </c>
      <c r="B508" s="146" t="s">
        <v>1800</v>
      </c>
      <c r="C508" s="146" t="s">
        <v>1801</v>
      </c>
      <c r="D508" s="145" t="s">
        <v>1802</v>
      </c>
      <c r="E508" s="146" t="s">
        <v>75</v>
      </c>
      <c r="F508" s="145" t="s">
        <v>1602</v>
      </c>
      <c r="G508" s="146" t="s">
        <v>20</v>
      </c>
      <c r="H508" s="146">
        <v>201605</v>
      </c>
      <c r="I508" s="147">
        <v>9183.65</v>
      </c>
      <c r="J508" s="297">
        <f t="shared" si="31"/>
        <v>42675</v>
      </c>
      <c r="K508" s="67">
        <f t="shared" si="29"/>
        <v>6</v>
      </c>
      <c r="L508" s="148">
        <v>1.4833299999999999E-3</v>
      </c>
      <c r="M508" s="104">
        <f t="shared" si="28"/>
        <v>81.734301326999997</v>
      </c>
      <c r="O508" s="66"/>
      <c r="Q508" s="66">
        <f t="shared" si="30"/>
        <v>151.93009642708333</v>
      </c>
    </row>
    <row r="509" spans="1:17">
      <c r="A509" s="145" t="s">
        <v>626</v>
      </c>
      <c r="B509" s="146" t="s">
        <v>2045</v>
      </c>
      <c r="C509" s="146" t="s">
        <v>2046</v>
      </c>
      <c r="D509" s="145" t="s">
        <v>2047</v>
      </c>
      <c r="E509" s="146" t="s">
        <v>75</v>
      </c>
      <c r="F509" s="145" t="s">
        <v>1602</v>
      </c>
      <c r="G509" s="146" t="s">
        <v>20</v>
      </c>
      <c r="H509" s="146">
        <v>201605</v>
      </c>
      <c r="I509" s="147">
        <v>4001.21</v>
      </c>
      <c r="J509" s="297">
        <f t="shared" si="31"/>
        <v>42675</v>
      </c>
      <c r="K509" s="67">
        <f t="shared" si="29"/>
        <v>6</v>
      </c>
      <c r="L509" s="148">
        <v>1.4833299999999999E-3</v>
      </c>
      <c r="M509" s="104">
        <f t="shared" si="28"/>
        <v>35.610688975800002</v>
      </c>
      <c r="O509" s="66"/>
      <c r="Q509" s="66">
        <f t="shared" si="30"/>
        <v>66.19418435208334</v>
      </c>
    </row>
    <row r="510" spans="1:17">
      <c r="A510" s="145" t="s">
        <v>626</v>
      </c>
      <c r="B510" s="146" t="s">
        <v>1961</v>
      </c>
      <c r="C510" s="146" t="s">
        <v>1962</v>
      </c>
      <c r="D510" s="145" t="s">
        <v>1963</v>
      </c>
      <c r="E510" s="146" t="s">
        <v>75</v>
      </c>
      <c r="F510" s="145" t="s">
        <v>1602</v>
      </c>
      <c r="G510" s="146" t="s">
        <v>20</v>
      </c>
      <c r="H510" s="146">
        <v>201605</v>
      </c>
      <c r="I510" s="147">
        <v>1852.88</v>
      </c>
      <c r="J510" s="297">
        <f t="shared" si="31"/>
        <v>42675</v>
      </c>
      <c r="K510" s="67">
        <f t="shared" si="29"/>
        <v>6</v>
      </c>
      <c r="L510" s="148">
        <v>1.4833299999999999E-3</v>
      </c>
      <c r="M510" s="104">
        <f t="shared" si="28"/>
        <v>16.490594942400001</v>
      </c>
      <c r="O510" s="66"/>
      <c r="Q510" s="66">
        <f t="shared" si="30"/>
        <v>30.653197483333336</v>
      </c>
    </row>
    <row r="511" spans="1:17">
      <c r="A511" s="145" t="s">
        <v>626</v>
      </c>
      <c r="B511" s="146" t="s">
        <v>1907</v>
      </c>
      <c r="C511" s="146" t="s">
        <v>1908</v>
      </c>
      <c r="D511" s="145" t="s">
        <v>1909</v>
      </c>
      <c r="E511" s="146" t="s">
        <v>75</v>
      </c>
      <c r="F511" s="145" t="s">
        <v>1602</v>
      </c>
      <c r="G511" s="146" t="s">
        <v>20</v>
      </c>
      <c r="H511" s="146">
        <v>201605</v>
      </c>
      <c r="I511" s="147">
        <v>3000.02</v>
      </c>
      <c r="J511" s="297">
        <f t="shared" si="31"/>
        <v>42675</v>
      </c>
      <c r="K511" s="67">
        <f t="shared" si="29"/>
        <v>6</v>
      </c>
      <c r="L511" s="148">
        <v>1.4833299999999999E-3</v>
      </c>
      <c r="M511" s="104">
        <f t="shared" si="28"/>
        <v>26.7001179996</v>
      </c>
      <c r="O511" s="66"/>
      <c r="Q511" s="66">
        <f t="shared" si="30"/>
        <v>49.630955870833333</v>
      </c>
    </row>
    <row r="512" spans="1:17">
      <c r="A512" s="145" t="s">
        <v>626</v>
      </c>
      <c r="B512" s="146" t="s">
        <v>1803</v>
      </c>
      <c r="C512" s="146" t="s">
        <v>1804</v>
      </c>
      <c r="D512" s="145" t="s">
        <v>1805</v>
      </c>
      <c r="E512" s="146" t="s">
        <v>164</v>
      </c>
      <c r="F512" s="145" t="s">
        <v>1600</v>
      </c>
      <c r="G512" s="146" t="s">
        <v>20</v>
      </c>
      <c r="H512" s="146">
        <v>201605</v>
      </c>
      <c r="I512" s="147">
        <v>7099.87</v>
      </c>
      <c r="J512" s="297">
        <f t="shared" si="31"/>
        <v>42675</v>
      </c>
      <c r="K512" s="67">
        <f t="shared" si="29"/>
        <v>6</v>
      </c>
      <c r="L512" s="148">
        <v>1.4833299999999999E-3</v>
      </c>
      <c r="M512" s="104">
        <f t="shared" si="28"/>
        <v>63.188701002599998</v>
      </c>
      <c r="O512" s="66"/>
      <c r="Q512" s="66">
        <f t="shared" si="30"/>
        <v>117.45699517291666</v>
      </c>
    </row>
    <row r="513" spans="1:17">
      <c r="A513" s="145" t="s">
        <v>626</v>
      </c>
      <c r="B513" s="146" t="s">
        <v>1748</v>
      </c>
      <c r="C513" s="146" t="s">
        <v>1749</v>
      </c>
      <c r="D513" s="145" t="s">
        <v>1750</v>
      </c>
      <c r="E513" s="146" t="s">
        <v>75</v>
      </c>
      <c r="F513" s="145" t="s">
        <v>1602</v>
      </c>
      <c r="G513" s="146" t="s">
        <v>20</v>
      </c>
      <c r="H513" s="146">
        <v>201605</v>
      </c>
      <c r="I513" s="147">
        <v>4997.79</v>
      </c>
      <c r="J513" s="297">
        <f t="shared" si="31"/>
        <v>42675</v>
      </c>
      <c r="K513" s="67">
        <f t="shared" si="29"/>
        <v>6</v>
      </c>
      <c r="L513" s="148">
        <v>1.4833299999999999E-3</v>
      </c>
      <c r="M513" s="104">
        <f t="shared" si="28"/>
        <v>44.480231044199996</v>
      </c>
      <c r="O513" s="66"/>
      <c r="Q513" s="66">
        <f t="shared" si="30"/>
        <v>82.681147106249995</v>
      </c>
    </row>
    <row r="514" spans="1:17">
      <c r="A514" s="145" t="s">
        <v>626</v>
      </c>
      <c r="B514" s="146" t="s">
        <v>1910</v>
      </c>
      <c r="C514" s="146" t="s">
        <v>1911</v>
      </c>
      <c r="D514" s="145" t="s">
        <v>1912</v>
      </c>
      <c r="E514" s="146" t="s">
        <v>75</v>
      </c>
      <c r="F514" s="145" t="s">
        <v>1602</v>
      </c>
      <c r="G514" s="146" t="s">
        <v>20</v>
      </c>
      <c r="H514" s="146">
        <v>201605</v>
      </c>
      <c r="I514" s="147">
        <v>1324.04</v>
      </c>
      <c r="J514" s="297">
        <f t="shared" si="31"/>
        <v>42675</v>
      </c>
      <c r="K514" s="67">
        <f t="shared" si="29"/>
        <v>6</v>
      </c>
      <c r="L514" s="148">
        <v>1.4833299999999999E-3</v>
      </c>
      <c r="M514" s="104">
        <f t="shared" si="28"/>
        <v>11.783929519199999</v>
      </c>
      <c r="O514" s="66"/>
      <c r="Q514" s="66">
        <f t="shared" si="30"/>
        <v>21.904310908333336</v>
      </c>
    </row>
    <row r="515" spans="1:17">
      <c r="A515" s="145" t="s">
        <v>626</v>
      </c>
      <c r="B515" s="146" t="s">
        <v>1913</v>
      </c>
      <c r="C515" s="146" t="s">
        <v>1914</v>
      </c>
      <c r="D515" s="145" t="s">
        <v>1915</v>
      </c>
      <c r="E515" s="146" t="s">
        <v>75</v>
      </c>
      <c r="F515" s="145" t="s">
        <v>1602</v>
      </c>
      <c r="G515" s="146" t="s">
        <v>20</v>
      </c>
      <c r="H515" s="146">
        <v>201605</v>
      </c>
      <c r="I515" s="147">
        <v>361.34</v>
      </c>
      <c r="J515" s="297">
        <f t="shared" si="31"/>
        <v>42675</v>
      </c>
      <c r="K515" s="67">
        <f t="shared" si="29"/>
        <v>6</v>
      </c>
      <c r="L515" s="148">
        <v>1.4833299999999999E-3</v>
      </c>
      <c r="M515" s="104">
        <f t="shared" si="28"/>
        <v>3.2159187731999999</v>
      </c>
      <c r="O515" s="66"/>
      <c r="Q515" s="66">
        <f t="shared" si="30"/>
        <v>5.9778433458333327</v>
      </c>
    </row>
    <row r="516" spans="1:17">
      <c r="A516" s="145" t="s">
        <v>626</v>
      </c>
      <c r="B516" s="146" t="s">
        <v>1916</v>
      </c>
      <c r="C516" s="146" t="s">
        <v>1917</v>
      </c>
      <c r="D516" s="145" t="s">
        <v>1273</v>
      </c>
      <c r="E516" s="146" t="s">
        <v>75</v>
      </c>
      <c r="F516" s="145" t="s">
        <v>1602</v>
      </c>
      <c r="G516" s="146" t="s">
        <v>20</v>
      </c>
      <c r="H516" s="146">
        <v>201605</v>
      </c>
      <c r="I516" s="147">
        <v>1047.83</v>
      </c>
      <c r="J516" s="297">
        <f t="shared" si="31"/>
        <v>42675</v>
      </c>
      <c r="K516" s="67">
        <f t="shared" si="29"/>
        <v>6</v>
      </c>
      <c r="L516" s="148">
        <v>1.4833299999999999E-3</v>
      </c>
      <c r="M516" s="104">
        <f t="shared" si="28"/>
        <v>9.3256660434</v>
      </c>
      <c r="O516" s="66"/>
      <c r="Q516" s="66">
        <f t="shared" si="30"/>
        <v>17.334819264583334</v>
      </c>
    </row>
    <row r="517" spans="1:17">
      <c r="A517" s="145" t="s">
        <v>626</v>
      </c>
      <c r="B517" s="146" t="s">
        <v>1776</v>
      </c>
      <c r="C517" s="146" t="s">
        <v>1777</v>
      </c>
      <c r="D517" s="145" t="s">
        <v>1778</v>
      </c>
      <c r="E517" s="146" t="s">
        <v>452</v>
      </c>
      <c r="F517" s="145" t="s">
        <v>398</v>
      </c>
      <c r="G517" s="146" t="s">
        <v>20</v>
      </c>
      <c r="H517" s="146">
        <v>201605</v>
      </c>
      <c r="I517" s="147">
        <v>229.73</v>
      </c>
      <c r="J517" s="297">
        <f t="shared" si="31"/>
        <v>42675</v>
      </c>
      <c r="K517" s="67">
        <f t="shared" si="29"/>
        <v>6</v>
      </c>
      <c r="L517" s="148">
        <v>1.4833299999999999E-3</v>
      </c>
      <c r="M517" s="104">
        <f t="shared" ref="M517:M580" si="32">L517*K517*I517</f>
        <v>2.0445924054</v>
      </c>
      <c r="O517" s="66"/>
      <c r="Q517" s="66">
        <f t="shared" si="30"/>
        <v>3.8005478270833333</v>
      </c>
    </row>
    <row r="518" spans="1:17">
      <c r="A518" s="145" t="s">
        <v>626</v>
      </c>
      <c r="B518" s="146" t="s">
        <v>1806</v>
      </c>
      <c r="C518" s="146" t="s">
        <v>1807</v>
      </c>
      <c r="D518" s="145" t="s">
        <v>1808</v>
      </c>
      <c r="E518" s="146" t="s">
        <v>75</v>
      </c>
      <c r="F518" s="145" t="s">
        <v>1602</v>
      </c>
      <c r="G518" s="146" t="s">
        <v>20</v>
      </c>
      <c r="H518" s="146">
        <v>201605</v>
      </c>
      <c r="I518" s="147">
        <v>367.69</v>
      </c>
      <c r="J518" s="297">
        <f t="shared" si="31"/>
        <v>42675</v>
      </c>
      <c r="K518" s="67">
        <f t="shared" ref="K518:K581" si="33">((YEAR($K$1)-YEAR(J518))*12+MONTH($K$1)-MONTH(J518))</f>
        <v>6</v>
      </c>
      <c r="L518" s="148">
        <v>1.4833299999999999E-3</v>
      </c>
      <c r="M518" s="104">
        <f t="shared" si="32"/>
        <v>3.2724336462000001</v>
      </c>
      <c r="O518" s="66"/>
      <c r="Q518" s="66">
        <f t="shared" ref="Q518:Q581" si="34">($Q$4*0.5*I518*$T$10)</f>
        <v>6.082894835416667</v>
      </c>
    </row>
    <row r="519" spans="1:17">
      <c r="A519" s="145" t="s">
        <v>626</v>
      </c>
      <c r="B519" s="146" t="s">
        <v>1918</v>
      </c>
      <c r="C519" s="146" t="s">
        <v>1919</v>
      </c>
      <c r="D519" s="145" t="s">
        <v>1920</v>
      </c>
      <c r="E519" s="146" t="s">
        <v>75</v>
      </c>
      <c r="F519" s="145" t="s">
        <v>1602</v>
      </c>
      <c r="G519" s="146" t="s">
        <v>20</v>
      </c>
      <c r="H519" s="146">
        <v>201605</v>
      </c>
      <c r="I519" s="147">
        <v>212.91</v>
      </c>
      <c r="J519" s="297">
        <f t="shared" ref="J519:J582" si="35">+J518</f>
        <v>42675</v>
      </c>
      <c r="K519" s="67">
        <f t="shared" si="33"/>
        <v>6</v>
      </c>
      <c r="L519" s="148">
        <v>1.4833299999999999E-3</v>
      </c>
      <c r="M519" s="104">
        <f t="shared" si="32"/>
        <v>1.8948947417999999</v>
      </c>
      <c r="O519" s="66"/>
      <c r="Q519" s="66">
        <f t="shared" si="34"/>
        <v>3.5222854562500001</v>
      </c>
    </row>
    <row r="520" spans="1:17">
      <c r="A520" s="145" t="s">
        <v>626</v>
      </c>
      <c r="B520" s="146" t="s">
        <v>1921</v>
      </c>
      <c r="C520" s="146" t="s">
        <v>1922</v>
      </c>
      <c r="D520" s="145" t="s">
        <v>1923</v>
      </c>
      <c r="E520" s="146" t="s">
        <v>156</v>
      </c>
      <c r="F520" s="145" t="s">
        <v>26</v>
      </c>
      <c r="G520" s="146" t="s">
        <v>20</v>
      </c>
      <c r="H520" s="146">
        <v>201605</v>
      </c>
      <c r="I520" s="147">
        <v>1645.2</v>
      </c>
      <c r="J520" s="297">
        <f t="shared" si="35"/>
        <v>42675</v>
      </c>
      <c r="K520" s="67">
        <f t="shared" si="33"/>
        <v>6</v>
      </c>
      <c r="L520" s="148">
        <v>1.4833299999999999E-3</v>
      </c>
      <c r="M520" s="104">
        <f t="shared" si="32"/>
        <v>14.642247096</v>
      </c>
      <c r="O520" s="66"/>
      <c r="Q520" s="66">
        <f t="shared" si="34"/>
        <v>27.217434750000002</v>
      </c>
    </row>
    <row r="521" spans="1:17">
      <c r="A521" s="145" t="s">
        <v>21</v>
      </c>
      <c r="B521" s="146" t="s">
        <v>1664</v>
      </c>
      <c r="C521" s="146" t="s">
        <v>1665</v>
      </c>
      <c r="D521" s="145" t="s">
        <v>1666</v>
      </c>
      <c r="E521" s="146" t="s">
        <v>87</v>
      </c>
      <c r="F521" s="145" t="s">
        <v>1603</v>
      </c>
      <c r="G521" s="146" t="s">
        <v>20</v>
      </c>
      <c r="H521" s="146">
        <v>201605</v>
      </c>
      <c r="I521" s="147">
        <v>484.7</v>
      </c>
      <c r="J521" s="297">
        <f t="shared" si="35"/>
        <v>42675</v>
      </c>
      <c r="K521" s="67">
        <f t="shared" si="33"/>
        <v>6</v>
      </c>
      <c r="L521" s="148">
        <v>1.4833299999999999E-3</v>
      </c>
      <c r="M521" s="104">
        <f t="shared" si="32"/>
        <v>4.3138203060000002</v>
      </c>
      <c r="O521" s="66"/>
      <c r="Q521" s="66">
        <f t="shared" si="34"/>
        <v>8.0186546458333332</v>
      </c>
    </row>
    <row r="522" spans="1:17">
      <c r="A522" s="145" t="s">
        <v>990</v>
      </c>
      <c r="B522" s="146" t="s">
        <v>1751</v>
      </c>
      <c r="C522" s="146" t="s">
        <v>1752</v>
      </c>
      <c r="D522" s="145" t="s">
        <v>1753</v>
      </c>
      <c r="E522" s="146" t="s">
        <v>1688</v>
      </c>
      <c r="F522" s="145" t="s">
        <v>1689</v>
      </c>
      <c r="G522" s="146" t="s">
        <v>20</v>
      </c>
      <c r="H522" s="146">
        <v>201605</v>
      </c>
      <c r="I522" s="147">
        <v>11.21</v>
      </c>
      <c r="J522" s="297">
        <f t="shared" si="35"/>
        <v>42675</v>
      </c>
      <c r="K522" s="67">
        <f t="shared" si="33"/>
        <v>6</v>
      </c>
      <c r="L522" s="148">
        <v>2.3833299999999999E-3</v>
      </c>
      <c r="M522" s="104">
        <f t="shared" si="32"/>
        <v>0.16030277580000002</v>
      </c>
      <c r="O522" s="66"/>
      <c r="Q522" s="66">
        <f t="shared" si="34"/>
        <v>0.18545310208333335</v>
      </c>
    </row>
    <row r="523" spans="1:17">
      <c r="A523" s="145" t="s">
        <v>990</v>
      </c>
      <c r="B523" s="146" t="s">
        <v>1754</v>
      </c>
      <c r="C523" s="146" t="s">
        <v>1755</v>
      </c>
      <c r="D523" s="145" t="s">
        <v>1756</v>
      </c>
      <c r="E523" s="146" t="s">
        <v>1688</v>
      </c>
      <c r="F523" s="145" t="s">
        <v>1689</v>
      </c>
      <c r="G523" s="146" t="s">
        <v>20</v>
      </c>
      <c r="H523" s="146">
        <v>201605</v>
      </c>
      <c r="I523" s="147">
        <v>48.16</v>
      </c>
      <c r="J523" s="297">
        <f t="shared" si="35"/>
        <v>42675</v>
      </c>
      <c r="K523" s="67">
        <f t="shared" si="33"/>
        <v>6</v>
      </c>
      <c r="L523" s="148">
        <v>2.3833299999999999E-3</v>
      </c>
      <c r="M523" s="104">
        <f t="shared" si="32"/>
        <v>0.68868703679999999</v>
      </c>
      <c r="O523" s="66"/>
      <c r="Q523" s="66">
        <f t="shared" si="34"/>
        <v>0.79673696666666671</v>
      </c>
    </row>
    <row r="524" spans="1:17">
      <c r="A524" s="145" t="s">
        <v>626</v>
      </c>
      <c r="B524" s="146" t="s">
        <v>1924</v>
      </c>
      <c r="C524" s="146" t="s">
        <v>1925</v>
      </c>
      <c r="D524" s="145" t="s">
        <v>1926</v>
      </c>
      <c r="E524" s="146" t="s">
        <v>75</v>
      </c>
      <c r="F524" s="145" t="s">
        <v>1602</v>
      </c>
      <c r="G524" s="146" t="s">
        <v>20</v>
      </c>
      <c r="H524" s="146">
        <v>201605</v>
      </c>
      <c r="I524" s="147">
        <v>126.04</v>
      </c>
      <c r="J524" s="297">
        <f t="shared" si="35"/>
        <v>42675</v>
      </c>
      <c r="K524" s="67">
        <f t="shared" si="33"/>
        <v>6</v>
      </c>
      <c r="L524" s="148">
        <v>1.4833299999999999E-3</v>
      </c>
      <c r="M524" s="104">
        <f t="shared" si="32"/>
        <v>1.1217534792000001</v>
      </c>
      <c r="O524" s="66"/>
      <c r="Q524" s="66">
        <f t="shared" si="34"/>
        <v>2.0851479916666671</v>
      </c>
    </row>
    <row r="525" spans="1:17">
      <c r="A525" s="145" t="s">
        <v>626</v>
      </c>
      <c r="B525" s="146" t="s">
        <v>1927</v>
      </c>
      <c r="C525" s="146" t="s">
        <v>1928</v>
      </c>
      <c r="D525" s="145" t="s">
        <v>1929</v>
      </c>
      <c r="E525" s="146" t="s">
        <v>75</v>
      </c>
      <c r="F525" s="145" t="s">
        <v>1602</v>
      </c>
      <c r="G525" s="146" t="s">
        <v>20</v>
      </c>
      <c r="H525" s="146">
        <v>201605</v>
      </c>
      <c r="I525" s="147">
        <v>90.12</v>
      </c>
      <c r="J525" s="297">
        <f t="shared" si="35"/>
        <v>42675</v>
      </c>
      <c r="K525" s="67">
        <f t="shared" si="33"/>
        <v>6</v>
      </c>
      <c r="L525" s="148">
        <v>1.4833299999999999E-3</v>
      </c>
      <c r="M525" s="104">
        <f t="shared" si="32"/>
        <v>0.80206619760000009</v>
      </c>
      <c r="O525" s="66"/>
      <c r="Q525" s="66">
        <f t="shared" si="34"/>
        <v>1.4909039749999999</v>
      </c>
    </row>
    <row r="526" spans="1:17">
      <c r="A526" s="145" t="s">
        <v>21</v>
      </c>
      <c r="B526" s="146" t="s">
        <v>1820</v>
      </c>
      <c r="C526" s="146" t="s">
        <v>1821</v>
      </c>
      <c r="D526" s="145" t="s">
        <v>1822</v>
      </c>
      <c r="E526" s="146" t="s">
        <v>87</v>
      </c>
      <c r="F526" s="145" t="s">
        <v>1603</v>
      </c>
      <c r="G526" s="146" t="s">
        <v>20</v>
      </c>
      <c r="H526" s="146">
        <v>201605</v>
      </c>
      <c r="I526" s="147">
        <v>404.43</v>
      </c>
      <c r="J526" s="297">
        <f t="shared" si="35"/>
        <v>42675</v>
      </c>
      <c r="K526" s="67">
        <f t="shared" si="33"/>
        <v>6</v>
      </c>
      <c r="L526" s="148">
        <v>1.4833299999999999E-3</v>
      </c>
      <c r="M526" s="104">
        <f t="shared" si="32"/>
        <v>3.5994189113999999</v>
      </c>
      <c r="O526" s="66"/>
      <c r="Q526" s="66">
        <f t="shared" si="34"/>
        <v>6.69070455625</v>
      </c>
    </row>
    <row r="527" spans="1:17">
      <c r="A527" s="145" t="s">
        <v>626</v>
      </c>
      <c r="B527" s="146" t="s">
        <v>1699</v>
      </c>
      <c r="C527" s="146" t="s">
        <v>1700</v>
      </c>
      <c r="D527" s="145" t="s">
        <v>1701</v>
      </c>
      <c r="E527" s="146" t="s">
        <v>544</v>
      </c>
      <c r="F527" s="145" t="s">
        <v>26</v>
      </c>
      <c r="G527" s="146" t="s">
        <v>20</v>
      </c>
      <c r="H527" s="146">
        <v>201605</v>
      </c>
      <c r="I527" s="147">
        <v>-57.14</v>
      </c>
      <c r="J527" s="297">
        <f t="shared" si="35"/>
        <v>42675</v>
      </c>
      <c r="K527" s="67">
        <f t="shared" si="33"/>
        <v>6</v>
      </c>
      <c r="L527" s="148">
        <v>1.4833299999999999E-3</v>
      </c>
      <c r="M527" s="104">
        <f t="shared" si="32"/>
        <v>-0.50854485719999998</v>
      </c>
      <c r="O527" s="66"/>
      <c r="Q527" s="66">
        <f t="shared" si="34"/>
        <v>-0.94529797083333322</v>
      </c>
    </row>
    <row r="528" spans="1:17">
      <c r="A528" s="145" t="s">
        <v>127</v>
      </c>
      <c r="B528" s="146" t="s">
        <v>1964</v>
      </c>
      <c r="C528" s="146" t="s">
        <v>1965</v>
      </c>
      <c r="D528" s="145" t="s">
        <v>1966</v>
      </c>
      <c r="E528" s="146" t="s">
        <v>87</v>
      </c>
      <c r="F528" s="145" t="s">
        <v>1603</v>
      </c>
      <c r="G528" s="146" t="s">
        <v>20</v>
      </c>
      <c r="H528" s="146">
        <v>201605</v>
      </c>
      <c r="I528" s="147">
        <v>132.21</v>
      </c>
      <c r="J528" s="297">
        <f t="shared" si="35"/>
        <v>42675</v>
      </c>
      <c r="K528" s="67">
        <f t="shared" si="33"/>
        <v>6</v>
      </c>
      <c r="L528" s="148">
        <v>2.3833299999999999E-3</v>
      </c>
      <c r="M528" s="104">
        <f t="shared" si="32"/>
        <v>1.8906003558000002</v>
      </c>
      <c r="O528" s="66"/>
      <c r="Q528" s="66">
        <f t="shared" si="34"/>
        <v>2.1872216437500001</v>
      </c>
    </row>
    <row r="529" spans="1:17">
      <c r="A529" s="145" t="s">
        <v>626</v>
      </c>
      <c r="B529" s="146" t="s">
        <v>1930</v>
      </c>
      <c r="C529" s="146" t="s">
        <v>1931</v>
      </c>
      <c r="D529" s="145" t="s">
        <v>1932</v>
      </c>
      <c r="E529" s="146" t="s">
        <v>75</v>
      </c>
      <c r="F529" s="145" t="s">
        <v>1602</v>
      </c>
      <c r="G529" s="146" t="s">
        <v>20</v>
      </c>
      <c r="H529" s="146">
        <v>201605</v>
      </c>
      <c r="I529" s="147">
        <v>379.24</v>
      </c>
      <c r="J529" s="297">
        <f t="shared" si="35"/>
        <v>42675</v>
      </c>
      <c r="K529" s="67">
        <f t="shared" si="33"/>
        <v>6</v>
      </c>
      <c r="L529" s="148">
        <v>1.4833299999999999E-3</v>
      </c>
      <c r="M529" s="104">
        <f t="shared" si="32"/>
        <v>3.3752284152000001</v>
      </c>
      <c r="O529" s="66"/>
      <c r="Q529" s="66">
        <f t="shared" si="34"/>
        <v>6.2739727416666673</v>
      </c>
    </row>
    <row r="530" spans="1:17">
      <c r="A530" s="145" t="s">
        <v>626</v>
      </c>
      <c r="B530" s="146" t="s">
        <v>1782</v>
      </c>
      <c r="C530" s="146" t="s">
        <v>1783</v>
      </c>
      <c r="D530" s="145" t="s">
        <v>1784</v>
      </c>
      <c r="E530" s="146" t="s">
        <v>87</v>
      </c>
      <c r="F530" s="145" t="s">
        <v>1603</v>
      </c>
      <c r="G530" s="146" t="s">
        <v>20</v>
      </c>
      <c r="H530" s="146">
        <v>201605</v>
      </c>
      <c r="I530" s="147">
        <v>-49214.95</v>
      </c>
      <c r="J530" s="297">
        <f t="shared" si="35"/>
        <v>42675</v>
      </c>
      <c r="K530" s="67">
        <f t="shared" si="33"/>
        <v>6</v>
      </c>
      <c r="L530" s="148">
        <v>1.4833299999999999E-3</v>
      </c>
      <c r="M530" s="104">
        <f t="shared" si="32"/>
        <v>-438.01207070099997</v>
      </c>
      <c r="O530" s="66"/>
      <c r="Q530" s="66">
        <f t="shared" si="34"/>
        <v>-814.18957594791664</v>
      </c>
    </row>
    <row r="531" spans="1:17">
      <c r="A531" s="145" t="s">
        <v>21</v>
      </c>
      <c r="B531" s="146" t="s">
        <v>1782</v>
      </c>
      <c r="C531" s="146" t="s">
        <v>1783</v>
      </c>
      <c r="D531" s="145" t="s">
        <v>1784</v>
      </c>
      <c r="E531" s="146" t="s">
        <v>87</v>
      </c>
      <c r="F531" s="145" t="s">
        <v>1603</v>
      </c>
      <c r="G531" s="146" t="s">
        <v>20</v>
      </c>
      <c r="H531" s="146">
        <v>201605</v>
      </c>
      <c r="I531" s="147">
        <v>58496.31</v>
      </c>
      <c r="J531" s="297">
        <f t="shared" si="35"/>
        <v>42675</v>
      </c>
      <c r="K531" s="67">
        <f t="shared" si="33"/>
        <v>6</v>
      </c>
      <c r="L531" s="148">
        <v>1.4833299999999999E-3</v>
      </c>
      <c r="M531" s="104">
        <f t="shared" si="32"/>
        <v>520.61598907379994</v>
      </c>
      <c r="O531" s="66"/>
      <c r="Q531" s="66">
        <f t="shared" si="34"/>
        <v>967.73614183125005</v>
      </c>
    </row>
    <row r="532" spans="1:17">
      <c r="A532" s="145" t="s">
        <v>626</v>
      </c>
      <c r="B532" s="146" t="s">
        <v>1933</v>
      </c>
      <c r="C532" s="146" t="s">
        <v>1934</v>
      </c>
      <c r="D532" s="145" t="s">
        <v>1935</v>
      </c>
      <c r="E532" s="146" t="s">
        <v>75</v>
      </c>
      <c r="F532" s="145" t="s">
        <v>1602</v>
      </c>
      <c r="G532" s="146" t="s">
        <v>20</v>
      </c>
      <c r="H532" s="146">
        <v>201605</v>
      </c>
      <c r="I532" s="147">
        <v>272.73</v>
      </c>
      <c r="J532" s="297">
        <f t="shared" si="35"/>
        <v>42675</v>
      </c>
      <c r="K532" s="67">
        <f t="shared" si="33"/>
        <v>6</v>
      </c>
      <c r="L532" s="148">
        <v>1.4833299999999999E-3</v>
      </c>
      <c r="M532" s="104">
        <f t="shared" si="32"/>
        <v>2.4272915454000001</v>
      </c>
      <c r="O532" s="66"/>
      <c r="Q532" s="66">
        <f t="shared" si="34"/>
        <v>4.51192011875</v>
      </c>
    </row>
    <row r="533" spans="1:17">
      <c r="A533" s="145" t="s">
        <v>626</v>
      </c>
      <c r="B533" s="146" t="s">
        <v>1967</v>
      </c>
      <c r="C533" s="146" t="s">
        <v>1968</v>
      </c>
      <c r="D533" s="145" t="s">
        <v>1969</v>
      </c>
      <c r="E533" s="146" t="s">
        <v>544</v>
      </c>
      <c r="F533" s="145" t="s">
        <v>26</v>
      </c>
      <c r="G533" s="146" t="s">
        <v>20</v>
      </c>
      <c r="H533" s="146">
        <v>201605</v>
      </c>
      <c r="I533" s="147">
        <v>2307.9</v>
      </c>
      <c r="J533" s="297">
        <f t="shared" si="35"/>
        <v>42675</v>
      </c>
      <c r="K533" s="67">
        <f t="shared" si="33"/>
        <v>6</v>
      </c>
      <c r="L533" s="148">
        <v>1.4833299999999999E-3</v>
      </c>
      <c r="M533" s="104">
        <f t="shared" si="32"/>
        <v>20.540263842000002</v>
      </c>
      <c r="O533" s="66"/>
      <c r="Q533" s="66">
        <f t="shared" si="34"/>
        <v>38.180839812499997</v>
      </c>
    </row>
    <row r="534" spans="1:17">
      <c r="A534" s="145" t="s">
        <v>626</v>
      </c>
      <c r="B534" s="146" t="s">
        <v>1936</v>
      </c>
      <c r="C534" s="146" t="s">
        <v>1937</v>
      </c>
      <c r="D534" s="145" t="s">
        <v>1938</v>
      </c>
      <c r="E534" s="146" t="s">
        <v>75</v>
      </c>
      <c r="F534" s="145" t="s">
        <v>1602</v>
      </c>
      <c r="G534" s="146" t="s">
        <v>20</v>
      </c>
      <c r="H534" s="146">
        <v>201605</v>
      </c>
      <c r="I534" s="147">
        <v>235.74</v>
      </c>
      <c r="J534" s="297">
        <f t="shared" si="35"/>
        <v>42675</v>
      </c>
      <c r="K534" s="67">
        <f t="shared" si="33"/>
        <v>6</v>
      </c>
      <c r="L534" s="148">
        <v>1.4833299999999999E-3</v>
      </c>
      <c r="M534" s="104">
        <f t="shared" si="32"/>
        <v>2.0980812852000001</v>
      </c>
      <c r="O534" s="66"/>
      <c r="Q534" s="66">
        <f t="shared" si="34"/>
        <v>3.8999745125</v>
      </c>
    </row>
    <row r="535" spans="1:17">
      <c r="A535" s="145" t="s">
        <v>626</v>
      </c>
      <c r="B535" s="146" t="s">
        <v>1970</v>
      </c>
      <c r="C535" s="146" t="s">
        <v>1971</v>
      </c>
      <c r="D535" s="145" t="s">
        <v>1972</v>
      </c>
      <c r="E535" s="146" t="s">
        <v>93</v>
      </c>
      <c r="F535" s="145" t="s">
        <v>1601</v>
      </c>
      <c r="G535" s="146" t="s">
        <v>20</v>
      </c>
      <c r="H535" s="146">
        <v>201605</v>
      </c>
      <c r="I535" s="147">
        <v>14283.06</v>
      </c>
      <c r="J535" s="297">
        <f t="shared" si="35"/>
        <v>42675</v>
      </c>
      <c r="K535" s="67">
        <f t="shared" si="33"/>
        <v>6</v>
      </c>
      <c r="L535" s="148">
        <v>1.4833299999999999E-3</v>
      </c>
      <c r="M535" s="104">
        <f t="shared" si="32"/>
        <v>127.1189483388</v>
      </c>
      <c r="O535" s="66"/>
      <c r="Q535" s="66">
        <f t="shared" si="34"/>
        <v>236.29239823749998</v>
      </c>
    </row>
    <row r="536" spans="1:17">
      <c r="A536" s="145" t="s">
        <v>21</v>
      </c>
      <c r="B536" s="146" t="s">
        <v>1939</v>
      </c>
      <c r="C536" s="146" t="s">
        <v>1940</v>
      </c>
      <c r="D536" s="145" t="s">
        <v>1941</v>
      </c>
      <c r="E536" s="146" t="s">
        <v>87</v>
      </c>
      <c r="F536" s="145" t="s">
        <v>1603</v>
      </c>
      <c r="G536" s="146" t="s">
        <v>20</v>
      </c>
      <c r="H536" s="146">
        <v>201605</v>
      </c>
      <c r="I536" s="147">
        <v>3810.01</v>
      </c>
      <c r="J536" s="297">
        <f t="shared" si="35"/>
        <v>42675</v>
      </c>
      <c r="K536" s="67">
        <f t="shared" si="33"/>
        <v>6</v>
      </c>
      <c r="L536" s="148">
        <v>1.4833299999999999E-3</v>
      </c>
      <c r="M536" s="104">
        <f t="shared" si="32"/>
        <v>33.909012799800003</v>
      </c>
      <c r="O536" s="66"/>
      <c r="Q536" s="66">
        <f t="shared" si="34"/>
        <v>63.031059185416673</v>
      </c>
    </row>
    <row r="537" spans="1:17">
      <c r="A537" s="145" t="s">
        <v>21</v>
      </c>
      <c r="B537" s="146" t="s">
        <v>1973</v>
      </c>
      <c r="C537" s="146" t="s">
        <v>1974</v>
      </c>
      <c r="D537" s="145" t="s">
        <v>1975</v>
      </c>
      <c r="E537" s="146" t="s">
        <v>87</v>
      </c>
      <c r="F537" s="145" t="s">
        <v>1603</v>
      </c>
      <c r="G537" s="146" t="s">
        <v>20</v>
      </c>
      <c r="H537" s="146">
        <v>201605</v>
      </c>
      <c r="I537" s="147">
        <v>1186.47</v>
      </c>
      <c r="J537" s="297">
        <f t="shared" si="35"/>
        <v>42675</v>
      </c>
      <c r="K537" s="67">
        <f t="shared" si="33"/>
        <v>6</v>
      </c>
      <c r="L537" s="148">
        <v>1.4833299999999999E-3</v>
      </c>
      <c r="M537" s="104">
        <f t="shared" si="32"/>
        <v>10.559559270599999</v>
      </c>
      <c r="O537" s="66"/>
      <c r="Q537" s="66">
        <f t="shared" si="34"/>
        <v>19.628415881250003</v>
      </c>
    </row>
    <row r="538" spans="1:17">
      <c r="A538" s="145" t="s">
        <v>626</v>
      </c>
      <c r="B538" s="146" t="s">
        <v>1811</v>
      </c>
      <c r="C538" s="146" t="s">
        <v>1812</v>
      </c>
      <c r="D538" s="145" t="s">
        <v>1813</v>
      </c>
      <c r="E538" s="146" t="s">
        <v>25</v>
      </c>
      <c r="F538" s="145" t="s">
        <v>26</v>
      </c>
      <c r="G538" s="146" t="s">
        <v>20</v>
      </c>
      <c r="H538" s="146">
        <v>201605</v>
      </c>
      <c r="I538" s="147">
        <v>572.27</v>
      </c>
      <c r="J538" s="297">
        <f t="shared" si="35"/>
        <v>42675</v>
      </c>
      <c r="K538" s="67">
        <f t="shared" si="33"/>
        <v>6</v>
      </c>
      <c r="L538" s="148">
        <v>1.4833299999999999E-3</v>
      </c>
      <c r="M538" s="104">
        <f t="shared" si="32"/>
        <v>5.0931915545999997</v>
      </c>
      <c r="O538" s="66"/>
      <c r="Q538" s="66">
        <f t="shared" si="34"/>
        <v>9.4673725895833343</v>
      </c>
    </row>
    <row r="539" spans="1:17">
      <c r="A539" s="145" t="s">
        <v>1942</v>
      </c>
      <c r="B539" s="146" t="s">
        <v>1681</v>
      </c>
      <c r="C539" s="146" t="s">
        <v>1682</v>
      </c>
      <c r="D539" s="145" t="s">
        <v>1683</v>
      </c>
      <c r="E539" s="146" t="s">
        <v>198</v>
      </c>
      <c r="F539" s="145" t="s">
        <v>1610</v>
      </c>
      <c r="G539" s="146" t="s">
        <v>20</v>
      </c>
      <c r="H539" s="146">
        <v>201605</v>
      </c>
      <c r="I539" s="147">
        <v>2132.77</v>
      </c>
      <c r="J539" s="297">
        <f t="shared" si="35"/>
        <v>42675</v>
      </c>
      <c r="K539" s="67">
        <f t="shared" si="33"/>
        <v>6</v>
      </c>
      <c r="L539" s="148">
        <v>2.23333E-3</v>
      </c>
      <c r="M539" s="104">
        <f t="shared" si="32"/>
        <v>28.579075344599996</v>
      </c>
      <c r="O539" s="66"/>
      <c r="Q539" s="66">
        <f t="shared" si="34"/>
        <v>35.283569360416664</v>
      </c>
    </row>
    <row r="540" spans="1:17">
      <c r="A540" s="145" t="s">
        <v>1942</v>
      </c>
      <c r="B540" s="146" t="s">
        <v>1681</v>
      </c>
      <c r="C540" s="146" t="s">
        <v>1943</v>
      </c>
      <c r="D540" s="145" t="s">
        <v>1944</v>
      </c>
      <c r="E540" s="146" t="s">
        <v>202</v>
      </c>
      <c r="F540" s="145" t="s">
        <v>1611</v>
      </c>
      <c r="G540" s="146" t="s">
        <v>20</v>
      </c>
      <c r="H540" s="146">
        <v>201605</v>
      </c>
      <c r="I540" s="147">
        <v>469.82</v>
      </c>
      <c r="J540" s="297">
        <f t="shared" si="35"/>
        <v>42675</v>
      </c>
      <c r="K540" s="67">
        <f t="shared" si="33"/>
        <v>6</v>
      </c>
      <c r="L540" s="148">
        <v>2.23333E-3</v>
      </c>
      <c r="M540" s="104">
        <f t="shared" si="32"/>
        <v>6.2955786035999992</v>
      </c>
      <c r="O540" s="66"/>
      <c r="Q540" s="66">
        <f t="shared" si="34"/>
        <v>7.7724867458333335</v>
      </c>
    </row>
    <row r="541" spans="1:17">
      <c r="A541" s="145" t="s">
        <v>1942</v>
      </c>
      <c r="B541" s="146" t="s">
        <v>1681</v>
      </c>
      <c r="C541" s="146" t="s">
        <v>1976</v>
      </c>
      <c r="D541" s="145" t="s">
        <v>1977</v>
      </c>
      <c r="E541" s="146" t="s">
        <v>294</v>
      </c>
      <c r="F541" s="145" t="s">
        <v>1613</v>
      </c>
      <c r="G541" s="146" t="s">
        <v>20</v>
      </c>
      <c r="H541" s="146">
        <v>201605</v>
      </c>
      <c r="I541" s="147">
        <v>13955.23</v>
      </c>
      <c r="J541" s="297">
        <f t="shared" si="35"/>
        <v>42675</v>
      </c>
      <c r="K541" s="67">
        <f t="shared" si="33"/>
        <v>6</v>
      </c>
      <c r="L541" s="148">
        <v>2.23333E-3</v>
      </c>
      <c r="M541" s="104">
        <f t="shared" si="32"/>
        <v>186.99980289539997</v>
      </c>
      <c r="O541" s="66"/>
      <c r="Q541" s="66">
        <f t="shared" si="34"/>
        <v>230.86892897291668</v>
      </c>
    </row>
    <row r="542" spans="1:17">
      <c r="A542" s="145" t="s">
        <v>626</v>
      </c>
      <c r="B542" s="146" t="s">
        <v>1978</v>
      </c>
      <c r="C542" s="146" t="s">
        <v>1979</v>
      </c>
      <c r="D542" s="145" t="s">
        <v>1980</v>
      </c>
      <c r="E542" s="146" t="s">
        <v>75</v>
      </c>
      <c r="F542" s="145" t="s">
        <v>1602</v>
      </c>
      <c r="G542" s="146" t="s">
        <v>20</v>
      </c>
      <c r="H542" s="146">
        <v>201605</v>
      </c>
      <c r="I542" s="147">
        <v>4736.59</v>
      </c>
      <c r="J542" s="297">
        <f t="shared" si="35"/>
        <v>42675</v>
      </c>
      <c r="K542" s="67">
        <f t="shared" si="33"/>
        <v>6</v>
      </c>
      <c r="L542" s="148">
        <v>1.4833299999999999E-3</v>
      </c>
      <c r="M542" s="104">
        <f t="shared" si="32"/>
        <v>42.155556268200002</v>
      </c>
      <c r="O542" s="66"/>
      <c r="Q542" s="66">
        <f t="shared" si="34"/>
        <v>78.359974022916674</v>
      </c>
    </row>
    <row r="543" spans="1:17">
      <c r="A543" s="145" t="s">
        <v>626</v>
      </c>
      <c r="B543" s="146" t="s">
        <v>1757</v>
      </c>
      <c r="C543" s="146" t="s">
        <v>1758</v>
      </c>
      <c r="D543" s="145" t="s">
        <v>1759</v>
      </c>
      <c r="E543" s="146" t="s">
        <v>75</v>
      </c>
      <c r="F543" s="145" t="s">
        <v>1602</v>
      </c>
      <c r="G543" s="146" t="s">
        <v>20</v>
      </c>
      <c r="H543" s="146">
        <v>201605</v>
      </c>
      <c r="I543" s="147">
        <v>190.43</v>
      </c>
      <c r="J543" s="297">
        <f t="shared" si="35"/>
        <v>42675</v>
      </c>
      <c r="K543" s="67">
        <f t="shared" si="33"/>
        <v>6</v>
      </c>
      <c r="L543" s="148">
        <v>1.4833299999999999E-3</v>
      </c>
      <c r="M543" s="104">
        <f t="shared" si="32"/>
        <v>1.6948231914</v>
      </c>
      <c r="O543" s="66"/>
      <c r="Q543" s="66">
        <f t="shared" si="34"/>
        <v>3.1503866395833335</v>
      </c>
    </row>
    <row r="544" spans="1:17">
      <c r="A544" s="145" t="s">
        <v>626</v>
      </c>
      <c r="B544" s="146" t="s">
        <v>1981</v>
      </c>
      <c r="C544" s="146" t="s">
        <v>1982</v>
      </c>
      <c r="D544" s="145" t="s">
        <v>1983</v>
      </c>
      <c r="E544" s="146" t="s">
        <v>75</v>
      </c>
      <c r="F544" s="145" t="s">
        <v>1602</v>
      </c>
      <c r="G544" s="146" t="s">
        <v>20</v>
      </c>
      <c r="H544" s="146">
        <v>201605</v>
      </c>
      <c r="I544" s="147">
        <v>9020.93</v>
      </c>
      <c r="J544" s="297">
        <f t="shared" si="35"/>
        <v>42675</v>
      </c>
      <c r="K544" s="67">
        <f t="shared" si="33"/>
        <v>6</v>
      </c>
      <c r="L544" s="148">
        <v>1.4833299999999999E-3</v>
      </c>
      <c r="M544" s="104">
        <f t="shared" si="32"/>
        <v>80.286096581400002</v>
      </c>
      <c r="O544" s="66"/>
      <c r="Q544" s="66">
        <f t="shared" si="34"/>
        <v>149.23813132708332</v>
      </c>
    </row>
    <row r="545" spans="1:17">
      <c r="A545" s="145" t="s">
        <v>626</v>
      </c>
      <c r="B545" s="146" t="s">
        <v>1984</v>
      </c>
      <c r="C545" s="146" t="s">
        <v>1985</v>
      </c>
      <c r="D545" s="145" t="s">
        <v>1986</v>
      </c>
      <c r="E545" s="146" t="s">
        <v>156</v>
      </c>
      <c r="F545" s="145" t="s">
        <v>26</v>
      </c>
      <c r="G545" s="146" t="s">
        <v>20</v>
      </c>
      <c r="H545" s="146">
        <v>201605</v>
      </c>
      <c r="I545" s="147">
        <v>12333.74</v>
      </c>
      <c r="J545" s="297">
        <f t="shared" si="35"/>
        <v>42675</v>
      </c>
      <c r="K545" s="67">
        <f t="shared" si="33"/>
        <v>6</v>
      </c>
      <c r="L545" s="148">
        <v>1.4833299999999999E-3</v>
      </c>
      <c r="M545" s="104">
        <f t="shared" si="32"/>
        <v>109.7700393252</v>
      </c>
      <c r="O545" s="66"/>
      <c r="Q545" s="66">
        <f t="shared" si="34"/>
        <v>204.04374159583332</v>
      </c>
    </row>
    <row r="546" spans="1:17">
      <c r="A546" s="145" t="s">
        <v>626</v>
      </c>
      <c r="B546" s="146" t="s">
        <v>2054</v>
      </c>
      <c r="C546" s="146" t="s">
        <v>2055</v>
      </c>
      <c r="D546" s="145" t="s">
        <v>2056</v>
      </c>
      <c r="E546" s="146" t="s">
        <v>156</v>
      </c>
      <c r="F546" s="145" t="s">
        <v>26</v>
      </c>
      <c r="G546" s="146" t="s">
        <v>20</v>
      </c>
      <c r="H546" s="146">
        <v>201605</v>
      </c>
      <c r="I546" s="147">
        <v>577489.87</v>
      </c>
      <c r="J546" s="297">
        <f t="shared" si="35"/>
        <v>42675</v>
      </c>
      <c r="K546" s="67">
        <f t="shared" si="33"/>
        <v>6</v>
      </c>
      <c r="L546" s="148">
        <v>1.4833299999999999E-3</v>
      </c>
      <c r="M546" s="104">
        <f t="shared" si="32"/>
        <v>5139.6482932026001</v>
      </c>
      <c r="O546" s="66"/>
      <c r="Q546" s="66">
        <f t="shared" si="34"/>
        <v>9553.727726422916</v>
      </c>
    </row>
    <row r="547" spans="1:17">
      <c r="A547" s="145" t="s">
        <v>626</v>
      </c>
      <c r="B547" s="146" t="s">
        <v>1850</v>
      </c>
      <c r="C547" s="146" t="s">
        <v>1851</v>
      </c>
      <c r="D547" s="145" t="s">
        <v>1852</v>
      </c>
      <c r="E547" s="146" t="s">
        <v>260</v>
      </c>
      <c r="F547" s="145" t="s">
        <v>1608</v>
      </c>
      <c r="G547" s="146" t="s">
        <v>20</v>
      </c>
      <c r="H547" s="146">
        <v>201605</v>
      </c>
      <c r="I547" s="147">
        <v>2449.9299999999998</v>
      </c>
      <c r="J547" s="297">
        <f t="shared" si="35"/>
        <v>42675</v>
      </c>
      <c r="K547" s="67">
        <f t="shared" si="33"/>
        <v>6</v>
      </c>
      <c r="L547" s="148">
        <v>1.4833299999999999E-3</v>
      </c>
      <c r="M547" s="104">
        <f t="shared" si="32"/>
        <v>21.804328001399998</v>
      </c>
      <c r="O547" s="66"/>
      <c r="Q547" s="66">
        <f t="shared" si="34"/>
        <v>40.530519035416667</v>
      </c>
    </row>
    <row r="548" spans="1:17">
      <c r="A548" s="145" t="s">
        <v>626</v>
      </c>
      <c r="B548" s="146" t="s">
        <v>1814</v>
      </c>
      <c r="C548" s="146" t="s">
        <v>1815</v>
      </c>
      <c r="D548" s="145" t="s">
        <v>1816</v>
      </c>
      <c r="E548" s="146" t="s">
        <v>25</v>
      </c>
      <c r="F548" s="145" t="s">
        <v>26</v>
      </c>
      <c r="G548" s="146" t="s">
        <v>20</v>
      </c>
      <c r="H548" s="146">
        <v>201605</v>
      </c>
      <c r="I548" s="147">
        <v>985.05</v>
      </c>
      <c r="J548" s="297">
        <f t="shared" si="35"/>
        <v>42675</v>
      </c>
      <c r="K548" s="67">
        <f t="shared" si="33"/>
        <v>6</v>
      </c>
      <c r="L548" s="148">
        <v>1.4833299999999999E-3</v>
      </c>
      <c r="M548" s="104">
        <f t="shared" si="32"/>
        <v>8.7669252990000004</v>
      </c>
      <c r="O548" s="66"/>
      <c r="Q548" s="66">
        <f t="shared" si="34"/>
        <v>16.296215718749998</v>
      </c>
    </row>
    <row r="549" spans="1:17">
      <c r="A549" s="145" t="s">
        <v>626</v>
      </c>
      <c r="B549" s="146" t="s">
        <v>2057</v>
      </c>
      <c r="C549" s="146" t="s">
        <v>2058</v>
      </c>
      <c r="D549" s="145" t="s">
        <v>2059</v>
      </c>
      <c r="E549" s="146" t="s">
        <v>156</v>
      </c>
      <c r="F549" s="145" t="s">
        <v>26</v>
      </c>
      <c r="G549" s="146" t="s">
        <v>20</v>
      </c>
      <c r="H549" s="146">
        <v>201605</v>
      </c>
      <c r="I549" s="147">
        <v>358022.1</v>
      </c>
      <c r="J549" s="297">
        <f t="shared" si="35"/>
        <v>42675</v>
      </c>
      <c r="K549" s="67">
        <f t="shared" si="33"/>
        <v>6</v>
      </c>
      <c r="L549" s="148">
        <v>1.4833299999999999E-3</v>
      </c>
      <c r="M549" s="104">
        <f t="shared" si="32"/>
        <v>3186.3895295579996</v>
      </c>
      <c r="O549" s="66"/>
      <c r="Q549" s="66">
        <f t="shared" si="34"/>
        <v>5922.953528937499</v>
      </c>
    </row>
    <row r="550" spans="1:17">
      <c r="A550" s="145" t="s">
        <v>626</v>
      </c>
      <c r="B550" s="146" t="s">
        <v>2060</v>
      </c>
      <c r="C550" s="146" t="s">
        <v>2061</v>
      </c>
      <c r="D550" s="145" t="s">
        <v>2062</v>
      </c>
      <c r="E550" s="146" t="s">
        <v>156</v>
      </c>
      <c r="F550" s="145" t="s">
        <v>26</v>
      </c>
      <c r="G550" s="146" t="s">
        <v>20</v>
      </c>
      <c r="H550" s="146">
        <v>201605</v>
      </c>
      <c r="I550" s="147">
        <v>403217.41</v>
      </c>
      <c r="J550" s="297">
        <f t="shared" si="35"/>
        <v>42675</v>
      </c>
      <c r="K550" s="67">
        <f t="shared" si="33"/>
        <v>6</v>
      </c>
      <c r="L550" s="148">
        <v>1.4833299999999999E-3</v>
      </c>
      <c r="M550" s="104">
        <f t="shared" si="32"/>
        <v>3588.6268846517996</v>
      </c>
      <c r="O550" s="66"/>
      <c r="Q550" s="66">
        <f t="shared" si="34"/>
        <v>6670.6440230604157</v>
      </c>
    </row>
    <row r="551" spans="1:17">
      <c r="A551" s="145" t="s">
        <v>21</v>
      </c>
      <c r="B551" s="146" t="s">
        <v>1760</v>
      </c>
      <c r="C551" s="146" t="s">
        <v>1761</v>
      </c>
      <c r="D551" s="145" t="s">
        <v>1388</v>
      </c>
      <c r="E551" s="146" t="s">
        <v>164</v>
      </c>
      <c r="F551" s="145" t="s">
        <v>1600</v>
      </c>
      <c r="G551" s="146" t="s">
        <v>20</v>
      </c>
      <c r="H551" s="146">
        <v>201605</v>
      </c>
      <c r="I551" s="147">
        <v>4.25</v>
      </c>
      <c r="J551" s="297">
        <f t="shared" si="35"/>
        <v>42675</v>
      </c>
      <c r="K551" s="67">
        <f t="shared" si="33"/>
        <v>6</v>
      </c>
      <c r="L551" s="148">
        <v>1.4833299999999999E-3</v>
      </c>
      <c r="M551" s="104">
        <f t="shared" si="32"/>
        <v>3.7824915000000001E-2</v>
      </c>
      <c r="O551" s="66"/>
      <c r="Q551" s="66">
        <f t="shared" si="34"/>
        <v>7.0310052083333338E-2</v>
      </c>
    </row>
    <row r="552" spans="1:17">
      <c r="A552" s="145" t="s">
        <v>626</v>
      </c>
      <c r="B552" s="146" t="s">
        <v>1760</v>
      </c>
      <c r="C552" s="146" t="s">
        <v>1761</v>
      </c>
      <c r="D552" s="145" t="s">
        <v>1388</v>
      </c>
      <c r="E552" s="146" t="s">
        <v>164</v>
      </c>
      <c r="F552" s="145" t="s">
        <v>1600</v>
      </c>
      <c r="G552" s="146" t="s">
        <v>20</v>
      </c>
      <c r="H552" s="146">
        <v>201605</v>
      </c>
      <c r="I552" s="147">
        <v>183.25</v>
      </c>
      <c r="J552" s="297">
        <f t="shared" si="35"/>
        <v>42675</v>
      </c>
      <c r="K552" s="67">
        <f t="shared" si="33"/>
        <v>6</v>
      </c>
      <c r="L552" s="148">
        <v>1.4833299999999999E-3</v>
      </c>
      <c r="M552" s="104">
        <f t="shared" si="32"/>
        <v>1.630921335</v>
      </c>
      <c r="O552" s="66"/>
      <c r="Q552" s="66">
        <f t="shared" si="34"/>
        <v>3.0316040104166664</v>
      </c>
    </row>
    <row r="553" spans="1:17">
      <c r="A553" s="145" t="s">
        <v>626</v>
      </c>
      <c r="B553" s="146" t="s">
        <v>1987</v>
      </c>
      <c r="C553" s="146" t="s">
        <v>1988</v>
      </c>
      <c r="D553" s="145" t="s">
        <v>1338</v>
      </c>
      <c r="E553" s="146" t="s">
        <v>75</v>
      </c>
      <c r="F553" s="145" t="s">
        <v>1602</v>
      </c>
      <c r="G553" s="146" t="s">
        <v>20</v>
      </c>
      <c r="H553" s="146">
        <v>201605</v>
      </c>
      <c r="I553" s="147">
        <v>1596.18</v>
      </c>
      <c r="J553" s="297">
        <f t="shared" si="35"/>
        <v>42675</v>
      </c>
      <c r="K553" s="67">
        <f t="shared" si="33"/>
        <v>6</v>
      </c>
      <c r="L553" s="148">
        <v>1.4833299999999999E-3</v>
      </c>
      <c r="M553" s="104">
        <f t="shared" si="32"/>
        <v>14.2059700764</v>
      </c>
      <c r="O553" s="66"/>
      <c r="Q553" s="66">
        <f t="shared" si="34"/>
        <v>26.406470337500004</v>
      </c>
    </row>
    <row r="554" spans="1:17">
      <c r="A554" s="342" t="s">
        <v>133</v>
      </c>
      <c r="B554" s="343" t="s">
        <v>1817</v>
      </c>
      <c r="C554" s="343" t="s">
        <v>1818</v>
      </c>
      <c r="D554" s="342" t="s">
        <v>1819</v>
      </c>
      <c r="E554" s="343" t="s">
        <v>75</v>
      </c>
      <c r="F554" s="342" t="s">
        <v>1602</v>
      </c>
      <c r="G554" s="343" t="s">
        <v>20</v>
      </c>
      <c r="H554" s="343">
        <v>201605</v>
      </c>
      <c r="I554" s="344">
        <v>0</v>
      </c>
      <c r="J554" s="297">
        <f t="shared" si="35"/>
        <v>42675</v>
      </c>
      <c r="K554" s="348">
        <f t="shared" si="33"/>
        <v>6</v>
      </c>
      <c r="L554" s="345">
        <v>1.4833299999999999E-3</v>
      </c>
      <c r="M554" s="349">
        <f t="shared" si="32"/>
        <v>0</v>
      </c>
      <c r="N554" s="350"/>
      <c r="O554" s="351"/>
      <c r="P554" s="350"/>
      <c r="Q554" s="66">
        <f t="shared" si="34"/>
        <v>0</v>
      </c>
    </row>
    <row r="555" spans="1:17">
      <c r="A555" s="145" t="s">
        <v>626</v>
      </c>
      <c r="B555" s="146" t="s">
        <v>1989</v>
      </c>
      <c r="C555" s="146" t="s">
        <v>1990</v>
      </c>
      <c r="D555" s="145" t="s">
        <v>1495</v>
      </c>
      <c r="E555" s="146" t="s">
        <v>75</v>
      </c>
      <c r="F555" s="145" t="s">
        <v>1602</v>
      </c>
      <c r="G555" s="146" t="s">
        <v>20</v>
      </c>
      <c r="H555" s="146">
        <v>201605</v>
      </c>
      <c r="I555" s="147">
        <v>7760.52</v>
      </c>
      <c r="J555" s="297">
        <f t="shared" si="35"/>
        <v>42675</v>
      </c>
      <c r="K555" s="67">
        <f t="shared" si="33"/>
        <v>6</v>
      </c>
      <c r="L555" s="148">
        <v>1.4833299999999999E-3</v>
      </c>
      <c r="M555" s="104">
        <f t="shared" si="32"/>
        <v>69.068472789600008</v>
      </c>
      <c r="O555" s="66"/>
      <c r="Q555" s="66">
        <f t="shared" si="34"/>
        <v>128.386485975</v>
      </c>
    </row>
    <row r="556" spans="1:17">
      <c r="A556" s="145" t="s">
        <v>626</v>
      </c>
      <c r="B556" s="146" t="s">
        <v>1764</v>
      </c>
      <c r="C556" s="146" t="s">
        <v>1765</v>
      </c>
      <c r="D556" s="145" t="s">
        <v>1766</v>
      </c>
      <c r="E556" s="146" t="s">
        <v>156</v>
      </c>
      <c r="F556" s="145" t="s">
        <v>26</v>
      </c>
      <c r="G556" s="146" t="s">
        <v>20</v>
      </c>
      <c r="H556" s="146">
        <v>201605</v>
      </c>
      <c r="I556" s="147">
        <v>1135.29</v>
      </c>
      <c r="J556" s="297">
        <f t="shared" si="35"/>
        <v>42675</v>
      </c>
      <c r="K556" s="67">
        <f t="shared" si="33"/>
        <v>6</v>
      </c>
      <c r="L556" s="148">
        <v>1.4833299999999999E-3</v>
      </c>
      <c r="M556" s="104">
        <f t="shared" si="32"/>
        <v>10.1040582942</v>
      </c>
      <c r="O556" s="66"/>
      <c r="Q556" s="66">
        <f t="shared" si="34"/>
        <v>18.781717418749999</v>
      </c>
    </row>
    <row r="557" spans="1:17">
      <c r="A557" s="145" t="s">
        <v>626</v>
      </c>
      <c r="B557" s="146" t="s">
        <v>1945</v>
      </c>
      <c r="C557" s="146" t="s">
        <v>1946</v>
      </c>
      <c r="D557" s="145" t="s">
        <v>1947</v>
      </c>
      <c r="E557" s="146" t="s">
        <v>93</v>
      </c>
      <c r="F557" s="145" t="s">
        <v>1601</v>
      </c>
      <c r="G557" s="146" t="s">
        <v>20</v>
      </c>
      <c r="H557" s="146">
        <v>201605</v>
      </c>
      <c r="I557" s="147">
        <v>6802.07</v>
      </c>
      <c r="J557" s="297">
        <f t="shared" si="35"/>
        <v>42675</v>
      </c>
      <c r="K557" s="67">
        <f t="shared" si="33"/>
        <v>6</v>
      </c>
      <c r="L557" s="148">
        <v>1.4833299999999999E-3</v>
      </c>
      <c r="M557" s="104">
        <f t="shared" si="32"/>
        <v>60.538286958599997</v>
      </c>
      <c r="O557" s="66"/>
      <c r="Q557" s="66">
        <f t="shared" si="34"/>
        <v>112.53032846458333</v>
      </c>
    </row>
    <row r="558" spans="1:17">
      <c r="A558" s="145" t="s">
        <v>626</v>
      </c>
      <c r="B558" s="146" t="s">
        <v>1991</v>
      </c>
      <c r="C558" s="146" t="s">
        <v>1992</v>
      </c>
      <c r="D558" s="145" t="s">
        <v>1993</v>
      </c>
      <c r="E558" s="146" t="s">
        <v>497</v>
      </c>
      <c r="F558" s="145" t="s">
        <v>26</v>
      </c>
      <c r="G558" s="146" t="s">
        <v>20</v>
      </c>
      <c r="H558" s="146">
        <v>201605</v>
      </c>
      <c r="I558" s="147">
        <v>1003.01</v>
      </c>
      <c r="J558" s="297">
        <f t="shared" si="35"/>
        <v>42675</v>
      </c>
      <c r="K558" s="67">
        <f t="shared" si="33"/>
        <v>6</v>
      </c>
      <c r="L558" s="148">
        <v>1.4833299999999999E-3</v>
      </c>
      <c r="M558" s="104">
        <f t="shared" si="32"/>
        <v>8.9267689398000005</v>
      </c>
      <c r="O558" s="66"/>
      <c r="Q558" s="66">
        <f t="shared" si="34"/>
        <v>16.593337727083334</v>
      </c>
    </row>
    <row r="559" spans="1:17">
      <c r="A559" s="145" t="s">
        <v>127</v>
      </c>
      <c r="B559" s="146" t="s">
        <v>1994</v>
      </c>
      <c r="C559" s="146" t="s">
        <v>1995</v>
      </c>
      <c r="D559" s="145" t="s">
        <v>1996</v>
      </c>
      <c r="E559" s="146" t="s">
        <v>87</v>
      </c>
      <c r="F559" s="145" t="s">
        <v>1603</v>
      </c>
      <c r="G559" s="146" t="s">
        <v>20</v>
      </c>
      <c r="H559" s="146">
        <v>201605</v>
      </c>
      <c r="I559" s="147">
        <v>853.59</v>
      </c>
      <c r="J559" s="297">
        <f t="shared" si="35"/>
        <v>42675</v>
      </c>
      <c r="K559" s="67">
        <f t="shared" si="33"/>
        <v>6</v>
      </c>
      <c r="L559" s="148">
        <v>2.3833299999999999E-3</v>
      </c>
      <c r="M559" s="104">
        <f t="shared" si="32"/>
        <v>12.206319928200001</v>
      </c>
      <c r="O559" s="66"/>
      <c r="Q559" s="66">
        <f t="shared" si="34"/>
        <v>14.12140173125</v>
      </c>
    </row>
    <row r="560" spans="1:17">
      <c r="A560" s="145" t="s">
        <v>990</v>
      </c>
      <c r="B560" s="146" t="s">
        <v>1681</v>
      </c>
      <c r="C560" s="146" t="s">
        <v>2063</v>
      </c>
      <c r="D560" s="145" t="s">
        <v>2064</v>
      </c>
      <c r="E560" s="146" t="s">
        <v>1688</v>
      </c>
      <c r="F560" s="145" t="s">
        <v>1689</v>
      </c>
      <c r="G560" s="146" t="s">
        <v>20</v>
      </c>
      <c r="H560" s="146">
        <v>201605</v>
      </c>
      <c r="I560" s="147">
        <v>79.59</v>
      </c>
      <c r="J560" s="297">
        <f t="shared" si="35"/>
        <v>42675</v>
      </c>
      <c r="K560" s="67">
        <f t="shared" si="33"/>
        <v>6</v>
      </c>
      <c r="L560" s="148">
        <v>2.3833299999999999E-3</v>
      </c>
      <c r="M560" s="104">
        <f t="shared" si="32"/>
        <v>1.1381354082000001</v>
      </c>
      <c r="O560" s="66"/>
      <c r="Q560" s="66">
        <f t="shared" si="34"/>
        <v>1.3167004812500001</v>
      </c>
    </row>
    <row r="561" spans="1:17">
      <c r="A561" s="145" t="s">
        <v>1942</v>
      </c>
      <c r="B561" s="146" t="s">
        <v>1681</v>
      </c>
      <c r="C561" s="146" t="s">
        <v>1997</v>
      </c>
      <c r="D561" s="145" t="s">
        <v>1998</v>
      </c>
      <c r="E561" s="146" t="s">
        <v>164</v>
      </c>
      <c r="F561" s="145" t="s">
        <v>1600</v>
      </c>
      <c r="G561" s="146" t="s">
        <v>20</v>
      </c>
      <c r="H561" s="146">
        <v>201605</v>
      </c>
      <c r="I561" s="147">
        <v>3.97</v>
      </c>
      <c r="J561" s="297">
        <f t="shared" si="35"/>
        <v>42675</v>
      </c>
      <c r="K561" s="67">
        <f t="shared" si="33"/>
        <v>6</v>
      </c>
      <c r="L561" s="148">
        <v>2.23333E-3</v>
      </c>
      <c r="M561" s="104">
        <f t="shared" si="32"/>
        <v>5.3197920599999997E-2</v>
      </c>
      <c r="O561" s="66"/>
      <c r="Q561" s="66">
        <f t="shared" si="34"/>
        <v>6.5677860416666664E-2</v>
      </c>
    </row>
    <row r="562" spans="1:17">
      <c r="A562" s="145" t="s">
        <v>626</v>
      </c>
      <c r="B562" s="146" t="s">
        <v>1681</v>
      </c>
      <c r="C562" s="146" t="s">
        <v>1997</v>
      </c>
      <c r="D562" s="145" t="s">
        <v>1998</v>
      </c>
      <c r="E562" s="146" t="s">
        <v>164</v>
      </c>
      <c r="F562" s="145" t="s">
        <v>1600</v>
      </c>
      <c r="G562" s="146" t="s">
        <v>20</v>
      </c>
      <c r="H562" s="146">
        <v>201605</v>
      </c>
      <c r="I562" s="147">
        <v>1739.82</v>
      </c>
      <c r="J562" s="297">
        <f t="shared" si="35"/>
        <v>42675</v>
      </c>
      <c r="K562" s="67">
        <f t="shared" si="33"/>
        <v>6</v>
      </c>
      <c r="L562" s="148">
        <v>1.4833299999999999E-3</v>
      </c>
      <c r="M562" s="104">
        <f t="shared" si="32"/>
        <v>15.484363203599999</v>
      </c>
      <c r="O562" s="66"/>
      <c r="Q562" s="66">
        <f t="shared" si="34"/>
        <v>28.782784662499999</v>
      </c>
    </row>
    <row r="563" spans="1:17">
      <c r="A563" s="145" t="s">
        <v>1942</v>
      </c>
      <c r="B563" s="146" t="s">
        <v>1681</v>
      </c>
      <c r="C563" s="146" t="s">
        <v>1999</v>
      </c>
      <c r="D563" s="145" t="s">
        <v>2000</v>
      </c>
      <c r="E563" s="146" t="s">
        <v>75</v>
      </c>
      <c r="F563" s="145" t="s">
        <v>1602</v>
      </c>
      <c r="G563" s="146" t="s">
        <v>20</v>
      </c>
      <c r="H563" s="146">
        <v>201605</v>
      </c>
      <c r="I563" s="147">
        <v>51.06</v>
      </c>
      <c r="J563" s="297">
        <f t="shared" si="35"/>
        <v>42675</v>
      </c>
      <c r="K563" s="67">
        <f t="shared" si="33"/>
        <v>6</v>
      </c>
      <c r="L563" s="148">
        <v>2.23333E-3</v>
      </c>
      <c r="M563" s="104">
        <f t="shared" si="32"/>
        <v>0.68420297879999992</v>
      </c>
      <c r="O563" s="66"/>
      <c r="Q563" s="66">
        <f t="shared" si="34"/>
        <v>0.84471323750000005</v>
      </c>
    </row>
    <row r="564" spans="1:17">
      <c r="A564" s="145" t="s">
        <v>14</v>
      </c>
      <c r="B564" s="146" t="s">
        <v>1681</v>
      </c>
      <c r="C564" s="146" t="s">
        <v>1999</v>
      </c>
      <c r="D564" s="145" t="s">
        <v>2000</v>
      </c>
      <c r="E564" s="146" t="s">
        <v>75</v>
      </c>
      <c r="F564" s="145" t="s">
        <v>1602</v>
      </c>
      <c r="G564" s="146" t="s">
        <v>20</v>
      </c>
      <c r="H564" s="146">
        <v>201605</v>
      </c>
      <c r="I564" s="147">
        <v>1560.99</v>
      </c>
      <c r="J564" s="297">
        <f t="shared" si="35"/>
        <v>42675</v>
      </c>
      <c r="K564" s="67">
        <f t="shared" si="33"/>
        <v>6</v>
      </c>
      <c r="L564" s="148">
        <v>2.23333E-3</v>
      </c>
      <c r="M564" s="104">
        <f t="shared" si="32"/>
        <v>20.917234780199998</v>
      </c>
      <c r="O564" s="66"/>
      <c r="Q564" s="66">
        <f t="shared" si="34"/>
        <v>25.824303106249999</v>
      </c>
    </row>
    <row r="565" spans="1:17">
      <c r="A565" s="145" t="s">
        <v>626</v>
      </c>
      <c r="B565" s="146" t="s">
        <v>1681</v>
      </c>
      <c r="C565" s="146" t="s">
        <v>1999</v>
      </c>
      <c r="D565" s="145" t="s">
        <v>2000</v>
      </c>
      <c r="E565" s="146" t="s">
        <v>75</v>
      </c>
      <c r="F565" s="145" t="s">
        <v>1602</v>
      </c>
      <c r="G565" s="146" t="s">
        <v>20</v>
      </c>
      <c r="H565" s="146">
        <v>201605</v>
      </c>
      <c r="I565" s="147">
        <v>12204.92</v>
      </c>
      <c r="J565" s="297">
        <f t="shared" si="35"/>
        <v>42675</v>
      </c>
      <c r="K565" s="67">
        <f t="shared" si="33"/>
        <v>6</v>
      </c>
      <c r="L565" s="148">
        <v>1.4833299999999999E-3</v>
      </c>
      <c r="M565" s="104">
        <f t="shared" si="32"/>
        <v>108.6235439016</v>
      </c>
      <c r="O565" s="66"/>
      <c r="Q565" s="66">
        <f t="shared" si="34"/>
        <v>201.91260255833333</v>
      </c>
    </row>
    <row r="566" spans="1:17">
      <c r="A566" s="145" t="s">
        <v>14</v>
      </c>
      <c r="B566" s="146" t="s">
        <v>1681</v>
      </c>
      <c r="C566" s="146" t="s">
        <v>2001</v>
      </c>
      <c r="D566" s="145" t="s">
        <v>2002</v>
      </c>
      <c r="E566" s="146" t="s">
        <v>164</v>
      </c>
      <c r="F566" s="145" t="s">
        <v>1600</v>
      </c>
      <c r="G566" s="146" t="s">
        <v>20</v>
      </c>
      <c r="H566" s="146">
        <v>201605</v>
      </c>
      <c r="I566" s="147">
        <v>21.13</v>
      </c>
      <c r="J566" s="297">
        <f t="shared" si="35"/>
        <v>42675</v>
      </c>
      <c r="K566" s="67">
        <f t="shared" si="33"/>
        <v>6</v>
      </c>
      <c r="L566" s="148">
        <v>2.23333E-3</v>
      </c>
      <c r="M566" s="104">
        <f t="shared" si="32"/>
        <v>0.28314157739999996</v>
      </c>
      <c r="O566" s="66"/>
      <c r="Q566" s="66">
        <f t="shared" si="34"/>
        <v>0.34956503541666667</v>
      </c>
    </row>
    <row r="567" spans="1:17">
      <c r="A567" s="145" t="s">
        <v>626</v>
      </c>
      <c r="B567" s="146" t="s">
        <v>1681</v>
      </c>
      <c r="C567" s="146" t="s">
        <v>2001</v>
      </c>
      <c r="D567" s="145" t="s">
        <v>2002</v>
      </c>
      <c r="E567" s="146" t="s">
        <v>164</v>
      </c>
      <c r="F567" s="145" t="s">
        <v>1600</v>
      </c>
      <c r="G567" s="146" t="s">
        <v>20</v>
      </c>
      <c r="H567" s="146">
        <v>201605</v>
      </c>
      <c r="I567" s="147">
        <v>15465.93</v>
      </c>
      <c r="J567" s="297">
        <f t="shared" si="35"/>
        <v>42675</v>
      </c>
      <c r="K567" s="67">
        <f t="shared" si="33"/>
        <v>6</v>
      </c>
      <c r="L567" s="148">
        <v>1.4833299999999999E-3</v>
      </c>
      <c r="M567" s="104">
        <f t="shared" si="32"/>
        <v>137.6464676814</v>
      </c>
      <c r="O567" s="66"/>
      <c r="Q567" s="66">
        <f t="shared" si="34"/>
        <v>255.86125736875002</v>
      </c>
    </row>
    <row r="568" spans="1:17">
      <c r="A568" s="145" t="s">
        <v>14</v>
      </c>
      <c r="B568" s="146" t="s">
        <v>1681</v>
      </c>
      <c r="C568" s="146" t="s">
        <v>2003</v>
      </c>
      <c r="D568" s="145" t="s">
        <v>2004</v>
      </c>
      <c r="E568" s="146" t="s">
        <v>164</v>
      </c>
      <c r="F568" s="145" t="s">
        <v>1600</v>
      </c>
      <c r="G568" s="146" t="s">
        <v>20</v>
      </c>
      <c r="H568" s="146">
        <v>201605</v>
      </c>
      <c r="I568" s="147">
        <v>311.77999999999997</v>
      </c>
      <c r="J568" s="297">
        <f t="shared" si="35"/>
        <v>42675</v>
      </c>
      <c r="K568" s="67">
        <f t="shared" si="33"/>
        <v>6</v>
      </c>
      <c r="L568" s="148">
        <v>2.23333E-3</v>
      </c>
      <c r="M568" s="104">
        <f t="shared" si="32"/>
        <v>4.1778457643999989</v>
      </c>
      <c r="O568" s="66"/>
      <c r="Q568" s="66">
        <f t="shared" si="34"/>
        <v>5.1579454208333333</v>
      </c>
    </row>
    <row r="569" spans="1:17">
      <c r="A569" s="145" t="s">
        <v>21</v>
      </c>
      <c r="B569" s="146" t="s">
        <v>1681</v>
      </c>
      <c r="C569" s="146" t="s">
        <v>2003</v>
      </c>
      <c r="D569" s="145" t="s">
        <v>2004</v>
      </c>
      <c r="E569" s="146" t="s">
        <v>164</v>
      </c>
      <c r="F569" s="145" t="s">
        <v>1600</v>
      </c>
      <c r="G569" s="146" t="s">
        <v>20</v>
      </c>
      <c r="H569" s="146">
        <v>201605</v>
      </c>
      <c r="I569" s="147">
        <v>314.57</v>
      </c>
      <c r="J569" s="297">
        <f t="shared" si="35"/>
        <v>42675</v>
      </c>
      <c r="K569" s="67">
        <f t="shared" si="33"/>
        <v>6</v>
      </c>
      <c r="L569" s="148">
        <v>1.4833299999999999E-3</v>
      </c>
      <c r="M569" s="104">
        <f t="shared" si="32"/>
        <v>2.7996667085999998</v>
      </c>
      <c r="O569" s="66"/>
      <c r="Q569" s="66">
        <f t="shared" si="34"/>
        <v>5.204101902083333</v>
      </c>
    </row>
    <row r="570" spans="1:17">
      <c r="A570" s="145" t="s">
        <v>626</v>
      </c>
      <c r="B570" s="146" t="s">
        <v>1681</v>
      </c>
      <c r="C570" s="146" t="s">
        <v>2003</v>
      </c>
      <c r="D570" s="145" t="s">
        <v>2004</v>
      </c>
      <c r="E570" s="146" t="s">
        <v>164</v>
      </c>
      <c r="F570" s="145" t="s">
        <v>1600</v>
      </c>
      <c r="G570" s="146" t="s">
        <v>20</v>
      </c>
      <c r="H570" s="146">
        <v>201605</v>
      </c>
      <c r="I570" s="147">
        <v>6476.27</v>
      </c>
      <c r="J570" s="297">
        <f t="shared" si="35"/>
        <v>42675</v>
      </c>
      <c r="K570" s="67">
        <f t="shared" si="33"/>
        <v>6</v>
      </c>
      <c r="L570" s="148">
        <v>1.4833299999999999E-3</v>
      </c>
      <c r="M570" s="104">
        <f t="shared" si="32"/>
        <v>57.638673474600004</v>
      </c>
      <c r="O570" s="66"/>
      <c r="Q570" s="66">
        <f t="shared" si="34"/>
        <v>107.14044258958334</v>
      </c>
    </row>
    <row r="571" spans="1:17">
      <c r="A571" s="145" t="s">
        <v>14</v>
      </c>
      <c r="B571" s="146" t="s">
        <v>1681</v>
      </c>
      <c r="C571" s="146" t="s">
        <v>2005</v>
      </c>
      <c r="D571" s="145" t="s">
        <v>2006</v>
      </c>
      <c r="E571" s="146" t="s">
        <v>87</v>
      </c>
      <c r="F571" s="145" t="s">
        <v>1603</v>
      </c>
      <c r="G571" s="146" t="s">
        <v>20</v>
      </c>
      <c r="H571" s="146">
        <v>201605</v>
      </c>
      <c r="I571" s="147">
        <v>3.81</v>
      </c>
      <c r="J571" s="297">
        <f t="shared" si="35"/>
        <v>42675</v>
      </c>
      <c r="K571" s="67">
        <f t="shared" si="33"/>
        <v>6</v>
      </c>
      <c r="L571" s="148">
        <v>2.23333E-3</v>
      </c>
      <c r="M571" s="104">
        <f t="shared" si="32"/>
        <v>5.1053923799999998E-2</v>
      </c>
      <c r="O571" s="66"/>
      <c r="Q571" s="66">
        <f t="shared" si="34"/>
        <v>6.3030893749999997E-2</v>
      </c>
    </row>
    <row r="572" spans="1:17">
      <c r="A572" s="145" t="s">
        <v>626</v>
      </c>
      <c r="B572" s="146" t="s">
        <v>1681</v>
      </c>
      <c r="C572" s="146" t="s">
        <v>2005</v>
      </c>
      <c r="D572" s="145" t="s">
        <v>2006</v>
      </c>
      <c r="E572" s="146" t="s">
        <v>87</v>
      </c>
      <c r="F572" s="145" t="s">
        <v>1603</v>
      </c>
      <c r="G572" s="146" t="s">
        <v>20</v>
      </c>
      <c r="H572" s="146">
        <v>201605</v>
      </c>
      <c r="I572" s="147">
        <v>1174.97</v>
      </c>
      <c r="J572" s="297">
        <f t="shared" si="35"/>
        <v>42675</v>
      </c>
      <c r="K572" s="67">
        <f t="shared" si="33"/>
        <v>6</v>
      </c>
      <c r="L572" s="148">
        <v>1.4833299999999999E-3</v>
      </c>
      <c r="M572" s="104">
        <f t="shared" si="32"/>
        <v>10.457209500599999</v>
      </c>
      <c r="O572" s="66"/>
      <c r="Q572" s="66">
        <f t="shared" si="34"/>
        <v>19.438165152083336</v>
      </c>
    </row>
    <row r="573" spans="1:17">
      <c r="A573" s="145" t="s">
        <v>626</v>
      </c>
      <c r="B573" s="146" t="s">
        <v>1681</v>
      </c>
      <c r="C573" s="146" t="s">
        <v>1853</v>
      </c>
      <c r="D573" s="145" t="s">
        <v>1854</v>
      </c>
      <c r="E573" s="146" t="s">
        <v>260</v>
      </c>
      <c r="F573" s="145" t="s">
        <v>1608</v>
      </c>
      <c r="G573" s="146" t="s">
        <v>20</v>
      </c>
      <c r="H573" s="146">
        <v>201605</v>
      </c>
      <c r="I573" s="147">
        <v>401.85</v>
      </c>
      <c r="J573" s="297">
        <f t="shared" si="35"/>
        <v>42675</v>
      </c>
      <c r="K573" s="67">
        <f t="shared" si="33"/>
        <v>6</v>
      </c>
      <c r="L573" s="148">
        <v>1.4833299999999999E-3</v>
      </c>
      <c r="M573" s="104">
        <f t="shared" si="32"/>
        <v>3.576456963</v>
      </c>
      <c r="O573" s="66"/>
      <c r="Q573" s="66">
        <f t="shared" si="34"/>
        <v>6.6480222187500004</v>
      </c>
    </row>
    <row r="574" spans="1:17">
      <c r="A574" s="145" t="s">
        <v>626</v>
      </c>
      <c r="B574" s="146" t="s">
        <v>1681</v>
      </c>
      <c r="C574" s="146" t="s">
        <v>2065</v>
      </c>
      <c r="D574" s="145" t="s">
        <v>2066</v>
      </c>
      <c r="E574" s="146" t="s">
        <v>209</v>
      </c>
      <c r="F574" s="145" t="s">
        <v>1612</v>
      </c>
      <c r="G574" s="146" t="s">
        <v>20</v>
      </c>
      <c r="H574" s="146">
        <v>201605</v>
      </c>
      <c r="I574" s="147">
        <v>651.53</v>
      </c>
      <c r="J574" s="297">
        <f t="shared" si="35"/>
        <v>42675</v>
      </c>
      <c r="K574" s="67">
        <f t="shared" si="33"/>
        <v>6</v>
      </c>
      <c r="L574" s="148">
        <v>1.4833299999999999E-3</v>
      </c>
      <c r="M574" s="104">
        <f t="shared" si="32"/>
        <v>5.7986039694000002</v>
      </c>
      <c r="O574" s="66"/>
      <c r="Q574" s="66">
        <f t="shared" si="34"/>
        <v>10.778613702083332</v>
      </c>
    </row>
    <row r="575" spans="1:17">
      <c r="A575" s="145" t="s">
        <v>626</v>
      </c>
      <c r="B575" s="146" t="s">
        <v>1681</v>
      </c>
      <c r="C575" s="146" t="s">
        <v>2067</v>
      </c>
      <c r="D575" s="145" t="s">
        <v>2068</v>
      </c>
      <c r="E575" s="146" t="s">
        <v>93</v>
      </c>
      <c r="F575" s="145" t="s">
        <v>1601</v>
      </c>
      <c r="G575" s="146" t="s">
        <v>20</v>
      </c>
      <c r="H575" s="146">
        <v>201605</v>
      </c>
      <c r="I575" s="147">
        <v>13.86</v>
      </c>
      <c r="J575" s="297">
        <f t="shared" si="35"/>
        <v>42675</v>
      </c>
      <c r="K575" s="67">
        <f t="shared" si="33"/>
        <v>6</v>
      </c>
      <c r="L575" s="148">
        <v>1.4833299999999999E-3</v>
      </c>
      <c r="M575" s="104">
        <f t="shared" si="32"/>
        <v>0.1233537228</v>
      </c>
      <c r="O575" s="66"/>
      <c r="Q575" s="66">
        <f t="shared" si="34"/>
        <v>0.2292934875</v>
      </c>
    </row>
    <row r="576" spans="1:17">
      <c r="A576" s="145" t="s">
        <v>626</v>
      </c>
      <c r="B576" s="146" t="s">
        <v>1681</v>
      </c>
      <c r="C576" s="146" t="s">
        <v>2007</v>
      </c>
      <c r="D576" s="145" t="s">
        <v>2008</v>
      </c>
      <c r="E576" s="146" t="s">
        <v>260</v>
      </c>
      <c r="F576" s="145" t="s">
        <v>1608</v>
      </c>
      <c r="G576" s="146" t="s">
        <v>20</v>
      </c>
      <c r="H576" s="146">
        <v>201605</v>
      </c>
      <c r="I576" s="147">
        <v>2055.65</v>
      </c>
      <c r="J576" s="297">
        <f t="shared" si="35"/>
        <v>42675</v>
      </c>
      <c r="K576" s="67">
        <f t="shared" si="33"/>
        <v>6</v>
      </c>
      <c r="L576" s="148">
        <v>1.4833299999999999E-3</v>
      </c>
      <c r="M576" s="104">
        <f t="shared" si="32"/>
        <v>18.295243887000002</v>
      </c>
      <c r="O576" s="66"/>
      <c r="Q576" s="66">
        <f t="shared" si="34"/>
        <v>34.007731427083336</v>
      </c>
    </row>
    <row r="577" spans="1:17">
      <c r="A577" s="145" t="s">
        <v>14</v>
      </c>
      <c r="B577" s="146" t="s">
        <v>1681</v>
      </c>
      <c r="C577" s="146" t="s">
        <v>2009</v>
      </c>
      <c r="D577" s="145" t="s">
        <v>2010</v>
      </c>
      <c r="E577" s="146" t="s">
        <v>260</v>
      </c>
      <c r="F577" s="145" t="s">
        <v>1608</v>
      </c>
      <c r="G577" s="146" t="s">
        <v>20</v>
      </c>
      <c r="H577" s="146">
        <v>201605</v>
      </c>
      <c r="I577" s="147">
        <v>599.80999999999995</v>
      </c>
      <c r="J577" s="297">
        <f t="shared" si="35"/>
        <v>42675</v>
      </c>
      <c r="K577" s="67">
        <f t="shared" si="33"/>
        <v>6</v>
      </c>
      <c r="L577" s="148">
        <v>2.23333E-3</v>
      </c>
      <c r="M577" s="104">
        <f t="shared" si="32"/>
        <v>8.037442003799999</v>
      </c>
      <c r="O577" s="66"/>
      <c r="Q577" s="66">
        <f t="shared" si="34"/>
        <v>9.9229817270833323</v>
      </c>
    </row>
    <row r="578" spans="1:17">
      <c r="A578" s="145" t="s">
        <v>626</v>
      </c>
      <c r="B578" s="146" t="s">
        <v>1681</v>
      </c>
      <c r="C578" s="146" t="s">
        <v>2009</v>
      </c>
      <c r="D578" s="145" t="s">
        <v>2010</v>
      </c>
      <c r="E578" s="146" t="s">
        <v>260</v>
      </c>
      <c r="F578" s="145" t="s">
        <v>1608</v>
      </c>
      <c r="G578" s="146" t="s">
        <v>20</v>
      </c>
      <c r="H578" s="146">
        <v>201605</v>
      </c>
      <c r="I578" s="147">
        <v>31798.37</v>
      </c>
      <c r="J578" s="297">
        <f t="shared" si="35"/>
        <v>42675</v>
      </c>
      <c r="K578" s="67">
        <f t="shared" si="33"/>
        <v>6</v>
      </c>
      <c r="L578" s="148">
        <v>1.4833299999999999E-3</v>
      </c>
      <c r="M578" s="104">
        <f t="shared" si="32"/>
        <v>283.0048570326</v>
      </c>
      <c r="O578" s="66"/>
      <c r="Q578" s="66">
        <f t="shared" si="34"/>
        <v>526.05765902708333</v>
      </c>
    </row>
    <row r="579" spans="1:17">
      <c r="A579" s="145" t="s">
        <v>14</v>
      </c>
      <c r="B579" s="146" t="s">
        <v>1681</v>
      </c>
      <c r="C579" s="146" t="s">
        <v>2011</v>
      </c>
      <c r="D579" s="145" t="s">
        <v>2012</v>
      </c>
      <c r="E579" s="146" t="s">
        <v>260</v>
      </c>
      <c r="F579" s="145" t="s">
        <v>1608</v>
      </c>
      <c r="G579" s="146" t="s">
        <v>20</v>
      </c>
      <c r="H579" s="146">
        <v>201605</v>
      </c>
      <c r="I579" s="147">
        <v>574.83000000000004</v>
      </c>
      <c r="J579" s="297">
        <f t="shared" si="35"/>
        <v>42675</v>
      </c>
      <c r="K579" s="67">
        <f t="shared" si="33"/>
        <v>6</v>
      </c>
      <c r="L579" s="148">
        <v>2.23333E-3</v>
      </c>
      <c r="M579" s="104">
        <f t="shared" si="32"/>
        <v>7.7027105033999996</v>
      </c>
      <c r="O579" s="66"/>
      <c r="Q579" s="66">
        <f t="shared" si="34"/>
        <v>9.5097240562500005</v>
      </c>
    </row>
    <row r="580" spans="1:17">
      <c r="A580" s="145" t="s">
        <v>626</v>
      </c>
      <c r="B580" s="146" t="s">
        <v>1681</v>
      </c>
      <c r="C580" s="146" t="s">
        <v>2011</v>
      </c>
      <c r="D580" s="145" t="s">
        <v>2012</v>
      </c>
      <c r="E580" s="146" t="s">
        <v>260</v>
      </c>
      <c r="F580" s="145" t="s">
        <v>1608</v>
      </c>
      <c r="G580" s="146" t="s">
        <v>20</v>
      </c>
      <c r="H580" s="146">
        <v>201605</v>
      </c>
      <c r="I580" s="147">
        <v>25704.62</v>
      </c>
      <c r="J580" s="297">
        <f t="shared" si="35"/>
        <v>42675</v>
      </c>
      <c r="K580" s="67">
        <f t="shared" si="33"/>
        <v>6</v>
      </c>
      <c r="L580" s="148">
        <v>1.4833299999999999E-3</v>
      </c>
      <c r="M580" s="104">
        <f t="shared" si="32"/>
        <v>228.77060390759999</v>
      </c>
      <c r="O580" s="66"/>
      <c r="Q580" s="66">
        <f t="shared" si="34"/>
        <v>425.24545199583332</v>
      </c>
    </row>
    <row r="581" spans="1:17">
      <c r="A581" s="145" t="s">
        <v>14</v>
      </c>
      <c r="B581" s="146" t="s">
        <v>1681</v>
      </c>
      <c r="C581" s="146" t="s">
        <v>2069</v>
      </c>
      <c r="D581" s="145" t="s">
        <v>2070</v>
      </c>
      <c r="E581" s="146" t="s">
        <v>164</v>
      </c>
      <c r="F581" s="145" t="s">
        <v>1600</v>
      </c>
      <c r="G581" s="146" t="s">
        <v>20</v>
      </c>
      <c r="H581" s="146">
        <v>201605</v>
      </c>
      <c r="I581" s="147">
        <v>897.49</v>
      </c>
      <c r="J581" s="297">
        <f t="shared" si="35"/>
        <v>42675</v>
      </c>
      <c r="K581" s="67">
        <f t="shared" si="33"/>
        <v>6</v>
      </c>
      <c r="L581" s="148">
        <v>2.23333E-3</v>
      </c>
      <c r="M581" s="104">
        <f t="shared" ref="M581:M644" si="36">L581*K581*I581</f>
        <v>12.026348050199999</v>
      </c>
      <c r="O581" s="66"/>
      <c r="Q581" s="66">
        <f t="shared" si="34"/>
        <v>14.847663210416666</v>
      </c>
    </row>
    <row r="582" spans="1:17">
      <c r="A582" s="145" t="s">
        <v>626</v>
      </c>
      <c r="B582" s="146" t="s">
        <v>1681</v>
      </c>
      <c r="C582" s="146" t="s">
        <v>2069</v>
      </c>
      <c r="D582" s="145" t="s">
        <v>2070</v>
      </c>
      <c r="E582" s="146" t="s">
        <v>164</v>
      </c>
      <c r="F582" s="145" t="s">
        <v>1600</v>
      </c>
      <c r="G582" s="146" t="s">
        <v>20</v>
      </c>
      <c r="H582" s="146">
        <v>201605</v>
      </c>
      <c r="I582" s="147">
        <v>4206.18</v>
      </c>
      <c r="J582" s="297">
        <f t="shared" si="35"/>
        <v>42675</v>
      </c>
      <c r="K582" s="67">
        <f t="shared" ref="K582:K645" si="37">((YEAR($K$1)-YEAR(J582))*12+MONTH($K$1)-MONTH(J582))</f>
        <v>6</v>
      </c>
      <c r="L582" s="148">
        <v>1.4833299999999999E-3</v>
      </c>
      <c r="M582" s="104">
        <f t="shared" si="36"/>
        <v>37.4349178764</v>
      </c>
      <c r="O582" s="66"/>
      <c r="Q582" s="66">
        <f t="shared" ref="Q582:Q645" si="38">($Q$4*0.5*I582*$T$10)</f>
        <v>69.585114087500003</v>
      </c>
    </row>
    <row r="583" spans="1:17">
      <c r="A583" s="145" t="s">
        <v>21</v>
      </c>
      <c r="B583" s="146" t="s">
        <v>1681</v>
      </c>
      <c r="C583" s="146" t="s">
        <v>2075</v>
      </c>
      <c r="D583" s="145" t="s">
        <v>2076</v>
      </c>
      <c r="E583" s="146" t="s">
        <v>75</v>
      </c>
      <c r="F583" s="145" t="s">
        <v>1602</v>
      </c>
      <c r="G583" s="146" t="s">
        <v>20</v>
      </c>
      <c r="H583" s="146">
        <v>201605</v>
      </c>
      <c r="I583" s="147">
        <v>125432.15</v>
      </c>
      <c r="J583" s="297">
        <f t="shared" ref="J583:J646" si="39">+J582</f>
        <v>42675</v>
      </c>
      <c r="K583" s="67">
        <f t="shared" si="37"/>
        <v>6</v>
      </c>
      <c r="L583" s="148">
        <v>1.4833299999999999E-3</v>
      </c>
      <c r="M583" s="104">
        <f t="shared" si="36"/>
        <v>1116.3436263569999</v>
      </c>
      <c r="O583" s="66"/>
      <c r="Q583" s="66">
        <f t="shared" si="38"/>
        <v>2075.0919998645832</v>
      </c>
    </row>
    <row r="584" spans="1:17">
      <c r="A584" s="145" t="s">
        <v>14</v>
      </c>
      <c r="B584" s="146" t="s">
        <v>1681</v>
      </c>
      <c r="C584" s="146" t="s">
        <v>2013</v>
      </c>
      <c r="D584" s="145" t="s">
        <v>2014</v>
      </c>
      <c r="E584" s="146" t="s">
        <v>164</v>
      </c>
      <c r="F584" s="145" t="s">
        <v>1600</v>
      </c>
      <c r="G584" s="146" t="s">
        <v>20</v>
      </c>
      <c r="H584" s="146">
        <v>201605</v>
      </c>
      <c r="I584" s="147">
        <v>133.43</v>
      </c>
      <c r="J584" s="297">
        <f t="shared" si="39"/>
        <v>42675</v>
      </c>
      <c r="K584" s="67">
        <f t="shared" si="37"/>
        <v>6</v>
      </c>
      <c r="L584" s="148">
        <v>2.23333E-3</v>
      </c>
      <c r="M584" s="104">
        <f t="shared" si="36"/>
        <v>1.7879593314</v>
      </c>
      <c r="O584" s="66"/>
      <c r="Q584" s="66">
        <f t="shared" si="38"/>
        <v>2.2074047645833335</v>
      </c>
    </row>
    <row r="585" spans="1:17">
      <c r="A585" s="145" t="s">
        <v>626</v>
      </c>
      <c r="B585" s="146" t="s">
        <v>1681</v>
      </c>
      <c r="C585" s="146" t="s">
        <v>2013</v>
      </c>
      <c r="D585" s="145" t="s">
        <v>2014</v>
      </c>
      <c r="E585" s="146" t="s">
        <v>164</v>
      </c>
      <c r="F585" s="145" t="s">
        <v>1600</v>
      </c>
      <c r="G585" s="146" t="s">
        <v>20</v>
      </c>
      <c r="H585" s="146">
        <v>201605</v>
      </c>
      <c r="I585" s="147">
        <v>510.39</v>
      </c>
      <c r="J585" s="297">
        <f t="shared" si="39"/>
        <v>42675</v>
      </c>
      <c r="K585" s="67">
        <f t="shared" si="37"/>
        <v>6</v>
      </c>
      <c r="L585" s="148">
        <v>1.4833299999999999E-3</v>
      </c>
      <c r="M585" s="104">
        <f t="shared" si="36"/>
        <v>4.5424607922</v>
      </c>
      <c r="O585" s="66"/>
      <c r="Q585" s="66">
        <f t="shared" si="38"/>
        <v>8.4436582312499997</v>
      </c>
    </row>
    <row r="586" spans="1:17">
      <c r="A586" s="145" t="s">
        <v>14</v>
      </c>
      <c r="B586" s="146" t="s">
        <v>1681</v>
      </c>
      <c r="C586" s="146" t="s">
        <v>2015</v>
      </c>
      <c r="D586" s="145" t="s">
        <v>2016</v>
      </c>
      <c r="E586" s="146" t="s">
        <v>164</v>
      </c>
      <c r="F586" s="145" t="s">
        <v>1600</v>
      </c>
      <c r="G586" s="146" t="s">
        <v>20</v>
      </c>
      <c r="H586" s="146">
        <v>201605</v>
      </c>
      <c r="I586" s="147">
        <v>56.11</v>
      </c>
      <c r="J586" s="297">
        <f t="shared" si="39"/>
        <v>42675</v>
      </c>
      <c r="K586" s="67">
        <f t="shared" si="37"/>
        <v>6</v>
      </c>
      <c r="L586" s="148">
        <v>2.23333E-3</v>
      </c>
      <c r="M586" s="104">
        <f t="shared" si="36"/>
        <v>0.75187287779999989</v>
      </c>
      <c r="O586" s="66"/>
      <c r="Q586" s="66">
        <f t="shared" si="38"/>
        <v>0.92825812291666665</v>
      </c>
    </row>
    <row r="587" spans="1:17">
      <c r="A587" s="145" t="s">
        <v>626</v>
      </c>
      <c r="B587" s="146" t="s">
        <v>1681</v>
      </c>
      <c r="C587" s="146" t="s">
        <v>2015</v>
      </c>
      <c r="D587" s="145" t="s">
        <v>2016</v>
      </c>
      <c r="E587" s="146" t="s">
        <v>164</v>
      </c>
      <c r="F587" s="145" t="s">
        <v>1600</v>
      </c>
      <c r="G587" s="146" t="s">
        <v>20</v>
      </c>
      <c r="H587" s="146">
        <v>201605</v>
      </c>
      <c r="I587" s="147">
        <v>625.19000000000005</v>
      </c>
      <c r="J587" s="297">
        <f t="shared" si="39"/>
        <v>42675</v>
      </c>
      <c r="K587" s="67">
        <f t="shared" si="37"/>
        <v>6</v>
      </c>
      <c r="L587" s="148">
        <v>1.4833299999999999E-3</v>
      </c>
      <c r="M587" s="104">
        <f t="shared" si="36"/>
        <v>5.5641784962000003</v>
      </c>
      <c r="O587" s="66"/>
      <c r="Q587" s="66">
        <f t="shared" si="38"/>
        <v>10.342856814583335</v>
      </c>
    </row>
    <row r="588" spans="1:17">
      <c r="A588" s="145" t="s">
        <v>626</v>
      </c>
      <c r="B588" s="146" t="s">
        <v>1681</v>
      </c>
      <c r="C588" s="146" t="s">
        <v>2079</v>
      </c>
      <c r="D588" s="145" t="s">
        <v>2080</v>
      </c>
      <c r="E588" s="146" t="s">
        <v>75</v>
      </c>
      <c r="F588" s="145" t="s">
        <v>1602</v>
      </c>
      <c r="G588" s="146" t="s">
        <v>20</v>
      </c>
      <c r="H588" s="146">
        <v>201605</v>
      </c>
      <c r="I588" s="147">
        <v>3771.1</v>
      </c>
      <c r="J588" s="297">
        <f t="shared" si="39"/>
        <v>42675</v>
      </c>
      <c r="K588" s="67">
        <f t="shared" si="37"/>
        <v>6</v>
      </c>
      <c r="L588" s="148">
        <v>1.4833299999999999E-3</v>
      </c>
      <c r="M588" s="104">
        <f t="shared" si="36"/>
        <v>33.562714577999998</v>
      </c>
      <c r="O588" s="66"/>
      <c r="Q588" s="66">
        <f t="shared" si="38"/>
        <v>62.387349979166657</v>
      </c>
    </row>
    <row r="589" spans="1:17">
      <c r="A589" s="145" t="s">
        <v>21</v>
      </c>
      <c r="B589" s="146" t="s">
        <v>1681</v>
      </c>
      <c r="C589" s="146" t="s">
        <v>2017</v>
      </c>
      <c r="D589" s="145" t="s">
        <v>2018</v>
      </c>
      <c r="E589" s="146" t="s">
        <v>87</v>
      </c>
      <c r="F589" s="145" t="s">
        <v>1603</v>
      </c>
      <c r="G589" s="146" t="s">
        <v>20</v>
      </c>
      <c r="H589" s="146">
        <v>201605</v>
      </c>
      <c r="I589" s="147">
        <v>3688.99</v>
      </c>
      <c r="J589" s="297">
        <f t="shared" si="39"/>
        <v>42675</v>
      </c>
      <c r="K589" s="67">
        <f t="shared" si="37"/>
        <v>6</v>
      </c>
      <c r="L589" s="148">
        <v>1.4833299999999999E-3</v>
      </c>
      <c r="M589" s="104">
        <f t="shared" si="36"/>
        <v>32.831937220199997</v>
      </c>
      <c r="O589" s="66"/>
      <c r="Q589" s="66">
        <f t="shared" si="38"/>
        <v>61.028959772916664</v>
      </c>
    </row>
    <row r="590" spans="1:17">
      <c r="A590" s="145" t="s">
        <v>626</v>
      </c>
      <c r="B590" s="146" t="s">
        <v>1681</v>
      </c>
      <c r="C590" s="146" t="s">
        <v>2081</v>
      </c>
      <c r="D590" s="145" t="s">
        <v>2082</v>
      </c>
      <c r="E590" s="146" t="s">
        <v>75</v>
      </c>
      <c r="F590" s="145" t="s">
        <v>1602</v>
      </c>
      <c r="G590" s="146" t="s">
        <v>20</v>
      </c>
      <c r="H590" s="146">
        <v>201605</v>
      </c>
      <c r="I590" s="147">
        <v>396348.63</v>
      </c>
      <c r="J590" s="297">
        <f t="shared" si="39"/>
        <v>42675</v>
      </c>
      <c r="K590" s="67">
        <f t="shared" si="37"/>
        <v>6</v>
      </c>
      <c r="L590" s="148">
        <v>1.4833299999999999E-3</v>
      </c>
      <c r="M590" s="104">
        <f t="shared" si="36"/>
        <v>3527.4948800274001</v>
      </c>
      <c r="O590" s="66"/>
      <c r="Q590" s="66">
        <f t="shared" si="38"/>
        <v>6557.0100749312505</v>
      </c>
    </row>
    <row r="591" spans="1:17">
      <c r="A591" s="145" t="s">
        <v>626</v>
      </c>
      <c r="B591" s="146" t="s">
        <v>1681</v>
      </c>
      <c r="C591" s="146" t="s">
        <v>2083</v>
      </c>
      <c r="D591" s="145" t="s">
        <v>2084</v>
      </c>
      <c r="E591" s="146" t="s">
        <v>75</v>
      </c>
      <c r="F591" s="145" t="s">
        <v>1602</v>
      </c>
      <c r="G591" s="146" t="s">
        <v>20</v>
      </c>
      <c r="H591" s="146">
        <v>201605</v>
      </c>
      <c r="I591" s="147">
        <v>97811.62</v>
      </c>
      <c r="J591" s="297">
        <f t="shared" si="39"/>
        <v>42675</v>
      </c>
      <c r="K591" s="67">
        <f t="shared" si="37"/>
        <v>6</v>
      </c>
      <c r="L591" s="148">
        <v>1.4833299999999999E-3</v>
      </c>
      <c r="M591" s="104">
        <f t="shared" si="36"/>
        <v>870.52146176759993</v>
      </c>
      <c r="O591" s="66"/>
      <c r="Q591" s="66">
        <f t="shared" si="38"/>
        <v>1618.1506109541667</v>
      </c>
    </row>
    <row r="592" spans="1:17">
      <c r="A592" s="145" t="s">
        <v>14</v>
      </c>
      <c r="B592" s="146" t="s">
        <v>1681</v>
      </c>
      <c r="C592" s="146" t="s">
        <v>2091</v>
      </c>
      <c r="D592" s="145" t="s">
        <v>2092</v>
      </c>
      <c r="E592" s="146" t="s">
        <v>93</v>
      </c>
      <c r="F592" s="145" t="s">
        <v>1601</v>
      </c>
      <c r="G592" s="146" t="s">
        <v>20</v>
      </c>
      <c r="H592" s="146">
        <v>201605</v>
      </c>
      <c r="I592" s="147">
        <v>116.94</v>
      </c>
      <c r="J592" s="297">
        <f t="shared" si="39"/>
        <v>42675</v>
      </c>
      <c r="K592" s="67">
        <f t="shared" si="37"/>
        <v>6</v>
      </c>
      <c r="L592" s="148">
        <v>2.23333E-3</v>
      </c>
      <c r="M592" s="104">
        <f t="shared" si="36"/>
        <v>1.5669936611999999</v>
      </c>
      <c r="O592" s="66"/>
      <c r="Q592" s="66">
        <f t="shared" si="38"/>
        <v>1.9346017624999998</v>
      </c>
    </row>
    <row r="593" spans="1:17">
      <c r="A593" s="145" t="s">
        <v>626</v>
      </c>
      <c r="B593" s="146" t="s">
        <v>1681</v>
      </c>
      <c r="C593" s="146" t="s">
        <v>2093</v>
      </c>
      <c r="D593" s="145" t="s">
        <v>2094</v>
      </c>
      <c r="E593" s="146" t="s">
        <v>209</v>
      </c>
      <c r="F593" s="145" t="s">
        <v>1612</v>
      </c>
      <c r="G593" s="146" t="s">
        <v>20</v>
      </c>
      <c r="H593" s="146">
        <v>201605</v>
      </c>
      <c r="I593" s="147">
        <v>949.56</v>
      </c>
      <c r="J593" s="297">
        <f t="shared" si="39"/>
        <v>42675</v>
      </c>
      <c r="K593" s="67">
        <f t="shared" si="37"/>
        <v>6</v>
      </c>
      <c r="L593" s="148">
        <v>1.4833299999999999E-3</v>
      </c>
      <c r="M593" s="104">
        <f t="shared" si="36"/>
        <v>8.4510650087999988</v>
      </c>
      <c r="O593" s="66"/>
      <c r="Q593" s="66">
        <f t="shared" si="38"/>
        <v>15.709085424999998</v>
      </c>
    </row>
    <row r="594" spans="1:17">
      <c r="A594" s="145" t="s">
        <v>626</v>
      </c>
      <c r="B594" s="146" t="s">
        <v>1597</v>
      </c>
      <c r="C594" s="146" t="s">
        <v>1598</v>
      </c>
      <c r="D594" s="145" t="s">
        <v>1599</v>
      </c>
      <c r="E594" s="146" t="s">
        <v>164</v>
      </c>
      <c r="F594" s="145" t="s">
        <v>1600</v>
      </c>
      <c r="G594" s="146" t="s">
        <v>20</v>
      </c>
      <c r="H594" s="146">
        <v>201606</v>
      </c>
      <c r="I594" s="147">
        <v>5.18</v>
      </c>
      <c r="J594" s="297">
        <f t="shared" si="39"/>
        <v>42675</v>
      </c>
      <c r="K594" s="67">
        <f t="shared" si="37"/>
        <v>6</v>
      </c>
      <c r="L594" s="148">
        <v>1.4833299999999999E-3</v>
      </c>
      <c r="M594" s="104">
        <f t="shared" si="36"/>
        <v>4.6101896399999995E-2</v>
      </c>
      <c r="O594" s="66"/>
      <c r="Q594" s="66">
        <f t="shared" si="38"/>
        <v>8.5695545833333331E-2</v>
      </c>
    </row>
    <row r="595" spans="1:17">
      <c r="A595" s="145" t="s">
        <v>14</v>
      </c>
      <c r="B595" s="146" t="s">
        <v>30</v>
      </c>
      <c r="C595" s="146" t="s">
        <v>31</v>
      </c>
      <c r="D595" s="145" t="s">
        <v>32</v>
      </c>
      <c r="E595" s="146" t="s">
        <v>33</v>
      </c>
      <c r="F595" s="145" t="s">
        <v>34</v>
      </c>
      <c r="G595" s="146" t="s">
        <v>20</v>
      </c>
      <c r="H595" s="146">
        <v>201606</v>
      </c>
      <c r="I595" s="147">
        <v>2337.11</v>
      </c>
      <c r="J595" s="297">
        <f t="shared" si="39"/>
        <v>42675</v>
      </c>
      <c r="K595" s="67">
        <f t="shared" si="37"/>
        <v>6</v>
      </c>
      <c r="L595" s="148">
        <v>2.23333E-3</v>
      </c>
      <c r="M595" s="104">
        <f t="shared" si="36"/>
        <v>31.317227257799999</v>
      </c>
      <c r="O595" s="66"/>
      <c r="Q595" s="66">
        <f t="shared" si="38"/>
        <v>38.664076664583341</v>
      </c>
    </row>
    <row r="596" spans="1:17">
      <c r="A596" s="145" t="s">
        <v>14</v>
      </c>
      <c r="B596" s="146" t="s">
        <v>37</v>
      </c>
      <c r="C596" s="146" t="s">
        <v>38</v>
      </c>
      <c r="D596" s="145" t="s">
        <v>39</v>
      </c>
      <c r="E596" s="146" t="s">
        <v>40</v>
      </c>
      <c r="F596" s="145" t="s">
        <v>41</v>
      </c>
      <c r="G596" s="146" t="s">
        <v>20</v>
      </c>
      <c r="H596" s="146">
        <v>201606</v>
      </c>
      <c r="I596" s="147">
        <v>8270.3799999999992</v>
      </c>
      <c r="J596" s="297">
        <f t="shared" si="39"/>
        <v>42675</v>
      </c>
      <c r="K596" s="67">
        <f t="shared" si="37"/>
        <v>6</v>
      </c>
      <c r="L596" s="148">
        <v>2.23333E-3</v>
      </c>
      <c r="M596" s="104">
        <f t="shared" si="36"/>
        <v>110.82292659239998</v>
      </c>
      <c r="O596" s="66"/>
      <c r="Q596" s="66">
        <f t="shared" si="38"/>
        <v>136.82137612916668</v>
      </c>
    </row>
    <row r="597" spans="1:17">
      <c r="A597" s="145" t="s">
        <v>14</v>
      </c>
      <c r="B597" s="146" t="s">
        <v>43</v>
      </c>
      <c r="C597" s="146" t="s">
        <v>44</v>
      </c>
      <c r="D597" s="145" t="s">
        <v>45</v>
      </c>
      <c r="E597" s="146" t="s">
        <v>46</v>
      </c>
      <c r="F597" s="145" t="s">
        <v>41</v>
      </c>
      <c r="G597" s="146" t="s">
        <v>20</v>
      </c>
      <c r="H597" s="146">
        <v>201606</v>
      </c>
      <c r="I597" s="147">
        <v>48.73</v>
      </c>
      <c r="J597" s="297">
        <f t="shared" si="39"/>
        <v>42675</v>
      </c>
      <c r="K597" s="67">
        <f t="shared" si="37"/>
        <v>6</v>
      </c>
      <c r="L597" s="148">
        <v>2.23333E-3</v>
      </c>
      <c r="M597" s="104">
        <f t="shared" si="36"/>
        <v>0.65298102539999991</v>
      </c>
      <c r="O597" s="66"/>
      <c r="Q597" s="66">
        <f t="shared" si="38"/>
        <v>0.80616678541666664</v>
      </c>
    </row>
    <row r="598" spans="1:17">
      <c r="A598" s="145" t="s">
        <v>990</v>
      </c>
      <c r="B598" s="146" t="s">
        <v>991</v>
      </c>
      <c r="C598" s="146" t="s">
        <v>992</v>
      </c>
      <c r="D598" s="145" t="s">
        <v>993</v>
      </c>
      <c r="E598" s="146" t="s">
        <v>994</v>
      </c>
      <c r="F598" s="145" t="s">
        <v>995</v>
      </c>
      <c r="G598" s="146" t="s">
        <v>20</v>
      </c>
      <c r="H598" s="146">
        <v>201606</v>
      </c>
      <c r="I598" s="147">
        <v>129.81</v>
      </c>
      <c r="J598" s="297">
        <f t="shared" si="39"/>
        <v>42675</v>
      </c>
      <c r="K598" s="67">
        <f t="shared" si="37"/>
        <v>6</v>
      </c>
      <c r="L598" s="148">
        <v>2.3833299999999999E-3</v>
      </c>
      <c r="M598" s="104">
        <f t="shared" si="36"/>
        <v>1.8562804038</v>
      </c>
      <c r="O598" s="66"/>
      <c r="Q598" s="66">
        <f t="shared" si="38"/>
        <v>2.14751714375</v>
      </c>
    </row>
    <row r="599" spans="1:17">
      <c r="A599" s="145" t="s">
        <v>990</v>
      </c>
      <c r="B599" s="146" t="s">
        <v>996</v>
      </c>
      <c r="C599" s="146" t="s">
        <v>997</v>
      </c>
      <c r="D599" s="145" t="s">
        <v>998</v>
      </c>
      <c r="E599" s="146" t="s">
        <v>999</v>
      </c>
      <c r="F599" s="145" t="s">
        <v>995</v>
      </c>
      <c r="G599" s="146" t="s">
        <v>20</v>
      </c>
      <c r="H599" s="146">
        <v>201606</v>
      </c>
      <c r="I599" s="147">
        <v>258.26</v>
      </c>
      <c r="J599" s="297">
        <f t="shared" si="39"/>
        <v>42675</v>
      </c>
      <c r="K599" s="67">
        <f t="shared" si="37"/>
        <v>6</v>
      </c>
      <c r="L599" s="148">
        <v>2.3833299999999999E-3</v>
      </c>
      <c r="M599" s="104">
        <f t="shared" si="36"/>
        <v>3.6931128348</v>
      </c>
      <c r="O599" s="66"/>
      <c r="Q599" s="66">
        <f t="shared" si="38"/>
        <v>4.2725350708333334</v>
      </c>
    </row>
    <row r="600" spans="1:17">
      <c r="A600" s="145" t="s">
        <v>990</v>
      </c>
      <c r="B600" s="146" t="s">
        <v>1000</v>
      </c>
      <c r="C600" s="146" t="s">
        <v>1001</v>
      </c>
      <c r="D600" s="145" t="s">
        <v>1672</v>
      </c>
      <c r="E600" s="146" t="s">
        <v>1002</v>
      </c>
      <c r="F600" s="145" t="s">
        <v>1604</v>
      </c>
      <c r="G600" s="146" t="s">
        <v>20</v>
      </c>
      <c r="H600" s="146">
        <v>201606</v>
      </c>
      <c r="I600" s="147">
        <v>6405.92</v>
      </c>
      <c r="J600" s="297">
        <f t="shared" si="39"/>
        <v>42675</v>
      </c>
      <c r="K600" s="67">
        <f t="shared" si="37"/>
        <v>6</v>
      </c>
      <c r="L600" s="148">
        <v>2.3833299999999999E-3</v>
      </c>
      <c r="M600" s="104">
        <f t="shared" si="36"/>
        <v>91.604527881600006</v>
      </c>
      <c r="O600" s="66"/>
      <c r="Q600" s="66">
        <f t="shared" si="38"/>
        <v>105.97660443333334</v>
      </c>
    </row>
    <row r="601" spans="1:17">
      <c r="A601" s="145" t="s">
        <v>14</v>
      </c>
      <c r="B601" s="146" t="s">
        <v>107</v>
      </c>
      <c r="C601" s="146" t="s">
        <v>108</v>
      </c>
      <c r="D601" s="145" t="s">
        <v>109</v>
      </c>
      <c r="E601" s="146" t="s">
        <v>110</v>
      </c>
      <c r="F601" s="145" t="s">
        <v>52</v>
      </c>
      <c r="G601" s="146" t="s">
        <v>20</v>
      </c>
      <c r="H601" s="146">
        <v>201606</v>
      </c>
      <c r="I601" s="147">
        <v>314.33999999999997</v>
      </c>
      <c r="J601" s="297">
        <f t="shared" si="39"/>
        <v>42675</v>
      </c>
      <c r="K601" s="67">
        <f t="shared" si="37"/>
        <v>6</v>
      </c>
      <c r="L601" s="148">
        <v>2.23333E-3</v>
      </c>
      <c r="M601" s="104">
        <f t="shared" si="36"/>
        <v>4.2121497131999996</v>
      </c>
      <c r="O601" s="66"/>
      <c r="Q601" s="66">
        <f t="shared" si="38"/>
        <v>5.2002968874999995</v>
      </c>
    </row>
    <row r="602" spans="1:17">
      <c r="A602" s="145" t="s">
        <v>554</v>
      </c>
      <c r="B602" s="146" t="s">
        <v>116</v>
      </c>
      <c r="C602" s="146" t="s">
        <v>117</v>
      </c>
      <c r="D602" s="145" t="s">
        <v>118</v>
      </c>
      <c r="E602" s="146" t="s">
        <v>119</v>
      </c>
      <c r="F602" s="145" t="s">
        <v>1605</v>
      </c>
      <c r="G602" s="146" t="s">
        <v>20</v>
      </c>
      <c r="H602" s="146">
        <v>201606</v>
      </c>
      <c r="I602" s="147">
        <v>181739.69</v>
      </c>
      <c r="J602" s="297">
        <f t="shared" si="39"/>
        <v>42675</v>
      </c>
      <c r="K602" s="67">
        <f t="shared" si="37"/>
        <v>6</v>
      </c>
      <c r="L602" s="148">
        <v>1.4833299999999999E-3</v>
      </c>
      <c r="M602" s="104">
        <f t="shared" si="36"/>
        <v>1617.4796062062001</v>
      </c>
      <c r="O602" s="66"/>
      <c r="Q602" s="66">
        <f t="shared" si="38"/>
        <v>3006.6181340020835</v>
      </c>
    </row>
    <row r="603" spans="1:17">
      <c r="A603" s="145" t="s">
        <v>14</v>
      </c>
      <c r="B603" s="146" t="s">
        <v>555</v>
      </c>
      <c r="C603" s="146" t="s">
        <v>556</v>
      </c>
      <c r="D603" s="145" t="s">
        <v>45</v>
      </c>
      <c r="E603" s="146" t="s">
        <v>557</v>
      </c>
      <c r="F603" s="145" t="s">
        <v>41</v>
      </c>
      <c r="G603" s="146" t="s">
        <v>20</v>
      </c>
      <c r="H603" s="146">
        <v>201606</v>
      </c>
      <c r="I603" s="147">
        <v>-30.52</v>
      </c>
      <c r="J603" s="297">
        <f t="shared" si="39"/>
        <v>42675</v>
      </c>
      <c r="K603" s="67">
        <f t="shared" si="37"/>
        <v>6</v>
      </c>
      <c r="L603" s="148">
        <v>2.23333E-3</v>
      </c>
      <c r="M603" s="104">
        <f t="shared" si="36"/>
        <v>-0.40896738959999995</v>
      </c>
      <c r="O603" s="66"/>
      <c r="Q603" s="66">
        <f t="shared" si="38"/>
        <v>-0.50490889166666675</v>
      </c>
    </row>
    <row r="604" spans="1:17">
      <c r="A604" s="145" t="s">
        <v>990</v>
      </c>
      <c r="B604" s="146" t="s">
        <v>1003</v>
      </c>
      <c r="C604" s="146" t="s">
        <v>1004</v>
      </c>
      <c r="D604" s="145" t="s">
        <v>1673</v>
      </c>
      <c r="E604" s="146" t="s">
        <v>1006</v>
      </c>
      <c r="F604" s="145" t="s">
        <v>1606</v>
      </c>
      <c r="G604" s="146" t="s">
        <v>20</v>
      </c>
      <c r="H604" s="146">
        <v>201606</v>
      </c>
      <c r="I604" s="147">
        <v>39977.440000000002</v>
      </c>
      <c r="J604" s="297">
        <f t="shared" si="39"/>
        <v>42675</v>
      </c>
      <c r="K604" s="67">
        <f t="shared" si="37"/>
        <v>6</v>
      </c>
      <c r="L604" s="148">
        <v>2.3833299999999999E-3</v>
      </c>
      <c r="M604" s="104">
        <f t="shared" si="36"/>
        <v>571.67659245120001</v>
      </c>
      <c r="O604" s="66"/>
      <c r="Q604" s="66">
        <f t="shared" si="38"/>
        <v>661.36844436666672</v>
      </c>
    </row>
    <row r="605" spans="1:17">
      <c r="A605" s="145" t="s">
        <v>14</v>
      </c>
      <c r="B605" s="146" t="s">
        <v>2026</v>
      </c>
      <c r="C605" s="146" t="s">
        <v>2027</v>
      </c>
      <c r="D605" s="145" t="s">
        <v>2028</v>
      </c>
      <c r="E605" s="146" t="s">
        <v>2029</v>
      </c>
      <c r="F605" s="145" t="s">
        <v>710</v>
      </c>
      <c r="G605" s="146" t="s">
        <v>20</v>
      </c>
      <c r="H605" s="146">
        <v>201606</v>
      </c>
      <c r="I605" s="147">
        <v>62.43</v>
      </c>
      <c r="J605" s="297">
        <f t="shared" si="39"/>
        <v>42675</v>
      </c>
      <c r="K605" s="67">
        <f t="shared" si="37"/>
        <v>6</v>
      </c>
      <c r="L605" s="148">
        <v>2.23333E-3</v>
      </c>
      <c r="M605" s="104">
        <f t="shared" si="36"/>
        <v>0.83656075139999997</v>
      </c>
      <c r="O605" s="66"/>
      <c r="Q605" s="66">
        <f t="shared" si="38"/>
        <v>1.03281330625</v>
      </c>
    </row>
    <row r="606" spans="1:17">
      <c r="A606" s="145" t="s">
        <v>14</v>
      </c>
      <c r="B606" s="146" t="s">
        <v>1247</v>
      </c>
      <c r="C606" s="146" t="s">
        <v>1248</v>
      </c>
      <c r="D606" s="145" t="s">
        <v>708</v>
      </c>
      <c r="E606" s="146" t="s">
        <v>1249</v>
      </c>
      <c r="F606" s="145" t="s">
        <v>710</v>
      </c>
      <c r="G606" s="146" t="s">
        <v>20</v>
      </c>
      <c r="H606" s="146">
        <v>201606</v>
      </c>
      <c r="I606" s="147">
        <v>0.14000000000000001</v>
      </c>
      <c r="J606" s="297">
        <f t="shared" si="39"/>
        <v>42675</v>
      </c>
      <c r="K606" s="67">
        <f t="shared" si="37"/>
        <v>6</v>
      </c>
      <c r="L606" s="148">
        <v>2.23333E-3</v>
      </c>
      <c r="M606" s="104">
        <f t="shared" si="36"/>
        <v>1.8759972E-3</v>
      </c>
      <c r="O606" s="66"/>
      <c r="Q606" s="66">
        <f t="shared" si="38"/>
        <v>2.3160958333333335E-3</v>
      </c>
    </row>
    <row r="607" spans="1:17">
      <c r="A607" s="145" t="s">
        <v>21</v>
      </c>
      <c r="B607" s="146" t="s">
        <v>1767</v>
      </c>
      <c r="C607" s="146" t="s">
        <v>1768</v>
      </c>
      <c r="D607" s="145" t="s">
        <v>1769</v>
      </c>
      <c r="E607" s="146" t="s">
        <v>1413</v>
      </c>
      <c r="F607" s="145" t="s">
        <v>88</v>
      </c>
      <c r="G607" s="146" t="s">
        <v>20</v>
      </c>
      <c r="H607" s="146">
        <v>201606</v>
      </c>
      <c r="I607" s="147">
        <v>200.76</v>
      </c>
      <c r="J607" s="297">
        <f t="shared" si="39"/>
        <v>42675</v>
      </c>
      <c r="K607" s="67">
        <f t="shared" si="37"/>
        <v>6</v>
      </c>
      <c r="L607" s="148">
        <v>1.4833299999999999E-3</v>
      </c>
      <c r="M607" s="104">
        <f t="shared" si="36"/>
        <v>1.7867599848</v>
      </c>
      <c r="O607" s="66"/>
      <c r="Q607" s="66">
        <f t="shared" si="38"/>
        <v>3.321281425</v>
      </c>
    </row>
    <row r="608" spans="1:17">
      <c r="A608" s="145" t="s">
        <v>21</v>
      </c>
      <c r="B608" s="146" t="s">
        <v>1072</v>
      </c>
      <c r="C608" s="146" t="s">
        <v>1073</v>
      </c>
      <c r="D608" s="145" t="s">
        <v>1074</v>
      </c>
      <c r="E608" s="146" t="s">
        <v>857</v>
      </c>
      <c r="F608" s="145" t="s">
        <v>88</v>
      </c>
      <c r="G608" s="146" t="s">
        <v>20</v>
      </c>
      <c r="H608" s="146">
        <v>201606</v>
      </c>
      <c r="I608" s="147">
        <v>19.3</v>
      </c>
      <c r="J608" s="297">
        <f t="shared" si="39"/>
        <v>42675</v>
      </c>
      <c r="K608" s="67">
        <f t="shared" si="37"/>
        <v>6</v>
      </c>
      <c r="L608" s="148">
        <v>1.4833299999999999E-3</v>
      </c>
      <c r="M608" s="104">
        <f t="shared" si="36"/>
        <v>0.17176961400000001</v>
      </c>
      <c r="O608" s="66"/>
      <c r="Q608" s="66">
        <f t="shared" si="38"/>
        <v>0.31929035416666668</v>
      </c>
    </row>
    <row r="609" spans="1:17">
      <c r="A609" s="145" t="s">
        <v>14</v>
      </c>
      <c r="B609" s="146" t="s">
        <v>183</v>
      </c>
      <c r="C609" s="146" t="s">
        <v>184</v>
      </c>
      <c r="D609" s="145" t="s">
        <v>45</v>
      </c>
      <c r="E609" s="146" t="s">
        <v>185</v>
      </c>
      <c r="F609" s="145" t="s">
        <v>41</v>
      </c>
      <c r="G609" s="146" t="s">
        <v>20</v>
      </c>
      <c r="H609" s="146">
        <v>201606</v>
      </c>
      <c r="I609" s="147">
        <v>346.39</v>
      </c>
      <c r="J609" s="297">
        <f t="shared" si="39"/>
        <v>42675</v>
      </c>
      <c r="K609" s="67">
        <f t="shared" si="37"/>
        <v>6</v>
      </c>
      <c r="L609" s="148">
        <v>2.23333E-3</v>
      </c>
      <c r="M609" s="104">
        <f t="shared" si="36"/>
        <v>4.6416190721999993</v>
      </c>
      <c r="O609" s="66"/>
      <c r="Q609" s="66">
        <f t="shared" si="38"/>
        <v>5.7305173979166666</v>
      </c>
    </row>
    <row r="610" spans="1:17">
      <c r="A610" s="145" t="s">
        <v>14</v>
      </c>
      <c r="B610" s="146" t="s">
        <v>191</v>
      </c>
      <c r="C610" s="146" t="s">
        <v>192</v>
      </c>
      <c r="D610" s="145" t="s">
        <v>193</v>
      </c>
      <c r="E610" s="146" t="s">
        <v>194</v>
      </c>
      <c r="F610" s="145" t="s">
        <v>115</v>
      </c>
      <c r="G610" s="146" t="s">
        <v>20</v>
      </c>
      <c r="H610" s="146">
        <v>201606</v>
      </c>
      <c r="I610" s="147">
        <v>-23.64</v>
      </c>
      <c r="J610" s="297">
        <f t="shared" si="39"/>
        <v>42675</v>
      </c>
      <c r="K610" s="67">
        <f t="shared" si="37"/>
        <v>6</v>
      </c>
      <c r="L610" s="148">
        <v>2.23333E-3</v>
      </c>
      <c r="M610" s="104">
        <f t="shared" si="36"/>
        <v>-0.31677552719999996</v>
      </c>
      <c r="O610" s="66"/>
      <c r="Q610" s="66">
        <f t="shared" si="38"/>
        <v>-0.39108932500000004</v>
      </c>
    </row>
    <row r="611" spans="1:17">
      <c r="A611" s="145" t="s">
        <v>14</v>
      </c>
      <c r="B611" s="146" t="s">
        <v>195</v>
      </c>
      <c r="C611" s="146" t="s">
        <v>196</v>
      </c>
      <c r="D611" s="145" t="s">
        <v>1674</v>
      </c>
      <c r="E611" s="146" t="s">
        <v>198</v>
      </c>
      <c r="F611" s="145" t="s">
        <v>1610</v>
      </c>
      <c r="G611" s="146" t="s">
        <v>20</v>
      </c>
      <c r="H611" s="146">
        <v>201606</v>
      </c>
      <c r="I611" s="147">
        <v>398984.24</v>
      </c>
      <c r="J611" s="297">
        <f t="shared" si="39"/>
        <v>42675</v>
      </c>
      <c r="K611" s="67">
        <f t="shared" si="37"/>
        <v>6</v>
      </c>
      <c r="L611" s="148">
        <v>2.23333E-3</v>
      </c>
      <c r="M611" s="104">
        <f t="shared" si="36"/>
        <v>5346.3808363151993</v>
      </c>
      <c r="O611" s="66"/>
      <c r="Q611" s="66">
        <f t="shared" si="38"/>
        <v>6600.6123987833334</v>
      </c>
    </row>
    <row r="612" spans="1:17">
      <c r="A612" s="145" t="s">
        <v>14</v>
      </c>
      <c r="B612" s="146" t="s">
        <v>200</v>
      </c>
      <c r="C612" s="146" t="s">
        <v>201</v>
      </c>
      <c r="D612" s="145" t="s">
        <v>1675</v>
      </c>
      <c r="E612" s="146" t="s">
        <v>202</v>
      </c>
      <c r="F612" s="145" t="s">
        <v>1611</v>
      </c>
      <c r="G612" s="146" t="s">
        <v>20</v>
      </c>
      <c r="H612" s="146">
        <v>201606</v>
      </c>
      <c r="I612" s="147">
        <v>32430.35</v>
      </c>
      <c r="J612" s="297">
        <f t="shared" si="39"/>
        <v>42675</v>
      </c>
      <c r="K612" s="67">
        <f t="shared" si="37"/>
        <v>6</v>
      </c>
      <c r="L612" s="148">
        <v>2.23333E-3</v>
      </c>
      <c r="M612" s="104">
        <f t="shared" si="36"/>
        <v>434.56604139299992</v>
      </c>
      <c r="O612" s="66"/>
      <c r="Q612" s="66">
        <f t="shared" si="38"/>
        <v>536.51284648958335</v>
      </c>
    </row>
    <row r="613" spans="1:17">
      <c r="A613" s="145" t="s">
        <v>626</v>
      </c>
      <c r="B613" s="146" t="s">
        <v>1855</v>
      </c>
      <c r="C613" s="146" t="s">
        <v>1856</v>
      </c>
      <c r="D613" s="145" t="s">
        <v>1857</v>
      </c>
      <c r="E613" s="146" t="s">
        <v>209</v>
      </c>
      <c r="F613" s="145" t="s">
        <v>1612</v>
      </c>
      <c r="G613" s="146" t="s">
        <v>20</v>
      </c>
      <c r="H613" s="146">
        <v>201606</v>
      </c>
      <c r="I613" s="147">
        <v>1744.96</v>
      </c>
      <c r="J613" s="297">
        <f t="shared" si="39"/>
        <v>42675</v>
      </c>
      <c r="K613" s="67">
        <f t="shared" si="37"/>
        <v>6</v>
      </c>
      <c r="L613" s="148">
        <v>1.4833299999999999E-3</v>
      </c>
      <c r="M613" s="104">
        <f t="shared" si="36"/>
        <v>15.530109100800001</v>
      </c>
      <c r="O613" s="66"/>
      <c r="Q613" s="66">
        <f t="shared" si="38"/>
        <v>28.86781846666667</v>
      </c>
    </row>
    <row r="614" spans="1:17">
      <c r="A614" s="145" t="s">
        <v>14</v>
      </c>
      <c r="B614" s="146" t="s">
        <v>481</v>
      </c>
      <c r="C614" s="146" t="s">
        <v>482</v>
      </c>
      <c r="D614" s="145" t="s">
        <v>483</v>
      </c>
      <c r="E614" s="146" t="s">
        <v>484</v>
      </c>
      <c r="F614" s="145" t="s">
        <v>190</v>
      </c>
      <c r="G614" s="146" t="s">
        <v>20</v>
      </c>
      <c r="H614" s="146">
        <v>201606</v>
      </c>
      <c r="I614" s="147">
        <v>-28.28</v>
      </c>
      <c r="J614" s="297">
        <f t="shared" si="39"/>
        <v>42675</v>
      </c>
      <c r="K614" s="67">
        <f t="shared" si="37"/>
        <v>6</v>
      </c>
      <c r="L614" s="148">
        <v>2.23333E-3</v>
      </c>
      <c r="M614" s="104">
        <f t="shared" si="36"/>
        <v>-0.37895143440000001</v>
      </c>
      <c r="O614" s="66"/>
      <c r="Q614" s="66">
        <f t="shared" si="38"/>
        <v>-0.46785135833333341</v>
      </c>
    </row>
    <row r="615" spans="1:17">
      <c r="A615" s="145" t="s">
        <v>990</v>
      </c>
      <c r="B615" s="146" t="s">
        <v>1010</v>
      </c>
      <c r="C615" s="146" t="s">
        <v>1011</v>
      </c>
      <c r="D615" s="145" t="s">
        <v>1012</v>
      </c>
      <c r="E615" s="146" t="s">
        <v>1013</v>
      </c>
      <c r="F615" s="145" t="s">
        <v>995</v>
      </c>
      <c r="G615" s="146" t="s">
        <v>20</v>
      </c>
      <c r="H615" s="146">
        <v>201606</v>
      </c>
      <c r="I615" s="147">
        <v>1553.35</v>
      </c>
      <c r="J615" s="297">
        <f t="shared" si="39"/>
        <v>42675</v>
      </c>
      <c r="K615" s="67">
        <f t="shared" si="37"/>
        <v>6</v>
      </c>
      <c r="L615" s="148">
        <v>2.3833299999999999E-3</v>
      </c>
      <c r="M615" s="104">
        <f t="shared" si="36"/>
        <v>22.212873933000001</v>
      </c>
      <c r="O615" s="66"/>
      <c r="Q615" s="66">
        <f t="shared" si="38"/>
        <v>25.697910447916666</v>
      </c>
    </row>
    <row r="616" spans="1:17">
      <c r="A616" s="145" t="s">
        <v>21</v>
      </c>
      <c r="B616" s="146" t="s">
        <v>485</v>
      </c>
      <c r="C616" s="146" t="s">
        <v>486</v>
      </c>
      <c r="D616" s="145" t="s">
        <v>487</v>
      </c>
      <c r="E616" s="146" t="s">
        <v>75</v>
      </c>
      <c r="F616" s="145" t="s">
        <v>1602</v>
      </c>
      <c r="G616" s="146" t="s">
        <v>20</v>
      </c>
      <c r="H616" s="146">
        <v>201606</v>
      </c>
      <c r="I616" s="147">
        <v>1.71</v>
      </c>
      <c r="J616" s="297">
        <f t="shared" si="39"/>
        <v>42675</v>
      </c>
      <c r="K616" s="67">
        <f t="shared" si="37"/>
        <v>6</v>
      </c>
      <c r="L616" s="148">
        <v>1.4833299999999999E-3</v>
      </c>
      <c r="M616" s="104">
        <f t="shared" si="36"/>
        <v>1.52189658E-2</v>
      </c>
      <c r="O616" s="66"/>
      <c r="Q616" s="66">
        <f t="shared" si="38"/>
        <v>2.8289456250000001E-2</v>
      </c>
    </row>
    <row r="617" spans="1:17">
      <c r="A617" s="145" t="s">
        <v>14</v>
      </c>
      <c r="B617" s="146" t="s">
        <v>236</v>
      </c>
      <c r="C617" s="146" t="s">
        <v>237</v>
      </c>
      <c r="D617" s="145" t="s">
        <v>188</v>
      </c>
      <c r="E617" s="146" t="s">
        <v>238</v>
      </c>
      <c r="F617" s="145" t="s">
        <v>190</v>
      </c>
      <c r="G617" s="146" t="s">
        <v>20</v>
      </c>
      <c r="H617" s="146">
        <v>201606</v>
      </c>
      <c r="I617" s="147">
        <v>103837.23</v>
      </c>
      <c r="J617" s="297">
        <f t="shared" si="39"/>
        <v>42675</v>
      </c>
      <c r="K617" s="67">
        <f t="shared" si="37"/>
        <v>6</v>
      </c>
      <c r="L617" s="148">
        <v>2.23333E-3</v>
      </c>
      <c r="M617" s="104">
        <f t="shared" si="36"/>
        <v>1391.4168052553998</v>
      </c>
      <c r="O617" s="66"/>
      <c r="Q617" s="66">
        <f t="shared" si="38"/>
        <v>1717.8355410562501</v>
      </c>
    </row>
    <row r="618" spans="1:17">
      <c r="A618" s="145" t="s">
        <v>14</v>
      </c>
      <c r="B618" s="146" t="s">
        <v>239</v>
      </c>
      <c r="C618" s="146" t="s">
        <v>240</v>
      </c>
      <c r="D618" s="145" t="s">
        <v>197</v>
      </c>
      <c r="E618" s="146" t="s">
        <v>241</v>
      </c>
      <c r="F618" s="145" t="s">
        <v>199</v>
      </c>
      <c r="G618" s="146" t="s">
        <v>20</v>
      </c>
      <c r="H618" s="146">
        <v>201606</v>
      </c>
      <c r="I618" s="147">
        <v>-11.95</v>
      </c>
      <c r="J618" s="297">
        <f t="shared" si="39"/>
        <v>42675</v>
      </c>
      <c r="K618" s="67">
        <f t="shared" si="37"/>
        <v>6</v>
      </c>
      <c r="L618" s="148">
        <v>2.23333E-3</v>
      </c>
      <c r="M618" s="104">
        <f t="shared" si="36"/>
        <v>-0.16012976099999998</v>
      </c>
      <c r="O618" s="66"/>
      <c r="Q618" s="66">
        <f t="shared" si="38"/>
        <v>-0.19769532291666667</v>
      </c>
    </row>
    <row r="619" spans="1:17">
      <c r="A619" s="145" t="s">
        <v>127</v>
      </c>
      <c r="B619" s="146" t="s">
        <v>1032</v>
      </c>
      <c r="C619" s="146" t="s">
        <v>1033</v>
      </c>
      <c r="D619" s="145" t="s">
        <v>1034</v>
      </c>
      <c r="E619" s="146" t="s">
        <v>209</v>
      </c>
      <c r="F619" s="145" t="s">
        <v>1612</v>
      </c>
      <c r="G619" s="146" t="s">
        <v>20</v>
      </c>
      <c r="H619" s="146">
        <v>201606</v>
      </c>
      <c r="I619" s="147">
        <v>120.14</v>
      </c>
      <c r="J619" s="297">
        <f t="shared" si="39"/>
        <v>42675</v>
      </c>
      <c r="K619" s="67">
        <f t="shared" si="37"/>
        <v>6</v>
      </c>
      <c r="L619" s="148">
        <v>2.3833299999999999E-3</v>
      </c>
      <c r="M619" s="104">
        <f t="shared" si="36"/>
        <v>1.7179995972</v>
      </c>
      <c r="O619" s="66"/>
      <c r="Q619" s="66">
        <f t="shared" si="38"/>
        <v>1.9875410958333335</v>
      </c>
    </row>
    <row r="620" spans="1:17">
      <c r="A620" s="145" t="s">
        <v>14</v>
      </c>
      <c r="B620" s="146" t="s">
        <v>706</v>
      </c>
      <c r="C620" s="146" t="s">
        <v>707</v>
      </c>
      <c r="D620" s="145" t="s">
        <v>708</v>
      </c>
      <c r="E620" s="146" t="s">
        <v>709</v>
      </c>
      <c r="F620" s="145" t="s">
        <v>710</v>
      </c>
      <c r="G620" s="146" t="s">
        <v>20</v>
      </c>
      <c r="H620" s="146">
        <v>201606</v>
      </c>
      <c r="I620" s="147">
        <v>-17.690000000000001</v>
      </c>
      <c r="J620" s="297">
        <f t="shared" si="39"/>
        <v>42675</v>
      </c>
      <c r="K620" s="67">
        <f t="shared" si="37"/>
        <v>6</v>
      </c>
      <c r="L620" s="148">
        <v>2.23333E-3</v>
      </c>
      <c r="M620" s="104">
        <f t="shared" si="36"/>
        <v>-0.23704564619999999</v>
      </c>
      <c r="O620" s="66"/>
      <c r="Q620" s="66">
        <f t="shared" si="38"/>
        <v>-0.29265525208333337</v>
      </c>
    </row>
    <row r="621" spans="1:17">
      <c r="A621" s="145" t="s">
        <v>14</v>
      </c>
      <c r="B621" s="146" t="s">
        <v>267</v>
      </c>
      <c r="C621" s="146" t="s">
        <v>268</v>
      </c>
      <c r="D621" s="145" t="s">
        <v>269</v>
      </c>
      <c r="E621" s="146" t="s">
        <v>270</v>
      </c>
      <c r="F621" s="145" t="s">
        <v>115</v>
      </c>
      <c r="G621" s="146" t="s">
        <v>20</v>
      </c>
      <c r="H621" s="146">
        <v>201606</v>
      </c>
      <c r="I621" s="147">
        <v>729.4</v>
      </c>
      <c r="J621" s="297">
        <f t="shared" si="39"/>
        <v>42675</v>
      </c>
      <c r="K621" s="67">
        <f t="shared" si="37"/>
        <v>6</v>
      </c>
      <c r="L621" s="148">
        <v>2.23333E-3</v>
      </c>
      <c r="M621" s="104">
        <f t="shared" si="36"/>
        <v>9.773945411999998</v>
      </c>
      <c r="O621" s="66"/>
      <c r="Q621" s="66">
        <f t="shared" si="38"/>
        <v>12.066859291666667</v>
      </c>
    </row>
    <row r="622" spans="1:17">
      <c r="A622" s="145" t="s">
        <v>14</v>
      </c>
      <c r="B622" s="146" t="s">
        <v>271</v>
      </c>
      <c r="C622" s="146" t="s">
        <v>272</v>
      </c>
      <c r="D622" s="145" t="s">
        <v>197</v>
      </c>
      <c r="E622" s="146" t="s">
        <v>273</v>
      </c>
      <c r="F622" s="145" t="s">
        <v>199</v>
      </c>
      <c r="G622" s="146" t="s">
        <v>20</v>
      </c>
      <c r="H622" s="146">
        <v>201606</v>
      </c>
      <c r="I622" s="147">
        <v>0.03</v>
      </c>
      <c r="J622" s="297">
        <f t="shared" si="39"/>
        <v>42675</v>
      </c>
      <c r="K622" s="67">
        <f t="shared" si="37"/>
        <v>6</v>
      </c>
      <c r="L622" s="148">
        <v>2.23333E-3</v>
      </c>
      <c r="M622" s="104">
        <f t="shared" si="36"/>
        <v>4.0199939999999997E-4</v>
      </c>
      <c r="O622" s="66"/>
      <c r="Q622" s="66">
        <f t="shared" si="38"/>
        <v>4.9630624999999994E-4</v>
      </c>
    </row>
    <row r="623" spans="1:17">
      <c r="A623" s="145" t="s">
        <v>626</v>
      </c>
      <c r="B623" s="146" t="s">
        <v>1250</v>
      </c>
      <c r="C623" s="146" t="s">
        <v>1251</v>
      </c>
      <c r="D623" s="145" t="s">
        <v>1252</v>
      </c>
      <c r="E623" s="146" t="s">
        <v>260</v>
      </c>
      <c r="F623" s="145" t="s">
        <v>1608</v>
      </c>
      <c r="G623" s="146" t="s">
        <v>20</v>
      </c>
      <c r="H623" s="146">
        <v>201606</v>
      </c>
      <c r="I623" s="147">
        <v>125.34</v>
      </c>
      <c r="J623" s="297">
        <f t="shared" si="39"/>
        <v>42675</v>
      </c>
      <c r="K623" s="67">
        <f t="shared" si="37"/>
        <v>6</v>
      </c>
      <c r="L623" s="148">
        <v>1.4833299999999999E-3</v>
      </c>
      <c r="M623" s="104">
        <f t="shared" si="36"/>
        <v>1.1155234932</v>
      </c>
      <c r="O623" s="66"/>
      <c r="Q623" s="66">
        <f t="shared" si="38"/>
        <v>2.0735675124999999</v>
      </c>
    </row>
    <row r="624" spans="1:17">
      <c r="A624" s="145" t="s">
        <v>14</v>
      </c>
      <c r="B624" s="146" t="s">
        <v>1676</v>
      </c>
      <c r="C624" s="146" t="s">
        <v>1677</v>
      </c>
      <c r="D624" s="145" t="s">
        <v>50</v>
      </c>
      <c r="E624" s="146" t="s">
        <v>1678</v>
      </c>
      <c r="F624" s="145" t="s">
        <v>52</v>
      </c>
      <c r="G624" s="146" t="s">
        <v>20</v>
      </c>
      <c r="H624" s="146">
        <v>201606</v>
      </c>
      <c r="I624" s="147">
        <v>12.2</v>
      </c>
      <c r="J624" s="297">
        <f t="shared" si="39"/>
        <v>42675</v>
      </c>
      <c r="K624" s="67">
        <f t="shared" si="37"/>
        <v>6</v>
      </c>
      <c r="L624" s="148">
        <v>2.23333E-3</v>
      </c>
      <c r="M624" s="104">
        <f t="shared" si="36"/>
        <v>0.16347975599999998</v>
      </c>
      <c r="O624" s="66"/>
      <c r="Q624" s="66">
        <f t="shared" si="38"/>
        <v>0.20183120833333332</v>
      </c>
    </row>
    <row r="625" spans="1:17">
      <c r="A625" s="145" t="s">
        <v>990</v>
      </c>
      <c r="B625" s="146" t="s">
        <v>1017</v>
      </c>
      <c r="C625" s="146" t="s">
        <v>1018</v>
      </c>
      <c r="D625" s="145" t="s">
        <v>993</v>
      </c>
      <c r="E625" s="146" t="s">
        <v>1019</v>
      </c>
      <c r="F625" s="145" t="s">
        <v>995</v>
      </c>
      <c r="G625" s="146" t="s">
        <v>20</v>
      </c>
      <c r="H625" s="146">
        <v>201606</v>
      </c>
      <c r="I625" s="147">
        <v>12.25</v>
      </c>
      <c r="J625" s="297">
        <f t="shared" si="39"/>
        <v>42675</v>
      </c>
      <c r="K625" s="67">
        <f t="shared" si="37"/>
        <v>6</v>
      </c>
      <c r="L625" s="148">
        <v>2.3833299999999999E-3</v>
      </c>
      <c r="M625" s="104">
        <f t="shared" si="36"/>
        <v>0.17517475500000002</v>
      </c>
      <c r="O625" s="66"/>
      <c r="Q625" s="66">
        <f t="shared" si="38"/>
        <v>0.20265838541666667</v>
      </c>
    </row>
    <row r="626" spans="1:17">
      <c r="A626" s="145" t="s">
        <v>14</v>
      </c>
      <c r="B626" s="146" t="s">
        <v>292</v>
      </c>
      <c r="C626" s="146" t="s">
        <v>293</v>
      </c>
      <c r="D626" s="145" t="s">
        <v>1679</v>
      </c>
      <c r="E626" s="146" t="s">
        <v>294</v>
      </c>
      <c r="F626" s="145" t="s">
        <v>1613</v>
      </c>
      <c r="G626" s="146" t="s">
        <v>20</v>
      </c>
      <c r="H626" s="146">
        <v>201606</v>
      </c>
      <c r="I626" s="147">
        <v>63862.07</v>
      </c>
      <c r="J626" s="297">
        <f t="shared" si="39"/>
        <v>42675</v>
      </c>
      <c r="K626" s="67">
        <f t="shared" si="37"/>
        <v>6</v>
      </c>
      <c r="L626" s="148">
        <v>2.23333E-3</v>
      </c>
      <c r="M626" s="104">
        <f t="shared" si="36"/>
        <v>855.75046075859996</v>
      </c>
      <c r="O626" s="66"/>
      <c r="Q626" s="66">
        <f t="shared" si="38"/>
        <v>1056.5048159645833</v>
      </c>
    </row>
    <row r="627" spans="1:17">
      <c r="A627" s="145" t="s">
        <v>14</v>
      </c>
      <c r="B627" s="146" t="s">
        <v>419</v>
      </c>
      <c r="C627" s="146" t="s">
        <v>420</v>
      </c>
      <c r="D627" s="145" t="s">
        <v>50</v>
      </c>
      <c r="E627" s="146" t="s">
        <v>421</v>
      </c>
      <c r="F627" s="145" t="s">
        <v>52</v>
      </c>
      <c r="G627" s="146" t="s">
        <v>20</v>
      </c>
      <c r="H627" s="146">
        <v>201606</v>
      </c>
      <c r="I627" s="147">
        <v>1779.86</v>
      </c>
      <c r="J627" s="297">
        <f t="shared" si="39"/>
        <v>42675</v>
      </c>
      <c r="K627" s="67">
        <f t="shared" si="37"/>
        <v>6</v>
      </c>
      <c r="L627" s="148">
        <v>2.23333E-3</v>
      </c>
      <c r="M627" s="104">
        <f t="shared" si="36"/>
        <v>23.850088402799997</v>
      </c>
      <c r="O627" s="66"/>
      <c r="Q627" s="66">
        <f t="shared" si="38"/>
        <v>29.445188070833332</v>
      </c>
    </row>
    <row r="628" spans="1:17">
      <c r="A628" s="145" t="s">
        <v>14</v>
      </c>
      <c r="B628" s="146" t="s">
        <v>839</v>
      </c>
      <c r="C628" s="146" t="s">
        <v>840</v>
      </c>
      <c r="D628" s="145" t="s">
        <v>50</v>
      </c>
      <c r="E628" s="146" t="s">
        <v>841</v>
      </c>
      <c r="F628" s="145" t="s">
        <v>52</v>
      </c>
      <c r="G628" s="146" t="s">
        <v>20</v>
      </c>
      <c r="H628" s="146">
        <v>201606</v>
      </c>
      <c r="I628" s="147">
        <v>10.35</v>
      </c>
      <c r="J628" s="297">
        <f t="shared" si="39"/>
        <v>42675</v>
      </c>
      <c r="K628" s="67">
        <f t="shared" si="37"/>
        <v>6</v>
      </c>
      <c r="L628" s="148">
        <v>2.23333E-3</v>
      </c>
      <c r="M628" s="104">
        <f t="shared" si="36"/>
        <v>0.13868979299999998</v>
      </c>
      <c r="O628" s="66"/>
      <c r="Q628" s="66">
        <f t="shared" si="38"/>
        <v>0.17122565625</v>
      </c>
    </row>
    <row r="629" spans="1:17">
      <c r="A629" s="145" t="s">
        <v>990</v>
      </c>
      <c r="B629" s="146" t="s">
        <v>1020</v>
      </c>
      <c r="C629" s="146" t="s">
        <v>1021</v>
      </c>
      <c r="D629" s="145" t="s">
        <v>1680</v>
      </c>
      <c r="E629" s="146" t="s">
        <v>1022</v>
      </c>
      <c r="F629" s="145" t="s">
        <v>1614</v>
      </c>
      <c r="G629" s="146" t="s">
        <v>20</v>
      </c>
      <c r="H629" s="146">
        <v>201606</v>
      </c>
      <c r="I629" s="147">
        <v>4727.6099999999997</v>
      </c>
      <c r="J629" s="297">
        <f t="shared" si="39"/>
        <v>42675</v>
      </c>
      <c r="K629" s="67">
        <f t="shared" si="37"/>
        <v>6</v>
      </c>
      <c r="L629" s="148">
        <v>2.3833299999999999E-3</v>
      </c>
      <c r="M629" s="104">
        <f t="shared" si="36"/>
        <v>67.604728447799999</v>
      </c>
      <c r="O629" s="66"/>
      <c r="Q629" s="66">
        <f t="shared" si="38"/>
        <v>78.211413018749994</v>
      </c>
    </row>
    <row r="630" spans="1:17">
      <c r="A630" s="145" t="s">
        <v>14</v>
      </c>
      <c r="B630" s="146" t="s">
        <v>325</v>
      </c>
      <c r="C630" s="146" t="s">
        <v>326</v>
      </c>
      <c r="D630" s="145" t="s">
        <v>327</v>
      </c>
      <c r="E630" s="146" t="s">
        <v>328</v>
      </c>
      <c r="F630" s="145" t="s">
        <v>58</v>
      </c>
      <c r="G630" s="146" t="s">
        <v>20</v>
      </c>
      <c r="H630" s="146">
        <v>201606</v>
      </c>
      <c r="I630" s="147">
        <v>152.69</v>
      </c>
      <c r="J630" s="297">
        <f t="shared" si="39"/>
        <v>42675</v>
      </c>
      <c r="K630" s="67">
        <f t="shared" si="37"/>
        <v>6</v>
      </c>
      <c r="L630" s="148">
        <v>2.23333E-3</v>
      </c>
      <c r="M630" s="104">
        <f t="shared" si="36"/>
        <v>2.0460429461999996</v>
      </c>
      <c r="O630" s="66"/>
      <c r="Q630" s="66">
        <f t="shared" si="38"/>
        <v>2.5260333770833334</v>
      </c>
    </row>
    <row r="631" spans="1:17">
      <c r="A631" s="145" t="s">
        <v>21</v>
      </c>
      <c r="B631" s="146" t="s">
        <v>1823</v>
      </c>
      <c r="C631" s="146" t="s">
        <v>1824</v>
      </c>
      <c r="D631" s="145" t="s">
        <v>1825</v>
      </c>
      <c r="E631" s="146" t="s">
        <v>260</v>
      </c>
      <c r="F631" s="145" t="s">
        <v>1608</v>
      </c>
      <c r="G631" s="146" t="s">
        <v>20</v>
      </c>
      <c r="H631" s="146">
        <v>201606</v>
      </c>
      <c r="I631" s="147">
        <v>21.45</v>
      </c>
      <c r="J631" s="297">
        <f t="shared" si="39"/>
        <v>42675</v>
      </c>
      <c r="K631" s="67">
        <f t="shared" si="37"/>
        <v>6</v>
      </c>
      <c r="L631" s="148">
        <v>1.4833299999999999E-3</v>
      </c>
      <c r="M631" s="104">
        <f t="shared" si="36"/>
        <v>0.190904571</v>
      </c>
      <c r="O631" s="66"/>
      <c r="Q631" s="66">
        <f t="shared" si="38"/>
        <v>0.35485896875</v>
      </c>
    </row>
    <row r="632" spans="1:17">
      <c r="A632" s="145" t="s">
        <v>626</v>
      </c>
      <c r="B632" s="146" t="s">
        <v>1823</v>
      </c>
      <c r="C632" s="146" t="s">
        <v>1824</v>
      </c>
      <c r="D632" s="145" t="s">
        <v>1825</v>
      </c>
      <c r="E632" s="146" t="s">
        <v>260</v>
      </c>
      <c r="F632" s="145" t="s">
        <v>1608</v>
      </c>
      <c r="G632" s="146" t="s">
        <v>20</v>
      </c>
      <c r="H632" s="146">
        <v>201606</v>
      </c>
      <c r="I632" s="147">
        <v>201.67</v>
      </c>
      <c r="J632" s="297">
        <f t="shared" si="39"/>
        <v>42675</v>
      </c>
      <c r="K632" s="67">
        <f t="shared" si="37"/>
        <v>6</v>
      </c>
      <c r="L632" s="148">
        <v>1.4833299999999999E-3</v>
      </c>
      <c r="M632" s="104">
        <f t="shared" si="36"/>
        <v>1.7948589665999999</v>
      </c>
      <c r="O632" s="66"/>
      <c r="Q632" s="66">
        <f t="shared" si="38"/>
        <v>3.3363360479166668</v>
      </c>
    </row>
    <row r="633" spans="1:17">
      <c r="A633" s="145" t="s">
        <v>127</v>
      </c>
      <c r="B633" s="146" t="s">
        <v>1130</v>
      </c>
      <c r="C633" s="146" t="s">
        <v>1131</v>
      </c>
      <c r="D633" s="145" t="s">
        <v>1132</v>
      </c>
      <c r="E633" s="146" t="s">
        <v>131</v>
      </c>
      <c r="F633" s="145" t="s">
        <v>1607</v>
      </c>
      <c r="G633" s="146" t="s">
        <v>20</v>
      </c>
      <c r="H633" s="146">
        <v>201606</v>
      </c>
      <c r="I633" s="147">
        <v>0.04</v>
      </c>
      <c r="J633" s="297">
        <f t="shared" si="39"/>
        <v>42675</v>
      </c>
      <c r="K633" s="67">
        <f t="shared" si="37"/>
        <v>6</v>
      </c>
      <c r="L633" s="148">
        <v>2.3833299999999999E-3</v>
      </c>
      <c r="M633" s="104">
        <f t="shared" si="36"/>
        <v>5.7199920000000008E-4</v>
      </c>
      <c r="O633" s="66"/>
      <c r="Q633" s="66">
        <f t="shared" si="38"/>
        <v>6.6174166666666673E-4</v>
      </c>
    </row>
    <row r="634" spans="1:17">
      <c r="A634" s="145" t="s">
        <v>626</v>
      </c>
      <c r="B634" s="146" t="s">
        <v>1136</v>
      </c>
      <c r="C634" s="146" t="s">
        <v>1137</v>
      </c>
      <c r="D634" s="145" t="s">
        <v>1138</v>
      </c>
      <c r="E634" s="146" t="s">
        <v>962</v>
      </c>
      <c r="F634" s="145" t="s">
        <v>88</v>
      </c>
      <c r="G634" s="146" t="s">
        <v>20</v>
      </c>
      <c r="H634" s="146">
        <v>201606</v>
      </c>
      <c r="I634" s="147">
        <v>48.78</v>
      </c>
      <c r="J634" s="297">
        <f t="shared" si="39"/>
        <v>42675</v>
      </c>
      <c r="K634" s="67">
        <f t="shared" si="37"/>
        <v>6</v>
      </c>
      <c r="L634" s="148">
        <v>1.4833299999999999E-3</v>
      </c>
      <c r="M634" s="104">
        <f t="shared" si="36"/>
        <v>0.43414102440000002</v>
      </c>
      <c r="O634" s="66"/>
      <c r="Q634" s="66">
        <f t="shared" si="38"/>
        <v>0.80699396249999999</v>
      </c>
    </row>
    <row r="635" spans="1:17">
      <c r="A635" s="145" t="s">
        <v>626</v>
      </c>
      <c r="B635" s="146" t="s">
        <v>1826</v>
      </c>
      <c r="C635" s="146" t="s">
        <v>1827</v>
      </c>
      <c r="D635" s="145" t="s">
        <v>1828</v>
      </c>
      <c r="E635" s="146" t="s">
        <v>25</v>
      </c>
      <c r="F635" s="145" t="s">
        <v>26</v>
      </c>
      <c r="G635" s="146" t="s">
        <v>20</v>
      </c>
      <c r="H635" s="146">
        <v>201606</v>
      </c>
      <c r="I635" s="147">
        <v>658.84</v>
      </c>
      <c r="J635" s="297">
        <f t="shared" si="39"/>
        <v>42675</v>
      </c>
      <c r="K635" s="67">
        <f t="shared" si="37"/>
        <v>6</v>
      </c>
      <c r="L635" s="148">
        <v>1.4833299999999999E-3</v>
      </c>
      <c r="M635" s="104">
        <f t="shared" si="36"/>
        <v>5.8636628232000003</v>
      </c>
      <c r="O635" s="66"/>
      <c r="Q635" s="66">
        <f t="shared" si="38"/>
        <v>10.899546991666668</v>
      </c>
    </row>
    <row r="636" spans="1:17">
      <c r="A636" s="145" t="s">
        <v>21</v>
      </c>
      <c r="B636" s="146" t="s">
        <v>1826</v>
      </c>
      <c r="C636" s="146" t="s">
        <v>1827</v>
      </c>
      <c r="D636" s="145" t="s">
        <v>1828</v>
      </c>
      <c r="E636" s="146" t="s">
        <v>25</v>
      </c>
      <c r="F636" s="145" t="s">
        <v>26</v>
      </c>
      <c r="G636" s="146" t="s">
        <v>20</v>
      </c>
      <c r="H636" s="146">
        <v>201606</v>
      </c>
      <c r="I636" s="147">
        <v>1895.35</v>
      </c>
      <c r="J636" s="297">
        <f t="shared" si="39"/>
        <v>42675</v>
      </c>
      <c r="K636" s="67">
        <f t="shared" si="37"/>
        <v>6</v>
      </c>
      <c r="L636" s="148">
        <v>1.4833299999999999E-3</v>
      </c>
      <c r="M636" s="104">
        <f t="shared" si="36"/>
        <v>16.868577092999999</v>
      </c>
      <c r="O636" s="66"/>
      <c r="Q636" s="66">
        <f t="shared" si="38"/>
        <v>31.355801697916668</v>
      </c>
    </row>
    <row r="637" spans="1:17">
      <c r="A637" s="145" t="s">
        <v>626</v>
      </c>
      <c r="B637" s="146" t="s">
        <v>1139</v>
      </c>
      <c r="C637" s="146" t="s">
        <v>1140</v>
      </c>
      <c r="D637" s="145" t="s">
        <v>1141</v>
      </c>
      <c r="E637" s="146" t="s">
        <v>280</v>
      </c>
      <c r="F637" s="145" t="s">
        <v>26</v>
      </c>
      <c r="G637" s="146" t="s">
        <v>20</v>
      </c>
      <c r="H637" s="146">
        <v>201606</v>
      </c>
      <c r="I637" s="147">
        <v>11.53</v>
      </c>
      <c r="J637" s="297">
        <f t="shared" si="39"/>
        <v>42675</v>
      </c>
      <c r="K637" s="67">
        <f t="shared" si="37"/>
        <v>6</v>
      </c>
      <c r="L637" s="148">
        <v>1.4833299999999999E-3</v>
      </c>
      <c r="M637" s="104">
        <f t="shared" si="36"/>
        <v>0.10261676939999999</v>
      </c>
      <c r="O637" s="66"/>
      <c r="Q637" s="66">
        <f t="shared" si="38"/>
        <v>0.19074703541666665</v>
      </c>
    </row>
    <row r="638" spans="1:17">
      <c r="A638" s="145" t="s">
        <v>626</v>
      </c>
      <c r="B638" s="146" t="s">
        <v>1142</v>
      </c>
      <c r="C638" s="146" t="s">
        <v>1143</v>
      </c>
      <c r="D638" s="145" t="s">
        <v>1144</v>
      </c>
      <c r="E638" s="146" t="s">
        <v>164</v>
      </c>
      <c r="F638" s="145" t="s">
        <v>1600</v>
      </c>
      <c r="G638" s="146" t="s">
        <v>20</v>
      </c>
      <c r="H638" s="146">
        <v>201606</v>
      </c>
      <c r="I638" s="147">
        <v>4.6100000000000003</v>
      </c>
      <c r="J638" s="297">
        <f t="shared" si="39"/>
        <v>42675</v>
      </c>
      <c r="K638" s="67">
        <f t="shared" si="37"/>
        <v>6</v>
      </c>
      <c r="L638" s="148">
        <v>1.4833299999999999E-3</v>
      </c>
      <c r="M638" s="104">
        <f t="shared" si="36"/>
        <v>4.10289078E-2</v>
      </c>
      <c r="O638" s="66"/>
      <c r="Q638" s="66">
        <f t="shared" si="38"/>
        <v>7.6265727083333332E-2</v>
      </c>
    </row>
    <row r="639" spans="1:17">
      <c r="A639" s="145" t="s">
        <v>626</v>
      </c>
      <c r="B639" s="146" t="s">
        <v>1615</v>
      </c>
      <c r="C639" s="146" t="s">
        <v>1616</v>
      </c>
      <c r="D639" s="145" t="s">
        <v>1617</v>
      </c>
      <c r="E639" s="146" t="s">
        <v>497</v>
      </c>
      <c r="F639" s="145" t="s">
        <v>26</v>
      </c>
      <c r="G639" s="146" t="s">
        <v>20</v>
      </c>
      <c r="H639" s="146">
        <v>201606</v>
      </c>
      <c r="I639" s="147">
        <v>-0.35</v>
      </c>
      <c r="J639" s="297">
        <f t="shared" si="39"/>
        <v>42675</v>
      </c>
      <c r="K639" s="67">
        <f t="shared" si="37"/>
        <v>6</v>
      </c>
      <c r="L639" s="148">
        <v>1.4833299999999999E-3</v>
      </c>
      <c r="M639" s="104">
        <f t="shared" si="36"/>
        <v>-3.1149929999999999E-3</v>
      </c>
      <c r="O639" s="66"/>
      <c r="Q639" s="66">
        <f t="shared" si="38"/>
        <v>-5.790239583333333E-3</v>
      </c>
    </row>
    <row r="640" spans="1:17">
      <c r="A640" s="145" t="s">
        <v>626</v>
      </c>
      <c r="B640" s="146" t="s">
        <v>1148</v>
      </c>
      <c r="C640" s="146" t="s">
        <v>1149</v>
      </c>
      <c r="D640" s="145" t="s">
        <v>1150</v>
      </c>
      <c r="E640" s="146" t="s">
        <v>93</v>
      </c>
      <c r="F640" s="145" t="s">
        <v>1601</v>
      </c>
      <c r="G640" s="146" t="s">
        <v>20</v>
      </c>
      <c r="H640" s="146">
        <v>201606</v>
      </c>
      <c r="I640" s="147">
        <v>-0.2</v>
      </c>
      <c r="J640" s="297">
        <f t="shared" si="39"/>
        <v>42675</v>
      </c>
      <c r="K640" s="67">
        <f t="shared" si="37"/>
        <v>6</v>
      </c>
      <c r="L640" s="148">
        <v>1.4833299999999999E-3</v>
      </c>
      <c r="M640" s="104">
        <f t="shared" si="36"/>
        <v>-1.7799960000000001E-3</v>
      </c>
      <c r="O640" s="66"/>
      <c r="Q640" s="66">
        <f t="shared" si="38"/>
        <v>-3.3087083333333336E-3</v>
      </c>
    </row>
    <row r="641" spans="1:17">
      <c r="A641" s="145" t="s">
        <v>21</v>
      </c>
      <c r="B641" s="146" t="s">
        <v>1502</v>
      </c>
      <c r="C641" s="146" t="s">
        <v>1503</v>
      </c>
      <c r="D641" s="145" t="s">
        <v>1504</v>
      </c>
      <c r="E641" s="146" t="s">
        <v>172</v>
      </c>
      <c r="F641" s="145" t="s">
        <v>1609</v>
      </c>
      <c r="G641" s="146" t="s">
        <v>20</v>
      </c>
      <c r="H641" s="146">
        <v>201606</v>
      </c>
      <c r="I641" s="147">
        <v>-6.13</v>
      </c>
      <c r="J641" s="297">
        <f t="shared" si="39"/>
        <v>42675</v>
      </c>
      <c r="K641" s="67">
        <f t="shared" si="37"/>
        <v>6</v>
      </c>
      <c r="L641" s="148">
        <v>1.4833299999999999E-3</v>
      </c>
      <c r="M641" s="104">
        <f t="shared" si="36"/>
        <v>-5.4556877400000002E-2</v>
      </c>
      <c r="O641" s="66"/>
      <c r="Q641" s="66">
        <f t="shared" si="38"/>
        <v>-0.10141191041666667</v>
      </c>
    </row>
    <row r="642" spans="1:17">
      <c r="A642" s="145" t="s">
        <v>21</v>
      </c>
      <c r="B642" s="146" t="s">
        <v>1948</v>
      </c>
      <c r="C642" s="146" t="s">
        <v>1949</v>
      </c>
      <c r="D642" s="145" t="s">
        <v>1950</v>
      </c>
      <c r="E642" s="146" t="s">
        <v>756</v>
      </c>
      <c r="F642" s="145" t="s">
        <v>757</v>
      </c>
      <c r="G642" s="146" t="s">
        <v>20</v>
      </c>
      <c r="H642" s="146">
        <v>201606</v>
      </c>
      <c r="I642" s="147">
        <v>199.71</v>
      </c>
      <c r="J642" s="297">
        <f t="shared" si="39"/>
        <v>42675</v>
      </c>
      <c r="K642" s="67">
        <f t="shared" si="37"/>
        <v>6</v>
      </c>
      <c r="L642" s="148">
        <v>1.4833299999999999E-3</v>
      </c>
      <c r="M642" s="104">
        <f t="shared" si="36"/>
        <v>1.7774150058</v>
      </c>
      <c r="O642" s="66"/>
      <c r="Q642" s="66">
        <f t="shared" si="38"/>
        <v>3.3039107062500004</v>
      </c>
    </row>
    <row r="643" spans="1:17">
      <c r="A643" s="145" t="s">
        <v>21</v>
      </c>
      <c r="B643" s="146" t="s">
        <v>1858</v>
      </c>
      <c r="C643" s="146" t="s">
        <v>1859</v>
      </c>
      <c r="D643" s="145" t="s">
        <v>1860</v>
      </c>
      <c r="E643" s="146" t="s">
        <v>70</v>
      </c>
      <c r="F643" s="145" t="s">
        <v>71</v>
      </c>
      <c r="G643" s="146" t="s">
        <v>20</v>
      </c>
      <c r="H643" s="146">
        <v>201606</v>
      </c>
      <c r="I643" s="147">
        <v>24.67</v>
      </c>
      <c r="J643" s="297">
        <f t="shared" si="39"/>
        <v>42675</v>
      </c>
      <c r="K643" s="67">
        <f t="shared" si="37"/>
        <v>6</v>
      </c>
      <c r="L643" s="148">
        <v>1.4833299999999999E-3</v>
      </c>
      <c r="M643" s="104">
        <f t="shared" si="36"/>
        <v>0.21956250660000001</v>
      </c>
      <c r="O643" s="66"/>
      <c r="Q643" s="66">
        <f t="shared" si="38"/>
        <v>0.40812917291666673</v>
      </c>
    </row>
    <row r="644" spans="1:17">
      <c r="A644" s="145" t="s">
        <v>626</v>
      </c>
      <c r="B644" s="146" t="s">
        <v>1169</v>
      </c>
      <c r="C644" s="146" t="s">
        <v>1170</v>
      </c>
      <c r="D644" s="145" t="s">
        <v>1171</v>
      </c>
      <c r="E644" s="146" t="s">
        <v>164</v>
      </c>
      <c r="F644" s="145" t="s">
        <v>1600</v>
      </c>
      <c r="G644" s="146" t="s">
        <v>20</v>
      </c>
      <c r="H644" s="146">
        <v>201606</v>
      </c>
      <c r="I644" s="147">
        <v>31.54</v>
      </c>
      <c r="J644" s="297">
        <f t="shared" si="39"/>
        <v>42675</v>
      </c>
      <c r="K644" s="67">
        <f t="shared" si="37"/>
        <v>6</v>
      </c>
      <c r="L644" s="148">
        <v>1.4833299999999999E-3</v>
      </c>
      <c r="M644" s="104">
        <f t="shared" si="36"/>
        <v>0.2807053692</v>
      </c>
      <c r="O644" s="66"/>
      <c r="Q644" s="66">
        <f t="shared" si="38"/>
        <v>0.52178330416666663</v>
      </c>
    </row>
    <row r="645" spans="1:17">
      <c r="A645" s="145" t="s">
        <v>626</v>
      </c>
      <c r="B645" s="146" t="s">
        <v>1172</v>
      </c>
      <c r="C645" s="146" t="s">
        <v>1173</v>
      </c>
      <c r="D645" s="145" t="s">
        <v>1174</v>
      </c>
      <c r="E645" s="146" t="s">
        <v>156</v>
      </c>
      <c r="F645" s="145" t="s">
        <v>26</v>
      </c>
      <c r="G645" s="146" t="s">
        <v>20</v>
      </c>
      <c r="H645" s="146">
        <v>201606</v>
      </c>
      <c r="I645" s="147">
        <v>4.3600000000000003</v>
      </c>
      <c r="J645" s="297">
        <f t="shared" si="39"/>
        <v>42675</v>
      </c>
      <c r="K645" s="67">
        <f t="shared" si="37"/>
        <v>6</v>
      </c>
      <c r="L645" s="148">
        <v>1.4833299999999999E-3</v>
      </c>
      <c r="M645" s="104">
        <f t="shared" ref="M645:M708" si="40">L645*K645*I645</f>
        <v>3.88039128E-2</v>
      </c>
      <c r="O645" s="66"/>
      <c r="Q645" s="66">
        <f t="shared" si="38"/>
        <v>7.2129841666666666E-2</v>
      </c>
    </row>
    <row r="646" spans="1:17">
      <c r="A646" s="145" t="s">
        <v>626</v>
      </c>
      <c r="B646" s="146" t="s">
        <v>1545</v>
      </c>
      <c r="C646" s="146" t="s">
        <v>1546</v>
      </c>
      <c r="D646" s="145" t="s">
        <v>1547</v>
      </c>
      <c r="E646" s="146" t="s">
        <v>164</v>
      </c>
      <c r="F646" s="145" t="s">
        <v>1600</v>
      </c>
      <c r="G646" s="146" t="s">
        <v>20</v>
      </c>
      <c r="H646" s="146">
        <v>201606</v>
      </c>
      <c r="I646" s="147">
        <v>-2.38</v>
      </c>
      <c r="J646" s="297">
        <f t="shared" si="39"/>
        <v>42675</v>
      </c>
      <c r="K646" s="67">
        <f t="shared" ref="K646:K709" si="41">((YEAR($K$1)-YEAR(J646))*12+MONTH($K$1)-MONTH(J646))</f>
        <v>6</v>
      </c>
      <c r="L646" s="148">
        <v>1.4833299999999999E-3</v>
      </c>
      <c r="M646" s="104">
        <f t="shared" si="40"/>
        <v>-2.1181952399999999E-2</v>
      </c>
      <c r="O646" s="66"/>
      <c r="Q646" s="66">
        <f t="shared" ref="Q646:Q709" si="42">($Q$4*0.5*I646*$T$10)</f>
        <v>-3.9373629166666667E-2</v>
      </c>
    </row>
    <row r="647" spans="1:17">
      <c r="A647" s="145" t="s">
        <v>21</v>
      </c>
      <c r="B647" s="146" t="s">
        <v>1420</v>
      </c>
      <c r="C647" s="146" t="s">
        <v>1421</v>
      </c>
      <c r="D647" s="145" t="s">
        <v>1422</v>
      </c>
      <c r="E647" s="146" t="s">
        <v>260</v>
      </c>
      <c r="F647" s="145" t="s">
        <v>1608</v>
      </c>
      <c r="G647" s="146" t="s">
        <v>20</v>
      </c>
      <c r="H647" s="146">
        <v>201606</v>
      </c>
      <c r="I647" s="147">
        <v>5.62</v>
      </c>
      <c r="J647" s="297">
        <f t="shared" ref="J647:J710" si="43">+J646</f>
        <v>42675</v>
      </c>
      <c r="K647" s="67">
        <f t="shared" si="41"/>
        <v>6</v>
      </c>
      <c r="L647" s="148">
        <v>1.4833299999999999E-3</v>
      </c>
      <c r="M647" s="104">
        <f t="shared" si="40"/>
        <v>5.0017887599999998E-2</v>
      </c>
      <c r="O647" s="66"/>
      <c r="Q647" s="66">
        <f t="shared" si="42"/>
        <v>9.2974704166666658E-2</v>
      </c>
    </row>
    <row r="648" spans="1:17">
      <c r="A648" s="145" t="s">
        <v>626</v>
      </c>
      <c r="B648" s="146" t="s">
        <v>1420</v>
      </c>
      <c r="C648" s="146" t="s">
        <v>1421</v>
      </c>
      <c r="D648" s="145" t="s">
        <v>1422</v>
      </c>
      <c r="E648" s="146" t="s">
        <v>260</v>
      </c>
      <c r="F648" s="145" t="s">
        <v>1608</v>
      </c>
      <c r="G648" s="146" t="s">
        <v>20</v>
      </c>
      <c r="H648" s="146">
        <v>201606</v>
      </c>
      <c r="I648" s="147">
        <v>21.97</v>
      </c>
      <c r="J648" s="297">
        <f t="shared" si="43"/>
        <v>42675</v>
      </c>
      <c r="K648" s="67">
        <f t="shared" si="41"/>
        <v>6</v>
      </c>
      <c r="L648" s="148">
        <v>1.4833299999999999E-3</v>
      </c>
      <c r="M648" s="104">
        <f t="shared" si="40"/>
        <v>0.19553256059999999</v>
      </c>
      <c r="O648" s="66"/>
      <c r="Q648" s="66">
        <f t="shared" si="42"/>
        <v>0.36346161041666664</v>
      </c>
    </row>
    <row r="649" spans="1:17">
      <c r="A649" s="145" t="s">
        <v>626</v>
      </c>
      <c r="B649" s="146" t="s">
        <v>1268</v>
      </c>
      <c r="C649" s="146" t="s">
        <v>1269</v>
      </c>
      <c r="D649" s="145" t="s">
        <v>1270</v>
      </c>
      <c r="E649" s="146" t="s">
        <v>260</v>
      </c>
      <c r="F649" s="145" t="s">
        <v>1608</v>
      </c>
      <c r="G649" s="146" t="s">
        <v>20</v>
      </c>
      <c r="H649" s="146">
        <v>201606</v>
      </c>
      <c r="I649" s="147">
        <v>-0.13</v>
      </c>
      <c r="J649" s="297">
        <f t="shared" si="43"/>
        <v>42675</v>
      </c>
      <c r="K649" s="67">
        <f t="shared" si="41"/>
        <v>6</v>
      </c>
      <c r="L649" s="148">
        <v>1.4833299999999999E-3</v>
      </c>
      <c r="M649" s="104">
        <f t="shared" si="40"/>
        <v>-1.1569974E-3</v>
      </c>
      <c r="O649" s="66"/>
      <c r="Q649" s="66">
        <f t="shared" si="42"/>
        <v>-2.1506604166666669E-3</v>
      </c>
    </row>
    <row r="650" spans="1:17">
      <c r="A650" s="145" t="s">
        <v>127</v>
      </c>
      <c r="B650" s="146" t="s">
        <v>1785</v>
      </c>
      <c r="C650" s="146" t="s">
        <v>1786</v>
      </c>
      <c r="D650" s="145" t="s">
        <v>1787</v>
      </c>
      <c r="E650" s="146" t="s">
        <v>1580</v>
      </c>
      <c r="F650" s="145" t="s">
        <v>217</v>
      </c>
      <c r="G650" s="146" t="s">
        <v>20</v>
      </c>
      <c r="H650" s="146">
        <v>201606</v>
      </c>
      <c r="I650" s="147">
        <v>38.68</v>
      </c>
      <c r="J650" s="297">
        <f t="shared" si="43"/>
        <v>42675</v>
      </c>
      <c r="K650" s="67">
        <f t="shared" si="41"/>
        <v>6</v>
      </c>
      <c r="L650" s="148">
        <v>2.3833299999999999E-3</v>
      </c>
      <c r="M650" s="104">
        <f t="shared" si="40"/>
        <v>0.5531232264</v>
      </c>
      <c r="O650" s="66"/>
      <c r="Q650" s="66">
        <f t="shared" si="42"/>
        <v>0.63990419166666668</v>
      </c>
    </row>
    <row r="651" spans="1:17">
      <c r="A651" s="145" t="s">
        <v>626</v>
      </c>
      <c r="B651" s="146" t="s">
        <v>1508</v>
      </c>
      <c r="C651" s="146" t="s">
        <v>1509</v>
      </c>
      <c r="D651" s="145" t="s">
        <v>1510</v>
      </c>
      <c r="E651" s="146" t="s">
        <v>75</v>
      </c>
      <c r="F651" s="145" t="s">
        <v>1602</v>
      </c>
      <c r="G651" s="146" t="s">
        <v>20</v>
      </c>
      <c r="H651" s="146">
        <v>201606</v>
      </c>
      <c r="I651" s="147">
        <v>12.8</v>
      </c>
      <c r="J651" s="297">
        <f t="shared" si="43"/>
        <v>42675</v>
      </c>
      <c r="K651" s="67">
        <f t="shared" si="41"/>
        <v>6</v>
      </c>
      <c r="L651" s="148">
        <v>1.4833299999999999E-3</v>
      </c>
      <c r="M651" s="104">
        <f t="shared" si="40"/>
        <v>0.113919744</v>
      </c>
      <c r="O651" s="66"/>
      <c r="Q651" s="66">
        <f t="shared" si="42"/>
        <v>0.21175733333333335</v>
      </c>
    </row>
    <row r="652" spans="1:17">
      <c r="A652" s="145" t="s">
        <v>21</v>
      </c>
      <c r="B652" s="146" t="s">
        <v>1829</v>
      </c>
      <c r="C652" s="146" t="s">
        <v>1830</v>
      </c>
      <c r="D652" s="145" t="s">
        <v>1831</v>
      </c>
      <c r="E652" s="146" t="s">
        <v>497</v>
      </c>
      <c r="F652" s="145" t="s">
        <v>26</v>
      </c>
      <c r="G652" s="146" t="s">
        <v>20</v>
      </c>
      <c r="H652" s="146">
        <v>201606</v>
      </c>
      <c r="I652" s="147">
        <v>1.98</v>
      </c>
      <c r="J652" s="297">
        <f t="shared" si="43"/>
        <v>42675</v>
      </c>
      <c r="K652" s="67">
        <f t="shared" si="41"/>
        <v>6</v>
      </c>
      <c r="L652" s="148">
        <v>1.4833299999999999E-3</v>
      </c>
      <c r="M652" s="104">
        <f t="shared" si="40"/>
        <v>1.7621960400000001E-2</v>
      </c>
      <c r="O652" s="66"/>
      <c r="Q652" s="66">
        <f t="shared" si="42"/>
        <v>3.27562125E-2</v>
      </c>
    </row>
    <row r="653" spans="1:17">
      <c r="A653" s="145" t="s">
        <v>626</v>
      </c>
      <c r="B653" s="146" t="s">
        <v>1829</v>
      </c>
      <c r="C653" s="146" t="s">
        <v>1830</v>
      </c>
      <c r="D653" s="145" t="s">
        <v>1831</v>
      </c>
      <c r="E653" s="146" t="s">
        <v>497</v>
      </c>
      <c r="F653" s="145" t="s">
        <v>26</v>
      </c>
      <c r="G653" s="146" t="s">
        <v>20</v>
      </c>
      <c r="H653" s="146">
        <v>201606</v>
      </c>
      <c r="I653" s="147">
        <v>13.39</v>
      </c>
      <c r="J653" s="297">
        <f t="shared" si="43"/>
        <v>42675</v>
      </c>
      <c r="K653" s="67">
        <f t="shared" si="41"/>
        <v>6</v>
      </c>
      <c r="L653" s="148">
        <v>1.4833299999999999E-3</v>
      </c>
      <c r="M653" s="104">
        <f t="shared" si="40"/>
        <v>0.1191707322</v>
      </c>
      <c r="O653" s="66"/>
      <c r="Q653" s="66">
        <f t="shared" si="42"/>
        <v>0.22151802291666667</v>
      </c>
    </row>
    <row r="654" spans="1:17">
      <c r="A654" s="145" t="s">
        <v>626</v>
      </c>
      <c r="B654" s="146" t="s">
        <v>1709</v>
      </c>
      <c r="C654" s="146" t="s">
        <v>1710</v>
      </c>
      <c r="D654" s="145" t="s">
        <v>1711</v>
      </c>
      <c r="E654" s="146" t="s">
        <v>497</v>
      </c>
      <c r="F654" s="145" t="s">
        <v>26</v>
      </c>
      <c r="G654" s="146" t="s">
        <v>20</v>
      </c>
      <c r="H654" s="146">
        <v>201606</v>
      </c>
      <c r="I654" s="147">
        <v>2.2200000000000002</v>
      </c>
      <c r="J654" s="297">
        <f t="shared" si="43"/>
        <v>42675</v>
      </c>
      <c r="K654" s="67">
        <f t="shared" si="41"/>
        <v>6</v>
      </c>
      <c r="L654" s="148">
        <v>1.4833299999999999E-3</v>
      </c>
      <c r="M654" s="104">
        <f t="shared" si="40"/>
        <v>1.9757955600000002E-2</v>
      </c>
      <c r="O654" s="66"/>
      <c r="Q654" s="66">
        <f t="shared" si="42"/>
        <v>3.67266625E-2</v>
      </c>
    </row>
    <row r="655" spans="1:17">
      <c r="A655" s="145" t="s">
        <v>626</v>
      </c>
      <c r="B655" s="146" t="s">
        <v>1861</v>
      </c>
      <c r="C655" s="146" t="s">
        <v>1862</v>
      </c>
      <c r="D655" s="145" t="s">
        <v>1863</v>
      </c>
      <c r="E655" s="146" t="s">
        <v>75</v>
      </c>
      <c r="F655" s="145" t="s">
        <v>1602</v>
      </c>
      <c r="G655" s="146" t="s">
        <v>20</v>
      </c>
      <c r="H655" s="146">
        <v>201606</v>
      </c>
      <c r="I655" s="147">
        <v>290.42</v>
      </c>
      <c r="J655" s="297">
        <f t="shared" si="43"/>
        <v>42675</v>
      </c>
      <c r="K655" s="67">
        <f t="shared" si="41"/>
        <v>6</v>
      </c>
      <c r="L655" s="148">
        <v>1.4833299999999999E-3</v>
      </c>
      <c r="M655" s="104">
        <f t="shared" si="40"/>
        <v>2.5847321916000001</v>
      </c>
      <c r="O655" s="66"/>
      <c r="Q655" s="66">
        <f t="shared" si="42"/>
        <v>4.8045753708333336</v>
      </c>
    </row>
    <row r="656" spans="1:17">
      <c r="A656" s="145" t="s">
        <v>626</v>
      </c>
      <c r="B656" s="146" t="s">
        <v>1511</v>
      </c>
      <c r="C656" s="146" t="s">
        <v>1512</v>
      </c>
      <c r="D656" s="145" t="s">
        <v>1513</v>
      </c>
      <c r="E656" s="146" t="s">
        <v>260</v>
      </c>
      <c r="F656" s="145" t="s">
        <v>1608</v>
      </c>
      <c r="G656" s="146" t="s">
        <v>20</v>
      </c>
      <c r="H656" s="146">
        <v>201606</v>
      </c>
      <c r="I656" s="147">
        <v>7</v>
      </c>
      <c r="J656" s="297">
        <f t="shared" si="43"/>
        <v>42675</v>
      </c>
      <c r="K656" s="67">
        <f t="shared" si="41"/>
        <v>6</v>
      </c>
      <c r="L656" s="148">
        <v>1.4833299999999999E-3</v>
      </c>
      <c r="M656" s="104">
        <f t="shared" si="40"/>
        <v>6.2299859999999999E-2</v>
      </c>
      <c r="O656" s="66"/>
      <c r="Q656" s="66">
        <f t="shared" si="42"/>
        <v>0.11580479166666667</v>
      </c>
    </row>
    <row r="657" spans="1:17">
      <c r="A657" s="145" t="s">
        <v>626</v>
      </c>
      <c r="B657" s="146" t="s">
        <v>1864</v>
      </c>
      <c r="C657" s="146" t="s">
        <v>1865</v>
      </c>
      <c r="D657" s="145" t="s">
        <v>1866</v>
      </c>
      <c r="E657" s="146" t="s">
        <v>75</v>
      </c>
      <c r="F657" s="145" t="s">
        <v>1602</v>
      </c>
      <c r="G657" s="146" t="s">
        <v>20</v>
      </c>
      <c r="H657" s="146">
        <v>201606</v>
      </c>
      <c r="I657" s="147">
        <v>1079.1199999999999</v>
      </c>
      <c r="J657" s="297">
        <f t="shared" si="43"/>
        <v>42675</v>
      </c>
      <c r="K657" s="67">
        <f t="shared" si="41"/>
        <v>6</v>
      </c>
      <c r="L657" s="148">
        <v>1.4833299999999999E-3</v>
      </c>
      <c r="M657" s="104">
        <f t="shared" si="40"/>
        <v>9.6041464175999991</v>
      </c>
      <c r="O657" s="66"/>
      <c r="Q657" s="66">
        <f t="shared" si="42"/>
        <v>17.852466683333333</v>
      </c>
    </row>
    <row r="658" spans="1:17">
      <c r="A658" s="145" t="s">
        <v>626</v>
      </c>
      <c r="B658" s="146" t="s">
        <v>1867</v>
      </c>
      <c r="C658" s="146" t="s">
        <v>1868</v>
      </c>
      <c r="D658" s="145" t="s">
        <v>1869</v>
      </c>
      <c r="E658" s="146" t="s">
        <v>75</v>
      </c>
      <c r="F658" s="145" t="s">
        <v>1602</v>
      </c>
      <c r="G658" s="146" t="s">
        <v>20</v>
      </c>
      <c r="H658" s="146">
        <v>201606</v>
      </c>
      <c r="I658" s="147">
        <v>45.21</v>
      </c>
      <c r="J658" s="297">
        <f t="shared" si="43"/>
        <v>42675</v>
      </c>
      <c r="K658" s="67">
        <f t="shared" si="41"/>
        <v>6</v>
      </c>
      <c r="L658" s="148">
        <v>1.4833299999999999E-3</v>
      </c>
      <c r="M658" s="104">
        <f t="shared" si="40"/>
        <v>0.40236809579999999</v>
      </c>
      <c r="O658" s="66"/>
      <c r="Q658" s="66">
        <f t="shared" si="42"/>
        <v>0.74793351875000003</v>
      </c>
    </row>
    <row r="659" spans="1:17">
      <c r="A659" s="145" t="s">
        <v>626</v>
      </c>
      <c r="B659" s="146" t="s">
        <v>1870</v>
      </c>
      <c r="C659" s="146" t="s">
        <v>1871</v>
      </c>
      <c r="D659" s="145" t="s">
        <v>1872</v>
      </c>
      <c r="E659" s="146" t="s">
        <v>75</v>
      </c>
      <c r="F659" s="145" t="s">
        <v>1602</v>
      </c>
      <c r="G659" s="146" t="s">
        <v>20</v>
      </c>
      <c r="H659" s="146">
        <v>201606</v>
      </c>
      <c r="I659" s="147">
        <v>354.81</v>
      </c>
      <c r="J659" s="297">
        <f t="shared" si="43"/>
        <v>42675</v>
      </c>
      <c r="K659" s="67">
        <f t="shared" si="41"/>
        <v>6</v>
      </c>
      <c r="L659" s="148">
        <v>1.4833299999999999E-3</v>
      </c>
      <c r="M659" s="104">
        <f t="shared" si="40"/>
        <v>3.1578019038000003</v>
      </c>
      <c r="O659" s="66"/>
      <c r="Q659" s="66">
        <f t="shared" si="42"/>
        <v>5.8698140187500005</v>
      </c>
    </row>
    <row r="660" spans="1:17">
      <c r="A660" s="145" t="s">
        <v>626</v>
      </c>
      <c r="B660" s="146" t="s">
        <v>1514</v>
      </c>
      <c r="C660" s="146" t="s">
        <v>1515</v>
      </c>
      <c r="D660" s="145" t="s">
        <v>1516</v>
      </c>
      <c r="E660" s="146" t="s">
        <v>809</v>
      </c>
      <c r="F660" s="145" t="s">
        <v>26</v>
      </c>
      <c r="G660" s="146" t="s">
        <v>20</v>
      </c>
      <c r="H660" s="146">
        <v>201606</v>
      </c>
      <c r="I660" s="147">
        <v>8.5399999999999991</v>
      </c>
      <c r="J660" s="297">
        <f t="shared" si="43"/>
        <v>42675</v>
      </c>
      <c r="K660" s="67">
        <f t="shared" si="41"/>
        <v>6</v>
      </c>
      <c r="L660" s="148">
        <v>1.4833299999999999E-3</v>
      </c>
      <c r="M660" s="104">
        <f t="shared" si="40"/>
        <v>7.60058292E-2</v>
      </c>
      <c r="O660" s="66"/>
      <c r="Q660" s="66">
        <f t="shared" si="42"/>
        <v>0.14128184583333334</v>
      </c>
    </row>
    <row r="661" spans="1:17">
      <c r="A661" s="145" t="s">
        <v>626</v>
      </c>
      <c r="B661" s="146" t="s">
        <v>1873</v>
      </c>
      <c r="C661" s="146" t="s">
        <v>1874</v>
      </c>
      <c r="D661" s="145" t="s">
        <v>1875</v>
      </c>
      <c r="E661" s="146" t="s">
        <v>75</v>
      </c>
      <c r="F661" s="145" t="s">
        <v>1602</v>
      </c>
      <c r="G661" s="146" t="s">
        <v>20</v>
      </c>
      <c r="H661" s="146">
        <v>201606</v>
      </c>
      <c r="I661" s="147">
        <v>1774.13</v>
      </c>
      <c r="J661" s="297">
        <f t="shared" si="43"/>
        <v>42675</v>
      </c>
      <c r="K661" s="67">
        <f t="shared" si="41"/>
        <v>6</v>
      </c>
      <c r="L661" s="148">
        <v>1.4833299999999999E-3</v>
      </c>
      <c r="M661" s="104">
        <f t="shared" si="40"/>
        <v>15.7897215174</v>
      </c>
      <c r="O661" s="66"/>
      <c r="Q661" s="66">
        <f t="shared" si="42"/>
        <v>29.350393577083334</v>
      </c>
    </row>
    <row r="662" spans="1:17">
      <c r="A662" s="145" t="s">
        <v>626</v>
      </c>
      <c r="B662" s="146" t="s">
        <v>1681</v>
      </c>
      <c r="C662" s="146" t="s">
        <v>1703</v>
      </c>
      <c r="D662" s="145" t="s">
        <v>1704</v>
      </c>
      <c r="E662" s="146" t="s">
        <v>164</v>
      </c>
      <c r="F662" s="145" t="s">
        <v>1600</v>
      </c>
      <c r="G662" s="146" t="s">
        <v>20</v>
      </c>
      <c r="H662" s="146">
        <v>201606</v>
      </c>
      <c r="I662" s="147">
        <v>52462.63</v>
      </c>
      <c r="J662" s="297">
        <f t="shared" si="43"/>
        <v>42675</v>
      </c>
      <c r="K662" s="67">
        <f t="shared" si="41"/>
        <v>6</v>
      </c>
      <c r="L662" s="148">
        <v>1.4833299999999999E-3</v>
      </c>
      <c r="M662" s="104">
        <f t="shared" si="40"/>
        <v>466.91635774739996</v>
      </c>
      <c r="O662" s="66"/>
      <c r="Q662" s="66">
        <f t="shared" si="42"/>
        <v>867.91770534791658</v>
      </c>
    </row>
    <row r="663" spans="1:17">
      <c r="A663" s="145" t="s">
        <v>626</v>
      </c>
      <c r="B663" s="146" t="s">
        <v>1681</v>
      </c>
      <c r="C663" s="146" t="s">
        <v>1705</v>
      </c>
      <c r="D663" s="145" t="s">
        <v>1706</v>
      </c>
      <c r="E663" s="146" t="s">
        <v>75</v>
      </c>
      <c r="F663" s="145" t="s">
        <v>1602</v>
      </c>
      <c r="G663" s="146" t="s">
        <v>20</v>
      </c>
      <c r="H663" s="146">
        <v>201606</v>
      </c>
      <c r="I663" s="147">
        <v>12937.58</v>
      </c>
      <c r="J663" s="297">
        <f t="shared" si="43"/>
        <v>42675</v>
      </c>
      <c r="K663" s="67">
        <f t="shared" si="41"/>
        <v>6</v>
      </c>
      <c r="L663" s="148">
        <v>1.4833299999999999E-3</v>
      </c>
      <c r="M663" s="104">
        <f t="shared" si="40"/>
        <v>115.1442032484</v>
      </c>
      <c r="O663" s="66"/>
      <c r="Q663" s="66">
        <f t="shared" si="42"/>
        <v>214.03339379583332</v>
      </c>
    </row>
    <row r="664" spans="1:17">
      <c r="A664" s="145" t="s">
        <v>626</v>
      </c>
      <c r="B664" s="146" t="s">
        <v>1681</v>
      </c>
      <c r="C664" s="146" t="s">
        <v>1707</v>
      </c>
      <c r="D664" s="145" t="s">
        <v>1708</v>
      </c>
      <c r="E664" s="146" t="s">
        <v>75</v>
      </c>
      <c r="F664" s="145" t="s">
        <v>1602</v>
      </c>
      <c r="G664" s="146" t="s">
        <v>20</v>
      </c>
      <c r="H664" s="146">
        <v>201606</v>
      </c>
      <c r="I664" s="147">
        <v>59436.53</v>
      </c>
      <c r="J664" s="297">
        <f t="shared" si="43"/>
        <v>42675</v>
      </c>
      <c r="K664" s="67">
        <f t="shared" si="41"/>
        <v>6</v>
      </c>
      <c r="L664" s="148">
        <v>1.4833299999999999E-3</v>
      </c>
      <c r="M664" s="104">
        <f t="shared" si="40"/>
        <v>528.98392826939994</v>
      </c>
      <c r="O664" s="66"/>
      <c r="Q664" s="66">
        <f t="shared" si="42"/>
        <v>983.29071057708325</v>
      </c>
    </row>
    <row r="665" spans="1:17">
      <c r="A665" s="145" t="s">
        <v>626</v>
      </c>
      <c r="B665" s="146" t="s">
        <v>1832</v>
      </c>
      <c r="C665" s="146" t="s">
        <v>1833</v>
      </c>
      <c r="D665" s="145" t="s">
        <v>1834</v>
      </c>
      <c r="E665" s="146" t="s">
        <v>497</v>
      </c>
      <c r="F665" s="145" t="s">
        <v>26</v>
      </c>
      <c r="G665" s="146" t="s">
        <v>20</v>
      </c>
      <c r="H665" s="146">
        <v>201606</v>
      </c>
      <c r="I665" s="147">
        <v>76.95</v>
      </c>
      <c r="J665" s="297">
        <f t="shared" si="43"/>
        <v>42675</v>
      </c>
      <c r="K665" s="67">
        <f t="shared" si="41"/>
        <v>6</v>
      </c>
      <c r="L665" s="148">
        <v>1.4833299999999999E-3</v>
      </c>
      <c r="M665" s="104">
        <f t="shared" si="40"/>
        <v>0.684853461</v>
      </c>
      <c r="O665" s="66"/>
      <c r="Q665" s="66">
        <f t="shared" si="42"/>
        <v>1.2730255312500001</v>
      </c>
    </row>
    <row r="666" spans="1:17">
      <c r="A666" s="145" t="s">
        <v>626</v>
      </c>
      <c r="B666" s="146" t="s">
        <v>1712</v>
      </c>
      <c r="C666" s="146" t="s">
        <v>1713</v>
      </c>
      <c r="D666" s="145" t="s">
        <v>1714</v>
      </c>
      <c r="E666" s="146" t="s">
        <v>497</v>
      </c>
      <c r="F666" s="145" t="s">
        <v>26</v>
      </c>
      <c r="G666" s="146" t="s">
        <v>20</v>
      </c>
      <c r="H666" s="146">
        <v>201606</v>
      </c>
      <c r="I666" s="147">
        <v>9.4499999999999993</v>
      </c>
      <c r="J666" s="297">
        <f t="shared" si="43"/>
        <v>42675</v>
      </c>
      <c r="K666" s="67">
        <f t="shared" si="41"/>
        <v>6</v>
      </c>
      <c r="L666" s="148">
        <v>1.4833299999999999E-3</v>
      </c>
      <c r="M666" s="104">
        <f t="shared" si="40"/>
        <v>8.4104810999999988E-2</v>
      </c>
      <c r="O666" s="66"/>
      <c r="Q666" s="66">
        <f t="shared" si="42"/>
        <v>0.15633646874999998</v>
      </c>
    </row>
    <row r="667" spans="1:17">
      <c r="A667" s="145" t="s">
        <v>626</v>
      </c>
      <c r="B667" s="146" t="s">
        <v>2030</v>
      </c>
      <c r="C667" s="146" t="s">
        <v>2031</v>
      </c>
      <c r="D667" s="145" t="s">
        <v>2032</v>
      </c>
      <c r="E667" s="146" t="s">
        <v>497</v>
      </c>
      <c r="F667" s="145" t="s">
        <v>26</v>
      </c>
      <c r="G667" s="146" t="s">
        <v>20</v>
      </c>
      <c r="H667" s="146">
        <v>201606</v>
      </c>
      <c r="I667" s="147">
        <v>3363.68</v>
      </c>
      <c r="J667" s="297">
        <f t="shared" si="43"/>
        <v>42675</v>
      </c>
      <c r="K667" s="67">
        <f t="shared" si="41"/>
        <v>6</v>
      </c>
      <c r="L667" s="148">
        <v>1.4833299999999999E-3</v>
      </c>
      <c r="M667" s="104">
        <f t="shared" si="40"/>
        <v>29.936684726399999</v>
      </c>
      <c r="O667" s="66"/>
      <c r="Q667" s="66">
        <f t="shared" si="42"/>
        <v>55.64718023333333</v>
      </c>
    </row>
    <row r="668" spans="1:17">
      <c r="A668" s="145" t="s">
        <v>626</v>
      </c>
      <c r="B668" s="146" t="s">
        <v>1715</v>
      </c>
      <c r="C668" s="146" t="s">
        <v>1716</v>
      </c>
      <c r="D668" s="145" t="s">
        <v>1717</v>
      </c>
      <c r="E668" s="146" t="s">
        <v>497</v>
      </c>
      <c r="F668" s="145" t="s">
        <v>26</v>
      </c>
      <c r="G668" s="146" t="s">
        <v>20</v>
      </c>
      <c r="H668" s="146">
        <v>201606</v>
      </c>
      <c r="I668" s="147">
        <v>-5.73</v>
      </c>
      <c r="J668" s="297">
        <f t="shared" si="43"/>
        <v>42675</v>
      </c>
      <c r="K668" s="67">
        <f t="shared" si="41"/>
        <v>6</v>
      </c>
      <c r="L668" s="148">
        <v>1.4833299999999999E-3</v>
      </c>
      <c r="M668" s="104">
        <f t="shared" si="40"/>
        <v>-5.0996885400000004E-2</v>
      </c>
      <c r="O668" s="66"/>
      <c r="Q668" s="66">
        <f t="shared" si="42"/>
        <v>-9.479449375E-2</v>
      </c>
    </row>
    <row r="669" spans="1:17">
      <c r="A669" s="145" t="s">
        <v>626</v>
      </c>
      <c r="B669" s="146" t="s">
        <v>1951</v>
      </c>
      <c r="C669" s="146" t="s">
        <v>1952</v>
      </c>
      <c r="D669" s="145" t="s">
        <v>1759</v>
      </c>
      <c r="E669" s="146" t="s">
        <v>75</v>
      </c>
      <c r="F669" s="145" t="s">
        <v>1602</v>
      </c>
      <c r="G669" s="146" t="s">
        <v>20</v>
      </c>
      <c r="H669" s="146">
        <v>201606</v>
      </c>
      <c r="I669" s="147">
        <v>845.22</v>
      </c>
      <c r="J669" s="297">
        <f t="shared" si="43"/>
        <v>42675</v>
      </c>
      <c r="K669" s="67">
        <f t="shared" si="41"/>
        <v>6</v>
      </c>
      <c r="L669" s="148">
        <v>1.4833299999999999E-3</v>
      </c>
      <c r="M669" s="104">
        <f t="shared" si="40"/>
        <v>7.5224410956000005</v>
      </c>
      <c r="O669" s="66"/>
      <c r="Q669" s="66">
        <f t="shared" si="42"/>
        <v>13.982932287500001</v>
      </c>
    </row>
    <row r="670" spans="1:17">
      <c r="A670" s="145" t="s">
        <v>626</v>
      </c>
      <c r="B670" s="146" t="s">
        <v>1835</v>
      </c>
      <c r="C670" s="146" t="s">
        <v>1836</v>
      </c>
      <c r="D670" s="145" t="s">
        <v>1837</v>
      </c>
      <c r="E670" s="146" t="s">
        <v>497</v>
      </c>
      <c r="F670" s="145" t="s">
        <v>26</v>
      </c>
      <c r="G670" s="146" t="s">
        <v>20</v>
      </c>
      <c r="H670" s="146">
        <v>201606</v>
      </c>
      <c r="I670" s="147">
        <v>107.01</v>
      </c>
      <c r="J670" s="297">
        <f t="shared" si="43"/>
        <v>42675</v>
      </c>
      <c r="K670" s="67">
        <f t="shared" si="41"/>
        <v>6</v>
      </c>
      <c r="L670" s="148">
        <v>1.4833299999999999E-3</v>
      </c>
      <c r="M670" s="104">
        <f t="shared" si="40"/>
        <v>0.95238685980000004</v>
      </c>
      <c r="O670" s="66"/>
      <c r="Q670" s="66">
        <f t="shared" si="42"/>
        <v>1.7703243937499999</v>
      </c>
    </row>
    <row r="671" spans="1:17">
      <c r="A671" s="145" t="s">
        <v>626</v>
      </c>
      <c r="B671" s="146" t="s">
        <v>1718</v>
      </c>
      <c r="C671" s="146" t="s">
        <v>1719</v>
      </c>
      <c r="D671" s="145" t="s">
        <v>1720</v>
      </c>
      <c r="E671" s="146" t="s">
        <v>497</v>
      </c>
      <c r="F671" s="145" t="s">
        <v>26</v>
      </c>
      <c r="G671" s="146" t="s">
        <v>20</v>
      </c>
      <c r="H671" s="146">
        <v>201606</v>
      </c>
      <c r="I671" s="147">
        <v>30.75</v>
      </c>
      <c r="J671" s="297">
        <f t="shared" si="43"/>
        <v>42675</v>
      </c>
      <c r="K671" s="67">
        <f t="shared" si="41"/>
        <v>6</v>
      </c>
      <c r="L671" s="148">
        <v>1.4833299999999999E-3</v>
      </c>
      <c r="M671" s="104">
        <f t="shared" si="40"/>
        <v>0.27367438500000002</v>
      </c>
      <c r="O671" s="66"/>
      <c r="Q671" s="66">
        <f t="shared" si="42"/>
        <v>0.50871390625000001</v>
      </c>
    </row>
    <row r="672" spans="1:17">
      <c r="A672" s="145" t="s">
        <v>626</v>
      </c>
      <c r="B672" s="146" t="s">
        <v>2033</v>
      </c>
      <c r="C672" s="146" t="s">
        <v>2034</v>
      </c>
      <c r="D672" s="145" t="s">
        <v>2035</v>
      </c>
      <c r="E672" s="146" t="s">
        <v>497</v>
      </c>
      <c r="F672" s="145" t="s">
        <v>26</v>
      </c>
      <c r="G672" s="146" t="s">
        <v>20</v>
      </c>
      <c r="H672" s="146">
        <v>201606</v>
      </c>
      <c r="I672" s="147">
        <v>130479.56</v>
      </c>
      <c r="J672" s="297">
        <f t="shared" si="43"/>
        <v>42675</v>
      </c>
      <c r="K672" s="67">
        <f t="shared" si="41"/>
        <v>6</v>
      </c>
      <c r="L672" s="148">
        <v>1.4833299999999999E-3</v>
      </c>
      <c r="M672" s="104">
        <f t="shared" si="40"/>
        <v>1161.2654744087999</v>
      </c>
      <c r="O672" s="66"/>
      <c r="Q672" s="66">
        <f t="shared" si="42"/>
        <v>2158.5940375083333</v>
      </c>
    </row>
    <row r="673" spans="1:17">
      <c r="A673" s="145" t="s">
        <v>626</v>
      </c>
      <c r="B673" s="146" t="s">
        <v>1620</v>
      </c>
      <c r="C673" s="146" t="s">
        <v>1621</v>
      </c>
      <c r="D673" s="145" t="s">
        <v>1622</v>
      </c>
      <c r="E673" s="146" t="s">
        <v>497</v>
      </c>
      <c r="F673" s="145" t="s">
        <v>26</v>
      </c>
      <c r="G673" s="146" t="s">
        <v>20</v>
      </c>
      <c r="H673" s="146">
        <v>201606</v>
      </c>
      <c r="I673" s="147">
        <v>185.52</v>
      </c>
      <c r="J673" s="297">
        <f t="shared" si="43"/>
        <v>42675</v>
      </c>
      <c r="K673" s="67">
        <f t="shared" si="41"/>
        <v>6</v>
      </c>
      <c r="L673" s="148">
        <v>1.4833299999999999E-3</v>
      </c>
      <c r="M673" s="104">
        <f t="shared" si="40"/>
        <v>1.6511242896</v>
      </c>
      <c r="O673" s="66"/>
      <c r="Q673" s="66">
        <f t="shared" si="42"/>
        <v>3.0691578500000003</v>
      </c>
    </row>
    <row r="674" spans="1:17">
      <c r="A674" s="145" t="s">
        <v>626</v>
      </c>
      <c r="B674" s="146" t="s">
        <v>2036</v>
      </c>
      <c r="C674" s="146" t="s">
        <v>2037</v>
      </c>
      <c r="D674" s="145" t="s">
        <v>2038</v>
      </c>
      <c r="E674" s="146" t="s">
        <v>160</v>
      </c>
      <c r="F674" s="145" t="s">
        <v>19</v>
      </c>
      <c r="G674" s="146" t="s">
        <v>20</v>
      </c>
      <c r="H674" s="146">
        <v>201606</v>
      </c>
      <c r="I674" s="147">
        <v>1013.65</v>
      </c>
      <c r="J674" s="297">
        <f t="shared" si="43"/>
        <v>42675</v>
      </c>
      <c r="K674" s="67">
        <f t="shared" si="41"/>
        <v>6</v>
      </c>
      <c r="L674" s="148">
        <v>1.4833299999999999E-3</v>
      </c>
      <c r="M674" s="104">
        <f t="shared" si="40"/>
        <v>9.0214647269999997</v>
      </c>
      <c r="O674" s="66"/>
      <c r="Q674" s="66">
        <f t="shared" si="42"/>
        <v>16.769361010416667</v>
      </c>
    </row>
    <row r="675" spans="1:17">
      <c r="A675" s="145" t="s">
        <v>626</v>
      </c>
      <c r="B675" s="146" t="s">
        <v>1770</v>
      </c>
      <c r="C675" s="146" t="s">
        <v>1771</v>
      </c>
      <c r="D675" s="145" t="s">
        <v>1772</v>
      </c>
      <c r="E675" s="146" t="s">
        <v>93</v>
      </c>
      <c r="F675" s="145" t="s">
        <v>1601</v>
      </c>
      <c r="G675" s="146" t="s">
        <v>20</v>
      </c>
      <c r="H675" s="146">
        <v>201606</v>
      </c>
      <c r="I675" s="147">
        <v>10.41</v>
      </c>
      <c r="J675" s="297">
        <f t="shared" si="43"/>
        <v>42675</v>
      </c>
      <c r="K675" s="67">
        <f t="shared" si="41"/>
        <v>6</v>
      </c>
      <c r="L675" s="148">
        <v>1.4833299999999999E-3</v>
      </c>
      <c r="M675" s="104">
        <f t="shared" si="40"/>
        <v>9.2648791800000005E-2</v>
      </c>
      <c r="O675" s="66"/>
      <c r="Q675" s="66">
        <f t="shared" si="42"/>
        <v>0.17221826875000001</v>
      </c>
    </row>
    <row r="676" spans="1:17">
      <c r="A676" s="145" t="s">
        <v>626</v>
      </c>
      <c r="B676" s="146" t="s">
        <v>1721</v>
      </c>
      <c r="C676" s="146" t="s">
        <v>1722</v>
      </c>
      <c r="D676" s="145" t="s">
        <v>1723</v>
      </c>
      <c r="E676" s="146" t="s">
        <v>75</v>
      </c>
      <c r="F676" s="145" t="s">
        <v>1602</v>
      </c>
      <c r="G676" s="146" t="s">
        <v>20</v>
      </c>
      <c r="H676" s="146">
        <v>201606</v>
      </c>
      <c r="I676" s="147">
        <v>9.16</v>
      </c>
      <c r="J676" s="297">
        <f t="shared" si="43"/>
        <v>42675</v>
      </c>
      <c r="K676" s="67">
        <f t="shared" si="41"/>
        <v>6</v>
      </c>
      <c r="L676" s="148">
        <v>1.4833299999999999E-3</v>
      </c>
      <c r="M676" s="104">
        <f t="shared" si="40"/>
        <v>8.1523816799999996E-2</v>
      </c>
      <c r="O676" s="66"/>
      <c r="Q676" s="66">
        <f t="shared" si="42"/>
        <v>0.15153884166666667</v>
      </c>
    </row>
    <row r="677" spans="1:17">
      <c r="A677" s="145" t="s">
        <v>626</v>
      </c>
      <c r="B677" s="146" t="s">
        <v>1953</v>
      </c>
      <c r="C677" s="146" t="s">
        <v>1954</v>
      </c>
      <c r="D677" s="145" t="s">
        <v>1955</v>
      </c>
      <c r="E677" s="146" t="s">
        <v>75</v>
      </c>
      <c r="F677" s="145" t="s">
        <v>1602</v>
      </c>
      <c r="G677" s="146" t="s">
        <v>20</v>
      </c>
      <c r="H677" s="146">
        <v>201606</v>
      </c>
      <c r="I677" s="147">
        <v>11.15</v>
      </c>
      <c r="J677" s="297">
        <f t="shared" si="43"/>
        <v>42675</v>
      </c>
      <c r="K677" s="67">
        <f t="shared" si="41"/>
        <v>6</v>
      </c>
      <c r="L677" s="148">
        <v>1.4833299999999999E-3</v>
      </c>
      <c r="M677" s="104">
        <f t="shared" si="40"/>
        <v>9.923477700000001E-2</v>
      </c>
      <c r="O677" s="66"/>
      <c r="Q677" s="66">
        <f t="shared" si="42"/>
        <v>0.18446048958333336</v>
      </c>
    </row>
    <row r="678" spans="1:17">
      <c r="A678" s="145" t="s">
        <v>626</v>
      </c>
      <c r="B678" s="146" t="s">
        <v>1548</v>
      </c>
      <c r="C678" s="146" t="s">
        <v>1549</v>
      </c>
      <c r="D678" s="145" t="s">
        <v>1550</v>
      </c>
      <c r="E678" s="146" t="s">
        <v>164</v>
      </c>
      <c r="F678" s="145" t="s">
        <v>1600</v>
      </c>
      <c r="G678" s="146" t="s">
        <v>20</v>
      </c>
      <c r="H678" s="146">
        <v>201606</v>
      </c>
      <c r="I678" s="147">
        <v>4.74</v>
      </c>
      <c r="J678" s="297">
        <f t="shared" si="43"/>
        <v>42675</v>
      </c>
      <c r="K678" s="67">
        <f t="shared" si="41"/>
        <v>6</v>
      </c>
      <c r="L678" s="148">
        <v>1.4833299999999999E-3</v>
      </c>
      <c r="M678" s="104">
        <f t="shared" si="40"/>
        <v>4.2185905200000005E-2</v>
      </c>
      <c r="O678" s="66"/>
      <c r="Q678" s="66">
        <f t="shared" si="42"/>
        <v>7.8416387500000004E-2</v>
      </c>
    </row>
    <row r="679" spans="1:17">
      <c r="A679" s="145" t="s">
        <v>626</v>
      </c>
      <c r="B679" s="146" t="s">
        <v>1724</v>
      </c>
      <c r="C679" s="146" t="s">
        <v>1725</v>
      </c>
      <c r="D679" s="145" t="s">
        <v>1726</v>
      </c>
      <c r="E679" s="146" t="s">
        <v>75</v>
      </c>
      <c r="F679" s="145" t="s">
        <v>1602</v>
      </c>
      <c r="G679" s="146" t="s">
        <v>20</v>
      </c>
      <c r="H679" s="146">
        <v>201606</v>
      </c>
      <c r="I679" s="147">
        <v>-11.06</v>
      </c>
      <c r="J679" s="297">
        <f t="shared" si="43"/>
        <v>42675</v>
      </c>
      <c r="K679" s="67">
        <f t="shared" si="41"/>
        <v>6</v>
      </c>
      <c r="L679" s="148">
        <v>1.4833299999999999E-3</v>
      </c>
      <c r="M679" s="104">
        <f t="shared" si="40"/>
        <v>-9.843377880000001E-2</v>
      </c>
      <c r="O679" s="66"/>
      <c r="Q679" s="66">
        <f t="shared" si="42"/>
        <v>-0.18297157083333335</v>
      </c>
    </row>
    <row r="680" spans="1:17">
      <c r="A680" s="145" t="s">
        <v>626</v>
      </c>
      <c r="B680" s="146" t="s">
        <v>1375</v>
      </c>
      <c r="C680" s="146" t="s">
        <v>1376</v>
      </c>
      <c r="D680" s="145" t="s">
        <v>1374</v>
      </c>
      <c r="E680" s="146" t="s">
        <v>497</v>
      </c>
      <c r="F680" s="145" t="s">
        <v>26</v>
      </c>
      <c r="G680" s="146" t="s">
        <v>20</v>
      </c>
      <c r="H680" s="146">
        <v>201606</v>
      </c>
      <c r="I680" s="147">
        <v>116.09</v>
      </c>
      <c r="J680" s="297">
        <f t="shared" si="43"/>
        <v>42675</v>
      </c>
      <c r="K680" s="67">
        <f t="shared" si="41"/>
        <v>6</v>
      </c>
      <c r="L680" s="148">
        <v>1.4833299999999999E-3</v>
      </c>
      <c r="M680" s="104">
        <f t="shared" si="40"/>
        <v>1.0331986782</v>
      </c>
      <c r="O680" s="66"/>
      <c r="Q680" s="66">
        <f t="shared" si="42"/>
        <v>1.9205397520833336</v>
      </c>
    </row>
    <row r="681" spans="1:17">
      <c r="A681" s="145" t="s">
        <v>626</v>
      </c>
      <c r="B681" s="146" t="s">
        <v>1444</v>
      </c>
      <c r="C681" s="146" t="s">
        <v>1445</v>
      </c>
      <c r="D681" s="145" t="s">
        <v>1282</v>
      </c>
      <c r="E681" s="146" t="s">
        <v>164</v>
      </c>
      <c r="F681" s="145" t="s">
        <v>1600</v>
      </c>
      <c r="G681" s="146" t="s">
        <v>20</v>
      </c>
      <c r="H681" s="146">
        <v>201606</v>
      </c>
      <c r="I681" s="147">
        <v>-84.02</v>
      </c>
      <c r="J681" s="297">
        <f t="shared" si="43"/>
        <v>42675</v>
      </c>
      <c r="K681" s="67">
        <f t="shared" si="41"/>
        <v>6</v>
      </c>
      <c r="L681" s="148">
        <v>1.4833299999999999E-3</v>
      </c>
      <c r="M681" s="104">
        <f t="shared" si="40"/>
        <v>-0.74777631960000002</v>
      </c>
      <c r="O681" s="66"/>
      <c r="Q681" s="66">
        <f t="shared" si="42"/>
        <v>-1.3899883708333334</v>
      </c>
    </row>
    <row r="682" spans="1:17">
      <c r="A682" s="145" t="s">
        <v>626</v>
      </c>
      <c r="B682" s="146" t="s">
        <v>1788</v>
      </c>
      <c r="C682" s="146" t="s">
        <v>1789</v>
      </c>
      <c r="D682" s="145" t="s">
        <v>1790</v>
      </c>
      <c r="E682" s="146" t="s">
        <v>25</v>
      </c>
      <c r="F682" s="145" t="s">
        <v>26</v>
      </c>
      <c r="G682" s="146" t="s">
        <v>20</v>
      </c>
      <c r="H682" s="146">
        <v>201606</v>
      </c>
      <c r="I682" s="147">
        <v>43.98</v>
      </c>
      <c r="J682" s="297">
        <f t="shared" si="43"/>
        <v>42675</v>
      </c>
      <c r="K682" s="67">
        <f t="shared" si="41"/>
        <v>6</v>
      </c>
      <c r="L682" s="148">
        <v>1.4833299999999999E-3</v>
      </c>
      <c r="M682" s="104">
        <f t="shared" si="40"/>
        <v>0.39142112039999999</v>
      </c>
      <c r="O682" s="66"/>
      <c r="Q682" s="66">
        <f t="shared" si="42"/>
        <v>0.72758496249999993</v>
      </c>
    </row>
    <row r="683" spans="1:17">
      <c r="A683" s="145" t="s">
        <v>626</v>
      </c>
      <c r="B683" s="146" t="s">
        <v>1791</v>
      </c>
      <c r="C683" s="146" t="s">
        <v>1792</v>
      </c>
      <c r="D683" s="145" t="s">
        <v>1793</v>
      </c>
      <c r="E683" s="146" t="s">
        <v>75</v>
      </c>
      <c r="F683" s="145" t="s">
        <v>1602</v>
      </c>
      <c r="G683" s="146" t="s">
        <v>20</v>
      </c>
      <c r="H683" s="146">
        <v>201606</v>
      </c>
      <c r="I683" s="147">
        <v>852.37</v>
      </c>
      <c r="J683" s="297">
        <f t="shared" si="43"/>
        <v>42675</v>
      </c>
      <c r="K683" s="67">
        <f t="shared" si="41"/>
        <v>6</v>
      </c>
      <c r="L683" s="148">
        <v>1.4833299999999999E-3</v>
      </c>
      <c r="M683" s="104">
        <f t="shared" si="40"/>
        <v>7.5860759525999999</v>
      </c>
      <c r="O683" s="66"/>
      <c r="Q683" s="66">
        <f t="shared" si="42"/>
        <v>14.101218610416666</v>
      </c>
    </row>
    <row r="684" spans="1:17">
      <c r="A684" s="145" t="s">
        <v>626</v>
      </c>
      <c r="B684" s="146" t="s">
        <v>1838</v>
      </c>
      <c r="C684" s="146" t="s">
        <v>1839</v>
      </c>
      <c r="D684" s="145" t="s">
        <v>1840</v>
      </c>
      <c r="E684" s="146" t="s">
        <v>260</v>
      </c>
      <c r="F684" s="145" t="s">
        <v>1608</v>
      </c>
      <c r="G684" s="146" t="s">
        <v>20</v>
      </c>
      <c r="H684" s="146">
        <v>201606</v>
      </c>
      <c r="I684" s="147">
        <v>1851.07</v>
      </c>
      <c r="J684" s="297">
        <f t="shared" si="43"/>
        <v>42675</v>
      </c>
      <c r="K684" s="67">
        <f t="shared" si="41"/>
        <v>6</v>
      </c>
      <c r="L684" s="148">
        <v>1.4833299999999999E-3</v>
      </c>
      <c r="M684" s="104">
        <f t="shared" si="40"/>
        <v>16.474485978600001</v>
      </c>
      <c r="O684" s="66"/>
      <c r="Q684" s="66">
        <f t="shared" si="42"/>
        <v>30.623253672916665</v>
      </c>
    </row>
    <row r="685" spans="1:17">
      <c r="A685" s="342" t="s">
        <v>133</v>
      </c>
      <c r="B685" s="343" t="s">
        <v>1876</v>
      </c>
      <c r="C685" s="343" t="s">
        <v>1877</v>
      </c>
      <c r="D685" s="342" t="s">
        <v>1878</v>
      </c>
      <c r="E685" s="343" t="s">
        <v>75</v>
      </c>
      <c r="F685" s="342" t="s">
        <v>1602</v>
      </c>
      <c r="G685" s="343" t="s">
        <v>20</v>
      </c>
      <c r="H685" s="343">
        <v>201606</v>
      </c>
      <c r="I685" s="344">
        <v>0</v>
      </c>
      <c r="J685" s="297">
        <f t="shared" si="43"/>
        <v>42675</v>
      </c>
      <c r="K685" s="348">
        <f t="shared" si="41"/>
        <v>6</v>
      </c>
      <c r="L685" s="345">
        <v>1.4833299999999999E-3</v>
      </c>
      <c r="M685" s="349">
        <f t="shared" si="40"/>
        <v>0</v>
      </c>
      <c r="N685" s="350"/>
      <c r="O685" s="351"/>
      <c r="P685" s="350"/>
      <c r="Q685" s="66">
        <f t="shared" si="42"/>
        <v>0</v>
      </c>
    </row>
    <row r="686" spans="1:17">
      <c r="A686" s="145" t="s">
        <v>626</v>
      </c>
      <c r="B686" s="146" t="s">
        <v>2039</v>
      </c>
      <c r="C686" s="146" t="s">
        <v>2040</v>
      </c>
      <c r="D686" s="145" t="s">
        <v>2041</v>
      </c>
      <c r="E686" s="146" t="s">
        <v>497</v>
      </c>
      <c r="F686" s="145" t="s">
        <v>26</v>
      </c>
      <c r="G686" s="146" t="s">
        <v>20</v>
      </c>
      <c r="H686" s="146">
        <v>201606</v>
      </c>
      <c r="I686" s="147">
        <v>1954.38</v>
      </c>
      <c r="J686" s="297">
        <f t="shared" si="43"/>
        <v>42675</v>
      </c>
      <c r="K686" s="67">
        <f t="shared" si="41"/>
        <v>6</v>
      </c>
      <c r="L686" s="148">
        <v>1.4833299999999999E-3</v>
      </c>
      <c r="M686" s="104">
        <f t="shared" si="40"/>
        <v>17.3939429124</v>
      </c>
      <c r="O686" s="66"/>
      <c r="Q686" s="66">
        <f t="shared" si="42"/>
        <v>32.332366962500004</v>
      </c>
    </row>
    <row r="687" spans="1:17">
      <c r="A687" s="145" t="s">
        <v>626</v>
      </c>
      <c r="B687" s="146" t="s">
        <v>1879</v>
      </c>
      <c r="C687" s="146" t="s">
        <v>1880</v>
      </c>
      <c r="D687" s="145" t="s">
        <v>1273</v>
      </c>
      <c r="E687" s="146" t="s">
        <v>75</v>
      </c>
      <c r="F687" s="145" t="s">
        <v>1602</v>
      </c>
      <c r="G687" s="146" t="s">
        <v>20</v>
      </c>
      <c r="H687" s="146">
        <v>201606</v>
      </c>
      <c r="I687" s="147">
        <v>157.65</v>
      </c>
      <c r="J687" s="297">
        <f t="shared" si="43"/>
        <v>42675</v>
      </c>
      <c r="K687" s="67">
        <f t="shared" si="41"/>
        <v>6</v>
      </c>
      <c r="L687" s="148">
        <v>1.4833299999999999E-3</v>
      </c>
      <c r="M687" s="104">
        <f t="shared" si="40"/>
        <v>1.4030818470000002</v>
      </c>
      <c r="O687" s="66"/>
      <c r="Q687" s="66">
        <f t="shared" si="42"/>
        <v>2.6080893437500001</v>
      </c>
    </row>
    <row r="688" spans="1:17">
      <c r="A688" s="145" t="s">
        <v>626</v>
      </c>
      <c r="B688" s="146" t="s">
        <v>2042</v>
      </c>
      <c r="C688" s="146" t="s">
        <v>2043</v>
      </c>
      <c r="D688" s="145" t="s">
        <v>2044</v>
      </c>
      <c r="E688" s="146" t="s">
        <v>497</v>
      </c>
      <c r="F688" s="145" t="s">
        <v>26</v>
      </c>
      <c r="G688" s="146" t="s">
        <v>20</v>
      </c>
      <c r="H688" s="146">
        <v>201606</v>
      </c>
      <c r="I688" s="147">
        <v>3923.03</v>
      </c>
      <c r="J688" s="297">
        <f t="shared" si="43"/>
        <v>42675</v>
      </c>
      <c r="K688" s="67">
        <f t="shared" si="41"/>
        <v>6</v>
      </c>
      <c r="L688" s="148">
        <v>1.4833299999999999E-3</v>
      </c>
      <c r="M688" s="104">
        <f t="shared" si="40"/>
        <v>34.914888539400003</v>
      </c>
      <c r="O688" s="66"/>
      <c r="Q688" s="66">
        <f t="shared" si="42"/>
        <v>64.900810264583342</v>
      </c>
    </row>
    <row r="689" spans="1:17">
      <c r="A689" s="145" t="s">
        <v>626</v>
      </c>
      <c r="B689" s="146" t="s">
        <v>1794</v>
      </c>
      <c r="C689" s="146" t="s">
        <v>1795</v>
      </c>
      <c r="D689" s="145" t="s">
        <v>1796</v>
      </c>
      <c r="E689" s="146" t="s">
        <v>809</v>
      </c>
      <c r="F689" s="145" t="s">
        <v>26</v>
      </c>
      <c r="G689" s="146" t="s">
        <v>20</v>
      </c>
      <c r="H689" s="146">
        <v>201606</v>
      </c>
      <c r="I689" s="147">
        <v>603.17999999999995</v>
      </c>
      <c r="J689" s="297">
        <f t="shared" si="43"/>
        <v>42675</v>
      </c>
      <c r="K689" s="67">
        <f t="shared" si="41"/>
        <v>6</v>
      </c>
      <c r="L689" s="148">
        <v>1.4833299999999999E-3</v>
      </c>
      <c r="M689" s="104">
        <f t="shared" si="40"/>
        <v>5.3682899363999992</v>
      </c>
      <c r="O689" s="66"/>
      <c r="Q689" s="66">
        <f t="shared" si="42"/>
        <v>9.9787334624999993</v>
      </c>
    </row>
    <row r="690" spans="1:17">
      <c r="A690" s="145" t="s">
        <v>626</v>
      </c>
      <c r="B690" s="146" t="s">
        <v>1844</v>
      </c>
      <c r="C690" s="146" t="s">
        <v>1845</v>
      </c>
      <c r="D690" s="145" t="s">
        <v>1846</v>
      </c>
      <c r="E690" s="146" t="s">
        <v>160</v>
      </c>
      <c r="F690" s="145" t="s">
        <v>19</v>
      </c>
      <c r="G690" s="146" t="s">
        <v>20</v>
      </c>
      <c r="H690" s="146">
        <v>201606</v>
      </c>
      <c r="I690" s="147">
        <v>460.67</v>
      </c>
      <c r="J690" s="297">
        <f t="shared" si="43"/>
        <v>42675</v>
      </c>
      <c r="K690" s="67">
        <f t="shared" si="41"/>
        <v>6</v>
      </c>
      <c r="L690" s="148">
        <v>1.4833299999999999E-3</v>
      </c>
      <c r="M690" s="104">
        <f t="shared" si="40"/>
        <v>4.0999537866000004</v>
      </c>
      <c r="O690" s="66"/>
      <c r="Q690" s="66">
        <f t="shared" si="42"/>
        <v>7.6211133395833333</v>
      </c>
    </row>
    <row r="691" spans="1:17">
      <c r="A691" s="145" t="s">
        <v>21</v>
      </c>
      <c r="B691" s="146" t="s">
        <v>1727</v>
      </c>
      <c r="C691" s="146" t="s">
        <v>1728</v>
      </c>
      <c r="D691" s="145" t="s">
        <v>1729</v>
      </c>
      <c r="E691" s="146" t="s">
        <v>75</v>
      </c>
      <c r="F691" s="145" t="s">
        <v>1602</v>
      </c>
      <c r="G691" s="146" t="s">
        <v>20</v>
      </c>
      <c r="H691" s="146">
        <v>201606</v>
      </c>
      <c r="I691" s="147">
        <v>100.59</v>
      </c>
      <c r="J691" s="297">
        <f t="shared" si="43"/>
        <v>42675</v>
      </c>
      <c r="K691" s="67">
        <f t="shared" si="41"/>
        <v>6</v>
      </c>
      <c r="L691" s="148">
        <v>1.4833299999999999E-3</v>
      </c>
      <c r="M691" s="104">
        <f t="shared" si="40"/>
        <v>0.89524898819999998</v>
      </c>
      <c r="O691" s="66"/>
      <c r="Q691" s="66">
        <f t="shared" si="42"/>
        <v>1.6641148562500001</v>
      </c>
    </row>
    <row r="692" spans="1:17">
      <c r="A692" s="145" t="s">
        <v>990</v>
      </c>
      <c r="B692" s="146" t="s">
        <v>1730</v>
      </c>
      <c r="C692" s="146" t="s">
        <v>1731</v>
      </c>
      <c r="D692" s="145" t="s">
        <v>1732</v>
      </c>
      <c r="E692" s="146" t="s">
        <v>1688</v>
      </c>
      <c r="F692" s="145" t="s">
        <v>1689</v>
      </c>
      <c r="G692" s="146" t="s">
        <v>20</v>
      </c>
      <c r="H692" s="146">
        <v>201606</v>
      </c>
      <c r="I692" s="147">
        <v>-1.61</v>
      </c>
      <c r="J692" s="297">
        <f t="shared" si="43"/>
        <v>42675</v>
      </c>
      <c r="K692" s="67">
        <f t="shared" si="41"/>
        <v>6</v>
      </c>
      <c r="L692" s="148">
        <v>2.3833299999999999E-3</v>
      </c>
      <c r="M692" s="104">
        <f t="shared" si="40"/>
        <v>-2.3022967800000002E-2</v>
      </c>
      <c r="O692" s="66"/>
      <c r="Q692" s="66">
        <f t="shared" si="42"/>
        <v>-2.6635102083333334E-2</v>
      </c>
    </row>
    <row r="693" spans="1:17">
      <c r="A693" s="145" t="s">
        <v>990</v>
      </c>
      <c r="B693" s="146" t="s">
        <v>1733</v>
      </c>
      <c r="C693" s="146" t="s">
        <v>1734</v>
      </c>
      <c r="D693" s="145" t="s">
        <v>1735</v>
      </c>
      <c r="E693" s="146" t="s">
        <v>1688</v>
      </c>
      <c r="F693" s="145" t="s">
        <v>1689</v>
      </c>
      <c r="G693" s="146" t="s">
        <v>20</v>
      </c>
      <c r="H693" s="146">
        <v>201606</v>
      </c>
      <c r="I693" s="147">
        <v>7.32</v>
      </c>
      <c r="J693" s="297">
        <f t="shared" si="43"/>
        <v>42675</v>
      </c>
      <c r="K693" s="67">
        <f t="shared" si="41"/>
        <v>6</v>
      </c>
      <c r="L693" s="148">
        <v>2.3833299999999999E-3</v>
      </c>
      <c r="M693" s="104">
        <f t="shared" si="40"/>
        <v>0.10467585360000001</v>
      </c>
      <c r="O693" s="66"/>
      <c r="Q693" s="66">
        <f t="shared" si="42"/>
        <v>0.12109872500000002</v>
      </c>
    </row>
    <row r="694" spans="1:17">
      <c r="A694" s="145" t="s">
        <v>626</v>
      </c>
      <c r="B694" s="146" t="s">
        <v>1881</v>
      </c>
      <c r="C694" s="146" t="s">
        <v>1882</v>
      </c>
      <c r="D694" s="145" t="s">
        <v>1883</v>
      </c>
      <c r="E694" s="146" t="s">
        <v>75</v>
      </c>
      <c r="F694" s="145" t="s">
        <v>1602</v>
      </c>
      <c r="G694" s="146" t="s">
        <v>20</v>
      </c>
      <c r="H694" s="146">
        <v>201606</v>
      </c>
      <c r="I694" s="147">
        <v>131.46</v>
      </c>
      <c r="J694" s="297">
        <f t="shared" si="43"/>
        <v>42675</v>
      </c>
      <c r="K694" s="67">
        <f t="shared" si="41"/>
        <v>6</v>
      </c>
      <c r="L694" s="148">
        <v>1.4833299999999999E-3</v>
      </c>
      <c r="M694" s="104">
        <f t="shared" si="40"/>
        <v>1.1699913708</v>
      </c>
      <c r="O694" s="66"/>
      <c r="Q694" s="66">
        <f t="shared" si="42"/>
        <v>2.1748139875000003</v>
      </c>
    </row>
    <row r="695" spans="1:17">
      <c r="A695" s="145" t="s">
        <v>626</v>
      </c>
      <c r="B695" s="146" t="s">
        <v>1496</v>
      </c>
      <c r="C695" s="146" t="s">
        <v>1497</v>
      </c>
      <c r="D695" s="145" t="s">
        <v>1498</v>
      </c>
      <c r="E695" s="146" t="s">
        <v>164</v>
      </c>
      <c r="F695" s="145" t="s">
        <v>1600</v>
      </c>
      <c r="G695" s="146" t="s">
        <v>20</v>
      </c>
      <c r="H695" s="146">
        <v>201606</v>
      </c>
      <c r="I695" s="147">
        <v>-12.33</v>
      </c>
      <c r="J695" s="297">
        <f t="shared" si="43"/>
        <v>42675</v>
      </c>
      <c r="K695" s="67">
        <f t="shared" si="41"/>
        <v>6</v>
      </c>
      <c r="L695" s="148">
        <v>1.4833299999999999E-3</v>
      </c>
      <c r="M695" s="104">
        <f t="shared" si="40"/>
        <v>-0.1097367534</v>
      </c>
      <c r="O695" s="66"/>
      <c r="Q695" s="66">
        <f t="shared" si="42"/>
        <v>-0.20398186874999999</v>
      </c>
    </row>
    <row r="696" spans="1:17">
      <c r="A696" s="145" t="s">
        <v>626</v>
      </c>
      <c r="B696" s="146" t="s">
        <v>1884</v>
      </c>
      <c r="C696" s="146" t="s">
        <v>1885</v>
      </c>
      <c r="D696" s="145" t="s">
        <v>1886</v>
      </c>
      <c r="E696" s="146" t="s">
        <v>75</v>
      </c>
      <c r="F696" s="145" t="s">
        <v>1602</v>
      </c>
      <c r="G696" s="146" t="s">
        <v>20</v>
      </c>
      <c r="H696" s="146">
        <v>201606</v>
      </c>
      <c r="I696" s="147">
        <v>73.94</v>
      </c>
      <c r="J696" s="297">
        <f t="shared" si="43"/>
        <v>42675</v>
      </c>
      <c r="K696" s="67">
        <f t="shared" si="41"/>
        <v>6</v>
      </c>
      <c r="L696" s="148">
        <v>1.4833299999999999E-3</v>
      </c>
      <c r="M696" s="104">
        <f t="shared" si="40"/>
        <v>0.65806452120000003</v>
      </c>
      <c r="O696" s="66"/>
      <c r="Q696" s="66">
        <f t="shared" si="42"/>
        <v>1.2232294708333333</v>
      </c>
    </row>
    <row r="697" spans="1:17">
      <c r="A697" s="145" t="s">
        <v>626</v>
      </c>
      <c r="B697" s="146" t="s">
        <v>1736</v>
      </c>
      <c r="C697" s="146" t="s">
        <v>1737</v>
      </c>
      <c r="D697" s="145" t="s">
        <v>1738</v>
      </c>
      <c r="E697" s="146" t="s">
        <v>164</v>
      </c>
      <c r="F697" s="145" t="s">
        <v>1600</v>
      </c>
      <c r="G697" s="146" t="s">
        <v>20</v>
      </c>
      <c r="H697" s="146">
        <v>201606</v>
      </c>
      <c r="I697" s="147">
        <v>443.16</v>
      </c>
      <c r="J697" s="297">
        <f t="shared" si="43"/>
        <v>42675</v>
      </c>
      <c r="K697" s="67">
        <f t="shared" si="41"/>
        <v>6</v>
      </c>
      <c r="L697" s="148">
        <v>1.4833299999999999E-3</v>
      </c>
      <c r="M697" s="104">
        <f t="shared" si="40"/>
        <v>3.9441151368000003</v>
      </c>
      <c r="O697" s="66"/>
      <c r="Q697" s="66">
        <f t="shared" si="42"/>
        <v>7.3314359250000001</v>
      </c>
    </row>
    <row r="698" spans="1:17">
      <c r="A698" s="145" t="s">
        <v>626</v>
      </c>
      <c r="B698" s="146" t="s">
        <v>1847</v>
      </c>
      <c r="C698" s="146" t="s">
        <v>1848</v>
      </c>
      <c r="D698" s="145" t="s">
        <v>1849</v>
      </c>
      <c r="E698" s="146" t="s">
        <v>63</v>
      </c>
      <c r="F698" s="145" t="s">
        <v>19</v>
      </c>
      <c r="G698" s="146" t="s">
        <v>20</v>
      </c>
      <c r="H698" s="146">
        <v>201606</v>
      </c>
      <c r="I698" s="147">
        <v>2.94</v>
      </c>
      <c r="J698" s="297">
        <f t="shared" si="43"/>
        <v>42675</v>
      </c>
      <c r="K698" s="67">
        <f t="shared" si="41"/>
        <v>6</v>
      </c>
      <c r="L698" s="148">
        <v>1.4833299999999999E-3</v>
      </c>
      <c r="M698" s="104">
        <f t="shared" si="40"/>
        <v>2.6165941200000001E-2</v>
      </c>
      <c r="O698" s="66"/>
      <c r="Q698" s="66">
        <f t="shared" si="42"/>
        <v>4.8638012500000001E-2</v>
      </c>
    </row>
    <row r="699" spans="1:17">
      <c r="A699" s="145" t="s">
        <v>626</v>
      </c>
      <c r="B699" s="146" t="s">
        <v>1594</v>
      </c>
      <c r="C699" s="146" t="s">
        <v>1595</v>
      </c>
      <c r="D699" s="145" t="s">
        <v>1596</v>
      </c>
      <c r="E699" s="146" t="s">
        <v>87</v>
      </c>
      <c r="F699" s="145" t="s">
        <v>1603</v>
      </c>
      <c r="G699" s="146" t="s">
        <v>20</v>
      </c>
      <c r="H699" s="146">
        <v>201606</v>
      </c>
      <c r="I699" s="147">
        <v>2.81</v>
      </c>
      <c r="J699" s="297">
        <f t="shared" si="43"/>
        <v>42675</v>
      </c>
      <c r="K699" s="67">
        <f t="shared" si="41"/>
        <v>6</v>
      </c>
      <c r="L699" s="148">
        <v>1.4833299999999999E-3</v>
      </c>
      <c r="M699" s="104">
        <f t="shared" si="40"/>
        <v>2.5008943799999999E-2</v>
      </c>
      <c r="O699" s="66"/>
      <c r="Q699" s="66">
        <f t="shared" si="42"/>
        <v>4.6487352083333329E-2</v>
      </c>
    </row>
    <row r="700" spans="1:17">
      <c r="A700" s="145" t="s">
        <v>127</v>
      </c>
      <c r="B700" s="146" t="s">
        <v>1773</v>
      </c>
      <c r="C700" s="146" t="s">
        <v>1774</v>
      </c>
      <c r="D700" s="145" t="s">
        <v>1775</v>
      </c>
      <c r="E700" s="146" t="s">
        <v>209</v>
      </c>
      <c r="F700" s="145" t="s">
        <v>1612</v>
      </c>
      <c r="G700" s="146" t="s">
        <v>20</v>
      </c>
      <c r="H700" s="146">
        <v>201606</v>
      </c>
      <c r="I700" s="147">
        <v>-18.079999999999998</v>
      </c>
      <c r="J700" s="297">
        <f t="shared" si="43"/>
        <v>42675</v>
      </c>
      <c r="K700" s="67">
        <f t="shared" si="41"/>
        <v>6</v>
      </c>
      <c r="L700" s="148">
        <v>2.3833299999999999E-3</v>
      </c>
      <c r="M700" s="104">
        <f t="shared" si="40"/>
        <v>-0.2585436384</v>
      </c>
      <c r="O700" s="66"/>
      <c r="Q700" s="66">
        <f t="shared" si="42"/>
        <v>-0.29910723333333333</v>
      </c>
    </row>
    <row r="701" spans="1:17">
      <c r="A701" s="145" t="s">
        <v>626</v>
      </c>
      <c r="B701" s="146" t="s">
        <v>1739</v>
      </c>
      <c r="C701" s="146" t="s">
        <v>1740</v>
      </c>
      <c r="D701" s="145" t="s">
        <v>1741</v>
      </c>
      <c r="E701" s="146" t="s">
        <v>164</v>
      </c>
      <c r="F701" s="145" t="s">
        <v>1600</v>
      </c>
      <c r="G701" s="146" t="s">
        <v>20</v>
      </c>
      <c r="H701" s="146">
        <v>201606</v>
      </c>
      <c r="I701" s="147">
        <v>1057.04</v>
      </c>
      <c r="J701" s="297">
        <f t="shared" si="43"/>
        <v>42675</v>
      </c>
      <c r="K701" s="67">
        <f t="shared" si="41"/>
        <v>6</v>
      </c>
      <c r="L701" s="148">
        <v>1.4833299999999999E-3</v>
      </c>
      <c r="M701" s="104">
        <f t="shared" si="40"/>
        <v>9.4076348591999999</v>
      </c>
      <c r="O701" s="66"/>
      <c r="Q701" s="66">
        <f t="shared" si="42"/>
        <v>17.487185283333332</v>
      </c>
    </row>
    <row r="702" spans="1:17">
      <c r="A702" s="145" t="s">
        <v>626</v>
      </c>
      <c r="B702" s="146" t="s">
        <v>1632</v>
      </c>
      <c r="C702" s="146" t="s">
        <v>1633</v>
      </c>
      <c r="D702" s="145" t="s">
        <v>1634</v>
      </c>
      <c r="E702" s="146" t="s">
        <v>471</v>
      </c>
      <c r="F702" s="145" t="s">
        <v>165</v>
      </c>
      <c r="G702" s="146" t="s">
        <v>20</v>
      </c>
      <c r="H702" s="146">
        <v>201606</v>
      </c>
      <c r="I702" s="147">
        <v>14.32</v>
      </c>
      <c r="J702" s="297">
        <f t="shared" si="43"/>
        <v>42675</v>
      </c>
      <c r="K702" s="67">
        <f t="shared" si="41"/>
        <v>6</v>
      </c>
      <c r="L702" s="148">
        <v>1.4833299999999999E-3</v>
      </c>
      <c r="M702" s="104">
        <f t="shared" si="40"/>
        <v>0.12744771360000001</v>
      </c>
      <c r="O702" s="66"/>
      <c r="Q702" s="66">
        <f t="shared" si="42"/>
        <v>0.23690351666666667</v>
      </c>
    </row>
    <row r="703" spans="1:17">
      <c r="A703" s="145" t="s">
        <v>21</v>
      </c>
      <c r="B703" s="146" t="s">
        <v>1635</v>
      </c>
      <c r="C703" s="146" t="s">
        <v>1636</v>
      </c>
      <c r="D703" s="145" t="s">
        <v>1637</v>
      </c>
      <c r="E703" s="146" t="s">
        <v>360</v>
      </c>
      <c r="F703" s="145" t="s">
        <v>19</v>
      </c>
      <c r="G703" s="146" t="s">
        <v>20</v>
      </c>
      <c r="H703" s="146">
        <v>201606</v>
      </c>
      <c r="I703" s="147">
        <v>6.07</v>
      </c>
      <c r="J703" s="297">
        <f t="shared" si="43"/>
        <v>42675</v>
      </c>
      <c r="K703" s="67">
        <f t="shared" si="41"/>
        <v>6</v>
      </c>
      <c r="L703" s="148">
        <v>1.4833299999999999E-3</v>
      </c>
      <c r="M703" s="104">
        <f t="shared" si="40"/>
        <v>5.4022878600000004E-2</v>
      </c>
      <c r="O703" s="66"/>
      <c r="Q703" s="66">
        <f t="shared" si="42"/>
        <v>0.10041929791666668</v>
      </c>
    </row>
    <row r="704" spans="1:17">
      <c r="A704" s="145" t="s">
        <v>626</v>
      </c>
      <c r="B704" s="146" t="s">
        <v>1797</v>
      </c>
      <c r="C704" s="146" t="s">
        <v>1798</v>
      </c>
      <c r="D704" s="145" t="s">
        <v>1799</v>
      </c>
      <c r="E704" s="146" t="s">
        <v>164</v>
      </c>
      <c r="F704" s="145" t="s">
        <v>1600</v>
      </c>
      <c r="G704" s="146" t="s">
        <v>20</v>
      </c>
      <c r="H704" s="146">
        <v>201606</v>
      </c>
      <c r="I704" s="147">
        <v>2968.47</v>
      </c>
      <c r="J704" s="297">
        <f t="shared" si="43"/>
        <v>42675</v>
      </c>
      <c r="K704" s="67">
        <f t="shared" si="41"/>
        <v>6</v>
      </c>
      <c r="L704" s="148">
        <v>1.4833299999999999E-3</v>
      </c>
      <c r="M704" s="104">
        <f t="shared" si="40"/>
        <v>26.419323630599997</v>
      </c>
      <c r="O704" s="66"/>
      <c r="Q704" s="66">
        <f t="shared" si="42"/>
        <v>49.109007131249996</v>
      </c>
    </row>
    <row r="705" spans="1:17">
      <c r="A705" s="145" t="s">
        <v>626</v>
      </c>
      <c r="B705" s="146" t="s">
        <v>1890</v>
      </c>
      <c r="C705" s="146" t="s">
        <v>1891</v>
      </c>
      <c r="D705" s="145" t="s">
        <v>1495</v>
      </c>
      <c r="E705" s="146" t="s">
        <v>75</v>
      </c>
      <c r="F705" s="145" t="s">
        <v>1602</v>
      </c>
      <c r="G705" s="146" t="s">
        <v>20</v>
      </c>
      <c r="H705" s="146">
        <v>201606</v>
      </c>
      <c r="I705" s="147">
        <v>398.43</v>
      </c>
      <c r="J705" s="297">
        <f t="shared" si="43"/>
        <v>42675</v>
      </c>
      <c r="K705" s="67">
        <f t="shared" si="41"/>
        <v>6</v>
      </c>
      <c r="L705" s="148">
        <v>1.4833299999999999E-3</v>
      </c>
      <c r="M705" s="104">
        <f t="shared" si="40"/>
        <v>3.5460190314000002</v>
      </c>
      <c r="O705" s="66"/>
      <c r="Q705" s="66">
        <f t="shared" si="42"/>
        <v>6.5914433062500004</v>
      </c>
    </row>
    <row r="706" spans="1:17">
      <c r="A706" s="145" t="s">
        <v>21</v>
      </c>
      <c r="B706" s="146" t="s">
        <v>1956</v>
      </c>
      <c r="C706" s="146" t="s">
        <v>1957</v>
      </c>
      <c r="D706" s="145" t="s">
        <v>1958</v>
      </c>
      <c r="E706" s="146" t="s">
        <v>75</v>
      </c>
      <c r="F706" s="145" t="s">
        <v>1602</v>
      </c>
      <c r="G706" s="146" t="s">
        <v>20</v>
      </c>
      <c r="H706" s="146">
        <v>201606</v>
      </c>
      <c r="I706" s="147">
        <v>13418.58</v>
      </c>
      <c r="J706" s="297">
        <f t="shared" si="43"/>
        <v>42675</v>
      </c>
      <c r="K706" s="67">
        <f t="shared" si="41"/>
        <v>6</v>
      </c>
      <c r="L706" s="148">
        <v>1.4833299999999999E-3</v>
      </c>
      <c r="M706" s="104">
        <f t="shared" si="40"/>
        <v>119.42509362840001</v>
      </c>
      <c r="O706" s="66"/>
      <c r="Q706" s="66">
        <f t="shared" si="42"/>
        <v>221.99083733749998</v>
      </c>
    </row>
    <row r="707" spans="1:17">
      <c r="A707" s="145" t="s">
        <v>626</v>
      </c>
      <c r="B707" s="146" t="s">
        <v>1892</v>
      </c>
      <c r="C707" s="146" t="s">
        <v>1893</v>
      </c>
      <c r="D707" s="145" t="s">
        <v>1894</v>
      </c>
      <c r="E707" s="146" t="s">
        <v>75</v>
      </c>
      <c r="F707" s="145" t="s">
        <v>1602</v>
      </c>
      <c r="G707" s="146" t="s">
        <v>20</v>
      </c>
      <c r="H707" s="146">
        <v>201606</v>
      </c>
      <c r="I707" s="147">
        <v>844.76</v>
      </c>
      <c r="J707" s="297">
        <f t="shared" si="43"/>
        <v>42675</v>
      </c>
      <c r="K707" s="67">
        <f t="shared" si="41"/>
        <v>6</v>
      </c>
      <c r="L707" s="148">
        <v>1.4833299999999999E-3</v>
      </c>
      <c r="M707" s="104">
        <f t="shared" si="40"/>
        <v>7.5183471048000001</v>
      </c>
      <c r="O707" s="66"/>
      <c r="Q707" s="66">
        <f t="shared" si="42"/>
        <v>13.975322258333334</v>
      </c>
    </row>
    <row r="708" spans="1:17">
      <c r="A708" s="145" t="s">
        <v>626</v>
      </c>
      <c r="B708" s="146" t="s">
        <v>1959</v>
      </c>
      <c r="C708" s="146" t="s">
        <v>1960</v>
      </c>
      <c r="D708" s="145" t="s">
        <v>1495</v>
      </c>
      <c r="E708" s="146" t="s">
        <v>75</v>
      </c>
      <c r="F708" s="145" t="s">
        <v>1602</v>
      </c>
      <c r="G708" s="146" t="s">
        <v>20</v>
      </c>
      <c r="H708" s="146">
        <v>201606</v>
      </c>
      <c r="I708" s="147">
        <v>14.04</v>
      </c>
      <c r="J708" s="297">
        <f t="shared" si="43"/>
        <v>42675</v>
      </c>
      <c r="K708" s="67">
        <f t="shared" si="41"/>
        <v>6</v>
      </c>
      <c r="L708" s="148">
        <v>1.4833299999999999E-3</v>
      </c>
      <c r="M708" s="104">
        <f t="shared" si="40"/>
        <v>0.1249557192</v>
      </c>
      <c r="O708" s="66"/>
      <c r="Q708" s="66">
        <f t="shared" si="42"/>
        <v>0.232271325</v>
      </c>
    </row>
    <row r="709" spans="1:17">
      <c r="A709" s="145" t="s">
        <v>626</v>
      </c>
      <c r="B709" s="146" t="s">
        <v>1898</v>
      </c>
      <c r="C709" s="146" t="s">
        <v>1899</v>
      </c>
      <c r="D709" s="145" t="s">
        <v>1900</v>
      </c>
      <c r="E709" s="146" t="s">
        <v>75</v>
      </c>
      <c r="F709" s="145" t="s">
        <v>1602</v>
      </c>
      <c r="G709" s="146" t="s">
        <v>20</v>
      </c>
      <c r="H709" s="146">
        <v>201606</v>
      </c>
      <c r="I709" s="147">
        <v>473.32</v>
      </c>
      <c r="J709" s="297">
        <f t="shared" si="43"/>
        <v>42675</v>
      </c>
      <c r="K709" s="67">
        <f t="shared" si="41"/>
        <v>6</v>
      </c>
      <c r="L709" s="148">
        <v>1.4833299999999999E-3</v>
      </c>
      <c r="M709" s="104">
        <f t="shared" ref="M709:M772" si="44">L709*K709*I709</f>
        <v>4.2125385336000001</v>
      </c>
      <c r="O709" s="66"/>
      <c r="Q709" s="66">
        <f t="shared" si="42"/>
        <v>7.8303891416666671</v>
      </c>
    </row>
    <row r="710" spans="1:17">
      <c r="A710" s="145" t="s">
        <v>626</v>
      </c>
      <c r="B710" s="146" t="s">
        <v>1901</v>
      </c>
      <c r="C710" s="146" t="s">
        <v>1902</v>
      </c>
      <c r="D710" s="145" t="s">
        <v>1903</v>
      </c>
      <c r="E710" s="146" t="s">
        <v>75</v>
      </c>
      <c r="F710" s="145" t="s">
        <v>1602</v>
      </c>
      <c r="G710" s="146" t="s">
        <v>20</v>
      </c>
      <c r="H710" s="146">
        <v>201606</v>
      </c>
      <c r="I710" s="147">
        <v>2421.64</v>
      </c>
      <c r="J710" s="297">
        <f t="shared" si="43"/>
        <v>42675</v>
      </c>
      <c r="K710" s="67">
        <f t="shared" ref="K710:K773" si="45">((YEAR($K$1)-YEAR(J710))*12+MONTH($K$1)-MONTH(J710))</f>
        <v>6</v>
      </c>
      <c r="L710" s="148">
        <v>1.4833299999999999E-3</v>
      </c>
      <c r="M710" s="104">
        <f t="shared" si="44"/>
        <v>21.552547567199998</v>
      </c>
      <c r="O710" s="66"/>
      <c r="Q710" s="66">
        <f t="shared" ref="Q710:Q773" si="46">($Q$4*0.5*I710*$T$10)</f>
        <v>40.062502241666664</v>
      </c>
    </row>
    <row r="711" spans="1:17">
      <c r="A711" s="145" t="s">
        <v>626</v>
      </c>
      <c r="B711" s="146" t="s">
        <v>1693</v>
      </c>
      <c r="C711" s="146" t="s">
        <v>1694</v>
      </c>
      <c r="D711" s="145" t="s">
        <v>1695</v>
      </c>
      <c r="E711" s="146" t="s">
        <v>809</v>
      </c>
      <c r="F711" s="145" t="s">
        <v>26</v>
      </c>
      <c r="G711" s="146" t="s">
        <v>20</v>
      </c>
      <c r="H711" s="146">
        <v>201606</v>
      </c>
      <c r="I711" s="147">
        <v>3460.14</v>
      </c>
      <c r="J711" s="297">
        <f t="shared" ref="J711:J774" si="47">+J710</f>
        <v>42675</v>
      </c>
      <c r="K711" s="67">
        <f t="shared" si="45"/>
        <v>6</v>
      </c>
      <c r="L711" s="148">
        <v>1.4833299999999999E-3</v>
      </c>
      <c r="M711" s="104">
        <f t="shared" si="44"/>
        <v>30.7951767972</v>
      </c>
      <c r="O711" s="66"/>
      <c r="Q711" s="66">
        <f t="shared" si="46"/>
        <v>57.242970262499995</v>
      </c>
    </row>
    <row r="712" spans="1:17">
      <c r="A712" s="145" t="s">
        <v>626</v>
      </c>
      <c r="B712" s="146" t="s">
        <v>1638</v>
      </c>
      <c r="C712" s="146" t="s">
        <v>1639</v>
      </c>
      <c r="D712" s="145" t="s">
        <v>1640</v>
      </c>
      <c r="E712" s="146" t="s">
        <v>164</v>
      </c>
      <c r="F712" s="145" t="s">
        <v>1600</v>
      </c>
      <c r="G712" s="146" t="s">
        <v>20</v>
      </c>
      <c r="H712" s="146">
        <v>201606</v>
      </c>
      <c r="I712" s="147">
        <v>4.8499999999999996</v>
      </c>
      <c r="J712" s="297">
        <f t="shared" si="47"/>
        <v>42675</v>
      </c>
      <c r="K712" s="67">
        <f t="shared" si="45"/>
        <v>6</v>
      </c>
      <c r="L712" s="148">
        <v>1.4833299999999999E-3</v>
      </c>
      <c r="M712" s="104">
        <f t="shared" si="44"/>
        <v>4.3164902999999998E-2</v>
      </c>
      <c r="O712" s="66"/>
      <c r="Q712" s="66">
        <f t="shared" si="46"/>
        <v>8.0236177083333318E-2</v>
      </c>
    </row>
    <row r="713" spans="1:17">
      <c r="A713" s="145" t="s">
        <v>626</v>
      </c>
      <c r="B713" s="146" t="s">
        <v>1904</v>
      </c>
      <c r="C713" s="146" t="s">
        <v>1905</v>
      </c>
      <c r="D713" s="145" t="s">
        <v>1906</v>
      </c>
      <c r="E713" s="146" t="s">
        <v>75</v>
      </c>
      <c r="F713" s="145" t="s">
        <v>1602</v>
      </c>
      <c r="G713" s="146" t="s">
        <v>20</v>
      </c>
      <c r="H713" s="146">
        <v>201606</v>
      </c>
      <c r="I713" s="147">
        <v>337.77</v>
      </c>
      <c r="J713" s="297">
        <f t="shared" si="47"/>
        <v>42675</v>
      </c>
      <c r="K713" s="67">
        <f t="shared" si="45"/>
        <v>6</v>
      </c>
      <c r="L713" s="148">
        <v>1.4833299999999999E-3</v>
      </c>
      <c r="M713" s="104">
        <f t="shared" si="44"/>
        <v>3.0061462446</v>
      </c>
      <c r="O713" s="66"/>
      <c r="Q713" s="66">
        <f t="shared" si="46"/>
        <v>5.5879120687499997</v>
      </c>
    </row>
    <row r="714" spans="1:17">
      <c r="A714" s="145" t="s">
        <v>626</v>
      </c>
      <c r="B714" s="146" t="s">
        <v>1742</v>
      </c>
      <c r="C714" s="146" t="s">
        <v>1743</v>
      </c>
      <c r="D714" s="145" t="s">
        <v>1744</v>
      </c>
      <c r="E714" s="146" t="s">
        <v>497</v>
      </c>
      <c r="F714" s="145" t="s">
        <v>26</v>
      </c>
      <c r="G714" s="146" t="s">
        <v>20</v>
      </c>
      <c r="H714" s="146">
        <v>201606</v>
      </c>
      <c r="I714" s="147">
        <v>58.47</v>
      </c>
      <c r="J714" s="297">
        <f t="shared" si="47"/>
        <v>42675</v>
      </c>
      <c r="K714" s="67">
        <f t="shared" si="45"/>
        <v>6</v>
      </c>
      <c r="L714" s="148">
        <v>1.4833299999999999E-3</v>
      </c>
      <c r="M714" s="104">
        <f t="shared" si="44"/>
        <v>0.52038183059999998</v>
      </c>
      <c r="O714" s="66"/>
      <c r="Q714" s="66">
        <f t="shared" si="46"/>
        <v>0.96730088124999991</v>
      </c>
    </row>
    <row r="715" spans="1:17">
      <c r="A715" s="145" t="s">
        <v>21</v>
      </c>
      <c r="B715" s="146" t="s">
        <v>1745</v>
      </c>
      <c r="C715" s="146" t="s">
        <v>1746</v>
      </c>
      <c r="D715" s="145" t="s">
        <v>1747</v>
      </c>
      <c r="E715" s="146" t="s">
        <v>497</v>
      </c>
      <c r="F715" s="145" t="s">
        <v>26</v>
      </c>
      <c r="G715" s="146" t="s">
        <v>20</v>
      </c>
      <c r="H715" s="146">
        <v>201606</v>
      </c>
      <c r="I715" s="147">
        <v>39.049999999999997</v>
      </c>
      <c r="J715" s="297">
        <f t="shared" si="47"/>
        <v>42675</v>
      </c>
      <c r="K715" s="67">
        <f t="shared" si="45"/>
        <v>6</v>
      </c>
      <c r="L715" s="148">
        <v>1.4833299999999999E-3</v>
      </c>
      <c r="M715" s="104">
        <f t="shared" si="44"/>
        <v>0.34754421899999999</v>
      </c>
      <c r="O715" s="66"/>
      <c r="Q715" s="66">
        <f t="shared" si="46"/>
        <v>0.64602530208333331</v>
      </c>
    </row>
    <row r="716" spans="1:17">
      <c r="A716" s="145" t="s">
        <v>626</v>
      </c>
      <c r="B716" s="146" t="s">
        <v>1745</v>
      </c>
      <c r="C716" s="146" t="s">
        <v>1746</v>
      </c>
      <c r="D716" s="145" t="s">
        <v>1747</v>
      </c>
      <c r="E716" s="146" t="s">
        <v>497</v>
      </c>
      <c r="F716" s="145" t="s">
        <v>26</v>
      </c>
      <c r="G716" s="146" t="s">
        <v>20</v>
      </c>
      <c r="H716" s="146">
        <v>201606</v>
      </c>
      <c r="I716" s="147">
        <v>474.05</v>
      </c>
      <c r="J716" s="297">
        <f t="shared" si="47"/>
        <v>42675</v>
      </c>
      <c r="K716" s="67">
        <f t="shared" si="45"/>
        <v>6</v>
      </c>
      <c r="L716" s="148">
        <v>1.4833299999999999E-3</v>
      </c>
      <c r="M716" s="104">
        <f t="shared" si="44"/>
        <v>4.2190355190000002</v>
      </c>
      <c r="O716" s="66"/>
      <c r="Q716" s="66">
        <f t="shared" si="46"/>
        <v>7.8424659270833343</v>
      </c>
    </row>
    <row r="717" spans="1:17">
      <c r="A717" s="145" t="s">
        <v>626</v>
      </c>
      <c r="B717" s="146" t="s">
        <v>1800</v>
      </c>
      <c r="C717" s="146" t="s">
        <v>1801</v>
      </c>
      <c r="D717" s="145" t="s">
        <v>1802</v>
      </c>
      <c r="E717" s="146" t="s">
        <v>75</v>
      </c>
      <c r="F717" s="145" t="s">
        <v>1602</v>
      </c>
      <c r="G717" s="146" t="s">
        <v>20</v>
      </c>
      <c r="H717" s="146">
        <v>201606</v>
      </c>
      <c r="I717" s="147">
        <v>6814.09</v>
      </c>
      <c r="J717" s="297">
        <f t="shared" si="47"/>
        <v>42675</v>
      </c>
      <c r="K717" s="67">
        <f t="shared" si="45"/>
        <v>6</v>
      </c>
      <c r="L717" s="148">
        <v>1.4833299999999999E-3</v>
      </c>
      <c r="M717" s="104">
        <f t="shared" si="44"/>
        <v>60.645264718200004</v>
      </c>
      <c r="O717" s="66"/>
      <c r="Q717" s="66">
        <f t="shared" si="46"/>
        <v>112.72918183541667</v>
      </c>
    </row>
    <row r="718" spans="1:17">
      <c r="A718" s="145" t="s">
        <v>626</v>
      </c>
      <c r="B718" s="146" t="s">
        <v>2045</v>
      </c>
      <c r="C718" s="146" t="s">
        <v>2046</v>
      </c>
      <c r="D718" s="145" t="s">
        <v>2047</v>
      </c>
      <c r="E718" s="146" t="s">
        <v>75</v>
      </c>
      <c r="F718" s="145" t="s">
        <v>1602</v>
      </c>
      <c r="G718" s="146" t="s">
        <v>20</v>
      </c>
      <c r="H718" s="146">
        <v>201606</v>
      </c>
      <c r="I718" s="147">
        <v>2523.84</v>
      </c>
      <c r="J718" s="297">
        <f t="shared" si="47"/>
        <v>42675</v>
      </c>
      <c r="K718" s="67">
        <f t="shared" si="45"/>
        <v>6</v>
      </c>
      <c r="L718" s="148">
        <v>1.4833299999999999E-3</v>
      </c>
      <c r="M718" s="104">
        <f t="shared" si="44"/>
        <v>22.462125523200001</v>
      </c>
      <c r="O718" s="66"/>
      <c r="Q718" s="66">
        <f t="shared" si="46"/>
        <v>41.753252200000006</v>
      </c>
    </row>
    <row r="719" spans="1:17">
      <c r="A719" s="145" t="s">
        <v>626</v>
      </c>
      <c r="B719" s="146" t="s">
        <v>1961</v>
      </c>
      <c r="C719" s="146" t="s">
        <v>1962</v>
      </c>
      <c r="D719" s="145" t="s">
        <v>1963</v>
      </c>
      <c r="E719" s="146" t="s">
        <v>75</v>
      </c>
      <c r="F719" s="145" t="s">
        <v>1602</v>
      </c>
      <c r="G719" s="146" t="s">
        <v>20</v>
      </c>
      <c r="H719" s="146">
        <v>201606</v>
      </c>
      <c r="I719" s="147">
        <v>1345.69</v>
      </c>
      <c r="J719" s="297">
        <f t="shared" si="47"/>
        <v>42675</v>
      </c>
      <c r="K719" s="67">
        <f t="shared" si="45"/>
        <v>6</v>
      </c>
      <c r="L719" s="148">
        <v>1.4833299999999999E-3</v>
      </c>
      <c r="M719" s="104">
        <f t="shared" si="44"/>
        <v>11.9766140862</v>
      </c>
      <c r="O719" s="66"/>
      <c r="Q719" s="66">
        <f t="shared" si="46"/>
        <v>22.26247858541667</v>
      </c>
    </row>
    <row r="720" spans="1:17">
      <c r="A720" s="145" t="s">
        <v>626</v>
      </c>
      <c r="B720" s="146" t="s">
        <v>1907</v>
      </c>
      <c r="C720" s="146" t="s">
        <v>1908</v>
      </c>
      <c r="D720" s="145" t="s">
        <v>1909</v>
      </c>
      <c r="E720" s="146" t="s">
        <v>75</v>
      </c>
      <c r="F720" s="145" t="s">
        <v>1602</v>
      </c>
      <c r="G720" s="146" t="s">
        <v>20</v>
      </c>
      <c r="H720" s="146">
        <v>201606</v>
      </c>
      <c r="I720" s="147">
        <v>1612.47</v>
      </c>
      <c r="J720" s="297">
        <f t="shared" si="47"/>
        <v>42675</v>
      </c>
      <c r="K720" s="67">
        <f t="shared" si="45"/>
        <v>6</v>
      </c>
      <c r="L720" s="148">
        <v>1.4833299999999999E-3</v>
      </c>
      <c r="M720" s="104">
        <f t="shared" si="44"/>
        <v>14.350950750600001</v>
      </c>
      <c r="O720" s="66"/>
      <c r="Q720" s="66">
        <f t="shared" si="46"/>
        <v>26.67596463125</v>
      </c>
    </row>
    <row r="721" spans="1:17">
      <c r="A721" s="145" t="s">
        <v>626</v>
      </c>
      <c r="B721" s="146" t="s">
        <v>1803</v>
      </c>
      <c r="C721" s="146" t="s">
        <v>1804</v>
      </c>
      <c r="D721" s="145" t="s">
        <v>1805</v>
      </c>
      <c r="E721" s="146" t="s">
        <v>164</v>
      </c>
      <c r="F721" s="145" t="s">
        <v>1600</v>
      </c>
      <c r="G721" s="146" t="s">
        <v>20</v>
      </c>
      <c r="H721" s="146">
        <v>201606</v>
      </c>
      <c r="I721" s="147">
        <v>3038.36</v>
      </c>
      <c r="J721" s="297">
        <f t="shared" si="47"/>
        <v>42675</v>
      </c>
      <c r="K721" s="67">
        <f t="shared" si="45"/>
        <v>6</v>
      </c>
      <c r="L721" s="148">
        <v>1.4833299999999999E-3</v>
      </c>
      <c r="M721" s="104">
        <f t="shared" si="44"/>
        <v>27.041343232800003</v>
      </c>
      <c r="O721" s="66"/>
      <c r="Q721" s="66">
        <f t="shared" si="46"/>
        <v>50.265235258333334</v>
      </c>
    </row>
    <row r="722" spans="1:17">
      <c r="A722" s="145" t="s">
        <v>626</v>
      </c>
      <c r="B722" s="146" t="s">
        <v>1748</v>
      </c>
      <c r="C722" s="146" t="s">
        <v>1749</v>
      </c>
      <c r="D722" s="145" t="s">
        <v>1750</v>
      </c>
      <c r="E722" s="146" t="s">
        <v>75</v>
      </c>
      <c r="F722" s="145" t="s">
        <v>1602</v>
      </c>
      <c r="G722" s="146" t="s">
        <v>20</v>
      </c>
      <c r="H722" s="146">
        <v>201606</v>
      </c>
      <c r="I722" s="147">
        <v>2820.18</v>
      </c>
      <c r="J722" s="297">
        <f t="shared" si="47"/>
        <v>42675</v>
      </c>
      <c r="K722" s="67">
        <f t="shared" si="45"/>
        <v>6</v>
      </c>
      <c r="L722" s="148">
        <v>1.4833299999999999E-3</v>
      </c>
      <c r="M722" s="104">
        <f t="shared" si="44"/>
        <v>25.099545596399999</v>
      </c>
      <c r="O722" s="66"/>
      <c r="Q722" s="66">
        <f t="shared" si="46"/>
        <v>46.6557653375</v>
      </c>
    </row>
    <row r="723" spans="1:17">
      <c r="A723" s="145" t="s">
        <v>626</v>
      </c>
      <c r="B723" s="146" t="s">
        <v>1910</v>
      </c>
      <c r="C723" s="146" t="s">
        <v>1911</v>
      </c>
      <c r="D723" s="145" t="s">
        <v>1912</v>
      </c>
      <c r="E723" s="146" t="s">
        <v>75</v>
      </c>
      <c r="F723" s="145" t="s">
        <v>1602</v>
      </c>
      <c r="G723" s="146" t="s">
        <v>20</v>
      </c>
      <c r="H723" s="146">
        <v>201606</v>
      </c>
      <c r="I723" s="147">
        <v>1396.67</v>
      </c>
      <c r="J723" s="297">
        <f t="shared" si="47"/>
        <v>42675</v>
      </c>
      <c r="K723" s="67">
        <f t="shared" si="45"/>
        <v>6</v>
      </c>
      <c r="L723" s="148">
        <v>1.4833299999999999E-3</v>
      </c>
      <c r="M723" s="104">
        <f t="shared" si="44"/>
        <v>12.430335066600001</v>
      </c>
      <c r="O723" s="66"/>
      <c r="Q723" s="66">
        <f t="shared" si="46"/>
        <v>23.105868339583335</v>
      </c>
    </row>
    <row r="724" spans="1:17">
      <c r="A724" s="145" t="s">
        <v>626</v>
      </c>
      <c r="B724" s="146" t="s">
        <v>1913</v>
      </c>
      <c r="C724" s="146" t="s">
        <v>1914</v>
      </c>
      <c r="D724" s="145" t="s">
        <v>1915</v>
      </c>
      <c r="E724" s="146" t="s">
        <v>75</v>
      </c>
      <c r="F724" s="145" t="s">
        <v>1602</v>
      </c>
      <c r="G724" s="146" t="s">
        <v>20</v>
      </c>
      <c r="H724" s="146">
        <v>201606</v>
      </c>
      <c r="I724" s="147">
        <v>213.12</v>
      </c>
      <c r="J724" s="297">
        <f t="shared" si="47"/>
        <v>42675</v>
      </c>
      <c r="K724" s="67">
        <f t="shared" si="45"/>
        <v>6</v>
      </c>
      <c r="L724" s="148">
        <v>1.4833299999999999E-3</v>
      </c>
      <c r="M724" s="104">
        <f t="shared" si="44"/>
        <v>1.8967637375999999</v>
      </c>
      <c r="O724" s="66"/>
      <c r="Q724" s="66">
        <f t="shared" si="46"/>
        <v>3.5257596000000002</v>
      </c>
    </row>
    <row r="725" spans="1:17">
      <c r="A725" s="145" t="s">
        <v>626</v>
      </c>
      <c r="B725" s="146" t="s">
        <v>2048</v>
      </c>
      <c r="C725" s="146" t="s">
        <v>2049</v>
      </c>
      <c r="D725" s="145" t="s">
        <v>2050</v>
      </c>
      <c r="E725" s="146" t="s">
        <v>75</v>
      </c>
      <c r="F725" s="145" t="s">
        <v>1602</v>
      </c>
      <c r="G725" s="146" t="s">
        <v>20</v>
      </c>
      <c r="H725" s="146">
        <v>201606</v>
      </c>
      <c r="I725" s="147">
        <v>181517.93</v>
      </c>
      <c r="J725" s="297">
        <f t="shared" si="47"/>
        <v>42675</v>
      </c>
      <c r="K725" s="67">
        <f t="shared" si="45"/>
        <v>6</v>
      </c>
      <c r="L725" s="148">
        <v>1.4833299999999999E-3</v>
      </c>
      <c r="M725" s="104">
        <f t="shared" si="44"/>
        <v>1615.5059466414</v>
      </c>
      <c r="O725" s="66"/>
      <c r="Q725" s="66">
        <f t="shared" si="46"/>
        <v>3002.9494382020835</v>
      </c>
    </row>
    <row r="726" spans="1:17">
      <c r="A726" s="145" t="s">
        <v>626</v>
      </c>
      <c r="B726" s="146" t="s">
        <v>1916</v>
      </c>
      <c r="C726" s="146" t="s">
        <v>1917</v>
      </c>
      <c r="D726" s="145" t="s">
        <v>1273</v>
      </c>
      <c r="E726" s="146" t="s">
        <v>75</v>
      </c>
      <c r="F726" s="145" t="s">
        <v>1602</v>
      </c>
      <c r="G726" s="146" t="s">
        <v>20</v>
      </c>
      <c r="H726" s="146">
        <v>201606</v>
      </c>
      <c r="I726" s="147">
        <v>682.64</v>
      </c>
      <c r="J726" s="297">
        <f t="shared" si="47"/>
        <v>42675</v>
      </c>
      <c r="K726" s="67">
        <f t="shared" si="45"/>
        <v>6</v>
      </c>
      <c r="L726" s="148">
        <v>1.4833299999999999E-3</v>
      </c>
      <c r="M726" s="104">
        <f t="shared" si="44"/>
        <v>6.0754823471999995</v>
      </c>
      <c r="O726" s="66"/>
      <c r="Q726" s="66">
        <f t="shared" si="46"/>
        <v>11.293283283333333</v>
      </c>
    </row>
    <row r="727" spans="1:17">
      <c r="A727" s="145" t="s">
        <v>626</v>
      </c>
      <c r="B727" s="146" t="s">
        <v>1776</v>
      </c>
      <c r="C727" s="146" t="s">
        <v>1777</v>
      </c>
      <c r="D727" s="145" t="s">
        <v>1778</v>
      </c>
      <c r="E727" s="146" t="s">
        <v>452</v>
      </c>
      <c r="F727" s="145" t="s">
        <v>398</v>
      </c>
      <c r="G727" s="146" t="s">
        <v>20</v>
      </c>
      <c r="H727" s="146">
        <v>201606</v>
      </c>
      <c r="I727" s="147">
        <v>98.64</v>
      </c>
      <c r="J727" s="297">
        <f t="shared" si="47"/>
        <v>42675</v>
      </c>
      <c r="K727" s="67">
        <f t="shared" si="45"/>
        <v>6</v>
      </c>
      <c r="L727" s="148">
        <v>1.4833299999999999E-3</v>
      </c>
      <c r="M727" s="104">
        <f t="shared" si="44"/>
        <v>0.87789402719999998</v>
      </c>
      <c r="O727" s="66"/>
      <c r="Q727" s="66">
        <f t="shared" si="46"/>
        <v>1.6318549499999999</v>
      </c>
    </row>
    <row r="728" spans="1:17">
      <c r="A728" s="145" t="s">
        <v>626</v>
      </c>
      <c r="B728" s="146" t="s">
        <v>1806</v>
      </c>
      <c r="C728" s="146" t="s">
        <v>1807</v>
      </c>
      <c r="D728" s="145" t="s">
        <v>1808</v>
      </c>
      <c r="E728" s="146" t="s">
        <v>75</v>
      </c>
      <c r="F728" s="145" t="s">
        <v>1602</v>
      </c>
      <c r="G728" s="146" t="s">
        <v>20</v>
      </c>
      <c r="H728" s="146">
        <v>201606</v>
      </c>
      <c r="I728" s="147">
        <v>178.59</v>
      </c>
      <c r="J728" s="297">
        <f t="shared" si="47"/>
        <v>42675</v>
      </c>
      <c r="K728" s="67">
        <f t="shared" si="45"/>
        <v>6</v>
      </c>
      <c r="L728" s="148">
        <v>1.4833299999999999E-3</v>
      </c>
      <c r="M728" s="104">
        <f t="shared" si="44"/>
        <v>1.5894474282</v>
      </c>
      <c r="O728" s="66"/>
      <c r="Q728" s="66">
        <f t="shared" si="46"/>
        <v>2.95451110625</v>
      </c>
    </row>
    <row r="729" spans="1:17">
      <c r="A729" s="145" t="s">
        <v>626</v>
      </c>
      <c r="B729" s="146" t="s">
        <v>1918</v>
      </c>
      <c r="C729" s="146" t="s">
        <v>1919</v>
      </c>
      <c r="D729" s="145" t="s">
        <v>1920</v>
      </c>
      <c r="E729" s="146" t="s">
        <v>75</v>
      </c>
      <c r="F729" s="145" t="s">
        <v>1602</v>
      </c>
      <c r="G729" s="146" t="s">
        <v>20</v>
      </c>
      <c r="H729" s="146">
        <v>201606</v>
      </c>
      <c r="I729" s="147">
        <v>151.94999999999999</v>
      </c>
      <c r="J729" s="297">
        <f t="shared" si="47"/>
        <v>42675</v>
      </c>
      <c r="K729" s="67">
        <f t="shared" si="45"/>
        <v>6</v>
      </c>
      <c r="L729" s="148">
        <v>1.4833299999999999E-3</v>
      </c>
      <c r="M729" s="104">
        <f t="shared" si="44"/>
        <v>1.3523519609999999</v>
      </c>
      <c r="O729" s="66"/>
      <c r="Q729" s="66">
        <f t="shared" si="46"/>
        <v>2.5137911562499999</v>
      </c>
    </row>
    <row r="730" spans="1:17">
      <c r="A730" s="145" t="s">
        <v>626</v>
      </c>
      <c r="B730" s="146" t="s">
        <v>2051</v>
      </c>
      <c r="C730" s="146" t="s">
        <v>2052</v>
      </c>
      <c r="D730" s="145" t="s">
        <v>2053</v>
      </c>
      <c r="E730" s="146" t="s">
        <v>75</v>
      </c>
      <c r="F730" s="145" t="s">
        <v>1602</v>
      </c>
      <c r="G730" s="146" t="s">
        <v>20</v>
      </c>
      <c r="H730" s="146">
        <v>201606</v>
      </c>
      <c r="I730" s="147">
        <v>46134.87</v>
      </c>
      <c r="J730" s="297">
        <f t="shared" si="47"/>
        <v>42675</v>
      </c>
      <c r="K730" s="67">
        <f t="shared" si="45"/>
        <v>6</v>
      </c>
      <c r="L730" s="148">
        <v>1.4833299999999999E-3</v>
      </c>
      <c r="M730" s="104">
        <f t="shared" si="44"/>
        <v>410.59942030260004</v>
      </c>
      <c r="O730" s="66"/>
      <c r="Q730" s="66">
        <f t="shared" si="46"/>
        <v>763.23414413124999</v>
      </c>
    </row>
    <row r="731" spans="1:17">
      <c r="A731" s="145" t="s">
        <v>626</v>
      </c>
      <c r="B731" s="146" t="s">
        <v>1921</v>
      </c>
      <c r="C731" s="146" t="s">
        <v>1922</v>
      </c>
      <c r="D731" s="145" t="s">
        <v>1923</v>
      </c>
      <c r="E731" s="146" t="s">
        <v>156</v>
      </c>
      <c r="F731" s="145" t="s">
        <v>26</v>
      </c>
      <c r="G731" s="146" t="s">
        <v>20</v>
      </c>
      <c r="H731" s="146">
        <v>201606</v>
      </c>
      <c r="I731" s="147">
        <v>1092.75</v>
      </c>
      <c r="J731" s="297">
        <f t="shared" si="47"/>
        <v>42675</v>
      </c>
      <c r="K731" s="67">
        <f t="shared" si="45"/>
        <v>6</v>
      </c>
      <c r="L731" s="148">
        <v>1.4833299999999999E-3</v>
      </c>
      <c r="M731" s="104">
        <f t="shared" si="44"/>
        <v>9.7254531449999995</v>
      </c>
      <c r="O731" s="66"/>
      <c r="Q731" s="66">
        <f t="shared" si="46"/>
        <v>18.077955156250002</v>
      </c>
    </row>
    <row r="732" spans="1:17">
      <c r="A732" s="145" t="s">
        <v>21</v>
      </c>
      <c r="B732" s="146" t="s">
        <v>1664</v>
      </c>
      <c r="C732" s="146" t="s">
        <v>1665</v>
      </c>
      <c r="D732" s="145" t="s">
        <v>1666</v>
      </c>
      <c r="E732" s="146" t="s">
        <v>87</v>
      </c>
      <c r="F732" s="145" t="s">
        <v>1603</v>
      </c>
      <c r="G732" s="146" t="s">
        <v>20</v>
      </c>
      <c r="H732" s="146">
        <v>201606</v>
      </c>
      <c r="I732" s="147">
        <v>-38.57</v>
      </c>
      <c r="J732" s="297">
        <f t="shared" si="47"/>
        <v>42675</v>
      </c>
      <c r="K732" s="67">
        <f t="shared" si="45"/>
        <v>6</v>
      </c>
      <c r="L732" s="148">
        <v>1.4833299999999999E-3</v>
      </c>
      <c r="M732" s="104">
        <f t="shared" si="44"/>
        <v>-0.34327222860000001</v>
      </c>
      <c r="O732" s="66"/>
      <c r="Q732" s="66">
        <f t="shared" si="46"/>
        <v>-0.63808440208333339</v>
      </c>
    </row>
    <row r="733" spans="1:17">
      <c r="A733" s="145" t="s">
        <v>990</v>
      </c>
      <c r="B733" s="146" t="s">
        <v>1751</v>
      </c>
      <c r="C733" s="146" t="s">
        <v>1752</v>
      </c>
      <c r="D733" s="145" t="s">
        <v>1753</v>
      </c>
      <c r="E733" s="146" t="s">
        <v>1688</v>
      </c>
      <c r="F733" s="145" t="s">
        <v>1689</v>
      </c>
      <c r="G733" s="146" t="s">
        <v>20</v>
      </c>
      <c r="H733" s="146">
        <v>201606</v>
      </c>
      <c r="I733" s="147">
        <v>7.32</v>
      </c>
      <c r="J733" s="297">
        <f t="shared" si="47"/>
        <v>42675</v>
      </c>
      <c r="K733" s="67">
        <f t="shared" si="45"/>
        <v>6</v>
      </c>
      <c r="L733" s="148">
        <v>2.3833299999999999E-3</v>
      </c>
      <c r="M733" s="104">
        <f t="shared" si="44"/>
        <v>0.10467585360000001</v>
      </c>
      <c r="O733" s="66"/>
      <c r="Q733" s="66">
        <f t="shared" si="46"/>
        <v>0.12109872500000002</v>
      </c>
    </row>
    <row r="734" spans="1:17">
      <c r="A734" s="145" t="s">
        <v>990</v>
      </c>
      <c r="B734" s="146" t="s">
        <v>1754</v>
      </c>
      <c r="C734" s="146" t="s">
        <v>1755</v>
      </c>
      <c r="D734" s="145" t="s">
        <v>1756</v>
      </c>
      <c r="E734" s="146" t="s">
        <v>1688</v>
      </c>
      <c r="F734" s="145" t="s">
        <v>1689</v>
      </c>
      <c r="G734" s="146" t="s">
        <v>20</v>
      </c>
      <c r="H734" s="146">
        <v>201606</v>
      </c>
      <c r="I734" s="147">
        <v>33.54</v>
      </c>
      <c r="J734" s="297">
        <f t="shared" si="47"/>
        <v>42675</v>
      </c>
      <c r="K734" s="67">
        <f t="shared" si="45"/>
        <v>6</v>
      </c>
      <c r="L734" s="148">
        <v>2.3833299999999999E-3</v>
      </c>
      <c r="M734" s="104">
        <f t="shared" si="44"/>
        <v>0.4796213292</v>
      </c>
      <c r="O734" s="66"/>
      <c r="Q734" s="66">
        <f t="shared" si="46"/>
        <v>0.55487038749999995</v>
      </c>
    </row>
    <row r="735" spans="1:17">
      <c r="A735" s="145" t="s">
        <v>626</v>
      </c>
      <c r="B735" s="146" t="s">
        <v>1924</v>
      </c>
      <c r="C735" s="146" t="s">
        <v>1925</v>
      </c>
      <c r="D735" s="145" t="s">
        <v>1926</v>
      </c>
      <c r="E735" s="146" t="s">
        <v>75</v>
      </c>
      <c r="F735" s="145" t="s">
        <v>1602</v>
      </c>
      <c r="G735" s="146" t="s">
        <v>20</v>
      </c>
      <c r="H735" s="146">
        <v>201606</v>
      </c>
      <c r="I735" s="147">
        <v>58.52</v>
      </c>
      <c r="J735" s="297">
        <f t="shared" si="47"/>
        <v>42675</v>
      </c>
      <c r="K735" s="67">
        <f t="shared" si="45"/>
        <v>6</v>
      </c>
      <c r="L735" s="148">
        <v>1.4833299999999999E-3</v>
      </c>
      <c r="M735" s="104">
        <f t="shared" si="44"/>
        <v>0.52082682960000004</v>
      </c>
      <c r="O735" s="66"/>
      <c r="Q735" s="66">
        <f t="shared" si="46"/>
        <v>0.96812805833333337</v>
      </c>
    </row>
    <row r="736" spans="1:17">
      <c r="A736" s="145" t="s">
        <v>626</v>
      </c>
      <c r="B736" s="146" t="s">
        <v>1927</v>
      </c>
      <c r="C736" s="146" t="s">
        <v>1928</v>
      </c>
      <c r="D736" s="145" t="s">
        <v>1929</v>
      </c>
      <c r="E736" s="146" t="s">
        <v>75</v>
      </c>
      <c r="F736" s="145" t="s">
        <v>1602</v>
      </c>
      <c r="G736" s="146" t="s">
        <v>20</v>
      </c>
      <c r="H736" s="146">
        <v>201606</v>
      </c>
      <c r="I736" s="147">
        <v>54.88</v>
      </c>
      <c r="J736" s="297">
        <f t="shared" si="47"/>
        <v>42675</v>
      </c>
      <c r="K736" s="67">
        <f t="shared" si="45"/>
        <v>6</v>
      </c>
      <c r="L736" s="148">
        <v>1.4833299999999999E-3</v>
      </c>
      <c r="M736" s="104">
        <f t="shared" si="44"/>
        <v>0.48843090240000003</v>
      </c>
      <c r="O736" s="66"/>
      <c r="Q736" s="66">
        <f t="shared" si="46"/>
        <v>0.90790956666666667</v>
      </c>
    </row>
    <row r="737" spans="1:17">
      <c r="A737" s="145" t="s">
        <v>21</v>
      </c>
      <c r="B737" s="146" t="s">
        <v>1820</v>
      </c>
      <c r="C737" s="146" t="s">
        <v>1821</v>
      </c>
      <c r="D737" s="145" t="s">
        <v>1822</v>
      </c>
      <c r="E737" s="146" t="s">
        <v>87</v>
      </c>
      <c r="F737" s="145" t="s">
        <v>1603</v>
      </c>
      <c r="G737" s="146" t="s">
        <v>20</v>
      </c>
      <c r="H737" s="146">
        <v>201606</v>
      </c>
      <c r="I737" s="147">
        <v>280.17</v>
      </c>
      <c r="J737" s="297">
        <f t="shared" si="47"/>
        <v>42675</v>
      </c>
      <c r="K737" s="67">
        <f t="shared" si="45"/>
        <v>6</v>
      </c>
      <c r="L737" s="148">
        <v>1.4833299999999999E-3</v>
      </c>
      <c r="M737" s="104">
        <f t="shared" si="44"/>
        <v>2.4935073966000001</v>
      </c>
      <c r="O737" s="66"/>
      <c r="Q737" s="66">
        <f t="shared" si="46"/>
        <v>4.6350040687500007</v>
      </c>
    </row>
    <row r="738" spans="1:17">
      <c r="A738" s="145" t="s">
        <v>626</v>
      </c>
      <c r="B738" s="146" t="s">
        <v>1699</v>
      </c>
      <c r="C738" s="146" t="s">
        <v>1700</v>
      </c>
      <c r="D738" s="145" t="s">
        <v>1701</v>
      </c>
      <c r="E738" s="146" t="s">
        <v>544</v>
      </c>
      <c r="F738" s="145" t="s">
        <v>26</v>
      </c>
      <c r="G738" s="146" t="s">
        <v>20</v>
      </c>
      <c r="H738" s="146">
        <v>201606</v>
      </c>
      <c r="I738" s="147">
        <v>-46.15</v>
      </c>
      <c r="J738" s="297">
        <f t="shared" si="47"/>
        <v>42675</v>
      </c>
      <c r="K738" s="67">
        <f t="shared" si="45"/>
        <v>6</v>
      </c>
      <c r="L738" s="148">
        <v>1.4833299999999999E-3</v>
      </c>
      <c r="M738" s="104">
        <f t="shared" si="44"/>
        <v>-0.41073407699999998</v>
      </c>
      <c r="O738" s="66"/>
      <c r="Q738" s="66">
        <f t="shared" si="46"/>
        <v>-0.76348444791666659</v>
      </c>
    </row>
    <row r="739" spans="1:17">
      <c r="A739" s="145" t="s">
        <v>127</v>
      </c>
      <c r="B739" s="146" t="s">
        <v>1964</v>
      </c>
      <c r="C739" s="146" t="s">
        <v>1965</v>
      </c>
      <c r="D739" s="145" t="s">
        <v>1966</v>
      </c>
      <c r="E739" s="146" t="s">
        <v>87</v>
      </c>
      <c r="F739" s="145" t="s">
        <v>1603</v>
      </c>
      <c r="G739" s="146" t="s">
        <v>20</v>
      </c>
      <c r="H739" s="146">
        <v>201606</v>
      </c>
      <c r="I739" s="147">
        <v>93.91</v>
      </c>
      <c r="J739" s="297">
        <f t="shared" si="47"/>
        <v>42675</v>
      </c>
      <c r="K739" s="67">
        <f t="shared" si="45"/>
        <v>6</v>
      </c>
      <c r="L739" s="148">
        <v>2.3833299999999999E-3</v>
      </c>
      <c r="M739" s="104">
        <f t="shared" si="44"/>
        <v>1.3429111218000001</v>
      </c>
      <c r="O739" s="66"/>
      <c r="Q739" s="66">
        <f t="shared" si="46"/>
        <v>1.5536039979166665</v>
      </c>
    </row>
    <row r="740" spans="1:17">
      <c r="A740" s="145" t="s">
        <v>626</v>
      </c>
      <c r="B740" s="146" t="s">
        <v>1930</v>
      </c>
      <c r="C740" s="146" t="s">
        <v>1931</v>
      </c>
      <c r="D740" s="145" t="s">
        <v>1932</v>
      </c>
      <c r="E740" s="146" t="s">
        <v>75</v>
      </c>
      <c r="F740" s="145" t="s">
        <v>1602</v>
      </c>
      <c r="G740" s="146" t="s">
        <v>20</v>
      </c>
      <c r="H740" s="146">
        <v>201606</v>
      </c>
      <c r="I740" s="147">
        <v>236.04</v>
      </c>
      <c r="J740" s="297">
        <f t="shared" si="47"/>
        <v>42675</v>
      </c>
      <c r="K740" s="67">
        <f t="shared" si="45"/>
        <v>6</v>
      </c>
      <c r="L740" s="148">
        <v>1.4833299999999999E-3</v>
      </c>
      <c r="M740" s="104">
        <f t="shared" si="44"/>
        <v>2.1007512791999998</v>
      </c>
      <c r="O740" s="66"/>
      <c r="Q740" s="66">
        <f t="shared" si="46"/>
        <v>3.9049375749999995</v>
      </c>
    </row>
    <row r="741" spans="1:17">
      <c r="A741" s="145" t="s">
        <v>626</v>
      </c>
      <c r="B741" s="146" t="s">
        <v>1782</v>
      </c>
      <c r="C741" s="146" t="s">
        <v>1783</v>
      </c>
      <c r="D741" s="145" t="s">
        <v>1784</v>
      </c>
      <c r="E741" s="146" t="s">
        <v>87</v>
      </c>
      <c r="F741" s="145" t="s">
        <v>1603</v>
      </c>
      <c r="G741" s="146" t="s">
        <v>20</v>
      </c>
      <c r="H741" s="146">
        <v>201606</v>
      </c>
      <c r="I741" s="147">
        <v>826.37</v>
      </c>
      <c r="J741" s="297">
        <f t="shared" si="47"/>
        <v>42675</v>
      </c>
      <c r="K741" s="67">
        <f t="shared" si="45"/>
        <v>6</v>
      </c>
      <c r="L741" s="148">
        <v>1.4833299999999999E-3</v>
      </c>
      <c r="M741" s="104">
        <f t="shared" si="44"/>
        <v>7.3546764726000005</v>
      </c>
      <c r="O741" s="66"/>
      <c r="Q741" s="66">
        <f t="shared" si="46"/>
        <v>13.671086527083334</v>
      </c>
    </row>
    <row r="742" spans="1:17">
      <c r="A742" s="145" t="s">
        <v>21</v>
      </c>
      <c r="B742" s="146" t="s">
        <v>1782</v>
      </c>
      <c r="C742" s="146" t="s">
        <v>1783</v>
      </c>
      <c r="D742" s="145" t="s">
        <v>1784</v>
      </c>
      <c r="E742" s="146" t="s">
        <v>87</v>
      </c>
      <c r="F742" s="145" t="s">
        <v>1603</v>
      </c>
      <c r="G742" s="146" t="s">
        <v>20</v>
      </c>
      <c r="H742" s="146">
        <v>201606</v>
      </c>
      <c r="I742" s="147">
        <v>833.84</v>
      </c>
      <c r="J742" s="297">
        <f t="shared" si="47"/>
        <v>42675</v>
      </c>
      <c r="K742" s="67">
        <f t="shared" si="45"/>
        <v>6</v>
      </c>
      <c r="L742" s="148">
        <v>1.4833299999999999E-3</v>
      </c>
      <c r="M742" s="104">
        <f t="shared" si="44"/>
        <v>7.4211593232000004</v>
      </c>
      <c r="O742" s="66"/>
      <c r="Q742" s="66">
        <f t="shared" si="46"/>
        <v>13.794666783333334</v>
      </c>
    </row>
    <row r="743" spans="1:17">
      <c r="A743" s="145" t="s">
        <v>626</v>
      </c>
      <c r="B743" s="146" t="s">
        <v>1933</v>
      </c>
      <c r="C743" s="146" t="s">
        <v>1934</v>
      </c>
      <c r="D743" s="145" t="s">
        <v>1935</v>
      </c>
      <c r="E743" s="146" t="s">
        <v>75</v>
      </c>
      <c r="F743" s="145" t="s">
        <v>1602</v>
      </c>
      <c r="G743" s="146" t="s">
        <v>20</v>
      </c>
      <c r="H743" s="146">
        <v>201606</v>
      </c>
      <c r="I743" s="147">
        <v>171.28</v>
      </c>
      <c r="J743" s="297">
        <f t="shared" si="47"/>
        <v>42675</v>
      </c>
      <c r="K743" s="67">
        <f t="shared" si="45"/>
        <v>6</v>
      </c>
      <c r="L743" s="148">
        <v>1.4833299999999999E-3</v>
      </c>
      <c r="M743" s="104">
        <f t="shared" si="44"/>
        <v>1.5243885744000001</v>
      </c>
      <c r="O743" s="66"/>
      <c r="Q743" s="66">
        <f t="shared" si="46"/>
        <v>2.8335778166666667</v>
      </c>
    </row>
    <row r="744" spans="1:17">
      <c r="A744" s="145" t="s">
        <v>626</v>
      </c>
      <c r="B744" s="146" t="s">
        <v>1967</v>
      </c>
      <c r="C744" s="146" t="s">
        <v>1968</v>
      </c>
      <c r="D744" s="145" t="s">
        <v>1969</v>
      </c>
      <c r="E744" s="146" t="s">
        <v>544</v>
      </c>
      <c r="F744" s="145" t="s">
        <v>26</v>
      </c>
      <c r="G744" s="146" t="s">
        <v>20</v>
      </c>
      <c r="H744" s="146">
        <v>201606</v>
      </c>
      <c r="I744" s="147">
        <v>1714.54</v>
      </c>
      <c r="J744" s="297">
        <f t="shared" si="47"/>
        <v>42675</v>
      </c>
      <c r="K744" s="67">
        <f t="shared" si="45"/>
        <v>6</v>
      </c>
      <c r="L744" s="148">
        <v>1.4833299999999999E-3</v>
      </c>
      <c r="M744" s="104">
        <f t="shared" si="44"/>
        <v>15.2593717092</v>
      </c>
      <c r="O744" s="66"/>
      <c r="Q744" s="66">
        <f t="shared" si="46"/>
        <v>28.364563929166664</v>
      </c>
    </row>
    <row r="745" spans="1:17">
      <c r="A745" s="145" t="s">
        <v>626</v>
      </c>
      <c r="B745" s="146" t="s">
        <v>1936</v>
      </c>
      <c r="C745" s="146" t="s">
        <v>1937</v>
      </c>
      <c r="D745" s="145" t="s">
        <v>1938</v>
      </c>
      <c r="E745" s="146" t="s">
        <v>75</v>
      </c>
      <c r="F745" s="145" t="s">
        <v>1602</v>
      </c>
      <c r="G745" s="146" t="s">
        <v>20</v>
      </c>
      <c r="H745" s="146">
        <v>201606</v>
      </c>
      <c r="I745" s="147">
        <v>110.67</v>
      </c>
      <c r="J745" s="297">
        <f t="shared" si="47"/>
        <v>42675</v>
      </c>
      <c r="K745" s="67">
        <f t="shared" si="45"/>
        <v>6</v>
      </c>
      <c r="L745" s="148">
        <v>1.4833299999999999E-3</v>
      </c>
      <c r="M745" s="104">
        <f t="shared" si="44"/>
        <v>0.98496078659999997</v>
      </c>
      <c r="O745" s="66"/>
      <c r="Q745" s="66">
        <f t="shared" si="46"/>
        <v>1.8308737562500002</v>
      </c>
    </row>
    <row r="746" spans="1:17">
      <c r="A746" s="145" t="s">
        <v>626</v>
      </c>
      <c r="B746" s="146" t="s">
        <v>1970</v>
      </c>
      <c r="C746" s="146" t="s">
        <v>1971</v>
      </c>
      <c r="D746" s="145" t="s">
        <v>1972</v>
      </c>
      <c r="E746" s="146" t="s">
        <v>93</v>
      </c>
      <c r="F746" s="145" t="s">
        <v>1601</v>
      </c>
      <c r="G746" s="146" t="s">
        <v>20</v>
      </c>
      <c r="H746" s="146">
        <v>201606</v>
      </c>
      <c r="I746" s="147">
        <v>10848.9</v>
      </c>
      <c r="J746" s="297">
        <f t="shared" si="47"/>
        <v>42675</v>
      </c>
      <c r="K746" s="67">
        <f t="shared" si="45"/>
        <v>6</v>
      </c>
      <c r="L746" s="148">
        <v>1.4833299999999999E-3</v>
      </c>
      <c r="M746" s="104">
        <f t="shared" si="44"/>
        <v>96.554993021999991</v>
      </c>
      <c r="O746" s="66"/>
      <c r="Q746" s="66">
        <f t="shared" si="46"/>
        <v>179.47922918749998</v>
      </c>
    </row>
    <row r="747" spans="1:17">
      <c r="A747" s="145" t="s">
        <v>21</v>
      </c>
      <c r="B747" s="146" t="s">
        <v>1939</v>
      </c>
      <c r="C747" s="146" t="s">
        <v>1940</v>
      </c>
      <c r="D747" s="145" t="s">
        <v>1941</v>
      </c>
      <c r="E747" s="146" t="s">
        <v>87</v>
      </c>
      <c r="F747" s="145" t="s">
        <v>1603</v>
      </c>
      <c r="G747" s="146" t="s">
        <v>20</v>
      </c>
      <c r="H747" s="146">
        <v>201606</v>
      </c>
      <c r="I747" s="147">
        <v>1580.23</v>
      </c>
      <c r="J747" s="297">
        <f t="shared" si="47"/>
        <v>42675</v>
      </c>
      <c r="K747" s="67">
        <f t="shared" si="45"/>
        <v>6</v>
      </c>
      <c r="L747" s="148">
        <v>1.4833299999999999E-3</v>
      </c>
      <c r="M747" s="104">
        <f t="shared" si="44"/>
        <v>14.0640153954</v>
      </c>
      <c r="O747" s="66"/>
      <c r="Q747" s="66">
        <f t="shared" si="46"/>
        <v>26.142600847916668</v>
      </c>
    </row>
    <row r="748" spans="1:17">
      <c r="A748" s="145" t="s">
        <v>21</v>
      </c>
      <c r="B748" s="146" t="s">
        <v>1973</v>
      </c>
      <c r="C748" s="146" t="s">
        <v>1974</v>
      </c>
      <c r="D748" s="145" t="s">
        <v>1975</v>
      </c>
      <c r="E748" s="146" t="s">
        <v>87</v>
      </c>
      <c r="F748" s="145" t="s">
        <v>1603</v>
      </c>
      <c r="G748" s="146" t="s">
        <v>20</v>
      </c>
      <c r="H748" s="146">
        <v>201606</v>
      </c>
      <c r="I748" s="147">
        <v>787.45</v>
      </c>
      <c r="J748" s="297">
        <f t="shared" si="47"/>
        <v>42675</v>
      </c>
      <c r="K748" s="67">
        <f t="shared" si="45"/>
        <v>6</v>
      </c>
      <c r="L748" s="148">
        <v>1.4833299999999999E-3</v>
      </c>
      <c r="M748" s="104">
        <f t="shared" si="44"/>
        <v>7.0082892510000008</v>
      </c>
      <c r="O748" s="66"/>
      <c r="Q748" s="66">
        <f t="shared" si="46"/>
        <v>13.027211885416667</v>
      </c>
    </row>
    <row r="749" spans="1:17">
      <c r="A749" s="145" t="s">
        <v>626</v>
      </c>
      <c r="B749" s="146" t="s">
        <v>1811</v>
      </c>
      <c r="C749" s="146" t="s">
        <v>1812</v>
      </c>
      <c r="D749" s="145" t="s">
        <v>1813</v>
      </c>
      <c r="E749" s="146" t="s">
        <v>25</v>
      </c>
      <c r="F749" s="145" t="s">
        <v>26</v>
      </c>
      <c r="G749" s="146" t="s">
        <v>20</v>
      </c>
      <c r="H749" s="146">
        <v>201606</v>
      </c>
      <c r="I749" s="147">
        <v>320.70999999999998</v>
      </c>
      <c r="J749" s="297">
        <f t="shared" si="47"/>
        <v>42675</v>
      </c>
      <c r="K749" s="67">
        <f t="shared" si="45"/>
        <v>6</v>
      </c>
      <c r="L749" s="148">
        <v>1.4833299999999999E-3</v>
      </c>
      <c r="M749" s="104">
        <f t="shared" si="44"/>
        <v>2.8543125857999998</v>
      </c>
      <c r="O749" s="66"/>
      <c r="Q749" s="66">
        <f t="shared" si="46"/>
        <v>5.3056792479166663</v>
      </c>
    </row>
    <row r="750" spans="1:17">
      <c r="A750" s="145" t="s">
        <v>1942</v>
      </c>
      <c r="B750" s="146" t="s">
        <v>1681</v>
      </c>
      <c r="C750" s="146" t="s">
        <v>1682</v>
      </c>
      <c r="D750" s="145" t="s">
        <v>1683</v>
      </c>
      <c r="E750" s="146" t="s">
        <v>198</v>
      </c>
      <c r="F750" s="145" t="s">
        <v>1610</v>
      </c>
      <c r="G750" s="146" t="s">
        <v>20</v>
      </c>
      <c r="H750" s="146">
        <v>201606</v>
      </c>
      <c r="I750" s="147">
        <v>13452.51</v>
      </c>
      <c r="J750" s="297">
        <f t="shared" si="47"/>
        <v>42675</v>
      </c>
      <c r="K750" s="67">
        <f t="shared" si="45"/>
        <v>6</v>
      </c>
      <c r="L750" s="148">
        <v>2.23333E-3</v>
      </c>
      <c r="M750" s="104">
        <f t="shared" si="44"/>
        <v>180.26336494979998</v>
      </c>
      <c r="O750" s="66"/>
      <c r="Q750" s="66">
        <f t="shared" si="46"/>
        <v>222.55215970624999</v>
      </c>
    </row>
    <row r="751" spans="1:17">
      <c r="A751" s="145" t="s">
        <v>1942</v>
      </c>
      <c r="B751" s="146" t="s">
        <v>1681</v>
      </c>
      <c r="C751" s="146" t="s">
        <v>1943</v>
      </c>
      <c r="D751" s="145" t="s">
        <v>1944</v>
      </c>
      <c r="E751" s="146" t="s">
        <v>202</v>
      </c>
      <c r="F751" s="145" t="s">
        <v>1611</v>
      </c>
      <c r="G751" s="146" t="s">
        <v>20</v>
      </c>
      <c r="H751" s="146">
        <v>201606</v>
      </c>
      <c r="I751" s="147">
        <v>4229.49</v>
      </c>
      <c r="J751" s="297">
        <f t="shared" si="47"/>
        <v>42675</v>
      </c>
      <c r="K751" s="67">
        <f t="shared" si="45"/>
        <v>6</v>
      </c>
      <c r="L751" s="148">
        <v>2.23333E-3</v>
      </c>
      <c r="M751" s="104">
        <f t="shared" si="44"/>
        <v>56.675081410199994</v>
      </c>
      <c r="O751" s="66"/>
      <c r="Q751" s="66">
        <f t="shared" si="46"/>
        <v>69.970744043749988</v>
      </c>
    </row>
    <row r="752" spans="1:17">
      <c r="A752" s="145" t="s">
        <v>1942</v>
      </c>
      <c r="B752" s="146" t="s">
        <v>1681</v>
      </c>
      <c r="C752" s="146" t="s">
        <v>1976</v>
      </c>
      <c r="D752" s="145" t="s">
        <v>1977</v>
      </c>
      <c r="E752" s="146" t="s">
        <v>294</v>
      </c>
      <c r="F752" s="145" t="s">
        <v>1613</v>
      </c>
      <c r="G752" s="146" t="s">
        <v>20</v>
      </c>
      <c r="H752" s="146">
        <v>201606</v>
      </c>
      <c r="I752" s="147">
        <v>799.44</v>
      </c>
      <c r="J752" s="297">
        <f t="shared" si="47"/>
        <v>42675</v>
      </c>
      <c r="K752" s="67">
        <f t="shared" si="45"/>
        <v>6</v>
      </c>
      <c r="L752" s="148">
        <v>2.23333E-3</v>
      </c>
      <c r="M752" s="104">
        <f t="shared" si="44"/>
        <v>10.7124800112</v>
      </c>
      <c r="O752" s="66"/>
      <c r="Q752" s="66">
        <f t="shared" si="46"/>
        <v>13.225568950000001</v>
      </c>
    </row>
    <row r="753" spans="1:17">
      <c r="A753" s="145" t="s">
        <v>626</v>
      </c>
      <c r="B753" s="146" t="s">
        <v>1978</v>
      </c>
      <c r="C753" s="146" t="s">
        <v>1979</v>
      </c>
      <c r="D753" s="145" t="s">
        <v>1980</v>
      </c>
      <c r="E753" s="146" t="s">
        <v>75</v>
      </c>
      <c r="F753" s="145" t="s">
        <v>1602</v>
      </c>
      <c r="G753" s="146" t="s">
        <v>20</v>
      </c>
      <c r="H753" s="146">
        <v>201606</v>
      </c>
      <c r="I753" s="147">
        <v>3238.29</v>
      </c>
      <c r="J753" s="297">
        <f t="shared" si="47"/>
        <v>42675</v>
      </c>
      <c r="K753" s="67">
        <f t="shared" si="45"/>
        <v>6</v>
      </c>
      <c r="L753" s="148">
        <v>1.4833299999999999E-3</v>
      </c>
      <c r="M753" s="104">
        <f t="shared" si="44"/>
        <v>28.820716234199999</v>
      </c>
      <c r="O753" s="66"/>
      <c r="Q753" s="66">
        <f t="shared" si="46"/>
        <v>53.572785543750001</v>
      </c>
    </row>
    <row r="754" spans="1:17">
      <c r="A754" s="145" t="s">
        <v>626</v>
      </c>
      <c r="B754" s="146" t="s">
        <v>1757</v>
      </c>
      <c r="C754" s="146" t="s">
        <v>1758</v>
      </c>
      <c r="D754" s="145" t="s">
        <v>1759</v>
      </c>
      <c r="E754" s="146" t="s">
        <v>75</v>
      </c>
      <c r="F754" s="145" t="s">
        <v>1602</v>
      </c>
      <c r="G754" s="146" t="s">
        <v>20</v>
      </c>
      <c r="H754" s="146">
        <v>201606</v>
      </c>
      <c r="I754" s="147">
        <v>89.83</v>
      </c>
      <c r="J754" s="297">
        <f t="shared" si="47"/>
        <v>42675</v>
      </c>
      <c r="K754" s="67">
        <f t="shared" si="45"/>
        <v>6</v>
      </c>
      <c r="L754" s="148">
        <v>1.4833299999999999E-3</v>
      </c>
      <c r="M754" s="104">
        <f t="shared" si="44"/>
        <v>0.79948520339999996</v>
      </c>
      <c r="O754" s="66"/>
      <c r="Q754" s="66">
        <f t="shared" si="46"/>
        <v>1.4861063479166667</v>
      </c>
    </row>
    <row r="755" spans="1:17">
      <c r="A755" s="145" t="s">
        <v>626</v>
      </c>
      <c r="B755" s="146" t="s">
        <v>1981</v>
      </c>
      <c r="C755" s="146" t="s">
        <v>1982</v>
      </c>
      <c r="D755" s="145" t="s">
        <v>1983</v>
      </c>
      <c r="E755" s="146" t="s">
        <v>75</v>
      </c>
      <c r="F755" s="145" t="s">
        <v>1602</v>
      </c>
      <c r="G755" s="146" t="s">
        <v>20</v>
      </c>
      <c r="H755" s="146">
        <v>201606</v>
      </c>
      <c r="I755" s="147">
        <v>2416.5100000000002</v>
      </c>
      <c r="J755" s="297">
        <f t="shared" si="47"/>
        <v>42675</v>
      </c>
      <c r="K755" s="67">
        <f t="shared" si="45"/>
        <v>6</v>
      </c>
      <c r="L755" s="148">
        <v>1.4833299999999999E-3</v>
      </c>
      <c r="M755" s="104">
        <f t="shared" si="44"/>
        <v>21.506890669800001</v>
      </c>
      <c r="O755" s="66"/>
      <c r="Q755" s="66">
        <f t="shared" si="46"/>
        <v>39.97763387291667</v>
      </c>
    </row>
    <row r="756" spans="1:17">
      <c r="A756" s="145" t="s">
        <v>626</v>
      </c>
      <c r="B756" s="146" t="s">
        <v>1984</v>
      </c>
      <c r="C756" s="146" t="s">
        <v>1985</v>
      </c>
      <c r="D756" s="145" t="s">
        <v>1986</v>
      </c>
      <c r="E756" s="146" t="s">
        <v>156</v>
      </c>
      <c r="F756" s="145" t="s">
        <v>26</v>
      </c>
      <c r="G756" s="146" t="s">
        <v>20</v>
      </c>
      <c r="H756" s="146">
        <v>201606</v>
      </c>
      <c r="I756" s="147">
        <v>8272.9</v>
      </c>
      <c r="J756" s="297">
        <f t="shared" si="47"/>
        <v>42675</v>
      </c>
      <c r="K756" s="67">
        <f t="shared" si="45"/>
        <v>6</v>
      </c>
      <c r="L756" s="148">
        <v>1.4833299999999999E-3</v>
      </c>
      <c r="M756" s="104">
        <f t="shared" si="44"/>
        <v>73.628644542000004</v>
      </c>
      <c r="O756" s="66"/>
      <c r="Q756" s="66">
        <f t="shared" si="46"/>
        <v>136.86306585416665</v>
      </c>
    </row>
    <row r="757" spans="1:17">
      <c r="A757" s="145" t="s">
        <v>626</v>
      </c>
      <c r="B757" s="146" t="s">
        <v>2054</v>
      </c>
      <c r="C757" s="146" t="s">
        <v>2055</v>
      </c>
      <c r="D757" s="145" t="s">
        <v>2056</v>
      </c>
      <c r="E757" s="146" t="s">
        <v>156</v>
      </c>
      <c r="F757" s="145" t="s">
        <v>26</v>
      </c>
      <c r="G757" s="146" t="s">
        <v>20</v>
      </c>
      <c r="H757" s="146">
        <v>201606</v>
      </c>
      <c r="I757" s="147">
        <v>23427.33</v>
      </c>
      <c r="J757" s="297">
        <f t="shared" si="47"/>
        <v>42675</v>
      </c>
      <c r="K757" s="67">
        <f t="shared" si="45"/>
        <v>6</v>
      </c>
      <c r="L757" s="148">
        <v>1.4833299999999999E-3</v>
      </c>
      <c r="M757" s="104">
        <f t="shared" si="44"/>
        <v>208.50276845340002</v>
      </c>
      <c r="O757" s="66"/>
      <c r="Q757" s="66">
        <f t="shared" si="46"/>
        <v>387.57100999375007</v>
      </c>
    </row>
    <row r="758" spans="1:17">
      <c r="A758" s="145" t="s">
        <v>626</v>
      </c>
      <c r="B758" s="146" t="s">
        <v>1850</v>
      </c>
      <c r="C758" s="146" t="s">
        <v>1851</v>
      </c>
      <c r="D758" s="145" t="s">
        <v>1852</v>
      </c>
      <c r="E758" s="146" t="s">
        <v>260</v>
      </c>
      <c r="F758" s="145" t="s">
        <v>1608</v>
      </c>
      <c r="G758" s="146" t="s">
        <v>20</v>
      </c>
      <c r="H758" s="146">
        <v>201606</v>
      </c>
      <c r="I758" s="147">
        <v>1606.75</v>
      </c>
      <c r="J758" s="297">
        <f t="shared" si="47"/>
        <v>42675</v>
      </c>
      <c r="K758" s="67">
        <f t="shared" si="45"/>
        <v>6</v>
      </c>
      <c r="L758" s="148">
        <v>1.4833299999999999E-3</v>
      </c>
      <c r="M758" s="104">
        <f t="shared" si="44"/>
        <v>14.300042865</v>
      </c>
      <c r="O758" s="66"/>
      <c r="Q758" s="66">
        <f t="shared" si="46"/>
        <v>26.581335572916668</v>
      </c>
    </row>
    <row r="759" spans="1:17">
      <c r="A759" s="145" t="s">
        <v>626</v>
      </c>
      <c r="B759" s="146" t="s">
        <v>1814</v>
      </c>
      <c r="C759" s="146" t="s">
        <v>1815</v>
      </c>
      <c r="D759" s="145" t="s">
        <v>1816</v>
      </c>
      <c r="E759" s="146" t="s">
        <v>25</v>
      </c>
      <c r="F759" s="145" t="s">
        <v>26</v>
      </c>
      <c r="G759" s="146" t="s">
        <v>20</v>
      </c>
      <c r="H759" s="146">
        <v>201606</v>
      </c>
      <c r="I759" s="147">
        <v>735.09</v>
      </c>
      <c r="J759" s="297">
        <f t="shared" si="47"/>
        <v>42675</v>
      </c>
      <c r="K759" s="67">
        <f t="shared" si="45"/>
        <v>6</v>
      </c>
      <c r="L759" s="148">
        <v>1.4833299999999999E-3</v>
      </c>
      <c r="M759" s="104">
        <f t="shared" si="44"/>
        <v>6.5422862982000005</v>
      </c>
      <c r="O759" s="66"/>
      <c r="Q759" s="66">
        <f t="shared" si="46"/>
        <v>12.160992043749999</v>
      </c>
    </row>
    <row r="760" spans="1:17">
      <c r="A760" s="145" t="s">
        <v>626</v>
      </c>
      <c r="B760" s="146" t="s">
        <v>2057</v>
      </c>
      <c r="C760" s="146" t="s">
        <v>2058</v>
      </c>
      <c r="D760" s="145" t="s">
        <v>2059</v>
      </c>
      <c r="E760" s="146" t="s">
        <v>156</v>
      </c>
      <c r="F760" s="145" t="s">
        <v>26</v>
      </c>
      <c r="G760" s="146" t="s">
        <v>20</v>
      </c>
      <c r="H760" s="146">
        <v>201606</v>
      </c>
      <c r="I760" s="147">
        <v>30477.51</v>
      </c>
      <c r="J760" s="297">
        <f t="shared" si="47"/>
        <v>42675</v>
      </c>
      <c r="K760" s="67">
        <f t="shared" si="45"/>
        <v>6</v>
      </c>
      <c r="L760" s="148">
        <v>1.4833299999999999E-3</v>
      </c>
      <c r="M760" s="104">
        <f t="shared" si="44"/>
        <v>271.2492294498</v>
      </c>
      <c r="O760" s="66"/>
      <c r="Q760" s="66">
        <f t="shared" si="46"/>
        <v>504.20595658124995</v>
      </c>
    </row>
    <row r="761" spans="1:17">
      <c r="A761" s="145" t="s">
        <v>626</v>
      </c>
      <c r="B761" s="146" t="s">
        <v>2060</v>
      </c>
      <c r="C761" s="146" t="s">
        <v>2061</v>
      </c>
      <c r="D761" s="145" t="s">
        <v>2062</v>
      </c>
      <c r="E761" s="146" t="s">
        <v>156</v>
      </c>
      <c r="F761" s="145" t="s">
        <v>26</v>
      </c>
      <c r="G761" s="146" t="s">
        <v>20</v>
      </c>
      <c r="H761" s="146">
        <v>201606</v>
      </c>
      <c r="I761" s="147">
        <v>14476.73</v>
      </c>
      <c r="J761" s="297">
        <f t="shared" si="47"/>
        <v>42675</v>
      </c>
      <c r="K761" s="67">
        <f t="shared" si="45"/>
        <v>6</v>
      </c>
      <c r="L761" s="148">
        <v>1.4833299999999999E-3</v>
      </c>
      <c r="M761" s="104">
        <f t="shared" si="44"/>
        <v>128.84260746539999</v>
      </c>
      <c r="O761" s="66"/>
      <c r="Q761" s="66">
        <f t="shared" si="46"/>
        <v>239.49638595208333</v>
      </c>
    </row>
    <row r="762" spans="1:17">
      <c r="A762" s="145" t="s">
        <v>21</v>
      </c>
      <c r="B762" s="146" t="s">
        <v>1760</v>
      </c>
      <c r="C762" s="146" t="s">
        <v>1761</v>
      </c>
      <c r="D762" s="145" t="s">
        <v>1388</v>
      </c>
      <c r="E762" s="146" t="s">
        <v>164</v>
      </c>
      <c r="F762" s="145" t="s">
        <v>1600</v>
      </c>
      <c r="G762" s="146" t="s">
        <v>20</v>
      </c>
      <c r="H762" s="146">
        <v>201606</v>
      </c>
      <c r="I762" s="147">
        <v>2.63</v>
      </c>
      <c r="J762" s="297">
        <f t="shared" si="47"/>
        <v>42675</v>
      </c>
      <c r="K762" s="67">
        <f t="shared" si="45"/>
        <v>6</v>
      </c>
      <c r="L762" s="148">
        <v>1.4833299999999999E-3</v>
      </c>
      <c r="M762" s="104">
        <f t="shared" si="44"/>
        <v>2.3406947399999999E-2</v>
      </c>
      <c r="O762" s="66"/>
      <c r="Q762" s="66">
        <f t="shared" si="46"/>
        <v>4.3509514583333332E-2</v>
      </c>
    </row>
    <row r="763" spans="1:17">
      <c r="A763" s="145" t="s">
        <v>626</v>
      </c>
      <c r="B763" s="146" t="s">
        <v>1760</v>
      </c>
      <c r="C763" s="146" t="s">
        <v>1761</v>
      </c>
      <c r="D763" s="145" t="s">
        <v>1388</v>
      </c>
      <c r="E763" s="146" t="s">
        <v>164</v>
      </c>
      <c r="F763" s="145" t="s">
        <v>1600</v>
      </c>
      <c r="G763" s="146" t="s">
        <v>20</v>
      </c>
      <c r="H763" s="146">
        <v>201606</v>
      </c>
      <c r="I763" s="147">
        <v>113.9</v>
      </c>
      <c r="J763" s="297">
        <f t="shared" si="47"/>
        <v>42675</v>
      </c>
      <c r="K763" s="67">
        <f t="shared" si="45"/>
        <v>6</v>
      </c>
      <c r="L763" s="148">
        <v>1.4833299999999999E-3</v>
      </c>
      <c r="M763" s="104">
        <f t="shared" si="44"/>
        <v>1.0137077220000001</v>
      </c>
      <c r="O763" s="66"/>
      <c r="Q763" s="66">
        <f t="shared" si="46"/>
        <v>1.8843093958333337</v>
      </c>
    </row>
    <row r="764" spans="1:17">
      <c r="A764" s="145" t="s">
        <v>626</v>
      </c>
      <c r="B764" s="146" t="s">
        <v>1987</v>
      </c>
      <c r="C764" s="146" t="s">
        <v>1988</v>
      </c>
      <c r="D764" s="145" t="s">
        <v>1338</v>
      </c>
      <c r="E764" s="146" t="s">
        <v>75</v>
      </c>
      <c r="F764" s="145" t="s">
        <v>1602</v>
      </c>
      <c r="G764" s="146" t="s">
        <v>20</v>
      </c>
      <c r="H764" s="146">
        <v>201606</v>
      </c>
      <c r="I764" s="147">
        <v>1092.1600000000001</v>
      </c>
      <c r="J764" s="297">
        <f t="shared" si="47"/>
        <v>42675</v>
      </c>
      <c r="K764" s="67">
        <f t="shared" si="45"/>
        <v>6</v>
      </c>
      <c r="L764" s="148">
        <v>1.4833299999999999E-3</v>
      </c>
      <c r="M764" s="104">
        <f t="shared" si="44"/>
        <v>9.720202156800001</v>
      </c>
      <c r="O764" s="66"/>
      <c r="Q764" s="66">
        <f t="shared" si="46"/>
        <v>18.068194466666668</v>
      </c>
    </row>
    <row r="765" spans="1:17">
      <c r="A765" s="342" t="s">
        <v>133</v>
      </c>
      <c r="B765" s="343" t="s">
        <v>1817</v>
      </c>
      <c r="C765" s="343" t="s">
        <v>1818</v>
      </c>
      <c r="D765" s="342" t="s">
        <v>1819</v>
      </c>
      <c r="E765" s="343" t="s">
        <v>75</v>
      </c>
      <c r="F765" s="342" t="s">
        <v>1602</v>
      </c>
      <c r="G765" s="343" t="s">
        <v>20</v>
      </c>
      <c r="H765" s="343">
        <v>201606</v>
      </c>
      <c r="I765" s="344">
        <v>0</v>
      </c>
      <c r="J765" s="297">
        <f t="shared" si="47"/>
        <v>42675</v>
      </c>
      <c r="K765" s="348">
        <f t="shared" si="45"/>
        <v>6</v>
      </c>
      <c r="L765" s="345">
        <v>1.4833299999999999E-3</v>
      </c>
      <c r="M765" s="349">
        <f t="shared" si="44"/>
        <v>0</v>
      </c>
      <c r="N765" s="350"/>
      <c r="O765" s="351"/>
      <c r="P765" s="350"/>
      <c r="Q765" s="66">
        <f t="shared" si="46"/>
        <v>0</v>
      </c>
    </row>
    <row r="766" spans="1:17">
      <c r="A766" s="145" t="s">
        <v>626</v>
      </c>
      <c r="B766" s="146" t="s">
        <v>1989</v>
      </c>
      <c r="C766" s="146" t="s">
        <v>1990</v>
      </c>
      <c r="D766" s="145" t="s">
        <v>1495</v>
      </c>
      <c r="E766" s="146" t="s">
        <v>75</v>
      </c>
      <c r="F766" s="145" t="s">
        <v>1602</v>
      </c>
      <c r="G766" s="146" t="s">
        <v>20</v>
      </c>
      <c r="H766" s="146">
        <v>201606</v>
      </c>
      <c r="I766" s="147">
        <v>1846.23</v>
      </c>
      <c r="J766" s="297">
        <f t="shared" si="47"/>
        <v>42675</v>
      </c>
      <c r="K766" s="67">
        <f t="shared" si="45"/>
        <v>6</v>
      </c>
      <c r="L766" s="148">
        <v>1.4833299999999999E-3</v>
      </c>
      <c r="M766" s="104">
        <f t="shared" si="44"/>
        <v>16.431410075399999</v>
      </c>
      <c r="O766" s="66"/>
      <c r="Q766" s="66">
        <f t="shared" si="46"/>
        <v>30.543182931249998</v>
      </c>
    </row>
    <row r="767" spans="1:17">
      <c r="A767" s="145" t="s">
        <v>626</v>
      </c>
      <c r="B767" s="146" t="s">
        <v>1764</v>
      </c>
      <c r="C767" s="146" t="s">
        <v>1765</v>
      </c>
      <c r="D767" s="145" t="s">
        <v>1766</v>
      </c>
      <c r="E767" s="146" t="s">
        <v>156</v>
      </c>
      <c r="F767" s="145" t="s">
        <v>26</v>
      </c>
      <c r="G767" s="146" t="s">
        <v>20</v>
      </c>
      <c r="H767" s="146">
        <v>201606</v>
      </c>
      <c r="I767" s="147">
        <v>808.09</v>
      </c>
      <c r="J767" s="297">
        <f t="shared" si="47"/>
        <v>42675</v>
      </c>
      <c r="K767" s="67">
        <f t="shared" si="45"/>
        <v>6</v>
      </c>
      <c r="L767" s="148">
        <v>1.4833299999999999E-3</v>
      </c>
      <c r="M767" s="104">
        <f t="shared" si="44"/>
        <v>7.1919848382000007</v>
      </c>
      <c r="O767" s="66"/>
      <c r="Q767" s="66">
        <f t="shared" si="46"/>
        <v>13.368670585416668</v>
      </c>
    </row>
    <row r="768" spans="1:17">
      <c r="A768" s="145" t="s">
        <v>626</v>
      </c>
      <c r="B768" s="146" t="s">
        <v>1945</v>
      </c>
      <c r="C768" s="146" t="s">
        <v>1946</v>
      </c>
      <c r="D768" s="145" t="s">
        <v>1947</v>
      </c>
      <c r="E768" s="146" t="s">
        <v>93</v>
      </c>
      <c r="F768" s="145" t="s">
        <v>1601</v>
      </c>
      <c r="G768" s="146" t="s">
        <v>20</v>
      </c>
      <c r="H768" s="146">
        <v>201606</v>
      </c>
      <c r="I768" s="147">
        <v>1551.8</v>
      </c>
      <c r="J768" s="297">
        <f t="shared" si="47"/>
        <v>42675</v>
      </c>
      <c r="K768" s="67">
        <f t="shared" si="45"/>
        <v>6</v>
      </c>
      <c r="L768" s="148">
        <v>1.4833299999999999E-3</v>
      </c>
      <c r="M768" s="104">
        <f t="shared" si="44"/>
        <v>13.810988964</v>
      </c>
      <c r="O768" s="66"/>
      <c r="Q768" s="66">
        <f t="shared" si="46"/>
        <v>25.672267958333332</v>
      </c>
    </row>
    <row r="769" spans="1:17">
      <c r="A769" s="145" t="s">
        <v>626</v>
      </c>
      <c r="B769" s="146" t="s">
        <v>1991</v>
      </c>
      <c r="C769" s="146" t="s">
        <v>1992</v>
      </c>
      <c r="D769" s="145" t="s">
        <v>1993</v>
      </c>
      <c r="E769" s="146" t="s">
        <v>497</v>
      </c>
      <c r="F769" s="145" t="s">
        <v>26</v>
      </c>
      <c r="G769" s="146" t="s">
        <v>20</v>
      </c>
      <c r="H769" s="146">
        <v>201606</v>
      </c>
      <c r="I769" s="147">
        <v>634.9</v>
      </c>
      <c r="J769" s="297">
        <f t="shared" si="47"/>
        <v>42675</v>
      </c>
      <c r="K769" s="67">
        <f t="shared" si="45"/>
        <v>6</v>
      </c>
      <c r="L769" s="148">
        <v>1.4833299999999999E-3</v>
      </c>
      <c r="M769" s="104">
        <f t="shared" si="44"/>
        <v>5.6505973019999995</v>
      </c>
      <c r="O769" s="66"/>
      <c r="Q769" s="66">
        <f t="shared" si="46"/>
        <v>10.503494604166667</v>
      </c>
    </row>
    <row r="770" spans="1:17">
      <c r="A770" s="145" t="s">
        <v>127</v>
      </c>
      <c r="B770" s="146" t="s">
        <v>1994</v>
      </c>
      <c r="C770" s="146" t="s">
        <v>1995</v>
      </c>
      <c r="D770" s="145" t="s">
        <v>1996</v>
      </c>
      <c r="E770" s="146" t="s">
        <v>87</v>
      </c>
      <c r="F770" s="145" t="s">
        <v>1603</v>
      </c>
      <c r="G770" s="146" t="s">
        <v>20</v>
      </c>
      <c r="H770" s="146">
        <v>201606</v>
      </c>
      <c r="I770" s="147">
        <v>539.20000000000005</v>
      </c>
      <c r="J770" s="297">
        <f t="shared" si="47"/>
        <v>42675</v>
      </c>
      <c r="K770" s="67">
        <f t="shared" si="45"/>
        <v>6</v>
      </c>
      <c r="L770" s="148">
        <v>2.3833299999999999E-3</v>
      </c>
      <c r="M770" s="104">
        <f t="shared" si="44"/>
        <v>7.7105492160000004</v>
      </c>
      <c r="O770" s="66"/>
      <c r="Q770" s="66">
        <f t="shared" si="46"/>
        <v>8.9202776666666672</v>
      </c>
    </row>
    <row r="771" spans="1:17">
      <c r="A771" s="145" t="s">
        <v>990</v>
      </c>
      <c r="B771" s="146" t="s">
        <v>1681</v>
      </c>
      <c r="C771" s="146" t="s">
        <v>2063</v>
      </c>
      <c r="D771" s="145" t="s">
        <v>2064</v>
      </c>
      <c r="E771" s="146" t="s">
        <v>1688</v>
      </c>
      <c r="F771" s="145" t="s">
        <v>1689</v>
      </c>
      <c r="G771" s="146" t="s">
        <v>20</v>
      </c>
      <c r="H771" s="146">
        <v>201606</v>
      </c>
      <c r="I771" s="147">
        <v>55.48</v>
      </c>
      <c r="J771" s="297">
        <f t="shared" si="47"/>
        <v>42675</v>
      </c>
      <c r="K771" s="67">
        <f t="shared" si="45"/>
        <v>6</v>
      </c>
      <c r="L771" s="148">
        <v>2.3833299999999999E-3</v>
      </c>
      <c r="M771" s="104">
        <f t="shared" si="44"/>
        <v>0.79336289039999996</v>
      </c>
      <c r="O771" s="66"/>
      <c r="Q771" s="66">
        <f t="shared" si="46"/>
        <v>0.91783569166666668</v>
      </c>
    </row>
    <row r="772" spans="1:17">
      <c r="A772" s="145" t="s">
        <v>1942</v>
      </c>
      <c r="B772" s="146" t="s">
        <v>1681</v>
      </c>
      <c r="C772" s="146" t="s">
        <v>1997</v>
      </c>
      <c r="D772" s="145" t="s">
        <v>1998</v>
      </c>
      <c r="E772" s="146" t="s">
        <v>164</v>
      </c>
      <c r="F772" s="145" t="s">
        <v>1600</v>
      </c>
      <c r="G772" s="146" t="s">
        <v>20</v>
      </c>
      <c r="H772" s="146">
        <v>201606</v>
      </c>
      <c r="I772" s="147">
        <v>2.5099999999999998</v>
      </c>
      <c r="J772" s="297">
        <f t="shared" si="47"/>
        <v>42675</v>
      </c>
      <c r="K772" s="67">
        <f t="shared" si="45"/>
        <v>6</v>
      </c>
      <c r="L772" s="148">
        <v>2.23333E-3</v>
      </c>
      <c r="M772" s="104">
        <f t="shared" si="44"/>
        <v>3.3633949799999993E-2</v>
      </c>
      <c r="O772" s="66"/>
      <c r="Q772" s="66">
        <f t="shared" si="46"/>
        <v>4.1524289583333332E-2</v>
      </c>
    </row>
    <row r="773" spans="1:17">
      <c r="A773" s="145" t="s">
        <v>626</v>
      </c>
      <c r="B773" s="146" t="s">
        <v>1681</v>
      </c>
      <c r="C773" s="146" t="s">
        <v>1997</v>
      </c>
      <c r="D773" s="145" t="s">
        <v>1998</v>
      </c>
      <c r="E773" s="146" t="s">
        <v>164</v>
      </c>
      <c r="F773" s="145" t="s">
        <v>1600</v>
      </c>
      <c r="G773" s="146" t="s">
        <v>20</v>
      </c>
      <c r="H773" s="146">
        <v>201606</v>
      </c>
      <c r="I773" s="147">
        <v>1103.1300000000001</v>
      </c>
      <c r="J773" s="297">
        <f t="shared" si="47"/>
        <v>42675</v>
      </c>
      <c r="K773" s="67">
        <f t="shared" si="45"/>
        <v>6</v>
      </c>
      <c r="L773" s="148">
        <v>1.4833299999999999E-3</v>
      </c>
      <c r="M773" s="104">
        <f t="shared" ref="M773:M836" si="48">L773*K773*I773</f>
        <v>9.8178349374000007</v>
      </c>
      <c r="O773" s="66"/>
      <c r="Q773" s="66">
        <f t="shared" si="46"/>
        <v>18.24967711875</v>
      </c>
    </row>
    <row r="774" spans="1:17">
      <c r="A774" s="145" t="s">
        <v>1942</v>
      </c>
      <c r="B774" s="146" t="s">
        <v>1681</v>
      </c>
      <c r="C774" s="146" t="s">
        <v>1999</v>
      </c>
      <c r="D774" s="145" t="s">
        <v>2000</v>
      </c>
      <c r="E774" s="146" t="s">
        <v>75</v>
      </c>
      <c r="F774" s="145" t="s">
        <v>1602</v>
      </c>
      <c r="G774" s="146" t="s">
        <v>20</v>
      </c>
      <c r="H774" s="146">
        <v>201606</v>
      </c>
      <c r="I774" s="147">
        <v>41.38</v>
      </c>
      <c r="J774" s="297">
        <f t="shared" si="47"/>
        <v>42675</v>
      </c>
      <c r="K774" s="67">
        <f t="shared" ref="K774:K837" si="49">((YEAR($K$1)-YEAR(J774))*12+MONTH($K$1)-MONTH(J774))</f>
        <v>6</v>
      </c>
      <c r="L774" s="148">
        <v>2.23333E-3</v>
      </c>
      <c r="M774" s="104">
        <f t="shared" si="48"/>
        <v>0.55449117240000001</v>
      </c>
      <c r="O774" s="66"/>
      <c r="Q774" s="66">
        <f t="shared" ref="Q774:Q837" si="50">($Q$4*0.5*I774*$T$10)</f>
        <v>0.68457175416666671</v>
      </c>
    </row>
    <row r="775" spans="1:17">
      <c r="A775" s="145" t="s">
        <v>14</v>
      </c>
      <c r="B775" s="146" t="s">
        <v>1681</v>
      </c>
      <c r="C775" s="146" t="s">
        <v>1999</v>
      </c>
      <c r="D775" s="145" t="s">
        <v>2000</v>
      </c>
      <c r="E775" s="146" t="s">
        <v>75</v>
      </c>
      <c r="F775" s="145" t="s">
        <v>1602</v>
      </c>
      <c r="G775" s="146" t="s">
        <v>20</v>
      </c>
      <c r="H775" s="146">
        <v>201606</v>
      </c>
      <c r="I775" s="147">
        <v>1264.6500000000001</v>
      </c>
      <c r="J775" s="297">
        <f t="shared" ref="J775:J838" si="51">+J774</f>
        <v>42675</v>
      </c>
      <c r="K775" s="67">
        <f t="shared" si="49"/>
        <v>6</v>
      </c>
      <c r="L775" s="148">
        <v>2.23333E-3</v>
      </c>
      <c r="M775" s="104">
        <f t="shared" si="48"/>
        <v>16.946284707</v>
      </c>
      <c r="O775" s="66"/>
      <c r="Q775" s="66">
        <f t="shared" si="50"/>
        <v>20.921789968750005</v>
      </c>
    </row>
    <row r="776" spans="1:17">
      <c r="A776" s="145" t="s">
        <v>626</v>
      </c>
      <c r="B776" s="146" t="s">
        <v>1681</v>
      </c>
      <c r="C776" s="146" t="s">
        <v>1999</v>
      </c>
      <c r="D776" s="145" t="s">
        <v>2000</v>
      </c>
      <c r="E776" s="146" t="s">
        <v>75</v>
      </c>
      <c r="F776" s="145" t="s">
        <v>1602</v>
      </c>
      <c r="G776" s="146" t="s">
        <v>20</v>
      </c>
      <c r="H776" s="146">
        <v>201606</v>
      </c>
      <c r="I776" s="147">
        <v>9888.0300000000007</v>
      </c>
      <c r="J776" s="297">
        <f t="shared" si="51"/>
        <v>42675</v>
      </c>
      <c r="K776" s="67">
        <f t="shared" si="49"/>
        <v>6</v>
      </c>
      <c r="L776" s="148">
        <v>1.4833299999999999E-3</v>
      </c>
      <c r="M776" s="104">
        <f t="shared" si="48"/>
        <v>88.003269239400012</v>
      </c>
      <c r="O776" s="66"/>
      <c r="Q776" s="66">
        <f t="shared" si="50"/>
        <v>163.58303630624999</v>
      </c>
    </row>
    <row r="777" spans="1:17">
      <c r="A777" s="145" t="s">
        <v>14</v>
      </c>
      <c r="B777" s="146" t="s">
        <v>1681</v>
      </c>
      <c r="C777" s="146" t="s">
        <v>2001</v>
      </c>
      <c r="D777" s="145" t="s">
        <v>2002</v>
      </c>
      <c r="E777" s="146" t="s">
        <v>164</v>
      </c>
      <c r="F777" s="145" t="s">
        <v>1600</v>
      </c>
      <c r="G777" s="146" t="s">
        <v>20</v>
      </c>
      <c r="H777" s="146">
        <v>201606</v>
      </c>
      <c r="I777" s="147">
        <v>0.46</v>
      </c>
      <c r="J777" s="297">
        <f t="shared" si="51"/>
        <v>42675</v>
      </c>
      <c r="K777" s="67">
        <f t="shared" si="49"/>
        <v>6</v>
      </c>
      <c r="L777" s="148">
        <v>2.23333E-3</v>
      </c>
      <c r="M777" s="104">
        <f t="shared" si="48"/>
        <v>6.1639907999999997E-3</v>
      </c>
      <c r="O777" s="66"/>
      <c r="Q777" s="66">
        <f t="shared" si="50"/>
        <v>7.6100291666666674E-3</v>
      </c>
    </row>
    <row r="778" spans="1:17">
      <c r="A778" s="145" t="s">
        <v>626</v>
      </c>
      <c r="B778" s="146" t="s">
        <v>1681</v>
      </c>
      <c r="C778" s="146" t="s">
        <v>2001</v>
      </c>
      <c r="D778" s="145" t="s">
        <v>2002</v>
      </c>
      <c r="E778" s="146" t="s">
        <v>164</v>
      </c>
      <c r="F778" s="145" t="s">
        <v>1600</v>
      </c>
      <c r="G778" s="146" t="s">
        <v>20</v>
      </c>
      <c r="H778" s="146">
        <v>201606</v>
      </c>
      <c r="I778" s="147">
        <v>342.5</v>
      </c>
      <c r="J778" s="297">
        <f t="shared" si="51"/>
        <v>42675</v>
      </c>
      <c r="K778" s="67">
        <f t="shared" si="49"/>
        <v>6</v>
      </c>
      <c r="L778" s="148">
        <v>1.4833299999999999E-3</v>
      </c>
      <c r="M778" s="104">
        <f t="shared" si="48"/>
        <v>3.0482431500000002</v>
      </c>
      <c r="O778" s="66"/>
      <c r="Q778" s="66">
        <f t="shared" si="50"/>
        <v>5.6661630208333333</v>
      </c>
    </row>
    <row r="779" spans="1:17">
      <c r="A779" s="145" t="s">
        <v>14</v>
      </c>
      <c r="B779" s="146" t="s">
        <v>1681</v>
      </c>
      <c r="C779" s="146" t="s">
        <v>2003</v>
      </c>
      <c r="D779" s="145" t="s">
        <v>2004</v>
      </c>
      <c r="E779" s="146" t="s">
        <v>164</v>
      </c>
      <c r="F779" s="145" t="s">
        <v>1600</v>
      </c>
      <c r="G779" s="146" t="s">
        <v>20</v>
      </c>
      <c r="H779" s="146">
        <v>201606</v>
      </c>
      <c r="I779" s="147">
        <v>10.3</v>
      </c>
      <c r="J779" s="297">
        <f t="shared" si="51"/>
        <v>42675</v>
      </c>
      <c r="K779" s="67">
        <f t="shared" si="49"/>
        <v>6</v>
      </c>
      <c r="L779" s="148">
        <v>2.23333E-3</v>
      </c>
      <c r="M779" s="104">
        <f t="shared" si="48"/>
        <v>0.138019794</v>
      </c>
      <c r="O779" s="66"/>
      <c r="Q779" s="66">
        <f t="shared" si="50"/>
        <v>0.1703984791666667</v>
      </c>
    </row>
    <row r="780" spans="1:17">
      <c r="A780" s="145" t="s">
        <v>21</v>
      </c>
      <c r="B780" s="146" t="s">
        <v>1681</v>
      </c>
      <c r="C780" s="146" t="s">
        <v>2003</v>
      </c>
      <c r="D780" s="145" t="s">
        <v>2004</v>
      </c>
      <c r="E780" s="146" t="s">
        <v>164</v>
      </c>
      <c r="F780" s="145" t="s">
        <v>1600</v>
      </c>
      <c r="G780" s="146" t="s">
        <v>20</v>
      </c>
      <c r="H780" s="146">
        <v>201606</v>
      </c>
      <c r="I780" s="147">
        <v>10.41</v>
      </c>
      <c r="J780" s="297">
        <f t="shared" si="51"/>
        <v>42675</v>
      </c>
      <c r="K780" s="67">
        <f t="shared" si="49"/>
        <v>6</v>
      </c>
      <c r="L780" s="148">
        <v>1.4833299999999999E-3</v>
      </c>
      <c r="M780" s="104">
        <f t="shared" si="48"/>
        <v>9.2648791800000005E-2</v>
      </c>
      <c r="O780" s="66"/>
      <c r="Q780" s="66">
        <f t="shared" si="50"/>
        <v>0.17221826875000001</v>
      </c>
    </row>
    <row r="781" spans="1:17">
      <c r="A781" s="145" t="s">
        <v>626</v>
      </c>
      <c r="B781" s="146" t="s">
        <v>1681</v>
      </c>
      <c r="C781" s="146" t="s">
        <v>2003</v>
      </c>
      <c r="D781" s="145" t="s">
        <v>2004</v>
      </c>
      <c r="E781" s="146" t="s">
        <v>164</v>
      </c>
      <c r="F781" s="145" t="s">
        <v>1600</v>
      </c>
      <c r="G781" s="146" t="s">
        <v>20</v>
      </c>
      <c r="H781" s="146">
        <v>201606</v>
      </c>
      <c r="I781" s="147">
        <v>214.19</v>
      </c>
      <c r="J781" s="297">
        <f t="shared" si="51"/>
        <v>42675</v>
      </c>
      <c r="K781" s="67">
        <f t="shared" si="49"/>
        <v>6</v>
      </c>
      <c r="L781" s="148">
        <v>1.4833299999999999E-3</v>
      </c>
      <c r="M781" s="104">
        <f t="shared" si="48"/>
        <v>1.9062867161999999</v>
      </c>
      <c r="O781" s="66"/>
      <c r="Q781" s="66">
        <f t="shared" si="50"/>
        <v>3.5434611895833332</v>
      </c>
    </row>
    <row r="782" spans="1:17">
      <c r="A782" s="145" t="s">
        <v>14</v>
      </c>
      <c r="B782" s="146" t="s">
        <v>1681</v>
      </c>
      <c r="C782" s="146" t="s">
        <v>2005</v>
      </c>
      <c r="D782" s="145" t="s">
        <v>2006</v>
      </c>
      <c r="E782" s="146" t="s">
        <v>87</v>
      </c>
      <c r="F782" s="145" t="s">
        <v>1603</v>
      </c>
      <c r="G782" s="146" t="s">
        <v>20</v>
      </c>
      <c r="H782" s="146">
        <v>201606</v>
      </c>
      <c r="I782" s="147">
        <v>2.46</v>
      </c>
      <c r="J782" s="297">
        <f t="shared" si="51"/>
        <v>42675</v>
      </c>
      <c r="K782" s="67">
        <f t="shared" si="49"/>
        <v>6</v>
      </c>
      <c r="L782" s="148">
        <v>2.23333E-3</v>
      </c>
      <c r="M782" s="104">
        <f t="shared" si="48"/>
        <v>3.2963950799999996E-2</v>
      </c>
      <c r="O782" s="66"/>
      <c r="Q782" s="66">
        <f t="shared" si="50"/>
        <v>4.06971125E-2</v>
      </c>
    </row>
    <row r="783" spans="1:17">
      <c r="A783" s="145" t="s">
        <v>626</v>
      </c>
      <c r="B783" s="146" t="s">
        <v>1681</v>
      </c>
      <c r="C783" s="146" t="s">
        <v>2005</v>
      </c>
      <c r="D783" s="145" t="s">
        <v>2006</v>
      </c>
      <c r="E783" s="146" t="s">
        <v>87</v>
      </c>
      <c r="F783" s="145" t="s">
        <v>1603</v>
      </c>
      <c r="G783" s="146" t="s">
        <v>20</v>
      </c>
      <c r="H783" s="146">
        <v>201606</v>
      </c>
      <c r="I783" s="147">
        <v>761.88</v>
      </c>
      <c r="J783" s="297">
        <f t="shared" si="51"/>
        <v>42675</v>
      </c>
      <c r="K783" s="67">
        <f t="shared" si="49"/>
        <v>6</v>
      </c>
      <c r="L783" s="148">
        <v>1.4833299999999999E-3</v>
      </c>
      <c r="M783" s="104">
        <f t="shared" si="48"/>
        <v>6.7807167624</v>
      </c>
      <c r="O783" s="66"/>
      <c r="Q783" s="66">
        <f t="shared" si="50"/>
        <v>12.604193525000001</v>
      </c>
    </row>
    <row r="784" spans="1:17">
      <c r="A784" s="145" t="s">
        <v>626</v>
      </c>
      <c r="B784" s="146" t="s">
        <v>1681</v>
      </c>
      <c r="C784" s="146" t="s">
        <v>1853</v>
      </c>
      <c r="D784" s="145" t="s">
        <v>1854</v>
      </c>
      <c r="E784" s="146" t="s">
        <v>260</v>
      </c>
      <c r="F784" s="145" t="s">
        <v>1608</v>
      </c>
      <c r="G784" s="146" t="s">
        <v>20</v>
      </c>
      <c r="H784" s="146">
        <v>201606</v>
      </c>
      <c r="I784" s="147">
        <v>285.36</v>
      </c>
      <c r="J784" s="297">
        <f t="shared" si="51"/>
        <v>42675</v>
      </c>
      <c r="K784" s="67">
        <f t="shared" si="49"/>
        <v>6</v>
      </c>
      <c r="L784" s="148">
        <v>1.4833299999999999E-3</v>
      </c>
      <c r="M784" s="104">
        <f t="shared" si="48"/>
        <v>2.5396982928000003</v>
      </c>
      <c r="O784" s="66"/>
      <c r="Q784" s="66">
        <f t="shared" si="50"/>
        <v>4.7208650500000005</v>
      </c>
    </row>
    <row r="785" spans="1:17">
      <c r="A785" s="145" t="s">
        <v>626</v>
      </c>
      <c r="B785" s="146" t="s">
        <v>1681</v>
      </c>
      <c r="C785" s="146" t="s">
        <v>2065</v>
      </c>
      <c r="D785" s="145" t="s">
        <v>2066</v>
      </c>
      <c r="E785" s="146" t="s">
        <v>209</v>
      </c>
      <c r="F785" s="145" t="s">
        <v>1612</v>
      </c>
      <c r="G785" s="146" t="s">
        <v>20</v>
      </c>
      <c r="H785" s="146">
        <v>201606</v>
      </c>
      <c r="I785" s="147">
        <v>398.43</v>
      </c>
      <c r="J785" s="297">
        <f t="shared" si="51"/>
        <v>42675</v>
      </c>
      <c r="K785" s="67">
        <f t="shared" si="49"/>
        <v>6</v>
      </c>
      <c r="L785" s="148">
        <v>1.4833299999999999E-3</v>
      </c>
      <c r="M785" s="104">
        <f t="shared" si="48"/>
        <v>3.5460190314000002</v>
      </c>
      <c r="O785" s="66"/>
      <c r="Q785" s="66">
        <f t="shared" si="50"/>
        <v>6.5914433062500004</v>
      </c>
    </row>
    <row r="786" spans="1:17">
      <c r="A786" s="145" t="s">
        <v>626</v>
      </c>
      <c r="B786" s="146" t="s">
        <v>1681</v>
      </c>
      <c r="C786" s="146" t="s">
        <v>2067</v>
      </c>
      <c r="D786" s="145" t="s">
        <v>2068</v>
      </c>
      <c r="E786" s="146" t="s">
        <v>93</v>
      </c>
      <c r="F786" s="145" t="s">
        <v>1601</v>
      </c>
      <c r="G786" s="146" t="s">
        <v>20</v>
      </c>
      <c r="H786" s="146">
        <v>201606</v>
      </c>
      <c r="I786" s="147">
        <v>8.48</v>
      </c>
      <c r="J786" s="297">
        <f t="shared" si="51"/>
        <v>42675</v>
      </c>
      <c r="K786" s="67">
        <f t="shared" si="49"/>
        <v>6</v>
      </c>
      <c r="L786" s="148">
        <v>1.4833299999999999E-3</v>
      </c>
      <c r="M786" s="104">
        <f t="shared" si="48"/>
        <v>7.5471830400000009E-2</v>
      </c>
      <c r="O786" s="66"/>
      <c r="Q786" s="66">
        <f t="shared" si="50"/>
        <v>0.14028923333333335</v>
      </c>
    </row>
    <row r="787" spans="1:17">
      <c r="A787" s="145" t="s">
        <v>626</v>
      </c>
      <c r="B787" s="146" t="s">
        <v>1681</v>
      </c>
      <c r="C787" s="146" t="s">
        <v>2007</v>
      </c>
      <c r="D787" s="145" t="s">
        <v>2008</v>
      </c>
      <c r="E787" s="146" t="s">
        <v>260</v>
      </c>
      <c r="F787" s="145" t="s">
        <v>1608</v>
      </c>
      <c r="G787" s="146" t="s">
        <v>20</v>
      </c>
      <c r="H787" s="146">
        <v>201606</v>
      </c>
      <c r="I787" s="147">
        <v>2603.39</v>
      </c>
      <c r="J787" s="297">
        <f t="shared" si="51"/>
        <v>42675</v>
      </c>
      <c r="K787" s="67">
        <f t="shared" si="49"/>
        <v>6</v>
      </c>
      <c r="L787" s="148">
        <v>1.4833299999999999E-3</v>
      </c>
      <c r="M787" s="104">
        <f t="shared" si="48"/>
        <v>23.170118932199998</v>
      </c>
      <c r="O787" s="66"/>
      <c r="Q787" s="66">
        <f t="shared" si="50"/>
        <v>43.069290939583333</v>
      </c>
    </row>
    <row r="788" spans="1:17">
      <c r="A788" s="145" t="s">
        <v>14</v>
      </c>
      <c r="B788" s="146" t="s">
        <v>1681</v>
      </c>
      <c r="C788" s="146" t="s">
        <v>2009</v>
      </c>
      <c r="D788" s="145" t="s">
        <v>2010</v>
      </c>
      <c r="E788" s="146" t="s">
        <v>260</v>
      </c>
      <c r="F788" s="145" t="s">
        <v>1608</v>
      </c>
      <c r="G788" s="146" t="s">
        <v>20</v>
      </c>
      <c r="H788" s="146">
        <v>201606</v>
      </c>
      <c r="I788" s="147">
        <v>322.5</v>
      </c>
      <c r="J788" s="297">
        <f t="shared" si="51"/>
        <v>42675</v>
      </c>
      <c r="K788" s="67">
        <f t="shared" si="49"/>
        <v>6</v>
      </c>
      <c r="L788" s="148">
        <v>2.23333E-3</v>
      </c>
      <c r="M788" s="104">
        <f t="shared" si="48"/>
        <v>4.3214935499999996</v>
      </c>
      <c r="O788" s="66"/>
      <c r="Q788" s="66">
        <f t="shared" si="50"/>
        <v>5.3352921875000003</v>
      </c>
    </row>
    <row r="789" spans="1:17">
      <c r="A789" s="145" t="s">
        <v>626</v>
      </c>
      <c r="B789" s="146" t="s">
        <v>1681</v>
      </c>
      <c r="C789" s="146" t="s">
        <v>2009</v>
      </c>
      <c r="D789" s="145" t="s">
        <v>2010</v>
      </c>
      <c r="E789" s="146" t="s">
        <v>260</v>
      </c>
      <c r="F789" s="145" t="s">
        <v>1608</v>
      </c>
      <c r="G789" s="146" t="s">
        <v>20</v>
      </c>
      <c r="H789" s="146">
        <v>201606</v>
      </c>
      <c r="I789" s="147">
        <v>17096.7</v>
      </c>
      <c r="J789" s="297">
        <f t="shared" si="51"/>
        <v>42675</v>
      </c>
      <c r="K789" s="67">
        <f t="shared" si="49"/>
        <v>6</v>
      </c>
      <c r="L789" s="148">
        <v>1.4833299999999999E-3</v>
      </c>
      <c r="M789" s="104">
        <f t="shared" si="48"/>
        <v>152.16028806600002</v>
      </c>
      <c r="O789" s="66"/>
      <c r="Q789" s="66">
        <f t="shared" si="50"/>
        <v>282.83996881249999</v>
      </c>
    </row>
    <row r="790" spans="1:17">
      <c r="A790" s="145" t="s">
        <v>14</v>
      </c>
      <c r="B790" s="146" t="s">
        <v>1681</v>
      </c>
      <c r="C790" s="146" t="s">
        <v>2011</v>
      </c>
      <c r="D790" s="145" t="s">
        <v>2012</v>
      </c>
      <c r="E790" s="146" t="s">
        <v>260</v>
      </c>
      <c r="F790" s="145" t="s">
        <v>1608</v>
      </c>
      <c r="G790" s="146" t="s">
        <v>20</v>
      </c>
      <c r="H790" s="146">
        <v>201606</v>
      </c>
      <c r="I790" s="147">
        <v>723.54</v>
      </c>
      <c r="J790" s="297">
        <f t="shared" si="51"/>
        <v>42675</v>
      </c>
      <c r="K790" s="67">
        <f t="shared" si="49"/>
        <v>6</v>
      </c>
      <c r="L790" s="148">
        <v>2.23333E-3</v>
      </c>
      <c r="M790" s="104">
        <f t="shared" si="48"/>
        <v>9.695421529199999</v>
      </c>
      <c r="O790" s="66"/>
      <c r="Q790" s="66">
        <f t="shared" si="50"/>
        <v>11.9699141375</v>
      </c>
    </row>
    <row r="791" spans="1:17">
      <c r="A791" s="145" t="s">
        <v>626</v>
      </c>
      <c r="B791" s="146" t="s">
        <v>1681</v>
      </c>
      <c r="C791" s="146" t="s">
        <v>2011</v>
      </c>
      <c r="D791" s="145" t="s">
        <v>2012</v>
      </c>
      <c r="E791" s="146" t="s">
        <v>260</v>
      </c>
      <c r="F791" s="145" t="s">
        <v>1608</v>
      </c>
      <c r="G791" s="146" t="s">
        <v>20</v>
      </c>
      <c r="H791" s="146">
        <v>201606</v>
      </c>
      <c r="I791" s="147">
        <v>32355.05</v>
      </c>
      <c r="J791" s="297">
        <f t="shared" si="51"/>
        <v>42675</v>
      </c>
      <c r="K791" s="67">
        <f t="shared" si="49"/>
        <v>6</v>
      </c>
      <c r="L791" s="148">
        <v>1.4833299999999999E-3</v>
      </c>
      <c r="M791" s="104">
        <f t="shared" si="48"/>
        <v>287.95929789899998</v>
      </c>
      <c r="O791" s="66"/>
      <c r="Q791" s="66">
        <f t="shared" si="50"/>
        <v>535.26711780208325</v>
      </c>
    </row>
    <row r="792" spans="1:17">
      <c r="A792" s="145" t="s">
        <v>14</v>
      </c>
      <c r="B792" s="146" t="s">
        <v>1681</v>
      </c>
      <c r="C792" s="146" t="s">
        <v>2069</v>
      </c>
      <c r="D792" s="145" t="s">
        <v>2070</v>
      </c>
      <c r="E792" s="146" t="s">
        <v>164</v>
      </c>
      <c r="F792" s="145" t="s">
        <v>1600</v>
      </c>
      <c r="G792" s="146" t="s">
        <v>20</v>
      </c>
      <c r="H792" s="146">
        <v>201606</v>
      </c>
      <c r="I792" s="147">
        <v>590.48</v>
      </c>
      <c r="J792" s="297">
        <f t="shared" si="51"/>
        <v>42675</v>
      </c>
      <c r="K792" s="67">
        <f t="shared" si="49"/>
        <v>6</v>
      </c>
      <c r="L792" s="148">
        <v>2.23333E-3</v>
      </c>
      <c r="M792" s="104">
        <f t="shared" si="48"/>
        <v>7.9124201903999998</v>
      </c>
      <c r="O792" s="66"/>
      <c r="Q792" s="66">
        <f t="shared" si="50"/>
        <v>9.7686304833333324</v>
      </c>
    </row>
    <row r="793" spans="1:17">
      <c r="A793" s="145" t="s">
        <v>626</v>
      </c>
      <c r="B793" s="146" t="s">
        <v>1681</v>
      </c>
      <c r="C793" s="146" t="s">
        <v>2069</v>
      </c>
      <c r="D793" s="145" t="s">
        <v>2070</v>
      </c>
      <c r="E793" s="146" t="s">
        <v>164</v>
      </c>
      <c r="F793" s="145" t="s">
        <v>1600</v>
      </c>
      <c r="G793" s="146" t="s">
        <v>20</v>
      </c>
      <c r="H793" s="146">
        <v>201606</v>
      </c>
      <c r="I793" s="147">
        <v>2767.37</v>
      </c>
      <c r="J793" s="297">
        <f t="shared" si="51"/>
        <v>42675</v>
      </c>
      <c r="K793" s="67">
        <f t="shared" si="49"/>
        <v>6</v>
      </c>
      <c r="L793" s="148">
        <v>1.4833299999999999E-3</v>
      </c>
      <c r="M793" s="104">
        <f t="shared" si="48"/>
        <v>24.6295376526</v>
      </c>
      <c r="O793" s="66"/>
      <c r="Q793" s="66">
        <f t="shared" si="50"/>
        <v>45.782100902083329</v>
      </c>
    </row>
    <row r="794" spans="1:17">
      <c r="A794" s="145" t="s">
        <v>626</v>
      </c>
      <c r="B794" s="146" t="s">
        <v>1681</v>
      </c>
      <c r="C794" s="146" t="s">
        <v>2071</v>
      </c>
      <c r="D794" s="145" t="s">
        <v>2072</v>
      </c>
      <c r="E794" s="146" t="s">
        <v>260</v>
      </c>
      <c r="F794" s="145" t="s">
        <v>1608</v>
      </c>
      <c r="G794" s="146" t="s">
        <v>20</v>
      </c>
      <c r="H794" s="146">
        <v>201606</v>
      </c>
      <c r="I794" s="147">
        <v>40886.730000000003</v>
      </c>
      <c r="J794" s="297">
        <f t="shared" si="51"/>
        <v>42675</v>
      </c>
      <c r="K794" s="67">
        <f t="shared" si="49"/>
        <v>6</v>
      </c>
      <c r="L794" s="148">
        <v>1.4833299999999999E-3</v>
      </c>
      <c r="M794" s="104">
        <f t="shared" si="48"/>
        <v>363.89107926540004</v>
      </c>
      <c r="O794" s="66"/>
      <c r="Q794" s="66">
        <f t="shared" si="50"/>
        <v>676.41132136875001</v>
      </c>
    </row>
    <row r="795" spans="1:17">
      <c r="A795" s="145" t="s">
        <v>626</v>
      </c>
      <c r="B795" s="146" t="s">
        <v>1681</v>
      </c>
      <c r="C795" s="146" t="s">
        <v>2073</v>
      </c>
      <c r="D795" s="145" t="s">
        <v>2074</v>
      </c>
      <c r="E795" s="146" t="s">
        <v>164</v>
      </c>
      <c r="F795" s="145" t="s">
        <v>1600</v>
      </c>
      <c r="G795" s="146" t="s">
        <v>20</v>
      </c>
      <c r="H795" s="146">
        <v>201606</v>
      </c>
      <c r="I795" s="147">
        <v>35449.5</v>
      </c>
      <c r="J795" s="297">
        <f t="shared" si="51"/>
        <v>42675</v>
      </c>
      <c r="K795" s="67">
        <f t="shared" si="49"/>
        <v>6</v>
      </c>
      <c r="L795" s="148">
        <v>1.4833299999999999E-3</v>
      </c>
      <c r="M795" s="104">
        <f t="shared" si="48"/>
        <v>315.49984101000001</v>
      </c>
      <c r="O795" s="66"/>
      <c r="Q795" s="66">
        <f t="shared" si="50"/>
        <v>586.4602803125</v>
      </c>
    </row>
    <row r="796" spans="1:17">
      <c r="A796" s="145" t="s">
        <v>21</v>
      </c>
      <c r="B796" s="146" t="s">
        <v>1681</v>
      </c>
      <c r="C796" s="146" t="s">
        <v>2075</v>
      </c>
      <c r="D796" s="145" t="s">
        <v>2076</v>
      </c>
      <c r="E796" s="146" t="s">
        <v>75</v>
      </c>
      <c r="F796" s="145" t="s">
        <v>1602</v>
      </c>
      <c r="G796" s="146" t="s">
        <v>20</v>
      </c>
      <c r="H796" s="146">
        <v>201606</v>
      </c>
      <c r="I796" s="147">
        <v>1609.6</v>
      </c>
      <c r="J796" s="297">
        <f t="shared" si="51"/>
        <v>42675</v>
      </c>
      <c r="K796" s="67">
        <f t="shared" si="49"/>
        <v>6</v>
      </c>
      <c r="L796" s="148">
        <v>1.4833299999999999E-3</v>
      </c>
      <c r="M796" s="104">
        <f t="shared" si="48"/>
        <v>14.325407808</v>
      </c>
      <c r="O796" s="66"/>
      <c r="Q796" s="66">
        <f t="shared" si="50"/>
        <v>26.628484666666665</v>
      </c>
    </row>
    <row r="797" spans="1:17">
      <c r="A797" s="145" t="s">
        <v>14</v>
      </c>
      <c r="B797" s="146" t="s">
        <v>1681</v>
      </c>
      <c r="C797" s="146" t="s">
        <v>2013</v>
      </c>
      <c r="D797" s="145" t="s">
        <v>2014</v>
      </c>
      <c r="E797" s="146" t="s">
        <v>164</v>
      </c>
      <c r="F797" s="145" t="s">
        <v>1600</v>
      </c>
      <c r="G797" s="146" t="s">
        <v>20</v>
      </c>
      <c r="H797" s="146">
        <v>201606</v>
      </c>
      <c r="I797" s="147">
        <v>88.81</v>
      </c>
      <c r="J797" s="297">
        <f t="shared" si="51"/>
        <v>42675</v>
      </c>
      <c r="K797" s="67">
        <f t="shared" si="49"/>
        <v>6</v>
      </c>
      <c r="L797" s="148">
        <v>2.23333E-3</v>
      </c>
      <c r="M797" s="104">
        <f t="shared" si="48"/>
        <v>1.1900522238</v>
      </c>
      <c r="O797" s="66"/>
      <c r="Q797" s="66">
        <f t="shared" si="50"/>
        <v>1.4692319354166667</v>
      </c>
    </row>
    <row r="798" spans="1:17">
      <c r="A798" s="145" t="s">
        <v>626</v>
      </c>
      <c r="B798" s="146" t="s">
        <v>1681</v>
      </c>
      <c r="C798" s="146" t="s">
        <v>2013</v>
      </c>
      <c r="D798" s="145" t="s">
        <v>2014</v>
      </c>
      <c r="E798" s="146" t="s">
        <v>164</v>
      </c>
      <c r="F798" s="145" t="s">
        <v>1600</v>
      </c>
      <c r="G798" s="146" t="s">
        <v>20</v>
      </c>
      <c r="H798" s="146">
        <v>201606</v>
      </c>
      <c r="I798" s="147">
        <v>339.72</v>
      </c>
      <c r="J798" s="297">
        <f t="shared" si="51"/>
        <v>42675</v>
      </c>
      <c r="K798" s="67">
        <f t="shared" si="49"/>
        <v>6</v>
      </c>
      <c r="L798" s="148">
        <v>1.4833299999999999E-3</v>
      </c>
      <c r="M798" s="104">
        <f t="shared" si="48"/>
        <v>3.0235012056000001</v>
      </c>
      <c r="O798" s="66"/>
      <c r="Q798" s="66">
        <f t="shared" si="50"/>
        <v>5.6201719749999999</v>
      </c>
    </row>
    <row r="799" spans="1:17">
      <c r="A799" s="145" t="s">
        <v>14</v>
      </c>
      <c r="B799" s="146" t="s">
        <v>1681</v>
      </c>
      <c r="C799" s="146" t="s">
        <v>2015</v>
      </c>
      <c r="D799" s="145" t="s">
        <v>2016</v>
      </c>
      <c r="E799" s="146" t="s">
        <v>164</v>
      </c>
      <c r="F799" s="145" t="s">
        <v>1600</v>
      </c>
      <c r="G799" s="146" t="s">
        <v>20</v>
      </c>
      <c r="H799" s="146">
        <v>201606</v>
      </c>
      <c r="I799" s="147">
        <v>35.42</v>
      </c>
      <c r="J799" s="297">
        <f t="shared" si="51"/>
        <v>42675</v>
      </c>
      <c r="K799" s="67">
        <f t="shared" si="49"/>
        <v>6</v>
      </c>
      <c r="L799" s="148">
        <v>2.23333E-3</v>
      </c>
      <c r="M799" s="104">
        <f t="shared" si="48"/>
        <v>0.4746272916</v>
      </c>
      <c r="O799" s="66"/>
      <c r="Q799" s="66">
        <f t="shared" si="50"/>
        <v>0.58597224583333329</v>
      </c>
    </row>
    <row r="800" spans="1:17">
      <c r="A800" s="145" t="s">
        <v>626</v>
      </c>
      <c r="B800" s="146" t="s">
        <v>1681</v>
      </c>
      <c r="C800" s="146" t="s">
        <v>2015</v>
      </c>
      <c r="D800" s="145" t="s">
        <v>2016</v>
      </c>
      <c r="E800" s="146" t="s">
        <v>164</v>
      </c>
      <c r="F800" s="145" t="s">
        <v>1600</v>
      </c>
      <c r="G800" s="146" t="s">
        <v>20</v>
      </c>
      <c r="H800" s="146">
        <v>201606</v>
      </c>
      <c r="I800" s="147">
        <v>394.59</v>
      </c>
      <c r="J800" s="297">
        <f t="shared" si="51"/>
        <v>42675</v>
      </c>
      <c r="K800" s="67">
        <f t="shared" si="49"/>
        <v>6</v>
      </c>
      <c r="L800" s="148">
        <v>1.4833299999999999E-3</v>
      </c>
      <c r="M800" s="104">
        <f t="shared" si="48"/>
        <v>3.5118431081999999</v>
      </c>
      <c r="O800" s="66"/>
      <c r="Q800" s="66">
        <f t="shared" si="50"/>
        <v>6.5279161062499993</v>
      </c>
    </row>
    <row r="801" spans="1:17">
      <c r="A801" s="145" t="s">
        <v>626</v>
      </c>
      <c r="B801" s="146" t="s">
        <v>1681</v>
      </c>
      <c r="C801" s="146" t="s">
        <v>2077</v>
      </c>
      <c r="D801" s="145" t="s">
        <v>2078</v>
      </c>
      <c r="E801" s="146" t="s">
        <v>260</v>
      </c>
      <c r="F801" s="145" t="s">
        <v>1608</v>
      </c>
      <c r="G801" s="146" t="s">
        <v>20</v>
      </c>
      <c r="H801" s="146">
        <v>201606</v>
      </c>
      <c r="I801" s="147">
        <v>218130.17</v>
      </c>
      <c r="J801" s="297">
        <f t="shared" si="51"/>
        <v>42675</v>
      </c>
      <c r="K801" s="67">
        <f t="shared" si="49"/>
        <v>6</v>
      </c>
      <c r="L801" s="148">
        <v>1.4833299999999999E-3</v>
      </c>
      <c r="M801" s="104">
        <f t="shared" si="48"/>
        <v>1941.3541503966001</v>
      </c>
      <c r="O801" s="66"/>
      <c r="Q801" s="66">
        <f t="shared" si="50"/>
        <v>3608.6455561520834</v>
      </c>
    </row>
    <row r="802" spans="1:17">
      <c r="A802" s="145" t="s">
        <v>626</v>
      </c>
      <c r="B802" s="146" t="s">
        <v>1681</v>
      </c>
      <c r="C802" s="146" t="s">
        <v>2079</v>
      </c>
      <c r="D802" s="145" t="s">
        <v>2080</v>
      </c>
      <c r="E802" s="146" t="s">
        <v>75</v>
      </c>
      <c r="F802" s="145" t="s">
        <v>1602</v>
      </c>
      <c r="G802" s="146" t="s">
        <v>20</v>
      </c>
      <c r="H802" s="146">
        <v>201606</v>
      </c>
      <c r="I802" s="147">
        <v>2755.65</v>
      </c>
      <c r="J802" s="297">
        <f t="shared" si="51"/>
        <v>42675</v>
      </c>
      <c r="K802" s="67">
        <f t="shared" si="49"/>
        <v>6</v>
      </c>
      <c r="L802" s="148">
        <v>1.4833299999999999E-3</v>
      </c>
      <c r="M802" s="104">
        <f t="shared" si="48"/>
        <v>24.525229887000002</v>
      </c>
      <c r="O802" s="66"/>
      <c r="Q802" s="66">
        <f t="shared" si="50"/>
        <v>45.588210593750006</v>
      </c>
    </row>
    <row r="803" spans="1:17">
      <c r="A803" s="145" t="s">
        <v>21</v>
      </c>
      <c r="B803" s="146" t="s">
        <v>1681</v>
      </c>
      <c r="C803" s="146" t="s">
        <v>2017</v>
      </c>
      <c r="D803" s="145" t="s">
        <v>2018</v>
      </c>
      <c r="E803" s="146" t="s">
        <v>87</v>
      </c>
      <c r="F803" s="145" t="s">
        <v>1603</v>
      </c>
      <c r="G803" s="146" t="s">
        <v>20</v>
      </c>
      <c r="H803" s="146">
        <v>201606</v>
      </c>
      <c r="I803" s="147">
        <v>63.07</v>
      </c>
      <c r="J803" s="297">
        <f t="shared" si="51"/>
        <v>42675</v>
      </c>
      <c r="K803" s="67">
        <f t="shared" si="49"/>
        <v>6</v>
      </c>
      <c r="L803" s="148">
        <v>1.4833299999999999E-3</v>
      </c>
      <c r="M803" s="104">
        <f t="shared" si="48"/>
        <v>0.56132173860000001</v>
      </c>
      <c r="O803" s="66"/>
      <c r="Q803" s="66">
        <f t="shared" si="50"/>
        <v>1.0434011729166668</v>
      </c>
    </row>
    <row r="804" spans="1:17">
      <c r="A804" s="145" t="s">
        <v>626</v>
      </c>
      <c r="B804" s="146" t="s">
        <v>1681</v>
      </c>
      <c r="C804" s="146" t="s">
        <v>2081</v>
      </c>
      <c r="D804" s="145" t="s">
        <v>2082</v>
      </c>
      <c r="E804" s="146" t="s">
        <v>75</v>
      </c>
      <c r="F804" s="145" t="s">
        <v>1602</v>
      </c>
      <c r="G804" s="146" t="s">
        <v>20</v>
      </c>
      <c r="H804" s="146">
        <v>201606</v>
      </c>
      <c r="I804" s="147">
        <v>58204.84</v>
      </c>
      <c r="J804" s="297">
        <f t="shared" si="51"/>
        <v>42675</v>
      </c>
      <c r="K804" s="67">
        <f t="shared" si="49"/>
        <v>6</v>
      </c>
      <c r="L804" s="148">
        <v>1.4833299999999999E-3</v>
      </c>
      <c r="M804" s="104">
        <f t="shared" si="48"/>
        <v>518.02191190320002</v>
      </c>
      <c r="O804" s="66"/>
      <c r="Q804" s="66">
        <f t="shared" si="50"/>
        <v>962.91419574166673</v>
      </c>
    </row>
    <row r="805" spans="1:17">
      <c r="A805" s="145" t="s">
        <v>626</v>
      </c>
      <c r="B805" s="146" t="s">
        <v>1681</v>
      </c>
      <c r="C805" s="146" t="s">
        <v>2083</v>
      </c>
      <c r="D805" s="145" t="s">
        <v>2084</v>
      </c>
      <c r="E805" s="146" t="s">
        <v>75</v>
      </c>
      <c r="F805" s="145" t="s">
        <v>1602</v>
      </c>
      <c r="G805" s="146" t="s">
        <v>20</v>
      </c>
      <c r="H805" s="146">
        <v>201606</v>
      </c>
      <c r="I805" s="147">
        <v>975.39</v>
      </c>
      <c r="J805" s="297">
        <f t="shared" si="51"/>
        <v>42675</v>
      </c>
      <c r="K805" s="67">
        <f t="shared" si="49"/>
        <v>6</v>
      </c>
      <c r="L805" s="148">
        <v>1.4833299999999999E-3</v>
      </c>
      <c r="M805" s="104">
        <f t="shared" si="48"/>
        <v>8.6809514922000002</v>
      </c>
      <c r="O805" s="66"/>
      <c r="Q805" s="66">
        <f t="shared" si="50"/>
        <v>16.136405106250002</v>
      </c>
    </row>
    <row r="806" spans="1:17">
      <c r="A806" s="145" t="s">
        <v>626</v>
      </c>
      <c r="B806" s="146" t="s">
        <v>1681</v>
      </c>
      <c r="C806" s="146" t="s">
        <v>2085</v>
      </c>
      <c r="D806" s="145" t="s">
        <v>2086</v>
      </c>
      <c r="E806" s="146" t="s">
        <v>164</v>
      </c>
      <c r="F806" s="145" t="s">
        <v>1600</v>
      </c>
      <c r="G806" s="146" t="s">
        <v>20</v>
      </c>
      <c r="H806" s="146">
        <v>201606</v>
      </c>
      <c r="I806" s="147">
        <v>65181.47</v>
      </c>
      <c r="J806" s="297">
        <f t="shared" si="51"/>
        <v>42675</v>
      </c>
      <c r="K806" s="67">
        <f t="shared" si="49"/>
        <v>6</v>
      </c>
      <c r="L806" s="148">
        <v>1.4833299999999999E-3</v>
      </c>
      <c r="M806" s="104">
        <f t="shared" si="48"/>
        <v>580.11377937060001</v>
      </c>
      <c r="O806" s="66"/>
      <c r="Q806" s="66">
        <f t="shared" si="50"/>
        <v>1078.3323648395833</v>
      </c>
    </row>
    <row r="807" spans="1:17">
      <c r="A807" s="145" t="s">
        <v>14</v>
      </c>
      <c r="B807" s="146" t="s">
        <v>1681</v>
      </c>
      <c r="C807" s="146" t="s">
        <v>2087</v>
      </c>
      <c r="D807" s="145" t="s">
        <v>2088</v>
      </c>
      <c r="E807" s="146" t="s">
        <v>164</v>
      </c>
      <c r="F807" s="145" t="s">
        <v>1600</v>
      </c>
      <c r="G807" s="146" t="s">
        <v>20</v>
      </c>
      <c r="H807" s="146">
        <v>201606</v>
      </c>
      <c r="I807" s="147">
        <v>4842.38</v>
      </c>
      <c r="J807" s="297">
        <f t="shared" si="51"/>
        <v>42675</v>
      </c>
      <c r="K807" s="67">
        <f t="shared" si="49"/>
        <v>6</v>
      </c>
      <c r="L807" s="148">
        <v>2.23333E-3</v>
      </c>
      <c r="M807" s="104">
        <f t="shared" si="48"/>
        <v>64.887795152400003</v>
      </c>
      <c r="O807" s="66"/>
      <c r="Q807" s="66">
        <f t="shared" si="50"/>
        <v>80.110115295833339</v>
      </c>
    </row>
    <row r="808" spans="1:17">
      <c r="A808" s="145" t="s">
        <v>626</v>
      </c>
      <c r="B808" s="146" t="s">
        <v>1681</v>
      </c>
      <c r="C808" s="146" t="s">
        <v>2087</v>
      </c>
      <c r="D808" s="145" t="s">
        <v>2088</v>
      </c>
      <c r="E808" s="146" t="s">
        <v>164</v>
      </c>
      <c r="F808" s="145" t="s">
        <v>1600</v>
      </c>
      <c r="G808" s="146" t="s">
        <v>20</v>
      </c>
      <c r="H808" s="146">
        <v>201606</v>
      </c>
      <c r="I808" s="147">
        <v>64093.32</v>
      </c>
      <c r="J808" s="297">
        <f t="shared" si="51"/>
        <v>42675</v>
      </c>
      <c r="K808" s="67">
        <f t="shared" si="49"/>
        <v>6</v>
      </c>
      <c r="L808" s="148">
        <v>1.4833299999999999E-3</v>
      </c>
      <c r="M808" s="104">
        <f t="shared" si="48"/>
        <v>570.42926613359998</v>
      </c>
      <c r="O808" s="66"/>
      <c r="Q808" s="66">
        <f t="shared" si="50"/>
        <v>1060.330509975</v>
      </c>
    </row>
    <row r="809" spans="1:17">
      <c r="A809" s="145" t="s">
        <v>626</v>
      </c>
      <c r="B809" s="146" t="s">
        <v>1681</v>
      </c>
      <c r="C809" s="146" t="s">
        <v>2089</v>
      </c>
      <c r="D809" s="145" t="s">
        <v>2090</v>
      </c>
      <c r="E809" s="146" t="s">
        <v>164</v>
      </c>
      <c r="F809" s="145" t="s">
        <v>1600</v>
      </c>
      <c r="G809" s="146" t="s">
        <v>20</v>
      </c>
      <c r="H809" s="146">
        <v>201606</v>
      </c>
      <c r="I809" s="147">
        <v>9704.4500000000007</v>
      </c>
      <c r="J809" s="297">
        <f t="shared" si="51"/>
        <v>42675</v>
      </c>
      <c r="K809" s="67">
        <f t="shared" si="49"/>
        <v>6</v>
      </c>
      <c r="L809" s="148">
        <v>1.4833299999999999E-3</v>
      </c>
      <c r="M809" s="104">
        <f t="shared" si="48"/>
        <v>86.369410911000003</v>
      </c>
      <c r="O809" s="66"/>
      <c r="Q809" s="66">
        <f t="shared" si="50"/>
        <v>160.54597292708334</v>
      </c>
    </row>
    <row r="810" spans="1:17">
      <c r="A810" s="145" t="s">
        <v>14</v>
      </c>
      <c r="B810" s="146" t="s">
        <v>1681</v>
      </c>
      <c r="C810" s="146" t="s">
        <v>2091</v>
      </c>
      <c r="D810" s="145" t="s">
        <v>2092</v>
      </c>
      <c r="E810" s="146" t="s">
        <v>93</v>
      </c>
      <c r="F810" s="145" t="s">
        <v>1601</v>
      </c>
      <c r="G810" s="146" t="s">
        <v>20</v>
      </c>
      <c r="H810" s="146">
        <v>201606</v>
      </c>
      <c r="I810" s="147">
        <v>64.14</v>
      </c>
      <c r="J810" s="297">
        <f t="shared" si="51"/>
        <v>42675</v>
      </c>
      <c r="K810" s="67">
        <f t="shared" si="49"/>
        <v>6</v>
      </c>
      <c r="L810" s="148">
        <v>2.23333E-3</v>
      </c>
      <c r="M810" s="104">
        <f t="shared" si="48"/>
        <v>0.8594747171999999</v>
      </c>
      <c r="O810" s="66"/>
      <c r="Q810" s="66">
        <f t="shared" si="50"/>
        <v>1.0611027625</v>
      </c>
    </row>
    <row r="811" spans="1:17">
      <c r="A811" s="145" t="s">
        <v>626</v>
      </c>
      <c r="B811" s="146" t="s">
        <v>1681</v>
      </c>
      <c r="C811" s="146" t="s">
        <v>2093</v>
      </c>
      <c r="D811" s="145" t="s">
        <v>2094</v>
      </c>
      <c r="E811" s="146" t="s">
        <v>209</v>
      </c>
      <c r="F811" s="145" t="s">
        <v>1612</v>
      </c>
      <c r="G811" s="146" t="s">
        <v>20</v>
      </c>
      <c r="H811" s="146">
        <v>201606</v>
      </c>
      <c r="I811" s="147">
        <v>665.26</v>
      </c>
      <c r="J811" s="297">
        <f t="shared" si="51"/>
        <v>42675</v>
      </c>
      <c r="K811" s="67">
        <f t="shared" si="49"/>
        <v>6</v>
      </c>
      <c r="L811" s="148">
        <v>1.4833299999999999E-3</v>
      </c>
      <c r="M811" s="104">
        <f t="shared" si="48"/>
        <v>5.9208006947999996</v>
      </c>
      <c r="O811" s="66"/>
      <c r="Q811" s="66">
        <f t="shared" si="50"/>
        <v>11.005756529166666</v>
      </c>
    </row>
    <row r="812" spans="1:17">
      <c r="A812" s="145" t="s">
        <v>626</v>
      </c>
      <c r="B812" s="146" t="s">
        <v>1681</v>
      </c>
      <c r="C812" s="146" t="s">
        <v>2095</v>
      </c>
      <c r="D812" s="145" t="s">
        <v>2096</v>
      </c>
      <c r="E812" s="146" t="s">
        <v>164</v>
      </c>
      <c r="F812" s="145" t="s">
        <v>1600</v>
      </c>
      <c r="G812" s="146" t="s">
        <v>20</v>
      </c>
      <c r="H812" s="146">
        <v>201606</v>
      </c>
      <c r="I812" s="147">
        <v>16782.54</v>
      </c>
      <c r="J812" s="297">
        <f t="shared" si="51"/>
        <v>42675</v>
      </c>
      <c r="K812" s="67">
        <f t="shared" si="49"/>
        <v>6</v>
      </c>
      <c r="L812" s="148">
        <v>1.4833299999999999E-3</v>
      </c>
      <c r="M812" s="104">
        <f t="shared" si="48"/>
        <v>149.36427034920001</v>
      </c>
      <c r="O812" s="66"/>
      <c r="Q812" s="66">
        <f t="shared" si="50"/>
        <v>277.64264976250001</v>
      </c>
    </row>
    <row r="813" spans="1:17">
      <c r="A813" s="145" t="s">
        <v>14</v>
      </c>
      <c r="B813" s="146" t="s">
        <v>1681</v>
      </c>
      <c r="C813" s="146" t="s">
        <v>2097</v>
      </c>
      <c r="D813" s="145" t="s">
        <v>2098</v>
      </c>
      <c r="E813" s="146" t="s">
        <v>260</v>
      </c>
      <c r="F813" s="145" t="s">
        <v>1608</v>
      </c>
      <c r="G813" s="146" t="s">
        <v>20</v>
      </c>
      <c r="H813" s="146">
        <v>201606</v>
      </c>
      <c r="I813" s="147">
        <v>5196.82</v>
      </c>
      <c r="J813" s="297">
        <f t="shared" si="51"/>
        <v>42675</v>
      </c>
      <c r="K813" s="67">
        <f t="shared" si="49"/>
        <v>6</v>
      </c>
      <c r="L813" s="148">
        <v>2.23333E-3</v>
      </c>
      <c r="M813" s="104">
        <f t="shared" si="48"/>
        <v>69.637284063599992</v>
      </c>
      <c r="O813" s="66"/>
      <c r="Q813" s="66">
        <f t="shared" si="50"/>
        <v>85.973808204166659</v>
      </c>
    </row>
    <row r="814" spans="1:17">
      <c r="A814" s="145" t="s">
        <v>626</v>
      </c>
      <c r="B814" s="146" t="s">
        <v>1681</v>
      </c>
      <c r="C814" s="146" t="s">
        <v>2097</v>
      </c>
      <c r="D814" s="145" t="s">
        <v>2098</v>
      </c>
      <c r="E814" s="146" t="s">
        <v>260</v>
      </c>
      <c r="F814" s="145" t="s">
        <v>1608</v>
      </c>
      <c r="G814" s="146" t="s">
        <v>20</v>
      </c>
      <c r="H814" s="146">
        <v>201606</v>
      </c>
      <c r="I814" s="147">
        <v>41649.4</v>
      </c>
      <c r="J814" s="297">
        <f t="shared" si="51"/>
        <v>42675</v>
      </c>
      <c r="K814" s="67">
        <f t="shared" si="49"/>
        <v>6</v>
      </c>
      <c r="L814" s="148">
        <v>1.4833299999999999E-3</v>
      </c>
      <c r="M814" s="104">
        <f t="shared" si="48"/>
        <v>370.678827012</v>
      </c>
      <c r="O814" s="66"/>
      <c r="Q814" s="66">
        <f t="shared" si="50"/>
        <v>689.02858429166668</v>
      </c>
    </row>
    <row r="815" spans="1:17">
      <c r="A815" s="145" t="s">
        <v>14</v>
      </c>
      <c r="B815" s="146" t="s">
        <v>1681</v>
      </c>
      <c r="C815" s="146" t="s">
        <v>2099</v>
      </c>
      <c r="D815" s="145" t="s">
        <v>2100</v>
      </c>
      <c r="E815" s="146" t="s">
        <v>260</v>
      </c>
      <c r="F815" s="145" t="s">
        <v>1608</v>
      </c>
      <c r="G815" s="146" t="s">
        <v>20</v>
      </c>
      <c r="H815" s="146">
        <v>201606</v>
      </c>
      <c r="I815" s="147">
        <v>829.1</v>
      </c>
      <c r="J815" s="297">
        <f t="shared" si="51"/>
        <v>42675</v>
      </c>
      <c r="K815" s="67">
        <f t="shared" si="49"/>
        <v>6</v>
      </c>
      <c r="L815" s="148">
        <v>2.23333E-3</v>
      </c>
      <c r="M815" s="104">
        <f t="shared" si="48"/>
        <v>11.109923417999999</v>
      </c>
      <c r="O815" s="66"/>
      <c r="Q815" s="66">
        <f t="shared" si="50"/>
        <v>13.716250395833333</v>
      </c>
    </row>
    <row r="816" spans="1:17">
      <c r="A816" s="145" t="s">
        <v>626</v>
      </c>
      <c r="B816" s="146" t="s">
        <v>1681</v>
      </c>
      <c r="C816" s="146" t="s">
        <v>2099</v>
      </c>
      <c r="D816" s="145" t="s">
        <v>2100</v>
      </c>
      <c r="E816" s="146" t="s">
        <v>260</v>
      </c>
      <c r="F816" s="145" t="s">
        <v>1608</v>
      </c>
      <c r="G816" s="146" t="s">
        <v>20</v>
      </c>
      <c r="H816" s="146">
        <v>201606</v>
      </c>
      <c r="I816" s="147">
        <v>22719.51</v>
      </c>
      <c r="J816" s="297">
        <f t="shared" si="51"/>
        <v>42675</v>
      </c>
      <c r="K816" s="67">
        <f t="shared" si="49"/>
        <v>6</v>
      </c>
      <c r="L816" s="148">
        <v>1.4833299999999999E-3</v>
      </c>
      <c r="M816" s="104">
        <f t="shared" si="48"/>
        <v>202.20318460979999</v>
      </c>
      <c r="O816" s="66"/>
      <c r="Q816" s="66">
        <f t="shared" si="50"/>
        <v>375.86116033124995</v>
      </c>
    </row>
    <row r="817" spans="1:17">
      <c r="A817" s="145" t="s">
        <v>626</v>
      </c>
      <c r="B817" s="146" t="s">
        <v>1681</v>
      </c>
      <c r="C817" s="146" t="s">
        <v>2101</v>
      </c>
      <c r="D817" s="145" t="s">
        <v>2102</v>
      </c>
      <c r="E817" s="146" t="s">
        <v>260</v>
      </c>
      <c r="F817" s="145" t="s">
        <v>1608</v>
      </c>
      <c r="G817" s="146" t="s">
        <v>20</v>
      </c>
      <c r="H817" s="146">
        <v>201606</v>
      </c>
      <c r="I817" s="147">
        <v>7405.02</v>
      </c>
      <c r="J817" s="297">
        <f t="shared" si="51"/>
        <v>42675</v>
      </c>
      <c r="K817" s="67">
        <f t="shared" si="49"/>
        <v>6</v>
      </c>
      <c r="L817" s="148">
        <v>1.4833299999999999E-3</v>
      </c>
      <c r="M817" s="104">
        <f t="shared" si="48"/>
        <v>65.904529899600007</v>
      </c>
      <c r="O817" s="66"/>
      <c r="Q817" s="66">
        <f t="shared" si="50"/>
        <v>122.50525691250002</v>
      </c>
    </row>
    <row r="818" spans="1:17">
      <c r="A818" s="145" t="s">
        <v>626</v>
      </c>
      <c r="B818" s="146" t="s">
        <v>1681</v>
      </c>
      <c r="C818" s="146" t="s">
        <v>2103</v>
      </c>
      <c r="D818" s="145" t="s">
        <v>2104</v>
      </c>
      <c r="E818" s="146" t="s">
        <v>93</v>
      </c>
      <c r="F818" s="145" t="s">
        <v>1601</v>
      </c>
      <c r="G818" s="146" t="s">
        <v>20</v>
      </c>
      <c r="H818" s="146">
        <v>201606</v>
      </c>
      <c r="I818" s="147">
        <v>492.61</v>
      </c>
      <c r="J818" s="297">
        <f t="shared" si="51"/>
        <v>42675</v>
      </c>
      <c r="K818" s="67">
        <f t="shared" si="49"/>
        <v>6</v>
      </c>
      <c r="L818" s="148">
        <v>1.4833299999999999E-3</v>
      </c>
      <c r="M818" s="104">
        <f t="shared" si="48"/>
        <v>4.3842191478000005</v>
      </c>
      <c r="O818" s="66"/>
      <c r="Q818" s="66">
        <f t="shared" si="50"/>
        <v>8.1495140604166671</v>
      </c>
    </row>
    <row r="819" spans="1:17">
      <c r="A819" s="145" t="s">
        <v>626</v>
      </c>
      <c r="B819" s="146" t="s">
        <v>1681</v>
      </c>
      <c r="C819" s="146" t="s">
        <v>2105</v>
      </c>
      <c r="D819" s="145" t="s">
        <v>2106</v>
      </c>
      <c r="E819" s="146" t="s">
        <v>75</v>
      </c>
      <c r="F819" s="145" t="s">
        <v>1602</v>
      </c>
      <c r="G819" s="146" t="s">
        <v>20</v>
      </c>
      <c r="H819" s="146">
        <v>201606</v>
      </c>
      <c r="I819" s="147">
        <v>187507.98</v>
      </c>
      <c r="J819" s="297">
        <f t="shared" si="51"/>
        <v>42675</v>
      </c>
      <c r="K819" s="67">
        <f t="shared" si="49"/>
        <v>6</v>
      </c>
      <c r="L819" s="148">
        <v>1.4833299999999999E-3</v>
      </c>
      <c r="M819" s="104">
        <f t="shared" si="48"/>
        <v>1668.8172718404001</v>
      </c>
      <c r="O819" s="66"/>
      <c r="Q819" s="66">
        <f t="shared" si="50"/>
        <v>3102.0460799625002</v>
      </c>
    </row>
    <row r="820" spans="1:17">
      <c r="A820" s="145" t="s">
        <v>21</v>
      </c>
      <c r="B820" s="146" t="s">
        <v>1681</v>
      </c>
      <c r="C820" s="146" t="s">
        <v>2107</v>
      </c>
      <c r="D820" s="145" t="s">
        <v>2108</v>
      </c>
      <c r="E820" s="146" t="s">
        <v>209</v>
      </c>
      <c r="F820" s="145" t="s">
        <v>1612</v>
      </c>
      <c r="G820" s="146" t="s">
        <v>20</v>
      </c>
      <c r="H820" s="146">
        <v>201606</v>
      </c>
      <c r="I820" s="147">
        <v>11613.05</v>
      </c>
      <c r="J820" s="297">
        <f t="shared" si="51"/>
        <v>42675</v>
      </c>
      <c r="K820" s="67">
        <f t="shared" si="49"/>
        <v>6</v>
      </c>
      <c r="L820" s="148">
        <v>1.4833299999999999E-3</v>
      </c>
      <c r="M820" s="104">
        <f t="shared" si="48"/>
        <v>103.35591273899999</v>
      </c>
      <c r="O820" s="66"/>
      <c r="Q820" s="66">
        <f t="shared" si="50"/>
        <v>192.12097655208331</v>
      </c>
    </row>
    <row r="821" spans="1:17">
      <c r="A821" s="145" t="s">
        <v>21</v>
      </c>
      <c r="B821" s="146" t="s">
        <v>1681</v>
      </c>
      <c r="C821" s="146" t="s">
        <v>2109</v>
      </c>
      <c r="D821" s="145" t="s">
        <v>2110</v>
      </c>
      <c r="E821" s="146" t="s">
        <v>75</v>
      </c>
      <c r="F821" s="145" t="s">
        <v>1602</v>
      </c>
      <c r="G821" s="146" t="s">
        <v>20</v>
      </c>
      <c r="H821" s="146">
        <v>201606</v>
      </c>
      <c r="I821" s="147">
        <v>9824.81</v>
      </c>
      <c r="J821" s="297">
        <f t="shared" si="51"/>
        <v>42675</v>
      </c>
      <c r="K821" s="67">
        <f t="shared" si="49"/>
        <v>6</v>
      </c>
      <c r="L821" s="148">
        <v>1.4833299999999999E-3</v>
      </c>
      <c r="M821" s="104">
        <f t="shared" si="48"/>
        <v>87.440612503799997</v>
      </c>
      <c r="O821" s="66"/>
      <c r="Q821" s="66">
        <f t="shared" si="50"/>
        <v>162.53715360208332</v>
      </c>
    </row>
    <row r="822" spans="1:17">
      <c r="A822" s="145" t="s">
        <v>14</v>
      </c>
      <c r="B822" s="146" t="s">
        <v>1681</v>
      </c>
      <c r="C822" s="146" t="s">
        <v>2109</v>
      </c>
      <c r="D822" s="145" t="s">
        <v>2110</v>
      </c>
      <c r="E822" s="146" t="s">
        <v>75</v>
      </c>
      <c r="F822" s="145" t="s">
        <v>1602</v>
      </c>
      <c r="G822" s="146" t="s">
        <v>20</v>
      </c>
      <c r="H822" s="146">
        <v>201606</v>
      </c>
      <c r="I822" s="147">
        <v>14683.5</v>
      </c>
      <c r="J822" s="297">
        <f t="shared" si="51"/>
        <v>42675</v>
      </c>
      <c r="K822" s="67">
        <f t="shared" si="49"/>
        <v>6</v>
      </c>
      <c r="L822" s="148">
        <v>2.23333E-3</v>
      </c>
      <c r="M822" s="104">
        <f t="shared" si="48"/>
        <v>196.75860632999999</v>
      </c>
      <c r="O822" s="66"/>
      <c r="Q822" s="66">
        <f t="shared" si="50"/>
        <v>242.91709406249998</v>
      </c>
    </row>
    <row r="823" spans="1:17">
      <c r="A823" s="145" t="s">
        <v>626</v>
      </c>
      <c r="B823" s="146" t="s">
        <v>1681</v>
      </c>
      <c r="C823" s="146" t="s">
        <v>2109</v>
      </c>
      <c r="D823" s="145" t="s">
        <v>2110</v>
      </c>
      <c r="E823" s="146" t="s">
        <v>75</v>
      </c>
      <c r="F823" s="145" t="s">
        <v>1602</v>
      </c>
      <c r="G823" s="146" t="s">
        <v>20</v>
      </c>
      <c r="H823" s="146">
        <v>201606</v>
      </c>
      <c r="I823" s="147">
        <v>111010.77</v>
      </c>
      <c r="J823" s="297">
        <f t="shared" si="51"/>
        <v>42675</v>
      </c>
      <c r="K823" s="67">
        <f t="shared" si="49"/>
        <v>6</v>
      </c>
      <c r="L823" s="148">
        <v>1.4833299999999999E-3</v>
      </c>
      <c r="M823" s="104">
        <f t="shared" si="48"/>
        <v>987.99363278460009</v>
      </c>
      <c r="O823" s="66"/>
      <c r="Q823" s="66">
        <f t="shared" si="50"/>
        <v>1836.51129894375</v>
      </c>
    </row>
    <row r="824" spans="1:17">
      <c r="A824" s="151" t="s">
        <v>626</v>
      </c>
      <c r="B824" s="152" t="s">
        <v>1597</v>
      </c>
      <c r="C824" s="152" t="s">
        <v>1598</v>
      </c>
      <c r="D824" s="151" t="s">
        <v>1599</v>
      </c>
      <c r="E824" s="152" t="s">
        <v>164</v>
      </c>
      <c r="F824" s="151" t="s">
        <v>1600</v>
      </c>
      <c r="G824" s="152" t="s">
        <v>20</v>
      </c>
      <c r="H824" s="153">
        <v>201607</v>
      </c>
      <c r="I824" s="154">
        <v>2.92</v>
      </c>
      <c r="J824" s="297">
        <f t="shared" si="51"/>
        <v>42675</v>
      </c>
      <c r="K824" s="67">
        <f t="shared" si="49"/>
        <v>6</v>
      </c>
      <c r="L824" s="155">
        <v>1.4833299999999999E-3</v>
      </c>
      <c r="M824" s="104">
        <f t="shared" si="48"/>
        <v>2.5987941599999998E-2</v>
      </c>
      <c r="O824" s="66"/>
      <c r="Q824" s="66">
        <f t="shared" si="50"/>
        <v>4.8307141666666664E-2</v>
      </c>
    </row>
    <row r="825" spans="1:17">
      <c r="A825" s="161" t="s">
        <v>14</v>
      </c>
      <c r="B825" s="160" t="s">
        <v>30</v>
      </c>
      <c r="C825" s="160" t="s">
        <v>31</v>
      </c>
      <c r="D825" s="161" t="s">
        <v>32</v>
      </c>
      <c r="E825" s="160" t="s">
        <v>33</v>
      </c>
      <c r="F825" s="161" t="s">
        <v>34</v>
      </c>
      <c r="G825" s="160" t="s">
        <v>20</v>
      </c>
      <c r="H825" s="103">
        <v>201607</v>
      </c>
      <c r="I825" s="154">
        <v>5282.02</v>
      </c>
      <c r="J825" s="297">
        <f t="shared" si="51"/>
        <v>42675</v>
      </c>
      <c r="K825" s="67">
        <f t="shared" si="49"/>
        <v>6</v>
      </c>
      <c r="L825" s="155">
        <v>2.23333E-3</v>
      </c>
      <c r="M825" s="104">
        <f t="shared" si="48"/>
        <v>70.778962359600001</v>
      </c>
      <c r="O825" s="66"/>
      <c r="Q825" s="66">
        <f t="shared" si="50"/>
        <v>87.383317954166671</v>
      </c>
    </row>
    <row r="826" spans="1:17">
      <c r="A826" s="161" t="s">
        <v>14</v>
      </c>
      <c r="B826" s="160" t="s">
        <v>37</v>
      </c>
      <c r="C826" s="160" t="s">
        <v>38</v>
      </c>
      <c r="D826" s="161" t="s">
        <v>39</v>
      </c>
      <c r="E826" s="160" t="s">
        <v>40</v>
      </c>
      <c r="F826" s="161" t="s">
        <v>41</v>
      </c>
      <c r="G826" s="160" t="s">
        <v>20</v>
      </c>
      <c r="H826" s="103">
        <v>201607</v>
      </c>
      <c r="I826" s="154">
        <v>4777.62</v>
      </c>
      <c r="J826" s="297">
        <f t="shared" si="51"/>
        <v>42675</v>
      </c>
      <c r="K826" s="67">
        <f t="shared" si="49"/>
        <v>6</v>
      </c>
      <c r="L826" s="155">
        <v>2.23333E-3</v>
      </c>
      <c r="M826" s="104">
        <f t="shared" si="48"/>
        <v>64.020012447599996</v>
      </c>
      <c r="O826" s="66"/>
      <c r="Q826" s="66">
        <f t="shared" si="50"/>
        <v>79.038755537499995</v>
      </c>
    </row>
    <row r="827" spans="1:17">
      <c r="A827" s="151" t="s">
        <v>14</v>
      </c>
      <c r="B827" s="152" t="s">
        <v>43</v>
      </c>
      <c r="C827" s="152" t="s">
        <v>44</v>
      </c>
      <c r="D827" s="151" t="s">
        <v>45</v>
      </c>
      <c r="E827" s="152" t="s">
        <v>46</v>
      </c>
      <c r="F827" s="151" t="s">
        <v>41</v>
      </c>
      <c r="G827" s="152" t="s">
        <v>20</v>
      </c>
      <c r="H827" s="153">
        <v>201607</v>
      </c>
      <c r="I827" s="154">
        <v>22.56</v>
      </c>
      <c r="J827" s="297">
        <f t="shared" si="51"/>
        <v>42675</v>
      </c>
      <c r="K827" s="67">
        <f t="shared" si="49"/>
        <v>6</v>
      </c>
      <c r="L827" s="155">
        <v>2.23333E-3</v>
      </c>
      <c r="M827" s="104">
        <f t="shared" si="48"/>
        <v>0.30230354879999993</v>
      </c>
      <c r="O827" s="66"/>
      <c r="Q827" s="66">
        <f t="shared" si="50"/>
        <v>0.37322230000000001</v>
      </c>
    </row>
    <row r="828" spans="1:17">
      <c r="A828" s="151" t="s">
        <v>990</v>
      </c>
      <c r="B828" s="152" t="s">
        <v>991</v>
      </c>
      <c r="C828" s="152" t="s">
        <v>992</v>
      </c>
      <c r="D828" s="151" t="s">
        <v>993</v>
      </c>
      <c r="E828" s="152" t="s">
        <v>994</v>
      </c>
      <c r="F828" s="151" t="s">
        <v>995</v>
      </c>
      <c r="G828" s="152" t="s">
        <v>20</v>
      </c>
      <c r="H828" s="153">
        <v>201607</v>
      </c>
      <c r="I828" s="154">
        <v>212.03</v>
      </c>
      <c r="J828" s="297">
        <f t="shared" si="51"/>
        <v>42675</v>
      </c>
      <c r="K828" s="67">
        <f t="shared" si="49"/>
        <v>6</v>
      </c>
      <c r="L828" s="155">
        <v>2.3833299999999999E-3</v>
      </c>
      <c r="M828" s="104">
        <f t="shared" si="48"/>
        <v>3.0320247594</v>
      </c>
      <c r="O828" s="66"/>
      <c r="Q828" s="66">
        <f t="shared" si="50"/>
        <v>3.5077271395833334</v>
      </c>
    </row>
    <row r="829" spans="1:17">
      <c r="A829" s="161" t="s">
        <v>990</v>
      </c>
      <c r="B829" s="160" t="s">
        <v>996</v>
      </c>
      <c r="C829" s="160" t="s">
        <v>997</v>
      </c>
      <c r="D829" s="161" t="s">
        <v>998</v>
      </c>
      <c r="E829" s="160" t="s">
        <v>999</v>
      </c>
      <c r="F829" s="161" t="s">
        <v>995</v>
      </c>
      <c r="G829" s="160" t="s">
        <v>20</v>
      </c>
      <c r="H829" s="103">
        <v>201607</v>
      </c>
      <c r="I829" s="154">
        <v>3201.34</v>
      </c>
      <c r="J829" s="297">
        <f t="shared" si="51"/>
        <v>42675</v>
      </c>
      <c r="K829" s="67">
        <f t="shared" si="49"/>
        <v>6</v>
      </c>
      <c r="L829" s="155">
        <v>2.3833299999999999E-3</v>
      </c>
      <c r="M829" s="104">
        <f t="shared" si="48"/>
        <v>45.779097973200003</v>
      </c>
      <c r="O829" s="66"/>
      <c r="Q829" s="66">
        <f t="shared" si="50"/>
        <v>52.961501679166673</v>
      </c>
    </row>
    <row r="830" spans="1:17">
      <c r="A830" s="161" t="s">
        <v>990</v>
      </c>
      <c r="B830" s="160" t="s">
        <v>1000</v>
      </c>
      <c r="C830" s="160" t="s">
        <v>1001</v>
      </c>
      <c r="D830" s="161" t="s">
        <v>1672</v>
      </c>
      <c r="E830" s="160" t="s">
        <v>1002</v>
      </c>
      <c r="F830" s="161" t="s">
        <v>1604</v>
      </c>
      <c r="G830" s="160" t="s">
        <v>20</v>
      </c>
      <c r="H830" s="103">
        <v>201607</v>
      </c>
      <c r="I830" s="154">
        <v>16985.099999999999</v>
      </c>
      <c r="J830" s="297">
        <f t="shared" si="51"/>
        <v>42675</v>
      </c>
      <c r="K830" s="67">
        <f t="shared" si="49"/>
        <v>6</v>
      </c>
      <c r="L830" s="155">
        <v>2.3833299999999999E-3</v>
      </c>
      <c r="M830" s="104">
        <f t="shared" si="48"/>
        <v>242.88659029799999</v>
      </c>
      <c r="O830" s="66"/>
      <c r="Q830" s="66">
        <f t="shared" si="50"/>
        <v>280.99370956249993</v>
      </c>
    </row>
    <row r="831" spans="1:17">
      <c r="A831" s="151" t="s">
        <v>14</v>
      </c>
      <c r="B831" s="152" t="s">
        <v>107</v>
      </c>
      <c r="C831" s="152" t="s">
        <v>108</v>
      </c>
      <c r="D831" s="151" t="s">
        <v>109</v>
      </c>
      <c r="E831" s="152" t="s">
        <v>110</v>
      </c>
      <c r="F831" s="151" t="s">
        <v>52</v>
      </c>
      <c r="G831" s="152" t="s">
        <v>20</v>
      </c>
      <c r="H831" s="153">
        <v>201607</v>
      </c>
      <c r="I831" s="154">
        <v>170.06</v>
      </c>
      <c r="J831" s="297">
        <f t="shared" si="51"/>
        <v>42675</v>
      </c>
      <c r="K831" s="67">
        <f t="shared" si="49"/>
        <v>6</v>
      </c>
      <c r="L831" s="155">
        <v>2.23333E-3</v>
      </c>
      <c r="M831" s="104">
        <f t="shared" si="48"/>
        <v>2.2788005987999997</v>
      </c>
      <c r="O831" s="66"/>
      <c r="Q831" s="66">
        <f t="shared" si="50"/>
        <v>2.8133946958333333</v>
      </c>
    </row>
    <row r="832" spans="1:17">
      <c r="A832" s="161" t="s">
        <v>554</v>
      </c>
      <c r="B832" s="160" t="s">
        <v>116</v>
      </c>
      <c r="C832" s="160" t="s">
        <v>117</v>
      </c>
      <c r="D832" s="161" t="s">
        <v>118</v>
      </c>
      <c r="E832" s="160" t="s">
        <v>119</v>
      </c>
      <c r="F832" s="161" t="s">
        <v>1605</v>
      </c>
      <c r="G832" s="160" t="s">
        <v>20</v>
      </c>
      <c r="H832" s="103">
        <v>201607</v>
      </c>
      <c r="I832" s="333">
        <f>80607.34-72</f>
        <v>80535.34</v>
      </c>
      <c r="J832" s="297">
        <f t="shared" si="51"/>
        <v>42675</v>
      </c>
      <c r="K832" s="67">
        <f t="shared" si="49"/>
        <v>6</v>
      </c>
      <c r="L832" s="155">
        <v>1.4833299999999999E-3</v>
      </c>
      <c r="M832" s="104">
        <f t="shared" si="48"/>
        <v>716.76291529319997</v>
      </c>
      <c r="O832" s="66"/>
      <c r="Q832" s="66">
        <f t="shared" si="50"/>
        <v>1332.3397529291665</v>
      </c>
    </row>
    <row r="833" spans="1:17">
      <c r="A833" s="151" t="s">
        <v>14</v>
      </c>
      <c r="B833" s="152" t="s">
        <v>555</v>
      </c>
      <c r="C833" s="152" t="s">
        <v>556</v>
      </c>
      <c r="D833" s="151" t="s">
        <v>45</v>
      </c>
      <c r="E833" s="152" t="s">
        <v>557</v>
      </c>
      <c r="F833" s="151" t="s">
        <v>41</v>
      </c>
      <c r="G833" s="152" t="s">
        <v>20</v>
      </c>
      <c r="H833" s="153">
        <v>201607</v>
      </c>
      <c r="I833" s="154">
        <v>-17.399999999999999</v>
      </c>
      <c r="J833" s="297">
        <f t="shared" si="51"/>
        <v>42675</v>
      </c>
      <c r="K833" s="67">
        <f t="shared" si="49"/>
        <v>6</v>
      </c>
      <c r="L833" s="155">
        <v>2.23333E-3</v>
      </c>
      <c r="M833" s="104">
        <f t="shared" si="48"/>
        <v>-0.23315965199999997</v>
      </c>
      <c r="O833" s="66"/>
      <c r="Q833" s="66">
        <f t="shared" si="50"/>
        <v>-0.28785762499999995</v>
      </c>
    </row>
    <row r="834" spans="1:17">
      <c r="A834" s="161" t="s">
        <v>990</v>
      </c>
      <c r="B834" s="160" t="s">
        <v>1003</v>
      </c>
      <c r="C834" s="160" t="s">
        <v>1004</v>
      </c>
      <c r="D834" s="161" t="s">
        <v>1673</v>
      </c>
      <c r="E834" s="160" t="s">
        <v>1006</v>
      </c>
      <c r="F834" s="161" t="s">
        <v>1606</v>
      </c>
      <c r="G834" s="160" t="s">
        <v>20</v>
      </c>
      <c r="H834" s="103">
        <v>201607</v>
      </c>
      <c r="I834" s="154">
        <v>51963.99</v>
      </c>
      <c r="J834" s="297">
        <f t="shared" si="51"/>
        <v>42675</v>
      </c>
      <c r="K834" s="67">
        <f t="shared" si="49"/>
        <v>6</v>
      </c>
      <c r="L834" s="155">
        <v>2.3833299999999999E-3</v>
      </c>
      <c r="M834" s="104">
        <f t="shared" si="48"/>
        <v>743.08401772019999</v>
      </c>
      <c r="O834" s="66"/>
      <c r="Q834" s="66">
        <f t="shared" si="50"/>
        <v>859.66843373124993</v>
      </c>
    </row>
    <row r="835" spans="1:17">
      <c r="A835" s="151" t="s">
        <v>14</v>
      </c>
      <c r="B835" s="152" t="s">
        <v>2026</v>
      </c>
      <c r="C835" s="152" t="s">
        <v>2027</v>
      </c>
      <c r="D835" s="151" t="s">
        <v>2028</v>
      </c>
      <c r="E835" s="152" t="s">
        <v>2029</v>
      </c>
      <c r="F835" s="151" t="s">
        <v>710</v>
      </c>
      <c r="G835" s="152" t="s">
        <v>20</v>
      </c>
      <c r="H835" s="153">
        <v>201607</v>
      </c>
      <c r="I835" s="154">
        <v>35.6</v>
      </c>
      <c r="J835" s="297">
        <f t="shared" si="51"/>
        <v>42675</v>
      </c>
      <c r="K835" s="67">
        <f t="shared" si="49"/>
        <v>6</v>
      </c>
      <c r="L835" s="155">
        <v>2.23333E-3</v>
      </c>
      <c r="M835" s="104">
        <f t="shared" si="48"/>
        <v>0.47703928799999995</v>
      </c>
      <c r="O835" s="66"/>
      <c r="Q835" s="66">
        <f t="shared" si="50"/>
        <v>0.58895008333333332</v>
      </c>
    </row>
    <row r="836" spans="1:17">
      <c r="A836" s="151" t="s">
        <v>14</v>
      </c>
      <c r="B836" s="152" t="s">
        <v>1247</v>
      </c>
      <c r="C836" s="152" t="s">
        <v>1248</v>
      </c>
      <c r="D836" s="151" t="s">
        <v>708</v>
      </c>
      <c r="E836" s="152" t="s">
        <v>1249</v>
      </c>
      <c r="F836" s="151" t="s">
        <v>710</v>
      </c>
      <c r="G836" s="152" t="s">
        <v>20</v>
      </c>
      <c r="H836" s="153">
        <v>201607</v>
      </c>
      <c r="I836" s="154">
        <v>0.08</v>
      </c>
      <c r="J836" s="297">
        <f t="shared" si="51"/>
        <v>42675</v>
      </c>
      <c r="K836" s="67">
        <f t="shared" si="49"/>
        <v>6</v>
      </c>
      <c r="L836" s="155">
        <v>2.23333E-3</v>
      </c>
      <c r="M836" s="104">
        <f t="shared" si="48"/>
        <v>1.0719983999999999E-3</v>
      </c>
      <c r="O836" s="66"/>
      <c r="Q836" s="66">
        <f t="shared" si="50"/>
        <v>1.3234833333333335E-3</v>
      </c>
    </row>
    <row r="837" spans="1:17">
      <c r="A837" s="151" t="s">
        <v>21</v>
      </c>
      <c r="B837" s="152" t="s">
        <v>1767</v>
      </c>
      <c r="C837" s="152" t="s">
        <v>1768</v>
      </c>
      <c r="D837" s="151" t="s">
        <v>1769</v>
      </c>
      <c r="E837" s="152" t="s">
        <v>1413</v>
      </c>
      <c r="F837" s="151" t="s">
        <v>88</v>
      </c>
      <c r="G837" s="152" t="s">
        <v>20</v>
      </c>
      <c r="H837" s="153">
        <v>201607</v>
      </c>
      <c r="I837" s="154">
        <v>175.18</v>
      </c>
      <c r="J837" s="297">
        <f t="shared" si="51"/>
        <v>42675</v>
      </c>
      <c r="K837" s="67">
        <f t="shared" si="49"/>
        <v>6</v>
      </c>
      <c r="L837" s="155">
        <v>1.4833299999999999E-3</v>
      </c>
      <c r="M837" s="104">
        <f t="shared" ref="M837:M900" si="52">L837*K837*I837</f>
        <v>1.5590984964000001</v>
      </c>
      <c r="O837" s="66"/>
      <c r="Q837" s="66">
        <f t="shared" si="50"/>
        <v>2.8980976291666671</v>
      </c>
    </row>
    <row r="838" spans="1:17">
      <c r="A838" s="151" t="s">
        <v>21</v>
      </c>
      <c r="B838" s="152" t="s">
        <v>1072</v>
      </c>
      <c r="C838" s="152" t="s">
        <v>1073</v>
      </c>
      <c r="D838" s="151" t="s">
        <v>1074</v>
      </c>
      <c r="E838" s="152" t="s">
        <v>857</v>
      </c>
      <c r="F838" s="151" t="s">
        <v>88</v>
      </c>
      <c r="G838" s="152" t="s">
        <v>20</v>
      </c>
      <c r="H838" s="153">
        <v>201607</v>
      </c>
      <c r="I838" s="154">
        <v>11.02</v>
      </c>
      <c r="J838" s="297">
        <f t="shared" si="51"/>
        <v>42675</v>
      </c>
      <c r="K838" s="67">
        <f t="shared" ref="K838:K901" si="53">((YEAR($K$1)-YEAR(J838))*12+MONTH($K$1)-MONTH(J838))</f>
        <v>6</v>
      </c>
      <c r="L838" s="155">
        <v>1.4833299999999999E-3</v>
      </c>
      <c r="M838" s="104">
        <f t="shared" si="52"/>
        <v>9.8077779599999998E-2</v>
      </c>
      <c r="O838" s="66"/>
      <c r="Q838" s="66">
        <f t="shared" ref="Q838:Q901" si="54">($Q$4*0.5*I838*$T$10)</f>
        <v>0.18230982916666669</v>
      </c>
    </row>
    <row r="839" spans="1:17">
      <c r="A839" s="151" t="s">
        <v>14</v>
      </c>
      <c r="B839" s="152" t="s">
        <v>183</v>
      </c>
      <c r="C839" s="152" t="s">
        <v>184</v>
      </c>
      <c r="D839" s="151" t="s">
        <v>45</v>
      </c>
      <c r="E839" s="152" t="s">
        <v>185</v>
      </c>
      <c r="F839" s="151" t="s">
        <v>41</v>
      </c>
      <c r="G839" s="152" t="s">
        <v>20</v>
      </c>
      <c r="H839" s="153">
        <v>201607</v>
      </c>
      <c r="I839" s="154">
        <v>773.8</v>
      </c>
      <c r="J839" s="297">
        <f t="shared" ref="J839:J902" si="55">+J838</f>
        <v>42675</v>
      </c>
      <c r="K839" s="67">
        <f t="shared" si="53"/>
        <v>6</v>
      </c>
      <c r="L839" s="155">
        <v>2.23333E-3</v>
      </c>
      <c r="M839" s="104">
        <f t="shared" si="52"/>
        <v>10.368904523999998</v>
      </c>
      <c r="O839" s="66"/>
      <c r="Q839" s="66">
        <f t="shared" si="54"/>
        <v>12.801392541666665</v>
      </c>
    </row>
    <row r="840" spans="1:17">
      <c r="A840" s="151" t="s">
        <v>14</v>
      </c>
      <c r="B840" s="152" t="s">
        <v>191</v>
      </c>
      <c r="C840" s="152" t="s">
        <v>192</v>
      </c>
      <c r="D840" s="151" t="s">
        <v>193</v>
      </c>
      <c r="E840" s="152" t="s">
        <v>194</v>
      </c>
      <c r="F840" s="151" t="s">
        <v>115</v>
      </c>
      <c r="G840" s="152" t="s">
        <v>20</v>
      </c>
      <c r="H840" s="153">
        <v>201607</v>
      </c>
      <c r="I840" s="154">
        <v>-19.489999999999998</v>
      </c>
      <c r="J840" s="297">
        <f t="shared" si="55"/>
        <v>42675</v>
      </c>
      <c r="K840" s="67">
        <f t="shared" si="53"/>
        <v>6</v>
      </c>
      <c r="L840" s="155">
        <v>2.23333E-3</v>
      </c>
      <c r="M840" s="104">
        <f t="shared" si="52"/>
        <v>-0.26116561019999995</v>
      </c>
      <c r="O840" s="66"/>
      <c r="Q840" s="66">
        <f t="shared" si="54"/>
        <v>-0.32243362708333329</v>
      </c>
    </row>
    <row r="841" spans="1:17">
      <c r="A841" s="151" t="s">
        <v>14</v>
      </c>
      <c r="B841" s="152" t="s">
        <v>195</v>
      </c>
      <c r="C841" s="152" t="s">
        <v>196</v>
      </c>
      <c r="D841" s="151" t="s">
        <v>1674</v>
      </c>
      <c r="E841" s="152" t="s">
        <v>198</v>
      </c>
      <c r="F841" s="151" t="s">
        <v>1610</v>
      </c>
      <c r="G841" s="152" t="s">
        <v>20</v>
      </c>
      <c r="H841" s="153">
        <v>201607</v>
      </c>
      <c r="I841" s="154">
        <v>268543.59000000003</v>
      </c>
      <c r="J841" s="297">
        <f t="shared" si="55"/>
        <v>42675</v>
      </c>
      <c r="K841" s="67">
        <f t="shared" si="53"/>
        <v>6</v>
      </c>
      <c r="L841" s="155">
        <v>2.23333E-3</v>
      </c>
      <c r="M841" s="104">
        <f t="shared" si="52"/>
        <v>3598.4787351282002</v>
      </c>
      <c r="O841" s="66"/>
      <c r="Q841" s="66">
        <f t="shared" si="54"/>
        <v>4442.6620704812503</v>
      </c>
    </row>
    <row r="842" spans="1:17">
      <c r="A842" s="161" t="s">
        <v>14</v>
      </c>
      <c r="B842" s="160" t="s">
        <v>200</v>
      </c>
      <c r="C842" s="160" t="s">
        <v>201</v>
      </c>
      <c r="D842" s="161" t="s">
        <v>1675</v>
      </c>
      <c r="E842" s="160" t="s">
        <v>202</v>
      </c>
      <c r="F842" s="161" t="s">
        <v>1611</v>
      </c>
      <c r="G842" s="160" t="s">
        <v>20</v>
      </c>
      <c r="H842" s="103">
        <v>201607</v>
      </c>
      <c r="I842" s="154">
        <v>6584.46</v>
      </c>
      <c r="J842" s="297">
        <f t="shared" si="55"/>
        <v>42675</v>
      </c>
      <c r="K842" s="67">
        <f t="shared" si="53"/>
        <v>6</v>
      </c>
      <c r="L842" s="155">
        <v>2.23333E-3</v>
      </c>
      <c r="M842" s="104">
        <f t="shared" si="52"/>
        <v>88.231632310799995</v>
      </c>
      <c r="O842" s="66"/>
      <c r="Q842" s="66">
        <f t="shared" si="54"/>
        <v>108.93028836249999</v>
      </c>
    </row>
    <row r="843" spans="1:17">
      <c r="A843" s="151" t="s">
        <v>626</v>
      </c>
      <c r="B843" s="152" t="s">
        <v>1855</v>
      </c>
      <c r="C843" s="152" t="s">
        <v>1856</v>
      </c>
      <c r="D843" s="151" t="s">
        <v>1857</v>
      </c>
      <c r="E843" s="152" t="s">
        <v>209</v>
      </c>
      <c r="F843" s="151" t="s">
        <v>1612</v>
      </c>
      <c r="G843" s="152" t="s">
        <v>20</v>
      </c>
      <c r="H843" s="153">
        <v>201607</v>
      </c>
      <c r="I843" s="154">
        <v>1195.46</v>
      </c>
      <c r="J843" s="297">
        <f t="shared" si="55"/>
        <v>42675</v>
      </c>
      <c r="K843" s="67">
        <f t="shared" si="53"/>
        <v>6</v>
      </c>
      <c r="L843" s="155">
        <v>1.4833299999999999E-3</v>
      </c>
      <c r="M843" s="104">
        <f t="shared" si="52"/>
        <v>10.639570090799999</v>
      </c>
      <c r="O843" s="66"/>
      <c r="Q843" s="66">
        <f t="shared" si="54"/>
        <v>19.777142320833335</v>
      </c>
    </row>
    <row r="844" spans="1:17">
      <c r="A844" s="151" t="s">
        <v>14</v>
      </c>
      <c r="B844" s="152" t="s">
        <v>481</v>
      </c>
      <c r="C844" s="152" t="s">
        <v>482</v>
      </c>
      <c r="D844" s="151" t="s">
        <v>483</v>
      </c>
      <c r="E844" s="152" t="s">
        <v>484</v>
      </c>
      <c r="F844" s="151" t="s">
        <v>190</v>
      </c>
      <c r="G844" s="152" t="s">
        <v>20</v>
      </c>
      <c r="H844" s="153">
        <v>201607</v>
      </c>
      <c r="I844" s="154">
        <v>1162.3</v>
      </c>
      <c r="J844" s="297">
        <f t="shared" si="55"/>
        <v>42675</v>
      </c>
      <c r="K844" s="67">
        <f t="shared" si="53"/>
        <v>6</v>
      </c>
      <c r="L844" s="155">
        <v>2.23333E-3</v>
      </c>
      <c r="M844" s="104">
        <f t="shared" si="52"/>
        <v>15.574796753999998</v>
      </c>
      <c r="O844" s="66"/>
      <c r="Q844" s="66">
        <f t="shared" si="54"/>
        <v>19.228558479166665</v>
      </c>
    </row>
    <row r="845" spans="1:17">
      <c r="A845" s="151" t="s">
        <v>990</v>
      </c>
      <c r="B845" s="152" t="s">
        <v>1010</v>
      </c>
      <c r="C845" s="152" t="s">
        <v>1011</v>
      </c>
      <c r="D845" s="151" t="s">
        <v>1012</v>
      </c>
      <c r="E845" s="152" t="s">
        <v>1013</v>
      </c>
      <c r="F845" s="151" t="s">
        <v>995</v>
      </c>
      <c r="G845" s="152" t="s">
        <v>20</v>
      </c>
      <c r="H845" s="153">
        <v>201607</v>
      </c>
      <c r="I845" s="154">
        <v>1750.2</v>
      </c>
      <c r="J845" s="297">
        <f t="shared" si="55"/>
        <v>42675</v>
      </c>
      <c r="K845" s="67">
        <f t="shared" si="53"/>
        <v>6</v>
      </c>
      <c r="L845" s="155">
        <v>2.3833299999999999E-3</v>
      </c>
      <c r="M845" s="104">
        <f t="shared" si="52"/>
        <v>25.027824996</v>
      </c>
      <c r="O845" s="66"/>
      <c r="Q845" s="66">
        <f t="shared" si="54"/>
        <v>28.954506625</v>
      </c>
    </row>
    <row r="846" spans="1:17">
      <c r="A846" s="151" t="s">
        <v>21</v>
      </c>
      <c r="B846" s="152" t="s">
        <v>485</v>
      </c>
      <c r="C846" s="152" t="s">
        <v>486</v>
      </c>
      <c r="D846" s="151" t="s">
        <v>487</v>
      </c>
      <c r="E846" s="152" t="s">
        <v>75</v>
      </c>
      <c r="F846" s="151" t="s">
        <v>1602</v>
      </c>
      <c r="G846" s="152" t="s">
        <v>20</v>
      </c>
      <c r="H846" s="153">
        <v>201607</v>
      </c>
      <c r="I846" s="154">
        <v>0.99</v>
      </c>
      <c r="J846" s="297">
        <f t="shared" si="55"/>
        <v>42675</v>
      </c>
      <c r="K846" s="67">
        <f t="shared" si="53"/>
        <v>6</v>
      </c>
      <c r="L846" s="155">
        <v>1.4833299999999999E-3</v>
      </c>
      <c r="M846" s="104">
        <f t="shared" si="52"/>
        <v>8.8109802000000004E-3</v>
      </c>
      <c r="O846" s="66"/>
      <c r="Q846" s="66">
        <f t="shared" si="54"/>
        <v>1.637810625E-2</v>
      </c>
    </row>
    <row r="847" spans="1:17">
      <c r="A847" s="151" t="s">
        <v>14</v>
      </c>
      <c r="B847" s="152" t="s">
        <v>236</v>
      </c>
      <c r="C847" s="152" t="s">
        <v>237</v>
      </c>
      <c r="D847" s="151" t="s">
        <v>188</v>
      </c>
      <c r="E847" s="152" t="s">
        <v>238</v>
      </c>
      <c r="F847" s="151" t="s">
        <v>190</v>
      </c>
      <c r="G847" s="152" t="s">
        <v>20</v>
      </c>
      <c r="H847" s="153">
        <v>201607</v>
      </c>
      <c r="I847" s="154">
        <v>128340.31</v>
      </c>
      <c r="J847" s="297">
        <f t="shared" si="55"/>
        <v>42675</v>
      </c>
      <c r="K847" s="67">
        <f t="shared" si="53"/>
        <v>6</v>
      </c>
      <c r="L847" s="155">
        <v>2.23333E-3</v>
      </c>
      <c r="M847" s="104">
        <f t="shared" si="52"/>
        <v>1719.7575871937997</v>
      </c>
      <c r="O847" s="66"/>
      <c r="Q847" s="66">
        <f t="shared" si="54"/>
        <v>2123.2032659979168</v>
      </c>
    </row>
    <row r="848" spans="1:17">
      <c r="A848" s="151" t="s">
        <v>14</v>
      </c>
      <c r="B848" s="152" t="s">
        <v>239</v>
      </c>
      <c r="C848" s="152" t="s">
        <v>240</v>
      </c>
      <c r="D848" s="151" t="s">
        <v>197</v>
      </c>
      <c r="E848" s="152" t="s">
        <v>241</v>
      </c>
      <c r="F848" s="151" t="s">
        <v>199</v>
      </c>
      <c r="G848" s="152" t="s">
        <v>20</v>
      </c>
      <c r="H848" s="153">
        <v>201607</v>
      </c>
      <c r="I848" s="154">
        <v>-12.7</v>
      </c>
      <c r="J848" s="297">
        <f t="shared" si="55"/>
        <v>42675</v>
      </c>
      <c r="K848" s="67">
        <f t="shared" si="53"/>
        <v>6</v>
      </c>
      <c r="L848" s="155">
        <v>2.23333E-3</v>
      </c>
      <c r="M848" s="104">
        <f t="shared" si="52"/>
        <v>-0.17017974599999997</v>
      </c>
      <c r="O848" s="66"/>
      <c r="Q848" s="66">
        <f t="shared" si="54"/>
        <v>-0.21010297916666665</v>
      </c>
    </row>
    <row r="849" spans="1:17">
      <c r="A849" s="151" t="s">
        <v>127</v>
      </c>
      <c r="B849" s="152" t="s">
        <v>1032</v>
      </c>
      <c r="C849" s="152" t="s">
        <v>1033</v>
      </c>
      <c r="D849" s="151" t="s">
        <v>1034</v>
      </c>
      <c r="E849" s="152" t="s">
        <v>209</v>
      </c>
      <c r="F849" s="151" t="s">
        <v>1612</v>
      </c>
      <c r="G849" s="152" t="s">
        <v>20</v>
      </c>
      <c r="H849" s="153">
        <v>201607</v>
      </c>
      <c r="I849" s="154">
        <v>68.58</v>
      </c>
      <c r="J849" s="297">
        <f t="shared" si="55"/>
        <v>42675</v>
      </c>
      <c r="K849" s="67">
        <f t="shared" si="53"/>
        <v>6</v>
      </c>
      <c r="L849" s="155">
        <v>2.3833299999999999E-3</v>
      </c>
      <c r="M849" s="104">
        <f t="shared" si="52"/>
        <v>0.98069262840000004</v>
      </c>
      <c r="O849" s="66"/>
      <c r="Q849" s="66">
        <f t="shared" si="54"/>
        <v>1.1345560875</v>
      </c>
    </row>
    <row r="850" spans="1:17">
      <c r="A850" s="151" t="s">
        <v>14</v>
      </c>
      <c r="B850" s="152" t="s">
        <v>706</v>
      </c>
      <c r="C850" s="152" t="s">
        <v>707</v>
      </c>
      <c r="D850" s="151" t="s">
        <v>708</v>
      </c>
      <c r="E850" s="152" t="s">
        <v>709</v>
      </c>
      <c r="F850" s="151" t="s">
        <v>710</v>
      </c>
      <c r="G850" s="152" t="s">
        <v>20</v>
      </c>
      <c r="H850" s="153">
        <v>201607</v>
      </c>
      <c r="I850" s="154">
        <v>-16.47</v>
      </c>
      <c r="J850" s="297">
        <f t="shared" si="55"/>
        <v>42675</v>
      </c>
      <c r="K850" s="67">
        <f t="shared" si="53"/>
        <v>6</v>
      </c>
      <c r="L850" s="155">
        <v>2.23333E-3</v>
      </c>
      <c r="M850" s="104">
        <f t="shared" si="52"/>
        <v>-0.22069767059999998</v>
      </c>
      <c r="O850" s="66"/>
      <c r="Q850" s="66">
        <f t="shared" si="54"/>
        <v>-0.27247213124999997</v>
      </c>
    </row>
    <row r="851" spans="1:17">
      <c r="A851" s="151" t="s">
        <v>14</v>
      </c>
      <c r="B851" s="152" t="s">
        <v>267</v>
      </c>
      <c r="C851" s="152" t="s">
        <v>268</v>
      </c>
      <c r="D851" s="151" t="s">
        <v>269</v>
      </c>
      <c r="E851" s="152" t="s">
        <v>270</v>
      </c>
      <c r="F851" s="151" t="s">
        <v>115</v>
      </c>
      <c r="G851" s="152" t="s">
        <v>20</v>
      </c>
      <c r="H851" s="153">
        <v>201607</v>
      </c>
      <c r="I851" s="154">
        <v>419.76</v>
      </c>
      <c r="J851" s="297">
        <f t="shared" si="55"/>
        <v>42675</v>
      </c>
      <c r="K851" s="67">
        <f t="shared" si="53"/>
        <v>6</v>
      </c>
      <c r="L851" s="155">
        <v>2.23333E-3</v>
      </c>
      <c r="M851" s="104">
        <f t="shared" si="52"/>
        <v>5.6247756047999991</v>
      </c>
      <c r="O851" s="66"/>
      <c r="Q851" s="66">
        <f t="shared" si="54"/>
        <v>6.9443170500000004</v>
      </c>
    </row>
    <row r="852" spans="1:17">
      <c r="A852" s="151" t="s">
        <v>14</v>
      </c>
      <c r="B852" s="152" t="s">
        <v>271</v>
      </c>
      <c r="C852" s="152" t="s">
        <v>272</v>
      </c>
      <c r="D852" s="151" t="s">
        <v>197</v>
      </c>
      <c r="E852" s="152" t="s">
        <v>273</v>
      </c>
      <c r="F852" s="151" t="s">
        <v>199</v>
      </c>
      <c r="G852" s="152" t="s">
        <v>20</v>
      </c>
      <c r="H852" s="153">
        <v>201607</v>
      </c>
      <c r="I852" s="154">
        <v>-0.47</v>
      </c>
      <c r="J852" s="297">
        <f t="shared" si="55"/>
        <v>42675</v>
      </c>
      <c r="K852" s="67">
        <f t="shared" si="53"/>
        <v>6</v>
      </c>
      <c r="L852" s="155">
        <v>2.23333E-3</v>
      </c>
      <c r="M852" s="104">
        <f t="shared" si="52"/>
        <v>-6.2979905999999992E-3</v>
      </c>
      <c r="O852" s="66"/>
      <c r="Q852" s="66">
        <f t="shared" si="54"/>
        <v>-7.7754645833333332E-3</v>
      </c>
    </row>
    <row r="853" spans="1:17">
      <c r="A853" s="151" t="s">
        <v>626</v>
      </c>
      <c r="B853" s="152" t="s">
        <v>1250</v>
      </c>
      <c r="C853" s="152" t="s">
        <v>1251</v>
      </c>
      <c r="D853" s="151" t="s">
        <v>1252</v>
      </c>
      <c r="E853" s="152" t="s">
        <v>260</v>
      </c>
      <c r="F853" s="151" t="s">
        <v>1608</v>
      </c>
      <c r="G853" s="152" t="s">
        <v>20</v>
      </c>
      <c r="H853" s="153">
        <v>201607</v>
      </c>
      <c r="I853" s="154">
        <v>71.540000000000006</v>
      </c>
      <c r="J853" s="297">
        <f t="shared" si="55"/>
        <v>42675</v>
      </c>
      <c r="K853" s="67">
        <f t="shared" si="53"/>
        <v>6</v>
      </c>
      <c r="L853" s="155">
        <v>1.4833299999999999E-3</v>
      </c>
      <c r="M853" s="104">
        <f t="shared" si="52"/>
        <v>0.63670456920000007</v>
      </c>
      <c r="O853" s="66"/>
      <c r="Q853" s="66">
        <f t="shared" si="54"/>
        <v>1.1835249708333335</v>
      </c>
    </row>
    <row r="854" spans="1:17">
      <c r="A854" s="151" t="s">
        <v>14</v>
      </c>
      <c r="B854" s="152" t="s">
        <v>1676</v>
      </c>
      <c r="C854" s="152" t="s">
        <v>1677</v>
      </c>
      <c r="D854" s="151" t="s">
        <v>50</v>
      </c>
      <c r="E854" s="152" t="s">
        <v>1678</v>
      </c>
      <c r="F854" s="151" t="s">
        <v>52</v>
      </c>
      <c r="G854" s="152" t="s">
        <v>20</v>
      </c>
      <c r="H854" s="153">
        <v>201607</v>
      </c>
      <c r="I854" s="154">
        <v>6.99</v>
      </c>
      <c r="J854" s="297">
        <f t="shared" si="55"/>
        <v>42675</v>
      </c>
      <c r="K854" s="67">
        <f t="shared" si="53"/>
        <v>6</v>
      </c>
      <c r="L854" s="155">
        <v>2.23333E-3</v>
      </c>
      <c r="M854" s="104">
        <f t="shared" si="52"/>
        <v>9.3665860199999992E-2</v>
      </c>
      <c r="O854" s="66"/>
      <c r="Q854" s="66">
        <f t="shared" si="54"/>
        <v>0.11563935624999999</v>
      </c>
    </row>
    <row r="855" spans="1:17">
      <c r="A855" s="151" t="s">
        <v>990</v>
      </c>
      <c r="B855" s="152" t="s">
        <v>1017</v>
      </c>
      <c r="C855" s="152" t="s">
        <v>1018</v>
      </c>
      <c r="D855" s="151" t="s">
        <v>993</v>
      </c>
      <c r="E855" s="152" t="s">
        <v>1019</v>
      </c>
      <c r="F855" s="151" t="s">
        <v>995</v>
      </c>
      <c r="G855" s="152" t="s">
        <v>20</v>
      </c>
      <c r="H855" s="153">
        <v>201607</v>
      </c>
      <c r="I855" s="154">
        <v>6.97</v>
      </c>
      <c r="J855" s="297">
        <f t="shared" si="55"/>
        <v>42675</v>
      </c>
      <c r="K855" s="67">
        <f t="shared" si="53"/>
        <v>6</v>
      </c>
      <c r="L855" s="155">
        <v>2.3833299999999999E-3</v>
      </c>
      <c r="M855" s="104">
        <f t="shared" si="52"/>
        <v>9.9670860599999994E-2</v>
      </c>
      <c r="O855" s="66"/>
      <c r="Q855" s="66">
        <f t="shared" si="54"/>
        <v>0.11530848541666666</v>
      </c>
    </row>
    <row r="856" spans="1:17">
      <c r="A856" s="161" t="s">
        <v>14</v>
      </c>
      <c r="B856" s="160" t="s">
        <v>292</v>
      </c>
      <c r="C856" s="160" t="s">
        <v>293</v>
      </c>
      <c r="D856" s="161" t="s">
        <v>1679</v>
      </c>
      <c r="E856" s="160" t="s">
        <v>294</v>
      </c>
      <c r="F856" s="161" t="s">
        <v>1613</v>
      </c>
      <c r="G856" s="160" t="s">
        <v>20</v>
      </c>
      <c r="H856" s="103">
        <v>201607</v>
      </c>
      <c r="I856" s="154">
        <v>45031.58</v>
      </c>
      <c r="J856" s="297">
        <f t="shared" si="55"/>
        <v>42675</v>
      </c>
      <c r="K856" s="67">
        <f t="shared" si="53"/>
        <v>6</v>
      </c>
      <c r="L856" s="155">
        <v>2.23333E-3</v>
      </c>
      <c r="M856" s="104">
        <f t="shared" si="52"/>
        <v>603.42227136839995</v>
      </c>
      <c r="O856" s="66"/>
      <c r="Q856" s="66">
        <f t="shared" si="54"/>
        <v>744.98182004583339</v>
      </c>
    </row>
    <row r="857" spans="1:17">
      <c r="A857" s="161" t="s">
        <v>14</v>
      </c>
      <c r="B857" s="160" t="s">
        <v>419</v>
      </c>
      <c r="C857" s="160" t="s">
        <v>420</v>
      </c>
      <c r="D857" s="161" t="s">
        <v>50</v>
      </c>
      <c r="E857" s="160" t="s">
        <v>421</v>
      </c>
      <c r="F857" s="161" t="s">
        <v>52</v>
      </c>
      <c r="G857" s="160" t="s">
        <v>20</v>
      </c>
      <c r="H857" s="103">
        <v>201607</v>
      </c>
      <c r="I857" s="154">
        <v>4397.18</v>
      </c>
      <c r="J857" s="297">
        <f t="shared" si="55"/>
        <v>42675</v>
      </c>
      <c r="K857" s="67">
        <f t="shared" si="53"/>
        <v>6</v>
      </c>
      <c r="L857" s="155">
        <v>2.23333E-3</v>
      </c>
      <c r="M857" s="104">
        <f t="shared" si="52"/>
        <v>58.922124056400001</v>
      </c>
      <c r="O857" s="66"/>
      <c r="Q857" s="66">
        <f t="shared" si="54"/>
        <v>72.744930545833327</v>
      </c>
    </row>
    <row r="858" spans="1:17">
      <c r="A858" s="151" t="s">
        <v>14</v>
      </c>
      <c r="B858" s="152" t="s">
        <v>839</v>
      </c>
      <c r="C858" s="152" t="s">
        <v>840</v>
      </c>
      <c r="D858" s="151" t="s">
        <v>50</v>
      </c>
      <c r="E858" s="152" t="s">
        <v>841</v>
      </c>
      <c r="F858" s="151" t="s">
        <v>52</v>
      </c>
      <c r="G858" s="152" t="s">
        <v>20</v>
      </c>
      <c r="H858" s="153">
        <v>201607</v>
      </c>
      <c r="I858" s="154">
        <v>5.24</v>
      </c>
      <c r="J858" s="297">
        <f t="shared" si="55"/>
        <v>42675</v>
      </c>
      <c r="K858" s="67">
        <f t="shared" si="53"/>
        <v>6</v>
      </c>
      <c r="L858" s="155">
        <v>2.23333E-3</v>
      </c>
      <c r="M858" s="104">
        <f t="shared" si="52"/>
        <v>7.0215895200000003E-2</v>
      </c>
      <c r="O858" s="66"/>
      <c r="Q858" s="66">
        <f t="shared" si="54"/>
        <v>8.6688158333333334E-2</v>
      </c>
    </row>
    <row r="859" spans="1:17">
      <c r="A859" s="151" t="s">
        <v>990</v>
      </c>
      <c r="B859" s="152" t="s">
        <v>1020</v>
      </c>
      <c r="C859" s="152" t="s">
        <v>1021</v>
      </c>
      <c r="D859" s="151" t="s">
        <v>1680</v>
      </c>
      <c r="E859" s="152" t="s">
        <v>1022</v>
      </c>
      <c r="F859" s="151" t="s">
        <v>1614</v>
      </c>
      <c r="G859" s="152" t="s">
        <v>20</v>
      </c>
      <c r="H859" s="153">
        <v>201607</v>
      </c>
      <c r="I859" s="154">
        <v>1363.96</v>
      </c>
      <c r="J859" s="297">
        <f t="shared" si="55"/>
        <v>42675</v>
      </c>
      <c r="K859" s="67">
        <f t="shared" si="53"/>
        <v>6</v>
      </c>
      <c r="L859" s="155">
        <v>2.3833299999999999E-3</v>
      </c>
      <c r="M859" s="104">
        <f t="shared" si="52"/>
        <v>19.504600720800003</v>
      </c>
      <c r="O859" s="66"/>
      <c r="Q859" s="66">
        <f t="shared" si="54"/>
        <v>22.564729091666667</v>
      </c>
    </row>
    <row r="860" spans="1:17">
      <c r="A860" s="151" t="s">
        <v>14</v>
      </c>
      <c r="B860" s="152" t="s">
        <v>325</v>
      </c>
      <c r="C860" s="152" t="s">
        <v>326</v>
      </c>
      <c r="D860" s="151" t="s">
        <v>327</v>
      </c>
      <c r="E860" s="152" t="s">
        <v>328</v>
      </c>
      <c r="F860" s="151" t="s">
        <v>58</v>
      </c>
      <c r="G860" s="152" t="s">
        <v>20</v>
      </c>
      <c r="H860" s="153">
        <v>201607</v>
      </c>
      <c r="I860" s="154">
        <v>202.13</v>
      </c>
      <c r="J860" s="297">
        <f t="shared" si="55"/>
        <v>42675</v>
      </c>
      <c r="K860" s="67">
        <f t="shared" si="53"/>
        <v>6</v>
      </c>
      <c r="L860" s="155">
        <v>2.23333E-3</v>
      </c>
      <c r="M860" s="104">
        <f t="shared" si="52"/>
        <v>2.7085379573999999</v>
      </c>
      <c r="O860" s="66"/>
      <c r="Q860" s="66">
        <f t="shared" si="54"/>
        <v>3.3439460770833334</v>
      </c>
    </row>
    <row r="861" spans="1:17">
      <c r="A861" s="151" t="s">
        <v>21</v>
      </c>
      <c r="B861" s="152" t="s">
        <v>1823</v>
      </c>
      <c r="C861" s="152" t="s">
        <v>1824</v>
      </c>
      <c r="D861" s="151" t="s">
        <v>1825</v>
      </c>
      <c r="E861" s="152" t="s">
        <v>260</v>
      </c>
      <c r="F861" s="151" t="s">
        <v>1608</v>
      </c>
      <c r="G861" s="152" t="s">
        <v>20</v>
      </c>
      <c r="H861" s="153">
        <v>201607</v>
      </c>
      <c r="I861" s="154">
        <v>-1.47</v>
      </c>
      <c r="J861" s="297">
        <f t="shared" si="55"/>
        <v>42675</v>
      </c>
      <c r="K861" s="67">
        <f t="shared" si="53"/>
        <v>6</v>
      </c>
      <c r="L861" s="155">
        <v>1.4833299999999999E-3</v>
      </c>
      <c r="M861" s="104">
        <f t="shared" si="52"/>
        <v>-1.30829706E-2</v>
      </c>
      <c r="O861" s="66"/>
      <c r="Q861" s="66">
        <f t="shared" si="54"/>
        <v>-2.4319006250000001E-2</v>
      </c>
    </row>
    <row r="862" spans="1:17">
      <c r="A862" s="151" t="s">
        <v>626</v>
      </c>
      <c r="B862" s="152" t="s">
        <v>1823</v>
      </c>
      <c r="C862" s="152" t="s">
        <v>1824</v>
      </c>
      <c r="D862" s="151" t="s">
        <v>1825</v>
      </c>
      <c r="E862" s="152" t="s">
        <v>260</v>
      </c>
      <c r="F862" s="151" t="s">
        <v>1608</v>
      </c>
      <c r="G862" s="152" t="s">
        <v>20</v>
      </c>
      <c r="H862" s="153">
        <v>201607</v>
      </c>
      <c r="I862" s="154">
        <v>131.47</v>
      </c>
      <c r="J862" s="297">
        <f t="shared" si="55"/>
        <v>42675</v>
      </c>
      <c r="K862" s="67">
        <f t="shared" si="53"/>
        <v>6</v>
      </c>
      <c r="L862" s="155">
        <v>1.4833299999999999E-3</v>
      </c>
      <c r="M862" s="104">
        <f t="shared" si="52"/>
        <v>1.1700803706</v>
      </c>
      <c r="O862" s="66"/>
      <c r="Q862" s="66">
        <f t="shared" si="54"/>
        <v>2.1749794229166666</v>
      </c>
    </row>
    <row r="863" spans="1:17">
      <c r="A863" s="151" t="s">
        <v>127</v>
      </c>
      <c r="B863" s="152" t="s">
        <v>1130</v>
      </c>
      <c r="C863" s="152" t="s">
        <v>1131</v>
      </c>
      <c r="D863" s="151" t="s">
        <v>1132</v>
      </c>
      <c r="E863" s="152" t="s">
        <v>131</v>
      </c>
      <c r="F863" s="151" t="s">
        <v>1607</v>
      </c>
      <c r="G863" s="152" t="s">
        <v>20</v>
      </c>
      <c r="H863" s="153">
        <v>201607</v>
      </c>
      <c r="I863" s="154">
        <v>0.03</v>
      </c>
      <c r="J863" s="297">
        <f t="shared" si="55"/>
        <v>42675</v>
      </c>
      <c r="K863" s="67">
        <f t="shared" si="53"/>
        <v>6</v>
      </c>
      <c r="L863" s="155">
        <v>2.3833299999999999E-3</v>
      </c>
      <c r="M863" s="104">
        <f t="shared" si="52"/>
        <v>4.2899939999999998E-4</v>
      </c>
      <c r="O863" s="66"/>
      <c r="Q863" s="66">
        <f t="shared" si="54"/>
        <v>4.9630624999999994E-4</v>
      </c>
    </row>
    <row r="864" spans="1:17">
      <c r="A864" s="151" t="s">
        <v>626</v>
      </c>
      <c r="B864" s="152" t="s">
        <v>1136</v>
      </c>
      <c r="C864" s="152" t="s">
        <v>1137</v>
      </c>
      <c r="D864" s="151" t="s">
        <v>1138</v>
      </c>
      <c r="E864" s="152" t="s">
        <v>962</v>
      </c>
      <c r="F864" s="151" t="s">
        <v>88</v>
      </c>
      <c r="G864" s="152" t="s">
        <v>20</v>
      </c>
      <c r="H864" s="153">
        <v>201607</v>
      </c>
      <c r="I864" s="154">
        <v>27.6</v>
      </c>
      <c r="J864" s="297">
        <f t="shared" si="55"/>
        <v>42675</v>
      </c>
      <c r="K864" s="67">
        <f t="shared" si="53"/>
        <v>6</v>
      </c>
      <c r="L864" s="155">
        <v>1.4833299999999999E-3</v>
      </c>
      <c r="M864" s="104">
        <f t="shared" si="52"/>
        <v>0.24563944800000001</v>
      </c>
      <c r="O864" s="66"/>
      <c r="Q864" s="66">
        <f t="shared" si="54"/>
        <v>0.45660175000000008</v>
      </c>
    </row>
    <row r="865" spans="1:17">
      <c r="A865" s="151" t="s">
        <v>626</v>
      </c>
      <c r="B865" s="152" t="s">
        <v>1826</v>
      </c>
      <c r="C865" s="152" t="s">
        <v>1827</v>
      </c>
      <c r="D865" s="151" t="s">
        <v>1828</v>
      </c>
      <c r="E865" s="152" t="s">
        <v>25</v>
      </c>
      <c r="F865" s="151" t="s">
        <v>26</v>
      </c>
      <c r="G865" s="152" t="s">
        <v>20</v>
      </c>
      <c r="H865" s="153">
        <v>201607</v>
      </c>
      <c r="I865" s="154">
        <v>447.33</v>
      </c>
      <c r="J865" s="297">
        <f t="shared" si="55"/>
        <v>42675</v>
      </c>
      <c r="K865" s="67">
        <f t="shared" si="53"/>
        <v>6</v>
      </c>
      <c r="L865" s="155">
        <v>1.4833299999999999E-3</v>
      </c>
      <c r="M865" s="104">
        <f t="shared" si="52"/>
        <v>3.9812280533999997</v>
      </c>
      <c r="O865" s="66"/>
      <c r="Q865" s="66">
        <f t="shared" si="54"/>
        <v>7.4004224937499998</v>
      </c>
    </row>
    <row r="866" spans="1:17">
      <c r="A866" s="151" t="s">
        <v>21</v>
      </c>
      <c r="B866" s="152" t="s">
        <v>1826</v>
      </c>
      <c r="C866" s="152" t="s">
        <v>1827</v>
      </c>
      <c r="D866" s="151" t="s">
        <v>1828</v>
      </c>
      <c r="E866" s="152" t="s">
        <v>25</v>
      </c>
      <c r="F866" s="151" t="s">
        <v>26</v>
      </c>
      <c r="G866" s="152" t="s">
        <v>20</v>
      </c>
      <c r="H866" s="153">
        <v>201607</v>
      </c>
      <c r="I866" s="154">
        <v>1286.8900000000001</v>
      </c>
      <c r="J866" s="297">
        <f t="shared" si="55"/>
        <v>42675</v>
      </c>
      <c r="K866" s="67">
        <f t="shared" si="53"/>
        <v>6</v>
      </c>
      <c r="L866" s="155">
        <v>1.4833299999999999E-3</v>
      </c>
      <c r="M866" s="104">
        <f t="shared" si="52"/>
        <v>11.453295262200001</v>
      </c>
      <c r="O866" s="66"/>
      <c r="Q866" s="66">
        <f t="shared" si="54"/>
        <v>21.289718335416669</v>
      </c>
    </row>
    <row r="867" spans="1:17">
      <c r="A867" s="151" t="s">
        <v>626</v>
      </c>
      <c r="B867" s="152" t="s">
        <v>1139</v>
      </c>
      <c r="C867" s="152" t="s">
        <v>1140</v>
      </c>
      <c r="D867" s="151" t="s">
        <v>1141</v>
      </c>
      <c r="E867" s="152" t="s">
        <v>280</v>
      </c>
      <c r="F867" s="151" t="s">
        <v>26</v>
      </c>
      <c r="G867" s="152" t="s">
        <v>20</v>
      </c>
      <c r="H867" s="153">
        <v>201607</v>
      </c>
      <c r="I867" s="154">
        <v>6.51</v>
      </c>
      <c r="J867" s="297">
        <f t="shared" si="55"/>
        <v>42675</v>
      </c>
      <c r="K867" s="67">
        <f t="shared" si="53"/>
        <v>6</v>
      </c>
      <c r="L867" s="155">
        <v>1.4833299999999999E-3</v>
      </c>
      <c r="M867" s="104">
        <f t="shared" si="52"/>
        <v>5.7938869800000001E-2</v>
      </c>
      <c r="O867" s="66"/>
      <c r="Q867" s="66">
        <f t="shared" si="54"/>
        <v>0.10769845625</v>
      </c>
    </row>
    <row r="868" spans="1:17">
      <c r="A868" s="151" t="s">
        <v>626</v>
      </c>
      <c r="B868" s="152" t="s">
        <v>1142</v>
      </c>
      <c r="C868" s="152" t="s">
        <v>1143</v>
      </c>
      <c r="D868" s="151" t="s">
        <v>1144</v>
      </c>
      <c r="E868" s="152" t="s">
        <v>164</v>
      </c>
      <c r="F868" s="151" t="s">
        <v>1600</v>
      </c>
      <c r="G868" s="152" t="s">
        <v>20</v>
      </c>
      <c r="H868" s="153">
        <v>201607</v>
      </c>
      <c r="I868" s="154">
        <v>2.63</v>
      </c>
      <c r="J868" s="297">
        <f t="shared" si="55"/>
        <v>42675</v>
      </c>
      <c r="K868" s="67">
        <f t="shared" si="53"/>
        <v>6</v>
      </c>
      <c r="L868" s="155">
        <v>1.4833299999999999E-3</v>
      </c>
      <c r="M868" s="104">
        <f t="shared" si="52"/>
        <v>2.3406947399999999E-2</v>
      </c>
      <c r="O868" s="66"/>
      <c r="Q868" s="66">
        <f t="shared" si="54"/>
        <v>4.3509514583333332E-2</v>
      </c>
    </row>
    <row r="869" spans="1:17">
      <c r="A869" s="151" t="s">
        <v>626</v>
      </c>
      <c r="B869" s="152" t="s">
        <v>1615</v>
      </c>
      <c r="C869" s="152" t="s">
        <v>1616</v>
      </c>
      <c r="D869" s="151" t="s">
        <v>1617</v>
      </c>
      <c r="E869" s="152" t="s">
        <v>497</v>
      </c>
      <c r="F869" s="151" t="s">
        <v>26</v>
      </c>
      <c r="G869" s="152" t="s">
        <v>20</v>
      </c>
      <c r="H869" s="153">
        <v>201607</v>
      </c>
      <c r="I869" s="154">
        <v>-1.76</v>
      </c>
      <c r="J869" s="297">
        <f t="shared" si="55"/>
        <v>42675</v>
      </c>
      <c r="K869" s="67">
        <f t="shared" si="53"/>
        <v>6</v>
      </c>
      <c r="L869" s="155">
        <v>1.4833299999999999E-3</v>
      </c>
      <c r="M869" s="104">
        <f t="shared" si="52"/>
        <v>-1.5663964799999999E-2</v>
      </c>
      <c r="O869" s="66"/>
      <c r="Q869" s="66">
        <f t="shared" si="54"/>
        <v>-2.9116633333333336E-2</v>
      </c>
    </row>
    <row r="870" spans="1:17">
      <c r="A870" s="151" t="s">
        <v>626</v>
      </c>
      <c r="B870" s="152" t="s">
        <v>1148</v>
      </c>
      <c r="C870" s="152" t="s">
        <v>1149</v>
      </c>
      <c r="D870" s="151" t="s">
        <v>1150</v>
      </c>
      <c r="E870" s="152" t="s">
        <v>93</v>
      </c>
      <c r="F870" s="151" t="s">
        <v>1601</v>
      </c>
      <c r="G870" s="152" t="s">
        <v>20</v>
      </c>
      <c r="H870" s="153">
        <v>201607</v>
      </c>
      <c r="I870" s="154">
        <v>-0.12</v>
      </c>
      <c r="J870" s="297">
        <f t="shared" si="55"/>
        <v>42675</v>
      </c>
      <c r="K870" s="67">
        <f t="shared" si="53"/>
        <v>6</v>
      </c>
      <c r="L870" s="155">
        <v>1.4833299999999999E-3</v>
      </c>
      <c r="M870" s="104">
        <f t="shared" si="52"/>
        <v>-1.0679976E-3</v>
      </c>
      <c r="O870" s="66"/>
      <c r="Q870" s="66">
        <f t="shared" si="54"/>
        <v>-1.9852249999999998E-3</v>
      </c>
    </row>
    <row r="871" spans="1:17">
      <c r="A871" s="151" t="s">
        <v>21</v>
      </c>
      <c r="B871" s="152" t="s">
        <v>1502</v>
      </c>
      <c r="C871" s="152" t="s">
        <v>1503</v>
      </c>
      <c r="D871" s="151" t="s">
        <v>1504</v>
      </c>
      <c r="E871" s="152" t="s">
        <v>172</v>
      </c>
      <c r="F871" s="151" t="s">
        <v>1609</v>
      </c>
      <c r="G871" s="152" t="s">
        <v>20</v>
      </c>
      <c r="H871" s="153">
        <v>201607</v>
      </c>
      <c r="I871" s="154">
        <v>-3.47</v>
      </c>
      <c r="J871" s="297">
        <f t="shared" si="55"/>
        <v>42675</v>
      </c>
      <c r="K871" s="67">
        <f t="shared" si="53"/>
        <v>6</v>
      </c>
      <c r="L871" s="155">
        <v>1.4833299999999999E-3</v>
      </c>
      <c r="M871" s="104">
        <f t="shared" si="52"/>
        <v>-3.08829306E-2</v>
      </c>
      <c r="O871" s="66"/>
      <c r="Q871" s="66">
        <f t="shared" si="54"/>
        <v>-5.740608958333334E-2</v>
      </c>
    </row>
    <row r="872" spans="1:17">
      <c r="A872" s="151" t="s">
        <v>21</v>
      </c>
      <c r="B872" s="152" t="s">
        <v>1948</v>
      </c>
      <c r="C872" s="152" t="s">
        <v>1949</v>
      </c>
      <c r="D872" s="151" t="s">
        <v>1950</v>
      </c>
      <c r="E872" s="152" t="s">
        <v>756</v>
      </c>
      <c r="F872" s="151" t="s">
        <v>757</v>
      </c>
      <c r="G872" s="152" t="s">
        <v>20</v>
      </c>
      <c r="H872" s="153">
        <v>201607</v>
      </c>
      <c r="I872" s="154">
        <v>113.96</v>
      </c>
      <c r="J872" s="297">
        <f t="shared" si="55"/>
        <v>42675</v>
      </c>
      <c r="K872" s="67">
        <f t="shared" si="53"/>
        <v>6</v>
      </c>
      <c r="L872" s="155">
        <v>1.4833299999999999E-3</v>
      </c>
      <c r="M872" s="104">
        <f t="shared" si="52"/>
        <v>1.0142417207999999</v>
      </c>
      <c r="O872" s="66"/>
      <c r="Q872" s="66">
        <f t="shared" si="54"/>
        <v>1.8853020083333332</v>
      </c>
    </row>
    <row r="873" spans="1:17">
      <c r="A873" s="151" t="s">
        <v>21</v>
      </c>
      <c r="B873" s="152" t="s">
        <v>1858</v>
      </c>
      <c r="C873" s="152" t="s">
        <v>1859</v>
      </c>
      <c r="D873" s="151" t="s">
        <v>1860</v>
      </c>
      <c r="E873" s="152" t="s">
        <v>70</v>
      </c>
      <c r="F873" s="151" t="s">
        <v>71</v>
      </c>
      <c r="G873" s="152" t="s">
        <v>20</v>
      </c>
      <c r="H873" s="153">
        <v>201607</v>
      </c>
      <c r="I873" s="154">
        <v>14.08</v>
      </c>
      <c r="J873" s="297">
        <f t="shared" si="55"/>
        <v>42675</v>
      </c>
      <c r="K873" s="67">
        <f t="shared" si="53"/>
        <v>6</v>
      </c>
      <c r="L873" s="155">
        <v>1.4833299999999999E-3</v>
      </c>
      <c r="M873" s="104">
        <f t="shared" si="52"/>
        <v>0.12531171839999999</v>
      </c>
      <c r="O873" s="66"/>
      <c r="Q873" s="66">
        <f t="shared" si="54"/>
        <v>0.23293306666666669</v>
      </c>
    </row>
    <row r="874" spans="1:17">
      <c r="A874" s="151" t="s">
        <v>626</v>
      </c>
      <c r="B874" s="152" t="s">
        <v>1169</v>
      </c>
      <c r="C874" s="152" t="s">
        <v>1170</v>
      </c>
      <c r="D874" s="151" t="s">
        <v>1171</v>
      </c>
      <c r="E874" s="152" t="s">
        <v>164</v>
      </c>
      <c r="F874" s="151" t="s">
        <v>1600</v>
      </c>
      <c r="G874" s="152" t="s">
        <v>20</v>
      </c>
      <c r="H874" s="153">
        <v>201607</v>
      </c>
      <c r="I874" s="154">
        <v>17.86</v>
      </c>
      <c r="J874" s="297">
        <f t="shared" si="55"/>
        <v>42675</v>
      </c>
      <c r="K874" s="67">
        <f t="shared" si="53"/>
        <v>6</v>
      </c>
      <c r="L874" s="155">
        <v>1.4833299999999999E-3</v>
      </c>
      <c r="M874" s="104">
        <f t="shared" si="52"/>
        <v>0.15895364279999999</v>
      </c>
      <c r="O874" s="66"/>
      <c r="Q874" s="66">
        <f t="shared" si="54"/>
        <v>0.29546765416666665</v>
      </c>
    </row>
    <row r="875" spans="1:17">
      <c r="A875" s="151" t="s">
        <v>626</v>
      </c>
      <c r="B875" s="152" t="s">
        <v>1172</v>
      </c>
      <c r="C875" s="152" t="s">
        <v>1173</v>
      </c>
      <c r="D875" s="151" t="s">
        <v>1174</v>
      </c>
      <c r="E875" s="152" t="s">
        <v>156</v>
      </c>
      <c r="F875" s="151" t="s">
        <v>26</v>
      </c>
      <c r="G875" s="152" t="s">
        <v>20</v>
      </c>
      <c r="H875" s="153">
        <v>201607</v>
      </c>
      <c r="I875" s="154">
        <v>2.44</v>
      </c>
      <c r="J875" s="297">
        <f t="shared" si="55"/>
        <v>42675</v>
      </c>
      <c r="K875" s="67">
        <f t="shared" si="53"/>
        <v>6</v>
      </c>
      <c r="L875" s="155">
        <v>1.4833299999999999E-3</v>
      </c>
      <c r="M875" s="104">
        <f t="shared" si="52"/>
        <v>2.17159512E-2</v>
      </c>
      <c r="O875" s="66"/>
      <c r="Q875" s="66">
        <f t="shared" si="54"/>
        <v>4.036624166666667E-2</v>
      </c>
    </row>
    <row r="876" spans="1:17">
      <c r="A876" s="151" t="s">
        <v>626</v>
      </c>
      <c r="B876" s="152" t="s">
        <v>1545</v>
      </c>
      <c r="C876" s="152" t="s">
        <v>1546</v>
      </c>
      <c r="D876" s="151" t="s">
        <v>1547</v>
      </c>
      <c r="E876" s="152" t="s">
        <v>164</v>
      </c>
      <c r="F876" s="151" t="s">
        <v>1600</v>
      </c>
      <c r="G876" s="152" t="s">
        <v>20</v>
      </c>
      <c r="H876" s="153">
        <v>201607</v>
      </c>
      <c r="I876" s="154">
        <v>-1.32</v>
      </c>
      <c r="J876" s="297">
        <f t="shared" si="55"/>
        <v>42675</v>
      </c>
      <c r="K876" s="67">
        <f t="shared" si="53"/>
        <v>6</v>
      </c>
      <c r="L876" s="155">
        <v>1.4833299999999999E-3</v>
      </c>
      <c r="M876" s="104">
        <f t="shared" si="52"/>
        <v>-1.1747973600000001E-2</v>
      </c>
      <c r="O876" s="66"/>
      <c r="Q876" s="66">
        <f t="shared" si="54"/>
        <v>-2.1837475000000002E-2</v>
      </c>
    </row>
    <row r="877" spans="1:17">
      <c r="A877" s="151" t="s">
        <v>21</v>
      </c>
      <c r="B877" s="152" t="s">
        <v>1420</v>
      </c>
      <c r="C877" s="152" t="s">
        <v>1421</v>
      </c>
      <c r="D877" s="151" t="s">
        <v>1422</v>
      </c>
      <c r="E877" s="152" t="s">
        <v>260</v>
      </c>
      <c r="F877" s="151" t="s">
        <v>1608</v>
      </c>
      <c r="G877" s="152" t="s">
        <v>20</v>
      </c>
      <c r="H877" s="153">
        <v>201607</v>
      </c>
      <c r="I877" s="154">
        <v>3.19</v>
      </c>
      <c r="J877" s="297">
        <f t="shared" si="55"/>
        <v>42675</v>
      </c>
      <c r="K877" s="67">
        <f t="shared" si="53"/>
        <v>6</v>
      </c>
      <c r="L877" s="155">
        <v>1.4833299999999999E-3</v>
      </c>
      <c r="M877" s="104">
        <f t="shared" si="52"/>
        <v>2.8390936200000001E-2</v>
      </c>
      <c r="O877" s="66"/>
      <c r="Q877" s="66">
        <f t="shared" si="54"/>
        <v>5.2773897916666666E-2</v>
      </c>
    </row>
    <row r="878" spans="1:17">
      <c r="A878" s="151" t="s">
        <v>626</v>
      </c>
      <c r="B878" s="152" t="s">
        <v>1420</v>
      </c>
      <c r="C878" s="152" t="s">
        <v>1421</v>
      </c>
      <c r="D878" s="151" t="s">
        <v>1422</v>
      </c>
      <c r="E878" s="152" t="s">
        <v>260</v>
      </c>
      <c r="F878" s="151" t="s">
        <v>1608</v>
      </c>
      <c r="G878" s="152" t="s">
        <v>20</v>
      </c>
      <c r="H878" s="153">
        <v>201607</v>
      </c>
      <c r="I878" s="154">
        <v>12.46</v>
      </c>
      <c r="J878" s="297">
        <f t="shared" si="55"/>
        <v>42675</v>
      </c>
      <c r="K878" s="67">
        <f t="shared" si="53"/>
        <v>6</v>
      </c>
      <c r="L878" s="155">
        <v>1.4833299999999999E-3</v>
      </c>
      <c r="M878" s="104">
        <f t="shared" si="52"/>
        <v>0.11089375080000001</v>
      </c>
      <c r="O878" s="66"/>
      <c r="Q878" s="66">
        <f t="shared" si="54"/>
        <v>0.20613252916666669</v>
      </c>
    </row>
    <row r="879" spans="1:17">
      <c r="A879" s="151" t="s">
        <v>626</v>
      </c>
      <c r="B879" s="152" t="s">
        <v>1268</v>
      </c>
      <c r="C879" s="152" t="s">
        <v>1269</v>
      </c>
      <c r="D879" s="151" t="s">
        <v>1270</v>
      </c>
      <c r="E879" s="152" t="s">
        <v>260</v>
      </c>
      <c r="F879" s="151" t="s">
        <v>1608</v>
      </c>
      <c r="G879" s="152" t="s">
        <v>20</v>
      </c>
      <c r="H879" s="153">
        <v>201607</v>
      </c>
      <c r="I879" s="154">
        <v>-0.08</v>
      </c>
      <c r="J879" s="297">
        <f t="shared" si="55"/>
        <v>42675</v>
      </c>
      <c r="K879" s="67">
        <f t="shared" si="53"/>
        <v>6</v>
      </c>
      <c r="L879" s="155">
        <v>1.4833299999999999E-3</v>
      </c>
      <c r="M879" s="104">
        <f t="shared" si="52"/>
        <v>-7.1199840000000006E-4</v>
      </c>
      <c r="O879" s="66"/>
      <c r="Q879" s="66">
        <f t="shared" si="54"/>
        <v>-1.3234833333333335E-3</v>
      </c>
    </row>
    <row r="880" spans="1:17">
      <c r="A880" s="151" t="s">
        <v>127</v>
      </c>
      <c r="B880" s="152" t="s">
        <v>1785</v>
      </c>
      <c r="C880" s="152" t="s">
        <v>1786</v>
      </c>
      <c r="D880" s="151" t="s">
        <v>1787</v>
      </c>
      <c r="E880" s="152" t="s">
        <v>1580</v>
      </c>
      <c r="F880" s="151" t="s">
        <v>217</v>
      </c>
      <c r="G880" s="152" t="s">
        <v>20</v>
      </c>
      <c r="H880" s="153">
        <v>201607</v>
      </c>
      <c r="I880" s="154">
        <v>34.659999999999997</v>
      </c>
      <c r="J880" s="297">
        <f t="shared" si="55"/>
        <v>42675</v>
      </c>
      <c r="K880" s="67">
        <f t="shared" si="53"/>
        <v>6</v>
      </c>
      <c r="L880" s="155">
        <v>2.3833299999999999E-3</v>
      </c>
      <c r="M880" s="104">
        <f t="shared" si="52"/>
        <v>0.49563730679999995</v>
      </c>
      <c r="O880" s="66"/>
      <c r="Q880" s="66">
        <f t="shared" si="54"/>
        <v>0.57339915416666665</v>
      </c>
    </row>
    <row r="881" spans="1:17">
      <c r="A881" s="151" t="s">
        <v>626</v>
      </c>
      <c r="B881" s="152" t="s">
        <v>1508</v>
      </c>
      <c r="C881" s="152" t="s">
        <v>1509</v>
      </c>
      <c r="D881" s="151" t="s">
        <v>1510</v>
      </c>
      <c r="E881" s="152" t="s">
        <v>75</v>
      </c>
      <c r="F881" s="151" t="s">
        <v>1602</v>
      </c>
      <c r="G881" s="152" t="s">
        <v>20</v>
      </c>
      <c r="H881" s="153">
        <v>201607</v>
      </c>
      <c r="I881" s="154">
        <v>7.19</v>
      </c>
      <c r="J881" s="297">
        <f t="shared" si="55"/>
        <v>42675</v>
      </c>
      <c r="K881" s="67">
        <f t="shared" si="53"/>
        <v>6</v>
      </c>
      <c r="L881" s="155">
        <v>1.4833299999999999E-3</v>
      </c>
      <c r="M881" s="104">
        <f t="shared" si="52"/>
        <v>6.3990856200000001E-2</v>
      </c>
      <c r="O881" s="66"/>
      <c r="Q881" s="66">
        <f t="shared" si="54"/>
        <v>0.11894806458333335</v>
      </c>
    </row>
    <row r="882" spans="1:17">
      <c r="A882" s="151" t="s">
        <v>21</v>
      </c>
      <c r="B882" s="152" t="s">
        <v>1829</v>
      </c>
      <c r="C882" s="152" t="s">
        <v>1830</v>
      </c>
      <c r="D882" s="151" t="s">
        <v>1831</v>
      </c>
      <c r="E882" s="152" t="s">
        <v>497</v>
      </c>
      <c r="F882" s="151" t="s">
        <v>26</v>
      </c>
      <c r="G882" s="152" t="s">
        <v>20</v>
      </c>
      <c r="H882" s="153">
        <v>201607</v>
      </c>
      <c r="I882" s="154">
        <v>1.1100000000000001</v>
      </c>
      <c r="J882" s="297">
        <f t="shared" si="55"/>
        <v>42675</v>
      </c>
      <c r="K882" s="67">
        <f t="shared" si="53"/>
        <v>6</v>
      </c>
      <c r="L882" s="155">
        <v>1.4833299999999999E-3</v>
      </c>
      <c r="M882" s="104">
        <f t="shared" si="52"/>
        <v>9.8789778000000009E-3</v>
      </c>
      <c r="O882" s="66"/>
      <c r="Q882" s="66">
        <f t="shared" si="54"/>
        <v>1.836333125E-2</v>
      </c>
    </row>
    <row r="883" spans="1:17">
      <c r="A883" s="151" t="s">
        <v>626</v>
      </c>
      <c r="B883" s="152" t="s">
        <v>1829</v>
      </c>
      <c r="C883" s="152" t="s">
        <v>1830</v>
      </c>
      <c r="D883" s="151" t="s">
        <v>1831</v>
      </c>
      <c r="E883" s="152" t="s">
        <v>497</v>
      </c>
      <c r="F883" s="151" t="s">
        <v>26</v>
      </c>
      <c r="G883" s="152" t="s">
        <v>20</v>
      </c>
      <c r="H883" s="153">
        <v>201607</v>
      </c>
      <c r="I883" s="154">
        <v>7.57</v>
      </c>
      <c r="J883" s="297">
        <f t="shared" si="55"/>
        <v>42675</v>
      </c>
      <c r="K883" s="67">
        <f t="shared" si="53"/>
        <v>6</v>
      </c>
      <c r="L883" s="155">
        <v>1.4833299999999999E-3</v>
      </c>
      <c r="M883" s="104">
        <f t="shared" si="52"/>
        <v>6.7372848600000007E-2</v>
      </c>
      <c r="O883" s="66"/>
      <c r="Q883" s="66">
        <f t="shared" si="54"/>
        <v>0.12523461041666667</v>
      </c>
    </row>
    <row r="884" spans="1:17">
      <c r="A884" s="151" t="s">
        <v>626</v>
      </c>
      <c r="B884" s="152" t="s">
        <v>1709</v>
      </c>
      <c r="C884" s="152" t="s">
        <v>1710</v>
      </c>
      <c r="D884" s="151" t="s">
        <v>1711</v>
      </c>
      <c r="E884" s="152" t="s">
        <v>497</v>
      </c>
      <c r="F884" s="151" t="s">
        <v>26</v>
      </c>
      <c r="G884" s="152" t="s">
        <v>20</v>
      </c>
      <c r="H884" s="153">
        <v>201607</v>
      </c>
      <c r="I884" s="154">
        <v>1.29</v>
      </c>
      <c r="J884" s="297">
        <f t="shared" si="55"/>
        <v>42675</v>
      </c>
      <c r="K884" s="67">
        <f t="shared" si="53"/>
        <v>6</v>
      </c>
      <c r="L884" s="155">
        <v>1.4833299999999999E-3</v>
      </c>
      <c r="M884" s="104">
        <f t="shared" si="52"/>
        <v>1.1480974200000001E-2</v>
      </c>
      <c r="O884" s="66"/>
      <c r="Q884" s="66">
        <f t="shared" si="54"/>
        <v>2.134116875E-2</v>
      </c>
    </row>
    <row r="885" spans="1:17">
      <c r="A885" s="151" t="s">
        <v>626</v>
      </c>
      <c r="B885" s="152" t="s">
        <v>1861</v>
      </c>
      <c r="C885" s="152" t="s">
        <v>1862</v>
      </c>
      <c r="D885" s="151" t="s">
        <v>1863</v>
      </c>
      <c r="E885" s="152" t="s">
        <v>75</v>
      </c>
      <c r="F885" s="151" t="s">
        <v>1602</v>
      </c>
      <c r="G885" s="152" t="s">
        <v>20</v>
      </c>
      <c r="H885" s="153">
        <v>201607</v>
      </c>
      <c r="I885" s="154">
        <v>201.08</v>
      </c>
      <c r="J885" s="297">
        <f t="shared" si="55"/>
        <v>42675</v>
      </c>
      <c r="K885" s="67">
        <f t="shared" si="53"/>
        <v>6</v>
      </c>
      <c r="L885" s="155">
        <v>1.4833299999999999E-3</v>
      </c>
      <c r="M885" s="104">
        <f t="shared" si="52"/>
        <v>1.7896079784000001</v>
      </c>
      <c r="O885" s="66"/>
      <c r="Q885" s="66">
        <f t="shared" si="54"/>
        <v>3.3265753583333337</v>
      </c>
    </row>
    <row r="886" spans="1:17">
      <c r="A886" s="151" t="s">
        <v>626</v>
      </c>
      <c r="B886" s="152" t="s">
        <v>1511</v>
      </c>
      <c r="C886" s="152" t="s">
        <v>1512</v>
      </c>
      <c r="D886" s="151" t="s">
        <v>1513</v>
      </c>
      <c r="E886" s="152" t="s">
        <v>260</v>
      </c>
      <c r="F886" s="151" t="s">
        <v>1608</v>
      </c>
      <c r="G886" s="152" t="s">
        <v>20</v>
      </c>
      <c r="H886" s="153">
        <v>201607</v>
      </c>
      <c r="I886" s="154">
        <v>3.94</v>
      </c>
      <c r="J886" s="297">
        <f t="shared" si="55"/>
        <v>42675</v>
      </c>
      <c r="K886" s="67">
        <f t="shared" si="53"/>
        <v>6</v>
      </c>
      <c r="L886" s="155">
        <v>1.4833299999999999E-3</v>
      </c>
      <c r="M886" s="104">
        <f t="shared" si="52"/>
        <v>3.5065921200000003E-2</v>
      </c>
      <c r="O886" s="66"/>
      <c r="Q886" s="66">
        <f t="shared" si="54"/>
        <v>6.5181554166666669E-2</v>
      </c>
    </row>
    <row r="887" spans="1:17">
      <c r="A887" s="151" t="s">
        <v>626</v>
      </c>
      <c r="B887" s="152" t="s">
        <v>1864</v>
      </c>
      <c r="C887" s="152" t="s">
        <v>1865</v>
      </c>
      <c r="D887" s="151" t="s">
        <v>1866</v>
      </c>
      <c r="E887" s="152" t="s">
        <v>75</v>
      </c>
      <c r="F887" s="151" t="s">
        <v>1602</v>
      </c>
      <c r="G887" s="152" t="s">
        <v>20</v>
      </c>
      <c r="H887" s="153">
        <v>201607</v>
      </c>
      <c r="I887" s="154">
        <v>672.93</v>
      </c>
      <c r="J887" s="297">
        <f t="shared" si="55"/>
        <v>42675</v>
      </c>
      <c r="K887" s="67">
        <f t="shared" si="53"/>
        <v>6</v>
      </c>
      <c r="L887" s="155">
        <v>1.4833299999999999E-3</v>
      </c>
      <c r="M887" s="104">
        <f t="shared" si="52"/>
        <v>5.9890635413999993</v>
      </c>
      <c r="O887" s="66"/>
      <c r="Q887" s="66">
        <f t="shared" si="54"/>
        <v>11.132645493749999</v>
      </c>
    </row>
    <row r="888" spans="1:17">
      <c r="A888" s="151" t="s">
        <v>626</v>
      </c>
      <c r="B888" s="152" t="s">
        <v>1867</v>
      </c>
      <c r="C888" s="152" t="s">
        <v>1868</v>
      </c>
      <c r="D888" s="151" t="s">
        <v>1869</v>
      </c>
      <c r="E888" s="152" t="s">
        <v>75</v>
      </c>
      <c r="F888" s="151" t="s">
        <v>1602</v>
      </c>
      <c r="G888" s="152" t="s">
        <v>20</v>
      </c>
      <c r="H888" s="153">
        <v>201607</v>
      </c>
      <c r="I888" s="154">
        <v>40.33</v>
      </c>
      <c r="J888" s="297">
        <f t="shared" si="55"/>
        <v>42675</v>
      </c>
      <c r="K888" s="67">
        <f t="shared" si="53"/>
        <v>6</v>
      </c>
      <c r="L888" s="155">
        <v>1.4833299999999999E-3</v>
      </c>
      <c r="M888" s="104">
        <f t="shared" si="52"/>
        <v>0.35893619339999999</v>
      </c>
      <c r="O888" s="66"/>
      <c r="Q888" s="66">
        <f t="shared" si="54"/>
        <v>0.66720103541666664</v>
      </c>
    </row>
    <row r="889" spans="1:17">
      <c r="A889" s="151" t="s">
        <v>626</v>
      </c>
      <c r="B889" s="152" t="s">
        <v>1870</v>
      </c>
      <c r="C889" s="152" t="s">
        <v>1871</v>
      </c>
      <c r="D889" s="151" t="s">
        <v>1872</v>
      </c>
      <c r="E889" s="152" t="s">
        <v>75</v>
      </c>
      <c r="F889" s="151" t="s">
        <v>1602</v>
      </c>
      <c r="G889" s="152" t="s">
        <v>20</v>
      </c>
      <c r="H889" s="153">
        <v>201607</v>
      </c>
      <c r="I889" s="154">
        <v>218.6</v>
      </c>
      <c r="J889" s="297">
        <f t="shared" si="55"/>
        <v>42675</v>
      </c>
      <c r="K889" s="67">
        <f t="shared" si="53"/>
        <v>6</v>
      </c>
      <c r="L889" s="155">
        <v>1.4833299999999999E-3</v>
      </c>
      <c r="M889" s="104">
        <f t="shared" si="52"/>
        <v>1.945535628</v>
      </c>
      <c r="O889" s="66"/>
      <c r="Q889" s="66">
        <f t="shared" si="54"/>
        <v>3.6164182083333332</v>
      </c>
    </row>
    <row r="890" spans="1:17">
      <c r="A890" s="151" t="s">
        <v>626</v>
      </c>
      <c r="B890" s="152" t="s">
        <v>1514</v>
      </c>
      <c r="C890" s="152" t="s">
        <v>1515</v>
      </c>
      <c r="D890" s="151" t="s">
        <v>1516</v>
      </c>
      <c r="E890" s="152" t="s">
        <v>809</v>
      </c>
      <c r="F890" s="151" t="s">
        <v>26</v>
      </c>
      <c r="G890" s="152" t="s">
        <v>20</v>
      </c>
      <c r="H890" s="153">
        <v>201607</v>
      </c>
      <c r="I890" s="154">
        <v>4.84</v>
      </c>
      <c r="J890" s="297">
        <f t="shared" si="55"/>
        <v>42675</v>
      </c>
      <c r="K890" s="67">
        <f t="shared" si="53"/>
        <v>6</v>
      </c>
      <c r="L890" s="155">
        <v>1.4833299999999999E-3</v>
      </c>
      <c r="M890" s="104">
        <f t="shared" si="52"/>
        <v>4.3075903200000001E-2</v>
      </c>
      <c r="O890" s="66"/>
      <c r="Q890" s="66">
        <f t="shared" si="54"/>
        <v>8.0070741666666667E-2</v>
      </c>
    </row>
    <row r="891" spans="1:17">
      <c r="A891" s="151" t="s">
        <v>626</v>
      </c>
      <c r="B891" s="152" t="s">
        <v>1873</v>
      </c>
      <c r="C891" s="152" t="s">
        <v>1874</v>
      </c>
      <c r="D891" s="151" t="s">
        <v>1875</v>
      </c>
      <c r="E891" s="152" t="s">
        <v>75</v>
      </c>
      <c r="F891" s="151" t="s">
        <v>1602</v>
      </c>
      <c r="G891" s="152" t="s">
        <v>20</v>
      </c>
      <c r="H891" s="153">
        <v>201607</v>
      </c>
      <c r="I891" s="154">
        <v>927.8</v>
      </c>
      <c r="J891" s="297">
        <f t="shared" si="55"/>
        <v>42675</v>
      </c>
      <c r="K891" s="67">
        <f t="shared" si="53"/>
        <v>6</v>
      </c>
      <c r="L891" s="155">
        <v>1.4833299999999999E-3</v>
      </c>
      <c r="M891" s="104">
        <f t="shared" si="52"/>
        <v>8.2574014439999992</v>
      </c>
      <c r="O891" s="66"/>
      <c r="Q891" s="66">
        <f t="shared" si="54"/>
        <v>15.349097958333331</v>
      </c>
    </row>
    <row r="892" spans="1:17">
      <c r="A892" s="161" t="s">
        <v>626</v>
      </c>
      <c r="B892" s="160" t="s">
        <v>1681</v>
      </c>
      <c r="C892" s="160" t="s">
        <v>1703</v>
      </c>
      <c r="D892" s="161" t="s">
        <v>1704</v>
      </c>
      <c r="E892" s="160" t="s">
        <v>164</v>
      </c>
      <c r="F892" s="161" t="s">
        <v>1600</v>
      </c>
      <c r="G892" s="160" t="s">
        <v>20</v>
      </c>
      <c r="H892" s="103">
        <v>201607</v>
      </c>
      <c r="I892" s="154">
        <v>73537.679999999993</v>
      </c>
      <c r="J892" s="297">
        <f t="shared" si="55"/>
        <v>42675</v>
      </c>
      <c r="K892" s="67">
        <f t="shared" si="53"/>
        <v>6</v>
      </c>
      <c r="L892" s="155">
        <v>1.4833299999999999E-3</v>
      </c>
      <c r="M892" s="104">
        <f t="shared" si="52"/>
        <v>654.48388124639996</v>
      </c>
      <c r="O892" s="66"/>
      <c r="Q892" s="66">
        <f t="shared" si="54"/>
        <v>1216.5736731499999</v>
      </c>
    </row>
    <row r="893" spans="1:17">
      <c r="A893" s="161" t="s">
        <v>626</v>
      </c>
      <c r="B893" s="160" t="s">
        <v>1681</v>
      </c>
      <c r="C893" s="160" t="s">
        <v>1705</v>
      </c>
      <c r="D893" s="161" t="s">
        <v>1706</v>
      </c>
      <c r="E893" s="160" t="s">
        <v>75</v>
      </c>
      <c r="F893" s="161" t="s">
        <v>1602</v>
      </c>
      <c r="G893" s="160" t="s">
        <v>20</v>
      </c>
      <c r="H893" s="103">
        <v>201607</v>
      </c>
      <c r="I893" s="154">
        <v>9757.41</v>
      </c>
      <c r="J893" s="297">
        <f t="shared" si="55"/>
        <v>42675</v>
      </c>
      <c r="K893" s="67">
        <f t="shared" si="53"/>
        <v>6</v>
      </c>
      <c r="L893" s="155">
        <v>1.4833299999999999E-3</v>
      </c>
      <c r="M893" s="104">
        <f t="shared" si="52"/>
        <v>86.840753851800002</v>
      </c>
      <c r="O893" s="66"/>
      <c r="Q893" s="66">
        <f t="shared" si="54"/>
        <v>161.42211889375</v>
      </c>
    </row>
    <row r="894" spans="1:17">
      <c r="A894" s="151" t="s">
        <v>626</v>
      </c>
      <c r="B894" s="160" t="s">
        <v>1681</v>
      </c>
      <c r="C894" s="152" t="s">
        <v>1707</v>
      </c>
      <c r="D894" s="151" t="s">
        <v>1708</v>
      </c>
      <c r="E894" s="152" t="s">
        <v>75</v>
      </c>
      <c r="F894" s="151" t="s">
        <v>1602</v>
      </c>
      <c r="G894" s="152" t="s">
        <v>20</v>
      </c>
      <c r="H894" s="153">
        <v>201607</v>
      </c>
      <c r="I894" s="154">
        <v>-7409.26</v>
      </c>
      <c r="J894" s="297">
        <f t="shared" si="55"/>
        <v>42675</v>
      </c>
      <c r="K894" s="67">
        <f t="shared" si="53"/>
        <v>6</v>
      </c>
      <c r="L894" s="155">
        <v>1.4833299999999999E-3</v>
      </c>
      <c r="M894" s="104">
        <f t="shared" si="52"/>
        <v>-65.942265814799995</v>
      </c>
      <c r="O894" s="66"/>
      <c r="Q894" s="66">
        <f t="shared" si="54"/>
        <v>-122.57540152916667</v>
      </c>
    </row>
    <row r="895" spans="1:17">
      <c r="A895" s="151" t="s">
        <v>626</v>
      </c>
      <c r="B895" s="152" t="s">
        <v>1832</v>
      </c>
      <c r="C895" s="152" t="s">
        <v>1833</v>
      </c>
      <c r="D895" s="151" t="s">
        <v>1834</v>
      </c>
      <c r="E895" s="152" t="s">
        <v>497</v>
      </c>
      <c r="F895" s="151" t="s">
        <v>26</v>
      </c>
      <c r="G895" s="152" t="s">
        <v>20</v>
      </c>
      <c r="H895" s="153">
        <v>201607</v>
      </c>
      <c r="I895" s="154">
        <v>63.86</v>
      </c>
      <c r="J895" s="297">
        <f t="shared" si="55"/>
        <v>42675</v>
      </c>
      <c r="K895" s="67">
        <f t="shared" si="53"/>
        <v>6</v>
      </c>
      <c r="L895" s="155">
        <v>1.4833299999999999E-3</v>
      </c>
      <c r="M895" s="104">
        <f t="shared" si="52"/>
        <v>0.56835272280000004</v>
      </c>
      <c r="O895" s="66"/>
      <c r="Q895" s="66">
        <f t="shared" si="54"/>
        <v>1.0564705708333333</v>
      </c>
    </row>
    <row r="896" spans="1:17">
      <c r="A896" s="151" t="s">
        <v>626</v>
      </c>
      <c r="B896" s="152" t="s">
        <v>1712</v>
      </c>
      <c r="C896" s="152" t="s">
        <v>1713</v>
      </c>
      <c r="D896" s="151" t="s">
        <v>1714</v>
      </c>
      <c r="E896" s="152" t="s">
        <v>497</v>
      </c>
      <c r="F896" s="151" t="s">
        <v>26</v>
      </c>
      <c r="G896" s="152" t="s">
        <v>20</v>
      </c>
      <c r="H896" s="153">
        <v>201607</v>
      </c>
      <c r="I896" s="154">
        <v>7.83</v>
      </c>
      <c r="J896" s="297">
        <f t="shared" si="55"/>
        <v>42675</v>
      </c>
      <c r="K896" s="67">
        <f t="shared" si="53"/>
        <v>6</v>
      </c>
      <c r="L896" s="155">
        <v>1.4833299999999999E-3</v>
      </c>
      <c r="M896" s="104">
        <f t="shared" si="52"/>
        <v>6.9686843400000004E-2</v>
      </c>
      <c r="O896" s="66"/>
      <c r="Q896" s="66">
        <f t="shared" si="54"/>
        <v>0.12953593124999999</v>
      </c>
    </row>
    <row r="897" spans="1:17">
      <c r="A897" s="151" t="s">
        <v>626</v>
      </c>
      <c r="B897" s="152" t="s">
        <v>2030</v>
      </c>
      <c r="C897" s="152" t="s">
        <v>2031</v>
      </c>
      <c r="D897" s="151" t="s">
        <v>2032</v>
      </c>
      <c r="E897" s="152" t="s">
        <v>497</v>
      </c>
      <c r="F897" s="151" t="s">
        <v>26</v>
      </c>
      <c r="G897" s="152" t="s">
        <v>20</v>
      </c>
      <c r="H897" s="153">
        <v>201607</v>
      </c>
      <c r="I897" s="154">
        <v>656.95</v>
      </c>
      <c r="J897" s="297">
        <f t="shared" si="55"/>
        <v>42675</v>
      </c>
      <c r="K897" s="67">
        <f t="shared" si="53"/>
        <v>6</v>
      </c>
      <c r="L897" s="155">
        <v>1.4833299999999999E-3</v>
      </c>
      <c r="M897" s="104">
        <f t="shared" si="52"/>
        <v>5.8468418610000006</v>
      </c>
      <c r="O897" s="66"/>
      <c r="Q897" s="66">
        <f t="shared" si="54"/>
        <v>10.868279697916668</v>
      </c>
    </row>
    <row r="898" spans="1:17">
      <c r="A898" s="151" t="s">
        <v>626</v>
      </c>
      <c r="B898" s="152" t="s">
        <v>1715</v>
      </c>
      <c r="C898" s="152" t="s">
        <v>1716</v>
      </c>
      <c r="D898" s="151" t="s">
        <v>1717</v>
      </c>
      <c r="E898" s="152" t="s">
        <v>497</v>
      </c>
      <c r="F898" s="151" t="s">
        <v>26</v>
      </c>
      <c r="G898" s="152" t="s">
        <v>20</v>
      </c>
      <c r="H898" s="153">
        <v>201607</v>
      </c>
      <c r="I898" s="154">
        <v>-7.71</v>
      </c>
      <c r="J898" s="297">
        <f t="shared" si="55"/>
        <v>42675</v>
      </c>
      <c r="K898" s="67">
        <f t="shared" si="53"/>
        <v>6</v>
      </c>
      <c r="L898" s="155">
        <v>1.4833299999999999E-3</v>
      </c>
      <c r="M898" s="104">
        <f t="shared" si="52"/>
        <v>-6.8618845799999995E-2</v>
      </c>
      <c r="O898" s="66"/>
      <c r="Q898" s="66">
        <f t="shared" si="54"/>
        <v>-0.12755070625000001</v>
      </c>
    </row>
    <row r="899" spans="1:17">
      <c r="A899" s="151" t="s">
        <v>626</v>
      </c>
      <c r="B899" s="152" t="s">
        <v>1951</v>
      </c>
      <c r="C899" s="152" t="s">
        <v>1952</v>
      </c>
      <c r="D899" s="151" t="s">
        <v>1759</v>
      </c>
      <c r="E899" s="152" t="s">
        <v>75</v>
      </c>
      <c r="F899" s="151" t="s">
        <v>1602</v>
      </c>
      <c r="G899" s="152" t="s">
        <v>20</v>
      </c>
      <c r="H899" s="153">
        <v>201607</v>
      </c>
      <c r="I899" s="154">
        <v>651.30999999999995</v>
      </c>
      <c r="J899" s="297">
        <f t="shared" si="55"/>
        <v>42675</v>
      </c>
      <c r="K899" s="67">
        <f t="shared" si="53"/>
        <v>6</v>
      </c>
      <c r="L899" s="155">
        <v>1.4833299999999999E-3</v>
      </c>
      <c r="M899" s="104">
        <f t="shared" si="52"/>
        <v>5.7966459737999996</v>
      </c>
      <c r="O899" s="66"/>
      <c r="Q899" s="66">
        <f t="shared" si="54"/>
        <v>10.774974122916666</v>
      </c>
    </row>
    <row r="900" spans="1:17">
      <c r="A900" s="151" t="s">
        <v>626</v>
      </c>
      <c r="B900" s="152" t="s">
        <v>1835</v>
      </c>
      <c r="C900" s="152" t="s">
        <v>1836</v>
      </c>
      <c r="D900" s="151" t="s">
        <v>1837</v>
      </c>
      <c r="E900" s="152" t="s">
        <v>497</v>
      </c>
      <c r="F900" s="151" t="s">
        <v>26</v>
      </c>
      <c r="G900" s="152" t="s">
        <v>20</v>
      </c>
      <c r="H900" s="153">
        <v>201607</v>
      </c>
      <c r="I900" s="154">
        <v>56.52</v>
      </c>
      <c r="J900" s="297">
        <f t="shared" si="55"/>
        <v>42675</v>
      </c>
      <c r="K900" s="67">
        <f t="shared" si="53"/>
        <v>6</v>
      </c>
      <c r="L900" s="155">
        <v>1.4833299999999999E-3</v>
      </c>
      <c r="M900" s="104">
        <f t="shared" si="52"/>
        <v>0.50302686959999998</v>
      </c>
      <c r="O900" s="66"/>
      <c r="Q900" s="66">
        <f t="shared" si="54"/>
        <v>0.93504097500000005</v>
      </c>
    </row>
    <row r="901" spans="1:17">
      <c r="A901" s="151" t="s">
        <v>626</v>
      </c>
      <c r="B901" s="152" t="s">
        <v>1718</v>
      </c>
      <c r="C901" s="152" t="s">
        <v>1719</v>
      </c>
      <c r="D901" s="151" t="s">
        <v>1720</v>
      </c>
      <c r="E901" s="152" t="s">
        <v>497</v>
      </c>
      <c r="F901" s="151" t="s">
        <v>26</v>
      </c>
      <c r="G901" s="152" t="s">
        <v>20</v>
      </c>
      <c r="H901" s="153">
        <v>201607</v>
      </c>
      <c r="I901" s="154">
        <v>17.399999999999999</v>
      </c>
      <c r="J901" s="297">
        <f t="shared" si="55"/>
        <v>42675</v>
      </c>
      <c r="K901" s="67">
        <f t="shared" si="53"/>
        <v>6</v>
      </c>
      <c r="L901" s="155">
        <v>1.4833299999999999E-3</v>
      </c>
      <c r="M901" s="104">
        <f t="shared" ref="M901:M964" si="56">L901*K901*I901</f>
        <v>0.15485965199999999</v>
      </c>
      <c r="O901" s="66"/>
      <c r="Q901" s="66">
        <f t="shared" si="54"/>
        <v>0.28785762499999995</v>
      </c>
    </row>
    <row r="902" spans="1:17">
      <c r="A902" s="151" t="s">
        <v>626</v>
      </c>
      <c r="B902" s="152" t="s">
        <v>2033</v>
      </c>
      <c r="C902" s="152" t="s">
        <v>2034</v>
      </c>
      <c r="D902" s="151" t="s">
        <v>2035</v>
      </c>
      <c r="E902" s="152" t="s">
        <v>497</v>
      </c>
      <c r="F902" s="151" t="s">
        <v>26</v>
      </c>
      <c r="G902" s="152" t="s">
        <v>20</v>
      </c>
      <c r="H902" s="153">
        <v>201607</v>
      </c>
      <c r="I902" s="154">
        <v>909.52</v>
      </c>
      <c r="J902" s="297">
        <f t="shared" si="55"/>
        <v>42675</v>
      </c>
      <c r="K902" s="67">
        <f t="shared" ref="K902:K965" si="57">((YEAR($K$1)-YEAR(J902))*12+MONTH($K$1)-MONTH(J902))</f>
        <v>6</v>
      </c>
      <c r="L902" s="155">
        <v>1.4833299999999999E-3</v>
      </c>
      <c r="M902" s="104">
        <f t="shared" si="56"/>
        <v>8.0947098095999994</v>
      </c>
      <c r="O902" s="66"/>
      <c r="Q902" s="66">
        <f t="shared" ref="Q902:Q965" si="58">($Q$4*0.5*I902*$T$10)</f>
        <v>15.046682016666665</v>
      </c>
    </row>
    <row r="903" spans="1:17">
      <c r="A903" s="151" t="s">
        <v>626</v>
      </c>
      <c r="B903" s="152" t="s">
        <v>1620</v>
      </c>
      <c r="C903" s="152" t="s">
        <v>1621</v>
      </c>
      <c r="D903" s="151" t="s">
        <v>1622</v>
      </c>
      <c r="E903" s="152" t="s">
        <v>497</v>
      </c>
      <c r="F903" s="151" t="s">
        <v>26</v>
      </c>
      <c r="G903" s="152" t="s">
        <v>20</v>
      </c>
      <c r="H903" s="153">
        <v>201607</v>
      </c>
      <c r="I903" s="154">
        <v>110.58</v>
      </c>
      <c r="J903" s="297">
        <f t="shared" ref="J903:J966" si="59">+J902</f>
        <v>42675</v>
      </c>
      <c r="K903" s="67">
        <f t="shared" si="57"/>
        <v>6</v>
      </c>
      <c r="L903" s="155">
        <v>1.4833299999999999E-3</v>
      </c>
      <c r="M903" s="104">
        <f t="shared" si="56"/>
        <v>0.98415978839999996</v>
      </c>
      <c r="O903" s="66"/>
      <c r="Q903" s="66">
        <f t="shared" si="58"/>
        <v>1.8293848374999999</v>
      </c>
    </row>
    <row r="904" spans="1:17">
      <c r="A904" s="151" t="s">
        <v>626</v>
      </c>
      <c r="B904" s="152" t="s">
        <v>2036</v>
      </c>
      <c r="C904" s="152" t="s">
        <v>2037</v>
      </c>
      <c r="D904" s="151" t="s">
        <v>2038</v>
      </c>
      <c r="E904" s="152" t="s">
        <v>160</v>
      </c>
      <c r="F904" s="151" t="s">
        <v>19</v>
      </c>
      <c r="G904" s="152" t="s">
        <v>20</v>
      </c>
      <c r="H904" s="153">
        <v>201607</v>
      </c>
      <c r="I904" s="154">
        <v>1155.6600000000001</v>
      </c>
      <c r="J904" s="297">
        <f t="shared" si="59"/>
        <v>42675</v>
      </c>
      <c r="K904" s="67">
        <f t="shared" si="57"/>
        <v>6</v>
      </c>
      <c r="L904" s="155">
        <v>1.4833299999999999E-3</v>
      </c>
      <c r="M904" s="104">
        <f t="shared" si="56"/>
        <v>10.285350886800002</v>
      </c>
      <c r="O904" s="66"/>
      <c r="Q904" s="66">
        <f t="shared" si="58"/>
        <v>19.118709362500002</v>
      </c>
    </row>
    <row r="905" spans="1:17">
      <c r="A905" s="151" t="s">
        <v>626</v>
      </c>
      <c r="B905" s="152" t="s">
        <v>1770</v>
      </c>
      <c r="C905" s="152" t="s">
        <v>1771</v>
      </c>
      <c r="D905" s="151" t="s">
        <v>1772</v>
      </c>
      <c r="E905" s="152" t="s">
        <v>93</v>
      </c>
      <c r="F905" s="151" t="s">
        <v>1601</v>
      </c>
      <c r="G905" s="152" t="s">
        <v>20</v>
      </c>
      <c r="H905" s="153">
        <v>201607</v>
      </c>
      <c r="I905" s="154">
        <v>5.8</v>
      </c>
      <c r="J905" s="297">
        <f t="shared" si="59"/>
        <v>42675</v>
      </c>
      <c r="K905" s="67">
        <f t="shared" si="57"/>
        <v>6</v>
      </c>
      <c r="L905" s="155">
        <v>1.4833299999999999E-3</v>
      </c>
      <c r="M905" s="104">
        <f t="shared" si="56"/>
        <v>5.1619883999999998E-2</v>
      </c>
      <c r="O905" s="66"/>
      <c r="Q905" s="66">
        <f t="shared" si="58"/>
        <v>9.5952541666666669E-2</v>
      </c>
    </row>
    <row r="906" spans="1:17">
      <c r="A906" s="151" t="s">
        <v>626</v>
      </c>
      <c r="B906" s="152" t="s">
        <v>1721</v>
      </c>
      <c r="C906" s="152" t="s">
        <v>1722</v>
      </c>
      <c r="D906" s="151" t="s">
        <v>1723</v>
      </c>
      <c r="E906" s="152" t="s">
        <v>75</v>
      </c>
      <c r="F906" s="151" t="s">
        <v>1602</v>
      </c>
      <c r="G906" s="152" t="s">
        <v>20</v>
      </c>
      <c r="H906" s="153">
        <v>201607</v>
      </c>
      <c r="I906" s="154">
        <v>5.27</v>
      </c>
      <c r="J906" s="297">
        <f t="shared" si="59"/>
        <v>42675</v>
      </c>
      <c r="K906" s="67">
        <f t="shared" si="57"/>
        <v>6</v>
      </c>
      <c r="L906" s="155">
        <v>1.4833299999999999E-3</v>
      </c>
      <c r="M906" s="104">
        <f t="shared" si="56"/>
        <v>4.6902894599999995E-2</v>
      </c>
      <c r="O906" s="66"/>
      <c r="Q906" s="66">
        <f t="shared" si="58"/>
        <v>8.7184464583333329E-2</v>
      </c>
    </row>
    <row r="907" spans="1:17">
      <c r="A907" s="151" t="s">
        <v>626</v>
      </c>
      <c r="B907" s="152" t="s">
        <v>1953</v>
      </c>
      <c r="C907" s="152" t="s">
        <v>1954</v>
      </c>
      <c r="D907" s="151" t="s">
        <v>1955</v>
      </c>
      <c r="E907" s="152" t="s">
        <v>75</v>
      </c>
      <c r="F907" s="151" t="s">
        <v>1602</v>
      </c>
      <c r="G907" s="152" t="s">
        <v>20</v>
      </c>
      <c r="H907" s="153">
        <v>201607</v>
      </c>
      <c r="I907" s="154">
        <v>16.27</v>
      </c>
      <c r="J907" s="297">
        <f t="shared" si="59"/>
        <v>42675</v>
      </c>
      <c r="K907" s="67">
        <f t="shared" si="57"/>
        <v>6</v>
      </c>
      <c r="L907" s="155">
        <v>1.4833299999999999E-3</v>
      </c>
      <c r="M907" s="104">
        <f t="shared" si="56"/>
        <v>0.14480267459999999</v>
      </c>
      <c r="O907" s="66"/>
      <c r="Q907" s="66">
        <f t="shared" si="58"/>
        <v>0.26916342291666662</v>
      </c>
    </row>
    <row r="908" spans="1:17">
      <c r="A908" s="151" t="s">
        <v>626</v>
      </c>
      <c r="B908" s="152" t="s">
        <v>1548</v>
      </c>
      <c r="C908" s="152" t="s">
        <v>1549</v>
      </c>
      <c r="D908" s="151" t="s">
        <v>1550</v>
      </c>
      <c r="E908" s="152" t="s">
        <v>164</v>
      </c>
      <c r="F908" s="151" t="s">
        <v>1600</v>
      </c>
      <c r="G908" s="152" t="s">
        <v>20</v>
      </c>
      <c r="H908" s="153">
        <v>201607</v>
      </c>
      <c r="I908" s="154">
        <v>2.69</v>
      </c>
      <c r="J908" s="297">
        <f t="shared" si="59"/>
        <v>42675</v>
      </c>
      <c r="K908" s="67">
        <f t="shared" si="57"/>
        <v>6</v>
      </c>
      <c r="L908" s="155">
        <v>1.4833299999999999E-3</v>
      </c>
      <c r="M908" s="104">
        <f t="shared" si="56"/>
        <v>2.39409462E-2</v>
      </c>
      <c r="O908" s="66"/>
      <c r="Q908" s="66">
        <f t="shared" si="58"/>
        <v>4.4502127083333336E-2</v>
      </c>
    </row>
    <row r="909" spans="1:17">
      <c r="A909" s="151" t="s">
        <v>626</v>
      </c>
      <c r="B909" s="152" t="s">
        <v>1345</v>
      </c>
      <c r="C909" s="160" t="s">
        <v>1346</v>
      </c>
      <c r="D909" s="161" t="s">
        <v>1347</v>
      </c>
      <c r="E909" s="160" t="s">
        <v>87</v>
      </c>
      <c r="F909" s="161" t="s">
        <v>1603</v>
      </c>
      <c r="G909" s="160" t="s">
        <v>20</v>
      </c>
      <c r="H909" s="103">
        <v>201607</v>
      </c>
      <c r="I909" s="154">
        <v>-29859.58</v>
      </c>
      <c r="J909" s="297">
        <f t="shared" si="59"/>
        <v>42675</v>
      </c>
      <c r="K909" s="67">
        <f t="shared" si="57"/>
        <v>6</v>
      </c>
      <c r="L909" s="155">
        <v>1.4833299999999999E-3</v>
      </c>
      <c r="M909" s="104">
        <f t="shared" si="56"/>
        <v>-265.74966480840004</v>
      </c>
      <c r="O909" s="66"/>
      <c r="Q909" s="66">
        <f t="shared" si="58"/>
        <v>-493.98320587916663</v>
      </c>
    </row>
    <row r="910" spans="1:17">
      <c r="A910" s="151" t="s">
        <v>626</v>
      </c>
      <c r="B910" s="152" t="s">
        <v>1724</v>
      </c>
      <c r="C910" s="152" t="s">
        <v>1725</v>
      </c>
      <c r="D910" s="151" t="s">
        <v>1726</v>
      </c>
      <c r="E910" s="152" t="s">
        <v>75</v>
      </c>
      <c r="F910" s="151" t="s">
        <v>1602</v>
      </c>
      <c r="G910" s="152" t="s">
        <v>20</v>
      </c>
      <c r="H910" s="153">
        <v>201607</v>
      </c>
      <c r="I910" s="154">
        <v>-12.82</v>
      </c>
      <c r="J910" s="297">
        <f t="shared" si="59"/>
        <v>42675</v>
      </c>
      <c r="K910" s="67">
        <f t="shared" si="57"/>
        <v>6</v>
      </c>
      <c r="L910" s="155">
        <v>1.4833299999999999E-3</v>
      </c>
      <c r="M910" s="104">
        <f t="shared" si="56"/>
        <v>-0.11409774360000001</v>
      </c>
      <c r="O910" s="66"/>
      <c r="Q910" s="66">
        <f t="shared" si="58"/>
        <v>-0.21208820416666668</v>
      </c>
    </row>
    <row r="911" spans="1:17">
      <c r="A911" s="151" t="s">
        <v>626</v>
      </c>
      <c r="B911" s="152" t="s">
        <v>1375</v>
      </c>
      <c r="C911" s="152" t="s">
        <v>1376</v>
      </c>
      <c r="D911" s="151" t="s">
        <v>1374</v>
      </c>
      <c r="E911" s="152" t="s">
        <v>497</v>
      </c>
      <c r="F911" s="151" t="s">
        <v>26</v>
      </c>
      <c r="G911" s="152" t="s">
        <v>20</v>
      </c>
      <c r="H911" s="153">
        <v>201607</v>
      </c>
      <c r="I911" s="154">
        <v>65.86</v>
      </c>
      <c r="J911" s="297">
        <f t="shared" si="59"/>
        <v>42675</v>
      </c>
      <c r="K911" s="67">
        <f t="shared" si="57"/>
        <v>6</v>
      </c>
      <c r="L911" s="155">
        <v>1.4833299999999999E-3</v>
      </c>
      <c r="M911" s="104">
        <f t="shared" si="56"/>
        <v>0.58615268279999999</v>
      </c>
      <c r="O911" s="66"/>
      <c r="Q911" s="66">
        <f t="shared" si="58"/>
        <v>1.0895576541666665</v>
      </c>
    </row>
    <row r="912" spans="1:17">
      <c r="A912" s="151" t="s">
        <v>626</v>
      </c>
      <c r="B912" s="152" t="s">
        <v>1444</v>
      </c>
      <c r="C912" s="152" t="s">
        <v>1445</v>
      </c>
      <c r="D912" s="151" t="s">
        <v>1282</v>
      </c>
      <c r="E912" s="152" t="s">
        <v>164</v>
      </c>
      <c r="F912" s="151" t="s">
        <v>1600</v>
      </c>
      <c r="G912" s="152" t="s">
        <v>20</v>
      </c>
      <c r="H912" s="153">
        <v>201607</v>
      </c>
      <c r="I912" s="154">
        <v>-47.73</v>
      </c>
      <c r="J912" s="297">
        <f t="shared" si="59"/>
        <v>42675</v>
      </c>
      <c r="K912" s="67">
        <f t="shared" si="57"/>
        <v>6</v>
      </c>
      <c r="L912" s="155">
        <v>1.4833299999999999E-3</v>
      </c>
      <c r="M912" s="104">
        <f t="shared" si="56"/>
        <v>-0.42479604539999999</v>
      </c>
      <c r="O912" s="66"/>
      <c r="Q912" s="66">
        <f t="shared" si="58"/>
        <v>-0.78962324374999993</v>
      </c>
    </row>
    <row r="913" spans="1:17">
      <c r="A913" s="151" t="s">
        <v>626</v>
      </c>
      <c r="B913" s="152" t="s">
        <v>1788</v>
      </c>
      <c r="C913" s="152" t="s">
        <v>1789</v>
      </c>
      <c r="D913" s="151" t="s">
        <v>1790</v>
      </c>
      <c r="E913" s="152" t="s">
        <v>25</v>
      </c>
      <c r="F913" s="151" t="s">
        <v>26</v>
      </c>
      <c r="G913" s="152" t="s">
        <v>20</v>
      </c>
      <c r="H913" s="153">
        <v>201607</v>
      </c>
      <c r="I913" s="154">
        <v>25.34</v>
      </c>
      <c r="J913" s="297">
        <f t="shared" si="59"/>
        <v>42675</v>
      </c>
      <c r="K913" s="67">
        <f t="shared" si="57"/>
        <v>6</v>
      </c>
      <c r="L913" s="155">
        <v>1.4833299999999999E-3</v>
      </c>
      <c r="M913" s="104">
        <f t="shared" si="56"/>
        <v>0.22552549320000001</v>
      </c>
      <c r="O913" s="66"/>
      <c r="Q913" s="66">
        <f t="shared" si="58"/>
        <v>0.41921334583333336</v>
      </c>
    </row>
    <row r="914" spans="1:17">
      <c r="A914" s="151" t="s">
        <v>626</v>
      </c>
      <c r="B914" s="152" t="s">
        <v>1791</v>
      </c>
      <c r="C914" s="152" t="s">
        <v>1792</v>
      </c>
      <c r="D914" s="151" t="s">
        <v>1793</v>
      </c>
      <c r="E914" s="152" t="s">
        <v>75</v>
      </c>
      <c r="F914" s="151" t="s">
        <v>1602</v>
      </c>
      <c r="G914" s="152" t="s">
        <v>20</v>
      </c>
      <c r="H914" s="153">
        <v>201607</v>
      </c>
      <c r="I914" s="154">
        <v>552</v>
      </c>
      <c r="J914" s="297">
        <f t="shared" si="59"/>
        <v>42675</v>
      </c>
      <c r="K914" s="67">
        <f t="shared" si="57"/>
        <v>6</v>
      </c>
      <c r="L914" s="155">
        <v>1.4833299999999999E-3</v>
      </c>
      <c r="M914" s="104">
        <f t="shared" si="56"/>
        <v>4.9127889600000003</v>
      </c>
      <c r="O914" s="66"/>
      <c r="Q914" s="66">
        <f t="shared" si="58"/>
        <v>9.1320350000000001</v>
      </c>
    </row>
    <row r="915" spans="1:17">
      <c r="A915" s="151" t="s">
        <v>626</v>
      </c>
      <c r="B915" s="152" t="s">
        <v>1838</v>
      </c>
      <c r="C915" s="152" t="s">
        <v>1839</v>
      </c>
      <c r="D915" s="151" t="s">
        <v>1840</v>
      </c>
      <c r="E915" s="152" t="s">
        <v>260</v>
      </c>
      <c r="F915" s="151" t="s">
        <v>1608</v>
      </c>
      <c r="G915" s="152" t="s">
        <v>20</v>
      </c>
      <c r="H915" s="153">
        <v>201607</v>
      </c>
      <c r="I915" s="154">
        <v>1309.23</v>
      </c>
      <c r="J915" s="297">
        <f t="shared" si="59"/>
        <v>42675</v>
      </c>
      <c r="K915" s="67">
        <f t="shared" si="57"/>
        <v>6</v>
      </c>
      <c r="L915" s="155">
        <v>1.4833299999999999E-3</v>
      </c>
      <c r="M915" s="104">
        <f t="shared" si="56"/>
        <v>11.6521208154</v>
      </c>
      <c r="O915" s="66"/>
      <c r="Q915" s="66">
        <f t="shared" si="58"/>
        <v>21.659301056250001</v>
      </c>
    </row>
    <row r="916" spans="1:17">
      <c r="A916" s="346" t="s">
        <v>133</v>
      </c>
      <c r="B916" s="335" t="s">
        <v>1876</v>
      </c>
      <c r="C916" s="335" t="s">
        <v>1877</v>
      </c>
      <c r="D916" s="346" t="s">
        <v>1878</v>
      </c>
      <c r="E916" s="335" t="s">
        <v>75</v>
      </c>
      <c r="F916" s="346" t="s">
        <v>1602</v>
      </c>
      <c r="G916" s="335" t="s">
        <v>20</v>
      </c>
      <c r="H916" s="336">
        <v>201607</v>
      </c>
      <c r="I916" s="333">
        <v>0</v>
      </c>
      <c r="J916" s="297">
        <f t="shared" si="59"/>
        <v>42675</v>
      </c>
      <c r="K916" s="348">
        <f t="shared" si="57"/>
        <v>6</v>
      </c>
      <c r="L916" s="339">
        <v>1.4833299999999999E-3</v>
      </c>
      <c r="M916" s="349">
        <f t="shared" si="56"/>
        <v>0</v>
      </c>
      <c r="N916" s="350"/>
      <c r="O916" s="351"/>
      <c r="P916" s="350"/>
      <c r="Q916" s="66">
        <f t="shared" si="58"/>
        <v>0</v>
      </c>
    </row>
    <row r="917" spans="1:17">
      <c r="A917" s="161" t="s">
        <v>626</v>
      </c>
      <c r="B917" s="160" t="s">
        <v>2039</v>
      </c>
      <c r="C917" s="160" t="s">
        <v>2040</v>
      </c>
      <c r="D917" s="161" t="s">
        <v>2041</v>
      </c>
      <c r="E917" s="160" t="s">
        <v>497</v>
      </c>
      <c r="F917" s="161" t="s">
        <v>26</v>
      </c>
      <c r="G917" s="160" t="s">
        <v>20</v>
      </c>
      <c r="H917" s="103">
        <v>201607</v>
      </c>
      <c r="I917" s="154">
        <v>1980.26</v>
      </c>
      <c r="J917" s="297">
        <f t="shared" si="59"/>
        <v>42675</v>
      </c>
      <c r="K917" s="67">
        <f t="shared" si="57"/>
        <v>6</v>
      </c>
      <c r="L917" s="155">
        <v>1.4833299999999999E-3</v>
      </c>
      <c r="M917" s="104">
        <f t="shared" si="56"/>
        <v>17.6242743948</v>
      </c>
      <c r="O917" s="66"/>
      <c r="Q917" s="66">
        <f t="shared" si="58"/>
        <v>32.760513820833332</v>
      </c>
    </row>
    <row r="918" spans="1:17">
      <c r="A918" s="151" t="s">
        <v>626</v>
      </c>
      <c r="B918" s="152" t="s">
        <v>1879</v>
      </c>
      <c r="C918" s="152" t="s">
        <v>1880</v>
      </c>
      <c r="D918" s="151" t="s">
        <v>1273</v>
      </c>
      <c r="E918" s="152" t="s">
        <v>75</v>
      </c>
      <c r="F918" s="151" t="s">
        <v>1602</v>
      </c>
      <c r="G918" s="152" t="s">
        <v>20</v>
      </c>
      <c r="H918" s="153">
        <v>201607</v>
      </c>
      <c r="I918" s="154">
        <v>132.15</v>
      </c>
      <c r="J918" s="297">
        <f t="shared" si="59"/>
        <v>42675</v>
      </c>
      <c r="K918" s="67">
        <f t="shared" si="57"/>
        <v>6</v>
      </c>
      <c r="L918" s="155">
        <v>1.4833299999999999E-3</v>
      </c>
      <c r="M918" s="104">
        <f t="shared" si="56"/>
        <v>1.176132357</v>
      </c>
      <c r="O918" s="66"/>
      <c r="Q918" s="66">
        <f t="shared" si="58"/>
        <v>2.1862290312500003</v>
      </c>
    </row>
    <row r="919" spans="1:17">
      <c r="A919" s="161" t="s">
        <v>626</v>
      </c>
      <c r="B919" s="160" t="s">
        <v>2042</v>
      </c>
      <c r="C919" s="160" t="s">
        <v>2043</v>
      </c>
      <c r="D919" s="161" t="s">
        <v>2044</v>
      </c>
      <c r="E919" s="160" t="s">
        <v>497</v>
      </c>
      <c r="F919" s="161" t="s">
        <v>26</v>
      </c>
      <c r="G919" s="160" t="s">
        <v>20</v>
      </c>
      <c r="H919" s="103">
        <v>201607</v>
      </c>
      <c r="I919" s="154">
        <v>3467.6</v>
      </c>
      <c r="J919" s="297">
        <f t="shared" si="59"/>
        <v>42675</v>
      </c>
      <c r="K919" s="67">
        <f t="shared" si="57"/>
        <v>6</v>
      </c>
      <c r="L919" s="155">
        <v>1.4833299999999999E-3</v>
      </c>
      <c r="M919" s="104">
        <f t="shared" si="56"/>
        <v>30.861570648000001</v>
      </c>
      <c r="O919" s="66"/>
      <c r="Q919" s="66">
        <f t="shared" si="58"/>
        <v>57.366385083333327</v>
      </c>
    </row>
    <row r="920" spans="1:17">
      <c r="A920" s="151" t="s">
        <v>626</v>
      </c>
      <c r="B920" s="152" t="s">
        <v>1794</v>
      </c>
      <c r="C920" s="152" t="s">
        <v>1795</v>
      </c>
      <c r="D920" s="151" t="s">
        <v>1796</v>
      </c>
      <c r="E920" s="152" t="s">
        <v>809</v>
      </c>
      <c r="F920" s="151" t="s">
        <v>26</v>
      </c>
      <c r="G920" s="152" t="s">
        <v>20</v>
      </c>
      <c r="H920" s="153">
        <v>201607</v>
      </c>
      <c r="I920" s="154">
        <v>528.13</v>
      </c>
      <c r="J920" s="297">
        <f t="shared" si="59"/>
        <v>42675</v>
      </c>
      <c r="K920" s="67">
        <f t="shared" si="57"/>
        <v>6</v>
      </c>
      <c r="L920" s="155">
        <v>1.4833299999999999E-3</v>
      </c>
      <c r="M920" s="104">
        <f t="shared" si="56"/>
        <v>4.7003464374000004</v>
      </c>
      <c r="O920" s="66"/>
      <c r="Q920" s="66">
        <f t="shared" si="58"/>
        <v>8.7371406604166655</v>
      </c>
    </row>
    <row r="921" spans="1:17">
      <c r="A921" s="151" t="s">
        <v>626</v>
      </c>
      <c r="B921" s="152" t="s">
        <v>1844</v>
      </c>
      <c r="C921" s="152" t="s">
        <v>1845</v>
      </c>
      <c r="D921" s="151" t="s">
        <v>1846</v>
      </c>
      <c r="E921" s="152" t="s">
        <v>160</v>
      </c>
      <c r="F921" s="151" t="s">
        <v>19</v>
      </c>
      <c r="G921" s="152" t="s">
        <v>20</v>
      </c>
      <c r="H921" s="153">
        <v>201607</v>
      </c>
      <c r="I921" s="154">
        <v>293.14999999999998</v>
      </c>
      <c r="J921" s="297">
        <f t="shared" si="59"/>
        <v>42675</v>
      </c>
      <c r="K921" s="67">
        <f t="shared" si="57"/>
        <v>6</v>
      </c>
      <c r="L921" s="155">
        <v>1.4833299999999999E-3</v>
      </c>
      <c r="M921" s="104">
        <f t="shared" si="56"/>
        <v>2.6090291369999998</v>
      </c>
      <c r="O921" s="66"/>
      <c r="Q921" s="66">
        <f t="shared" si="58"/>
        <v>4.8497392395833323</v>
      </c>
    </row>
    <row r="922" spans="1:17">
      <c r="A922" s="151" t="s">
        <v>21</v>
      </c>
      <c r="B922" s="152" t="s">
        <v>1727</v>
      </c>
      <c r="C922" s="152" t="s">
        <v>1728</v>
      </c>
      <c r="D922" s="151" t="s">
        <v>1729</v>
      </c>
      <c r="E922" s="152" t="s">
        <v>75</v>
      </c>
      <c r="F922" s="151" t="s">
        <v>1602</v>
      </c>
      <c r="G922" s="152" t="s">
        <v>20</v>
      </c>
      <c r="H922" s="153">
        <v>201607</v>
      </c>
      <c r="I922" s="154">
        <v>77.959999999999994</v>
      </c>
      <c r="J922" s="297">
        <f t="shared" si="59"/>
        <v>42675</v>
      </c>
      <c r="K922" s="67">
        <f t="shared" si="57"/>
        <v>6</v>
      </c>
      <c r="L922" s="155">
        <v>1.4833299999999999E-3</v>
      </c>
      <c r="M922" s="104">
        <f t="shared" si="56"/>
        <v>0.6938424407999999</v>
      </c>
      <c r="O922" s="66"/>
      <c r="Q922" s="66">
        <f t="shared" si="58"/>
        <v>1.2897345083333331</v>
      </c>
    </row>
    <row r="923" spans="1:17">
      <c r="A923" s="151" t="s">
        <v>990</v>
      </c>
      <c r="B923" s="152" t="s">
        <v>1730</v>
      </c>
      <c r="C923" s="152" t="s">
        <v>1731</v>
      </c>
      <c r="D923" s="151" t="s">
        <v>1732</v>
      </c>
      <c r="E923" s="152" t="s">
        <v>1688</v>
      </c>
      <c r="F923" s="151" t="s">
        <v>1689</v>
      </c>
      <c r="G923" s="152" t="s">
        <v>20</v>
      </c>
      <c r="H923" s="153">
        <v>201607</v>
      </c>
      <c r="I923" s="154">
        <v>-1.53</v>
      </c>
      <c r="J923" s="297">
        <f t="shared" si="59"/>
        <v>42675</v>
      </c>
      <c r="K923" s="67">
        <f t="shared" si="57"/>
        <v>6</v>
      </c>
      <c r="L923" s="155">
        <v>2.3833299999999999E-3</v>
      </c>
      <c r="M923" s="104">
        <f t="shared" si="56"/>
        <v>-2.18789694E-2</v>
      </c>
      <c r="O923" s="66"/>
      <c r="Q923" s="66">
        <f t="shared" si="58"/>
        <v>-2.5311618750000001E-2</v>
      </c>
    </row>
    <row r="924" spans="1:17">
      <c r="A924" s="151" t="s">
        <v>990</v>
      </c>
      <c r="B924" s="152" t="s">
        <v>1733</v>
      </c>
      <c r="C924" s="152" t="s">
        <v>1734</v>
      </c>
      <c r="D924" s="151" t="s">
        <v>1735</v>
      </c>
      <c r="E924" s="152" t="s">
        <v>1688</v>
      </c>
      <c r="F924" s="151" t="s">
        <v>1689</v>
      </c>
      <c r="G924" s="152" t="s">
        <v>20</v>
      </c>
      <c r="H924" s="153">
        <v>201607</v>
      </c>
      <c r="I924" s="154">
        <v>6.58</v>
      </c>
      <c r="J924" s="297">
        <f t="shared" si="59"/>
        <v>42675</v>
      </c>
      <c r="K924" s="67">
        <f t="shared" si="57"/>
        <v>6</v>
      </c>
      <c r="L924" s="155">
        <v>2.3833299999999999E-3</v>
      </c>
      <c r="M924" s="104">
        <f t="shared" si="56"/>
        <v>9.4093868400000003E-2</v>
      </c>
      <c r="O924" s="66"/>
      <c r="Q924" s="66">
        <f t="shared" si="58"/>
        <v>0.10885650416666667</v>
      </c>
    </row>
    <row r="925" spans="1:17">
      <c r="A925" s="151" t="s">
        <v>626</v>
      </c>
      <c r="B925" s="152" t="s">
        <v>1881</v>
      </c>
      <c r="C925" s="152" t="s">
        <v>1882</v>
      </c>
      <c r="D925" s="151" t="s">
        <v>1883</v>
      </c>
      <c r="E925" s="152" t="s">
        <v>75</v>
      </c>
      <c r="F925" s="151" t="s">
        <v>1602</v>
      </c>
      <c r="G925" s="152" t="s">
        <v>20</v>
      </c>
      <c r="H925" s="153">
        <v>201607</v>
      </c>
      <c r="I925" s="154">
        <v>99.24</v>
      </c>
      <c r="J925" s="297">
        <f t="shared" si="59"/>
        <v>42675</v>
      </c>
      <c r="K925" s="67">
        <f t="shared" si="57"/>
        <v>6</v>
      </c>
      <c r="L925" s="155">
        <v>1.4833299999999999E-3</v>
      </c>
      <c r="M925" s="104">
        <f t="shared" si="56"/>
        <v>0.8832340152</v>
      </c>
      <c r="O925" s="66"/>
      <c r="Q925" s="66">
        <f t="shared" si="58"/>
        <v>1.6417810749999999</v>
      </c>
    </row>
    <row r="926" spans="1:17">
      <c r="A926" s="151" t="s">
        <v>626</v>
      </c>
      <c r="B926" s="152" t="s">
        <v>1496</v>
      </c>
      <c r="C926" s="152" t="s">
        <v>1497</v>
      </c>
      <c r="D926" s="151" t="s">
        <v>1498</v>
      </c>
      <c r="E926" s="152" t="s">
        <v>164</v>
      </c>
      <c r="F926" s="151" t="s">
        <v>1600</v>
      </c>
      <c r="G926" s="152" t="s">
        <v>20</v>
      </c>
      <c r="H926" s="153">
        <v>201607</v>
      </c>
      <c r="I926" s="154">
        <v>-7</v>
      </c>
      <c r="J926" s="297">
        <f t="shared" si="59"/>
        <v>42675</v>
      </c>
      <c r="K926" s="67">
        <f t="shared" si="57"/>
        <v>6</v>
      </c>
      <c r="L926" s="155">
        <v>1.4833299999999999E-3</v>
      </c>
      <c r="M926" s="104">
        <f t="shared" si="56"/>
        <v>-6.2299859999999999E-2</v>
      </c>
      <c r="O926" s="66"/>
      <c r="Q926" s="66">
        <f t="shared" si="58"/>
        <v>-0.11580479166666667</v>
      </c>
    </row>
    <row r="927" spans="1:17">
      <c r="A927" s="151" t="s">
        <v>626</v>
      </c>
      <c r="B927" s="152" t="s">
        <v>1884</v>
      </c>
      <c r="C927" s="152" t="s">
        <v>1885</v>
      </c>
      <c r="D927" s="151" t="s">
        <v>1886</v>
      </c>
      <c r="E927" s="152" t="s">
        <v>75</v>
      </c>
      <c r="F927" s="151" t="s">
        <v>1602</v>
      </c>
      <c r="G927" s="152" t="s">
        <v>20</v>
      </c>
      <c r="H927" s="153">
        <v>201607</v>
      </c>
      <c r="I927" s="154">
        <v>51.77</v>
      </c>
      <c r="J927" s="297">
        <f t="shared" si="59"/>
        <v>42675</v>
      </c>
      <c r="K927" s="67">
        <f t="shared" si="57"/>
        <v>6</v>
      </c>
      <c r="L927" s="155">
        <v>1.4833299999999999E-3</v>
      </c>
      <c r="M927" s="104">
        <f t="shared" si="56"/>
        <v>0.46075196460000001</v>
      </c>
      <c r="O927" s="66"/>
      <c r="Q927" s="66">
        <f t="shared" si="58"/>
        <v>0.85645915208333345</v>
      </c>
    </row>
    <row r="928" spans="1:17">
      <c r="A928" s="151" t="s">
        <v>626</v>
      </c>
      <c r="B928" s="152" t="s">
        <v>1736</v>
      </c>
      <c r="C928" s="152" t="s">
        <v>1737</v>
      </c>
      <c r="D928" s="151" t="s">
        <v>1738</v>
      </c>
      <c r="E928" s="152" t="s">
        <v>164</v>
      </c>
      <c r="F928" s="151" t="s">
        <v>1600</v>
      </c>
      <c r="G928" s="152" t="s">
        <v>20</v>
      </c>
      <c r="H928" s="153">
        <v>201607</v>
      </c>
      <c r="I928" s="154">
        <v>213.58</v>
      </c>
      <c r="J928" s="297">
        <f t="shared" si="59"/>
        <v>42675</v>
      </c>
      <c r="K928" s="67">
        <f t="shared" si="57"/>
        <v>6</v>
      </c>
      <c r="L928" s="155">
        <v>1.4833299999999999E-3</v>
      </c>
      <c r="M928" s="104">
        <f t="shared" si="56"/>
        <v>1.9008577284000001</v>
      </c>
      <c r="O928" s="66"/>
      <c r="Q928" s="66">
        <f t="shared" si="58"/>
        <v>3.5333696291666667</v>
      </c>
    </row>
    <row r="929" spans="1:17">
      <c r="A929" s="151" t="s">
        <v>626</v>
      </c>
      <c r="B929" s="152" t="s">
        <v>1847</v>
      </c>
      <c r="C929" s="152" t="s">
        <v>1848</v>
      </c>
      <c r="D929" s="151" t="s">
        <v>1849</v>
      </c>
      <c r="E929" s="152" t="s">
        <v>63</v>
      </c>
      <c r="F929" s="151" t="s">
        <v>19</v>
      </c>
      <c r="G929" s="152" t="s">
        <v>20</v>
      </c>
      <c r="H929" s="153">
        <v>201607</v>
      </c>
      <c r="I929" s="154">
        <v>1.69</v>
      </c>
      <c r="J929" s="297">
        <f t="shared" si="59"/>
        <v>42675</v>
      </c>
      <c r="K929" s="67">
        <f t="shared" si="57"/>
        <v>6</v>
      </c>
      <c r="L929" s="155">
        <v>1.4833299999999999E-3</v>
      </c>
      <c r="M929" s="104">
        <f t="shared" si="56"/>
        <v>1.50409662E-2</v>
      </c>
      <c r="O929" s="66"/>
      <c r="Q929" s="66">
        <f t="shared" si="58"/>
        <v>2.7958585416666668E-2</v>
      </c>
    </row>
    <row r="930" spans="1:17">
      <c r="A930" s="151" t="s">
        <v>626</v>
      </c>
      <c r="B930" s="152" t="s">
        <v>1594</v>
      </c>
      <c r="C930" s="152" t="s">
        <v>1595</v>
      </c>
      <c r="D930" s="151" t="s">
        <v>1596</v>
      </c>
      <c r="E930" s="152" t="s">
        <v>87</v>
      </c>
      <c r="F930" s="151" t="s">
        <v>1603</v>
      </c>
      <c r="G930" s="152" t="s">
        <v>20</v>
      </c>
      <c r="H930" s="153">
        <v>201607</v>
      </c>
      <c r="I930" s="154">
        <v>1.58</v>
      </c>
      <c r="J930" s="297">
        <f t="shared" si="59"/>
        <v>42675</v>
      </c>
      <c r="K930" s="67">
        <f t="shared" si="57"/>
        <v>6</v>
      </c>
      <c r="L930" s="155">
        <v>1.4833299999999999E-3</v>
      </c>
      <c r="M930" s="104">
        <f t="shared" si="56"/>
        <v>1.4061968400000001E-2</v>
      </c>
      <c r="O930" s="66"/>
      <c r="Q930" s="66">
        <f t="shared" si="58"/>
        <v>2.6138795833333336E-2</v>
      </c>
    </row>
    <row r="931" spans="1:17">
      <c r="A931" s="151" t="s">
        <v>127</v>
      </c>
      <c r="B931" s="152" t="s">
        <v>1773</v>
      </c>
      <c r="C931" s="152" t="s">
        <v>1774</v>
      </c>
      <c r="D931" s="151" t="s">
        <v>1775</v>
      </c>
      <c r="E931" s="152" t="s">
        <v>209</v>
      </c>
      <c r="F931" s="151" t="s">
        <v>1612</v>
      </c>
      <c r="G931" s="152" t="s">
        <v>20</v>
      </c>
      <c r="H931" s="153">
        <v>201607</v>
      </c>
      <c r="I931" s="154">
        <v>-17.2</v>
      </c>
      <c r="J931" s="297">
        <f t="shared" si="59"/>
        <v>42675</v>
      </c>
      <c r="K931" s="67">
        <f t="shared" si="57"/>
        <v>6</v>
      </c>
      <c r="L931" s="155">
        <v>2.3833299999999999E-3</v>
      </c>
      <c r="M931" s="104">
        <f t="shared" si="56"/>
        <v>-0.245959656</v>
      </c>
      <c r="O931" s="66"/>
      <c r="Q931" s="66">
        <f t="shared" si="58"/>
        <v>-0.28454891666666665</v>
      </c>
    </row>
    <row r="932" spans="1:17">
      <c r="A932" s="151" t="s">
        <v>626</v>
      </c>
      <c r="B932" s="152" t="s">
        <v>1739</v>
      </c>
      <c r="C932" s="152" t="s">
        <v>1740</v>
      </c>
      <c r="D932" s="151" t="s">
        <v>1741</v>
      </c>
      <c r="E932" s="152" t="s">
        <v>164</v>
      </c>
      <c r="F932" s="151" t="s">
        <v>1600</v>
      </c>
      <c r="G932" s="152" t="s">
        <v>20</v>
      </c>
      <c r="H932" s="153">
        <v>201607</v>
      </c>
      <c r="I932" s="154">
        <v>592.30999999999995</v>
      </c>
      <c r="J932" s="297">
        <f t="shared" si="59"/>
        <v>42675</v>
      </c>
      <c r="K932" s="67">
        <f t="shared" si="57"/>
        <v>6</v>
      </c>
      <c r="L932" s="155">
        <v>1.4833299999999999E-3</v>
      </c>
      <c r="M932" s="104">
        <f t="shared" si="56"/>
        <v>5.2715471537999994</v>
      </c>
      <c r="O932" s="66"/>
      <c r="Q932" s="66">
        <f t="shared" si="58"/>
        <v>9.7989051645833332</v>
      </c>
    </row>
    <row r="933" spans="1:17">
      <c r="A933" s="151" t="s">
        <v>626</v>
      </c>
      <c r="B933" s="152" t="s">
        <v>1632</v>
      </c>
      <c r="C933" s="152" t="s">
        <v>1633</v>
      </c>
      <c r="D933" s="151" t="s">
        <v>1634</v>
      </c>
      <c r="E933" s="152" t="s">
        <v>471</v>
      </c>
      <c r="F933" s="151" t="s">
        <v>165</v>
      </c>
      <c r="G933" s="152" t="s">
        <v>20</v>
      </c>
      <c r="H933" s="153">
        <v>201607</v>
      </c>
      <c r="I933" s="154">
        <v>8.1300000000000008</v>
      </c>
      <c r="J933" s="297">
        <f t="shared" si="59"/>
        <v>42675</v>
      </c>
      <c r="K933" s="67">
        <f t="shared" si="57"/>
        <v>6</v>
      </c>
      <c r="L933" s="155">
        <v>1.4833299999999999E-3</v>
      </c>
      <c r="M933" s="104">
        <f t="shared" si="56"/>
        <v>7.2356837400000013E-2</v>
      </c>
      <c r="O933" s="66"/>
      <c r="Q933" s="66">
        <f t="shared" si="58"/>
        <v>0.13449899375000002</v>
      </c>
    </row>
    <row r="934" spans="1:17">
      <c r="A934" s="151" t="s">
        <v>21</v>
      </c>
      <c r="B934" s="152" t="s">
        <v>1635</v>
      </c>
      <c r="C934" s="152" t="s">
        <v>1636</v>
      </c>
      <c r="D934" s="151" t="s">
        <v>1637</v>
      </c>
      <c r="E934" s="152" t="s">
        <v>360</v>
      </c>
      <c r="F934" s="151" t="s">
        <v>19</v>
      </c>
      <c r="G934" s="152" t="s">
        <v>20</v>
      </c>
      <c r="H934" s="153">
        <v>201607</v>
      </c>
      <c r="I934" s="154">
        <v>3.48</v>
      </c>
      <c r="J934" s="297">
        <f t="shared" si="59"/>
        <v>42675</v>
      </c>
      <c r="K934" s="67">
        <f t="shared" si="57"/>
        <v>6</v>
      </c>
      <c r="L934" s="155">
        <v>1.4833299999999999E-3</v>
      </c>
      <c r="M934" s="104">
        <f t="shared" si="56"/>
        <v>3.09719304E-2</v>
      </c>
      <c r="O934" s="66"/>
      <c r="Q934" s="66">
        <f t="shared" si="58"/>
        <v>5.7571525000000005E-2</v>
      </c>
    </row>
    <row r="935" spans="1:17">
      <c r="A935" s="161" t="s">
        <v>626</v>
      </c>
      <c r="B935" s="160" t="s">
        <v>1797</v>
      </c>
      <c r="C935" s="160" t="s">
        <v>1798</v>
      </c>
      <c r="D935" s="161" t="s">
        <v>1799</v>
      </c>
      <c r="E935" s="160" t="s">
        <v>164</v>
      </c>
      <c r="F935" s="161" t="s">
        <v>1600</v>
      </c>
      <c r="G935" s="160" t="s">
        <v>20</v>
      </c>
      <c r="H935" s="103">
        <v>201607</v>
      </c>
      <c r="I935" s="154">
        <v>1858.31</v>
      </c>
      <c r="J935" s="297">
        <f t="shared" si="59"/>
        <v>42675</v>
      </c>
      <c r="K935" s="67">
        <f t="shared" si="57"/>
        <v>6</v>
      </c>
      <c r="L935" s="155">
        <v>1.4833299999999999E-3</v>
      </c>
      <c r="M935" s="104">
        <f t="shared" si="56"/>
        <v>16.5389218338</v>
      </c>
      <c r="O935" s="66"/>
      <c r="Q935" s="66">
        <f t="shared" si="58"/>
        <v>30.743028914583334</v>
      </c>
    </row>
    <row r="936" spans="1:17">
      <c r="A936" s="151" t="s">
        <v>626</v>
      </c>
      <c r="B936" s="152" t="s">
        <v>1890</v>
      </c>
      <c r="C936" s="152" t="s">
        <v>1891</v>
      </c>
      <c r="D936" s="151" t="s">
        <v>1495</v>
      </c>
      <c r="E936" s="152" t="s">
        <v>75</v>
      </c>
      <c r="F936" s="151" t="s">
        <v>1602</v>
      </c>
      <c r="G936" s="152" t="s">
        <v>20</v>
      </c>
      <c r="H936" s="153">
        <v>201607</v>
      </c>
      <c r="I936" s="154">
        <v>251.64</v>
      </c>
      <c r="J936" s="297">
        <f t="shared" si="59"/>
        <v>42675</v>
      </c>
      <c r="K936" s="67">
        <f t="shared" si="57"/>
        <v>6</v>
      </c>
      <c r="L936" s="155">
        <v>1.4833299999999999E-3</v>
      </c>
      <c r="M936" s="104">
        <f t="shared" si="56"/>
        <v>2.2395909671999998</v>
      </c>
      <c r="O936" s="66"/>
      <c r="Q936" s="66">
        <f t="shared" si="58"/>
        <v>4.1630168249999997</v>
      </c>
    </row>
    <row r="937" spans="1:17">
      <c r="A937" s="161" t="s">
        <v>21</v>
      </c>
      <c r="B937" s="160" t="s">
        <v>1956</v>
      </c>
      <c r="C937" s="160" t="s">
        <v>1957</v>
      </c>
      <c r="D937" s="161" t="s">
        <v>1958</v>
      </c>
      <c r="E937" s="160" t="s">
        <v>75</v>
      </c>
      <c r="F937" s="161" t="s">
        <v>1602</v>
      </c>
      <c r="G937" s="160" t="s">
        <v>20</v>
      </c>
      <c r="H937" s="103">
        <v>201607</v>
      </c>
      <c r="I937" s="154">
        <v>2990.51</v>
      </c>
      <c r="J937" s="297">
        <f t="shared" si="59"/>
        <v>42675</v>
      </c>
      <c r="K937" s="67">
        <f t="shared" si="57"/>
        <v>6</v>
      </c>
      <c r="L937" s="155">
        <v>1.4833299999999999E-3</v>
      </c>
      <c r="M937" s="104">
        <f t="shared" si="56"/>
        <v>26.615479189800002</v>
      </c>
      <c r="O937" s="66"/>
      <c r="Q937" s="66">
        <f t="shared" si="58"/>
        <v>49.473626789583342</v>
      </c>
    </row>
    <row r="938" spans="1:17">
      <c r="A938" s="151" t="s">
        <v>626</v>
      </c>
      <c r="B938" s="152" t="s">
        <v>1892</v>
      </c>
      <c r="C938" s="152" t="s">
        <v>1893</v>
      </c>
      <c r="D938" s="151" t="s">
        <v>1894</v>
      </c>
      <c r="E938" s="152" t="s">
        <v>75</v>
      </c>
      <c r="F938" s="151" t="s">
        <v>1602</v>
      </c>
      <c r="G938" s="152" t="s">
        <v>20</v>
      </c>
      <c r="H938" s="153">
        <v>201607</v>
      </c>
      <c r="I938" s="154">
        <v>501.28</v>
      </c>
      <c r="J938" s="297">
        <f t="shared" si="59"/>
        <v>42675</v>
      </c>
      <c r="K938" s="67">
        <f t="shared" si="57"/>
        <v>6</v>
      </c>
      <c r="L938" s="155">
        <v>1.4833299999999999E-3</v>
      </c>
      <c r="M938" s="104">
        <f t="shared" si="56"/>
        <v>4.4613819744000001</v>
      </c>
      <c r="O938" s="66"/>
      <c r="Q938" s="66">
        <f t="shared" si="58"/>
        <v>8.2929465666666662</v>
      </c>
    </row>
    <row r="939" spans="1:17">
      <c r="A939" s="151" t="s">
        <v>626</v>
      </c>
      <c r="B939" s="152" t="s">
        <v>1959</v>
      </c>
      <c r="C939" s="152" t="s">
        <v>1960</v>
      </c>
      <c r="D939" s="151" t="s">
        <v>1495</v>
      </c>
      <c r="E939" s="152" t="s">
        <v>75</v>
      </c>
      <c r="F939" s="151" t="s">
        <v>1602</v>
      </c>
      <c r="G939" s="152" t="s">
        <v>20</v>
      </c>
      <c r="H939" s="153">
        <v>201607</v>
      </c>
      <c r="I939" s="154">
        <v>7.93</v>
      </c>
      <c r="J939" s="297">
        <f t="shared" si="59"/>
        <v>42675</v>
      </c>
      <c r="K939" s="67">
        <f t="shared" si="57"/>
        <v>6</v>
      </c>
      <c r="L939" s="155">
        <v>1.4833299999999999E-3</v>
      </c>
      <c r="M939" s="104">
        <f t="shared" si="56"/>
        <v>7.0576841399999993E-2</v>
      </c>
      <c r="O939" s="66"/>
      <c r="Q939" s="66">
        <f t="shared" si="58"/>
        <v>0.13119028541666666</v>
      </c>
    </row>
    <row r="940" spans="1:17">
      <c r="A940" s="151" t="s">
        <v>626</v>
      </c>
      <c r="B940" s="152" t="s">
        <v>1898</v>
      </c>
      <c r="C940" s="152" t="s">
        <v>1899</v>
      </c>
      <c r="D940" s="151" t="s">
        <v>1900</v>
      </c>
      <c r="E940" s="152" t="s">
        <v>75</v>
      </c>
      <c r="F940" s="151" t="s">
        <v>1602</v>
      </c>
      <c r="G940" s="152" t="s">
        <v>20</v>
      </c>
      <c r="H940" s="153">
        <v>201607</v>
      </c>
      <c r="I940" s="154">
        <v>276.39</v>
      </c>
      <c r="J940" s="297">
        <f t="shared" si="59"/>
        <v>42675</v>
      </c>
      <c r="K940" s="67">
        <f t="shared" si="57"/>
        <v>6</v>
      </c>
      <c r="L940" s="155">
        <v>1.4833299999999999E-3</v>
      </c>
      <c r="M940" s="104">
        <f t="shared" si="56"/>
        <v>2.4598654721999997</v>
      </c>
      <c r="O940" s="66"/>
      <c r="Q940" s="66">
        <f t="shared" si="58"/>
        <v>4.5724694812499997</v>
      </c>
    </row>
    <row r="941" spans="1:17">
      <c r="A941" s="151" t="s">
        <v>626</v>
      </c>
      <c r="B941" s="152" t="s">
        <v>1901</v>
      </c>
      <c r="C941" s="152" t="s">
        <v>1902</v>
      </c>
      <c r="D941" s="151" t="s">
        <v>1903</v>
      </c>
      <c r="E941" s="152" t="s">
        <v>75</v>
      </c>
      <c r="F941" s="151" t="s">
        <v>1602</v>
      </c>
      <c r="G941" s="152" t="s">
        <v>20</v>
      </c>
      <c r="H941" s="153">
        <v>201607</v>
      </c>
      <c r="I941" s="154">
        <v>1482.07</v>
      </c>
      <c r="J941" s="297">
        <f t="shared" si="59"/>
        <v>42675</v>
      </c>
      <c r="K941" s="67">
        <f t="shared" si="57"/>
        <v>6</v>
      </c>
      <c r="L941" s="155">
        <v>1.4833299999999999E-3</v>
      </c>
      <c r="M941" s="104">
        <f t="shared" si="56"/>
        <v>13.1903933586</v>
      </c>
      <c r="O941" s="66"/>
      <c r="Q941" s="66">
        <f t="shared" si="58"/>
        <v>24.518686797916665</v>
      </c>
    </row>
    <row r="942" spans="1:17">
      <c r="A942" s="151" t="s">
        <v>626</v>
      </c>
      <c r="B942" s="152" t="s">
        <v>1693</v>
      </c>
      <c r="C942" s="152" t="s">
        <v>1694</v>
      </c>
      <c r="D942" s="151" t="s">
        <v>1695</v>
      </c>
      <c r="E942" s="152" t="s">
        <v>809</v>
      </c>
      <c r="F942" s="151" t="s">
        <v>26</v>
      </c>
      <c r="G942" s="152" t="s">
        <v>20</v>
      </c>
      <c r="H942" s="153">
        <v>201607</v>
      </c>
      <c r="I942" s="154">
        <v>1.42</v>
      </c>
      <c r="J942" s="297">
        <f t="shared" si="59"/>
        <v>42675</v>
      </c>
      <c r="K942" s="67">
        <f t="shared" si="57"/>
        <v>6</v>
      </c>
      <c r="L942" s="155">
        <v>1.4833299999999999E-3</v>
      </c>
      <c r="M942" s="104">
        <f t="shared" si="56"/>
        <v>1.2637971599999999E-2</v>
      </c>
      <c r="O942" s="66"/>
      <c r="Q942" s="66">
        <f t="shared" si="58"/>
        <v>2.3491829166666665E-2</v>
      </c>
    </row>
    <row r="943" spans="1:17">
      <c r="A943" s="151" t="s">
        <v>626</v>
      </c>
      <c r="B943" s="152" t="s">
        <v>1638</v>
      </c>
      <c r="C943" s="152" t="s">
        <v>1639</v>
      </c>
      <c r="D943" s="151" t="s">
        <v>1640</v>
      </c>
      <c r="E943" s="152" t="s">
        <v>164</v>
      </c>
      <c r="F943" s="151" t="s">
        <v>1600</v>
      </c>
      <c r="G943" s="152" t="s">
        <v>20</v>
      </c>
      <c r="H943" s="153">
        <v>201607</v>
      </c>
      <c r="I943" s="154">
        <v>2.77</v>
      </c>
      <c r="J943" s="297">
        <f t="shared" si="59"/>
        <v>42675</v>
      </c>
      <c r="K943" s="67">
        <f t="shared" si="57"/>
        <v>6</v>
      </c>
      <c r="L943" s="155">
        <v>1.4833299999999999E-3</v>
      </c>
      <c r="M943" s="104">
        <f t="shared" si="56"/>
        <v>2.4652944600000001E-2</v>
      </c>
      <c r="O943" s="66"/>
      <c r="Q943" s="66">
        <f t="shared" si="58"/>
        <v>4.5825610416666669E-2</v>
      </c>
    </row>
    <row r="944" spans="1:17">
      <c r="A944" s="151" t="s">
        <v>626</v>
      </c>
      <c r="B944" s="152" t="s">
        <v>1904</v>
      </c>
      <c r="C944" s="152" t="s">
        <v>1905</v>
      </c>
      <c r="D944" s="151" t="s">
        <v>1906</v>
      </c>
      <c r="E944" s="152" t="s">
        <v>75</v>
      </c>
      <c r="F944" s="151" t="s">
        <v>1602</v>
      </c>
      <c r="G944" s="152" t="s">
        <v>20</v>
      </c>
      <c r="H944" s="153">
        <v>201607</v>
      </c>
      <c r="I944" s="154">
        <v>201.61</v>
      </c>
      <c r="J944" s="297">
        <f t="shared" si="59"/>
        <v>42675</v>
      </c>
      <c r="K944" s="67">
        <f t="shared" si="57"/>
        <v>6</v>
      </c>
      <c r="L944" s="155">
        <v>1.4833299999999999E-3</v>
      </c>
      <c r="M944" s="104">
        <f t="shared" si="56"/>
        <v>1.7943249678000002</v>
      </c>
      <c r="O944" s="66"/>
      <c r="Q944" s="66">
        <f t="shared" si="58"/>
        <v>3.3353434354166671</v>
      </c>
    </row>
    <row r="945" spans="1:17">
      <c r="A945" s="151" t="s">
        <v>626</v>
      </c>
      <c r="B945" s="152" t="s">
        <v>1742</v>
      </c>
      <c r="C945" s="152" t="s">
        <v>1743</v>
      </c>
      <c r="D945" s="151" t="s">
        <v>1744</v>
      </c>
      <c r="E945" s="152" t="s">
        <v>497</v>
      </c>
      <c r="F945" s="151" t="s">
        <v>26</v>
      </c>
      <c r="G945" s="152" t="s">
        <v>20</v>
      </c>
      <c r="H945" s="153">
        <v>201607</v>
      </c>
      <c r="I945" s="154">
        <v>45.81</v>
      </c>
      <c r="J945" s="297">
        <f t="shared" si="59"/>
        <v>42675</v>
      </c>
      <c r="K945" s="67">
        <f t="shared" si="57"/>
        <v>6</v>
      </c>
      <c r="L945" s="155">
        <v>1.4833299999999999E-3</v>
      </c>
      <c r="M945" s="104">
        <f t="shared" si="56"/>
        <v>0.40770808380000001</v>
      </c>
      <c r="O945" s="66"/>
      <c r="Q945" s="66">
        <f t="shared" si="58"/>
        <v>0.75785964375000003</v>
      </c>
    </row>
    <row r="946" spans="1:17">
      <c r="A946" s="151" t="s">
        <v>21</v>
      </c>
      <c r="B946" s="152" t="s">
        <v>1745</v>
      </c>
      <c r="C946" s="152" t="s">
        <v>1746</v>
      </c>
      <c r="D946" s="151" t="s">
        <v>1747</v>
      </c>
      <c r="E946" s="152" t="s">
        <v>497</v>
      </c>
      <c r="F946" s="151" t="s">
        <v>26</v>
      </c>
      <c r="G946" s="152" t="s">
        <v>20</v>
      </c>
      <c r="H946" s="153">
        <v>201607</v>
      </c>
      <c r="I946" s="154">
        <v>21.59</v>
      </c>
      <c r="J946" s="297">
        <f t="shared" si="59"/>
        <v>42675</v>
      </c>
      <c r="K946" s="67">
        <f t="shared" si="57"/>
        <v>6</v>
      </c>
      <c r="L946" s="155">
        <v>1.4833299999999999E-3</v>
      </c>
      <c r="M946" s="104">
        <f t="shared" si="56"/>
        <v>0.19215056820000001</v>
      </c>
      <c r="O946" s="66"/>
      <c r="Q946" s="66">
        <f t="shared" si="58"/>
        <v>0.35717506458333331</v>
      </c>
    </row>
    <row r="947" spans="1:17">
      <c r="A947" s="151" t="s">
        <v>626</v>
      </c>
      <c r="B947" s="152" t="s">
        <v>1745</v>
      </c>
      <c r="C947" s="152" t="s">
        <v>1746</v>
      </c>
      <c r="D947" s="151" t="s">
        <v>1747</v>
      </c>
      <c r="E947" s="152" t="s">
        <v>497</v>
      </c>
      <c r="F947" s="151" t="s">
        <v>26</v>
      </c>
      <c r="G947" s="152" t="s">
        <v>20</v>
      </c>
      <c r="H947" s="153">
        <v>201607</v>
      </c>
      <c r="I947" s="154">
        <v>262.17</v>
      </c>
      <c r="J947" s="297">
        <f t="shared" si="59"/>
        <v>42675</v>
      </c>
      <c r="K947" s="67">
        <f t="shared" si="57"/>
        <v>6</v>
      </c>
      <c r="L947" s="155">
        <v>1.4833299999999999E-3</v>
      </c>
      <c r="M947" s="104">
        <f t="shared" si="56"/>
        <v>2.3333077566</v>
      </c>
      <c r="O947" s="66"/>
      <c r="Q947" s="66">
        <f t="shared" si="58"/>
        <v>4.33722031875</v>
      </c>
    </row>
    <row r="948" spans="1:17">
      <c r="A948" s="161" t="s">
        <v>626</v>
      </c>
      <c r="B948" s="160" t="s">
        <v>1800</v>
      </c>
      <c r="C948" s="160" t="s">
        <v>1801</v>
      </c>
      <c r="D948" s="161" t="s">
        <v>1802</v>
      </c>
      <c r="E948" s="160" t="s">
        <v>75</v>
      </c>
      <c r="F948" s="161" t="s">
        <v>1602</v>
      </c>
      <c r="G948" s="160" t="s">
        <v>20</v>
      </c>
      <c r="H948" s="103">
        <v>201607</v>
      </c>
      <c r="I948" s="154">
        <v>9710.14</v>
      </c>
      <c r="J948" s="297">
        <f t="shared" si="59"/>
        <v>42675</v>
      </c>
      <c r="K948" s="67">
        <f t="shared" si="57"/>
        <v>6</v>
      </c>
      <c r="L948" s="155">
        <v>1.4833299999999999E-3</v>
      </c>
      <c r="M948" s="104">
        <f t="shared" si="56"/>
        <v>86.420051797199989</v>
      </c>
      <c r="O948" s="66"/>
      <c r="Q948" s="66">
        <f t="shared" si="58"/>
        <v>160.64010567916668</v>
      </c>
    </row>
    <row r="949" spans="1:17">
      <c r="A949" s="161" t="s">
        <v>626</v>
      </c>
      <c r="B949" s="160" t="s">
        <v>2045</v>
      </c>
      <c r="C949" s="160" t="s">
        <v>2046</v>
      </c>
      <c r="D949" s="161" t="s">
        <v>2047</v>
      </c>
      <c r="E949" s="160" t="s">
        <v>75</v>
      </c>
      <c r="F949" s="161" t="s">
        <v>1602</v>
      </c>
      <c r="G949" s="160" t="s">
        <v>20</v>
      </c>
      <c r="H949" s="103">
        <v>201607</v>
      </c>
      <c r="I949" s="154">
        <v>3652.72</v>
      </c>
      <c r="J949" s="297">
        <f t="shared" si="59"/>
        <v>42675</v>
      </c>
      <c r="K949" s="67">
        <f t="shared" si="57"/>
        <v>6</v>
      </c>
      <c r="L949" s="155">
        <v>1.4833299999999999E-3</v>
      </c>
      <c r="M949" s="104">
        <f t="shared" si="56"/>
        <v>32.509134945599996</v>
      </c>
      <c r="O949" s="66"/>
      <c r="Q949" s="66">
        <f t="shared" si="58"/>
        <v>60.428925516666659</v>
      </c>
    </row>
    <row r="950" spans="1:17">
      <c r="A950" s="151" t="s">
        <v>626</v>
      </c>
      <c r="B950" s="152" t="s">
        <v>1961</v>
      </c>
      <c r="C950" s="152" t="s">
        <v>1962</v>
      </c>
      <c r="D950" s="151" t="s">
        <v>1963</v>
      </c>
      <c r="E950" s="152" t="s">
        <v>75</v>
      </c>
      <c r="F950" s="151" t="s">
        <v>1602</v>
      </c>
      <c r="G950" s="152" t="s">
        <v>20</v>
      </c>
      <c r="H950" s="153">
        <v>201607</v>
      </c>
      <c r="I950" s="154">
        <v>1133.01</v>
      </c>
      <c r="J950" s="297">
        <f t="shared" si="59"/>
        <v>42675</v>
      </c>
      <c r="K950" s="67">
        <f t="shared" si="57"/>
        <v>6</v>
      </c>
      <c r="L950" s="155">
        <v>1.4833299999999999E-3</v>
      </c>
      <c r="M950" s="104">
        <f t="shared" si="56"/>
        <v>10.0837663398</v>
      </c>
      <c r="O950" s="66"/>
      <c r="Q950" s="66">
        <f t="shared" si="58"/>
        <v>18.743998143749998</v>
      </c>
    </row>
    <row r="951" spans="1:17">
      <c r="A951" s="151" t="s">
        <v>626</v>
      </c>
      <c r="B951" s="152" t="s">
        <v>1907</v>
      </c>
      <c r="C951" s="152" t="s">
        <v>1908</v>
      </c>
      <c r="D951" s="151" t="s">
        <v>1909</v>
      </c>
      <c r="E951" s="152" t="s">
        <v>75</v>
      </c>
      <c r="F951" s="151" t="s">
        <v>1602</v>
      </c>
      <c r="G951" s="152" t="s">
        <v>20</v>
      </c>
      <c r="H951" s="153">
        <v>201607</v>
      </c>
      <c r="I951" s="154">
        <v>945.2</v>
      </c>
      <c r="J951" s="297">
        <f t="shared" si="59"/>
        <v>42675</v>
      </c>
      <c r="K951" s="67">
        <f t="shared" si="57"/>
        <v>6</v>
      </c>
      <c r="L951" s="155">
        <v>1.4833299999999999E-3</v>
      </c>
      <c r="M951" s="104">
        <f t="shared" si="56"/>
        <v>8.4122610959999999</v>
      </c>
      <c r="O951" s="66"/>
      <c r="Q951" s="66">
        <f t="shared" si="58"/>
        <v>15.636955583333336</v>
      </c>
    </row>
    <row r="952" spans="1:17">
      <c r="A952" s="161" t="s">
        <v>626</v>
      </c>
      <c r="B952" s="160" t="s">
        <v>1803</v>
      </c>
      <c r="C952" s="160" t="s">
        <v>1804</v>
      </c>
      <c r="D952" s="161" t="s">
        <v>1805</v>
      </c>
      <c r="E952" s="160" t="s">
        <v>164</v>
      </c>
      <c r="F952" s="161" t="s">
        <v>1600</v>
      </c>
      <c r="G952" s="160" t="s">
        <v>20</v>
      </c>
      <c r="H952" s="103">
        <v>201607</v>
      </c>
      <c r="I952" s="154">
        <v>1973.43</v>
      </c>
      <c r="J952" s="297">
        <f t="shared" si="59"/>
        <v>42675</v>
      </c>
      <c r="K952" s="67">
        <f t="shared" si="57"/>
        <v>6</v>
      </c>
      <c r="L952" s="155">
        <v>1.4833299999999999E-3</v>
      </c>
      <c r="M952" s="104">
        <f t="shared" si="56"/>
        <v>17.5634875314</v>
      </c>
      <c r="O952" s="66"/>
      <c r="Q952" s="66">
        <f t="shared" si="58"/>
        <v>32.647521431249999</v>
      </c>
    </row>
    <row r="953" spans="1:17">
      <c r="A953" s="161" t="s">
        <v>626</v>
      </c>
      <c r="B953" s="160" t="s">
        <v>1748</v>
      </c>
      <c r="C953" s="160" t="s">
        <v>1749</v>
      </c>
      <c r="D953" s="161" t="s">
        <v>1750</v>
      </c>
      <c r="E953" s="160" t="s">
        <v>75</v>
      </c>
      <c r="F953" s="161" t="s">
        <v>1602</v>
      </c>
      <c r="G953" s="160" t="s">
        <v>20</v>
      </c>
      <c r="H953" s="103">
        <v>201607</v>
      </c>
      <c r="I953" s="154">
        <v>2290.36</v>
      </c>
      <c r="J953" s="297">
        <f t="shared" si="59"/>
        <v>42675</v>
      </c>
      <c r="K953" s="67">
        <f t="shared" si="57"/>
        <v>6</v>
      </c>
      <c r="L953" s="155">
        <v>1.4833299999999999E-3</v>
      </c>
      <c r="M953" s="104">
        <f t="shared" si="56"/>
        <v>20.384158192800001</v>
      </c>
      <c r="O953" s="66"/>
      <c r="Q953" s="66">
        <f t="shared" si="58"/>
        <v>37.890666091666667</v>
      </c>
    </row>
    <row r="954" spans="1:17">
      <c r="A954" s="151" t="s">
        <v>626</v>
      </c>
      <c r="B954" s="152" t="s">
        <v>1910</v>
      </c>
      <c r="C954" s="152" t="s">
        <v>1911</v>
      </c>
      <c r="D954" s="151" t="s">
        <v>1912</v>
      </c>
      <c r="E954" s="152" t="s">
        <v>75</v>
      </c>
      <c r="F954" s="151" t="s">
        <v>1602</v>
      </c>
      <c r="G954" s="152" t="s">
        <v>20</v>
      </c>
      <c r="H954" s="153">
        <v>201607</v>
      </c>
      <c r="I954" s="154">
        <v>818.95</v>
      </c>
      <c r="J954" s="297">
        <f t="shared" si="59"/>
        <v>42675</v>
      </c>
      <c r="K954" s="67">
        <f t="shared" si="57"/>
        <v>6</v>
      </c>
      <c r="L954" s="155">
        <v>1.4833299999999999E-3</v>
      </c>
      <c r="M954" s="104">
        <f t="shared" si="56"/>
        <v>7.2886386210000005</v>
      </c>
      <c r="O954" s="66"/>
      <c r="Q954" s="66">
        <f t="shared" si="58"/>
        <v>13.548333447916667</v>
      </c>
    </row>
    <row r="955" spans="1:17">
      <c r="A955" s="151" t="s">
        <v>626</v>
      </c>
      <c r="B955" s="152" t="s">
        <v>1913</v>
      </c>
      <c r="C955" s="152" t="s">
        <v>1914</v>
      </c>
      <c r="D955" s="151" t="s">
        <v>1915</v>
      </c>
      <c r="E955" s="152" t="s">
        <v>75</v>
      </c>
      <c r="F955" s="151" t="s">
        <v>1602</v>
      </c>
      <c r="G955" s="152" t="s">
        <v>20</v>
      </c>
      <c r="H955" s="153">
        <v>201607</v>
      </c>
      <c r="I955" s="154">
        <v>172.01</v>
      </c>
      <c r="J955" s="297">
        <f t="shared" si="59"/>
        <v>42675</v>
      </c>
      <c r="K955" s="67">
        <f t="shared" si="57"/>
        <v>6</v>
      </c>
      <c r="L955" s="155">
        <v>1.4833299999999999E-3</v>
      </c>
      <c r="M955" s="104">
        <f t="shared" si="56"/>
        <v>1.5308855598</v>
      </c>
      <c r="O955" s="66"/>
      <c r="Q955" s="66">
        <f t="shared" si="58"/>
        <v>2.8456546020833331</v>
      </c>
    </row>
    <row r="956" spans="1:17">
      <c r="A956" s="151" t="s">
        <v>626</v>
      </c>
      <c r="B956" s="152" t="s">
        <v>2048</v>
      </c>
      <c r="C956" s="152" t="s">
        <v>2049</v>
      </c>
      <c r="D956" s="151" t="s">
        <v>2050</v>
      </c>
      <c r="E956" s="152" t="s">
        <v>75</v>
      </c>
      <c r="F956" s="151" t="s">
        <v>1602</v>
      </c>
      <c r="G956" s="152" t="s">
        <v>20</v>
      </c>
      <c r="H956" s="153">
        <v>201607</v>
      </c>
      <c r="I956" s="154">
        <v>1605.65</v>
      </c>
      <c r="J956" s="297">
        <f t="shared" si="59"/>
        <v>42675</v>
      </c>
      <c r="K956" s="67">
        <f t="shared" si="57"/>
        <v>6</v>
      </c>
      <c r="L956" s="155">
        <v>1.4833299999999999E-3</v>
      </c>
      <c r="M956" s="104">
        <f t="shared" si="56"/>
        <v>14.290252887000001</v>
      </c>
      <c r="O956" s="66"/>
      <c r="Q956" s="66">
        <f t="shared" si="58"/>
        <v>26.563137677083336</v>
      </c>
    </row>
    <row r="957" spans="1:17">
      <c r="A957" s="151" t="s">
        <v>626</v>
      </c>
      <c r="B957" s="152" t="s">
        <v>1916</v>
      </c>
      <c r="C957" s="152" t="s">
        <v>1917</v>
      </c>
      <c r="D957" s="151" t="s">
        <v>1273</v>
      </c>
      <c r="E957" s="152" t="s">
        <v>75</v>
      </c>
      <c r="F957" s="151" t="s">
        <v>1602</v>
      </c>
      <c r="G957" s="152" t="s">
        <v>20</v>
      </c>
      <c r="H957" s="153">
        <v>201607</v>
      </c>
      <c r="I957" s="154">
        <v>920.07</v>
      </c>
      <c r="J957" s="297">
        <f t="shared" si="59"/>
        <v>42675</v>
      </c>
      <c r="K957" s="67">
        <f t="shared" si="57"/>
        <v>6</v>
      </c>
      <c r="L957" s="155">
        <v>1.4833299999999999E-3</v>
      </c>
      <c r="M957" s="104">
        <f t="shared" si="56"/>
        <v>8.1886045986000013</v>
      </c>
      <c r="O957" s="66"/>
      <c r="Q957" s="66">
        <f t="shared" si="58"/>
        <v>15.221216381250002</v>
      </c>
    </row>
    <row r="958" spans="1:17">
      <c r="A958" s="151" t="s">
        <v>626</v>
      </c>
      <c r="B958" s="152" t="s">
        <v>1776</v>
      </c>
      <c r="C958" s="152" t="s">
        <v>1777</v>
      </c>
      <c r="D958" s="151" t="s">
        <v>1778</v>
      </c>
      <c r="E958" s="152" t="s">
        <v>452</v>
      </c>
      <c r="F958" s="151" t="s">
        <v>398</v>
      </c>
      <c r="G958" s="152" t="s">
        <v>20</v>
      </c>
      <c r="H958" s="153">
        <v>201607</v>
      </c>
      <c r="I958" s="154">
        <v>51.98</v>
      </c>
      <c r="J958" s="297">
        <f t="shared" si="59"/>
        <v>42675</v>
      </c>
      <c r="K958" s="67">
        <f t="shared" si="57"/>
        <v>6</v>
      </c>
      <c r="L958" s="155">
        <v>1.4833299999999999E-3</v>
      </c>
      <c r="M958" s="104">
        <f t="shared" si="56"/>
        <v>0.46262096039999995</v>
      </c>
      <c r="O958" s="66"/>
      <c r="Q958" s="66">
        <f t="shared" si="58"/>
        <v>0.85993329583333333</v>
      </c>
    </row>
    <row r="959" spans="1:17">
      <c r="A959" s="151" t="s">
        <v>626</v>
      </c>
      <c r="B959" s="152" t="s">
        <v>1806</v>
      </c>
      <c r="C959" s="152" t="s">
        <v>1807</v>
      </c>
      <c r="D959" s="151" t="s">
        <v>1808</v>
      </c>
      <c r="E959" s="152" t="s">
        <v>75</v>
      </c>
      <c r="F959" s="151" t="s">
        <v>1602</v>
      </c>
      <c r="G959" s="152" t="s">
        <v>20</v>
      </c>
      <c r="H959" s="153">
        <v>201607</v>
      </c>
      <c r="I959" s="154">
        <v>115.69</v>
      </c>
      <c r="J959" s="297">
        <f t="shared" si="59"/>
        <v>42675</v>
      </c>
      <c r="K959" s="67">
        <f t="shared" si="57"/>
        <v>6</v>
      </c>
      <c r="L959" s="155">
        <v>1.4833299999999999E-3</v>
      </c>
      <c r="M959" s="104">
        <f t="shared" si="56"/>
        <v>1.0296386862</v>
      </c>
      <c r="O959" s="66"/>
      <c r="Q959" s="66">
        <f t="shared" si="58"/>
        <v>1.9139223354166668</v>
      </c>
    </row>
    <row r="960" spans="1:17">
      <c r="A960" s="151" t="s">
        <v>626</v>
      </c>
      <c r="B960" s="152" t="s">
        <v>1918</v>
      </c>
      <c r="C960" s="152" t="s">
        <v>1919</v>
      </c>
      <c r="D960" s="151" t="s">
        <v>1920</v>
      </c>
      <c r="E960" s="152" t="s">
        <v>75</v>
      </c>
      <c r="F960" s="151" t="s">
        <v>1602</v>
      </c>
      <c r="G960" s="152" t="s">
        <v>20</v>
      </c>
      <c r="H960" s="153">
        <v>201607</v>
      </c>
      <c r="I960" s="154">
        <v>124.14</v>
      </c>
      <c r="J960" s="297">
        <f t="shared" si="59"/>
        <v>42675</v>
      </c>
      <c r="K960" s="67">
        <f t="shared" si="57"/>
        <v>6</v>
      </c>
      <c r="L960" s="155">
        <v>1.4833299999999999E-3</v>
      </c>
      <c r="M960" s="104">
        <f t="shared" si="56"/>
        <v>1.1048435172</v>
      </c>
      <c r="O960" s="66"/>
      <c r="Q960" s="66">
        <f t="shared" si="58"/>
        <v>2.0537152624999999</v>
      </c>
    </row>
    <row r="961" spans="1:17">
      <c r="A961" s="151" t="s">
        <v>626</v>
      </c>
      <c r="B961" s="152" t="s">
        <v>2051</v>
      </c>
      <c r="C961" s="152" t="s">
        <v>2052</v>
      </c>
      <c r="D961" s="151" t="s">
        <v>2053</v>
      </c>
      <c r="E961" s="152" t="s">
        <v>75</v>
      </c>
      <c r="F961" s="151" t="s">
        <v>1602</v>
      </c>
      <c r="G961" s="152" t="s">
        <v>20</v>
      </c>
      <c r="H961" s="153">
        <v>201607</v>
      </c>
      <c r="I961" s="154">
        <v>1639.44</v>
      </c>
      <c r="J961" s="297">
        <f t="shared" si="59"/>
        <v>42675</v>
      </c>
      <c r="K961" s="67">
        <f t="shared" si="57"/>
        <v>6</v>
      </c>
      <c r="L961" s="155">
        <v>1.4833299999999999E-3</v>
      </c>
      <c r="M961" s="104">
        <f t="shared" si="56"/>
        <v>14.590983211200001</v>
      </c>
      <c r="O961" s="66"/>
      <c r="Q961" s="66">
        <f t="shared" si="58"/>
        <v>27.122143950000002</v>
      </c>
    </row>
    <row r="962" spans="1:17">
      <c r="A962" s="151" t="s">
        <v>626</v>
      </c>
      <c r="B962" s="152" t="s">
        <v>1921</v>
      </c>
      <c r="C962" s="152" t="s">
        <v>1922</v>
      </c>
      <c r="D962" s="151" t="s">
        <v>1923</v>
      </c>
      <c r="E962" s="152" t="s">
        <v>156</v>
      </c>
      <c r="F962" s="151" t="s">
        <v>26</v>
      </c>
      <c r="G962" s="152" t="s">
        <v>20</v>
      </c>
      <c r="H962" s="153">
        <v>201607</v>
      </c>
      <c r="I962" s="154">
        <v>944.33</v>
      </c>
      <c r="J962" s="297">
        <f t="shared" si="59"/>
        <v>42675</v>
      </c>
      <c r="K962" s="67">
        <f t="shared" si="57"/>
        <v>6</v>
      </c>
      <c r="L962" s="155">
        <v>1.4833299999999999E-3</v>
      </c>
      <c r="M962" s="104">
        <f t="shared" si="56"/>
        <v>8.4045181134</v>
      </c>
      <c r="O962" s="66"/>
      <c r="Q962" s="66">
        <f t="shared" si="58"/>
        <v>15.622562702083334</v>
      </c>
    </row>
    <row r="963" spans="1:17">
      <c r="A963" s="151" t="s">
        <v>14</v>
      </c>
      <c r="B963" s="152" t="s">
        <v>1661</v>
      </c>
      <c r="C963" s="152" t="s">
        <v>1662</v>
      </c>
      <c r="D963" s="151" t="s">
        <v>1663</v>
      </c>
      <c r="E963" s="152" t="s">
        <v>284</v>
      </c>
      <c r="F963" s="151" t="s">
        <v>285</v>
      </c>
      <c r="G963" s="152" t="s">
        <v>20</v>
      </c>
      <c r="H963" s="153">
        <v>201607</v>
      </c>
      <c r="I963" s="154">
        <v>0.01</v>
      </c>
      <c r="J963" s="297">
        <f t="shared" si="59"/>
        <v>42675</v>
      </c>
      <c r="K963" s="67">
        <f t="shared" si="57"/>
        <v>6</v>
      </c>
      <c r="L963" s="155">
        <v>2.23333E-3</v>
      </c>
      <c r="M963" s="104">
        <f t="shared" si="56"/>
        <v>1.3399979999999999E-4</v>
      </c>
      <c r="O963" s="66"/>
      <c r="Q963" s="66">
        <f t="shared" si="58"/>
        <v>1.6543541666666668E-4</v>
      </c>
    </row>
    <row r="964" spans="1:17">
      <c r="A964" s="161" t="s">
        <v>626</v>
      </c>
      <c r="B964" s="160" t="s">
        <v>2115</v>
      </c>
      <c r="C964" s="160" t="s">
        <v>2116</v>
      </c>
      <c r="D964" s="161" t="s">
        <v>1338</v>
      </c>
      <c r="E964" s="160" t="s">
        <v>75</v>
      </c>
      <c r="F964" s="161" t="s">
        <v>1602</v>
      </c>
      <c r="G964" s="160" t="s">
        <v>20</v>
      </c>
      <c r="H964" s="103">
        <v>201607</v>
      </c>
      <c r="I964" s="154">
        <v>109674.19</v>
      </c>
      <c r="J964" s="297">
        <f t="shared" si="59"/>
        <v>42675</v>
      </c>
      <c r="K964" s="67">
        <f t="shared" si="57"/>
        <v>6</v>
      </c>
      <c r="L964" s="155">
        <v>1.4833299999999999E-3</v>
      </c>
      <c r="M964" s="104">
        <f t="shared" si="56"/>
        <v>976.09809751620003</v>
      </c>
      <c r="O964" s="66"/>
      <c r="Q964" s="66">
        <f t="shared" si="58"/>
        <v>1814.3995320229167</v>
      </c>
    </row>
    <row r="965" spans="1:17">
      <c r="A965" s="151" t="s">
        <v>21</v>
      </c>
      <c r="B965" s="152" t="s">
        <v>1664</v>
      </c>
      <c r="C965" s="152" t="s">
        <v>1665</v>
      </c>
      <c r="D965" s="151" t="s">
        <v>1666</v>
      </c>
      <c r="E965" s="152" t="s">
        <v>87</v>
      </c>
      <c r="F965" s="151" t="s">
        <v>1603</v>
      </c>
      <c r="G965" s="152" t="s">
        <v>20</v>
      </c>
      <c r="H965" s="153">
        <v>201607</v>
      </c>
      <c r="I965" s="154">
        <v>-32374.87</v>
      </c>
      <c r="J965" s="297">
        <f t="shared" si="59"/>
        <v>42675</v>
      </c>
      <c r="K965" s="67">
        <f t="shared" si="57"/>
        <v>6</v>
      </c>
      <c r="L965" s="155">
        <v>1.4833299999999999E-3</v>
      </c>
      <c r="M965" s="104">
        <f t="shared" ref="M965:M1028" si="60">L965*K965*I965</f>
        <v>-288.13569550260002</v>
      </c>
      <c r="O965" s="66"/>
      <c r="Q965" s="66">
        <f t="shared" si="58"/>
        <v>-535.59501079791664</v>
      </c>
    </row>
    <row r="966" spans="1:17">
      <c r="A966" s="151" t="s">
        <v>990</v>
      </c>
      <c r="B966" s="152" t="s">
        <v>1751</v>
      </c>
      <c r="C966" s="152" t="s">
        <v>1752</v>
      </c>
      <c r="D966" s="151" t="s">
        <v>1753</v>
      </c>
      <c r="E966" s="152" t="s">
        <v>1688</v>
      </c>
      <c r="F966" s="151" t="s">
        <v>1689</v>
      </c>
      <c r="G966" s="152" t="s">
        <v>20</v>
      </c>
      <c r="H966" s="153">
        <v>201607</v>
      </c>
      <c r="I966" s="154">
        <v>6.58</v>
      </c>
      <c r="J966" s="297">
        <f t="shared" si="59"/>
        <v>42675</v>
      </c>
      <c r="K966" s="67">
        <f t="shared" ref="K966:K1029" si="61">((YEAR($K$1)-YEAR(J966))*12+MONTH($K$1)-MONTH(J966))</f>
        <v>6</v>
      </c>
      <c r="L966" s="155">
        <v>2.3833299999999999E-3</v>
      </c>
      <c r="M966" s="104">
        <f t="shared" si="60"/>
        <v>9.4093868400000003E-2</v>
      </c>
      <c r="O966" s="66"/>
      <c r="Q966" s="66">
        <f t="shared" ref="Q966:Q1029" si="62">($Q$4*0.5*I966*$T$10)</f>
        <v>0.10885650416666667</v>
      </c>
    </row>
    <row r="967" spans="1:17">
      <c r="A967" s="151" t="s">
        <v>990</v>
      </c>
      <c r="B967" s="152" t="s">
        <v>1754</v>
      </c>
      <c r="C967" s="152" t="s">
        <v>1755</v>
      </c>
      <c r="D967" s="151" t="s">
        <v>1756</v>
      </c>
      <c r="E967" s="152" t="s">
        <v>1688</v>
      </c>
      <c r="F967" s="151" t="s">
        <v>1689</v>
      </c>
      <c r="G967" s="152" t="s">
        <v>20</v>
      </c>
      <c r="H967" s="153">
        <v>201607</v>
      </c>
      <c r="I967" s="154">
        <v>29.65</v>
      </c>
      <c r="J967" s="297">
        <f t="shared" ref="J967:J1030" si="63">+J966</f>
        <v>42675</v>
      </c>
      <c r="K967" s="67">
        <f t="shared" si="61"/>
        <v>6</v>
      </c>
      <c r="L967" s="155">
        <v>2.3833299999999999E-3</v>
      </c>
      <c r="M967" s="104">
        <f t="shared" si="60"/>
        <v>0.42399440699999996</v>
      </c>
      <c r="O967" s="66"/>
      <c r="Q967" s="66">
        <f t="shared" si="62"/>
        <v>0.49051601041666659</v>
      </c>
    </row>
    <row r="968" spans="1:17">
      <c r="A968" s="151" t="s">
        <v>626</v>
      </c>
      <c r="B968" s="152" t="s">
        <v>1924</v>
      </c>
      <c r="C968" s="152" t="s">
        <v>1925</v>
      </c>
      <c r="D968" s="151" t="s">
        <v>1926</v>
      </c>
      <c r="E968" s="152" t="s">
        <v>75</v>
      </c>
      <c r="F968" s="151" t="s">
        <v>1602</v>
      </c>
      <c r="G968" s="152" t="s">
        <v>20</v>
      </c>
      <c r="H968" s="153">
        <v>201607</v>
      </c>
      <c r="I968" s="154">
        <v>33.26</v>
      </c>
      <c r="J968" s="297">
        <f t="shared" si="63"/>
        <v>42675</v>
      </c>
      <c r="K968" s="67">
        <f t="shared" si="61"/>
        <v>6</v>
      </c>
      <c r="L968" s="155">
        <v>1.4833299999999999E-3</v>
      </c>
      <c r="M968" s="104">
        <f t="shared" si="60"/>
        <v>0.29601333479999997</v>
      </c>
      <c r="O968" s="66"/>
      <c r="Q968" s="66">
        <f t="shared" si="62"/>
        <v>0.55023819583333333</v>
      </c>
    </row>
    <row r="969" spans="1:17">
      <c r="A969" s="151" t="s">
        <v>626</v>
      </c>
      <c r="B969" s="152" t="s">
        <v>1927</v>
      </c>
      <c r="C969" s="152" t="s">
        <v>1928</v>
      </c>
      <c r="D969" s="151" t="s">
        <v>1929</v>
      </c>
      <c r="E969" s="152" t="s">
        <v>75</v>
      </c>
      <c r="F969" s="151" t="s">
        <v>1602</v>
      </c>
      <c r="G969" s="152" t="s">
        <v>20</v>
      </c>
      <c r="H969" s="153">
        <v>201607</v>
      </c>
      <c r="I969" s="154">
        <v>31.17</v>
      </c>
      <c r="J969" s="297">
        <f t="shared" si="63"/>
        <v>42675</v>
      </c>
      <c r="K969" s="67">
        <f t="shared" si="61"/>
        <v>6</v>
      </c>
      <c r="L969" s="155">
        <v>1.4833299999999999E-3</v>
      </c>
      <c r="M969" s="104">
        <f t="shared" si="60"/>
        <v>0.27741237660000001</v>
      </c>
      <c r="O969" s="66"/>
      <c r="Q969" s="66">
        <f t="shared" si="62"/>
        <v>0.51566219375000011</v>
      </c>
    </row>
    <row r="970" spans="1:17">
      <c r="A970" s="151" t="s">
        <v>21</v>
      </c>
      <c r="B970" s="152" t="s">
        <v>1820</v>
      </c>
      <c r="C970" s="152" t="s">
        <v>1821</v>
      </c>
      <c r="D970" s="151" t="s">
        <v>1822</v>
      </c>
      <c r="E970" s="152" t="s">
        <v>87</v>
      </c>
      <c r="F970" s="151" t="s">
        <v>1603</v>
      </c>
      <c r="G970" s="152" t="s">
        <v>20</v>
      </c>
      <c r="H970" s="153">
        <v>201607</v>
      </c>
      <c r="I970" s="154">
        <v>216.07</v>
      </c>
      <c r="J970" s="297">
        <f t="shared" si="63"/>
        <v>42675</v>
      </c>
      <c r="K970" s="67">
        <f t="shared" si="61"/>
        <v>6</v>
      </c>
      <c r="L970" s="155">
        <v>1.4833299999999999E-3</v>
      </c>
      <c r="M970" s="104">
        <f t="shared" si="60"/>
        <v>1.9230186785999999</v>
      </c>
      <c r="O970" s="66"/>
      <c r="Q970" s="66">
        <f t="shared" si="62"/>
        <v>3.5745630479166666</v>
      </c>
    </row>
    <row r="971" spans="1:17">
      <c r="A971" s="151" t="s">
        <v>626</v>
      </c>
      <c r="B971" s="152" t="s">
        <v>1699</v>
      </c>
      <c r="C971" s="152" t="s">
        <v>1700</v>
      </c>
      <c r="D971" s="151" t="s">
        <v>1701</v>
      </c>
      <c r="E971" s="152" t="s">
        <v>544</v>
      </c>
      <c r="F971" s="151" t="s">
        <v>26</v>
      </c>
      <c r="G971" s="152" t="s">
        <v>20</v>
      </c>
      <c r="H971" s="153">
        <v>201607</v>
      </c>
      <c r="I971" s="154">
        <v>-41.67</v>
      </c>
      <c r="J971" s="297">
        <f t="shared" si="63"/>
        <v>42675</v>
      </c>
      <c r="K971" s="67">
        <f t="shared" si="61"/>
        <v>6</v>
      </c>
      <c r="L971" s="155">
        <v>1.4833299999999999E-3</v>
      </c>
      <c r="M971" s="104">
        <f t="shared" si="60"/>
        <v>-0.37086216660000004</v>
      </c>
      <c r="O971" s="66"/>
      <c r="Q971" s="66">
        <f t="shared" si="62"/>
        <v>-0.68936938125000002</v>
      </c>
    </row>
    <row r="972" spans="1:17">
      <c r="A972" s="151" t="s">
        <v>127</v>
      </c>
      <c r="B972" s="152" t="s">
        <v>1964</v>
      </c>
      <c r="C972" s="152" t="s">
        <v>1965</v>
      </c>
      <c r="D972" s="151" t="s">
        <v>1966</v>
      </c>
      <c r="E972" s="152" t="s">
        <v>87</v>
      </c>
      <c r="F972" s="151" t="s">
        <v>1603</v>
      </c>
      <c r="G972" s="152" t="s">
        <v>20</v>
      </c>
      <c r="H972" s="153">
        <v>201607</v>
      </c>
      <c r="I972" s="154">
        <v>75.7</v>
      </c>
      <c r="J972" s="297">
        <f t="shared" si="63"/>
        <v>42675</v>
      </c>
      <c r="K972" s="67">
        <f t="shared" si="61"/>
        <v>6</v>
      </c>
      <c r="L972" s="155">
        <v>2.3833299999999999E-3</v>
      </c>
      <c r="M972" s="104">
        <f t="shared" si="60"/>
        <v>1.082508486</v>
      </c>
      <c r="O972" s="66"/>
      <c r="Q972" s="66">
        <f t="shared" si="62"/>
        <v>1.2523461041666668</v>
      </c>
    </row>
    <row r="973" spans="1:17">
      <c r="A973" s="151" t="s">
        <v>626</v>
      </c>
      <c r="B973" s="152" t="s">
        <v>1930</v>
      </c>
      <c r="C973" s="152" t="s">
        <v>1931</v>
      </c>
      <c r="D973" s="151" t="s">
        <v>1932</v>
      </c>
      <c r="E973" s="152" t="s">
        <v>75</v>
      </c>
      <c r="F973" s="151" t="s">
        <v>1602</v>
      </c>
      <c r="G973" s="152" t="s">
        <v>20</v>
      </c>
      <c r="H973" s="153">
        <v>201607</v>
      </c>
      <c r="I973" s="154">
        <v>147.21</v>
      </c>
      <c r="J973" s="297">
        <f t="shared" si="63"/>
        <v>42675</v>
      </c>
      <c r="K973" s="67">
        <f t="shared" si="61"/>
        <v>6</v>
      </c>
      <c r="L973" s="155">
        <v>1.4833299999999999E-3</v>
      </c>
      <c r="M973" s="104">
        <f t="shared" si="60"/>
        <v>1.3101660558000001</v>
      </c>
      <c r="O973" s="66"/>
      <c r="Q973" s="66">
        <f t="shared" si="62"/>
        <v>2.43537476875</v>
      </c>
    </row>
    <row r="974" spans="1:17">
      <c r="A974" s="151" t="s">
        <v>626</v>
      </c>
      <c r="B974" s="152" t="s">
        <v>1782</v>
      </c>
      <c r="C974" s="152" t="s">
        <v>1783</v>
      </c>
      <c r="D974" s="151" t="s">
        <v>1784</v>
      </c>
      <c r="E974" s="152" t="s">
        <v>87</v>
      </c>
      <c r="F974" s="151" t="s">
        <v>1603</v>
      </c>
      <c r="G974" s="152" t="s">
        <v>20</v>
      </c>
      <c r="H974" s="153">
        <v>201607</v>
      </c>
      <c r="I974" s="154">
        <v>115.32</v>
      </c>
      <c r="J974" s="297">
        <f t="shared" si="63"/>
        <v>42675</v>
      </c>
      <c r="K974" s="67">
        <f t="shared" si="61"/>
        <v>6</v>
      </c>
      <c r="L974" s="155">
        <v>1.4833299999999999E-3</v>
      </c>
      <c r="M974" s="104">
        <f t="shared" si="60"/>
        <v>1.0263456935999999</v>
      </c>
      <c r="O974" s="66"/>
      <c r="Q974" s="66">
        <f t="shared" si="62"/>
        <v>1.9078012249999998</v>
      </c>
    </row>
    <row r="975" spans="1:17">
      <c r="A975" s="151" t="s">
        <v>21</v>
      </c>
      <c r="B975" s="152" t="s">
        <v>1782</v>
      </c>
      <c r="C975" s="152" t="s">
        <v>1783</v>
      </c>
      <c r="D975" s="151" t="s">
        <v>1784</v>
      </c>
      <c r="E975" s="152" t="s">
        <v>87</v>
      </c>
      <c r="F975" s="151" t="s">
        <v>1603</v>
      </c>
      <c r="G975" s="152" t="s">
        <v>20</v>
      </c>
      <c r="H975" s="153">
        <v>201607</v>
      </c>
      <c r="I975" s="154">
        <v>116.42</v>
      </c>
      <c r="J975" s="297">
        <f t="shared" si="63"/>
        <v>42675</v>
      </c>
      <c r="K975" s="67">
        <f t="shared" si="61"/>
        <v>6</v>
      </c>
      <c r="L975" s="155">
        <v>1.4833299999999999E-3</v>
      </c>
      <c r="M975" s="104">
        <f t="shared" si="60"/>
        <v>1.0361356716000001</v>
      </c>
      <c r="O975" s="66"/>
      <c r="Q975" s="66">
        <f t="shared" si="62"/>
        <v>1.9259991208333331</v>
      </c>
    </row>
    <row r="976" spans="1:17">
      <c r="A976" s="151" t="s">
        <v>626</v>
      </c>
      <c r="B976" s="152" t="s">
        <v>1933</v>
      </c>
      <c r="C976" s="152" t="s">
        <v>1934</v>
      </c>
      <c r="D976" s="151" t="s">
        <v>1935</v>
      </c>
      <c r="E976" s="152" t="s">
        <v>75</v>
      </c>
      <c r="F976" s="151" t="s">
        <v>1602</v>
      </c>
      <c r="G976" s="152" t="s">
        <v>20</v>
      </c>
      <c r="H976" s="153">
        <v>201607</v>
      </c>
      <c r="I976" s="154">
        <v>145.46</v>
      </c>
      <c r="J976" s="297">
        <f t="shared" si="63"/>
        <v>42675</v>
      </c>
      <c r="K976" s="67">
        <f t="shared" si="61"/>
        <v>6</v>
      </c>
      <c r="L976" s="155">
        <v>1.4833299999999999E-3</v>
      </c>
      <c r="M976" s="104">
        <f t="shared" si="60"/>
        <v>1.2945910908</v>
      </c>
      <c r="O976" s="66"/>
      <c r="Q976" s="66">
        <f t="shared" si="62"/>
        <v>2.4064235708333337</v>
      </c>
    </row>
    <row r="977" spans="1:17">
      <c r="A977" s="161" t="s">
        <v>626</v>
      </c>
      <c r="B977" s="160" t="s">
        <v>1967</v>
      </c>
      <c r="C977" s="160" t="s">
        <v>1968</v>
      </c>
      <c r="D977" s="161" t="s">
        <v>1969</v>
      </c>
      <c r="E977" s="160" t="s">
        <v>544</v>
      </c>
      <c r="F977" s="161" t="s">
        <v>26</v>
      </c>
      <c r="G977" s="160" t="s">
        <v>20</v>
      </c>
      <c r="H977" s="103">
        <v>201607</v>
      </c>
      <c r="I977" s="154">
        <v>2543.85</v>
      </c>
      <c r="J977" s="297">
        <f t="shared" si="63"/>
        <v>42675</v>
      </c>
      <c r="K977" s="67">
        <f t="shared" si="61"/>
        <v>6</v>
      </c>
      <c r="L977" s="155">
        <v>1.4833299999999999E-3</v>
      </c>
      <c r="M977" s="104">
        <f t="shared" si="60"/>
        <v>22.640214123</v>
      </c>
      <c r="O977" s="66"/>
      <c r="Q977" s="66">
        <f t="shared" si="62"/>
        <v>42.084288468750003</v>
      </c>
    </row>
    <row r="978" spans="1:17">
      <c r="A978" s="151" t="s">
        <v>626</v>
      </c>
      <c r="B978" s="152" t="s">
        <v>1936</v>
      </c>
      <c r="C978" s="152" t="s">
        <v>1937</v>
      </c>
      <c r="D978" s="151" t="s">
        <v>1938</v>
      </c>
      <c r="E978" s="152" t="s">
        <v>75</v>
      </c>
      <c r="F978" s="151" t="s">
        <v>1602</v>
      </c>
      <c r="G978" s="152" t="s">
        <v>20</v>
      </c>
      <c r="H978" s="153">
        <v>201607</v>
      </c>
      <c r="I978" s="154">
        <v>60.93</v>
      </c>
      <c r="J978" s="297">
        <f t="shared" si="63"/>
        <v>42675</v>
      </c>
      <c r="K978" s="67">
        <f t="shared" si="61"/>
        <v>6</v>
      </c>
      <c r="L978" s="155">
        <v>1.4833299999999999E-3</v>
      </c>
      <c r="M978" s="104">
        <f t="shared" si="60"/>
        <v>0.54227578139999999</v>
      </c>
      <c r="O978" s="66"/>
      <c r="Q978" s="66">
        <f t="shared" si="62"/>
        <v>1.0079979937500001</v>
      </c>
    </row>
    <row r="979" spans="1:17">
      <c r="A979" s="161" t="s">
        <v>626</v>
      </c>
      <c r="B979" s="160" t="s">
        <v>1970</v>
      </c>
      <c r="C979" s="160" t="s">
        <v>1971</v>
      </c>
      <c r="D979" s="161" t="s">
        <v>1972</v>
      </c>
      <c r="E979" s="160" t="s">
        <v>93</v>
      </c>
      <c r="F979" s="161" t="s">
        <v>1601</v>
      </c>
      <c r="G979" s="160" t="s">
        <v>20</v>
      </c>
      <c r="H979" s="103">
        <v>201607</v>
      </c>
      <c r="I979" s="154">
        <v>8833.7900000000009</v>
      </c>
      <c r="J979" s="297">
        <f t="shared" si="63"/>
        <v>42675</v>
      </c>
      <c r="K979" s="67">
        <f t="shared" si="61"/>
        <v>6</v>
      </c>
      <c r="L979" s="155">
        <v>1.4833299999999999E-3</v>
      </c>
      <c r="M979" s="104">
        <f t="shared" si="60"/>
        <v>78.620554324200015</v>
      </c>
      <c r="O979" s="66"/>
      <c r="Q979" s="66">
        <f t="shared" si="62"/>
        <v>146.14217293958336</v>
      </c>
    </row>
    <row r="980" spans="1:17">
      <c r="A980" s="151" t="s">
        <v>21</v>
      </c>
      <c r="B980" s="152" t="s">
        <v>1939</v>
      </c>
      <c r="C980" s="152" t="s">
        <v>1940</v>
      </c>
      <c r="D980" s="151" t="s">
        <v>1941</v>
      </c>
      <c r="E980" s="152" t="s">
        <v>87</v>
      </c>
      <c r="F980" s="151" t="s">
        <v>1603</v>
      </c>
      <c r="G980" s="152" t="s">
        <v>20</v>
      </c>
      <c r="H980" s="153">
        <v>201607</v>
      </c>
      <c r="I980" s="154">
        <v>1070.08</v>
      </c>
      <c r="J980" s="297">
        <f t="shared" si="63"/>
        <v>42675</v>
      </c>
      <c r="K980" s="67">
        <f t="shared" si="61"/>
        <v>6</v>
      </c>
      <c r="L980" s="155">
        <v>1.4833299999999999E-3</v>
      </c>
      <c r="M980" s="104">
        <f t="shared" si="60"/>
        <v>9.5236905984</v>
      </c>
      <c r="O980" s="66"/>
      <c r="Q980" s="66">
        <f t="shared" si="62"/>
        <v>17.702913066666664</v>
      </c>
    </row>
    <row r="981" spans="1:17">
      <c r="A981" s="151" t="s">
        <v>21</v>
      </c>
      <c r="B981" s="152" t="s">
        <v>1973</v>
      </c>
      <c r="C981" s="152" t="s">
        <v>1974</v>
      </c>
      <c r="D981" s="151" t="s">
        <v>1975</v>
      </c>
      <c r="E981" s="152" t="s">
        <v>87</v>
      </c>
      <c r="F981" s="151" t="s">
        <v>1603</v>
      </c>
      <c r="G981" s="152" t="s">
        <v>20</v>
      </c>
      <c r="H981" s="153">
        <v>201607</v>
      </c>
      <c r="I981" s="154">
        <v>556.54999999999995</v>
      </c>
      <c r="J981" s="297">
        <f t="shared" si="63"/>
        <v>42675</v>
      </c>
      <c r="K981" s="67">
        <f t="shared" si="61"/>
        <v>6</v>
      </c>
      <c r="L981" s="155">
        <v>1.4833299999999999E-3</v>
      </c>
      <c r="M981" s="104">
        <f t="shared" si="60"/>
        <v>4.9532838689999998</v>
      </c>
      <c r="O981" s="66"/>
      <c r="Q981" s="66">
        <f t="shared" si="62"/>
        <v>9.2073081145833324</v>
      </c>
    </row>
    <row r="982" spans="1:17">
      <c r="A982" s="151" t="s">
        <v>626</v>
      </c>
      <c r="B982" s="152" t="s">
        <v>1811</v>
      </c>
      <c r="C982" s="152" t="s">
        <v>1812</v>
      </c>
      <c r="D982" s="151" t="s">
        <v>1813</v>
      </c>
      <c r="E982" s="152" t="s">
        <v>25</v>
      </c>
      <c r="F982" s="151" t="s">
        <v>26</v>
      </c>
      <c r="G982" s="152" t="s">
        <v>20</v>
      </c>
      <c r="H982" s="153">
        <v>201607</v>
      </c>
      <c r="I982" s="154">
        <v>251.08</v>
      </c>
      <c r="J982" s="297">
        <f t="shared" si="63"/>
        <v>42675</v>
      </c>
      <c r="K982" s="67">
        <f t="shared" si="61"/>
        <v>6</v>
      </c>
      <c r="L982" s="155">
        <v>1.4833299999999999E-3</v>
      </c>
      <c r="M982" s="104">
        <f t="shared" si="60"/>
        <v>2.2346069784</v>
      </c>
      <c r="O982" s="66"/>
      <c r="Q982" s="66">
        <f t="shared" si="62"/>
        <v>4.1537524416666667</v>
      </c>
    </row>
    <row r="983" spans="1:17">
      <c r="A983" s="161" t="s">
        <v>1942</v>
      </c>
      <c r="B983" s="160" t="s">
        <v>1681</v>
      </c>
      <c r="C983" s="160" t="s">
        <v>1682</v>
      </c>
      <c r="D983" s="161" t="s">
        <v>1683</v>
      </c>
      <c r="E983" s="160" t="s">
        <v>198</v>
      </c>
      <c r="F983" s="161" t="s">
        <v>1610</v>
      </c>
      <c r="G983" s="160" t="s">
        <v>20</v>
      </c>
      <c r="H983" s="146">
        <v>201607</v>
      </c>
      <c r="I983" s="154">
        <v>2233.7600000000002</v>
      </c>
      <c r="J983" s="297">
        <f t="shared" si="63"/>
        <v>42675</v>
      </c>
      <c r="K983" s="67">
        <f t="shared" si="61"/>
        <v>6</v>
      </c>
      <c r="L983" s="155">
        <v>2.23333E-3</v>
      </c>
      <c r="M983" s="104">
        <f t="shared" si="60"/>
        <v>29.932339324800001</v>
      </c>
      <c r="O983" s="66"/>
      <c r="Q983" s="66">
        <f t="shared" si="62"/>
        <v>36.954301633333337</v>
      </c>
    </row>
    <row r="984" spans="1:17">
      <c r="A984" s="151" t="s">
        <v>1942</v>
      </c>
      <c r="B984" s="160" t="s">
        <v>1681</v>
      </c>
      <c r="C984" s="152" t="s">
        <v>1943</v>
      </c>
      <c r="D984" s="151" t="s">
        <v>1944</v>
      </c>
      <c r="E984" s="152" t="s">
        <v>202</v>
      </c>
      <c r="F984" s="151" t="s">
        <v>1611</v>
      </c>
      <c r="G984" s="152" t="s">
        <v>20</v>
      </c>
      <c r="H984" s="150">
        <v>201607</v>
      </c>
      <c r="I984" s="154">
        <v>-877.58</v>
      </c>
      <c r="J984" s="297">
        <f t="shared" si="63"/>
        <v>42675</v>
      </c>
      <c r="K984" s="67">
        <f t="shared" si="61"/>
        <v>6</v>
      </c>
      <c r="L984" s="155">
        <v>2.23333E-3</v>
      </c>
      <c r="M984" s="104">
        <f t="shared" si="60"/>
        <v>-11.759554448399999</v>
      </c>
      <c r="O984" s="66"/>
      <c r="Q984" s="66">
        <f t="shared" si="62"/>
        <v>-14.518281295833335</v>
      </c>
    </row>
    <row r="985" spans="1:17">
      <c r="A985" s="151" t="s">
        <v>1942</v>
      </c>
      <c r="B985" s="160" t="s">
        <v>1681</v>
      </c>
      <c r="C985" s="152" t="s">
        <v>1976</v>
      </c>
      <c r="D985" s="151" t="s">
        <v>1977</v>
      </c>
      <c r="E985" s="152" t="s">
        <v>294</v>
      </c>
      <c r="F985" s="151" t="s">
        <v>1613</v>
      </c>
      <c r="G985" s="152" t="s">
        <v>20</v>
      </c>
      <c r="H985" s="150">
        <v>201607</v>
      </c>
      <c r="I985" s="154">
        <v>936.49</v>
      </c>
      <c r="J985" s="297">
        <f t="shared" si="63"/>
        <v>42675</v>
      </c>
      <c r="K985" s="67">
        <f t="shared" si="61"/>
        <v>6</v>
      </c>
      <c r="L985" s="155">
        <v>2.23333E-3</v>
      </c>
      <c r="M985" s="104">
        <f t="shared" si="60"/>
        <v>12.548947270199999</v>
      </c>
      <c r="O985" s="66"/>
      <c r="Q985" s="66">
        <f t="shared" si="62"/>
        <v>15.492861335416666</v>
      </c>
    </row>
    <row r="986" spans="1:17">
      <c r="A986" s="161" t="s">
        <v>626</v>
      </c>
      <c r="B986" s="160" t="s">
        <v>2117</v>
      </c>
      <c r="C986" s="160" t="s">
        <v>2118</v>
      </c>
      <c r="D986" s="161" t="s">
        <v>2119</v>
      </c>
      <c r="E986" s="160" t="s">
        <v>75</v>
      </c>
      <c r="F986" s="161" t="s">
        <v>1602</v>
      </c>
      <c r="G986" s="160" t="s">
        <v>20</v>
      </c>
      <c r="H986" s="103">
        <v>201607</v>
      </c>
      <c r="I986" s="154">
        <v>127639.27</v>
      </c>
      <c r="J986" s="297">
        <f t="shared" si="63"/>
        <v>42675</v>
      </c>
      <c r="K986" s="67">
        <f t="shared" si="61"/>
        <v>6</v>
      </c>
      <c r="L986" s="155">
        <v>1.4833299999999999E-3</v>
      </c>
      <c r="M986" s="104">
        <f t="shared" si="60"/>
        <v>1135.9869502146</v>
      </c>
      <c r="O986" s="66"/>
      <c r="Q986" s="66">
        <f t="shared" si="62"/>
        <v>2111.6055815479167</v>
      </c>
    </row>
    <row r="987" spans="1:17">
      <c r="A987" s="161" t="s">
        <v>626</v>
      </c>
      <c r="B987" s="160" t="s">
        <v>1978</v>
      </c>
      <c r="C987" s="160" t="s">
        <v>1979</v>
      </c>
      <c r="D987" s="161" t="s">
        <v>1980</v>
      </c>
      <c r="E987" s="160" t="s">
        <v>75</v>
      </c>
      <c r="F987" s="161" t="s">
        <v>1602</v>
      </c>
      <c r="G987" s="160" t="s">
        <v>20</v>
      </c>
      <c r="H987" s="103">
        <v>201607</v>
      </c>
      <c r="I987" s="154">
        <v>19870.400000000001</v>
      </c>
      <c r="J987" s="297">
        <f t="shared" si="63"/>
        <v>42675</v>
      </c>
      <c r="K987" s="67">
        <f t="shared" si="61"/>
        <v>6</v>
      </c>
      <c r="L987" s="155">
        <v>1.4833299999999999E-3</v>
      </c>
      <c r="M987" s="104">
        <f t="shared" si="60"/>
        <v>176.84616259200001</v>
      </c>
      <c r="O987" s="66"/>
      <c r="Q987" s="66">
        <f t="shared" si="62"/>
        <v>328.72679033333338</v>
      </c>
    </row>
    <row r="988" spans="1:17">
      <c r="A988" s="151" t="s">
        <v>626</v>
      </c>
      <c r="B988" s="152" t="s">
        <v>1757</v>
      </c>
      <c r="C988" s="152" t="s">
        <v>1758</v>
      </c>
      <c r="D988" s="151" t="s">
        <v>1759</v>
      </c>
      <c r="E988" s="152" t="s">
        <v>75</v>
      </c>
      <c r="F988" s="151" t="s">
        <v>1602</v>
      </c>
      <c r="G988" s="152" t="s">
        <v>20</v>
      </c>
      <c r="H988" s="153">
        <v>201607</v>
      </c>
      <c r="I988" s="154">
        <v>49.98</v>
      </c>
      <c r="J988" s="297">
        <f t="shared" si="63"/>
        <v>42675</v>
      </c>
      <c r="K988" s="67">
        <f t="shared" si="61"/>
        <v>6</v>
      </c>
      <c r="L988" s="155">
        <v>1.4833299999999999E-3</v>
      </c>
      <c r="M988" s="104">
        <f t="shared" si="60"/>
        <v>0.4448210004</v>
      </c>
      <c r="O988" s="66"/>
      <c r="Q988" s="66">
        <f t="shared" si="62"/>
        <v>0.82684621250000001</v>
      </c>
    </row>
    <row r="989" spans="1:17">
      <c r="A989" s="161" t="s">
        <v>626</v>
      </c>
      <c r="B989" s="160" t="s">
        <v>1981</v>
      </c>
      <c r="C989" s="160" t="s">
        <v>1982</v>
      </c>
      <c r="D989" s="161" t="s">
        <v>1983</v>
      </c>
      <c r="E989" s="160" t="s">
        <v>75</v>
      </c>
      <c r="F989" s="161" t="s">
        <v>1602</v>
      </c>
      <c r="G989" s="160" t="s">
        <v>20</v>
      </c>
      <c r="H989" s="103">
        <v>201607</v>
      </c>
      <c r="I989" s="154">
        <v>7283.77</v>
      </c>
      <c r="J989" s="297">
        <f t="shared" si="63"/>
        <v>42675</v>
      </c>
      <c r="K989" s="67">
        <f t="shared" si="61"/>
        <v>6</v>
      </c>
      <c r="L989" s="155">
        <v>1.4833299999999999E-3</v>
      </c>
      <c r="M989" s="104">
        <f t="shared" si="60"/>
        <v>64.825407324600008</v>
      </c>
      <c r="O989" s="66"/>
      <c r="Q989" s="66">
        <f t="shared" si="62"/>
        <v>120.49935248541668</v>
      </c>
    </row>
    <row r="990" spans="1:17">
      <c r="A990" s="161" t="s">
        <v>626</v>
      </c>
      <c r="B990" s="160" t="s">
        <v>1984</v>
      </c>
      <c r="C990" s="160" t="s">
        <v>1985</v>
      </c>
      <c r="D990" s="161" t="s">
        <v>1986</v>
      </c>
      <c r="E990" s="160" t="s">
        <v>156</v>
      </c>
      <c r="F990" s="161" t="s">
        <v>26</v>
      </c>
      <c r="G990" s="160" t="s">
        <v>20</v>
      </c>
      <c r="H990" s="103">
        <v>201607</v>
      </c>
      <c r="I990" s="154">
        <v>7647.45</v>
      </c>
      <c r="J990" s="297">
        <f t="shared" si="63"/>
        <v>42675</v>
      </c>
      <c r="K990" s="67">
        <f t="shared" si="61"/>
        <v>6</v>
      </c>
      <c r="L990" s="155">
        <v>1.4833299999999999E-3</v>
      </c>
      <c r="M990" s="104">
        <f t="shared" si="60"/>
        <v>68.062152050999998</v>
      </c>
      <c r="O990" s="66"/>
      <c r="Q990" s="66">
        <f t="shared" si="62"/>
        <v>126.51590771874999</v>
      </c>
    </row>
    <row r="991" spans="1:17">
      <c r="A991" s="161" t="s">
        <v>626</v>
      </c>
      <c r="B991" s="160" t="s">
        <v>2054</v>
      </c>
      <c r="C991" s="160" t="s">
        <v>2055</v>
      </c>
      <c r="D991" s="161" t="s">
        <v>2056</v>
      </c>
      <c r="E991" s="160" t="s">
        <v>156</v>
      </c>
      <c r="F991" s="161" t="s">
        <v>26</v>
      </c>
      <c r="G991" s="160" t="s">
        <v>20</v>
      </c>
      <c r="H991" s="103">
        <v>201607</v>
      </c>
      <c r="I991" s="154">
        <v>10349.68</v>
      </c>
      <c r="J991" s="297">
        <f t="shared" si="63"/>
        <v>42675</v>
      </c>
      <c r="K991" s="67">
        <f t="shared" si="61"/>
        <v>6</v>
      </c>
      <c r="L991" s="155">
        <v>1.4833299999999999E-3</v>
      </c>
      <c r="M991" s="104">
        <f t="shared" si="60"/>
        <v>92.111945006400006</v>
      </c>
      <c r="O991" s="66"/>
      <c r="Q991" s="66">
        <f t="shared" si="62"/>
        <v>171.22036231666669</v>
      </c>
    </row>
    <row r="992" spans="1:17">
      <c r="A992" s="161" t="s">
        <v>626</v>
      </c>
      <c r="B992" s="160" t="s">
        <v>1850</v>
      </c>
      <c r="C992" s="160" t="s">
        <v>1851</v>
      </c>
      <c r="D992" s="161" t="s">
        <v>1852</v>
      </c>
      <c r="E992" s="160" t="s">
        <v>260</v>
      </c>
      <c r="F992" s="161" t="s">
        <v>1608</v>
      </c>
      <c r="G992" s="160" t="s">
        <v>20</v>
      </c>
      <c r="H992" s="103">
        <v>201607</v>
      </c>
      <c r="I992" s="154">
        <v>2249.3000000000002</v>
      </c>
      <c r="J992" s="297">
        <f t="shared" si="63"/>
        <v>42675</v>
      </c>
      <c r="K992" s="67">
        <f t="shared" si="61"/>
        <v>6</v>
      </c>
      <c r="L992" s="155">
        <v>1.4833299999999999E-3</v>
      </c>
      <c r="M992" s="104">
        <f t="shared" si="60"/>
        <v>20.018725014000001</v>
      </c>
      <c r="O992" s="66"/>
      <c r="Q992" s="66">
        <f t="shared" si="62"/>
        <v>37.211388270833339</v>
      </c>
    </row>
    <row r="993" spans="1:17">
      <c r="A993" s="151" t="s">
        <v>626</v>
      </c>
      <c r="B993" s="152" t="s">
        <v>1814</v>
      </c>
      <c r="C993" s="152" t="s">
        <v>1815</v>
      </c>
      <c r="D993" s="151" t="s">
        <v>1816</v>
      </c>
      <c r="E993" s="152" t="s">
        <v>25</v>
      </c>
      <c r="F993" s="151" t="s">
        <v>26</v>
      </c>
      <c r="G993" s="152" t="s">
        <v>20</v>
      </c>
      <c r="H993" s="153">
        <v>201607</v>
      </c>
      <c r="I993" s="154">
        <v>645.27</v>
      </c>
      <c r="J993" s="297">
        <f t="shared" si="63"/>
        <v>42675</v>
      </c>
      <c r="K993" s="67">
        <f t="shared" si="61"/>
        <v>6</v>
      </c>
      <c r="L993" s="155">
        <v>1.4833299999999999E-3</v>
      </c>
      <c r="M993" s="104">
        <f t="shared" si="60"/>
        <v>5.7428900945999999</v>
      </c>
      <c r="O993" s="66"/>
      <c r="Q993" s="66">
        <f t="shared" si="62"/>
        <v>10.675051131249999</v>
      </c>
    </row>
    <row r="994" spans="1:17">
      <c r="A994" s="161" t="s">
        <v>626</v>
      </c>
      <c r="B994" s="160" t="s">
        <v>2057</v>
      </c>
      <c r="C994" s="160" t="s">
        <v>2058</v>
      </c>
      <c r="D994" s="161" t="s">
        <v>2059</v>
      </c>
      <c r="E994" s="160" t="s">
        <v>156</v>
      </c>
      <c r="F994" s="161" t="s">
        <v>26</v>
      </c>
      <c r="G994" s="160" t="s">
        <v>20</v>
      </c>
      <c r="H994" s="103">
        <v>201607</v>
      </c>
      <c r="I994" s="154">
        <v>5878.84</v>
      </c>
      <c r="J994" s="297">
        <f t="shared" si="63"/>
        <v>42675</v>
      </c>
      <c r="K994" s="67">
        <f t="shared" si="61"/>
        <v>6</v>
      </c>
      <c r="L994" s="155">
        <v>1.4833299999999999E-3</v>
      </c>
      <c r="M994" s="104">
        <f t="shared" si="60"/>
        <v>52.321558423200003</v>
      </c>
      <c r="O994" s="66"/>
      <c r="Q994" s="66">
        <f t="shared" si="62"/>
        <v>97.256834491666666</v>
      </c>
    </row>
    <row r="995" spans="1:17">
      <c r="A995" s="161" t="s">
        <v>626</v>
      </c>
      <c r="B995" s="160" t="s">
        <v>2060</v>
      </c>
      <c r="C995" s="160" t="s">
        <v>2061</v>
      </c>
      <c r="D995" s="161" t="s">
        <v>2062</v>
      </c>
      <c r="E995" s="160" t="s">
        <v>156</v>
      </c>
      <c r="F995" s="161" t="s">
        <v>26</v>
      </c>
      <c r="G995" s="160" t="s">
        <v>20</v>
      </c>
      <c r="H995" s="103">
        <v>201607</v>
      </c>
      <c r="I995" s="154">
        <v>11294.65</v>
      </c>
      <c r="J995" s="297">
        <f t="shared" si="63"/>
        <v>42675</v>
      </c>
      <c r="K995" s="67">
        <f t="shared" si="61"/>
        <v>6</v>
      </c>
      <c r="L995" s="155">
        <v>1.4833299999999999E-3</v>
      </c>
      <c r="M995" s="104">
        <f t="shared" si="60"/>
        <v>100.52215910699999</v>
      </c>
      <c r="O995" s="66"/>
      <c r="Q995" s="66">
        <f t="shared" si="62"/>
        <v>186.85351288541668</v>
      </c>
    </row>
    <row r="996" spans="1:17">
      <c r="A996" s="151" t="s">
        <v>21</v>
      </c>
      <c r="B996" s="152" t="s">
        <v>1760</v>
      </c>
      <c r="C996" s="152" t="s">
        <v>1761</v>
      </c>
      <c r="D996" s="151" t="s">
        <v>1388</v>
      </c>
      <c r="E996" s="152" t="s">
        <v>164</v>
      </c>
      <c r="F996" s="151" t="s">
        <v>1600</v>
      </c>
      <c r="G996" s="152" t="s">
        <v>20</v>
      </c>
      <c r="H996" s="153">
        <v>201607</v>
      </c>
      <c r="I996" s="154">
        <v>1.53</v>
      </c>
      <c r="J996" s="297">
        <f t="shared" si="63"/>
        <v>42675</v>
      </c>
      <c r="K996" s="67">
        <f t="shared" si="61"/>
        <v>6</v>
      </c>
      <c r="L996" s="155">
        <v>1.4833299999999999E-3</v>
      </c>
      <c r="M996" s="104">
        <f t="shared" si="60"/>
        <v>1.36169694E-2</v>
      </c>
      <c r="O996" s="66"/>
      <c r="Q996" s="66">
        <f t="shared" si="62"/>
        <v>2.5311618750000001E-2</v>
      </c>
    </row>
    <row r="997" spans="1:17">
      <c r="A997" s="151" t="s">
        <v>626</v>
      </c>
      <c r="B997" s="152" t="s">
        <v>1760</v>
      </c>
      <c r="C997" s="152" t="s">
        <v>1761</v>
      </c>
      <c r="D997" s="151" t="s">
        <v>1388</v>
      </c>
      <c r="E997" s="152" t="s">
        <v>164</v>
      </c>
      <c r="F997" s="151" t="s">
        <v>1600</v>
      </c>
      <c r="G997" s="152" t="s">
        <v>20</v>
      </c>
      <c r="H997" s="153">
        <v>201607</v>
      </c>
      <c r="I997" s="154">
        <v>66.47</v>
      </c>
      <c r="J997" s="297">
        <f t="shared" si="63"/>
        <v>42675</v>
      </c>
      <c r="K997" s="67">
        <f t="shared" si="61"/>
        <v>6</v>
      </c>
      <c r="L997" s="155">
        <v>1.4833299999999999E-3</v>
      </c>
      <c r="M997" s="104">
        <f t="shared" si="60"/>
        <v>0.5915816706</v>
      </c>
      <c r="O997" s="66"/>
      <c r="Q997" s="66">
        <f t="shared" si="62"/>
        <v>1.0996492145833332</v>
      </c>
    </row>
    <row r="998" spans="1:17">
      <c r="A998" s="151" t="s">
        <v>626</v>
      </c>
      <c r="B998" s="152" t="s">
        <v>1987</v>
      </c>
      <c r="C998" s="152" t="s">
        <v>1988</v>
      </c>
      <c r="D998" s="151" t="s">
        <v>1338</v>
      </c>
      <c r="E998" s="152" t="s">
        <v>75</v>
      </c>
      <c r="F998" s="151" t="s">
        <v>1602</v>
      </c>
      <c r="G998" s="152" t="s">
        <v>20</v>
      </c>
      <c r="H998" s="153">
        <v>201607</v>
      </c>
      <c r="I998" s="154">
        <v>1525.27</v>
      </c>
      <c r="J998" s="297">
        <f t="shared" si="63"/>
        <v>42675</v>
      </c>
      <c r="K998" s="67">
        <f t="shared" si="61"/>
        <v>6</v>
      </c>
      <c r="L998" s="155">
        <v>1.4833299999999999E-3</v>
      </c>
      <c r="M998" s="104">
        <f t="shared" si="60"/>
        <v>13.574872494599999</v>
      </c>
      <c r="O998" s="66"/>
      <c r="Q998" s="66">
        <f t="shared" si="62"/>
        <v>25.233367797916667</v>
      </c>
    </row>
    <row r="999" spans="1:17">
      <c r="A999" s="346" t="s">
        <v>133</v>
      </c>
      <c r="B999" s="335" t="s">
        <v>1817</v>
      </c>
      <c r="C999" s="335" t="s">
        <v>1818</v>
      </c>
      <c r="D999" s="346" t="s">
        <v>1819</v>
      </c>
      <c r="E999" s="335" t="s">
        <v>75</v>
      </c>
      <c r="F999" s="346" t="s">
        <v>1602</v>
      </c>
      <c r="G999" s="335" t="s">
        <v>20</v>
      </c>
      <c r="H999" s="336">
        <v>201607</v>
      </c>
      <c r="I999" s="333">
        <v>0</v>
      </c>
      <c r="J999" s="297">
        <f t="shared" si="63"/>
        <v>42675</v>
      </c>
      <c r="K999" s="348">
        <f t="shared" si="61"/>
        <v>6</v>
      </c>
      <c r="L999" s="339">
        <v>1.4833299999999999E-3</v>
      </c>
      <c r="M999" s="349">
        <f t="shared" si="60"/>
        <v>0</v>
      </c>
      <c r="N999" s="350"/>
      <c r="O999" s="351"/>
      <c r="P999" s="350"/>
      <c r="Q999" s="66">
        <f t="shared" si="62"/>
        <v>0</v>
      </c>
    </row>
    <row r="1000" spans="1:17">
      <c r="A1000" s="161" t="s">
        <v>626</v>
      </c>
      <c r="B1000" s="160" t="s">
        <v>1989</v>
      </c>
      <c r="C1000" s="160" t="s">
        <v>1990</v>
      </c>
      <c r="D1000" s="161" t="s">
        <v>1495</v>
      </c>
      <c r="E1000" s="160" t="s">
        <v>75</v>
      </c>
      <c r="F1000" s="161" t="s">
        <v>1602</v>
      </c>
      <c r="G1000" s="160" t="s">
        <v>20</v>
      </c>
      <c r="H1000" s="103">
        <v>201607</v>
      </c>
      <c r="I1000" s="154">
        <v>2356.33</v>
      </c>
      <c r="J1000" s="297">
        <f t="shared" si="63"/>
        <v>42675</v>
      </c>
      <c r="K1000" s="67">
        <f t="shared" si="61"/>
        <v>6</v>
      </c>
      <c r="L1000" s="155">
        <v>1.4833299999999999E-3</v>
      </c>
      <c r="M1000" s="104">
        <f t="shared" si="60"/>
        <v>20.9712898734</v>
      </c>
      <c r="O1000" s="66"/>
      <c r="Q1000" s="66">
        <f t="shared" si="62"/>
        <v>38.982043535416665</v>
      </c>
    </row>
    <row r="1001" spans="1:17">
      <c r="A1001" s="151" t="s">
        <v>626</v>
      </c>
      <c r="B1001" s="152" t="s">
        <v>1764</v>
      </c>
      <c r="C1001" s="152" t="s">
        <v>1765</v>
      </c>
      <c r="D1001" s="151" t="s">
        <v>1766</v>
      </c>
      <c r="E1001" s="152" t="s">
        <v>156</v>
      </c>
      <c r="F1001" s="151" t="s">
        <v>26</v>
      </c>
      <c r="G1001" s="152" t="s">
        <v>20</v>
      </c>
      <c r="H1001" s="153">
        <v>201607</v>
      </c>
      <c r="I1001" s="154">
        <v>656.91</v>
      </c>
      <c r="J1001" s="297">
        <f t="shared" si="63"/>
        <v>42675</v>
      </c>
      <c r="K1001" s="67">
        <f t="shared" si="61"/>
        <v>6</v>
      </c>
      <c r="L1001" s="155">
        <v>1.4833299999999999E-3</v>
      </c>
      <c r="M1001" s="104">
        <f t="shared" si="60"/>
        <v>5.8464858617999997</v>
      </c>
      <c r="O1001" s="66"/>
      <c r="Q1001" s="66">
        <f t="shared" si="62"/>
        <v>10.867617956249999</v>
      </c>
    </row>
    <row r="1002" spans="1:17">
      <c r="A1002" s="161" t="s">
        <v>626</v>
      </c>
      <c r="B1002" s="160" t="s">
        <v>1945</v>
      </c>
      <c r="C1002" s="160" t="s">
        <v>1946</v>
      </c>
      <c r="D1002" s="161" t="s">
        <v>1947</v>
      </c>
      <c r="E1002" s="160" t="s">
        <v>93</v>
      </c>
      <c r="F1002" s="161" t="s">
        <v>1601</v>
      </c>
      <c r="G1002" s="160" t="s">
        <v>20</v>
      </c>
      <c r="H1002" s="103">
        <v>201607</v>
      </c>
      <c r="I1002" s="154">
        <v>12745.18</v>
      </c>
      <c r="J1002" s="297">
        <f t="shared" si="63"/>
        <v>42675</v>
      </c>
      <c r="K1002" s="67">
        <f t="shared" si="61"/>
        <v>6</v>
      </c>
      <c r="L1002" s="155">
        <v>1.4833299999999999E-3</v>
      </c>
      <c r="M1002" s="104">
        <f t="shared" si="60"/>
        <v>113.43184709640001</v>
      </c>
      <c r="O1002" s="66"/>
      <c r="Q1002" s="66">
        <f t="shared" si="62"/>
        <v>210.85041637916669</v>
      </c>
    </row>
    <row r="1003" spans="1:17">
      <c r="A1003" s="151" t="s">
        <v>626</v>
      </c>
      <c r="B1003" s="152" t="s">
        <v>1991</v>
      </c>
      <c r="C1003" s="152" t="s">
        <v>1992</v>
      </c>
      <c r="D1003" s="151" t="s">
        <v>1993</v>
      </c>
      <c r="E1003" s="152" t="s">
        <v>497</v>
      </c>
      <c r="F1003" s="151" t="s">
        <v>26</v>
      </c>
      <c r="G1003" s="152" t="s">
        <v>20</v>
      </c>
      <c r="H1003" s="153">
        <v>201607</v>
      </c>
      <c r="I1003" s="154">
        <v>698.46</v>
      </c>
      <c r="J1003" s="297">
        <f t="shared" si="63"/>
        <v>42675</v>
      </c>
      <c r="K1003" s="67">
        <f t="shared" si="61"/>
        <v>6</v>
      </c>
      <c r="L1003" s="155">
        <v>1.4833299999999999E-3</v>
      </c>
      <c r="M1003" s="104">
        <f t="shared" si="60"/>
        <v>6.2162800308000001</v>
      </c>
      <c r="O1003" s="66"/>
      <c r="Q1003" s="66">
        <f t="shared" si="62"/>
        <v>11.5550021125</v>
      </c>
    </row>
    <row r="1004" spans="1:17">
      <c r="A1004" s="151" t="s">
        <v>127</v>
      </c>
      <c r="B1004" s="152" t="s">
        <v>1994</v>
      </c>
      <c r="C1004" s="152" t="s">
        <v>1995</v>
      </c>
      <c r="D1004" s="151" t="s">
        <v>1996</v>
      </c>
      <c r="E1004" s="152" t="s">
        <v>87</v>
      </c>
      <c r="F1004" s="151" t="s">
        <v>1603</v>
      </c>
      <c r="G1004" s="152" t="s">
        <v>20</v>
      </c>
      <c r="H1004" s="153">
        <v>201607</v>
      </c>
      <c r="I1004" s="154">
        <v>333.1</v>
      </c>
      <c r="J1004" s="297">
        <f t="shared" si="63"/>
        <v>42675</v>
      </c>
      <c r="K1004" s="67">
        <f t="shared" si="61"/>
        <v>6</v>
      </c>
      <c r="L1004" s="155">
        <v>2.3833299999999999E-3</v>
      </c>
      <c r="M1004" s="104">
        <f t="shared" si="60"/>
        <v>4.7633233380000002</v>
      </c>
      <c r="O1004" s="66"/>
      <c r="Q1004" s="66">
        <f t="shared" si="62"/>
        <v>5.5106537291666671</v>
      </c>
    </row>
    <row r="1005" spans="1:17">
      <c r="A1005" s="151" t="s">
        <v>990</v>
      </c>
      <c r="B1005" s="160" t="s">
        <v>1681</v>
      </c>
      <c r="C1005" s="152" t="s">
        <v>2063</v>
      </c>
      <c r="D1005" s="151" t="s">
        <v>2064</v>
      </c>
      <c r="E1005" s="152" t="s">
        <v>1688</v>
      </c>
      <c r="F1005" s="151" t="s">
        <v>1689</v>
      </c>
      <c r="G1005" s="152" t="s">
        <v>20</v>
      </c>
      <c r="H1005" s="153">
        <v>201607</v>
      </c>
      <c r="I1005" s="154">
        <v>47.17</v>
      </c>
      <c r="J1005" s="297">
        <f t="shared" si="63"/>
        <v>42675</v>
      </c>
      <c r="K1005" s="67">
        <f t="shared" si="61"/>
        <v>6</v>
      </c>
      <c r="L1005" s="155">
        <v>2.3833299999999999E-3</v>
      </c>
      <c r="M1005" s="104">
        <f t="shared" si="60"/>
        <v>0.67453005660000009</v>
      </c>
      <c r="O1005" s="66"/>
      <c r="Q1005" s="66">
        <f t="shared" si="62"/>
        <v>0.78035886041666669</v>
      </c>
    </row>
    <row r="1006" spans="1:17">
      <c r="A1006" s="151" t="s">
        <v>1942</v>
      </c>
      <c r="B1006" s="160" t="s">
        <v>1681</v>
      </c>
      <c r="C1006" s="152" t="s">
        <v>1997</v>
      </c>
      <c r="D1006" s="151" t="s">
        <v>1998</v>
      </c>
      <c r="E1006" s="152" t="s">
        <v>164</v>
      </c>
      <c r="F1006" s="151" t="s">
        <v>1600</v>
      </c>
      <c r="G1006" s="152" t="s">
        <v>20</v>
      </c>
      <c r="H1006" s="150">
        <v>201607</v>
      </c>
      <c r="I1006" s="154">
        <v>1.63</v>
      </c>
      <c r="J1006" s="297">
        <f t="shared" si="63"/>
        <v>42675</v>
      </c>
      <c r="K1006" s="67">
        <f t="shared" si="61"/>
        <v>6</v>
      </c>
      <c r="L1006" s="155">
        <v>2.23333E-3</v>
      </c>
      <c r="M1006" s="104">
        <f t="shared" si="60"/>
        <v>2.1841967399999995E-2</v>
      </c>
      <c r="O1006" s="66"/>
      <c r="Q1006" s="66">
        <f t="shared" si="62"/>
        <v>2.6965972916666667E-2</v>
      </c>
    </row>
    <row r="1007" spans="1:17">
      <c r="A1007" s="151" t="s">
        <v>626</v>
      </c>
      <c r="B1007" s="160" t="s">
        <v>1681</v>
      </c>
      <c r="C1007" s="152" t="s">
        <v>1997</v>
      </c>
      <c r="D1007" s="151" t="s">
        <v>1998</v>
      </c>
      <c r="E1007" s="152" t="s">
        <v>164</v>
      </c>
      <c r="F1007" s="151" t="s">
        <v>1600</v>
      </c>
      <c r="G1007" s="152" t="s">
        <v>20</v>
      </c>
      <c r="H1007" s="153">
        <v>201607</v>
      </c>
      <c r="I1007" s="154">
        <v>716.8</v>
      </c>
      <c r="J1007" s="297">
        <f t="shared" si="63"/>
        <v>42675</v>
      </c>
      <c r="K1007" s="67">
        <f t="shared" si="61"/>
        <v>6</v>
      </c>
      <c r="L1007" s="155">
        <v>1.4833299999999999E-3</v>
      </c>
      <c r="M1007" s="104">
        <f t="shared" si="60"/>
        <v>6.3795056639999999</v>
      </c>
      <c r="O1007" s="66"/>
      <c r="Q1007" s="66">
        <f t="shared" si="62"/>
        <v>11.858410666666666</v>
      </c>
    </row>
    <row r="1008" spans="1:17">
      <c r="A1008" s="151" t="s">
        <v>1942</v>
      </c>
      <c r="B1008" s="160" t="s">
        <v>1681</v>
      </c>
      <c r="C1008" s="152" t="s">
        <v>1999</v>
      </c>
      <c r="D1008" s="151" t="s">
        <v>2000</v>
      </c>
      <c r="E1008" s="152" t="s">
        <v>75</v>
      </c>
      <c r="F1008" s="151" t="s">
        <v>1602</v>
      </c>
      <c r="G1008" s="152" t="s">
        <v>20</v>
      </c>
      <c r="H1008" s="150">
        <v>201607</v>
      </c>
      <c r="I1008" s="154">
        <v>38.619999999999997</v>
      </c>
      <c r="J1008" s="297">
        <f t="shared" si="63"/>
        <v>42675</v>
      </c>
      <c r="K1008" s="67">
        <f t="shared" si="61"/>
        <v>6</v>
      </c>
      <c r="L1008" s="155">
        <v>2.23333E-3</v>
      </c>
      <c r="M1008" s="104">
        <f t="shared" si="60"/>
        <v>0.5175072275999999</v>
      </c>
      <c r="O1008" s="66"/>
      <c r="Q1008" s="66">
        <f t="shared" si="62"/>
        <v>0.63891157916666663</v>
      </c>
    </row>
    <row r="1009" spans="1:17">
      <c r="A1009" s="151" t="s">
        <v>14</v>
      </c>
      <c r="B1009" s="160" t="s">
        <v>1681</v>
      </c>
      <c r="C1009" s="152" t="s">
        <v>1999</v>
      </c>
      <c r="D1009" s="151" t="s">
        <v>2000</v>
      </c>
      <c r="E1009" s="152" t="s">
        <v>75</v>
      </c>
      <c r="F1009" s="151" t="s">
        <v>1602</v>
      </c>
      <c r="G1009" s="152" t="s">
        <v>20</v>
      </c>
      <c r="H1009" s="150">
        <v>201607</v>
      </c>
      <c r="I1009" s="154">
        <v>1180.3599999999999</v>
      </c>
      <c r="J1009" s="297">
        <f t="shared" si="63"/>
        <v>42675</v>
      </c>
      <c r="K1009" s="67">
        <f t="shared" si="61"/>
        <v>6</v>
      </c>
      <c r="L1009" s="155">
        <v>2.23333E-3</v>
      </c>
      <c r="M1009" s="104">
        <f t="shared" si="60"/>
        <v>15.816800392799998</v>
      </c>
      <c r="O1009" s="66"/>
      <c r="Q1009" s="66">
        <f t="shared" si="62"/>
        <v>19.527334841666665</v>
      </c>
    </row>
    <row r="1010" spans="1:17">
      <c r="A1010" s="161" t="s">
        <v>626</v>
      </c>
      <c r="B1010" s="160" t="s">
        <v>1681</v>
      </c>
      <c r="C1010" s="160" t="s">
        <v>1999</v>
      </c>
      <c r="D1010" s="161" t="s">
        <v>2000</v>
      </c>
      <c r="E1010" s="160" t="s">
        <v>75</v>
      </c>
      <c r="F1010" s="161" t="s">
        <v>1602</v>
      </c>
      <c r="G1010" s="160" t="s">
        <v>20</v>
      </c>
      <c r="H1010" s="103">
        <v>201607</v>
      </c>
      <c r="I1010" s="154">
        <v>9229.06</v>
      </c>
      <c r="J1010" s="297">
        <f t="shared" si="63"/>
        <v>42675</v>
      </c>
      <c r="K1010" s="67">
        <f t="shared" si="61"/>
        <v>6</v>
      </c>
      <c r="L1010" s="155">
        <v>1.4833299999999999E-3</v>
      </c>
      <c r="M1010" s="104">
        <f t="shared" si="60"/>
        <v>82.138449418799993</v>
      </c>
      <c r="O1010" s="66"/>
      <c r="Q1010" s="66">
        <f t="shared" si="62"/>
        <v>152.68133865416667</v>
      </c>
    </row>
    <row r="1011" spans="1:17">
      <c r="A1011" s="151" t="s">
        <v>14</v>
      </c>
      <c r="B1011" s="160" t="s">
        <v>1681</v>
      </c>
      <c r="C1011" s="152" t="s">
        <v>2001</v>
      </c>
      <c r="D1011" s="151" t="s">
        <v>2002</v>
      </c>
      <c r="E1011" s="152" t="s">
        <v>164</v>
      </c>
      <c r="F1011" s="151" t="s">
        <v>1600</v>
      </c>
      <c r="G1011" s="152" t="s">
        <v>20</v>
      </c>
      <c r="H1011" s="150">
        <v>201607</v>
      </c>
      <c r="I1011" s="154">
        <v>0.31</v>
      </c>
      <c r="J1011" s="297">
        <f t="shared" si="63"/>
        <v>42675</v>
      </c>
      <c r="K1011" s="67">
        <f t="shared" si="61"/>
        <v>6</v>
      </c>
      <c r="L1011" s="155">
        <v>2.23333E-3</v>
      </c>
      <c r="M1011" s="104">
        <f t="shared" si="60"/>
        <v>4.1539937999999993E-3</v>
      </c>
      <c r="O1011" s="66"/>
      <c r="Q1011" s="66">
        <f t="shared" si="62"/>
        <v>5.1284979166666663E-3</v>
      </c>
    </row>
    <row r="1012" spans="1:17">
      <c r="A1012" s="151" t="s">
        <v>626</v>
      </c>
      <c r="B1012" s="160" t="s">
        <v>1681</v>
      </c>
      <c r="C1012" s="152" t="s">
        <v>2001</v>
      </c>
      <c r="D1012" s="151" t="s">
        <v>2002</v>
      </c>
      <c r="E1012" s="152" t="s">
        <v>164</v>
      </c>
      <c r="F1012" s="151" t="s">
        <v>1600</v>
      </c>
      <c r="G1012" s="152" t="s">
        <v>20</v>
      </c>
      <c r="H1012" s="153">
        <v>201607</v>
      </c>
      <c r="I1012" s="154">
        <v>226.51</v>
      </c>
      <c r="J1012" s="297">
        <f t="shared" si="63"/>
        <v>42675</v>
      </c>
      <c r="K1012" s="67">
        <f t="shared" si="61"/>
        <v>6</v>
      </c>
      <c r="L1012" s="155">
        <v>1.4833299999999999E-3</v>
      </c>
      <c r="M1012" s="104">
        <f t="shared" si="60"/>
        <v>2.0159344697999999</v>
      </c>
      <c r="O1012" s="66"/>
      <c r="Q1012" s="66">
        <f t="shared" si="62"/>
        <v>3.7472776229166667</v>
      </c>
    </row>
    <row r="1013" spans="1:17">
      <c r="A1013" s="151" t="s">
        <v>14</v>
      </c>
      <c r="B1013" s="160" t="s">
        <v>1681</v>
      </c>
      <c r="C1013" s="152" t="s">
        <v>2003</v>
      </c>
      <c r="D1013" s="151" t="s">
        <v>2004</v>
      </c>
      <c r="E1013" s="152" t="s">
        <v>164</v>
      </c>
      <c r="F1013" s="151" t="s">
        <v>1600</v>
      </c>
      <c r="G1013" s="152" t="s">
        <v>20</v>
      </c>
      <c r="H1013" s="150">
        <v>201607</v>
      </c>
      <c r="I1013" s="154">
        <v>8.16</v>
      </c>
      <c r="J1013" s="297">
        <f t="shared" si="63"/>
        <v>42675</v>
      </c>
      <c r="K1013" s="67">
        <f t="shared" si="61"/>
        <v>6</v>
      </c>
      <c r="L1013" s="155">
        <v>2.23333E-3</v>
      </c>
      <c r="M1013" s="104">
        <f t="shared" si="60"/>
        <v>0.1093438368</v>
      </c>
      <c r="O1013" s="66"/>
      <c r="Q1013" s="66">
        <f t="shared" si="62"/>
        <v>0.13499529999999998</v>
      </c>
    </row>
    <row r="1014" spans="1:17">
      <c r="A1014" s="151" t="s">
        <v>21</v>
      </c>
      <c r="B1014" s="160" t="s">
        <v>1681</v>
      </c>
      <c r="C1014" s="152" t="s">
        <v>2003</v>
      </c>
      <c r="D1014" s="151" t="s">
        <v>2004</v>
      </c>
      <c r="E1014" s="152" t="s">
        <v>164</v>
      </c>
      <c r="F1014" s="151" t="s">
        <v>1600</v>
      </c>
      <c r="G1014" s="152" t="s">
        <v>20</v>
      </c>
      <c r="H1014" s="153">
        <v>201607</v>
      </c>
      <c r="I1014" s="154">
        <v>8.23</v>
      </c>
      <c r="J1014" s="297">
        <f t="shared" si="63"/>
        <v>42675</v>
      </c>
      <c r="K1014" s="67">
        <f t="shared" si="61"/>
        <v>6</v>
      </c>
      <c r="L1014" s="155">
        <v>1.4833299999999999E-3</v>
      </c>
      <c r="M1014" s="104">
        <f t="shared" si="60"/>
        <v>7.3246835400000002E-2</v>
      </c>
      <c r="O1014" s="66"/>
      <c r="Q1014" s="66">
        <f t="shared" si="62"/>
        <v>0.13615334791666667</v>
      </c>
    </row>
    <row r="1015" spans="1:17">
      <c r="A1015" s="151" t="s">
        <v>626</v>
      </c>
      <c r="B1015" s="160" t="s">
        <v>1681</v>
      </c>
      <c r="C1015" s="152" t="s">
        <v>2003</v>
      </c>
      <c r="D1015" s="151" t="s">
        <v>2004</v>
      </c>
      <c r="E1015" s="152" t="s">
        <v>164</v>
      </c>
      <c r="F1015" s="151" t="s">
        <v>1600</v>
      </c>
      <c r="G1015" s="152" t="s">
        <v>20</v>
      </c>
      <c r="H1015" s="153">
        <v>201607</v>
      </c>
      <c r="I1015" s="154">
        <v>169.48</v>
      </c>
      <c r="J1015" s="297">
        <f t="shared" si="63"/>
        <v>42675</v>
      </c>
      <c r="K1015" s="67">
        <f t="shared" si="61"/>
        <v>6</v>
      </c>
      <c r="L1015" s="155">
        <v>1.4833299999999999E-3</v>
      </c>
      <c r="M1015" s="104">
        <f t="shared" si="60"/>
        <v>1.5083686103999998</v>
      </c>
      <c r="O1015" s="66"/>
      <c r="Q1015" s="66">
        <f t="shared" si="62"/>
        <v>2.8037994416666665</v>
      </c>
    </row>
    <row r="1016" spans="1:17">
      <c r="A1016" s="151" t="s">
        <v>14</v>
      </c>
      <c r="B1016" s="160" t="s">
        <v>1681</v>
      </c>
      <c r="C1016" s="152" t="s">
        <v>2005</v>
      </c>
      <c r="D1016" s="151" t="s">
        <v>2006</v>
      </c>
      <c r="E1016" s="152" t="s">
        <v>87</v>
      </c>
      <c r="F1016" s="151" t="s">
        <v>1603</v>
      </c>
      <c r="G1016" s="152" t="s">
        <v>20</v>
      </c>
      <c r="H1016" s="150">
        <v>201607</v>
      </c>
      <c r="I1016" s="154">
        <v>1.7</v>
      </c>
      <c r="J1016" s="297">
        <f t="shared" si="63"/>
        <v>42675</v>
      </c>
      <c r="K1016" s="67">
        <f t="shared" si="61"/>
        <v>6</v>
      </c>
      <c r="L1016" s="155">
        <v>2.23333E-3</v>
      </c>
      <c r="M1016" s="104">
        <f t="shared" si="60"/>
        <v>2.2779965999999999E-2</v>
      </c>
      <c r="O1016" s="66"/>
      <c r="Q1016" s="66">
        <f t="shared" si="62"/>
        <v>2.8124020833333332E-2</v>
      </c>
    </row>
    <row r="1017" spans="1:17">
      <c r="A1017" s="151" t="s">
        <v>626</v>
      </c>
      <c r="B1017" s="160" t="s">
        <v>1681</v>
      </c>
      <c r="C1017" s="152" t="s">
        <v>2005</v>
      </c>
      <c r="D1017" s="151" t="s">
        <v>2006</v>
      </c>
      <c r="E1017" s="152" t="s">
        <v>87</v>
      </c>
      <c r="F1017" s="151" t="s">
        <v>1603</v>
      </c>
      <c r="G1017" s="152" t="s">
        <v>20</v>
      </c>
      <c r="H1017" s="153">
        <v>201607</v>
      </c>
      <c r="I1017" s="154">
        <v>522.54</v>
      </c>
      <c r="J1017" s="297">
        <f t="shared" si="63"/>
        <v>42675</v>
      </c>
      <c r="K1017" s="67">
        <f t="shared" si="61"/>
        <v>6</v>
      </c>
      <c r="L1017" s="155">
        <v>1.4833299999999999E-3</v>
      </c>
      <c r="M1017" s="104">
        <f t="shared" si="60"/>
        <v>4.6505955491999993</v>
      </c>
      <c r="O1017" s="66"/>
      <c r="Q1017" s="66">
        <f t="shared" si="62"/>
        <v>8.6446622624999989</v>
      </c>
    </row>
    <row r="1018" spans="1:17">
      <c r="A1018" s="151" t="s">
        <v>626</v>
      </c>
      <c r="B1018" s="160" t="s">
        <v>1681</v>
      </c>
      <c r="C1018" s="152" t="s">
        <v>1853</v>
      </c>
      <c r="D1018" s="151" t="s">
        <v>1854</v>
      </c>
      <c r="E1018" s="152" t="s">
        <v>260</v>
      </c>
      <c r="F1018" s="151" t="s">
        <v>1608</v>
      </c>
      <c r="G1018" s="152" t="s">
        <v>20</v>
      </c>
      <c r="H1018" s="153">
        <v>201607</v>
      </c>
      <c r="I1018" s="154">
        <v>230.1</v>
      </c>
      <c r="J1018" s="297">
        <f t="shared" si="63"/>
        <v>42675</v>
      </c>
      <c r="K1018" s="67">
        <f t="shared" si="61"/>
        <v>6</v>
      </c>
      <c r="L1018" s="155">
        <v>1.4833299999999999E-3</v>
      </c>
      <c r="M1018" s="104">
        <f t="shared" si="60"/>
        <v>2.047885398</v>
      </c>
      <c r="O1018" s="66"/>
      <c r="Q1018" s="66">
        <f t="shared" si="62"/>
        <v>3.8066689374999996</v>
      </c>
    </row>
    <row r="1019" spans="1:17">
      <c r="A1019" s="151" t="s">
        <v>14</v>
      </c>
      <c r="B1019" s="160" t="s">
        <v>1681</v>
      </c>
      <c r="C1019" s="152" t="s">
        <v>2065</v>
      </c>
      <c r="D1019" s="151" t="s">
        <v>2066</v>
      </c>
      <c r="E1019" s="152" t="s">
        <v>209</v>
      </c>
      <c r="F1019" s="151" t="s">
        <v>1612</v>
      </c>
      <c r="G1019" s="152" t="s">
        <v>20</v>
      </c>
      <c r="H1019" s="150">
        <v>201607</v>
      </c>
      <c r="I1019" s="154">
        <v>88.36</v>
      </c>
      <c r="J1019" s="297">
        <f t="shared" si="63"/>
        <v>42675</v>
      </c>
      <c r="K1019" s="67">
        <f t="shared" si="61"/>
        <v>6</v>
      </c>
      <c r="L1019" s="155">
        <v>2.23333E-3</v>
      </c>
      <c r="M1019" s="104">
        <f t="shared" si="60"/>
        <v>1.1840222327999999</v>
      </c>
      <c r="O1019" s="66"/>
      <c r="Q1019" s="66">
        <f t="shared" si="62"/>
        <v>1.4617873416666667</v>
      </c>
    </row>
    <row r="1020" spans="1:17">
      <c r="A1020" s="161" t="s">
        <v>626</v>
      </c>
      <c r="B1020" s="160" t="s">
        <v>1681</v>
      </c>
      <c r="C1020" s="160" t="s">
        <v>2065</v>
      </c>
      <c r="D1020" s="161" t="s">
        <v>2066</v>
      </c>
      <c r="E1020" s="160" t="s">
        <v>209</v>
      </c>
      <c r="F1020" s="161" t="s">
        <v>1612</v>
      </c>
      <c r="G1020" s="160" t="s">
        <v>20</v>
      </c>
      <c r="H1020" s="103">
        <v>201607</v>
      </c>
      <c r="I1020" s="154">
        <v>3413.85</v>
      </c>
      <c r="J1020" s="297">
        <f t="shared" si="63"/>
        <v>42675</v>
      </c>
      <c r="K1020" s="67">
        <f t="shared" si="61"/>
        <v>6</v>
      </c>
      <c r="L1020" s="155">
        <v>1.4833299999999999E-3</v>
      </c>
      <c r="M1020" s="104">
        <f t="shared" si="60"/>
        <v>30.383196723000001</v>
      </c>
      <c r="O1020" s="66"/>
      <c r="Q1020" s="66">
        <f t="shared" si="62"/>
        <v>56.477169718749998</v>
      </c>
    </row>
    <row r="1021" spans="1:17">
      <c r="A1021" s="151" t="s">
        <v>626</v>
      </c>
      <c r="B1021" s="160" t="s">
        <v>1681</v>
      </c>
      <c r="C1021" s="152" t="s">
        <v>2067</v>
      </c>
      <c r="D1021" s="151" t="s">
        <v>2068</v>
      </c>
      <c r="E1021" s="152" t="s">
        <v>93</v>
      </c>
      <c r="F1021" s="151" t="s">
        <v>1601</v>
      </c>
      <c r="G1021" s="152" t="s">
        <v>20</v>
      </c>
      <c r="H1021" s="153">
        <v>201607</v>
      </c>
      <c r="I1021" s="154">
        <v>4.8499999999999996</v>
      </c>
      <c r="J1021" s="297">
        <f t="shared" si="63"/>
        <v>42675</v>
      </c>
      <c r="K1021" s="67">
        <f t="shared" si="61"/>
        <v>6</v>
      </c>
      <c r="L1021" s="155">
        <v>1.4833299999999999E-3</v>
      </c>
      <c r="M1021" s="104">
        <f t="shared" si="60"/>
        <v>4.3164902999999998E-2</v>
      </c>
      <c r="O1021" s="66"/>
      <c r="Q1021" s="66">
        <f t="shared" si="62"/>
        <v>8.0236177083333318E-2</v>
      </c>
    </row>
    <row r="1022" spans="1:17">
      <c r="A1022" s="151" t="s">
        <v>626</v>
      </c>
      <c r="B1022" s="160" t="s">
        <v>1681</v>
      </c>
      <c r="C1022" s="152" t="s">
        <v>2007</v>
      </c>
      <c r="D1022" s="151" t="s">
        <v>2008</v>
      </c>
      <c r="E1022" s="152" t="s">
        <v>260</v>
      </c>
      <c r="F1022" s="151" t="s">
        <v>1608</v>
      </c>
      <c r="G1022" s="152" t="s">
        <v>20</v>
      </c>
      <c r="H1022" s="153">
        <v>201607</v>
      </c>
      <c r="I1022" s="154">
        <v>859.35</v>
      </c>
      <c r="J1022" s="297">
        <f t="shared" si="63"/>
        <v>42675</v>
      </c>
      <c r="K1022" s="67">
        <f t="shared" si="61"/>
        <v>6</v>
      </c>
      <c r="L1022" s="155">
        <v>1.4833299999999999E-3</v>
      </c>
      <c r="M1022" s="104">
        <f t="shared" si="60"/>
        <v>7.6481978130000003</v>
      </c>
      <c r="O1022" s="66"/>
      <c r="Q1022" s="66">
        <f t="shared" si="62"/>
        <v>14.216692531250001</v>
      </c>
    </row>
    <row r="1023" spans="1:17">
      <c r="A1023" s="151" t="s">
        <v>14</v>
      </c>
      <c r="B1023" s="160" t="s">
        <v>1681</v>
      </c>
      <c r="C1023" s="152" t="s">
        <v>2009</v>
      </c>
      <c r="D1023" s="151" t="s">
        <v>2010</v>
      </c>
      <c r="E1023" s="152" t="s">
        <v>260</v>
      </c>
      <c r="F1023" s="151" t="s">
        <v>1608</v>
      </c>
      <c r="G1023" s="152" t="s">
        <v>20</v>
      </c>
      <c r="H1023" s="150">
        <v>201607</v>
      </c>
      <c r="I1023" s="154">
        <v>20.13</v>
      </c>
      <c r="J1023" s="297">
        <f t="shared" si="63"/>
        <v>42675</v>
      </c>
      <c r="K1023" s="67">
        <f t="shared" si="61"/>
        <v>6</v>
      </c>
      <c r="L1023" s="155">
        <v>2.23333E-3</v>
      </c>
      <c r="M1023" s="104">
        <f t="shared" si="60"/>
        <v>0.26974159739999998</v>
      </c>
      <c r="O1023" s="66"/>
      <c r="Q1023" s="66">
        <f t="shared" si="62"/>
        <v>0.33302149375000001</v>
      </c>
    </row>
    <row r="1024" spans="1:17">
      <c r="A1024" s="151" t="s">
        <v>626</v>
      </c>
      <c r="B1024" s="160" t="s">
        <v>1681</v>
      </c>
      <c r="C1024" s="152" t="s">
        <v>2009</v>
      </c>
      <c r="D1024" s="151" t="s">
        <v>2010</v>
      </c>
      <c r="E1024" s="152" t="s">
        <v>260</v>
      </c>
      <c r="F1024" s="151" t="s">
        <v>1608</v>
      </c>
      <c r="G1024" s="152" t="s">
        <v>20</v>
      </c>
      <c r="H1024" s="153">
        <v>201607</v>
      </c>
      <c r="I1024" s="154">
        <v>1067.68</v>
      </c>
      <c r="J1024" s="297">
        <f t="shared" si="63"/>
        <v>42675</v>
      </c>
      <c r="K1024" s="67">
        <f t="shared" si="61"/>
        <v>6</v>
      </c>
      <c r="L1024" s="155">
        <v>1.4833299999999999E-3</v>
      </c>
      <c r="M1024" s="104">
        <f t="shared" si="60"/>
        <v>9.5023306464000008</v>
      </c>
      <c r="O1024" s="66"/>
      <c r="Q1024" s="66">
        <f t="shared" si="62"/>
        <v>17.663208566666668</v>
      </c>
    </row>
    <row r="1025" spans="1:17">
      <c r="A1025" s="151" t="s">
        <v>14</v>
      </c>
      <c r="B1025" s="160" t="s">
        <v>1681</v>
      </c>
      <c r="C1025" s="152" t="s">
        <v>2011</v>
      </c>
      <c r="D1025" s="151" t="s">
        <v>2012</v>
      </c>
      <c r="E1025" s="152" t="s">
        <v>260</v>
      </c>
      <c r="F1025" s="151" t="s">
        <v>1608</v>
      </c>
      <c r="G1025" s="152" t="s">
        <v>20</v>
      </c>
      <c r="H1025" s="150">
        <v>201607</v>
      </c>
      <c r="I1025" s="154">
        <v>57.08</v>
      </c>
      <c r="J1025" s="297">
        <f t="shared" si="63"/>
        <v>42675</v>
      </c>
      <c r="K1025" s="67">
        <f t="shared" si="61"/>
        <v>6</v>
      </c>
      <c r="L1025" s="155">
        <v>2.23333E-3</v>
      </c>
      <c r="M1025" s="104">
        <f t="shared" si="60"/>
        <v>0.76487085839999991</v>
      </c>
      <c r="O1025" s="66"/>
      <c r="Q1025" s="66">
        <f t="shared" si="62"/>
        <v>0.94430535833333329</v>
      </c>
    </row>
    <row r="1026" spans="1:17">
      <c r="A1026" s="161" t="s">
        <v>626</v>
      </c>
      <c r="B1026" s="160" t="s">
        <v>1681</v>
      </c>
      <c r="C1026" s="160" t="s">
        <v>2011</v>
      </c>
      <c r="D1026" s="161" t="s">
        <v>2012</v>
      </c>
      <c r="E1026" s="160" t="s">
        <v>260</v>
      </c>
      <c r="F1026" s="161" t="s">
        <v>1608</v>
      </c>
      <c r="G1026" s="160" t="s">
        <v>20</v>
      </c>
      <c r="H1026" s="103">
        <v>201607</v>
      </c>
      <c r="I1026" s="154">
        <v>2552.64</v>
      </c>
      <c r="J1026" s="297">
        <f t="shared" si="63"/>
        <v>42675</v>
      </c>
      <c r="K1026" s="67">
        <f t="shared" si="61"/>
        <v>6</v>
      </c>
      <c r="L1026" s="155">
        <v>1.4833299999999999E-3</v>
      </c>
      <c r="M1026" s="104">
        <f t="shared" si="60"/>
        <v>22.718444947199998</v>
      </c>
      <c r="O1026" s="66"/>
      <c r="Q1026" s="66">
        <f t="shared" si="62"/>
        <v>42.229706199999995</v>
      </c>
    </row>
    <row r="1027" spans="1:17">
      <c r="A1027" s="151" t="s">
        <v>14</v>
      </c>
      <c r="B1027" s="160" t="s">
        <v>1681</v>
      </c>
      <c r="C1027" s="152" t="s">
        <v>2069</v>
      </c>
      <c r="D1027" s="151" t="s">
        <v>2070</v>
      </c>
      <c r="E1027" s="152" t="s">
        <v>164</v>
      </c>
      <c r="F1027" s="151" t="s">
        <v>1600</v>
      </c>
      <c r="G1027" s="152" t="s">
        <v>20</v>
      </c>
      <c r="H1027" s="150">
        <v>201607</v>
      </c>
      <c r="I1027" s="154">
        <v>389.53</v>
      </c>
      <c r="J1027" s="297">
        <f t="shared" si="63"/>
        <v>42675</v>
      </c>
      <c r="K1027" s="67">
        <f t="shared" si="61"/>
        <v>6</v>
      </c>
      <c r="L1027" s="155">
        <v>2.23333E-3</v>
      </c>
      <c r="M1027" s="104">
        <f t="shared" si="60"/>
        <v>5.2196942093999992</v>
      </c>
      <c r="O1027" s="66"/>
      <c r="Q1027" s="66">
        <f t="shared" si="62"/>
        <v>6.4442057854166661</v>
      </c>
    </row>
    <row r="1028" spans="1:17">
      <c r="A1028" s="161" t="s">
        <v>626</v>
      </c>
      <c r="B1028" s="160" t="s">
        <v>1681</v>
      </c>
      <c r="C1028" s="160" t="s">
        <v>2069</v>
      </c>
      <c r="D1028" s="161" t="s">
        <v>2070</v>
      </c>
      <c r="E1028" s="160" t="s">
        <v>164</v>
      </c>
      <c r="F1028" s="161" t="s">
        <v>1600</v>
      </c>
      <c r="G1028" s="160" t="s">
        <v>20</v>
      </c>
      <c r="H1028" s="103">
        <v>201607</v>
      </c>
      <c r="I1028" s="154">
        <v>1825.59</v>
      </c>
      <c r="J1028" s="297">
        <f t="shared" si="63"/>
        <v>42675</v>
      </c>
      <c r="K1028" s="67">
        <f t="shared" si="61"/>
        <v>6</v>
      </c>
      <c r="L1028" s="155">
        <v>1.4833299999999999E-3</v>
      </c>
      <c r="M1028" s="104">
        <f t="shared" si="60"/>
        <v>16.2477144882</v>
      </c>
      <c r="O1028" s="66"/>
      <c r="Q1028" s="66">
        <f t="shared" si="62"/>
        <v>30.201724231249997</v>
      </c>
    </row>
    <row r="1029" spans="1:17">
      <c r="A1029" s="161" t="s">
        <v>626</v>
      </c>
      <c r="B1029" s="160" t="s">
        <v>1681</v>
      </c>
      <c r="C1029" s="160" t="s">
        <v>2071</v>
      </c>
      <c r="D1029" s="161" t="s">
        <v>2072</v>
      </c>
      <c r="E1029" s="160" t="s">
        <v>260</v>
      </c>
      <c r="F1029" s="161" t="s">
        <v>1608</v>
      </c>
      <c r="G1029" s="160" t="s">
        <v>20</v>
      </c>
      <c r="H1029" s="103">
        <v>201607</v>
      </c>
      <c r="I1029" s="154">
        <v>14406.34</v>
      </c>
      <c r="J1029" s="297">
        <f t="shared" si="63"/>
        <v>42675</v>
      </c>
      <c r="K1029" s="67">
        <f t="shared" si="61"/>
        <v>6</v>
      </c>
      <c r="L1029" s="155">
        <v>1.4833299999999999E-3</v>
      </c>
      <c r="M1029" s="104">
        <f t="shared" ref="M1029:M1061" si="64">L1029*K1029*I1029</f>
        <v>128.21613787320001</v>
      </c>
      <c r="O1029" s="66"/>
      <c r="Q1029" s="66">
        <f t="shared" si="62"/>
        <v>238.33188605416666</v>
      </c>
    </row>
    <row r="1030" spans="1:17">
      <c r="A1030" s="151" t="s">
        <v>626</v>
      </c>
      <c r="B1030" s="160" t="s">
        <v>1681</v>
      </c>
      <c r="C1030" s="152" t="s">
        <v>2073</v>
      </c>
      <c r="D1030" s="151" t="s">
        <v>2074</v>
      </c>
      <c r="E1030" s="152" t="s">
        <v>164</v>
      </c>
      <c r="F1030" s="151" t="s">
        <v>1600</v>
      </c>
      <c r="G1030" s="152" t="s">
        <v>20</v>
      </c>
      <c r="H1030" s="153">
        <v>201607</v>
      </c>
      <c r="I1030" s="154">
        <v>373.98</v>
      </c>
      <c r="J1030" s="297">
        <f t="shared" si="63"/>
        <v>42675</v>
      </c>
      <c r="K1030" s="67">
        <f t="shared" ref="K1030:K1061" si="65">((YEAR($K$1)-YEAR(J1030))*12+MONTH($K$1)-MONTH(J1030))</f>
        <v>6</v>
      </c>
      <c r="L1030" s="155">
        <v>1.4833299999999999E-3</v>
      </c>
      <c r="M1030" s="104">
        <f t="shared" si="64"/>
        <v>3.3284145204</v>
      </c>
      <c r="O1030" s="66"/>
      <c r="Q1030" s="66">
        <f t="shared" ref="Q1030:Q1093" si="66">($Q$4*0.5*I1030*$T$10)</f>
        <v>6.1869537125000003</v>
      </c>
    </row>
    <row r="1031" spans="1:17">
      <c r="A1031" s="151" t="s">
        <v>21</v>
      </c>
      <c r="B1031" s="160" t="s">
        <v>1681</v>
      </c>
      <c r="C1031" s="152" t="s">
        <v>2075</v>
      </c>
      <c r="D1031" s="151" t="s">
        <v>2076</v>
      </c>
      <c r="E1031" s="152" t="s">
        <v>75</v>
      </c>
      <c r="F1031" s="151" t="s">
        <v>1602</v>
      </c>
      <c r="G1031" s="152" t="s">
        <v>20</v>
      </c>
      <c r="H1031" s="153">
        <v>201607</v>
      </c>
      <c r="I1031" s="154">
        <v>1178.92</v>
      </c>
      <c r="J1031" s="297">
        <f t="shared" ref="J1031:J1094" si="67">+J1030</f>
        <v>42675</v>
      </c>
      <c r="K1031" s="67">
        <f t="shared" si="65"/>
        <v>6</v>
      </c>
      <c r="L1031" s="155">
        <v>1.4833299999999999E-3</v>
      </c>
      <c r="M1031" s="104">
        <f t="shared" si="64"/>
        <v>10.492364421600001</v>
      </c>
      <c r="O1031" s="66"/>
      <c r="Q1031" s="66">
        <f t="shared" si="66"/>
        <v>19.503512141666668</v>
      </c>
    </row>
    <row r="1032" spans="1:17">
      <c r="A1032" s="151" t="s">
        <v>14</v>
      </c>
      <c r="B1032" s="160" t="s">
        <v>1681</v>
      </c>
      <c r="C1032" s="152" t="s">
        <v>2013</v>
      </c>
      <c r="D1032" s="151" t="s">
        <v>2014</v>
      </c>
      <c r="E1032" s="152" t="s">
        <v>164</v>
      </c>
      <c r="F1032" s="151" t="s">
        <v>1600</v>
      </c>
      <c r="G1032" s="152" t="s">
        <v>20</v>
      </c>
      <c r="H1032" s="150">
        <v>201607</v>
      </c>
      <c r="I1032" s="154">
        <v>57.29</v>
      </c>
      <c r="J1032" s="297">
        <f t="shared" si="67"/>
        <v>42675</v>
      </c>
      <c r="K1032" s="67">
        <f t="shared" si="65"/>
        <v>6</v>
      </c>
      <c r="L1032" s="155">
        <v>2.23333E-3</v>
      </c>
      <c r="M1032" s="104">
        <f t="shared" si="64"/>
        <v>0.76768485419999988</v>
      </c>
      <c r="O1032" s="66"/>
      <c r="Q1032" s="66">
        <f t="shared" si="66"/>
        <v>0.94777950208333339</v>
      </c>
    </row>
    <row r="1033" spans="1:17">
      <c r="A1033" s="151" t="s">
        <v>626</v>
      </c>
      <c r="B1033" s="160" t="s">
        <v>1681</v>
      </c>
      <c r="C1033" s="152" t="s">
        <v>2013</v>
      </c>
      <c r="D1033" s="151" t="s">
        <v>2014</v>
      </c>
      <c r="E1033" s="152" t="s">
        <v>164</v>
      </c>
      <c r="F1033" s="151" t="s">
        <v>1600</v>
      </c>
      <c r="G1033" s="152" t="s">
        <v>20</v>
      </c>
      <c r="H1033" s="153">
        <v>201607</v>
      </c>
      <c r="I1033" s="154">
        <v>219.15</v>
      </c>
      <c r="J1033" s="297">
        <f t="shared" si="67"/>
        <v>42675</v>
      </c>
      <c r="K1033" s="67">
        <f t="shared" si="65"/>
        <v>6</v>
      </c>
      <c r="L1033" s="155">
        <v>1.4833299999999999E-3</v>
      </c>
      <c r="M1033" s="104">
        <f t="shared" si="64"/>
        <v>1.9504306170000001</v>
      </c>
      <c r="O1033" s="66"/>
      <c r="Q1033" s="66">
        <f t="shared" si="66"/>
        <v>3.6255171562500004</v>
      </c>
    </row>
    <row r="1034" spans="1:17">
      <c r="A1034" s="151" t="s">
        <v>14</v>
      </c>
      <c r="B1034" s="160" t="s">
        <v>1681</v>
      </c>
      <c r="C1034" s="152" t="s">
        <v>2015</v>
      </c>
      <c r="D1034" s="151" t="s">
        <v>2016</v>
      </c>
      <c r="E1034" s="152" t="s">
        <v>164</v>
      </c>
      <c r="F1034" s="151" t="s">
        <v>1600</v>
      </c>
      <c r="G1034" s="152" t="s">
        <v>20</v>
      </c>
      <c r="H1034" s="150">
        <v>201607</v>
      </c>
      <c r="I1034" s="154">
        <v>25.09</v>
      </c>
      <c r="J1034" s="297">
        <f t="shared" si="67"/>
        <v>42675</v>
      </c>
      <c r="K1034" s="67">
        <f t="shared" si="65"/>
        <v>6</v>
      </c>
      <c r="L1034" s="155">
        <v>2.23333E-3</v>
      </c>
      <c r="M1034" s="104">
        <f t="shared" si="64"/>
        <v>0.33620549819999995</v>
      </c>
      <c r="O1034" s="66"/>
      <c r="Q1034" s="66">
        <f t="shared" si="66"/>
        <v>0.41507746041666665</v>
      </c>
    </row>
    <row r="1035" spans="1:17">
      <c r="A1035" s="151" t="s">
        <v>626</v>
      </c>
      <c r="B1035" s="160" t="s">
        <v>1681</v>
      </c>
      <c r="C1035" s="152" t="s">
        <v>2015</v>
      </c>
      <c r="D1035" s="151" t="s">
        <v>2016</v>
      </c>
      <c r="E1035" s="152" t="s">
        <v>164</v>
      </c>
      <c r="F1035" s="151" t="s">
        <v>1600</v>
      </c>
      <c r="G1035" s="152" t="s">
        <v>20</v>
      </c>
      <c r="H1035" s="153">
        <v>201607</v>
      </c>
      <c r="I1035" s="154">
        <v>279.58999999999997</v>
      </c>
      <c r="J1035" s="297">
        <f t="shared" si="67"/>
        <v>42675</v>
      </c>
      <c r="K1035" s="67">
        <f t="shared" si="65"/>
        <v>6</v>
      </c>
      <c r="L1035" s="155">
        <v>1.4833299999999999E-3</v>
      </c>
      <c r="M1035" s="104">
        <f t="shared" si="64"/>
        <v>2.4883454081999998</v>
      </c>
      <c r="O1035" s="66"/>
      <c r="Q1035" s="66">
        <f t="shared" si="66"/>
        <v>4.6254088145833325</v>
      </c>
    </row>
    <row r="1036" spans="1:17">
      <c r="A1036" s="161" t="s">
        <v>626</v>
      </c>
      <c r="B1036" s="160" t="s">
        <v>1681</v>
      </c>
      <c r="C1036" s="160" t="s">
        <v>2077</v>
      </c>
      <c r="D1036" s="161" t="s">
        <v>2078</v>
      </c>
      <c r="E1036" s="160" t="s">
        <v>260</v>
      </c>
      <c r="F1036" s="161" t="s">
        <v>1608</v>
      </c>
      <c r="G1036" s="160" t="s">
        <v>20</v>
      </c>
      <c r="H1036" s="103">
        <v>201607</v>
      </c>
      <c r="I1036" s="154">
        <v>6626.05</v>
      </c>
      <c r="J1036" s="297">
        <f t="shared" si="67"/>
        <v>42675</v>
      </c>
      <c r="K1036" s="67">
        <f t="shared" si="65"/>
        <v>6</v>
      </c>
      <c r="L1036" s="155">
        <v>1.4833299999999999E-3</v>
      </c>
      <c r="M1036" s="104">
        <f t="shared" si="64"/>
        <v>58.971712479000004</v>
      </c>
      <c r="O1036" s="66"/>
      <c r="Q1036" s="66">
        <f t="shared" si="66"/>
        <v>109.61833426041667</v>
      </c>
    </row>
    <row r="1037" spans="1:17">
      <c r="A1037" s="161" t="s">
        <v>626</v>
      </c>
      <c r="B1037" s="160" t="s">
        <v>1681</v>
      </c>
      <c r="C1037" s="160" t="s">
        <v>2079</v>
      </c>
      <c r="D1037" s="161" t="s">
        <v>2080</v>
      </c>
      <c r="E1037" s="160" t="s">
        <v>75</v>
      </c>
      <c r="F1037" s="161" t="s">
        <v>1602</v>
      </c>
      <c r="G1037" s="160" t="s">
        <v>20</v>
      </c>
      <c r="H1037" s="103">
        <v>201607</v>
      </c>
      <c r="I1037" s="154">
        <v>2336.88</v>
      </c>
      <c r="J1037" s="297">
        <f t="shared" si="67"/>
        <v>42675</v>
      </c>
      <c r="K1037" s="67">
        <f t="shared" si="65"/>
        <v>6</v>
      </c>
      <c r="L1037" s="155">
        <v>1.4833299999999999E-3</v>
      </c>
      <c r="M1037" s="104">
        <f t="shared" si="64"/>
        <v>20.798185262400001</v>
      </c>
      <c r="O1037" s="66"/>
      <c r="Q1037" s="66">
        <f t="shared" si="66"/>
        <v>38.660271649999999</v>
      </c>
    </row>
    <row r="1038" spans="1:17">
      <c r="A1038" s="151" t="s">
        <v>21</v>
      </c>
      <c r="B1038" s="160" t="s">
        <v>1681</v>
      </c>
      <c r="C1038" s="152" t="s">
        <v>2017</v>
      </c>
      <c r="D1038" s="151" t="s">
        <v>2018</v>
      </c>
      <c r="E1038" s="152" t="s">
        <v>87</v>
      </c>
      <c r="F1038" s="151" t="s">
        <v>1603</v>
      </c>
      <c r="G1038" s="152" t="s">
        <v>20</v>
      </c>
      <c r="H1038" s="153">
        <v>201607</v>
      </c>
      <c r="I1038" s="154">
        <v>174.62</v>
      </c>
      <c r="J1038" s="297">
        <f t="shared" si="67"/>
        <v>42675</v>
      </c>
      <c r="K1038" s="67">
        <f t="shared" si="65"/>
        <v>6</v>
      </c>
      <c r="L1038" s="155">
        <v>1.4833299999999999E-3</v>
      </c>
      <c r="M1038" s="104">
        <f t="shared" si="64"/>
        <v>1.5541145076</v>
      </c>
      <c r="O1038" s="66"/>
      <c r="Q1038" s="66">
        <f t="shared" si="66"/>
        <v>2.8888332458333332</v>
      </c>
    </row>
    <row r="1039" spans="1:17">
      <c r="A1039" s="161" t="s">
        <v>626</v>
      </c>
      <c r="B1039" s="160" t="s">
        <v>1681</v>
      </c>
      <c r="C1039" s="160" t="s">
        <v>2081</v>
      </c>
      <c r="D1039" s="161" t="s">
        <v>2082</v>
      </c>
      <c r="E1039" s="160" t="s">
        <v>75</v>
      </c>
      <c r="F1039" s="161" t="s">
        <v>1602</v>
      </c>
      <c r="G1039" s="160" t="s">
        <v>20</v>
      </c>
      <c r="H1039" s="103">
        <v>201607</v>
      </c>
      <c r="I1039" s="154">
        <v>16648.689999999999</v>
      </c>
      <c r="J1039" s="297">
        <f t="shared" si="67"/>
        <v>42675</v>
      </c>
      <c r="K1039" s="67">
        <f t="shared" si="65"/>
        <v>6</v>
      </c>
      <c r="L1039" s="155">
        <v>1.4833299999999999E-3</v>
      </c>
      <c r="M1039" s="104">
        <f t="shared" si="64"/>
        <v>148.17300802619999</v>
      </c>
      <c r="O1039" s="66"/>
      <c r="Q1039" s="66">
        <f t="shared" si="66"/>
        <v>275.42829671041665</v>
      </c>
    </row>
    <row r="1040" spans="1:17">
      <c r="A1040" s="151" t="s">
        <v>626</v>
      </c>
      <c r="B1040" s="160" t="s">
        <v>1681</v>
      </c>
      <c r="C1040" s="152" t="s">
        <v>2083</v>
      </c>
      <c r="D1040" s="151" t="s">
        <v>2084</v>
      </c>
      <c r="E1040" s="152" t="s">
        <v>75</v>
      </c>
      <c r="F1040" s="151" t="s">
        <v>1602</v>
      </c>
      <c r="G1040" s="152" t="s">
        <v>20</v>
      </c>
      <c r="H1040" s="153">
        <v>201607</v>
      </c>
      <c r="I1040" s="154">
        <v>655.47</v>
      </c>
      <c r="J1040" s="297">
        <f t="shared" si="67"/>
        <v>42675</v>
      </c>
      <c r="K1040" s="67">
        <f t="shared" si="65"/>
        <v>6</v>
      </c>
      <c r="L1040" s="155">
        <v>1.4833299999999999E-3</v>
      </c>
      <c r="M1040" s="104">
        <f t="shared" si="64"/>
        <v>5.8336698906000004</v>
      </c>
      <c r="O1040" s="66"/>
      <c r="Q1040" s="66">
        <f t="shared" si="66"/>
        <v>10.843795256250001</v>
      </c>
    </row>
    <row r="1041" spans="1:17">
      <c r="A1041" s="151" t="s">
        <v>626</v>
      </c>
      <c r="B1041" s="160" t="s">
        <v>1681</v>
      </c>
      <c r="C1041" s="152" t="s">
        <v>2085</v>
      </c>
      <c r="D1041" s="151" t="s">
        <v>2086</v>
      </c>
      <c r="E1041" s="152" t="s">
        <v>164</v>
      </c>
      <c r="F1041" s="151" t="s">
        <v>1600</v>
      </c>
      <c r="G1041" s="152" t="s">
        <v>20</v>
      </c>
      <c r="H1041" s="153">
        <v>201607</v>
      </c>
      <c r="I1041" s="154">
        <v>385.58</v>
      </c>
      <c r="J1041" s="297">
        <f t="shared" si="67"/>
        <v>42675</v>
      </c>
      <c r="K1041" s="67">
        <f t="shared" si="65"/>
        <v>6</v>
      </c>
      <c r="L1041" s="155">
        <v>1.4833299999999999E-3</v>
      </c>
      <c r="M1041" s="104">
        <f t="shared" si="64"/>
        <v>3.4316542883999999</v>
      </c>
      <c r="O1041" s="66"/>
      <c r="Q1041" s="66">
        <f t="shared" si="66"/>
        <v>6.3788587958333327</v>
      </c>
    </row>
    <row r="1042" spans="1:17">
      <c r="A1042" s="151" t="s">
        <v>14</v>
      </c>
      <c r="B1042" s="160" t="s">
        <v>1681</v>
      </c>
      <c r="C1042" s="152" t="s">
        <v>2087</v>
      </c>
      <c r="D1042" s="151" t="s">
        <v>2088</v>
      </c>
      <c r="E1042" s="152" t="s">
        <v>164</v>
      </c>
      <c r="F1042" s="151" t="s">
        <v>1600</v>
      </c>
      <c r="G1042" s="152" t="s">
        <v>20</v>
      </c>
      <c r="H1042" s="150">
        <v>201607</v>
      </c>
      <c r="I1042" s="154">
        <v>34.39</v>
      </c>
      <c r="J1042" s="297">
        <f t="shared" si="67"/>
        <v>42675</v>
      </c>
      <c r="K1042" s="67">
        <f t="shared" si="65"/>
        <v>6</v>
      </c>
      <c r="L1042" s="155">
        <v>2.23333E-3</v>
      </c>
      <c r="M1042" s="104">
        <f t="shared" si="64"/>
        <v>0.46082531219999995</v>
      </c>
      <c r="O1042" s="66"/>
      <c r="Q1042" s="66">
        <f t="shared" si="66"/>
        <v>0.56893239791666672</v>
      </c>
    </row>
    <row r="1043" spans="1:17">
      <c r="A1043" s="151" t="s">
        <v>626</v>
      </c>
      <c r="B1043" s="160" t="s">
        <v>1681</v>
      </c>
      <c r="C1043" s="152" t="s">
        <v>2087</v>
      </c>
      <c r="D1043" s="151" t="s">
        <v>2088</v>
      </c>
      <c r="E1043" s="152" t="s">
        <v>164</v>
      </c>
      <c r="F1043" s="151" t="s">
        <v>1600</v>
      </c>
      <c r="G1043" s="152" t="s">
        <v>20</v>
      </c>
      <c r="H1043" s="153">
        <v>201607</v>
      </c>
      <c r="I1043" s="154">
        <v>455.32</v>
      </c>
      <c r="J1043" s="297">
        <f t="shared" si="67"/>
        <v>42675</v>
      </c>
      <c r="K1043" s="67">
        <f t="shared" si="65"/>
        <v>6</v>
      </c>
      <c r="L1043" s="155">
        <v>1.4833299999999999E-3</v>
      </c>
      <c r="M1043" s="104">
        <f t="shared" si="64"/>
        <v>4.0523388936</v>
      </c>
      <c r="O1043" s="66"/>
      <c r="Q1043" s="66">
        <f t="shared" si="66"/>
        <v>7.5326053916666664</v>
      </c>
    </row>
    <row r="1044" spans="1:17">
      <c r="A1044" s="151" t="s">
        <v>626</v>
      </c>
      <c r="B1044" s="160" t="s">
        <v>1681</v>
      </c>
      <c r="C1044" s="152" t="s">
        <v>2089</v>
      </c>
      <c r="D1044" s="151" t="s">
        <v>2090</v>
      </c>
      <c r="E1044" s="152" t="s">
        <v>164</v>
      </c>
      <c r="F1044" s="151" t="s">
        <v>1600</v>
      </c>
      <c r="G1044" s="152" t="s">
        <v>20</v>
      </c>
      <c r="H1044" s="153">
        <v>201607</v>
      </c>
      <c r="I1044" s="154">
        <v>37.07</v>
      </c>
      <c r="J1044" s="297">
        <f t="shared" si="67"/>
        <v>42675</v>
      </c>
      <c r="K1044" s="67">
        <f t="shared" si="65"/>
        <v>6</v>
      </c>
      <c r="L1044" s="155">
        <v>1.4833299999999999E-3</v>
      </c>
      <c r="M1044" s="104">
        <f t="shared" si="64"/>
        <v>0.32992225860000002</v>
      </c>
      <c r="O1044" s="66"/>
      <c r="Q1044" s="66">
        <f t="shared" si="66"/>
        <v>0.61326908958333337</v>
      </c>
    </row>
    <row r="1045" spans="1:17">
      <c r="A1045" s="151" t="s">
        <v>14</v>
      </c>
      <c r="B1045" s="160" t="s">
        <v>1681</v>
      </c>
      <c r="C1045" s="152" t="s">
        <v>2091</v>
      </c>
      <c r="D1045" s="151" t="s">
        <v>2092</v>
      </c>
      <c r="E1045" s="152" t="s">
        <v>93</v>
      </c>
      <c r="F1045" s="151" t="s">
        <v>1601</v>
      </c>
      <c r="G1045" s="152" t="s">
        <v>20</v>
      </c>
      <c r="H1045" s="150">
        <v>201607</v>
      </c>
      <c r="I1045" s="154">
        <v>54.89</v>
      </c>
      <c r="J1045" s="297">
        <f t="shared" si="67"/>
        <v>42675</v>
      </c>
      <c r="K1045" s="67">
        <f t="shared" si="65"/>
        <v>6</v>
      </c>
      <c r="L1045" s="155">
        <v>2.23333E-3</v>
      </c>
      <c r="M1045" s="104">
        <f t="shared" si="64"/>
        <v>0.7355249022</v>
      </c>
      <c r="O1045" s="66"/>
      <c r="Q1045" s="66">
        <f t="shared" si="66"/>
        <v>0.90807500208333336</v>
      </c>
    </row>
    <row r="1046" spans="1:17">
      <c r="A1046" s="151" t="s">
        <v>626</v>
      </c>
      <c r="B1046" s="160" t="s">
        <v>1681</v>
      </c>
      <c r="C1046" s="152" t="s">
        <v>2093</v>
      </c>
      <c r="D1046" s="151" t="s">
        <v>2094</v>
      </c>
      <c r="E1046" s="152" t="s">
        <v>209</v>
      </c>
      <c r="F1046" s="151" t="s">
        <v>1612</v>
      </c>
      <c r="G1046" s="152" t="s">
        <v>20</v>
      </c>
      <c r="H1046" s="153">
        <v>201607</v>
      </c>
      <c r="I1046" s="154">
        <v>573.89</v>
      </c>
      <c r="J1046" s="297">
        <f t="shared" si="67"/>
        <v>42675</v>
      </c>
      <c r="K1046" s="67">
        <f t="shared" si="65"/>
        <v>6</v>
      </c>
      <c r="L1046" s="155">
        <v>1.4833299999999999E-3</v>
      </c>
      <c r="M1046" s="104">
        <f t="shared" si="64"/>
        <v>5.1076095221999998</v>
      </c>
      <c r="O1046" s="66"/>
      <c r="Q1046" s="66">
        <f t="shared" si="66"/>
        <v>9.4941731270833341</v>
      </c>
    </row>
    <row r="1047" spans="1:17">
      <c r="A1047" s="151" t="s">
        <v>626</v>
      </c>
      <c r="B1047" s="160" t="s">
        <v>1681</v>
      </c>
      <c r="C1047" s="152" t="s">
        <v>2095</v>
      </c>
      <c r="D1047" s="151" t="s">
        <v>2096</v>
      </c>
      <c r="E1047" s="152" t="s">
        <v>164</v>
      </c>
      <c r="F1047" s="151" t="s">
        <v>1600</v>
      </c>
      <c r="G1047" s="152" t="s">
        <v>20</v>
      </c>
      <c r="H1047" s="153">
        <v>201607</v>
      </c>
      <c r="I1047" s="154">
        <v>69.98</v>
      </c>
      <c r="J1047" s="297">
        <f t="shared" si="67"/>
        <v>42675</v>
      </c>
      <c r="K1047" s="67">
        <f t="shared" si="65"/>
        <v>6</v>
      </c>
      <c r="L1047" s="155">
        <v>1.4833299999999999E-3</v>
      </c>
      <c r="M1047" s="104">
        <f t="shared" si="64"/>
        <v>0.62282060040000009</v>
      </c>
      <c r="O1047" s="66"/>
      <c r="Q1047" s="66">
        <f t="shared" si="66"/>
        <v>1.1577170458333335</v>
      </c>
    </row>
    <row r="1048" spans="1:17">
      <c r="A1048" s="151" t="s">
        <v>626</v>
      </c>
      <c r="B1048" s="160" t="s">
        <v>1681</v>
      </c>
      <c r="C1048" s="152" t="s">
        <v>2097</v>
      </c>
      <c r="D1048" s="151" t="s">
        <v>2098</v>
      </c>
      <c r="E1048" s="152" t="s">
        <v>260</v>
      </c>
      <c r="F1048" s="151" t="s">
        <v>1608</v>
      </c>
      <c r="G1048" s="152" t="s">
        <v>20</v>
      </c>
      <c r="H1048" s="153">
        <v>201607</v>
      </c>
      <c r="I1048" s="154">
        <v>-2106.38</v>
      </c>
      <c r="J1048" s="297">
        <f t="shared" si="67"/>
        <v>42675</v>
      </c>
      <c r="K1048" s="67">
        <f t="shared" si="65"/>
        <v>6</v>
      </c>
      <c r="L1048" s="155">
        <v>1.4833299999999999E-3</v>
      </c>
      <c r="M1048" s="104">
        <f t="shared" si="64"/>
        <v>-18.746739872400003</v>
      </c>
      <c r="O1048" s="66"/>
      <c r="Q1048" s="66">
        <f t="shared" si="66"/>
        <v>-34.846985295833335</v>
      </c>
    </row>
    <row r="1049" spans="1:17">
      <c r="A1049" s="151" t="s">
        <v>14</v>
      </c>
      <c r="B1049" s="160" t="s">
        <v>1681</v>
      </c>
      <c r="C1049" s="152" t="s">
        <v>2097</v>
      </c>
      <c r="D1049" s="151" t="s">
        <v>2098</v>
      </c>
      <c r="E1049" s="152" t="s">
        <v>260</v>
      </c>
      <c r="F1049" s="151" t="s">
        <v>1608</v>
      </c>
      <c r="G1049" s="152" t="s">
        <v>20</v>
      </c>
      <c r="H1049" s="150">
        <v>201607</v>
      </c>
      <c r="I1049" s="154">
        <v>-262.83999999999997</v>
      </c>
      <c r="J1049" s="297">
        <f t="shared" si="67"/>
        <v>42675</v>
      </c>
      <c r="K1049" s="67">
        <f t="shared" si="65"/>
        <v>6</v>
      </c>
      <c r="L1049" s="155">
        <v>2.23333E-3</v>
      </c>
      <c r="M1049" s="104">
        <f t="shared" si="64"/>
        <v>-3.5220507431999994</v>
      </c>
      <c r="O1049" s="66"/>
      <c r="Q1049" s="66">
        <f t="shared" si="66"/>
        <v>-4.3483044916666671</v>
      </c>
    </row>
    <row r="1050" spans="1:17">
      <c r="A1050" s="151" t="s">
        <v>14</v>
      </c>
      <c r="B1050" s="160" t="s">
        <v>1681</v>
      </c>
      <c r="C1050" s="152" t="s">
        <v>2099</v>
      </c>
      <c r="D1050" s="151" t="s">
        <v>2100</v>
      </c>
      <c r="E1050" s="152" t="s">
        <v>260</v>
      </c>
      <c r="F1050" s="151" t="s">
        <v>1608</v>
      </c>
      <c r="G1050" s="152" t="s">
        <v>20</v>
      </c>
      <c r="H1050" s="150">
        <v>201607</v>
      </c>
      <c r="I1050" s="154">
        <v>34.53</v>
      </c>
      <c r="J1050" s="297">
        <f t="shared" si="67"/>
        <v>42675</v>
      </c>
      <c r="K1050" s="67">
        <f t="shared" si="65"/>
        <v>6</v>
      </c>
      <c r="L1050" s="155">
        <v>2.23333E-3</v>
      </c>
      <c r="M1050" s="104">
        <f t="shared" si="64"/>
        <v>0.46270130939999998</v>
      </c>
      <c r="O1050" s="66"/>
      <c r="Q1050" s="66">
        <f t="shared" si="66"/>
        <v>0.57124849374999997</v>
      </c>
    </row>
    <row r="1051" spans="1:17">
      <c r="A1051" s="151" t="s">
        <v>626</v>
      </c>
      <c r="B1051" s="160" t="s">
        <v>1681</v>
      </c>
      <c r="C1051" s="152" t="s">
        <v>2099</v>
      </c>
      <c r="D1051" s="151" t="s">
        <v>2100</v>
      </c>
      <c r="E1051" s="152" t="s">
        <v>260</v>
      </c>
      <c r="F1051" s="151" t="s">
        <v>1608</v>
      </c>
      <c r="G1051" s="152" t="s">
        <v>20</v>
      </c>
      <c r="H1051" s="153">
        <v>201607</v>
      </c>
      <c r="I1051" s="154">
        <v>946.21</v>
      </c>
      <c r="J1051" s="297">
        <f t="shared" si="67"/>
        <v>42675</v>
      </c>
      <c r="K1051" s="67">
        <f t="shared" si="65"/>
        <v>6</v>
      </c>
      <c r="L1051" s="155">
        <v>1.4833299999999999E-3</v>
      </c>
      <c r="M1051" s="104">
        <f t="shared" si="64"/>
        <v>8.4212500757999997</v>
      </c>
      <c r="O1051" s="66"/>
      <c r="Q1051" s="66">
        <f t="shared" si="66"/>
        <v>15.653664560416667</v>
      </c>
    </row>
    <row r="1052" spans="1:17">
      <c r="A1052" s="151" t="s">
        <v>626</v>
      </c>
      <c r="B1052" s="160" t="s">
        <v>1681</v>
      </c>
      <c r="C1052" s="152" t="s">
        <v>2101</v>
      </c>
      <c r="D1052" s="151" t="s">
        <v>2102</v>
      </c>
      <c r="E1052" s="152" t="s">
        <v>260</v>
      </c>
      <c r="F1052" s="151" t="s">
        <v>1608</v>
      </c>
      <c r="G1052" s="152" t="s">
        <v>20</v>
      </c>
      <c r="H1052" s="153">
        <v>201607</v>
      </c>
      <c r="I1052" s="154">
        <v>-2418.6</v>
      </c>
      <c r="J1052" s="297">
        <f t="shared" si="67"/>
        <v>42675</v>
      </c>
      <c r="K1052" s="67">
        <f t="shared" si="65"/>
        <v>6</v>
      </c>
      <c r="L1052" s="155">
        <v>1.4833299999999999E-3</v>
      </c>
      <c r="M1052" s="104">
        <f t="shared" si="64"/>
        <v>-21.525491628000001</v>
      </c>
      <c r="O1052" s="66"/>
      <c r="Q1052" s="66">
        <f t="shared" si="66"/>
        <v>-40.012209875000003</v>
      </c>
    </row>
    <row r="1053" spans="1:17">
      <c r="A1053" s="161" t="s">
        <v>626</v>
      </c>
      <c r="B1053" s="160" t="s">
        <v>1681</v>
      </c>
      <c r="C1053" s="160" t="s">
        <v>2113</v>
      </c>
      <c r="D1053" s="161" t="s">
        <v>2114</v>
      </c>
      <c r="E1053" s="160" t="s">
        <v>87</v>
      </c>
      <c r="F1053" s="161" t="s">
        <v>1603</v>
      </c>
      <c r="G1053" s="160" t="s">
        <v>20</v>
      </c>
      <c r="H1053" s="103">
        <v>201607</v>
      </c>
      <c r="I1053" s="154">
        <v>11039.77</v>
      </c>
      <c r="J1053" s="297">
        <f t="shared" si="67"/>
        <v>42675</v>
      </c>
      <c r="K1053" s="67">
        <f t="shared" si="65"/>
        <v>6</v>
      </c>
      <c r="L1053" s="155">
        <v>1.4833299999999999E-3</v>
      </c>
      <c r="M1053" s="104">
        <f t="shared" si="64"/>
        <v>98.253732204599999</v>
      </c>
      <c r="O1053" s="66"/>
      <c r="Q1053" s="66">
        <f t="shared" si="66"/>
        <v>182.63689498541666</v>
      </c>
    </row>
    <row r="1054" spans="1:17">
      <c r="A1054" s="151" t="s">
        <v>626</v>
      </c>
      <c r="B1054" s="160" t="s">
        <v>1681</v>
      </c>
      <c r="C1054" s="152" t="s">
        <v>2103</v>
      </c>
      <c r="D1054" s="151" t="s">
        <v>2104</v>
      </c>
      <c r="E1054" s="152" t="s">
        <v>93</v>
      </c>
      <c r="F1054" s="151" t="s">
        <v>1601</v>
      </c>
      <c r="G1054" s="152" t="s">
        <v>20</v>
      </c>
      <c r="H1054" s="153">
        <v>201607</v>
      </c>
      <c r="I1054" s="154">
        <v>832.75</v>
      </c>
      <c r="J1054" s="297">
        <f t="shared" si="67"/>
        <v>42675</v>
      </c>
      <c r="K1054" s="67">
        <f t="shared" si="65"/>
        <v>6</v>
      </c>
      <c r="L1054" s="155">
        <v>1.4833299999999999E-3</v>
      </c>
      <c r="M1054" s="104">
        <f t="shared" si="64"/>
        <v>7.4114583449999998</v>
      </c>
      <c r="O1054" s="66"/>
      <c r="Q1054" s="66">
        <f t="shared" si="66"/>
        <v>13.776634322916667</v>
      </c>
    </row>
    <row r="1055" spans="1:17">
      <c r="A1055" s="161" t="s">
        <v>626</v>
      </c>
      <c r="B1055" s="160" t="s">
        <v>1681</v>
      </c>
      <c r="C1055" s="160" t="s">
        <v>2105</v>
      </c>
      <c r="D1055" s="161" t="s">
        <v>2106</v>
      </c>
      <c r="E1055" s="160" t="s">
        <v>75</v>
      </c>
      <c r="F1055" s="161" t="s">
        <v>1602</v>
      </c>
      <c r="G1055" s="160" t="s">
        <v>20</v>
      </c>
      <c r="H1055" s="103">
        <v>201607</v>
      </c>
      <c r="I1055" s="154">
        <v>32571.17</v>
      </c>
      <c r="J1055" s="297">
        <f t="shared" si="67"/>
        <v>42675</v>
      </c>
      <c r="K1055" s="67">
        <f t="shared" si="65"/>
        <v>6</v>
      </c>
      <c r="L1055" s="155">
        <v>1.4833299999999999E-3</v>
      </c>
      <c r="M1055" s="104">
        <f t="shared" si="64"/>
        <v>289.88276157659999</v>
      </c>
      <c r="O1055" s="66"/>
      <c r="Q1055" s="66">
        <f t="shared" si="66"/>
        <v>538.84250802708334</v>
      </c>
    </row>
    <row r="1056" spans="1:17">
      <c r="A1056" s="161" t="s">
        <v>14</v>
      </c>
      <c r="B1056" s="160" t="s">
        <v>1681</v>
      </c>
      <c r="C1056" s="160" t="s">
        <v>2111</v>
      </c>
      <c r="D1056" s="161" t="s">
        <v>2112</v>
      </c>
      <c r="E1056" s="160" t="s">
        <v>164</v>
      </c>
      <c r="F1056" s="161" t="s">
        <v>1600</v>
      </c>
      <c r="G1056" s="160" t="s">
        <v>20</v>
      </c>
      <c r="H1056" s="146">
        <v>201607</v>
      </c>
      <c r="I1056" s="154">
        <v>3481.71</v>
      </c>
      <c r="J1056" s="297">
        <f t="shared" si="67"/>
        <v>42675</v>
      </c>
      <c r="K1056" s="67">
        <f t="shared" si="65"/>
        <v>6</v>
      </c>
      <c r="L1056" s="155">
        <v>2.23333E-3</v>
      </c>
      <c r="M1056" s="104">
        <f t="shared" si="64"/>
        <v>46.654844365799995</v>
      </c>
      <c r="O1056" s="66"/>
      <c r="Q1056" s="66">
        <f t="shared" si="66"/>
        <v>57.599814456250002</v>
      </c>
    </row>
    <row r="1057" spans="1:17">
      <c r="A1057" s="161" t="s">
        <v>626</v>
      </c>
      <c r="B1057" s="160" t="s">
        <v>1681</v>
      </c>
      <c r="C1057" s="160" t="s">
        <v>2111</v>
      </c>
      <c r="D1057" s="161" t="s">
        <v>2112</v>
      </c>
      <c r="E1057" s="160" t="s">
        <v>164</v>
      </c>
      <c r="F1057" s="161" t="s">
        <v>1600</v>
      </c>
      <c r="G1057" s="160" t="s">
        <v>20</v>
      </c>
      <c r="H1057" s="103">
        <v>201607</v>
      </c>
      <c r="I1057" s="154">
        <v>30143.63</v>
      </c>
      <c r="J1057" s="297">
        <f t="shared" si="67"/>
        <v>42675</v>
      </c>
      <c r="K1057" s="67">
        <f t="shared" si="65"/>
        <v>6</v>
      </c>
      <c r="L1057" s="155">
        <v>1.4833299999999999E-3</v>
      </c>
      <c r="M1057" s="104">
        <f t="shared" si="64"/>
        <v>268.2777041274</v>
      </c>
      <c r="O1057" s="66"/>
      <c r="Q1057" s="66">
        <f t="shared" si="66"/>
        <v>498.68239888958334</v>
      </c>
    </row>
    <row r="1058" spans="1:17">
      <c r="A1058" s="161" t="s">
        <v>21</v>
      </c>
      <c r="B1058" s="160" t="s">
        <v>1681</v>
      </c>
      <c r="C1058" s="160" t="s">
        <v>2107</v>
      </c>
      <c r="D1058" s="161" t="s">
        <v>2108</v>
      </c>
      <c r="E1058" s="160" t="s">
        <v>209</v>
      </c>
      <c r="F1058" s="161" t="s">
        <v>1612</v>
      </c>
      <c r="G1058" s="160" t="s">
        <v>20</v>
      </c>
      <c r="H1058" s="103">
        <v>201607</v>
      </c>
      <c r="I1058" s="154">
        <v>10312.030000000001</v>
      </c>
      <c r="J1058" s="297">
        <f t="shared" si="67"/>
        <v>42675</v>
      </c>
      <c r="K1058" s="67">
        <f t="shared" si="65"/>
        <v>6</v>
      </c>
      <c r="L1058" s="155">
        <v>1.4833299999999999E-3</v>
      </c>
      <c r="M1058" s="104">
        <f t="shared" si="64"/>
        <v>91.776860759400009</v>
      </c>
      <c r="O1058" s="66"/>
      <c r="Q1058" s="66">
        <f t="shared" si="66"/>
        <v>170.59749797291667</v>
      </c>
    </row>
    <row r="1059" spans="1:17">
      <c r="A1059" s="151" t="s">
        <v>21</v>
      </c>
      <c r="B1059" s="160" t="s">
        <v>1681</v>
      </c>
      <c r="C1059" s="152" t="s">
        <v>2109</v>
      </c>
      <c r="D1059" s="151" t="s">
        <v>2110</v>
      </c>
      <c r="E1059" s="152" t="s">
        <v>75</v>
      </c>
      <c r="F1059" s="151" t="s">
        <v>1602</v>
      </c>
      <c r="G1059" s="152" t="s">
        <v>20</v>
      </c>
      <c r="H1059" s="153">
        <v>201607</v>
      </c>
      <c r="I1059" s="154">
        <v>433.87</v>
      </c>
      <c r="J1059" s="297">
        <f t="shared" si="67"/>
        <v>42675</v>
      </c>
      <c r="K1059" s="67">
        <f t="shared" si="65"/>
        <v>6</v>
      </c>
      <c r="L1059" s="155">
        <v>1.4833299999999999E-3</v>
      </c>
      <c r="M1059" s="104">
        <f t="shared" si="64"/>
        <v>3.8614343226000001</v>
      </c>
      <c r="O1059" s="66"/>
      <c r="Q1059" s="66">
        <f t="shared" si="66"/>
        <v>7.1777464229166661</v>
      </c>
    </row>
    <row r="1060" spans="1:17">
      <c r="A1060" s="151" t="s">
        <v>14</v>
      </c>
      <c r="B1060" s="160" t="s">
        <v>1681</v>
      </c>
      <c r="C1060" s="152" t="s">
        <v>2109</v>
      </c>
      <c r="D1060" s="151" t="s">
        <v>2110</v>
      </c>
      <c r="E1060" s="152" t="s">
        <v>75</v>
      </c>
      <c r="F1060" s="151" t="s">
        <v>1602</v>
      </c>
      <c r="G1060" s="152" t="s">
        <v>20</v>
      </c>
      <c r="H1060" s="150">
        <v>201607</v>
      </c>
      <c r="I1060" s="154">
        <v>648.45000000000005</v>
      </c>
      <c r="J1060" s="297">
        <f t="shared" si="67"/>
        <v>42675</v>
      </c>
      <c r="K1060" s="67">
        <f t="shared" si="65"/>
        <v>6</v>
      </c>
      <c r="L1060" s="155">
        <v>2.23333E-3</v>
      </c>
      <c r="M1060" s="104">
        <f t="shared" si="64"/>
        <v>8.6892170310000001</v>
      </c>
      <c r="O1060" s="66"/>
      <c r="Q1060" s="66">
        <f t="shared" si="66"/>
        <v>10.727659593750001</v>
      </c>
    </row>
    <row r="1061" spans="1:17">
      <c r="A1061" s="161" t="s">
        <v>626</v>
      </c>
      <c r="B1061" s="160" t="s">
        <v>1681</v>
      </c>
      <c r="C1061" s="160" t="s">
        <v>2109</v>
      </c>
      <c r="D1061" s="161" t="s">
        <v>2110</v>
      </c>
      <c r="E1061" s="160" t="s">
        <v>75</v>
      </c>
      <c r="F1061" s="161" t="s">
        <v>1602</v>
      </c>
      <c r="G1061" s="160" t="s">
        <v>20</v>
      </c>
      <c r="H1061" s="103">
        <v>201607</v>
      </c>
      <c r="I1061" s="154">
        <v>4902.45</v>
      </c>
      <c r="J1061" s="297">
        <f t="shared" si="67"/>
        <v>42675</v>
      </c>
      <c r="K1061" s="67">
        <f t="shared" si="65"/>
        <v>6</v>
      </c>
      <c r="L1061" s="155">
        <v>1.4833299999999999E-3</v>
      </c>
      <c r="M1061" s="104">
        <f t="shared" si="64"/>
        <v>43.631706950999998</v>
      </c>
      <c r="O1061" s="66"/>
      <c r="Q1061" s="66">
        <f t="shared" si="66"/>
        <v>81.103885843750007</v>
      </c>
    </row>
    <row r="1062" spans="1:17">
      <c r="A1062" s="112" t="s">
        <v>626</v>
      </c>
      <c r="B1062" s="111" t="s">
        <v>1597</v>
      </c>
      <c r="C1062" s="111" t="s">
        <v>1598</v>
      </c>
      <c r="D1062" s="112" t="s">
        <v>1599</v>
      </c>
      <c r="E1062" s="111" t="s">
        <v>164</v>
      </c>
      <c r="F1062" s="112" t="s">
        <v>1600</v>
      </c>
      <c r="G1062" s="111" t="s">
        <v>20</v>
      </c>
      <c r="H1062" s="111">
        <v>201608</v>
      </c>
      <c r="I1062" s="104">
        <v>2.86</v>
      </c>
      <c r="J1062" s="297">
        <f t="shared" si="67"/>
        <v>42675</v>
      </c>
      <c r="K1062" s="67">
        <f t="shared" ref="K1062:K1125" si="68">((YEAR($K$1)-YEAR(J1062))*12+MONTH($K$1)-MONTH(J1062))</f>
        <v>6</v>
      </c>
      <c r="L1062" s="127">
        <v>1.4833299999999999E-3</v>
      </c>
      <c r="M1062" s="104">
        <f t="shared" ref="M1062:M1125" si="69">L1062*K1062*I1062</f>
        <v>2.5453942800000001E-2</v>
      </c>
      <c r="O1062" s="66"/>
      <c r="Q1062" s="66">
        <f t="shared" si="66"/>
        <v>4.7314529166666661E-2</v>
      </c>
    </row>
    <row r="1063" spans="1:17">
      <c r="A1063" s="112" t="s">
        <v>14</v>
      </c>
      <c r="B1063" s="111" t="s">
        <v>30</v>
      </c>
      <c r="C1063" s="111" t="s">
        <v>31</v>
      </c>
      <c r="D1063" s="112" t="s">
        <v>32</v>
      </c>
      <c r="E1063" s="111" t="s">
        <v>33</v>
      </c>
      <c r="F1063" s="112" t="s">
        <v>34</v>
      </c>
      <c r="G1063" s="111" t="s">
        <v>20</v>
      </c>
      <c r="H1063" s="111">
        <v>201608</v>
      </c>
      <c r="I1063" s="104">
        <v>1315.19</v>
      </c>
      <c r="J1063" s="297">
        <f t="shared" si="67"/>
        <v>42675</v>
      </c>
      <c r="K1063" s="67">
        <f t="shared" si="68"/>
        <v>6</v>
      </c>
      <c r="L1063" s="313">
        <v>2.23333E-3</v>
      </c>
      <c r="M1063" s="104">
        <f t="shared" si="69"/>
        <v>17.623519696199999</v>
      </c>
      <c r="O1063" s="66"/>
      <c r="Q1063" s="66">
        <f t="shared" si="66"/>
        <v>21.757900564583334</v>
      </c>
    </row>
    <row r="1064" spans="1:17">
      <c r="A1064" s="112" t="s">
        <v>14</v>
      </c>
      <c r="B1064" s="111" t="s">
        <v>37</v>
      </c>
      <c r="C1064" s="111" t="s">
        <v>38</v>
      </c>
      <c r="D1064" s="112" t="s">
        <v>39</v>
      </c>
      <c r="E1064" s="111" t="s">
        <v>40</v>
      </c>
      <c r="F1064" s="112" t="s">
        <v>41</v>
      </c>
      <c r="G1064" s="111" t="s">
        <v>20</v>
      </c>
      <c r="H1064" s="111">
        <v>201608</v>
      </c>
      <c r="I1064" s="104">
        <v>4687.25</v>
      </c>
      <c r="J1064" s="297">
        <f t="shared" si="67"/>
        <v>42675</v>
      </c>
      <c r="K1064" s="67">
        <f t="shared" si="68"/>
        <v>6</v>
      </c>
      <c r="L1064" s="313">
        <v>2.23333E-3</v>
      </c>
      <c r="M1064" s="104">
        <f t="shared" si="69"/>
        <v>62.809056254999994</v>
      </c>
      <c r="O1064" s="66"/>
      <c r="Q1064" s="66">
        <f t="shared" si="66"/>
        <v>77.543715677083341</v>
      </c>
    </row>
    <row r="1065" spans="1:17">
      <c r="A1065" s="112" t="s">
        <v>14</v>
      </c>
      <c r="B1065" s="111" t="s">
        <v>43</v>
      </c>
      <c r="C1065" s="111" t="s">
        <v>44</v>
      </c>
      <c r="D1065" s="112" t="s">
        <v>45</v>
      </c>
      <c r="E1065" s="111" t="s">
        <v>46</v>
      </c>
      <c r="F1065" s="112" t="s">
        <v>41</v>
      </c>
      <c r="G1065" s="111" t="s">
        <v>20</v>
      </c>
      <c r="H1065" s="111">
        <v>201608</v>
      </c>
      <c r="I1065" s="104">
        <v>2.92</v>
      </c>
      <c r="J1065" s="297">
        <f t="shared" si="67"/>
        <v>42675</v>
      </c>
      <c r="K1065" s="67">
        <f t="shared" si="68"/>
        <v>6</v>
      </c>
      <c r="L1065" s="313">
        <v>2.23333E-3</v>
      </c>
      <c r="M1065" s="104">
        <f t="shared" si="69"/>
        <v>3.9127941599999994E-2</v>
      </c>
      <c r="O1065" s="66"/>
      <c r="Q1065" s="66">
        <f t="shared" si="66"/>
        <v>4.8307141666666664E-2</v>
      </c>
    </row>
    <row r="1066" spans="1:17">
      <c r="A1066" s="112" t="s">
        <v>990</v>
      </c>
      <c r="B1066" s="111" t="s">
        <v>991</v>
      </c>
      <c r="C1066" s="111" t="s">
        <v>992</v>
      </c>
      <c r="D1066" s="112" t="s">
        <v>993</v>
      </c>
      <c r="E1066" s="111" t="s">
        <v>994</v>
      </c>
      <c r="F1066" s="112" t="s">
        <v>995</v>
      </c>
      <c r="G1066" s="111" t="s">
        <v>20</v>
      </c>
      <c r="H1066" s="111">
        <v>201608</v>
      </c>
      <c r="I1066" s="104">
        <v>73.069999999999993</v>
      </c>
      <c r="J1066" s="297">
        <f t="shared" si="67"/>
        <v>42675</v>
      </c>
      <c r="K1066" s="67">
        <f t="shared" si="68"/>
        <v>6</v>
      </c>
      <c r="L1066" s="313">
        <v>2.3833299999999999E-3</v>
      </c>
      <c r="M1066" s="104">
        <f t="shared" si="69"/>
        <v>1.0448995386</v>
      </c>
      <c r="O1066" s="66"/>
      <c r="Q1066" s="66">
        <f t="shared" si="66"/>
        <v>1.2088365895833333</v>
      </c>
    </row>
    <row r="1067" spans="1:17">
      <c r="A1067" s="112" t="s">
        <v>990</v>
      </c>
      <c r="B1067" s="111" t="s">
        <v>996</v>
      </c>
      <c r="C1067" s="111" t="s">
        <v>997</v>
      </c>
      <c r="D1067" s="112" t="s">
        <v>998</v>
      </c>
      <c r="E1067" s="111" t="s">
        <v>999</v>
      </c>
      <c r="F1067" s="112" t="s">
        <v>995</v>
      </c>
      <c r="G1067" s="111" t="s">
        <v>20</v>
      </c>
      <c r="H1067" s="111">
        <v>201608</v>
      </c>
      <c r="I1067" s="104">
        <v>35.81</v>
      </c>
      <c r="J1067" s="297">
        <f t="shared" si="67"/>
        <v>42675</v>
      </c>
      <c r="K1067" s="67">
        <f t="shared" si="68"/>
        <v>6</v>
      </c>
      <c r="L1067" s="313">
        <v>2.3833299999999999E-3</v>
      </c>
      <c r="M1067" s="104">
        <f t="shared" si="69"/>
        <v>0.51208228380000009</v>
      </c>
      <c r="O1067" s="66"/>
      <c r="Q1067" s="66">
        <f t="shared" si="66"/>
        <v>0.59242422708333331</v>
      </c>
    </row>
    <row r="1068" spans="1:17">
      <c r="A1068" s="112" t="s">
        <v>990</v>
      </c>
      <c r="B1068" s="111" t="s">
        <v>1000</v>
      </c>
      <c r="C1068" s="111" t="s">
        <v>1001</v>
      </c>
      <c r="D1068" s="112" t="s">
        <v>1672</v>
      </c>
      <c r="E1068" s="111" t="s">
        <v>1002</v>
      </c>
      <c r="F1068" s="112" t="s">
        <v>1604</v>
      </c>
      <c r="G1068" s="111" t="s">
        <v>20</v>
      </c>
      <c r="H1068" s="111">
        <v>201608</v>
      </c>
      <c r="I1068" s="104">
        <v>19289.86</v>
      </c>
      <c r="J1068" s="297">
        <f t="shared" si="67"/>
        <v>42675</v>
      </c>
      <c r="K1068" s="67">
        <f t="shared" si="68"/>
        <v>6</v>
      </c>
      <c r="L1068" s="313">
        <v>2.3833299999999999E-3</v>
      </c>
      <c r="M1068" s="104">
        <f t="shared" si="69"/>
        <v>275.84461220280002</v>
      </c>
      <c r="O1068" s="66"/>
      <c r="Q1068" s="66">
        <f t="shared" si="66"/>
        <v>319.12260265416666</v>
      </c>
    </row>
    <row r="1069" spans="1:17">
      <c r="A1069" s="112" t="s">
        <v>14</v>
      </c>
      <c r="B1069" s="111" t="s">
        <v>107</v>
      </c>
      <c r="C1069" s="111" t="s">
        <v>108</v>
      </c>
      <c r="D1069" s="112" t="s">
        <v>109</v>
      </c>
      <c r="E1069" s="111" t="s">
        <v>110</v>
      </c>
      <c r="F1069" s="112" t="s">
        <v>52</v>
      </c>
      <c r="G1069" s="111" t="s">
        <v>20</v>
      </c>
      <c r="H1069" s="111">
        <v>201608</v>
      </c>
      <c r="I1069" s="104">
        <v>129.75</v>
      </c>
      <c r="J1069" s="297">
        <f t="shared" si="67"/>
        <v>42675</v>
      </c>
      <c r="K1069" s="67">
        <f t="shared" si="68"/>
        <v>6</v>
      </c>
      <c r="L1069" s="313">
        <v>2.23333E-3</v>
      </c>
      <c r="M1069" s="104">
        <f t="shared" si="69"/>
        <v>1.7386474049999998</v>
      </c>
      <c r="O1069" s="66"/>
      <c r="Q1069" s="66">
        <f t="shared" si="66"/>
        <v>2.1465245312499999</v>
      </c>
    </row>
    <row r="1070" spans="1:17">
      <c r="A1070" s="112" t="s">
        <v>554</v>
      </c>
      <c r="B1070" s="111" t="s">
        <v>116</v>
      </c>
      <c r="C1070" s="111" t="s">
        <v>117</v>
      </c>
      <c r="D1070" s="112" t="s">
        <v>118</v>
      </c>
      <c r="E1070" s="111" t="s">
        <v>119</v>
      </c>
      <c r="F1070" s="112" t="s">
        <v>1605</v>
      </c>
      <c r="G1070" s="111" t="s">
        <v>20</v>
      </c>
      <c r="H1070" s="111">
        <v>201608</v>
      </c>
      <c r="I1070" s="104">
        <v>135713.59</v>
      </c>
      <c r="J1070" s="297">
        <f t="shared" si="67"/>
        <v>42675</v>
      </c>
      <c r="K1070" s="67">
        <f t="shared" si="68"/>
        <v>6</v>
      </c>
      <c r="L1070" s="313">
        <v>1.4833299999999999E-3</v>
      </c>
      <c r="M1070" s="104">
        <f t="shared" si="69"/>
        <v>1207.8482367281999</v>
      </c>
      <c r="O1070" s="66"/>
      <c r="Q1070" s="66">
        <f t="shared" si="66"/>
        <v>2245.1834308979169</v>
      </c>
    </row>
    <row r="1071" spans="1:17">
      <c r="A1071" s="112" t="s">
        <v>14</v>
      </c>
      <c r="B1071" s="111" t="s">
        <v>555</v>
      </c>
      <c r="C1071" s="111" t="s">
        <v>556</v>
      </c>
      <c r="D1071" s="112" t="s">
        <v>45</v>
      </c>
      <c r="E1071" s="111" t="s">
        <v>557</v>
      </c>
      <c r="F1071" s="112" t="s">
        <v>41</v>
      </c>
      <c r="G1071" s="111" t="s">
        <v>20</v>
      </c>
      <c r="H1071" s="111">
        <v>201608</v>
      </c>
      <c r="I1071" s="104">
        <v>-17</v>
      </c>
      <c r="J1071" s="297">
        <f t="shared" si="67"/>
        <v>42675</v>
      </c>
      <c r="K1071" s="67">
        <f t="shared" si="68"/>
        <v>6</v>
      </c>
      <c r="L1071" s="313">
        <v>2.23333E-3</v>
      </c>
      <c r="M1071" s="104">
        <f t="shared" si="69"/>
        <v>-0.22779965999999999</v>
      </c>
      <c r="O1071" s="66"/>
      <c r="Q1071" s="66">
        <f t="shared" si="66"/>
        <v>-0.28124020833333335</v>
      </c>
    </row>
    <row r="1072" spans="1:17">
      <c r="A1072" s="112" t="s">
        <v>990</v>
      </c>
      <c r="B1072" s="111" t="s">
        <v>1003</v>
      </c>
      <c r="C1072" s="111" t="s">
        <v>1004</v>
      </c>
      <c r="D1072" s="112" t="s">
        <v>1673</v>
      </c>
      <c r="E1072" s="111" t="s">
        <v>1006</v>
      </c>
      <c r="F1072" s="112" t="s">
        <v>1606</v>
      </c>
      <c r="G1072" s="111" t="s">
        <v>20</v>
      </c>
      <c r="H1072" s="111">
        <v>201608</v>
      </c>
      <c r="I1072" s="104">
        <v>76303.070000000007</v>
      </c>
      <c r="J1072" s="297">
        <f t="shared" si="67"/>
        <v>42675</v>
      </c>
      <c r="K1072" s="67">
        <f t="shared" si="68"/>
        <v>6</v>
      </c>
      <c r="L1072" s="313">
        <v>2.3833299999999999E-3</v>
      </c>
      <c r="M1072" s="104">
        <f t="shared" si="69"/>
        <v>1091.1323749386002</v>
      </c>
      <c r="O1072" s="66"/>
      <c r="Q1072" s="66">
        <f t="shared" si="66"/>
        <v>1262.3230178395834</v>
      </c>
    </row>
    <row r="1073" spans="1:17">
      <c r="A1073" s="112" t="s">
        <v>14</v>
      </c>
      <c r="B1073" s="111" t="s">
        <v>2026</v>
      </c>
      <c r="C1073" s="111" t="s">
        <v>2027</v>
      </c>
      <c r="D1073" s="112" t="s">
        <v>2028</v>
      </c>
      <c r="E1073" s="111" t="s">
        <v>2029</v>
      </c>
      <c r="F1073" s="112" t="s">
        <v>710</v>
      </c>
      <c r="G1073" s="111" t="s">
        <v>20</v>
      </c>
      <c r="H1073" s="111">
        <v>201608</v>
      </c>
      <c r="I1073" s="104">
        <v>34.72</v>
      </c>
      <c r="J1073" s="297">
        <f t="shared" si="67"/>
        <v>42675</v>
      </c>
      <c r="K1073" s="67">
        <f t="shared" si="68"/>
        <v>6</v>
      </c>
      <c r="L1073" s="313">
        <v>2.23333E-3</v>
      </c>
      <c r="M1073" s="104">
        <f t="shared" si="69"/>
        <v>0.46524730559999994</v>
      </c>
      <c r="O1073" s="66"/>
      <c r="Q1073" s="66">
        <f t="shared" si="66"/>
        <v>0.57439176666666658</v>
      </c>
    </row>
    <row r="1074" spans="1:17">
      <c r="A1074" s="112" t="s">
        <v>14</v>
      </c>
      <c r="B1074" s="111" t="s">
        <v>1247</v>
      </c>
      <c r="C1074" s="111" t="s">
        <v>1248</v>
      </c>
      <c r="D1074" s="112" t="s">
        <v>708</v>
      </c>
      <c r="E1074" s="111" t="s">
        <v>1249</v>
      </c>
      <c r="F1074" s="112" t="s">
        <v>710</v>
      </c>
      <c r="G1074" s="111" t="s">
        <v>20</v>
      </c>
      <c r="H1074" s="111">
        <v>201608</v>
      </c>
      <c r="I1074" s="104">
        <v>7.0000000000000007E-2</v>
      </c>
      <c r="J1074" s="297">
        <f t="shared" si="67"/>
        <v>42675</v>
      </c>
      <c r="K1074" s="67">
        <f t="shared" si="68"/>
        <v>6</v>
      </c>
      <c r="L1074" s="313">
        <v>2.23333E-3</v>
      </c>
      <c r="M1074" s="104">
        <f t="shared" si="69"/>
        <v>9.3799859999999999E-4</v>
      </c>
      <c r="O1074" s="66"/>
      <c r="Q1074" s="66">
        <f t="shared" si="66"/>
        <v>1.1580479166666668E-3</v>
      </c>
    </row>
    <row r="1075" spans="1:17">
      <c r="A1075" s="112" t="s">
        <v>21</v>
      </c>
      <c r="B1075" s="111" t="s">
        <v>1767</v>
      </c>
      <c r="C1075" s="111" t="s">
        <v>1768</v>
      </c>
      <c r="D1075" s="112" t="s">
        <v>1769</v>
      </c>
      <c r="E1075" s="111" t="s">
        <v>1413</v>
      </c>
      <c r="F1075" s="112" t="s">
        <v>88</v>
      </c>
      <c r="G1075" s="111" t="s">
        <v>20</v>
      </c>
      <c r="H1075" s="111">
        <v>201608</v>
      </c>
      <c r="I1075" s="104">
        <v>250.63</v>
      </c>
      <c r="J1075" s="297">
        <f t="shared" si="67"/>
        <v>42675</v>
      </c>
      <c r="K1075" s="67">
        <f t="shared" si="68"/>
        <v>6</v>
      </c>
      <c r="L1075" s="127">
        <v>1.4833299999999999E-3</v>
      </c>
      <c r="M1075" s="104">
        <f t="shared" si="69"/>
        <v>2.2306019874</v>
      </c>
      <c r="O1075" s="66"/>
      <c r="Q1075" s="66">
        <f t="shared" si="66"/>
        <v>4.1463078479166668</v>
      </c>
    </row>
    <row r="1076" spans="1:17">
      <c r="A1076" s="112" t="s">
        <v>21</v>
      </c>
      <c r="B1076" s="111" t="s">
        <v>1072</v>
      </c>
      <c r="C1076" s="111" t="s">
        <v>1073</v>
      </c>
      <c r="D1076" s="112" t="s">
        <v>1074</v>
      </c>
      <c r="E1076" s="111" t="s">
        <v>857</v>
      </c>
      <c r="F1076" s="112" t="s">
        <v>88</v>
      </c>
      <c r="G1076" s="111" t="s">
        <v>20</v>
      </c>
      <c r="H1076" s="111">
        <v>201608</v>
      </c>
      <c r="I1076" s="104">
        <v>10.73</v>
      </c>
      <c r="J1076" s="297">
        <f t="shared" si="67"/>
        <v>42675</v>
      </c>
      <c r="K1076" s="67">
        <f t="shared" si="68"/>
        <v>6</v>
      </c>
      <c r="L1076" s="127">
        <v>1.4833299999999999E-3</v>
      </c>
      <c r="M1076" s="104">
        <f t="shared" si="69"/>
        <v>9.5496785400000006E-2</v>
      </c>
      <c r="O1076" s="66"/>
      <c r="Q1076" s="66">
        <f t="shared" si="66"/>
        <v>0.17751220208333335</v>
      </c>
    </row>
    <row r="1077" spans="1:17">
      <c r="A1077" s="112" t="s">
        <v>14</v>
      </c>
      <c r="B1077" s="111" t="s">
        <v>183</v>
      </c>
      <c r="C1077" s="111" t="s">
        <v>184</v>
      </c>
      <c r="D1077" s="112" t="s">
        <v>45</v>
      </c>
      <c r="E1077" s="111" t="s">
        <v>185</v>
      </c>
      <c r="F1077" s="112" t="s">
        <v>41</v>
      </c>
      <c r="G1077" s="111" t="s">
        <v>20</v>
      </c>
      <c r="H1077" s="111">
        <v>201608</v>
      </c>
      <c r="I1077" s="104">
        <v>196.28</v>
      </c>
      <c r="J1077" s="297">
        <f t="shared" si="67"/>
        <v>42675</v>
      </c>
      <c r="K1077" s="67">
        <f t="shared" si="68"/>
        <v>6</v>
      </c>
      <c r="L1077" s="313">
        <v>2.23333E-3</v>
      </c>
      <c r="M1077" s="104">
        <f t="shared" si="69"/>
        <v>2.6301480743999996</v>
      </c>
      <c r="O1077" s="66"/>
      <c r="Q1077" s="66">
        <f t="shared" si="66"/>
        <v>3.2471663583333337</v>
      </c>
    </row>
    <row r="1078" spans="1:17">
      <c r="A1078" s="112" t="s">
        <v>14</v>
      </c>
      <c r="B1078" s="111" t="s">
        <v>191</v>
      </c>
      <c r="C1078" s="111" t="s">
        <v>192</v>
      </c>
      <c r="D1078" s="112" t="s">
        <v>193</v>
      </c>
      <c r="E1078" s="111" t="s">
        <v>194</v>
      </c>
      <c r="F1078" s="112" t="s">
        <v>115</v>
      </c>
      <c r="G1078" s="111" t="s">
        <v>20</v>
      </c>
      <c r="H1078" s="111">
        <v>201608</v>
      </c>
      <c r="I1078" s="104">
        <v>-40.82</v>
      </c>
      <c r="J1078" s="297">
        <f t="shared" si="67"/>
        <v>42675</v>
      </c>
      <c r="K1078" s="67">
        <f t="shared" si="68"/>
        <v>6</v>
      </c>
      <c r="L1078" s="313">
        <v>2.23333E-3</v>
      </c>
      <c r="M1078" s="104">
        <f t="shared" si="69"/>
        <v>-0.54698718359999998</v>
      </c>
      <c r="O1078" s="66"/>
      <c r="Q1078" s="66">
        <f t="shared" si="66"/>
        <v>-0.67530737083333336</v>
      </c>
    </row>
    <row r="1079" spans="1:17">
      <c r="A1079" s="112" t="s">
        <v>14</v>
      </c>
      <c r="B1079" s="111" t="s">
        <v>195</v>
      </c>
      <c r="C1079" s="111" t="s">
        <v>196</v>
      </c>
      <c r="D1079" s="112" t="s">
        <v>1674</v>
      </c>
      <c r="E1079" s="111" t="s">
        <v>198</v>
      </c>
      <c r="F1079" s="112" t="s">
        <v>1610</v>
      </c>
      <c r="G1079" s="111" t="s">
        <v>20</v>
      </c>
      <c r="H1079" s="111">
        <v>201608</v>
      </c>
      <c r="I1079" s="104">
        <v>482644.39</v>
      </c>
      <c r="J1079" s="297">
        <f t="shared" si="67"/>
        <v>42675</v>
      </c>
      <c r="K1079" s="67">
        <f t="shared" si="68"/>
        <v>6</v>
      </c>
      <c r="L1079" s="313">
        <v>2.23333E-3</v>
      </c>
      <c r="M1079" s="104">
        <f t="shared" si="69"/>
        <v>6467.4251731121994</v>
      </c>
      <c r="O1079" s="66"/>
      <c r="Q1079" s="66">
        <f t="shared" si="66"/>
        <v>7984.6475761479178</v>
      </c>
    </row>
    <row r="1080" spans="1:17">
      <c r="A1080" s="112" t="s">
        <v>14</v>
      </c>
      <c r="B1080" s="111" t="s">
        <v>200</v>
      </c>
      <c r="C1080" s="111" t="s">
        <v>201</v>
      </c>
      <c r="D1080" s="112" t="s">
        <v>1675</v>
      </c>
      <c r="E1080" s="111" t="s">
        <v>202</v>
      </c>
      <c r="F1080" s="112" t="s">
        <v>1611</v>
      </c>
      <c r="G1080" s="111" t="s">
        <v>20</v>
      </c>
      <c r="H1080" s="111">
        <v>201608</v>
      </c>
      <c r="I1080" s="104">
        <v>35383.85</v>
      </c>
      <c r="J1080" s="297">
        <f t="shared" si="67"/>
        <v>42675</v>
      </c>
      <c r="K1080" s="67">
        <f t="shared" si="68"/>
        <v>6</v>
      </c>
      <c r="L1080" s="313">
        <v>2.23333E-3</v>
      </c>
      <c r="M1080" s="104">
        <f t="shared" si="69"/>
        <v>474.14288232299992</v>
      </c>
      <c r="O1080" s="66"/>
      <c r="Q1080" s="66">
        <f t="shared" si="66"/>
        <v>585.37419680208336</v>
      </c>
    </row>
    <row r="1081" spans="1:17">
      <c r="A1081" s="112" t="s">
        <v>626</v>
      </c>
      <c r="B1081" s="111" t="s">
        <v>1855</v>
      </c>
      <c r="C1081" s="111" t="s">
        <v>1856</v>
      </c>
      <c r="D1081" s="112" t="s">
        <v>1857</v>
      </c>
      <c r="E1081" s="111" t="s">
        <v>209</v>
      </c>
      <c r="F1081" s="112" t="s">
        <v>1612</v>
      </c>
      <c r="G1081" s="111" t="s">
        <v>20</v>
      </c>
      <c r="H1081" s="111">
        <v>201608</v>
      </c>
      <c r="I1081" s="104">
        <v>1629.18</v>
      </c>
      <c r="J1081" s="297">
        <f t="shared" si="67"/>
        <v>42675</v>
      </c>
      <c r="K1081" s="67">
        <f t="shared" si="68"/>
        <v>6</v>
      </c>
      <c r="L1081" s="127">
        <v>1.4833299999999999E-3</v>
      </c>
      <c r="M1081" s="104">
        <f t="shared" si="69"/>
        <v>14.499669416400002</v>
      </c>
      <c r="O1081" s="66"/>
      <c r="Q1081" s="66">
        <f t="shared" si="66"/>
        <v>26.952407212500002</v>
      </c>
    </row>
    <row r="1082" spans="1:17">
      <c r="A1082" s="112" t="s">
        <v>14</v>
      </c>
      <c r="B1082" s="111" t="s">
        <v>481</v>
      </c>
      <c r="C1082" s="111" t="s">
        <v>482</v>
      </c>
      <c r="D1082" s="112" t="s">
        <v>483</v>
      </c>
      <c r="E1082" s="111" t="s">
        <v>484</v>
      </c>
      <c r="F1082" s="112" t="s">
        <v>190</v>
      </c>
      <c r="G1082" s="111" t="s">
        <v>20</v>
      </c>
      <c r="H1082" s="111">
        <v>201608</v>
      </c>
      <c r="I1082" s="104">
        <v>183.96</v>
      </c>
      <c r="J1082" s="297">
        <f t="shared" si="67"/>
        <v>42675</v>
      </c>
      <c r="K1082" s="67">
        <f t="shared" si="68"/>
        <v>6</v>
      </c>
      <c r="L1082" s="313">
        <v>2.23333E-3</v>
      </c>
      <c r="M1082" s="104">
        <f t="shared" si="69"/>
        <v>2.4650603207999997</v>
      </c>
      <c r="O1082" s="66"/>
      <c r="Q1082" s="66">
        <f t="shared" si="66"/>
        <v>3.0433499250000002</v>
      </c>
    </row>
    <row r="1083" spans="1:17">
      <c r="A1083" s="112" t="s">
        <v>990</v>
      </c>
      <c r="B1083" s="111" t="s">
        <v>1010</v>
      </c>
      <c r="C1083" s="111" t="s">
        <v>1011</v>
      </c>
      <c r="D1083" s="112" t="s">
        <v>1012</v>
      </c>
      <c r="E1083" s="111" t="s">
        <v>1013</v>
      </c>
      <c r="F1083" s="112" t="s">
        <v>995</v>
      </c>
      <c r="G1083" s="111" t="s">
        <v>20</v>
      </c>
      <c r="H1083" s="111">
        <v>201608</v>
      </c>
      <c r="I1083" s="104">
        <v>124.61</v>
      </c>
      <c r="J1083" s="297">
        <f t="shared" si="67"/>
        <v>42675</v>
      </c>
      <c r="K1083" s="67">
        <f t="shared" si="68"/>
        <v>6</v>
      </c>
      <c r="L1083" s="313">
        <v>2.3833299999999999E-3</v>
      </c>
      <c r="M1083" s="104">
        <f t="shared" si="69"/>
        <v>1.7819205078</v>
      </c>
      <c r="O1083" s="66"/>
      <c r="Q1083" s="66">
        <f t="shared" si="66"/>
        <v>2.0614907270833331</v>
      </c>
    </row>
    <row r="1084" spans="1:17">
      <c r="A1084" s="112" t="s">
        <v>21</v>
      </c>
      <c r="B1084" s="111" t="s">
        <v>485</v>
      </c>
      <c r="C1084" s="111" t="s">
        <v>486</v>
      </c>
      <c r="D1084" s="112" t="s">
        <v>487</v>
      </c>
      <c r="E1084" s="111" t="s">
        <v>75</v>
      </c>
      <c r="F1084" s="112" t="s">
        <v>1602</v>
      </c>
      <c r="G1084" s="111" t="s">
        <v>20</v>
      </c>
      <c r="H1084" s="111">
        <v>201608</v>
      </c>
      <c r="I1084" s="104">
        <v>0.96</v>
      </c>
      <c r="J1084" s="297">
        <f t="shared" si="67"/>
        <v>42675</v>
      </c>
      <c r="K1084" s="67">
        <f t="shared" si="68"/>
        <v>6</v>
      </c>
      <c r="L1084" s="127">
        <v>1.4833299999999999E-3</v>
      </c>
      <c r="M1084" s="104">
        <f t="shared" si="69"/>
        <v>8.5439807999999999E-3</v>
      </c>
      <c r="O1084" s="66"/>
      <c r="Q1084" s="66">
        <f t="shared" si="66"/>
        <v>1.5881799999999998E-2</v>
      </c>
    </row>
    <row r="1085" spans="1:17">
      <c r="A1085" s="112" t="s">
        <v>14</v>
      </c>
      <c r="B1085" s="111" t="s">
        <v>236</v>
      </c>
      <c r="C1085" s="111" t="s">
        <v>237</v>
      </c>
      <c r="D1085" s="112" t="s">
        <v>188</v>
      </c>
      <c r="E1085" s="111" t="s">
        <v>238</v>
      </c>
      <c r="F1085" s="112" t="s">
        <v>190</v>
      </c>
      <c r="G1085" s="111" t="s">
        <v>20</v>
      </c>
      <c r="H1085" s="111">
        <v>201608</v>
      </c>
      <c r="I1085" s="104">
        <v>173940.33</v>
      </c>
      <c r="J1085" s="297">
        <f t="shared" si="67"/>
        <v>42675</v>
      </c>
      <c r="K1085" s="67">
        <f t="shared" si="68"/>
        <v>6</v>
      </c>
      <c r="L1085" s="313">
        <v>2.23333E-3</v>
      </c>
      <c r="M1085" s="104">
        <f t="shared" si="69"/>
        <v>2330.7969431933998</v>
      </c>
      <c r="O1085" s="66"/>
      <c r="Q1085" s="66">
        <f t="shared" si="66"/>
        <v>2877.5890968687499</v>
      </c>
    </row>
    <row r="1086" spans="1:17">
      <c r="A1086" s="112" t="s">
        <v>14</v>
      </c>
      <c r="B1086" s="111" t="s">
        <v>239</v>
      </c>
      <c r="C1086" s="111" t="s">
        <v>240</v>
      </c>
      <c r="D1086" s="112" t="s">
        <v>197</v>
      </c>
      <c r="E1086" s="111" t="s">
        <v>241</v>
      </c>
      <c r="F1086" s="112" t="s">
        <v>199</v>
      </c>
      <c r="G1086" s="111" t="s">
        <v>20</v>
      </c>
      <c r="H1086" s="111">
        <v>201608</v>
      </c>
      <c r="I1086" s="104">
        <v>-33.75</v>
      </c>
      <c r="J1086" s="297">
        <f t="shared" si="67"/>
        <v>42675</v>
      </c>
      <c r="K1086" s="67">
        <f t="shared" si="68"/>
        <v>6</v>
      </c>
      <c r="L1086" s="313">
        <v>2.23333E-3</v>
      </c>
      <c r="M1086" s="104">
        <f t="shared" si="69"/>
        <v>-0.45224932499999998</v>
      </c>
      <c r="O1086" s="66"/>
      <c r="Q1086" s="66">
        <f t="shared" si="66"/>
        <v>-0.55834453125000005</v>
      </c>
    </row>
    <row r="1087" spans="1:17">
      <c r="A1087" s="112" t="s">
        <v>127</v>
      </c>
      <c r="B1087" s="111" t="s">
        <v>1032</v>
      </c>
      <c r="C1087" s="111" t="s">
        <v>1033</v>
      </c>
      <c r="D1087" s="112" t="s">
        <v>1034</v>
      </c>
      <c r="E1087" s="111" t="s">
        <v>209</v>
      </c>
      <c r="F1087" s="112" t="s">
        <v>1612</v>
      </c>
      <c r="G1087" s="111" t="s">
        <v>20</v>
      </c>
      <c r="H1087" s="111">
        <v>201608</v>
      </c>
      <c r="I1087" s="104">
        <v>66.89</v>
      </c>
      <c r="J1087" s="297">
        <f t="shared" si="67"/>
        <v>42675</v>
      </c>
      <c r="K1087" s="67">
        <f t="shared" si="68"/>
        <v>6</v>
      </c>
      <c r="L1087" s="313">
        <v>2.3833299999999999E-3</v>
      </c>
      <c r="M1087" s="104">
        <f t="shared" si="69"/>
        <v>0.95652566220000002</v>
      </c>
      <c r="O1087" s="66"/>
      <c r="Q1087" s="66">
        <f t="shared" si="66"/>
        <v>1.1065975020833334</v>
      </c>
    </row>
    <row r="1088" spans="1:17">
      <c r="A1088" s="112" t="s">
        <v>14</v>
      </c>
      <c r="B1088" s="111" t="s">
        <v>706</v>
      </c>
      <c r="C1088" s="111" t="s">
        <v>707</v>
      </c>
      <c r="D1088" s="112" t="s">
        <v>708</v>
      </c>
      <c r="E1088" s="111" t="s">
        <v>709</v>
      </c>
      <c r="F1088" s="112" t="s">
        <v>710</v>
      </c>
      <c r="G1088" s="111" t="s">
        <v>20</v>
      </c>
      <c r="H1088" s="111">
        <v>201608</v>
      </c>
      <c r="I1088" s="104">
        <v>-39.26</v>
      </c>
      <c r="J1088" s="297">
        <f t="shared" si="67"/>
        <v>42675</v>
      </c>
      <c r="K1088" s="67">
        <f t="shared" si="68"/>
        <v>6</v>
      </c>
      <c r="L1088" s="313">
        <v>2.23333E-3</v>
      </c>
      <c r="M1088" s="104">
        <f t="shared" si="69"/>
        <v>-0.52608321479999998</v>
      </c>
      <c r="O1088" s="66"/>
      <c r="Q1088" s="66">
        <f t="shared" si="66"/>
        <v>-0.6494994458333333</v>
      </c>
    </row>
    <row r="1089" spans="1:17">
      <c r="A1089" s="112" t="s">
        <v>14</v>
      </c>
      <c r="B1089" s="111" t="s">
        <v>267</v>
      </c>
      <c r="C1089" s="111" t="s">
        <v>268</v>
      </c>
      <c r="D1089" s="112" t="s">
        <v>269</v>
      </c>
      <c r="E1089" s="111" t="s">
        <v>270</v>
      </c>
      <c r="F1089" s="112" t="s">
        <v>115</v>
      </c>
      <c r="G1089" s="111" t="s">
        <v>20</v>
      </c>
      <c r="H1089" s="111">
        <v>201608</v>
      </c>
      <c r="I1089" s="104">
        <v>409.51</v>
      </c>
      <c r="J1089" s="297">
        <f t="shared" si="67"/>
        <v>42675</v>
      </c>
      <c r="K1089" s="67">
        <f t="shared" si="68"/>
        <v>6</v>
      </c>
      <c r="L1089" s="313">
        <v>2.23333E-3</v>
      </c>
      <c r="M1089" s="104">
        <f t="shared" si="69"/>
        <v>5.4874258097999995</v>
      </c>
      <c r="O1089" s="66"/>
      <c r="Q1089" s="66">
        <f t="shared" si="66"/>
        <v>6.7747457479166666</v>
      </c>
    </row>
    <row r="1090" spans="1:17">
      <c r="A1090" s="112" t="s">
        <v>14</v>
      </c>
      <c r="B1090" s="111" t="s">
        <v>271</v>
      </c>
      <c r="C1090" s="111" t="s">
        <v>272</v>
      </c>
      <c r="D1090" s="112" t="s">
        <v>197</v>
      </c>
      <c r="E1090" s="111" t="s">
        <v>273</v>
      </c>
      <c r="F1090" s="112" t="s">
        <v>199</v>
      </c>
      <c r="G1090" s="111" t="s">
        <v>20</v>
      </c>
      <c r="H1090" s="111">
        <v>201608</v>
      </c>
      <c r="I1090" s="104">
        <v>1291.3</v>
      </c>
      <c r="J1090" s="297">
        <f t="shared" si="67"/>
        <v>42675</v>
      </c>
      <c r="K1090" s="67">
        <f t="shared" si="68"/>
        <v>6</v>
      </c>
      <c r="L1090" s="313">
        <v>2.23333E-3</v>
      </c>
      <c r="M1090" s="104">
        <f t="shared" si="69"/>
        <v>17.303394173999997</v>
      </c>
      <c r="O1090" s="66"/>
      <c r="Q1090" s="66">
        <f t="shared" si="66"/>
        <v>21.362675354166665</v>
      </c>
    </row>
    <row r="1091" spans="1:17">
      <c r="A1091" s="112" t="s">
        <v>626</v>
      </c>
      <c r="B1091" s="111" t="s">
        <v>1250</v>
      </c>
      <c r="C1091" s="111" t="s">
        <v>1251</v>
      </c>
      <c r="D1091" s="112" t="s">
        <v>1252</v>
      </c>
      <c r="E1091" s="111" t="s">
        <v>260</v>
      </c>
      <c r="F1091" s="112" t="s">
        <v>1608</v>
      </c>
      <c r="G1091" s="111" t="s">
        <v>20</v>
      </c>
      <c r="H1091" s="111">
        <v>201608</v>
      </c>
      <c r="I1091" s="104">
        <v>69.75</v>
      </c>
      <c r="J1091" s="297">
        <f t="shared" si="67"/>
        <v>42675</v>
      </c>
      <c r="K1091" s="67">
        <f t="shared" si="68"/>
        <v>6</v>
      </c>
      <c r="L1091" s="127">
        <v>1.4833299999999999E-3</v>
      </c>
      <c r="M1091" s="104">
        <f t="shared" si="69"/>
        <v>0.62077360500000001</v>
      </c>
      <c r="O1091" s="66"/>
      <c r="Q1091" s="66">
        <f t="shared" si="66"/>
        <v>1.15391203125</v>
      </c>
    </row>
    <row r="1092" spans="1:17">
      <c r="A1092" s="112" t="s">
        <v>14</v>
      </c>
      <c r="B1092" s="111" t="s">
        <v>1676</v>
      </c>
      <c r="C1092" s="111" t="s">
        <v>1677</v>
      </c>
      <c r="D1092" s="112" t="s">
        <v>50</v>
      </c>
      <c r="E1092" s="111" t="s">
        <v>1678</v>
      </c>
      <c r="F1092" s="112" t="s">
        <v>52</v>
      </c>
      <c r="G1092" s="111" t="s">
        <v>20</v>
      </c>
      <c r="H1092" s="111">
        <v>201608</v>
      </c>
      <c r="I1092" s="104">
        <v>6.79</v>
      </c>
      <c r="J1092" s="297">
        <f t="shared" si="67"/>
        <v>42675</v>
      </c>
      <c r="K1092" s="67">
        <f t="shared" si="68"/>
        <v>6</v>
      </c>
      <c r="L1092" s="313">
        <v>2.23333E-3</v>
      </c>
      <c r="M1092" s="104">
        <f t="shared" si="69"/>
        <v>9.0985864199999988E-2</v>
      </c>
      <c r="O1092" s="66"/>
      <c r="Q1092" s="66">
        <f t="shared" si="66"/>
        <v>0.11233064791666668</v>
      </c>
    </row>
    <row r="1093" spans="1:17">
      <c r="A1093" s="112" t="s">
        <v>990</v>
      </c>
      <c r="B1093" s="111" t="s">
        <v>1017</v>
      </c>
      <c r="C1093" s="111" t="s">
        <v>1018</v>
      </c>
      <c r="D1093" s="112" t="s">
        <v>993</v>
      </c>
      <c r="E1093" s="111" t="s">
        <v>1019</v>
      </c>
      <c r="F1093" s="112" t="s">
        <v>995</v>
      </c>
      <c r="G1093" s="111" t="s">
        <v>20</v>
      </c>
      <c r="H1093" s="111">
        <v>201608</v>
      </c>
      <c r="I1093" s="104">
        <v>6.8</v>
      </c>
      <c r="J1093" s="297">
        <f t="shared" si="67"/>
        <v>42675</v>
      </c>
      <c r="K1093" s="67">
        <f t="shared" si="68"/>
        <v>6</v>
      </c>
      <c r="L1093" s="313">
        <v>2.3833299999999999E-3</v>
      </c>
      <c r="M1093" s="104">
        <f t="shared" si="69"/>
        <v>9.7239863999999995E-2</v>
      </c>
      <c r="O1093" s="66"/>
      <c r="Q1093" s="66">
        <f t="shared" si="66"/>
        <v>0.11249608333333333</v>
      </c>
    </row>
    <row r="1094" spans="1:17">
      <c r="A1094" s="112" t="s">
        <v>14</v>
      </c>
      <c r="B1094" s="111" t="s">
        <v>292</v>
      </c>
      <c r="C1094" s="111" t="s">
        <v>293</v>
      </c>
      <c r="D1094" s="112" t="s">
        <v>1679</v>
      </c>
      <c r="E1094" s="111" t="s">
        <v>294</v>
      </c>
      <c r="F1094" s="112" t="s">
        <v>1613</v>
      </c>
      <c r="G1094" s="111" t="s">
        <v>20</v>
      </c>
      <c r="H1094" s="111">
        <v>201608</v>
      </c>
      <c r="I1094" s="104">
        <v>55650.5</v>
      </c>
      <c r="J1094" s="297">
        <f t="shared" si="67"/>
        <v>42675</v>
      </c>
      <c r="K1094" s="67">
        <f t="shared" si="68"/>
        <v>6</v>
      </c>
      <c r="L1094" s="313">
        <v>2.23333E-3</v>
      </c>
      <c r="M1094" s="104">
        <f t="shared" si="69"/>
        <v>745.71558698999991</v>
      </c>
      <c r="O1094" s="66"/>
      <c r="Q1094" s="66">
        <f t="shared" ref="Q1094:Q1157" si="70">($Q$4*0.5*I1094*$T$10)</f>
        <v>920.65636552083333</v>
      </c>
    </row>
    <row r="1095" spans="1:17">
      <c r="A1095" s="112" t="s">
        <v>14</v>
      </c>
      <c r="B1095" s="111" t="s">
        <v>419</v>
      </c>
      <c r="C1095" s="111" t="s">
        <v>420</v>
      </c>
      <c r="D1095" s="112" t="s">
        <v>50</v>
      </c>
      <c r="E1095" s="111" t="s">
        <v>421</v>
      </c>
      <c r="F1095" s="112" t="s">
        <v>52</v>
      </c>
      <c r="G1095" s="111" t="s">
        <v>20</v>
      </c>
      <c r="H1095" s="111">
        <v>201608</v>
      </c>
      <c r="I1095" s="104">
        <v>1078.8800000000001</v>
      </c>
      <c r="J1095" s="297">
        <f t="shared" ref="J1095:J1158" si="71">+J1094</f>
        <v>42675</v>
      </c>
      <c r="K1095" s="67">
        <f t="shared" si="68"/>
        <v>6</v>
      </c>
      <c r="L1095" s="313">
        <v>2.23333E-3</v>
      </c>
      <c r="M1095" s="104">
        <f t="shared" si="69"/>
        <v>14.4569704224</v>
      </c>
      <c r="O1095" s="66"/>
      <c r="Q1095" s="66">
        <f t="shared" si="70"/>
        <v>17.848496233333336</v>
      </c>
    </row>
    <row r="1096" spans="1:17">
      <c r="A1096" s="112" t="s">
        <v>14</v>
      </c>
      <c r="B1096" s="111" t="s">
        <v>839</v>
      </c>
      <c r="C1096" s="111" t="s">
        <v>840</v>
      </c>
      <c r="D1096" s="112" t="s">
        <v>50</v>
      </c>
      <c r="E1096" s="111" t="s">
        <v>841</v>
      </c>
      <c r="F1096" s="112" t="s">
        <v>52</v>
      </c>
      <c r="G1096" s="111" t="s">
        <v>20</v>
      </c>
      <c r="H1096" s="111">
        <v>201608</v>
      </c>
      <c r="I1096" s="104">
        <v>5.09</v>
      </c>
      <c r="J1096" s="297">
        <f t="shared" si="71"/>
        <v>42675</v>
      </c>
      <c r="K1096" s="67">
        <f t="shared" si="68"/>
        <v>6</v>
      </c>
      <c r="L1096" s="313">
        <v>2.23333E-3</v>
      </c>
      <c r="M1096" s="104">
        <f t="shared" si="69"/>
        <v>6.820589819999999E-2</v>
      </c>
      <c r="O1096" s="66"/>
      <c r="Q1096" s="66">
        <f t="shared" si="70"/>
        <v>8.4206627083333332E-2</v>
      </c>
    </row>
    <row r="1097" spans="1:17">
      <c r="A1097" s="112" t="s">
        <v>990</v>
      </c>
      <c r="B1097" s="111" t="s">
        <v>1020</v>
      </c>
      <c r="C1097" s="111" t="s">
        <v>1021</v>
      </c>
      <c r="D1097" s="112" t="s">
        <v>1680</v>
      </c>
      <c r="E1097" s="111" t="s">
        <v>1022</v>
      </c>
      <c r="F1097" s="112" t="s">
        <v>1614</v>
      </c>
      <c r="G1097" s="111" t="s">
        <v>20</v>
      </c>
      <c r="H1097" s="111">
        <v>201608</v>
      </c>
      <c r="I1097" s="104">
        <v>1264.43</v>
      </c>
      <c r="J1097" s="297">
        <f t="shared" si="71"/>
        <v>42675</v>
      </c>
      <c r="K1097" s="67">
        <f t="shared" si="68"/>
        <v>6</v>
      </c>
      <c r="L1097" s="313">
        <v>2.3833299999999999E-3</v>
      </c>
      <c r="M1097" s="104">
        <f t="shared" si="69"/>
        <v>18.0813237114</v>
      </c>
      <c r="O1097" s="66"/>
      <c r="Q1097" s="66">
        <f t="shared" si="70"/>
        <v>20.918150389583335</v>
      </c>
    </row>
    <row r="1098" spans="1:17">
      <c r="A1098" s="112" t="s">
        <v>14</v>
      </c>
      <c r="B1098" s="111" t="s">
        <v>325</v>
      </c>
      <c r="C1098" s="111" t="s">
        <v>326</v>
      </c>
      <c r="D1098" s="112" t="s">
        <v>327</v>
      </c>
      <c r="E1098" s="111" t="s">
        <v>328</v>
      </c>
      <c r="F1098" s="112" t="s">
        <v>58</v>
      </c>
      <c r="G1098" s="111" t="s">
        <v>20</v>
      </c>
      <c r="H1098" s="111">
        <v>201608</v>
      </c>
      <c r="I1098" s="104">
        <v>798.57</v>
      </c>
      <c r="J1098" s="297">
        <f t="shared" si="71"/>
        <v>42675</v>
      </c>
      <c r="K1098" s="67">
        <f t="shared" si="68"/>
        <v>6</v>
      </c>
      <c r="L1098" s="313">
        <v>2.23333E-3</v>
      </c>
      <c r="M1098" s="104">
        <f t="shared" si="69"/>
        <v>10.700822028599999</v>
      </c>
      <c r="O1098" s="66"/>
      <c r="Q1098" s="66">
        <f t="shared" si="70"/>
        <v>13.211176068750001</v>
      </c>
    </row>
    <row r="1099" spans="1:17">
      <c r="A1099" s="112" t="s">
        <v>21</v>
      </c>
      <c r="B1099" s="111" t="s">
        <v>1823</v>
      </c>
      <c r="C1099" s="111" t="s">
        <v>1824</v>
      </c>
      <c r="D1099" s="112" t="s">
        <v>1825</v>
      </c>
      <c r="E1099" s="111" t="s">
        <v>260</v>
      </c>
      <c r="F1099" s="112" t="s">
        <v>1608</v>
      </c>
      <c r="G1099" s="111" t="s">
        <v>20</v>
      </c>
      <c r="H1099" s="111">
        <v>201608</v>
      </c>
      <c r="I1099" s="104">
        <v>13.85</v>
      </c>
      <c r="J1099" s="297">
        <f t="shared" si="71"/>
        <v>42675</v>
      </c>
      <c r="K1099" s="67">
        <f t="shared" si="68"/>
        <v>6</v>
      </c>
      <c r="L1099" s="127">
        <v>1.4833299999999999E-3</v>
      </c>
      <c r="M1099" s="104">
        <f t="shared" si="69"/>
        <v>0.12326472299999999</v>
      </c>
      <c r="O1099" s="66"/>
      <c r="Q1099" s="66">
        <f t="shared" si="70"/>
        <v>0.22912805208333331</v>
      </c>
    </row>
    <row r="1100" spans="1:17">
      <c r="A1100" s="112" t="s">
        <v>626</v>
      </c>
      <c r="B1100" s="111" t="s">
        <v>1823</v>
      </c>
      <c r="C1100" s="111" t="s">
        <v>1824</v>
      </c>
      <c r="D1100" s="112" t="s">
        <v>1825</v>
      </c>
      <c r="E1100" s="111" t="s">
        <v>260</v>
      </c>
      <c r="F1100" s="112" t="s">
        <v>1608</v>
      </c>
      <c r="G1100" s="111" t="s">
        <v>20</v>
      </c>
      <c r="H1100" s="111">
        <v>201608</v>
      </c>
      <c r="I1100" s="104">
        <v>113.73</v>
      </c>
      <c r="J1100" s="297">
        <f t="shared" si="71"/>
        <v>42675</v>
      </c>
      <c r="K1100" s="67">
        <f t="shared" si="68"/>
        <v>6</v>
      </c>
      <c r="L1100" s="127">
        <v>1.4833299999999999E-3</v>
      </c>
      <c r="M1100" s="104">
        <f t="shared" si="69"/>
        <v>1.0121947254000001</v>
      </c>
      <c r="O1100" s="66"/>
      <c r="Q1100" s="66">
        <f t="shared" si="70"/>
        <v>1.8814969937500001</v>
      </c>
    </row>
    <row r="1101" spans="1:17">
      <c r="A1101" s="112" t="s">
        <v>127</v>
      </c>
      <c r="B1101" s="111" t="s">
        <v>1130</v>
      </c>
      <c r="C1101" s="111" t="s">
        <v>1131</v>
      </c>
      <c r="D1101" s="112" t="s">
        <v>1132</v>
      </c>
      <c r="E1101" s="111" t="s">
        <v>131</v>
      </c>
      <c r="F1101" s="112" t="s">
        <v>1607</v>
      </c>
      <c r="G1101" s="111" t="s">
        <v>20</v>
      </c>
      <c r="H1101" s="111">
        <v>201608</v>
      </c>
      <c r="I1101" s="104">
        <v>0.02</v>
      </c>
      <c r="J1101" s="297">
        <f t="shared" si="71"/>
        <v>42675</v>
      </c>
      <c r="K1101" s="67">
        <f t="shared" si="68"/>
        <v>6</v>
      </c>
      <c r="L1101" s="313">
        <v>2.3833299999999999E-3</v>
      </c>
      <c r="M1101" s="104">
        <f t="shared" si="69"/>
        <v>2.8599960000000004E-4</v>
      </c>
      <c r="O1101" s="66"/>
      <c r="Q1101" s="66">
        <f t="shared" si="70"/>
        <v>3.3087083333333336E-4</v>
      </c>
    </row>
    <row r="1102" spans="1:17">
      <c r="A1102" s="112" t="s">
        <v>626</v>
      </c>
      <c r="B1102" s="111" t="s">
        <v>1136</v>
      </c>
      <c r="C1102" s="111" t="s">
        <v>1137</v>
      </c>
      <c r="D1102" s="112" t="s">
        <v>1138</v>
      </c>
      <c r="E1102" s="111" t="s">
        <v>962</v>
      </c>
      <c r="F1102" s="112" t="s">
        <v>88</v>
      </c>
      <c r="G1102" s="111" t="s">
        <v>20</v>
      </c>
      <c r="H1102" s="111">
        <v>201608</v>
      </c>
      <c r="I1102" s="104">
        <v>26.08</v>
      </c>
      <c r="J1102" s="297">
        <f t="shared" si="71"/>
        <v>42675</v>
      </c>
      <c r="K1102" s="67">
        <f t="shared" si="68"/>
        <v>6</v>
      </c>
      <c r="L1102" s="127">
        <v>1.4833299999999999E-3</v>
      </c>
      <c r="M1102" s="104">
        <f t="shared" si="69"/>
        <v>0.23211147839999999</v>
      </c>
      <c r="O1102" s="66"/>
      <c r="Q1102" s="66">
        <f t="shared" si="70"/>
        <v>0.43145556666666668</v>
      </c>
    </row>
    <row r="1103" spans="1:17">
      <c r="A1103" s="112" t="s">
        <v>626</v>
      </c>
      <c r="B1103" s="111" t="s">
        <v>1826</v>
      </c>
      <c r="C1103" s="111" t="s">
        <v>1827</v>
      </c>
      <c r="D1103" s="112" t="s">
        <v>1828</v>
      </c>
      <c r="E1103" s="111" t="s">
        <v>25</v>
      </c>
      <c r="F1103" s="112" t="s">
        <v>26</v>
      </c>
      <c r="G1103" s="111" t="s">
        <v>20</v>
      </c>
      <c r="H1103" s="111">
        <v>201608</v>
      </c>
      <c r="I1103" s="104">
        <v>613.23</v>
      </c>
      <c r="J1103" s="297">
        <f t="shared" si="71"/>
        <v>42675</v>
      </c>
      <c r="K1103" s="67">
        <f t="shared" si="68"/>
        <v>6</v>
      </c>
      <c r="L1103" s="127">
        <v>1.4833299999999999E-3</v>
      </c>
      <c r="M1103" s="104">
        <f t="shared" si="69"/>
        <v>5.4577347353999999</v>
      </c>
      <c r="O1103" s="66"/>
      <c r="Q1103" s="66">
        <f t="shared" si="70"/>
        <v>10.144996056250001</v>
      </c>
    </row>
    <row r="1104" spans="1:17">
      <c r="A1104" s="112" t="s">
        <v>21</v>
      </c>
      <c r="B1104" s="111" t="s">
        <v>1826</v>
      </c>
      <c r="C1104" s="111" t="s">
        <v>1827</v>
      </c>
      <c r="D1104" s="112" t="s">
        <v>1828</v>
      </c>
      <c r="E1104" s="111" t="s">
        <v>25</v>
      </c>
      <c r="F1104" s="112" t="s">
        <v>26</v>
      </c>
      <c r="G1104" s="111" t="s">
        <v>20</v>
      </c>
      <c r="H1104" s="111">
        <v>201608</v>
      </c>
      <c r="I1104" s="104">
        <v>1764.14</v>
      </c>
      <c r="J1104" s="297">
        <f t="shared" si="71"/>
        <v>42675</v>
      </c>
      <c r="K1104" s="67">
        <f t="shared" si="68"/>
        <v>6</v>
      </c>
      <c r="L1104" s="127">
        <v>1.4833299999999999E-3</v>
      </c>
      <c r="M1104" s="104">
        <f t="shared" si="69"/>
        <v>15.700810717200001</v>
      </c>
      <c r="O1104" s="66"/>
      <c r="Q1104" s="66">
        <f t="shared" si="70"/>
        <v>29.185123595833335</v>
      </c>
    </row>
    <row r="1105" spans="1:17">
      <c r="A1105" s="112" t="s">
        <v>626</v>
      </c>
      <c r="B1105" s="111" t="s">
        <v>1139</v>
      </c>
      <c r="C1105" s="111" t="s">
        <v>1140</v>
      </c>
      <c r="D1105" s="112" t="s">
        <v>1141</v>
      </c>
      <c r="E1105" s="111" t="s">
        <v>280</v>
      </c>
      <c r="F1105" s="112" t="s">
        <v>26</v>
      </c>
      <c r="G1105" s="111" t="s">
        <v>20</v>
      </c>
      <c r="H1105" s="111">
        <v>201608</v>
      </c>
      <c r="I1105" s="104">
        <v>6.13</v>
      </c>
      <c r="J1105" s="297">
        <f t="shared" si="71"/>
        <v>42675</v>
      </c>
      <c r="K1105" s="67">
        <f t="shared" si="68"/>
        <v>6</v>
      </c>
      <c r="L1105" s="127">
        <v>1.4833299999999999E-3</v>
      </c>
      <c r="M1105" s="104">
        <f t="shared" si="69"/>
        <v>5.4556877400000002E-2</v>
      </c>
      <c r="O1105" s="66"/>
      <c r="Q1105" s="66">
        <f t="shared" si="70"/>
        <v>0.10141191041666667</v>
      </c>
    </row>
    <row r="1106" spans="1:17">
      <c r="A1106" s="112" t="s">
        <v>626</v>
      </c>
      <c r="B1106" s="111" t="s">
        <v>1142</v>
      </c>
      <c r="C1106" s="111" t="s">
        <v>1143</v>
      </c>
      <c r="D1106" s="112" t="s">
        <v>1144</v>
      </c>
      <c r="E1106" s="111" t="s">
        <v>164</v>
      </c>
      <c r="F1106" s="112" t="s">
        <v>1600</v>
      </c>
      <c r="G1106" s="111" t="s">
        <v>20</v>
      </c>
      <c r="H1106" s="111">
        <v>201608</v>
      </c>
      <c r="I1106" s="104">
        <v>2.4900000000000002</v>
      </c>
      <c r="J1106" s="297">
        <f t="shared" si="71"/>
        <v>42675</v>
      </c>
      <c r="K1106" s="67">
        <f t="shared" si="68"/>
        <v>6</v>
      </c>
      <c r="L1106" s="127">
        <v>1.4833299999999999E-3</v>
      </c>
      <c r="M1106" s="104">
        <f t="shared" si="69"/>
        <v>2.2160950200000001E-2</v>
      </c>
      <c r="O1106" s="66"/>
      <c r="Q1106" s="66">
        <f t="shared" si="70"/>
        <v>4.1193418750000002E-2</v>
      </c>
    </row>
    <row r="1107" spans="1:17">
      <c r="A1107" s="112" t="s">
        <v>626</v>
      </c>
      <c r="B1107" s="111" t="s">
        <v>1615</v>
      </c>
      <c r="C1107" s="111" t="s">
        <v>1616</v>
      </c>
      <c r="D1107" s="112" t="s">
        <v>1617</v>
      </c>
      <c r="E1107" s="111" t="s">
        <v>497</v>
      </c>
      <c r="F1107" s="112" t="s">
        <v>26</v>
      </c>
      <c r="G1107" s="111" t="s">
        <v>20</v>
      </c>
      <c r="H1107" s="111">
        <v>201608</v>
      </c>
      <c r="I1107" s="104">
        <v>-7.06</v>
      </c>
      <c r="J1107" s="297">
        <f t="shared" si="71"/>
        <v>42675</v>
      </c>
      <c r="K1107" s="67">
        <f t="shared" si="68"/>
        <v>6</v>
      </c>
      <c r="L1107" s="127">
        <v>1.4833299999999999E-3</v>
      </c>
      <c r="M1107" s="104">
        <f t="shared" si="69"/>
        <v>-6.2833858800000003E-2</v>
      </c>
      <c r="O1107" s="66"/>
      <c r="Q1107" s="66">
        <f t="shared" si="70"/>
        <v>-0.11679740416666667</v>
      </c>
    </row>
    <row r="1108" spans="1:17">
      <c r="A1108" s="112" t="s">
        <v>626</v>
      </c>
      <c r="B1108" s="111" t="s">
        <v>1148</v>
      </c>
      <c r="C1108" s="111" t="s">
        <v>1149</v>
      </c>
      <c r="D1108" s="112" t="s">
        <v>1150</v>
      </c>
      <c r="E1108" s="111" t="s">
        <v>93</v>
      </c>
      <c r="F1108" s="112" t="s">
        <v>1601</v>
      </c>
      <c r="G1108" s="111" t="s">
        <v>20</v>
      </c>
      <c r="H1108" s="111">
        <v>201608</v>
      </c>
      <c r="I1108" s="104">
        <v>-0.11</v>
      </c>
      <c r="J1108" s="297">
        <f t="shared" si="71"/>
        <v>42675</v>
      </c>
      <c r="K1108" s="67">
        <f t="shared" si="68"/>
        <v>6</v>
      </c>
      <c r="L1108" s="127">
        <v>1.4833299999999999E-3</v>
      </c>
      <c r="M1108" s="104">
        <f t="shared" si="69"/>
        <v>-9.7899779999999995E-4</v>
      </c>
      <c r="O1108" s="66"/>
      <c r="Q1108" s="66">
        <f t="shared" si="70"/>
        <v>-1.8197895833333335E-3</v>
      </c>
    </row>
    <row r="1109" spans="1:17">
      <c r="A1109" s="112" t="s">
        <v>21</v>
      </c>
      <c r="B1109" s="111" t="s">
        <v>1502</v>
      </c>
      <c r="C1109" s="111" t="s">
        <v>1503</v>
      </c>
      <c r="D1109" s="112" t="s">
        <v>1504</v>
      </c>
      <c r="E1109" s="111" t="s">
        <v>172</v>
      </c>
      <c r="F1109" s="112" t="s">
        <v>1609</v>
      </c>
      <c r="G1109" s="111" t="s">
        <v>20</v>
      </c>
      <c r="H1109" s="111">
        <v>201608</v>
      </c>
      <c r="I1109" s="104">
        <v>-3.36</v>
      </c>
      <c r="J1109" s="297">
        <f t="shared" si="71"/>
        <v>42675</v>
      </c>
      <c r="K1109" s="67">
        <f t="shared" si="68"/>
        <v>6</v>
      </c>
      <c r="L1109" s="127">
        <v>1.4833299999999999E-3</v>
      </c>
      <c r="M1109" s="104">
        <f t="shared" si="69"/>
        <v>-2.9903932799999998E-2</v>
      </c>
      <c r="O1109" s="66"/>
      <c r="Q1109" s="66">
        <f t="shared" si="70"/>
        <v>-5.5586299999999998E-2</v>
      </c>
    </row>
    <row r="1110" spans="1:17">
      <c r="A1110" s="112" t="s">
        <v>21</v>
      </c>
      <c r="B1110" s="111" t="s">
        <v>1948</v>
      </c>
      <c r="C1110" s="111" t="s">
        <v>1949</v>
      </c>
      <c r="D1110" s="112" t="s">
        <v>1950</v>
      </c>
      <c r="E1110" s="111" t="s">
        <v>756</v>
      </c>
      <c r="F1110" s="112" t="s">
        <v>757</v>
      </c>
      <c r="G1110" s="111" t="s">
        <v>20</v>
      </c>
      <c r="H1110" s="111">
        <v>201608</v>
      </c>
      <c r="I1110" s="104">
        <v>111.17</v>
      </c>
      <c r="J1110" s="297">
        <f t="shared" si="71"/>
        <v>42675</v>
      </c>
      <c r="K1110" s="67">
        <f t="shared" si="68"/>
        <v>6</v>
      </c>
      <c r="L1110" s="127">
        <v>1.4833299999999999E-3</v>
      </c>
      <c r="M1110" s="104">
        <f t="shared" si="69"/>
        <v>0.98941077659999999</v>
      </c>
      <c r="O1110" s="66"/>
      <c r="Q1110" s="66">
        <f t="shared" si="70"/>
        <v>1.8391455270833335</v>
      </c>
    </row>
    <row r="1111" spans="1:17">
      <c r="A1111" s="112" t="s">
        <v>21</v>
      </c>
      <c r="B1111" s="111" t="s">
        <v>1858</v>
      </c>
      <c r="C1111" s="111" t="s">
        <v>1859</v>
      </c>
      <c r="D1111" s="112" t="s">
        <v>1860</v>
      </c>
      <c r="E1111" s="111" t="s">
        <v>70</v>
      </c>
      <c r="F1111" s="112" t="s">
        <v>71</v>
      </c>
      <c r="G1111" s="111" t="s">
        <v>20</v>
      </c>
      <c r="H1111" s="111">
        <v>201608</v>
      </c>
      <c r="I1111" s="104">
        <v>13.72</v>
      </c>
      <c r="J1111" s="297">
        <f t="shared" si="71"/>
        <v>42675</v>
      </c>
      <c r="K1111" s="67">
        <f t="shared" si="68"/>
        <v>6</v>
      </c>
      <c r="L1111" s="127">
        <v>1.4833299999999999E-3</v>
      </c>
      <c r="M1111" s="104">
        <f t="shared" si="69"/>
        <v>0.12210772560000001</v>
      </c>
      <c r="O1111" s="66"/>
      <c r="Q1111" s="66">
        <f t="shared" si="70"/>
        <v>0.22697739166666667</v>
      </c>
    </row>
    <row r="1112" spans="1:17">
      <c r="A1112" s="112" t="s">
        <v>626</v>
      </c>
      <c r="B1112" s="111" t="s">
        <v>1169</v>
      </c>
      <c r="C1112" s="111" t="s">
        <v>1170</v>
      </c>
      <c r="D1112" s="112" t="s">
        <v>1171</v>
      </c>
      <c r="E1112" s="111" t="s">
        <v>164</v>
      </c>
      <c r="F1112" s="112" t="s">
        <v>1600</v>
      </c>
      <c r="G1112" s="111" t="s">
        <v>20</v>
      </c>
      <c r="H1112" s="111">
        <v>201608</v>
      </c>
      <c r="I1112" s="104">
        <v>16.87</v>
      </c>
      <c r="J1112" s="297">
        <f t="shared" si="71"/>
        <v>42675</v>
      </c>
      <c r="K1112" s="67">
        <f t="shared" si="68"/>
        <v>6</v>
      </c>
      <c r="L1112" s="127">
        <v>1.4833299999999999E-3</v>
      </c>
      <c r="M1112" s="104">
        <f t="shared" si="69"/>
        <v>0.1501426626</v>
      </c>
      <c r="O1112" s="66"/>
      <c r="Q1112" s="66">
        <f t="shared" si="70"/>
        <v>0.27908954791666674</v>
      </c>
    </row>
    <row r="1113" spans="1:17">
      <c r="A1113" s="112" t="s">
        <v>626</v>
      </c>
      <c r="B1113" s="111" t="s">
        <v>1172</v>
      </c>
      <c r="C1113" s="111" t="s">
        <v>1173</v>
      </c>
      <c r="D1113" s="112" t="s">
        <v>1174</v>
      </c>
      <c r="E1113" s="111" t="s">
        <v>156</v>
      </c>
      <c r="F1113" s="112" t="s">
        <v>26</v>
      </c>
      <c r="G1113" s="111" t="s">
        <v>20</v>
      </c>
      <c r="H1113" s="111">
        <v>201608</v>
      </c>
      <c r="I1113" s="104">
        <v>2.36</v>
      </c>
      <c r="J1113" s="297">
        <f t="shared" si="71"/>
        <v>42675</v>
      </c>
      <c r="K1113" s="67">
        <f t="shared" si="68"/>
        <v>6</v>
      </c>
      <c r="L1113" s="127">
        <v>1.4833299999999999E-3</v>
      </c>
      <c r="M1113" s="104">
        <f t="shared" si="69"/>
        <v>2.10039528E-2</v>
      </c>
      <c r="O1113" s="66"/>
      <c r="Q1113" s="66">
        <f t="shared" si="70"/>
        <v>3.904275833333333E-2</v>
      </c>
    </row>
    <row r="1114" spans="1:17">
      <c r="A1114" s="112" t="s">
        <v>626</v>
      </c>
      <c r="B1114" s="111" t="s">
        <v>1545</v>
      </c>
      <c r="C1114" s="111" t="s">
        <v>1546</v>
      </c>
      <c r="D1114" s="112" t="s">
        <v>1547</v>
      </c>
      <c r="E1114" s="111" t="s">
        <v>164</v>
      </c>
      <c r="F1114" s="112" t="s">
        <v>1600</v>
      </c>
      <c r="G1114" s="111" t="s">
        <v>20</v>
      </c>
      <c r="H1114" s="111">
        <v>201608</v>
      </c>
      <c r="I1114" s="104">
        <v>-1.23</v>
      </c>
      <c r="J1114" s="297">
        <f t="shared" si="71"/>
        <v>42675</v>
      </c>
      <c r="K1114" s="67">
        <f t="shared" si="68"/>
        <v>6</v>
      </c>
      <c r="L1114" s="127">
        <v>1.4833299999999999E-3</v>
      </c>
      <c r="M1114" s="104">
        <f t="shared" si="69"/>
        <v>-1.09469754E-2</v>
      </c>
      <c r="O1114" s="66"/>
      <c r="Q1114" s="66">
        <f t="shared" si="70"/>
        <v>-2.034855625E-2</v>
      </c>
    </row>
    <row r="1115" spans="1:17">
      <c r="A1115" s="112" t="s">
        <v>21</v>
      </c>
      <c r="B1115" s="111" t="s">
        <v>1420</v>
      </c>
      <c r="C1115" s="111" t="s">
        <v>1421</v>
      </c>
      <c r="D1115" s="112" t="s">
        <v>1422</v>
      </c>
      <c r="E1115" s="111" t="s">
        <v>260</v>
      </c>
      <c r="F1115" s="112" t="s">
        <v>1608</v>
      </c>
      <c r="G1115" s="111" t="s">
        <v>20</v>
      </c>
      <c r="H1115" s="111">
        <v>201608</v>
      </c>
      <c r="I1115" s="104">
        <v>2.95</v>
      </c>
      <c r="J1115" s="297">
        <f t="shared" si="71"/>
        <v>42675</v>
      </c>
      <c r="K1115" s="67">
        <f t="shared" si="68"/>
        <v>6</v>
      </c>
      <c r="L1115" s="127">
        <v>1.4833299999999999E-3</v>
      </c>
      <c r="M1115" s="104">
        <f t="shared" si="69"/>
        <v>2.6254941E-2</v>
      </c>
      <c r="O1115" s="66"/>
      <c r="Q1115" s="66">
        <f t="shared" si="70"/>
        <v>4.8803447916666673E-2</v>
      </c>
    </row>
    <row r="1116" spans="1:17">
      <c r="A1116" s="112" t="s">
        <v>626</v>
      </c>
      <c r="B1116" s="111" t="s">
        <v>1420</v>
      </c>
      <c r="C1116" s="111" t="s">
        <v>1421</v>
      </c>
      <c r="D1116" s="112" t="s">
        <v>1422</v>
      </c>
      <c r="E1116" s="111" t="s">
        <v>260</v>
      </c>
      <c r="F1116" s="112" t="s">
        <v>1608</v>
      </c>
      <c r="G1116" s="111" t="s">
        <v>20</v>
      </c>
      <c r="H1116" s="111">
        <v>201608</v>
      </c>
      <c r="I1116" s="104">
        <v>11.59</v>
      </c>
      <c r="J1116" s="297">
        <f t="shared" si="71"/>
        <v>42675</v>
      </c>
      <c r="K1116" s="67">
        <f t="shared" si="68"/>
        <v>6</v>
      </c>
      <c r="L1116" s="127">
        <v>1.4833299999999999E-3</v>
      </c>
      <c r="M1116" s="104">
        <f t="shared" si="69"/>
        <v>0.10315076819999999</v>
      </c>
      <c r="O1116" s="66"/>
      <c r="Q1116" s="66">
        <f t="shared" si="70"/>
        <v>0.19173964791666664</v>
      </c>
    </row>
    <row r="1117" spans="1:17">
      <c r="A1117" s="112" t="s">
        <v>626</v>
      </c>
      <c r="B1117" s="111" t="s">
        <v>1268</v>
      </c>
      <c r="C1117" s="111" t="s">
        <v>1269</v>
      </c>
      <c r="D1117" s="112" t="s">
        <v>1270</v>
      </c>
      <c r="E1117" s="111" t="s">
        <v>260</v>
      </c>
      <c r="F1117" s="112" t="s">
        <v>1608</v>
      </c>
      <c r="G1117" s="111" t="s">
        <v>20</v>
      </c>
      <c r="H1117" s="111">
        <v>201608</v>
      </c>
      <c r="I1117" s="104">
        <v>-7.0000000000000007E-2</v>
      </c>
      <c r="J1117" s="297">
        <f t="shared" si="71"/>
        <v>42675</v>
      </c>
      <c r="K1117" s="67">
        <f t="shared" si="68"/>
        <v>6</v>
      </c>
      <c r="L1117" s="127">
        <v>1.4833299999999999E-3</v>
      </c>
      <c r="M1117" s="104">
        <f t="shared" si="69"/>
        <v>-6.2299860000000003E-4</v>
      </c>
      <c r="O1117" s="66"/>
      <c r="Q1117" s="66">
        <f t="shared" si="70"/>
        <v>-1.1580479166666668E-3</v>
      </c>
    </row>
    <row r="1118" spans="1:17">
      <c r="A1118" s="112" t="s">
        <v>127</v>
      </c>
      <c r="B1118" s="111" t="s">
        <v>1785</v>
      </c>
      <c r="C1118" s="111" t="s">
        <v>1786</v>
      </c>
      <c r="D1118" s="112" t="s">
        <v>1787</v>
      </c>
      <c r="E1118" s="111" t="s">
        <v>1580</v>
      </c>
      <c r="F1118" s="112" t="s">
        <v>217</v>
      </c>
      <c r="G1118" s="111" t="s">
        <v>20</v>
      </c>
      <c r="H1118" s="111">
        <v>201608</v>
      </c>
      <c r="I1118" s="104">
        <v>81.02</v>
      </c>
      <c r="J1118" s="297">
        <f t="shared" si="71"/>
        <v>42675</v>
      </c>
      <c r="K1118" s="67">
        <f t="shared" si="68"/>
        <v>6</v>
      </c>
      <c r="L1118" s="313">
        <v>2.3833299999999999E-3</v>
      </c>
      <c r="M1118" s="104">
        <f t="shared" si="69"/>
        <v>1.1585843795999999</v>
      </c>
      <c r="O1118" s="66"/>
      <c r="Q1118" s="66">
        <f t="shared" si="70"/>
        <v>1.3403577458333333</v>
      </c>
    </row>
    <row r="1119" spans="1:17">
      <c r="A1119" s="112" t="s">
        <v>626</v>
      </c>
      <c r="B1119" s="111" t="s">
        <v>1508</v>
      </c>
      <c r="C1119" s="111" t="s">
        <v>1509</v>
      </c>
      <c r="D1119" s="112" t="s">
        <v>1510</v>
      </c>
      <c r="E1119" s="111" t="s">
        <v>75</v>
      </c>
      <c r="F1119" s="112" t="s">
        <v>1602</v>
      </c>
      <c r="G1119" s="111" t="s">
        <v>20</v>
      </c>
      <c r="H1119" s="111">
        <v>201608</v>
      </c>
      <c r="I1119" s="104">
        <v>6.77</v>
      </c>
      <c r="J1119" s="297">
        <f t="shared" si="71"/>
        <v>42675</v>
      </c>
      <c r="K1119" s="67">
        <f t="shared" si="68"/>
        <v>6</v>
      </c>
      <c r="L1119" s="127">
        <v>1.4833299999999999E-3</v>
      </c>
      <c r="M1119" s="104">
        <f t="shared" si="69"/>
        <v>6.0252864599999997E-2</v>
      </c>
      <c r="O1119" s="66"/>
      <c r="Q1119" s="66">
        <f t="shared" si="70"/>
        <v>0.11199977708333334</v>
      </c>
    </row>
    <row r="1120" spans="1:17">
      <c r="A1120" s="112" t="s">
        <v>21</v>
      </c>
      <c r="B1120" s="111" t="s">
        <v>1829</v>
      </c>
      <c r="C1120" s="111" t="s">
        <v>1830</v>
      </c>
      <c r="D1120" s="112" t="s">
        <v>1831</v>
      </c>
      <c r="E1120" s="111" t="s">
        <v>497</v>
      </c>
      <c r="F1120" s="112" t="s">
        <v>26</v>
      </c>
      <c r="G1120" s="111" t="s">
        <v>20</v>
      </c>
      <c r="H1120" s="111">
        <v>201608</v>
      </c>
      <c r="I1120" s="104">
        <v>1.04</v>
      </c>
      <c r="J1120" s="297">
        <f t="shared" si="71"/>
        <v>42675</v>
      </c>
      <c r="K1120" s="67">
        <f t="shared" si="68"/>
        <v>6</v>
      </c>
      <c r="L1120" s="127">
        <v>1.4833299999999999E-3</v>
      </c>
      <c r="M1120" s="104">
        <f t="shared" si="69"/>
        <v>9.2559792000000002E-3</v>
      </c>
      <c r="O1120" s="66"/>
      <c r="Q1120" s="66">
        <f t="shared" si="70"/>
        <v>1.7205283333333335E-2</v>
      </c>
    </row>
    <row r="1121" spans="1:17">
      <c r="A1121" s="112" t="s">
        <v>626</v>
      </c>
      <c r="B1121" s="111" t="s">
        <v>1829</v>
      </c>
      <c r="C1121" s="111" t="s">
        <v>1830</v>
      </c>
      <c r="D1121" s="112" t="s">
        <v>1831</v>
      </c>
      <c r="E1121" s="111" t="s">
        <v>497</v>
      </c>
      <c r="F1121" s="112" t="s">
        <v>26</v>
      </c>
      <c r="G1121" s="111" t="s">
        <v>20</v>
      </c>
      <c r="H1121" s="111">
        <v>201608</v>
      </c>
      <c r="I1121" s="104">
        <v>6.97</v>
      </c>
      <c r="J1121" s="297">
        <f t="shared" si="71"/>
        <v>42675</v>
      </c>
      <c r="K1121" s="67">
        <f t="shared" si="68"/>
        <v>6</v>
      </c>
      <c r="L1121" s="127">
        <v>1.4833299999999999E-3</v>
      </c>
      <c r="M1121" s="104">
        <f t="shared" si="69"/>
        <v>6.2032860599999996E-2</v>
      </c>
      <c r="O1121" s="66"/>
      <c r="Q1121" s="66">
        <f t="shared" si="70"/>
        <v>0.11530848541666666</v>
      </c>
    </row>
    <row r="1122" spans="1:17">
      <c r="A1122" s="112" t="s">
        <v>626</v>
      </c>
      <c r="B1122" s="111" t="s">
        <v>1709</v>
      </c>
      <c r="C1122" s="111" t="s">
        <v>1710</v>
      </c>
      <c r="D1122" s="112" t="s">
        <v>1711</v>
      </c>
      <c r="E1122" s="111" t="s">
        <v>497</v>
      </c>
      <c r="F1122" s="112" t="s">
        <v>26</v>
      </c>
      <c r="G1122" s="111" t="s">
        <v>20</v>
      </c>
      <c r="H1122" s="111">
        <v>201608</v>
      </c>
      <c r="I1122" s="104">
        <v>1.19</v>
      </c>
      <c r="J1122" s="297">
        <f t="shared" si="71"/>
        <v>42675</v>
      </c>
      <c r="K1122" s="67">
        <f t="shared" si="68"/>
        <v>6</v>
      </c>
      <c r="L1122" s="127">
        <v>1.4833299999999999E-3</v>
      </c>
      <c r="M1122" s="104">
        <f t="shared" si="69"/>
        <v>1.0590976199999999E-2</v>
      </c>
      <c r="O1122" s="66"/>
      <c r="Q1122" s="66">
        <f t="shared" si="70"/>
        <v>1.9686814583333333E-2</v>
      </c>
    </row>
    <row r="1123" spans="1:17">
      <c r="A1123" s="112" t="s">
        <v>626</v>
      </c>
      <c r="B1123" s="111" t="s">
        <v>1861</v>
      </c>
      <c r="C1123" s="111" t="s">
        <v>1862</v>
      </c>
      <c r="D1123" s="112" t="s">
        <v>1863</v>
      </c>
      <c r="E1123" s="111" t="s">
        <v>75</v>
      </c>
      <c r="F1123" s="112" t="s">
        <v>1602</v>
      </c>
      <c r="G1123" s="111" t="s">
        <v>20</v>
      </c>
      <c r="H1123" s="111">
        <v>201608</v>
      </c>
      <c r="I1123" s="104">
        <v>264.85000000000002</v>
      </c>
      <c r="J1123" s="297">
        <f t="shared" si="71"/>
        <v>42675</v>
      </c>
      <c r="K1123" s="67">
        <f t="shared" si="68"/>
        <v>6</v>
      </c>
      <c r="L1123" s="127">
        <v>1.4833299999999999E-3</v>
      </c>
      <c r="M1123" s="104">
        <f t="shared" si="69"/>
        <v>2.3571597030000002</v>
      </c>
      <c r="O1123" s="66"/>
      <c r="Q1123" s="66">
        <f t="shared" si="70"/>
        <v>4.3815570104166666</v>
      </c>
    </row>
    <row r="1124" spans="1:17">
      <c r="A1124" s="112" t="s">
        <v>626</v>
      </c>
      <c r="B1124" s="111" t="s">
        <v>1511</v>
      </c>
      <c r="C1124" s="111" t="s">
        <v>1512</v>
      </c>
      <c r="D1124" s="112" t="s">
        <v>1513</v>
      </c>
      <c r="E1124" s="111" t="s">
        <v>260</v>
      </c>
      <c r="F1124" s="112" t="s">
        <v>1608</v>
      </c>
      <c r="G1124" s="111" t="s">
        <v>20</v>
      </c>
      <c r="H1124" s="111">
        <v>201608</v>
      </c>
      <c r="I1124" s="104">
        <v>3.6</v>
      </c>
      <c r="J1124" s="297">
        <f t="shared" si="71"/>
        <v>42675</v>
      </c>
      <c r="K1124" s="67">
        <f t="shared" si="68"/>
        <v>6</v>
      </c>
      <c r="L1124" s="127">
        <v>1.4833299999999999E-3</v>
      </c>
      <c r="M1124" s="104">
        <f t="shared" si="69"/>
        <v>3.2039928000000002E-2</v>
      </c>
      <c r="O1124" s="66"/>
      <c r="Q1124" s="66">
        <f t="shared" si="70"/>
        <v>5.9556749999999999E-2</v>
      </c>
    </row>
    <row r="1125" spans="1:17">
      <c r="A1125" s="112" t="s">
        <v>626</v>
      </c>
      <c r="B1125" s="111" t="s">
        <v>1864</v>
      </c>
      <c r="C1125" s="111" t="s">
        <v>1865</v>
      </c>
      <c r="D1125" s="112" t="s">
        <v>1866</v>
      </c>
      <c r="E1125" s="111" t="s">
        <v>75</v>
      </c>
      <c r="F1125" s="112" t="s">
        <v>1602</v>
      </c>
      <c r="G1125" s="111" t="s">
        <v>20</v>
      </c>
      <c r="H1125" s="111">
        <v>201608</v>
      </c>
      <c r="I1125" s="104">
        <v>724.18</v>
      </c>
      <c r="J1125" s="297">
        <f t="shared" si="71"/>
        <v>42675</v>
      </c>
      <c r="K1125" s="67">
        <f t="shared" si="68"/>
        <v>6</v>
      </c>
      <c r="L1125" s="127">
        <v>1.4833299999999999E-3</v>
      </c>
      <c r="M1125" s="104">
        <f t="shared" si="69"/>
        <v>6.4451875163999999</v>
      </c>
      <c r="O1125" s="66"/>
      <c r="Q1125" s="66">
        <f t="shared" si="70"/>
        <v>11.980502004166667</v>
      </c>
    </row>
    <row r="1126" spans="1:17">
      <c r="A1126" s="112" t="s">
        <v>626</v>
      </c>
      <c r="B1126" s="111" t="s">
        <v>1867</v>
      </c>
      <c r="C1126" s="111" t="s">
        <v>1868</v>
      </c>
      <c r="D1126" s="112" t="s">
        <v>1869</v>
      </c>
      <c r="E1126" s="111" t="s">
        <v>75</v>
      </c>
      <c r="F1126" s="112" t="s">
        <v>1602</v>
      </c>
      <c r="G1126" s="111" t="s">
        <v>20</v>
      </c>
      <c r="H1126" s="111">
        <v>201608</v>
      </c>
      <c r="I1126" s="104">
        <v>57.92</v>
      </c>
      <c r="J1126" s="297">
        <f t="shared" si="71"/>
        <v>42675</v>
      </c>
      <c r="K1126" s="67">
        <f t="shared" ref="K1126:K1189" si="72">((YEAR($K$1)-YEAR(J1126))*12+MONTH($K$1)-MONTH(J1126))</f>
        <v>6</v>
      </c>
      <c r="L1126" s="127">
        <v>1.4833299999999999E-3</v>
      </c>
      <c r="M1126" s="104">
        <f t="shared" ref="M1126:M1189" si="73">L1126*K1126*I1126</f>
        <v>0.51548684160000002</v>
      </c>
      <c r="O1126" s="66"/>
      <c r="Q1126" s="66">
        <f t="shared" si="70"/>
        <v>0.95820193333333326</v>
      </c>
    </row>
    <row r="1127" spans="1:17">
      <c r="A1127" s="112" t="s">
        <v>626</v>
      </c>
      <c r="B1127" s="111" t="s">
        <v>1870</v>
      </c>
      <c r="C1127" s="111" t="s">
        <v>1871</v>
      </c>
      <c r="D1127" s="112" t="s">
        <v>1872</v>
      </c>
      <c r="E1127" s="111" t="s">
        <v>75</v>
      </c>
      <c r="F1127" s="112" t="s">
        <v>1602</v>
      </c>
      <c r="G1127" s="111" t="s">
        <v>20</v>
      </c>
      <c r="H1127" s="111">
        <v>201608</v>
      </c>
      <c r="I1127" s="104">
        <v>231.52</v>
      </c>
      <c r="J1127" s="297">
        <f t="shared" si="71"/>
        <v>42675</v>
      </c>
      <c r="K1127" s="67">
        <f t="shared" si="72"/>
        <v>6</v>
      </c>
      <c r="L1127" s="127">
        <v>1.4833299999999999E-3</v>
      </c>
      <c r="M1127" s="104">
        <f t="shared" si="73"/>
        <v>2.0605233696000003</v>
      </c>
      <c r="O1127" s="66"/>
      <c r="Q1127" s="66">
        <f t="shared" si="70"/>
        <v>3.8301607666666673</v>
      </c>
    </row>
    <row r="1128" spans="1:17">
      <c r="A1128" s="112" t="s">
        <v>626</v>
      </c>
      <c r="B1128" s="111" t="s">
        <v>1514</v>
      </c>
      <c r="C1128" s="111" t="s">
        <v>1515</v>
      </c>
      <c r="D1128" s="112" t="s">
        <v>1516</v>
      </c>
      <c r="E1128" s="111" t="s">
        <v>809</v>
      </c>
      <c r="F1128" s="112" t="s">
        <v>26</v>
      </c>
      <c r="G1128" s="111" t="s">
        <v>20</v>
      </c>
      <c r="H1128" s="111">
        <v>201608</v>
      </c>
      <c r="I1128" s="104">
        <v>4.49</v>
      </c>
      <c r="J1128" s="297">
        <f t="shared" si="71"/>
        <v>42675</v>
      </c>
      <c r="K1128" s="67">
        <f t="shared" si="72"/>
        <v>6</v>
      </c>
      <c r="L1128" s="127">
        <v>1.4833299999999999E-3</v>
      </c>
      <c r="M1128" s="104">
        <f t="shared" si="73"/>
        <v>3.9960910200000005E-2</v>
      </c>
      <c r="O1128" s="66"/>
      <c r="Q1128" s="66">
        <f t="shared" si="70"/>
        <v>7.4280502083333338E-2</v>
      </c>
    </row>
    <row r="1129" spans="1:17">
      <c r="A1129" s="112" t="s">
        <v>626</v>
      </c>
      <c r="B1129" s="111" t="s">
        <v>1873</v>
      </c>
      <c r="C1129" s="111" t="s">
        <v>1874</v>
      </c>
      <c r="D1129" s="112" t="s">
        <v>1875</v>
      </c>
      <c r="E1129" s="111" t="s">
        <v>75</v>
      </c>
      <c r="F1129" s="112" t="s">
        <v>1602</v>
      </c>
      <c r="G1129" s="111" t="s">
        <v>20</v>
      </c>
      <c r="H1129" s="111">
        <v>201608</v>
      </c>
      <c r="I1129" s="104">
        <v>967.34</v>
      </c>
      <c r="J1129" s="297">
        <f t="shared" si="71"/>
        <v>42675</v>
      </c>
      <c r="K1129" s="67">
        <f t="shared" si="72"/>
        <v>6</v>
      </c>
      <c r="L1129" s="127">
        <v>1.4833299999999999E-3</v>
      </c>
      <c r="M1129" s="104">
        <f t="shared" si="73"/>
        <v>8.6093066532000009</v>
      </c>
      <c r="O1129" s="66"/>
      <c r="Q1129" s="66">
        <f t="shared" si="70"/>
        <v>16.003229595833332</v>
      </c>
    </row>
    <row r="1130" spans="1:17">
      <c r="A1130" s="112" t="s">
        <v>626</v>
      </c>
      <c r="B1130" s="125" t="s">
        <v>1681</v>
      </c>
      <c r="C1130" s="111" t="s">
        <v>1703</v>
      </c>
      <c r="D1130" s="112" t="s">
        <v>1704</v>
      </c>
      <c r="E1130" s="111" t="s">
        <v>164</v>
      </c>
      <c r="F1130" s="112" t="s">
        <v>1600</v>
      </c>
      <c r="G1130" s="111" t="s">
        <v>20</v>
      </c>
      <c r="H1130" s="111">
        <v>201608</v>
      </c>
      <c r="I1130" s="104">
        <v>7929.72</v>
      </c>
      <c r="J1130" s="297">
        <f t="shared" si="71"/>
        <v>42675</v>
      </c>
      <c r="K1130" s="67">
        <f t="shared" si="72"/>
        <v>6</v>
      </c>
      <c r="L1130" s="127">
        <v>1.4833299999999999E-3</v>
      </c>
      <c r="M1130" s="104">
        <f t="shared" si="73"/>
        <v>70.574349405600003</v>
      </c>
      <c r="O1130" s="66"/>
      <c r="Q1130" s="66">
        <f t="shared" si="70"/>
        <v>131.18565322499998</v>
      </c>
    </row>
    <row r="1131" spans="1:17">
      <c r="A1131" s="112" t="s">
        <v>626</v>
      </c>
      <c r="B1131" s="125" t="s">
        <v>1681</v>
      </c>
      <c r="C1131" s="111" t="s">
        <v>1705</v>
      </c>
      <c r="D1131" s="112" t="s">
        <v>1706</v>
      </c>
      <c r="E1131" s="111" t="s">
        <v>75</v>
      </c>
      <c r="F1131" s="112" t="s">
        <v>1602</v>
      </c>
      <c r="G1131" s="111" t="s">
        <v>20</v>
      </c>
      <c r="H1131" s="111">
        <v>201608</v>
      </c>
      <c r="I1131" s="104">
        <v>29610.73</v>
      </c>
      <c r="J1131" s="297">
        <f t="shared" si="71"/>
        <v>42675</v>
      </c>
      <c r="K1131" s="67">
        <f t="shared" si="72"/>
        <v>6</v>
      </c>
      <c r="L1131" s="127">
        <v>1.4833299999999999E-3</v>
      </c>
      <c r="M1131" s="104">
        <f t="shared" si="73"/>
        <v>263.53490478539999</v>
      </c>
      <c r="O1131" s="66"/>
      <c r="Q1131" s="66">
        <f t="shared" si="70"/>
        <v>489.8663455354166</v>
      </c>
    </row>
    <row r="1132" spans="1:17">
      <c r="A1132" s="112" t="s">
        <v>626</v>
      </c>
      <c r="B1132" s="125" t="s">
        <v>1681</v>
      </c>
      <c r="C1132" s="111" t="s">
        <v>1707</v>
      </c>
      <c r="D1132" s="112" t="s">
        <v>1708</v>
      </c>
      <c r="E1132" s="111" t="s">
        <v>75</v>
      </c>
      <c r="F1132" s="112" t="s">
        <v>1602</v>
      </c>
      <c r="G1132" s="111" t="s">
        <v>20</v>
      </c>
      <c r="H1132" s="111">
        <v>201608</v>
      </c>
      <c r="I1132" s="104">
        <v>31057.49</v>
      </c>
      <c r="J1132" s="297">
        <f t="shared" si="71"/>
        <v>42675</v>
      </c>
      <c r="K1132" s="67">
        <f t="shared" si="72"/>
        <v>6</v>
      </c>
      <c r="L1132" s="127">
        <v>1.4833299999999999E-3</v>
      </c>
      <c r="M1132" s="104">
        <f t="shared" si="73"/>
        <v>276.41103985020004</v>
      </c>
      <c r="O1132" s="66"/>
      <c r="Q1132" s="66">
        <f t="shared" si="70"/>
        <v>513.80087987708339</v>
      </c>
    </row>
    <row r="1133" spans="1:17">
      <c r="A1133" s="112" t="s">
        <v>626</v>
      </c>
      <c r="B1133" s="111" t="s">
        <v>1832</v>
      </c>
      <c r="C1133" s="111" t="s">
        <v>1833</v>
      </c>
      <c r="D1133" s="112" t="s">
        <v>1834</v>
      </c>
      <c r="E1133" s="111" t="s">
        <v>497</v>
      </c>
      <c r="F1133" s="112" t="s">
        <v>26</v>
      </c>
      <c r="G1133" s="111" t="s">
        <v>20</v>
      </c>
      <c r="H1133" s="111">
        <v>201608</v>
      </c>
      <c r="I1133" s="104">
        <v>91.78</v>
      </c>
      <c r="J1133" s="297">
        <f t="shared" si="71"/>
        <v>42675</v>
      </c>
      <c r="K1133" s="67">
        <f t="shared" si="72"/>
        <v>6</v>
      </c>
      <c r="L1133" s="127">
        <v>1.4833299999999999E-3</v>
      </c>
      <c r="M1133" s="104">
        <f t="shared" si="73"/>
        <v>0.81684016440000007</v>
      </c>
      <c r="O1133" s="66"/>
      <c r="Q1133" s="66">
        <f t="shared" si="70"/>
        <v>1.5183662541666667</v>
      </c>
    </row>
    <row r="1134" spans="1:17">
      <c r="A1134" s="112" t="s">
        <v>626</v>
      </c>
      <c r="B1134" s="111" t="s">
        <v>1712</v>
      </c>
      <c r="C1134" s="111" t="s">
        <v>1713</v>
      </c>
      <c r="D1134" s="112" t="s">
        <v>1714</v>
      </c>
      <c r="E1134" s="111" t="s">
        <v>497</v>
      </c>
      <c r="F1134" s="112" t="s">
        <v>26</v>
      </c>
      <c r="G1134" s="111" t="s">
        <v>20</v>
      </c>
      <c r="H1134" s="111">
        <v>201608</v>
      </c>
      <c r="I1134" s="104">
        <v>10.49</v>
      </c>
      <c r="J1134" s="297">
        <f t="shared" si="71"/>
        <v>42675</v>
      </c>
      <c r="K1134" s="67">
        <f t="shared" si="72"/>
        <v>6</v>
      </c>
      <c r="L1134" s="127">
        <v>1.4833299999999999E-3</v>
      </c>
      <c r="M1134" s="104">
        <f t="shared" si="73"/>
        <v>9.3360790200000002E-2</v>
      </c>
      <c r="O1134" s="66"/>
      <c r="Q1134" s="66">
        <f t="shared" si="70"/>
        <v>0.17354175208333333</v>
      </c>
    </row>
    <row r="1135" spans="1:17">
      <c r="A1135" s="112" t="s">
        <v>626</v>
      </c>
      <c r="B1135" s="111" t="s">
        <v>2030</v>
      </c>
      <c r="C1135" s="111" t="s">
        <v>2031</v>
      </c>
      <c r="D1135" s="112" t="s">
        <v>2032</v>
      </c>
      <c r="E1135" s="111" t="s">
        <v>497</v>
      </c>
      <c r="F1135" s="112" t="s">
        <v>26</v>
      </c>
      <c r="G1135" s="111" t="s">
        <v>20</v>
      </c>
      <c r="H1135" s="111">
        <v>201608</v>
      </c>
      <c r="I1135" s="104">
        <v>470.27</v>
      </c>
      <c r="J1135" s="297">
        <f t="shared" si="71"/>
        <v>42675</v>
      </c>
      <c r="K1135" s="67">
        <f t="shared" si="72"/>
        <v>6</v>
      </c>
      <c r="L1135" s="127">
        <v>1.4833299999999999E-3</v>
      </c>
      <c r="M1135" s="104">
        <f t="shared" si="73"/>
        <v>4.1853935945999998</v>
      </c>
      <c r="O1135" s="66"/>
      <c r="Q1135" s="66">
        <f t="shared" si="70"/>
        <v>7.7799313395833334</v>
      </c>
    </row>
    <row r="1136" spans="1:17">
      <c r="A1136" s="112" t="s">
        <v>626</v>
      </c>
      <c r="B1136" s="111" t="s">
        <v>1715</v>
      </c>
      <c r="C1136" s="111" t="s">
        <v>1716</v>
      </c>
      <c r="D1136" s="112" t="s">
        <v>1717</v>
      </c>
      <c r="E1136" s="111" t="s">
        <v>497</v>
      </c>
      <c r="F1136" s="112" t="s">
        <v>26</v>
      </c>
      <c r="G1136" s="111" t="s">
        <v>20</v>
      </c>
      <c r="H1136" s="111">
        <v>201608</v>
      </c>
      <c r="I1136" s="104">
        <v>-23.94</v>
      </c>
      <c r="J1136" s="297">
        <f t="shared" si="71"/>
        <v>42675</v>
      </c>
      <c r="K1136" s="67">
        <f t="shared" si="72"/>
        <v>6</v>
      </c>
      <c r="L1136" s="127">
        <v>1.4833299999999999E-3</v>
      </c>
      <c r="M1136" s="104">
        <f t="shared" si="73"/>
        <v>-0.21306552120000002</v>
      </c>
      <c r="O1136" s="66"/>
      <c r="Q1136" s="66">
        <f t="shared" si="70"/>
        <v>-0.39605238750000005</v>
      </c>
    </row>
    <row r="1137" spans="1:17">
      <c r="A1137" s="112" t="s">
        <v>626</v>
      </c>
      <c r="B1137" s="111" t="s">
        <v>1951</v>
      </c>
      <c r="C1137" s="111" t="s">
        <v>1952</v>
      </c>
      <c r="D1137" s="112" t="s">
        <v>1759</v>
      </c>
      <c r="E1137" s="111" t="s">
        <v>75</v>
      </c>
      <c r="F1137" s="112" t="s">
        <v>1602</v>
      </c>
      <c r="G1137" s="111" t="s">
        <v>20</v>
      </c>
      <c r="H1137" s="111">
        <v>201608</v>
      </c>
      <c r="I1137" s="104">
        <v>2759.59</v>
      </c>
      <c r="J1137" s="297">
        <f t="shared" si="71"/>
        <v>42675</v>
      </c>
      <c r="K1137" s="67">
        <f t="shared" si="72"/>
        <v>6</v>
      </c>
      <c r="L1137" s="127">
        <v>1.4833299999999999E-3</v>
      </c>
      <c r="M1137" s="104">
        <f t="shared" si="73"/>
        <v>24.560295808200003</v>
      </c>
      <c r="O1137" s="66"/>
      <c r="Q1137" s="66">
        <f t="shared" si="70"/>
        <v>45.653392147916669</v>
      </c>
    </row>
    <row r="1138" spans="1:17">
      <c r="A1138" s="112" t="s">
        <v>626</v>
      </c>
      <c r="B1138" s="111" t="s">
        <v>1835</v>
      </c>
      <c r="C1138" s="111" t="s">
        <v>1836</v>
      </c>
      <c r="D1138" s="112" t="s">
        <v>1837</v>
      </c>
      <c r="E1138" s="111" t="s">
        <v>497</v>
      </c>
      <c r="F1138" s="112" t="s">
        <v>26</v>
      </c>
      <c r="G1138" s="111" t="s">
        <v>20</v>
      </c>
      <c r="H1138" s="111">
        <v>201608</v>
      </c>
      <c r="I1138" s="104">
        <v>32.39</v>
      </c>
      <c r="J1138" s="297">
        <f t="shared" si="71"/>
        <v>42675</v>
      </c>
      <c r="K1138" s="67">
        <f t="shared" si="72"/>
        <v>6</v>
      </c>
      <c r="L1138" s="127">
        <v>1.4833299999999999E-3</v>
      </c>
      <c r="M1138" s="104">
        <f t="shared" si="73"/>
        <v>0.28827035220000002</v>
      </c>
      <c r="O1138" s="66"/>
      <c r="Q1138" s="66">
        <f t="shared" si="70"/>
        <v>0.5358453145833334</v>
      </c>
    </row>
    <row r="1139" spans="1:17">
      <c r="A1139" s="112" t="s">
        <v>626</v>
      </c>
      <c r="B1139" s="111" t="s">
        <v>1718</v>
      </c>
      <c r="C1139" s="111" t="s">
        <v>1719</v>
      </c>
      <c r="D1139" s="112" t="s">
        <v>1720</v>
      </c>
      <c r="E1139" s="111" t="s">
        <v>497</v>
      </c>
      <c r="F1139" s="112" t="s">
        <v>26</v>
      </c>
      <c r="G1139" s="111" t="s">
        <v>20</v>
      </c>
      <c r="H1139" s="111">
        <v>201608</v>
      </c>
      <c r="I1139" s="104">
        <v>16.190000000000001</v>
      </c>
      <c r="J1139" s="297">
        <f t="shared" si="71"/>
        <v>42675</v>
      </c>
      <c r="K1139" s="67">
        <f t="shared" si="72"/>
        <v>6</v>
      </c>
      <c r="L1139" s="127">
        <v>1.4833299999999999E-3</v>
      </c>
      <c r="M1139" s="104">
        <f t="shared" si="73"/>
        <v>0.14409067620000002</v>
      </c>
      <c r="O1139" s="66"/>
      <c r="Q1139" s="66">
        <f t="shared" si="70"/>
        <v>0.26783993958333335</v>
      </c>
    </row>
    <row r="1140" spans="1:17">
      <c r="A1140" s="112" t="s">
        <v>626</v>
      </c>
      <c r="B1140" s="111" t="s">
        <v>2033</v>
      </c>
      <c r="C1140" s="111" t="s">
        <v>2034</v>
      </c>
      <c r="D1140" s="112" t="s">
        <v>2035</v>
      </c>
      <c r="E1140" s="111" t="s">
        <v>497</v>
      </c>
      <c r="F1140" s="112" t="s">
        <v>26</v>
      </c>
      <c r="G1140" s="111" t="s">
        <v>20</v>
      </c>
      <c r="H1140" s="111">
        <v>201608</v>
      </c>
      <c r="I1140" s="104">
        <v>1323.99</v>
      </c>
      <c r="J1140" s="297">
        <f t="shared" si="71"/>
        <v>42675</v>
      </c>
      <c r="K1140" s="67">
        <f t="shared" si="72"/>
        <v>6</v>
      </c>
      <c r="L1140" s="127">
        <v>1.4833299999999999E-3</v>
      </c>
      <c r="M1140" s="104">
        <f t="shared" si="73"/>
        <v>11.7834845202</v>
      </c>
      <c r="O1140" s="66"/>
      <c r="Q1140" s="66">
        <f t="shared" si="70"/>
        <v>21.903483731250002</v>
      </c>
    </row>
    <row r="1141" spans="1:17">
      <c r="A1141" s="112" t="s">
        <v>626</v>
      </c>
      <c r="B1141" s="111" t="s">
        <v>1620</v>
      </c>
      <c r="C1141" s="111" t="s">
        <v>1621</v>
      </c>
      <c r="D1141" s="112" t="s">
        <v>1622</v>
      </c>
      <c r="E1141" s="111" t="s">
        <v>497</v>
      </c>
      <c r="F1141" s="112" t="s">
        <v>26</v>
      </c>
      <c r="G1141" s="111" t="s">
        <v>20</v>
      </c>
      <c r="H1141" s="111">
        <v>201608</v>
      </c>
      <c r="I1141" s="104">
        <v>112.06</v>
      </c>
      <c r="J1141" s="297">
        <f t="shared" si="71"/>
        <v>42675</v>
      </c>
      <c r="K1141" s="67">
        <f t="shared" si="72"/>
        <v>6</v>
      </c>
      <c r="L1141" s="127">
        <v>1.4833299999999999E-3</v>
      </c>
      <c r="M1141" s="104">
        <f t="shared" si="73"/>
        <v>0.99733175880000002</v>
      </c>
      <c r="O1141" s="66"/>
      <c r="Q1141" s="66">
        <f t="shared" si="70"/>
        <v>1.8538692791666667</v>
      </c>
    </row>
    <row r="1142" spans="1:17">
      <c r="A1142" s="112" t="s">
        <v>626</v>
      </c>
      <c r="B1142" s="111" t="s">
        <v>2036</v>
      </c>
      <c r="C1142" s="111" t="s">
        <v>2037</v>
      </c>
      <c r="D1142" s="112" t="s">
        <v>2038</v>
      </c>
      <c r="E1142" s="111" t="s">
        <v>160</v>
      </c>
      <c r="F1142" s="112" t="s">
        <v>19</v>
      </c>
      <c r="G1142" s="111" t="s">
        <v>20</v>
      </c>
      <c r="H1142" s="111">
        <v>201608</v>
      </c>
      <c r="I1142" s="104">
        <v>711.11</v>
      </c>
      <c r="J1142" s="297">
        <f t="shared" si="71"/>
        <v>42675</v>
      </c>
      <c r="K1142" s="67">
        <f t="shared" si="72"/>
        <v>6</v>
      </c>
      <c r="L1142" s="127">
        <v>1.4833299999999999E-3</v>
      </c>
      <c r="M1142" s="104">
        <f t="shared" si="73"/>
        <v>6.3288647777999998</v>
      </c>
      <c r="O1142" s="66"/>
      <c r="Q1142" s="66">
        <f t="shared" si="70"/>
        <v>11.764277914583335</v>
      </c>
    </row>
    <row r="1143" spans="1:17">
      <c r="A1143" s="112" t="s">
        <v>626</v>
      </c>
      <c r="B1143" s="111" t="s">
        <v>1770</v>
      </c>
      <c r="C1143" s="111" t="s">
        <v>1771</v>
      </c>
      <c r="D1143" s="112" t="s">
        <v>1772</v>
      </c>
      <c r="E1143" s="111" t="s">
        <v>93</v>
      </c>
      <c r="F1143" s="112" t="s">
        <v>1601</v>
      </c>
      <c r="G1143" s="111" t="s">
        <v>20</v>
      </c>
      <c r="H1143" s="111">
        <v>201608</v>
      </c>
      <c r="I1143" s="104">
        <v>5.19</v>
      </c>
      <c r="J1143" s="297">
        <f t="shared" si="71"/>
        <v>42675</v>
      </c>
      <c r="K1143" s="67">
        <f t="shared" si="72"/>
        <v>6</v>
      </c>
      <c r="L1143" s="127">
        <v>1.4833299999999999E-3</v>
      </c>
      <c r="M1143" s="104">
        <f t="shared" si="73"/>
        <v>4.6190896200000005E-2</v>
      </c>
      <c r="O1143" s="66"/>
      <c r="Q1143" s="66">
        <f t="shared" si="70"/>
        <v>8.586098125000001E-2</v>
      </c>
    </row>
    <row r="1144" spans="1:17">
      <c r="A1144" s="112" t="s">
        <v>626</v>
      </c>
      <c r="B1144" s="111" t="s">
        <v>1721</v>
      </c>
      <c r="C1144" s="111" t="s">
        <v>1722</v>
      </c>
      <c r="D1144" s="112" t="s">
        <v>1723</v>
      </c>
      <c r="E1144" s="111" t="s">
        <v>75</v>
      </c>
      <c r="F1144" s="112" t="s">
        <v>1602</v>
      </c>
      <c r="G1144" s="111" t="s">
        <v>20</v>
      </c>
      <c r="H1144" s="111">
        <v>201608</v>
      </c>
      <c r="I1144" s="104">
        <v>4.91</v>
      </c>
      <c r="J1144" s="297">
        <f t="shared" si="71"/>
        <v>42675</v>
      </c>
      <c r="K1144" s="67">
        <f t="shared" si="72"/>
        <v>6</v>
      </c>
      <c r="L1144" s="127">
        <v>1.4833299999999999E-3</v>
      </c>
      <c r="M1144" s="104">
        <f t="shared" si="73"/>
        <v>4.3698901800000002E-2</v>
      </c>
      <c r="O1144" s="66"/>
      <c r="Q1144" s="66">
        <f t="shared" si="70"/>
        <v>8.1228789583333336E-2</v>
      </c>
    </row>
    <row r="1145" spans="1:17">
      <c r="A1145" s="112" t="s">
        <v>626</v>
      </c>
      <c r="B1145" s="111" t="s">
        <v>1953</v>
      </c>
      <c r="C1145" s="111" t="s">
        <v>1954</v>
      </c>
      <c r="D1145" s="112" t="s">
        <v>1955</v>
      </c>
      <c r="E1145" s="111" t="s">
        <v>75</v>
      </c>
      <c r="F1145" s="112" t="s">
        <v>1602</v>
      </c>
      <c r="G1145" s="111" t="s">
        <v>20</v>
      </c>
      <c r="H1145" s="111">
        <v>201608</v>
      </c>
      <c r="I1145" s="104">
        <v>5.95</v>
      </c>
      <c r="J1145" s="297">
        <f t="shared" si="71"/>
        <v>42675</v>
      </c>
      <c r="K1145" s="67">
        <f t="shared" si="72"/>
        <v>6</v>
      </c>
      <c r="L1145" s="127">
        <v>1.4833299999999999E-3</v>
      </c>
      <c r="M1145" s="104">
        <f t="shared" si="73"/>
        <v>5.2954881000000002E-2</v>
      </c>
      <c r="O1145" s="66"/>
      <c r="Q1145" s="66">
        <f t="shared" si="70"/>
        <v>9.8434072916666671E-2</v>
      </c>
    </row>
    <row r="1146" spans="1:17">
      <c r="A1146" s="112" t="s">
        <v>626</v>
      </c>
      <c r="B1146" s="111" t="s">
        <v>1548</v>
      </c>
      <c r="C1146" s="111" t="s">
        <v>1549</v>
      </c>
      <c r="D1146" s="112" t="s">
        <v>1550</v>
      </c>
      <c r="E1146" s="111" t="s">
        <v>164</v>
      </c>
      <c r="F1146" s="112" t="s">
        <v>1600</v>
      </c>
      <c r="G1146" s="111" t="s">
        <v>20</v>
      </c>
      <c r="H1146" s="111">
        <v>201608</v>
      </c>
      <c r="I1146" s="104">
        <v>2.54</v>
      </c>
      <c r="J1146" s="297">
        <f t="shared" si="71"/>
        <v>42675</v>
      </c>
      <c r="K1146" s="67">
        <f t="shared" si="72"/>
        <v>6</v>
      </c>
      <c r="L1146" s="127">
        <v>1.4833299999999999E-3</v>
      </c>
      <c r="M1146" s="104">
        <f t="shared" si="73"/>
        <v>2.2605949199999999E-2</v>
      </c>
      <c r="O1146" s="66"/>
      <c r="Q1146" s="66">
        <f t="shared" si="70"/>
        <v>4.2020595833333334E-2</v>
      </c>
    </row>
    <row r="1147" spans="1:17">
      <c r="A1147" s="112" t="s">
        <v>626</v>
      </c>
      <c r="B1147" s="111" t="s">
        <v>1724</v>
      </c>
      <c r="C1147" s="111" t="s">
        <v>1725</v>
      </c>
      <c r="D1147" s="112" t="s">
        <v>1726</v>
      </c>
      <c r="E1147" s="111" t="s">
        <v>75</v>
      </c>
      <c r="F1147" s="112" t="s">
        <v>1602</v>
      </c>
      <c r="G1147" s="111" t="s">
        <v>20</v>
      </c>
      <c r="H1147" s="111">
        <v>201608</v>
      </c>
      <c r="I1147" s="104">
        <v>-36.26</v>
      </c>
      <c r="J1147" s="297">
        <f t="shared" si="71"/>
        <v>42675</v>
      </c>
      <c r="K1147" s="67">
        <f t="shared" si="72"/>
        <v>6</v>
      </c>
      <c r="L1147" s="127">
        <v>1.4833299999999999E-3</v>
      </c>
      <c r="M1147" s="104">
        <f t="shared" si="73"/>
        <v>-0.32271327480000001</v>
      </c>
      <c r="O1147" s="66"/>
      <c r="Q1147" s="66">
        <f t="shared" si="70"/>
        <v>-0.59986882083333337</v>
      </c>
    </row>
    <row r="1148" spans="1:17">
      <c r="A1148" s="112" t="s">
        <v>626</v>
      </c>
      <c r="B1148" s="111" t="s">
        <v>1375</v>
      </c>
      <c r="C1148" s="111" t="s">
        <v>1376</v>
      </c>
      <c r="D1148" s="112" t="s">
        <v>1374</v>
      </c>
      <c r="E1148" s="111" t="s">
        <v>497</v>
      </c>
      <c r="F1148" s="112" t="s">
        <v>26</v>
      </c>
      <c r="G1148" s="111" t="s">
        <v>20</v>
      </c>
      <c r="H1148" s="111">
        <v>201608</v>
      </c>
      <c r="I1148" s="104">
        <v>62.31</v>
      </c>
      <c r="J1148" s="297">
        <f t="shared" si="71"/>
        <v>42675</v>
      </c>
      <c r="K1148" s="67">
        <f t="shared" si="72"/>
        <v>6</v>
      </c>
      <c r="L1148" s="127">
        <v>1.4833299999999999E-3</v>
      </c>
      <c r="M1148" s="104">
        <f t="shared" si="73"/>
        <v>0.55455775380000005</v>
      </c>
      <c r="O1148" s="66"/>
      <c r="Q1148" s="66">
        <f t="shared" si="70"/>
        <v>1.0308280812500001</v>
      </c>
    </row>
    <row r="1149" spans="1:17">
      <c r="A1149" s="112" t="s">
        <v>626</v>
      </c>
      <c r="B1149" s="111" t="s">
        <v>1444</v>
      </c>
      <c r="C1149" s="111" t="s">
        <v>1445</v>
      </c>
      <c r="D1149" s="112" t="s">
        <v>1282</v>
      </c>
      <c r="E1149" s="111" t="s">
        <v>164</v>
      </c>
      <c r="F1149" s="112" t="s">
        <v>1600</v>
      </c>
      <c r="G1149" s="111" t="s">
        <v>20</v>
      </c>
      <c r="H1149" s="111">
        <v>201608</v>
      </c>
      <c r="I1149" s="104">
        <v>-44.74</v>
      </c>
      <c r="J1149" s="297">
        <f t="shared" si="71"/>
        <v>42675</v>
      </c>
      <c r="K1149" s="67">
        <f t="shared" si="72"/>
        <v>6</v>
      </c>
      <c r="L1149" s="127">
        <v>1.4833299999999999E-3</v>
      </c>
      <c r="M1149" s="104">
        <f t="shared" si="73"/>
        <v>-0.3981851052</v>
      </c>
      <c r="O1149" s="66"/>
      <c r="Q1149" s="66">
        <f t="shared" si="70"/>
        <v>-0.74015805416666669</v>
      </c>
    </row>
    <row r="1150" spans="1:17">
      <c r="A1150" s="112" t="s">
        <v>626</v>
      </c>
      <c r="B1150" s="111" t="s">
        <v>1788</v>
      </c>
      <c r="C1150" s="111" t="s">
        <v>1789</v>
      </c>
      <c r="D1150" s="112" t="s">
        <v>1790</v>
      </c>
      <c r="E1150" s="111" t="s">
        <v>25</v>
      </c>
      <c r="F1150" s="112" t="s">
        <v>26</v>
      </c>
      <c r="G1150" s="111" t="s">
        <v>20</v>
      </c>
      <c r="H1150" s="111">
        <v>201608</v>
      </c>
      <c r="I1150" s="104">
        <v>11.33</v>
      </c>
      <c r="J1150" s="297">
        <f t="shared" si="71"/>
        <v>42675</v>
      </c>
      <c r="K1150" s="67">
        <f t="shared" si="72"/>
        <v>6</v>
      </c>
      <c r="L1150" s="127">
        <v>1.4833299999999999E-3</v>
      </c>
      <c r="M1150" s="104">
        <f t="shared" si="73"/>
        <v>0.1008367734</v>
      </c>
      <c r="O1150" s="66"/>
      <c r="Q1150" s="66">
        <f t="shared" si="70"/>
        <v>0.18743832708333333</v>
      </c>
    </row>
    <row r="1151" spans="1:17">
      <c r="A1151" s="112" t="s">
        <v>626</v>
      </c>
      <c r="B1151" s="111" t="s">
        <v>1791</v>
      </c>
      <c r="C1151" s="111" t="s">
        <v>1792</v>
      </c>
      <c r="D1151" s="112" t="s">
        <v>1793</v>
      </c>
      <c r="E1151" s="111" t="s">
        <v>75</v>
      </c>
      <c r="F1151" s="112" t="s">
        <v>1602</v>
      </c>
      <c r="G1151" s="111" t="s">
        <v>20</v>
      </c>
      <c r="H1151" s="111">
        <v>201608</v>
      </c>
      <c r="I1151" s="104">
        <v>630.02</v>
      </c>
      <c r="J1151" s="297">
        <f t="shared" si="71"/>
        <v>42675</v>
      </c>
      <c r="K1151" s="67">
        <f t="shared" si="72"/>
        <v>6</v>
      </c>
      <c r="L1151" s="127">
        <v>1.4833299999999999E-3</v>
      </c>
      <c r="M1151" s="104">
        <f t="shared" si="73"/>
        <v>5.6071653995999995</v>
      </c>
      <c r="O1151" s="66"/>
      <c r="Q1151" s="66">
        <f t="shared" si="70"/>
        <v>10.422762120833333</v>
      </c>
    </row>
    <row r="1152" spans="1:17">
      <c r="A1152" s="112" t="s">
        <v>626</v>
      </c>
      <c r="B1152" s="111" t="s">
        <v>1838</v>
      </c>
      <c r="C1152" s="111" t="s">
        <v>1839</v>
      </c>
      <c r="D1152" s="112" t="s">
        <v>1840</v>
      </c>
      <c r="E1152" s="111" t="s">
        <v>260</v>
      </c>
      <c r="F1152" s="112" t="s">
        <v>1608</v>
      </c>
      <c r="G1152" s="111" t="s">
        <v>20</v>
      </c>
      <c r="H1152" s="111">
        <v>201608</v>
      </c>
      <c r="I1152" s="104">
        <v>1767.78</v>
      </c>
      <c r="J1152" s="297">
        <f t="shared" si="71"/>
        <v>42675</v>
      </c>
      <c r="K1152" s="67">
        <f t="shared" si="72"/>
        <v>6</v>
      </c>
      <c r="L1152" s="127">
        <v>1.4833299999999999E-3</v>
      </c>
      <c r="M1152" s="104">
        <f t="shared" si="73"/>
        <v>15.733206644399999</v>
      </c>
      <c r="O1152" s="66"/>
      <c r="Q1152" s="66">
        <f t="shared" si="70"/>
        <v>29.245342087499999</v>
      </c>
    </row>
    <row r="1153" spans="1:17">
      <c r="A1153" s="352" t="s">
        <v>133</v>
      </c>
      <c r="B1153" s="353" t="s">
        <v>1876</v>
      </c>
      <c r="C1153" s="353" t="s">
        <v>1877</v>
      </c>
      <c r="D1153" s="352" t="s">
        <v>1878</v>
      </c>
      <c r="E1153" s="353" t="s">
        <v>75</v>
      </c>
      <c r="F1153" s="352" t="s">
        <v>1602</v>
      </c>
      <c r="G1153" s="353" t="s">
        <v>20</v>
      </c>
      <c r="H1153" s="353">
        <v>201608</v>
      </c>
      <c r="I1153" s="349">
        <v>0</v>
      </c>
      <c r="J1153" s="297">
        <f t="shared" si="71"/>
        <v>42675</v>
      </c>
      <c r="K1153" s="348">
        <f t="shared" si="72"/>
        <v>6</v>
      </c>
      <c r="L1153" s="354">
        <v>1.4833299999999999E-3</v>
      </c>
      <c r="M1153" s="349">
        <f t="shared" si="73"/>
        <v>0</v>
      </c>
      <c r="N1153" s="350"/>
      <c r="O1153" s="351"/>
      <c r="P1153" s="350"/>
      <c r="Q1153" s="66">
        <f t="shared" si="70"/>
        <v>0</v>
      </c>
    </row>
    <row r="1154" spans="1:17">
      <c r="A1154" s="112" t="s">
        <v>626</v>
      </c>
      <c r="B1154" s="111" t="s">
        <v>2039</v>
      </c>
      <c r="C1154" s="111" t="s">
        <v>2040</v>
      </c>
      <c r="D1154" s="112" t="s">
        <v>2041</v>
      </c>
      <c r="E1154" s="111" t="s">
        <v>497</v>
      </c>
      <c r="F1154" s="112" t="s">
        <v>26</v>
      </c>
      <c r="G1154" s="111" t="s">
        <v>20</v>
      </c>
      <c r="H1154" s="111">
        <v>201608</v>
      </c>
      <c r="I1154" s="104">
        <v>681</v>
      </c>
      <c r="J1154" s="297">
        <f t="shared" si="71"/>
        <v>42675</v>
      </c>
      <c r="K1154" s="67">
        <f t="shared" si="72"/>
        <v>6</v>
      </c>
      <c r="L1154" s="127">
        <v>1.4833299999999999E-3</v>
      </c>
      <c r="M1154" s="104">
        <f t="shared" si="73"/>
        <v>6.0608863800000004</v>
      </c>
      <c r="O1154" s="66"/>
      <c r="Q1154" s="66">
        <f t="shared" si="70"/>
        <v>11.266151875</v>
      </c>
    </row>
    <row r="1155" spans="1:17">
      <c r="A1155" s="112" t="s">
        <v>626</v>
      </c>
      <c r="B1155" s="111" t="s">
        <v>1879</v>
      </c>
      <c r="C1155" s="111" t="s">
        <v>1880</v>
      </c>
      <c r="D1155" s="112" t="s">
        <v>1273</v>
      </c>
      <c r="E1155" s="111" t="s">
        <v>75</v>
      </c>
      <c r="F1155" s="112" t="s">
        <v>1602</v>
      </c>
      <c r="G1155" s="111" t="s">
        <v>20</v>
      </c>
      <c r="H1155" s="111">
        <v>201608</v>
      </c>
      <c r="I1155" s="104">
        <v>184.38</v>
      </c>
      <c r="J1155" s="297">
        <f t="shared" si="71"/>
        <v>42675</v>
      </c>
      <c r="K1155" s="67">
        <f t="shared" si="72"/>
        <v>6</v>
      </c>
      <c r="L1155" s="127">
        <v>1.4833299999999999E-3</v>
      </c>
      <c r="M1155" s="104">
        <f t="shared" si="73"/>
        <v>1.6409783123999999</v>
      </c>
      <c r="O1155" s="66"/>
      <c r="Q1155" s="66">
        <f t="shared" si="70"/>
        <v>3.0502982125</v>
      </c>
    </row>
    <row r="1156" spans="1:17">
      <c r="A1156" s="112" t="s">
        <v>626</v>
      </c>
      <c r="B1156" s="111" t="s">
        <v>2042</v>
      </c>
      <c r="C1156" s="111" t="s">
        <v>2043</v>
      </c>
      <c r="D1156" s="112" t="s">
        <v>2044</v>
      </c>
      <c r="E1156" s="111" t="s">
        <v>497</v>
      </c>
      <c r="F1156" s="112" t="s">
        <v>26</v>
      </c>
      <c r="G1156" s="111" t="s">
        <v>20</v>
      </c>
      <c r="H1156" s="111">
        <v>201608</v>
      </c>
      <c r="I1156" s="104">
        <v>1060.55</v>
      </c>
      <c r="J1156" s="297">
        <f t="shared" si="71"/>
        <v>42675</v>
      </c>
      <c r="K1156" s="67">
        <f t="shared" si="72"/>
        <v>6</v>
      </c>
      <c r="L1156" s="127">
        <v>1.4833299999999999E-3</v>
      </c>
      <c r="M1156" s="104">
        <f t="shared" si="73"/>
        <v>9.4388737890000005</v>
      </c>
      <c r="O1156" s="66"/>
      <c r="Q1156" s="66">
        <f t="shared" si="70"/>
        <v>17.545253114583332</v>
      </c>
    </row>
    <row r="1157" spans="1:17">
      <c r="A1157" s="112" t="s">
        <v>626</v>
      </c>
      <c r="B1157" s="111" t="s">
        <v>1794</v>
      </c>
      <c r="C1157" s="111" t="s">
        <v>1795</v>
      </c>
      <c r="D1157" s="112" t="s">
        <v>1796</v>
      </c>
      <c r="E1157" s="111" t="s">
        <v>809</v>
      </c>
      <c r="F1157" s="112" t="s">
        <v>26</v>
      </c>
      <c r="G1157" s="111" t="s">
        <v>20</v>
      </c>
      <c r="H1157" s="111">
        <v>201608</v>
      </c>
      <c r="I1157" s="104">
        <v>709.12</v>
      </c>
      <c r="J1157" s="297">
        <f t="shared" si="71"/>
        <v>42675</v>
      </c>
      <c r="K1157" s="67">
        <f t="shared" si="72"/>
        <v>6</v>
      </c>
      <c r="L1157" s="127">
        <v>1.4833299999999999E-3</v>
      </c>
      <c r="M1157" s="104">
        <f t="shared" si="73"/>
        <v>6.3111538176000002</v>
      </c>
      <c r="O1157" s="66"/>
      <c r="Q1157" s="66">
        <f t="shared" si="70"/>
        <v>11.731356266666667</v>
      </c>
    </row>
    <row r="1158" spans="1:17">
      <c r="A1158" s="112" t="s">
        <v>626</v>
      </c>
      <c r="B1158" s="111" t="s">
        <v>1844</v>
      </c>
      <c r="C1158" s="111" t="s">
        <v>1845</v>
      </c>
      <c r="D1158" s="112" t="s">
        <v>1846</v>
      </c>
      <c r="E1158" s="111" t="s">
        <v>160</v>
      </c>
      <c r="F1158" s="112" t="s">
        <v>19</v>
      </c>
      <c r="G1158" s="111" t="s">
        <v>20</v>
      </c>
      <c r="H1158" s="111">
        <v>201608</v>
      </c>
      <c r="I1158" s="104">
        <v>321.45999999999998</v>
      </c>
      <c r="J1158" s="297">
        <f t="shared" si="71"/>
        <v>42675</v>
      </c>
      <c r="K1158" s="67">
        <f t="shared" si="72"/>
        <v>6</v>
      </c>
      <c r="L1158" s="127">
        <v>1.4833299999999999E-3</v>
      </c>
      <c r="M1158" s="104">
        <f t="shared" si="73"/>
        <v>2.8609875707999999</v>
      </c>
      <c r="O1158" s="66"/>
      <c r="Q1158" s="66">
        <f t="shared" ref="Q1158:Q1221" si="74">($Q$4*0.5*I1158*$T$10)</f>
        <v>5.318086904166667</v>
      </c>
    </row>
    <row r="1159" spans="1:17">
      <c r="A1159" s="112" t="s">
        <v>21</v>
      </c>
      <c r="B1159" s="111" t="s">
        <v>1727</v>
      </c>
      <c r="C1159" s="111" t="s">
        <v>1728</v>
      </c>
      <c r="D1159" s="112" t="s">
        <v>1729</v>
      </c>
      <c r="E1159" s="111" t="s">
        <v>75</v>
      </c>
      <c r="F1159" s="112" t="s">
        <v>1602</v>
      </c>
      <c r="G1159" s="111" t="s">
        <v>20</v>
      </c>
      <c r="H1159" s="111">
        <v>201608</v>
      </c>
      <c r="I1159" s="104">
        <v>80.17</v>
      </c>
      <c r="J1159" s="297">
        <f t="shared" ref="J1159:J1222" si="75">+J1158</f>
        <v>42675</v>
      </c>
      <c r="K1159" s="67">
        <f t="shared" si="72"/>
        <v>6</v>
      </c>
      <c r="L1159" s="127">
        <v>1.4833299999999999E-3</v>
      </c>
      <c r="M1159" s="104">
        <f t="shared" si="73"/>
        <v>0.71351139660000007</v>
      </c>
      <c r="O1159" s="66"/>
      <c r="Q1159" s="66">
        <f t="shared" si="74"/>
        <v>1.3262957354166667</v>
      </c>
    </row>
    <row r="1160" spans="1:17">
      <c r="A1160" s="112" t="s">
        <v>990</v>
      </c>
      <c r="B1160" s="111" t="s">
        <v>1730</v>
      </c>
      <c r="C1160" s="111" t="s">
        <v>1731</v>
      </c>
      <c r="D1160" s="112" t="s">
        <v>1732</v>
      </c>
      <c r="E1160" s="111" t="s">
        <v>1688</v>
      </c>
      <c r="F1160" s="112" t="s">
        <v>1689</v>
      </c>
      <c r="G1160" s="111" t="s">
        <v>20</v>
      </c>
      <c r="H1160" s="111">
        <v>201608</v>
      </c>
      <c r="I1160" s="104">
        <v>-3.6</v>
      </c>
      <c r="J1160" s="297">
        <f t="shared" si="75"/>
        <v>42675</v>
      </c>
      <c r="K1160" s="67">
        <f t="shared" si="72"/>
        <v>6</v>
      </c>
      <c r="L1160" s="313">
        <v>2.3833299999999999E-3</v>
      </c>
      <c r="M1160" s="104">
        <f t="shared" si="73"/>
        <v>-5.1479928000000001E-2</v>
      </c>
      <c r="O1160" s="66"/>
      <c r="Q1160" s="66">
        <f t="shared" si="74"/>
        <v>-5.9556749999999999E-2</v>
      </c>
    </row>
    <row r="1161" spans="1:17">
      <c r="A1161" s="112" t="s">
        <v>990</v>
      </c>
      <c r="B1161" s="111" t="s">
        <v>1733</v>
      </c>
      <c r="C1161" s="111" t="s">
        <v>1734</v>
      </c>
      <c r="D1161" s="112" t="s">
        <v>1735</v>
      </c>
      <c r="E1161" s="111" t="s">
        <v>1688</v>
      </c>
      <c r="F1161" s="112" t="s">
        <v>1689</v>
      </c>
      <c r="G1161" s="111" t="s">
        <v>20</v>
      </c>
      <c r="H1161" s="111">
        <v>201608</v>
      </c>
      <c r="I1161" s="104">
        <v>15.34</v>
      </c>
      <c r="J1161" s="297">
        <f t="shared" si="75"/>
        <v>42675</v>
      </c>
      <c r="K1161" s="67">
        <f t="shared" si="72"/>
        <v>6</v>
      </c>
      <c r="L1161" s="313">
        <v>2.3833299999999999E-3</v>
      </c>
      <c r="M1161" s="104">
        <f t="shared" si="73"/>
        <v>0.21936169320000001</v>
      </c>
      <c r="O1161" s="66"/>
      <c r="Q1161" s="66">
        <f t="shared" si="74"/>
        <v>0.25377792916666669</v>
      </c>
    </row>
    <row r="1162" spans="1:17">
      <c r="A1162" s="112" t="s">
        <v>626</v>
      </c>
      <c r="B1162" s="111" t="s">
        <v>1881</v>
      </c>
      <c r="C1162" s="111" t="s">
        <v>1882</v>
      </c>
      <c r="D1162" s="112" t="s">
        <v>1883</v>
      </c>
      <c r="E1162" s="111" t="s">
        <v>75</v>
      </c>
      <c r="F1162" s="112" t="s">
        <v>1602</v>
      </c>
      <c r="G1162" s="111" t="s">
        <v>20</v>
      </c>
      <c r="H1162" s="111">
        <v>201608</v>
      </c>
      <c r="I1162" s="104">
        <v>894.46</v>
      </c>
      <c r="J1162" s="297">
        <f t="shared" si="75"/>
        <v>42675</v>
      </c>
      <c r="K1162" s="67">
        <f t="shared" si="72"/>
        <v>6</v>
      </c>
      <c r="L1162" s="127">
        <v>1.4833299999999999E-3</v>
      </c>
      <c r="M1162" s="104">
        <f t="shared" si="73"/>
        <v>7.9606761108000006</v>
      </c>
      <c r="O1162" s="66"/>
      <c r="Q1162" s="66">
        <f t="shared" si="74"/>
        <v>14.797536279166668</v>
      </c>
    </row>
    <row r="1163" spans="1:17">
      <c r="A1163" s="112" t="s">
        <v>626</v>
      </c>
      <c r="B1163" s="111" t="s">
        <v>1496</v>
      </c>
      <c r="C1163" s="111" t="s">
        <v>1497</v>
      </c>
      <c r="D1163" s="112" t="s">
        <v>1498</v>
      </c>
      <c r="E1163" s="111" t="s">
        <v>164</v>
      </c>
      <c r="F1163" s="112" t="s">
        <v>1600</v>
      </c>
      <c r="G1163" s="111" t="s">
        <v>20</v>
      </c>
      <c r="H1163" s="111">
        <v>201608</v>
      </c>
      <c r="I1163" s="104">
        <v>-6.6</v>
      </c>
      <c r="J1163" s="297">
        <f t="shared" si="75"/>
        <v>42675</v>
      </c>
      <c r="K1163" s="67">
        <f t="shared" si="72"/>
        <v>6</v>
      </c>
      <c r="L1163" s="127">
        <v>1.4833299999999999E-3</v>
      </c>
      <c r="M1163" s="104">
        <f t="shared" si="73"/>
        <v>-5.8739867999999994E-2</v>
      </c>
      <c r="O1163" s="66"/>
      <c r="Q1163" s="66">
        <f t="shared" si="74"/>
        <v>-0.10918737499999999</v>
      </c>
    </row>
    <row r="1164" spans="1:17">
      <c r="A1164" s="112" t="s">
        <v>626</v>
      </c>
      <c r="B1164" s="111" t="s">
        <v>1884</v>
      </c>
      <c r="C1164" s="111" t="s">
        <v>1885</v>
      </c>
      <c r="D1164" s="112" t="s">
        <v>1886</v>
      </c>
      <c r="E1164" s="111" t="s">
        <v>75</v>
      </c>
      <c r="F1164" s="112" t="s">
        <v>1602</v>
      </c>
      <c r="G1164" s="111" t="s">
        <v>20</v>
      </c>
      <c r="H1164" s="111">
        <v>201608</v>
      </c>
      <c r="I1164" s="104">
        <v>63.46</v>
      </c>
      <c r="J1164" s="297">
        <f t="shared" si="75"/>
        <v>42675</v>
      </c>
      <c r="K1164" s="67">
        <f t="shared" si="72"/>
        <v>6</v>
      </c>
      <c r="L1164" s="127">
        <v>1.4833299999999999E-3</v>
      </c>
      <c r="M1164" s="104">
        <f t="shared" si="73"/>
        <v>0.56479273080000003</v>
      </c>
      <c r="O1164" s="66"/>
      <c r="Q1164" s="66">
        <f t="shared" si="74"/>
        <v>1.0498531541666667</v>
      </c>
    </row>
    <row r="1165" spans="1:17">
      <c r="A1165" s="112" t="s">
        <v>626</v>
      </c>
      <c r="B1165" s="111" t="s">
        <v>1736</v>
      </c>
      <c r="C1165" s="111" t="s">
        <v>1737</v>
      </c>
      <c r="D1165" s="112" t="s">
        <v>1738</v>
      </c>
      <c r="E1165" s="111" t="s">
        <v>164</v>
      </c>
      <c r="F1165" s="112" t="s">
        <v>1600</v>
      </c>
      <c r="G1165" s="111" t="s">
        <v>20</v>
      </c>
      <c r="H1165" s="111">
        <v>201608</v>
      </c>
      <c r="I1165" s="104">
        <v>191.14</v>
      </c>
      <c r="J1165" s="297">
        <f t="shared" si="75"/>
        <v>42675</v>
      </c>
      <c r="K1165" s="67">
        <f t="shared" si="72"/>
        <v>6</v>
      </c>
      <c r="L1165" s="127">
        <v>1.4833299999999999E-3</v>
      </c>
      <c r="M1165" s="104">
        <f t="shared" si="73"/>
        <v>1.7011421771999999</v>
      </c>
      <c r="O1165" s="66"/>
      <c r="Q1165" s="66">
        <f t="shared" si="74"/>
        <v>3.1621325541666665</v>
      </c>
    </row>
    <row r="1166" spans="1:17">
      <c r="A1166" s="112" t="s">
        <v>626</v>
      </c>
      <c r="B1166" s="111" t="s">
        <v>1847</v>
      </c>
      <c r="C1166" s="111" t="s">
        <v>1848</v>
      </c>
      <c r="D1166" s="112" t="s">
        <v>1849</v>
      </c>
      <c r="E1166" s="111" t="s">
        <v>63</v>
      </c>
      <c r="F1166" s="112" t="s">
        <v>19</v>
      </c>
      <c r="G1166" s="111" t="s">
        <v>20</v>
      </c>
      <c r="H1166" s="111">
        <v>201608</v>
      </c>
      <c r="I1166" s="104">
        <v>1.56</v>
      </c>
      <c r="J1166" s="297">
        <f t="shared" si="75"/>
        <v>42675</v>
      </c>
      <c r="K1166" s="67">
        <f t="shared" si="72"/>
        <v>6</v>
      </c>
      <c r="L1166" s="127">
        <v>1.4833299999999999E-3</v>
      </c>
      <c r="M1166" s="104">
        <f t="shared" si="73"/>
        <v>1.38839688E-2</v>
      </c>
      <c r="O1166" s="66"/>
      <c r="Q1166" s="66">
        <f t="shared" si="74"/>
        <v>2.5807924999999999E-2</v>
      </c>
    </row>
    <row r="1167" spans="1:17">
      <c r="A1167" s="112" t="s">
        <v>626</v>
      </c>
      <c r="B1167" s="111" t="s">
        <v>1594</v>
      </c>
      <c r="C1167" s="111" t="s">
        <v>1595</v>
      </c>
      <c r="D1167" s="112" t="s">
        <v>1596</v>
      </c>
      <c r="E1167" s="111" t="s">
        <v>87</v>
      </c>
      <c r="F1167" s="112" t="s">
        <v>1603</v>
      </c>
      <c r="G1167" s="111" t="s">
        <v>20</v>
      </c>
      <c r="H1167" s="111">
        <v>201608</v>
      </c>
      <c r="I1167" s="104">
        <v>1.46</v>
      </c>
      <c r="J1167" s="297">
        <f t="shared" si="75"/>
        <v>42675</v>
      </c>
      <c r="K1167" s="67">
        <f t="shared" si="72"/>
        <v>6</v>
      </c>
      <c r="L1167" s="127">
        <v>1.4833299999999999E-3</v>
      </c>
      <c r="M1167" s="104">
        <f t="shared" si="73"/>
        <v>1.2993970799999999E-2</v>
      </c>
      <c r="O1167" s="66"/>
      <c r="Q1167" s="66">
        <f t="shared" si="74"/>
        <v>2.4153570833333332E-2</v>
      </c>
    </row>
    <row r="1168" spans="1:17">
      <c r="A1168" s="112" t="s">
        <v>127</v>
      </c>
      <c r="B1168" s="111" t="s">
        <v>1773</v>
      </c>
      <c r="C1168" s="111" t="s">
        <v>1774</v>
      </c>
      <c r="D1168" s="112" t="s">
        <v>1775</v>
      </c>
      <c r="E1168" s="111" t="s">
        <v>209</v>
      </c>
      <c r="F1168" s="112" t="s">
        <v>1612</v>
      </c>
      <c r="G1168" s="111" t="s">
        <v>20</v>
      </c>
      <c r="H1168" s="111">
        <v>201608</v>
      </c>
      <c r="I1168" s="104">
        <v>-41.32</v>
      </c>
      <c r="J1168" s="297">
        <f t="shared" si="75"/>
        <v>42675</v>
      </c>
      <c r="K1168" s="67">
        <f t="shared" si="72"/>
        <v>6</v>
      </c>
      <c r="L1168" s="313">
        <v>2.3833299999999999E-3</v>
      </c>
      <c r="M1168" s="104">
        <f t="shared" si="73"/>
        <v>-0.59087517359999997</v>
      </c>
      <c r="O1168" s="66"/>
      <c r="Q1168" s="66">
        <f t="shared" si="74"/>
        <v>-0.68357914166666667</v>
      </c>
    </row>
    <row r="1169" spans="1:17">
      <c r="A1169" s="112" t="s">
        <v>626</v>
      </c>
      <c r="B1169" s="111" t="s">
        <v>1739</v>
      </c>
      <c r="C1169" s="111" t="s">
        <v>1740</v>
      </c>
      <c r="D1169" s="112" t="s">
        <v>1741</v>
      </c>
      <c r="E1169" s="111" t="s">
        <v>164</v>
      </c>
      <c r="F1169" s="112" t="s">
        <v>1600</v>
      </c>
      <c r="G1169" s="111" t="s">
        <v>20</v>
      </c>
      <c r="H1169" s="111">
        <v>201608</v>
      </c>
      <c r="I1169" s="104">
        <v>530.38</v>
      </c>
      <c r="J1169" s="297">
        <f t="shared" si="75"/>
        <v>42675</v>
      </c>
      <c r="K1169" s="67">
        <f t="shared" si="72"/>
        <v>6</v>
      </c>
      <c r="L1169" s="127">
        <v>1.4833299999999999E-3</v>
      </c>
      <c r="M1169" s="104">
        <f t="shared" si="73"/>
        <v>4.7203713923999997</v>
      </c>
      <c r="O1169" s="66"/>
      <c r="Q1169" s="66">
        <f t="shared" si="74"/>
        <v>8.7743636291666665</v>
      </c>
    </row>
    <row r="1170" spans="1:17">
      <c r="A1170" s="112" t="s">
        <v>626</v>
      </c>
      <c r="B1170" s="111" t="s">
        <v>1632</v>
      </c>
      <c r="C1170" s="111" t="s">
        <v>1633</v>
      </c>
      <c r="D1170" s="112" t="s">
        <v>1634</v>
      </c>
      <c r="E1170" s="111" t="s">
        <v>471</v>
      </c>
      <c r="F1170" s="112" t="s">
        <v>165</v>
      </c>
      <c r="G1170" s="111" t="s">
        <v>20</v>
      </c>
      <c r="H1170" s="111">
        <v>201608</v>
      </c>
      <c r="I1170" s="104">
        <v>7.67</v>
      </c>
      <c r="J1170" s="297">
        <f t="shared" si="75"/>
        <v>42675</v>
      </c>
      <c r="K1170" s="67">
        <f t="shared" si="72"/>
        <v>6</v>
      </c>
      <c r="L1170" s="127">
        <v>1.4833299999999999E-3</v>
      </c>
      <c r="M1170" s="104">
        <f t="shared" si="73"/>
        <v>6.8262846599999996E-2</v>
      </c>
      <c r="O1170" s="66"/>
      <c r="Q1170" s="66">
        <f t="shared" si="74"/>
        <v>0.12688896458333335</v>
      </c>
    </row>
    <row r="1171" spans="1:17">
      <c r="A1171" s="112" t="s">
        <v>21</v>
      </c>
      <c r="B1171" s="111" t="s">
        <v>1635</v>
      </c>
      <c r="C1171" s="111" t="s">
        <v>1636</v>
      </c>
      <c r="D1171" s="112" t="s">
        <v>1637</v>
      </c>
      <c r="E1171" s="111" t="s">
        <v>360</v>
      </c>
      <c r="F1171" s="112" t="s">
        <v>19</v>
      </c>
      <c r="G1171" s="111" t="s">
        <v>20</v>
      </c>
      <c r="H1171" s="111">
        <v>201608</v>
      </c>
      <c r="I1171" s="104">
        <v>3.24</v>
      </c>
      <c r="J1171" s="297">
        <f t="shared" si="75"/>
        <v>42675</v>
      </c>
      <c r="K1171" s="67">
        <f t="shared" si="72"/>
        <v>6</v>
      </c>
      <c r="L1171" s="127">
        <v>1.4833299999999999E-3</v>
      </c>
      <c r="M1171" s="104">
        <f t="shared" si="73"/>
        <v>2.8835935200000003E-2</v>
      </c>
      <c r="O1171" s="66"/>
      <c r="Q1171" s="66">
        <f t="shared" si="74"/>
        <v>5.3601075000000005E-2</v>
      </c>
    </row>
    <row r="1172" spans="1:17">
      <c r="A1172" s="112" t="s">
        <v>626</v>
      </c>
      <c r="B1172" s="111" t="s">
        <v>1797</v>
      </c>
      <c r="C1172" s="111" t="s">
        <v>1798</v>
      </c>
      <c r="D1172" s="112" t="s">
        <v>1799</v>
      </c>
      <c r="E1172" s="111" t="s">
        <v>164</v>
      </c>
      <c r="F1172" s="112" t="s">
        <v>1600</v>
      </c>
      <c r="G1172" s="111" t="s">
        <v>20</v>
      </c>
      <c r="H1172" s="111">
        <v>201608</v>
      </c>
      <c r="I1172" s="104">
        <v>1977.04</v>
      </c>
      <c r="J1172" s="297">
        <f t="shared" si="75"/>
        <v>42675</v>
      </c>
      <c r="K1172" s="67">
        <f t="shared" si="72"/>
        <v>6</v>
      </c>
      <c r="L1172" s="127">
        <v>1.4833299999999999E-3</v>
      </c>
      <c r="M1172" s="104">
        <f t="shared" si="73"/>
        <v>17.595616459199999</v>
      </c>
      <c r="O1172" s="66"/>
      <c r="Q1172" s="66">
        <f t="shared" si="74"/>
        <v>32.707243616666666</v>
      </c>
    </row>
    <row r="1173" spans="1:17">
      <c r="A1173" s="112" t="s">
        <v>626</v>
      </c>
      <c r="B1173" s="111" t="s">
        <v>1890</v>
      </c>
      <c r="C1173" s="111" t="s">
        <v>1891</v>
      </c>
      <c r="D1173" s="112" t="s">
        <v>1495</v>
      </c>
      <c r="E1173" s="111" t="s">
        <v>75</v>
      </c>
      <c r="F1173" s="112" t="s">
        <v>1602</v>
      </c>
      <c r="G1173" s="111" t="s">
        <v>20</v>
      </c>
      <c r="H1173" s="111">
        <v>201608</v>
      </c>
      <c r="I1173" s="104">
        <v>273.89999999999998</v>
      </c>
      <c r="J1173" s="297">
        <f t="shared" si="75"/>
        <v>42675</v>
      </c>
      <c r="K1173" s="67">
        <f t="shared" si="72"/>
        <v>6</v>
      </c>
      <c r="L1173" s="127">
        <v>1.4833299999999999E-3</v>
      </c>
      <c r="M1173" s="104">
        <f t="shared" si="73"/>
        <v>2.4377045219999998</v>
      </c>
      <c r="O1173" s="66"/>
      <c r="Q1173" s="66">
        <f t="shared" si="74"/>
        <v>4.5312760624999999</v>
      </c>
    </row>
    <row r="1174" spans="1:17">
      <c r="A1174" s="112" t="s">
        <v>21</v>
      </c>
      <c r="B1174" s="111" t="s">
        <v>1956</v>
      </c>
      <c r="C1174" s="111" t="s">
        <v>1957</v>
      </c>
      <c r="D1174" s="112" t="s">
        <v>1958</v>
      </c>
      <c r="E1174" s="111" t="s">
        <v>75</v>
      </c>
      <c r="F1174" s="112" t="s">
        <v>1602</v>
      </c>
      <c r="G1174" s="111" t="s">
        <v>20</v>
      </c>
      <c r="H1174" s="111">
        <v>201608</v>
      </c>
      <c r="I1174" s="104">
        <v>19923.04</v>
      </c>
      <c r="J1174" s="297">
        <f t="shared" si="75"/>
        <v>42675</v>
      </c>
      <c r="K1174" s="67">
        <f t="shared" si="72"/>
        <v>6</v>
      </c>
      <c r="L1174" s="127">
        <v>1.4833299999999999E-3</v>
      </c>
      <c r="M1174" s="104">
        <f t="shared" si="73"/>
        <v>177.3146575392</v>
      </c>
      <c r="O1174" s="66"/>
      <c r="Q1174" s="66">
        <f t="shared" si="74"/>
        <v>329.59764236666666</v>
      </c>
    </row>
    <row r="1175" spans="1:17">
      <c r="A1175" s="112" t="s">
        <v>626</v>
      </c>
      <c r="B1175" s="111" t="s">
        <v>1892</v>
      </c>
      <c r="C1175" s="111" t="s">
        <v>1893</v>
      </c>
      <c r="D1175" s="112" t="s">
        <v>1894</v>
      </c>
      <c r="E1175" s="111" t="s">
        <v>75</v>
      </c>
      <c r="F1175" s="112" t="s">
        <v>1602</v>
      </c>
      <c r="G1175" s="111" t="s">
        <v>20</v>
      </c>
      <c r="H1175" s="111">
        <v>201608</v>
      </c>
      <c r="I1175" s="104">
        <v>504.45</v>
      </c>
      <c r="J1175" s="297">
        <f t="shared" si="75"/>
        <v>42675</v>
      </c>
      <c r="K1175" s="67">
        <f t="shared" si="72"/>
        <v>6</v>
      </c>
      <c r="L1175" s="127">
        <v>1.4833299999999999E-3</v>
      </c>
      <c r="M1175" s="104">
        <f t="shared" si="73"/>
        <v>4.4895949110000002</v>
      </c>
      <c r="O1175" s="66"/>
      <c r="Q1175" s="66">
        <f t="shared" si="74"/>
        <v>8.3453895937499993</v>
      </c>
    </row>
    <row r="1176" spans="1:17">
      <c r="A1176" s="112" t="s">
        <v>626</v>
      </c>
      <c r="B1176" s="111" t="s">
        <v>1959</v>
      </c>
      <c r="C1176" s="111" t="s">
        <v>1960</v>
      </c>
      <c r="D1176" s="112" t="s">
        <v>1495</v>
      </c>
      <c r="E1176" s="111" t="s">
        <v>75</v>
      </c>
      <c r="F1176" s="112" t="s">
        <v>1602</v>
      </c>
      <c r="G1176" s="111" t="s">
        <v>20</v>
      </c>
      <c r="H1176" s="111">
        <v>201608</v>
      </c>
      <c r="I1176" s="104">
        <v>265.41000000000003</v>
      </c>
      <c r="J1176" s="297">
        <f t="shared" si="75"/>
        <v>42675</v>
      </c>
      <c r="K1176" s="67">
        <f t="shared" si="72"/>
        <v>6</v>
      </c>
      <c r="L1176" s="127">
        <v>1.4833299999999999E-3</v>
      </c>
      <c r="M1176" s="104">
        <f t="shared" si="73"/>
        <v>2.3621436918000001</v>
      </c>
      <c r="O1176" s="66"/>
      <c r="Q1176" s="66">
        <f t="shared" si="74"/>
        <v>4.3908213937500005</v>
      </c>
    </row>
    <row r="1177" spans="1:17">
      <c r="A1177" s="112" t="s">
        <v>626</v>
      </c>
      <c r="B1177" s="111" t="s">
        <v>1898</v>
      </c>
      <c r="C1177" s="111" t="s">
        <v>1899</v>
      </c>
      <c r="D1177" s="112" t="s">
        <v>1900</v>
      </c>
      <c r="E1177" s="111" t="s">
        <v>75</v>
      </c>
      <c r="F1177" s="112" t="s">
        <v>1602</v>
      </c>
      <c r="G1177" s="111" t="s">
        <v>20</v>
      </c>
      <c r="H1177" s="111">
        <v>201608</v>
      </c>
      <c r="I1177" s="104">
        <v>319.07</v>
      </c>
      <c r="J1177" s="297">
        <f t="shared" si="75"/>
        <v>42675</v>
      </c>
      <c r="K1177" s="67">
        <f t="shared" si="72"/>
        <v>6</v>
      </c>
      <c r="L1177" s="127">
        <v>1.4833299999999999E-3</v>
      </c>
      <c r="M1177" s="104">
        <f t="shared" si="73"/>
        <v>2.8397166185999998</v>
      </c>
      <c r="O1177" s="66"/>
      <c r="Q1177" s="66">
        <f t="shared" si="74"/>
        <v>5.2785478395833332</v>
      </c>
    </row>
    <row r="1178" spans="1:17">
      <c r="A1178" s="112" t="s">
        <v>626</v>
      </c>
      <c r="B1178" s="111" t="s">
        <v>1901</v>
      </c>
      <c r="C1178" s="111" t="s">
        <v>1902</v>
      </c>
      <c r="D1178" s="112" t="s">
        <v>1903</v>
      </c>
      <c r="E1178" s="111" t="s">
        <v>75</v>
      </c>
      <c r="F1178" s="112" t="s">
        <v>1602</v>
      </c>
      <c r="G1178" s="111" t="s">
        <v>20</v>
      </c>
      <c r="H1178" s="111">
        <v>201608</v>
      </c>
      <c r="I1178" s="104">
        <v>1586.99</v>
      </c>
      <c r="J1178" s="297">
        <f t="shared" si="75"/>
        <v>42675</v>
      </c>
      <c r="K1178" s="67">
        <f t="shared" si="72"/>
        <v>6</v>
      </c>
      <c r="L1178" s="127">
        <v>1.4833299999999999E-3</v>
      </c>
      <c r="M1178" s="104">
        <f t="shared" si="73"/>
        <v>14.1241792602</v>
      </c>
      <c r="O1178" s="66"/>
      <c r="Q1178" s="66">
        <f t="shared" si="74"/>
        <v>26.254435189583333</v>
      </c>
    </row>
    <row r="1179" spans="1:17">
      <c r="A1179" s="112" t="s">
        <v>626</v>
      </c>
      <c r="B1179" s="111" t="s">
        <v>1693</v>
      </c>
      <c r="C1179" s="111" t="s">
        <v>1694</v>
      </c>
      <c r="D1179" s="112" t="s">
        <v>1695</v>
      </c>
      <c r="E1179" s="111" t="s">
        <v>809</v>
      </c>
      <c r="F1179" s="112" t="s">
        <v>26</v>
      </c>
      <c r="G1179" s="111" t="s">
        <v>20</v>
      </c>
      <c r="H1179" s="111">
        <v>201608</v>
      </c>
      <c r="I1179" s="104">
        <v>1743.29</v>
      </c>
      <c r="J1179" s="297">
        <f t="shared" si="75"/>
        <v>42675</v>
      </c>
      <c r="K1179" s="67">
        <f t="shared" si="72"/>
        <v>6</v>
      </c>
      <c r="L1179" s="127">
        <v>1.4833299999999999E-3</v>
      </c>
      <c r="M1179" s="104">
        <f t="shared" si="73"/>
        <v>15.5152461342</v>
      </c>
      <c r="O1179" s="66"/>
      <c r="Q1179" s="66">
        <f t="shared" si="74"/>
        <v>28.84019075208333</v>
      </c>
    </row>
    <row r="1180" spans="1:17">
      <c r="A1180" s="112" t="s">
        <v>626</v>
      </c>
      <c r="B1180" s="111" t="s">
        <v>1638</v>
      </c>
      <c r="C1180" s="111" t="s">
        <v>1639</v>
      </c>
      <c r="D1180" s="112" t="s">
        <v>1640</v>
      </c>
      <c r="E1180" s="111" t="s">
        <v>164</v>
      </c>
      <c r="F1180" s="112" t="s">
        <v>1600</v>
      </c>
      <c r="G1180" s="111" t="s">
        <v>20</v>
      </c>
      <c r="H1180" s="111">
        <v>201608</v>
      </c>
      <c r="I1180" s="104">
        <v>2.5</v>
      </c>
      <c r="J1180" s="297">
        <f t="shared" si="75"/>
        <v>42675</v>
      </c>
      <c r="K1180" s="67">
        <f t="shared" si="72"/>
        <v>6</v>
      </c>
      <c r="L1180" s="127">
        <v>1.4833299999999999E-3</v>
      </c>
      <c r="M1180" s="104">
        <f t="shared" si="73"/>
        <v>2.2249950000000001E-2</v>
      </c>
      <c r="O1180" s="66"/>
      <c r="Q1180" s="66">
        <f t="shared" si="74"/>
        <v>4.1358854166666667E-2</v>
      </c>
    </row>
    <row r="1181" spans="1:17">
      <c r="A1181" s="112" t="s">
        <v>626</v>
      </c>
      <c r="B1181" s="111" t="s">
        <v>1904</v>
      </c>
      <c r="C1181" s="111" t="s">
        <v>1905</v>
      </c>
      <c r="D1181" s="112" t="s">
        <v>1906</v>
      </c>
      <c r="E1181" s="111" t="s">
        <v>75</v>
      </c>
      <c r="F1181" s="112" t="s">
        <v>1602</v>
      </c>
      <c r="G1181" s="111" t="s">
        <v>20</v>
      </c>
      <c r="H1181" s="111">
        <v>201608</v>
      </c>
      <c r="I1181" s="104">
        <v>1315.21</v>
      </c>
      <c r="J1181" s="297">
        <f t="shared" si="75"/>
        <v>42675</v>
      </c>
      <c r="K1181" s="67">
        <f t="shared" si="72"/>
        <v>6</v>
      </c>
      <c r="L1181" s="127">
        <v>1.4833299999999999E-3</v>
      </c>
      <c r="M1181" s="104">
        <f t="shared" si="73"/>
        <v>11.705342695800001</v>
      </c>
      <c r="O1181" s="66"/>
      <c r="Q1181" s="66">
        <f t="shared" si="74"/>
        <v>21.758231435416665</v>
      </c>
    </row>
    <row r="1182" spans="1:17">
      <c r="A1182" s="112" t="s">
        <v>626</v>
      </c>
      <c r="B1182" s="111" t="s">
        <v>1742</v>
      </c>
      <c r="C1182" s="111" t="s">
        <v>1743</v>
      </c>
      <c r="D1182" s="112" t="s">
        <v>1744</v>
      </c>
      <c r="E1182" s="111" t="s">
        <v>497</v>
      </c>
      <c r="F1182" s="112" t="s">
        <v>26</v>
      </c>
      <c r="G1182" s="111" t="s">
        <v>20</v>
      </c>
      <c r="H1182" s="111">
        <v>201608</v>
      </c>
      <c r="I1182" s="104">
        <v>61.79</v>
      </c>
      <c r="J1182" s="297">
        <f t="shared" si="75"/>
        <v>42675</v>
      </c>
      <c r="K1182" s="67">
        <f t="shared" si="72"/>
        <v>6</v>
      </c>
      <c r="L1182" s="127">
        <v>1.4833299999999999E-3</v>
      </c>
      <c r="M1182" s="104">
        <f t="shared" si="73"/>
        <v>0.54992976419999995</v>
      </c>
      <c r="O1182" s="66"/>
      <c r="Q1182" s="66">
        <f t="shared" si="74"/>
        <v>1.0222254395833332</v>
      </c>
    </row>
    <row r="1183" spans="1:17">
      <c r="A1183" s="112" t="s">
        <v>21</v>
      </c>
      <c r="B1183" s="111" t="s">
        <v>1745</v>
      </c>
      <c r="C1183" s="111" t="s">
        <v>1746</v>
      </c>
      <c r="D1183" s="112" t="s">
        <v>1747</v>
      </c>
      <c r="E1183" s="111" t="s">
        <v>497</v>
      </c>
      <c r="F1183" s="112" t="s">
        <v>26</v>
      </c>
      <c r="G1183" s="111" t="s">
        <v>20</v>
      </c>
      <c r="H1183" s="111">
        <v>201608</v>
      </c>
      <c r="I1183" s="104">
        <v>23.45</v>
      </c>
      <c r="J1183" s="297">
        <f t="shared" si="75"/>
        <v>42675</v>
      </c>
      <c r="K1183" s="67">
        <f t="shared" si="72"/>
        <v>6</v>
      </c>
      <c r="L1183" s="127">
        <v>1.4833299999999999E-3</v>
      </c>
      <c r="M1183" s="104">
        <f t="shared" si="73"/>
        <v>0.208704531</v>
      </c>
      <c r="O1183" s="66"/>
      <c r="Q1183" s="66">
        <f t="shared" si="74"/>
        <v>0.38794605208333333</v>
      </c>
    </row>
    <row r="1184" spans="1:17">
      <c r="A1184" s="112" t="s">
        <v>626</v>
      </c>
      <c r="B1184" s="111" t="s">
        <v>1745</v>
      </c>
      <c r="C1184" s="111" t="s">
        <v>1746</v>
      </c>
      <c r="D1184" s="112" t="s">
        <v>1747</v>
      </c>
      <c r="E1184" s="111" t="s">
        <v>497</v>
      </c>
      <c r="F1184" s="112" t="s">
        <v>26</v>
      </c>
      <c r="G1184" s="111" t="s">
        <v>20</v>
      </c>
      <c r="H1184" s="111">
        <v>201608</v>
      </c>
      <c r="I1184" s="104">
        <v>284.61</v>
      </c>
      <c r="J1184" s="297">
        <f t="shared" si="75"/>
        <v>42675</v>
      </c>
      <c r="K1184" s="67">
        <f t="shared" si="72"/>
        <v>6</v>
      </c>
      <c r="L1184" s="127">
        <v>1.4833299999999999E-3</v>
      </c>
      <c r="M1184" s="104">
        <f t="shared" si="73"/>
        <v>2.5330233078000002</v>
      </c>
      <c r="O1184" s="66"/>
      <c r="Q1184" s="66">
        <f t="shared" si="74"/>
        <v>4.7084573937499998</v>
      </c>
    </row>
    <row r="1185" spans="1:17">
      <c r="A1185" s="112" t="s">
        <v>626</v>
      </c>
      <c r="B1185" s="111" t="s">
        <v>1800</v>
      </c>
      <c r="C1185" s="111" t="s">
        <v>1801</v>
      </c>
      <c r="D1185" s="112" t="s">
        <v>1802</v>
      </c>
      <c r="E1185" s="111" t="s">
        <v>75</v>
      </c>
      <c r="F1185" s="112" t="s">
        <v>1602</v>
      </c>
      <c r="G1185" s="111" t="s">
        <v>20</v>
      </c>
      <c r="H1185" s="111">
        <v>201608</v>
      </c>
      <c r="I1185" s="104">
        <v>8033.33</v>
      </c>
      <c r="J1185" s="297">
        <f t="shared" si="75"/>
        <v>42675</v>
      </c>
      <c r="K1185" s="67">
        <f t="shared" si="72"/>
        <v>6</v>
      </c>
      <c r="L1185" s="127">
        <v>1.4833299999999999E-3</v>
      </c>
      <c r="M1185" s="104">
        <f t="shared" si="73"/>
        <v>71.496476333399997</v>
      </c>
      <c r="O1185" s="66"/>
      <c r="Q1185" s="66">
        <f t="shared" si="74"/>
        <v>132.89972957708332</v>
      </c>
    </row>
    <row r="1186" spans="1:17">
      <c r="A1186" s="112" t="s">
        <v>626</v>
      </c>
      <c r="B1186" s="111" t="s">
        <v>2045</v>
      </c>
      <c r="C1186" s="111" t="s">
        <v>2046</v>
      </c>
      <c r="D1186" s="112" t="s">
        <v>2047</v>
      </c>
      <c r="E1186" s="111" t="s">
        <v>75</v>
      </c>
      <c r="F1186" s="112" t="s">
        <v>1602</v>
      </c>
      <c r="G1186" s="111" t="s">
        <v>20</v>
      </c>
      <c r="H1186" s="111">
        <v>201608</v>
      </c>
      <c r="I1186" s="104">
        <v>1566.28</v>
      </c>
      <c r="J1186" s="297">
        <f t="shared" si="75"/>
        <v>42675</v>
      </c>
      <c r="K1186" s="67">
        <f t="shared" si="72"/>
        <v>6</v>
      </c>
      <c r="L1186" s="127">
        <v>1.4833299999999999E-3</v>
      </c>
      <c r="M1186" s="104">
        <f t="shared" si="73"/>
        <v>13.9398606744</v>
      </c>
      <c r="O1186" s="66"/>
      <c r="Q1186" s="66">
        <f t="shared" si="74"/>
        <v>25.911818441666668</v>
      </c>
    </row>
    <row r="1187" spans="1:17">
      <c r="A1187" s="112" t="s">
        <v>626</v>
      </c>
      <c r="B1187" s="111" t="s">
        <v>1961</v>
      </c>
      <c r="C1187" s="111" t="s">
        <v>1962</v>
      </c>
      <c r="D1187" s="112" t="s">
        <v>1963</v>
      </c>
      <c r="E1187" s="111" t="s">
        <v>75</v>
      </c>
      <c r="F1187" s="112" t="s">
        <v>1602</v>
      </c>
      <c r="G1187" s="111" t="s">
        <v>20</v>
      </c>
      <c r="H1187" s="111">
        <v>201608</v>
      </c>
      <c r="I1187" s="104">
        <v>1623.41</v>
      </c>
      <c r="J1187" s="297">
        <f t="shared" si="75"/>
        <v>42675</v>
      </c>
      <c r="K1187" s="67">
        <f t="shared" si="72"/>
        <v>6</v>
      </c>
      <c r="L1187" s="127">
        <v>1.4833299999999999E-3</v>
      </c>
      <c r="M1187" s="104">
        <f t="shared" si="73"/>
        <v>14.448316531800002</v>
      </c>
      <c r="O1187" s="66"/>
      <c r="Q1187" s="66">
        <f t="shared" si="74"/>
        <v>26.856950977083336</v>
      </c>
    </row>
    <row r="1188" spans="1:17">
      <c r="A1188" s="112" t="s">
        <v>626</v>
      </c>
      <c r="B1188" s="111" t="s">
        <v>1907</v>
      </c>
      <c r="C1188" s="111" t="s">
        <v>1908</v>
      </c>
      <c r="D1188" s="112" t="s">
        <v>1909</v>
      </c>
      <c r="E1188" s="111" t="s">
        <v>75</v>
      </c>
      <c r="F1188" s="112" t="s">
        <v>1602</v>
      </c>
      <c r="G1188" s="111" t="s">
        <v>20</v>
      </c>
      <c r="H1188" s="111">
        <v>201608</v>
      </c>
      <c r="I1188" s="104">
        <v>938.25</v>
      </c>
      <c r="J1188" s="297">
        <f t="shared" si="75"/>
        <v>42675</v>
      </c>
      <c r="K1188" s="67">
        <f t="shared" si="72"/>
        <v>6</v>
      </c>
      <c r="L1188" s="127">
        <v>1.4833299999999999E-3</v>
      </c>
      <c r="M1188" s="104">
        <f t="shared" si="73"/>
        <v>8.3504062349999995</v>
      </c>
      <c r="O1188" s="66"/>
      <c r="Q1188" s="66">
        <f t="shared" si="74"/>
        <v>15.521977968750001</v>
      </c>
    </row>
    <row r="1189" spans="1:17">
      <c r="A1189" s="112" t="s">
        <v>626</v>
      </c>
      <c r="B1189" s="111" t="s">
        <v>1803</v>
      </c>
      <c r="C1189" s="111" t="s">
        <v>1804</v>
      </c>
      <c r="D1189" s="112" t="s">
        <v>1805</v>
      </c>
      <c r="E1189" s="111" t="s">
        <v>164</v>
      </c>
      <c r="F1189" s="112" t="s">
        <v>1600</v>
      </c>
      <c r="G1189" s="111" t="s">
        <v>20</v>
      </c>
      <c r="H1189" s="111">
        <v>201608</v>
      </c>
      <c r="I1189" s="104">
        <v>2377.77</v>
      </c>
      <c r="J1189" s="297">
        <f t="shared" si="75"/>
        <v>42675</v>
      </c>
      <c r="K1189" s="67">
        <f t="shared" si="72"/>
        <v>6</v>
      </c>
      <c r="L1189" s="127">
        <v>1.4833299999999999E-3</v>
      </c>
      <c r="M1189" s="104">
        <f t="shared" si="73"/>
        <v>21.162105444600002</v>
      </c>
      <c r="O1189" s="66"/>
      <c r="Q1189" s="66">
        <f t="shared" si="74"/>
        <v>39.336737068750004</v>
      </c>
    </row>
    <row r="1190" spans="1:17">
      <c r="A1190" s="112" t="s">
        <v>626</v>
      </c>
      <c r="B1190" s="111" t="s">
        <v>1748</v>
      </c>
      <c r="C1190" s="111" t="s">
        <v>1749</v>
      </c>
      <c r="D1190" s="112" t="s">
        <v>1750</v>
      </c>
      <c r="E1190" s="111" t="s">
        <v>75</v>
      </c>
      <c r="F1190" s="112" t="s">
        <v>1602</v>
      </c>
      <c r="G1190" s="111" t="s">
        <v>20</v>
      </c>
      <c r="H1190" s="111">
        <v>201608</v>
      </c>
      <c r="I1190" s="104">
        <v>2930.87</v>
      </c>
      <c r="J1190" s="297">
        <f t="shared" si="75"/>
        <v>42675</v>
      </c>
      <c r="K1190" s="67">
        <f t="shared" ref="K1190:K1253" si="76">((YEAR($K$1)-YEAR(J1190))*12+MONTH($K$1)-MONTH(J1190))</f>
        <v>6</v>
      </c>
      <c r="L1190" s="127">
        <v>1.4833299999999999E-3</v>
      </c>
      <c r="M1190" s="104">
        <f t="shared" ref="M1190:M1253" si="77">L1190*K1190*I1190</f>
        <v>26.084684382599999</v>
      </c>
      <c r="O1190" s="66"/>
      <c r="Q1190" s="66">
        <f t="shared" si="74"/>
        <v>48.486969964583331</v>
      </c>
    </row>
    <row r="1191" spans="1:17">
      <c r="A1191" s="112" t="s">
        <v>626</v>
      </c>
      <c r="B1191" s="111" t="s">
        <v>1910</v>
      </c>
      <c r="C1191" s="111" t="s">
        <v>1911</v>
      </c>
      <c r="D1191" s="112" t="s">
        <v>1912</v>
      </c>
      <c r="E1191" s="111" t="s">
        <v>75</v>
      </c>
      <c r="F1191" s="112" t="s">
        <v>1602</v>
      </c>
      <c r="G1191" s="111" t="s">
        <v>20</v>
      </c>
      <c r="H1191" s="111">
        <v>201608</v>
      </c>
      <c r="I1191" s="104">
        <v>821.64</v>
      </c>
      <c r="J1191" s="297">
        <f t="shared" si="75"/>
        <v>42675</v>
      </c>
      <c r="K1191" s="67">
        <f t="shared" si="76"/>
        <v>6</v>
      </c>
      <c r="L1191" s="127">
        <v>1.4833299999999999E-3</v>
      </c>
      <c r="M1191" s="104">
        <f t="shared" si="77"/>
        <v>7.3125795672000002</v>
      </c>
      <c r="O1191" s="66"/>
      <c r="Q1191" s="66">
        <f t="shared" si="74"/>
        <v>13.592835575000001</v>
      </c>
    </row>
    <row r="1192" spans="1:17">
      <c r="A1192" s="112" t="s">
        <v>626</v>
      </c>
      <c r="B1192" s="111" t="s">
        <v>1913</v>
      </c>
      <c r="C1192" s="111" t="s">
        <v>1914</v>
      </c>
      <c r="D1192" s="112" t="s">
        <v>1915</v>
      </c>
      <c r="E1192" s="111" t="s">
        <v>75</v>
      </c>
      <c r="F1192" s="112" t="s">
        <v>1602</v>
      </c>
      <c r="G1192" s="111" t="s">
        <v>20</v>
      </c>
      <c r="H1192" s="111">
        <v>201608</v>
      </c>
      <c r="I1192" s="104">
        <v>235.46</v>
      </c>
      <c r="J1192" s="297">
        <f t="shared" si="75"/>
        <v>42675</v>
      </c>
      <c r="K1192" s="67">
        <f t="shared" si="76"/>
        <v>6</v>
      </c>
      <c r="L1192" s="127">
        <v>1.4833299999999999E-3</v>
      </c>
      <c r="M1192" s="104">
        <f t="shared" si="77"/>
        <v>2.0955892908</v>
      </c>
      <c r="O1192" s="66"/>
      <c r="Q1192" s="66">
        <f t="shared" si="74"/>
        <v>3.8953423208333335</v>
      </c>
    </row>
    <row r="1193" spans="1:17">
      <c r="A1193" s="112" t="s">
        <v>626</v>
      </c>
      <c r="B1193" s="111" t="s">
        <v>2048</v>
      </c>
      <c r="C1193" s="111" t="s">
        <v>2049</v>
      </c>
      <c r="D1193" s="112" t="s">
        <v>2050</v>
      </c>
      <c r="E1193" s="111" t="s">
        <v>75</v>
      </c>
      <c r="F1193" s="112" t="s">
        <v>1602</v>
      </c>
      <c r="G1193" s="111" t="s">
        <v>20</v>
      </c>
      <c r="H1193" s="111">
        <v>201608</v>
      </c>
      <c r="I1193" s="104">
        <v>11331</v>
      </c>
      <c r="J1193" s="297">
        <f t="shared" si="75"/>
        <v>42675</v>
      </c>
      <c r="K1193" s="67">
        <f t="shared" si="76"/>
        <v>6</v>
      </c>
      <c r="L1193" s="127">
        <v>1.4833299999999999E-3</v>
      </c>
      <c r="M1193" s="104">
        <f t="shared" si="77"/>
        <v>100.84567337999999</v>
      </c>
      <c r="O1193" s="66"/>
      <c r="Q1193" s="66">
        <f t="shared" si="74"/>
        <v>187.45487062500001</v>
      </c>
    </row>
    <row r="1194" spans="1:17">
      <c r="A1194" s="112" t="s">
        <v>626</v>
      </c>
      <c r="B1194" s="111" t="s">
        <v>1916</v>
      </c>
      <c r="C1194" s="111" t="s">
        <v>1917</v>
      </c>
      <c r="D1194" s="112" t="s">
        <v>1273</v>
      </c>
      <c r="E1194" s="111" t="s">
        <v>75</v>
      </c>
      <c r="F1194" s="112" t="s">
        <v>1602</v>
      </c>
      <c r="G1194" s="111" t="s">
        <v>20</v>
      </c>
      <c r="H1194" s="111">
        <v>201608</v>
      </c>
      <c r="I1194" s="104">
        <v>551.51</v>
      </c>
      <c r="J1194" s="297">
        <f t="shared" si="75"/>
        <v>42675</v>
      </c>
      <c r="K1194" s="67">
        <f t="shared" si="76"/>
        <v>6</v>
      </c>
      <c r="L1194" s="127">
        <v>1.4833299999999999E-3</v>
      </c>
      <c r="M1194" s="104">
        <f t="shared" si="77"/>
        <v>4.9084279698</v>
      </c>
      <c r="O1194" s="66"/>
      <c r="Q1194" s="66">
        <f t="shared" si="74"/>
        <v>9.1239286645833335</v>
      </c>
    </row>
    <row r="1195" spans="1:17">
      <c r="A1195" s="112" t="s">
        <v>626</v>
      </c>
      <c r="B1195" s="111" t="s">
        <v>1776</v>
      </c>
      <c r="C1195" s="111" t="s">
        <v>1777</v>
      </c>
      <c r="D1195" s="112" t="s">
        <v>1778</v>
      </c>
      <c r="E1195" s="111" t="s">
        <v>452</v>
      </c>
      <c r="F1195" s="112" t="s">
        <v>398</v>
      </c>
      <c r="G1195" s="111" t="s">
        <v>20</v>
      </c>
      <c r="H1195" s="111">
        <v>201608</v>
      </c>
      <c r="I1195" s="104">
        <v>36.08</v>
      </c>
      <c r="J1195" s="297">
        <f t="shared" si="75"/>
        <v>42675</v>
      </c>
      <c r="K1195" s="67">
        <f t="shared" si="76"/>
        <v>6</v>
      </c>
      <c r="L1195" s="127">
        <v>1.4833299999999999E-3</v>
      </c>
      <c r="M1195" s="104">
        <f t="shared" si="77"/>
        <v>0.32111127839999998</v>
      </c>
      <c r="O1195" s="66"/>
      <c r="Q1195" s="66">
        <f t="shared" si="74"/>
        <v>0.59689098333333335</v>
      </c>
    </row>
    <row r="1196" spans="1:17">
      <c r="A1196" s="112" t="s">
        <v>626</v>
      </c>
      <c r="B1196" s="111" t="s">
        <v>1806</v>
      </c>
      <c r="C1196" s="111" t="s">
        <v>1807</v>
      </c>
      <c r="D1196" s="112" t="s">
        <v>1808</v>
      </c>
      <c r="E1196" s="111" t="s">
        <v>75</v>
      </c>
      <c r="F1196" s="112" t="s">
        <v>1602</v>
      </c>
      <c r="G1196" s="111" t="s">
        <v>20</v>
      </c>
      <c r="H1196" s="111">
        <v>201608</v>
      </c>
      <c r="I1196" s="104">
        <v>132.63999999999999</v>
      </c>
      <c r="J1196" s="297">
        <f t="shared" si="75"/>
        <v>42675</v>
      </c>
      <c r="K1196" s="67">
        <f t="shared" si="76"/>
        <v>6</v>
      </c>
      <c r="L1196" s="127">
        <v>1.4833299999999999E-3</v>
      </c>
      <c r="M1196" s="104">
        <f t="shared" si="77"/>
        <v>1.1804933471999999</v>
      </c>
      <c r="O1196" s="66"/>
      <c r="Q1196" s="66">
        <f t="shared" si="74"/>
        <v>2.1943353666666665</v>
      </c>
    </row>
    <row r="1197" spans="1:17">
      <c r="A1197" s="112" t="s">
        <v>626</v>
      </c>
      <c r="B1197" s="111" t="s">
        <v>1918</v>
      </c>
      <c r="C1197" s="111" t="s">
        <v>1919</v>
      </c>
      <c r="D1197" s="112" t="s">
        <v>1920</v>
      </c>
      <c r="E1197" s="111" t="s">
        <v>75</v>
      </c>
      <c r="F1197" s="112" t="s">
        <v>1602</v>
      </c>
      <c r="G1197" s="111" t="s">
        <v>20</v>
      </c>
      <c r="H1197" s="111">
        <v>201608</v>
      </c>
      <c r="I1197" s="104">
        <v>174.16</v>
      </c>
      <c r="J1197" s="297">
        <f t="shared" si="75"/>
        <v>42675</v>
      </c>
      <c r="K1197" s="67">
        <f t="shared" si="76"/>
        <v>6</v>
      </c>
      <c r="L1197" s="127">
        <v>1.4833299999999999E-3</v>
      </c>
      <c r="M1197" s="104">
        <f t="shared" si="77"/>
        <v>1.5500205168000001</v>
      </c>
      <c r="O1197" s="66"/>
      <c r="Q1197" s="66">
        <f t="shared" si="74"/>
        <v>2.8812232166666667</v>
      </c>
    </row>
    <row r="1198" spans="1:17">
      <c r="A1198" s="112" t="s">
        <v>626</v>
      </c>
      <c r="B1198" s="111" t="s">
        <v>2051</v>
      </c>
      <c r="C1198" s="111" t="s">
        <v>2052</v>
      </c>
      <c r="D1198" s="112" t="s">
        <v>2053</v>
      </c>
      <c r="E1198" s="111" t="s">
        <v>75</v>
      </c>
      <c r="F1198" s="112" t="s">
        <v>1602</v>
      </c>
      <c r="G1198" s="111" t="s">
        <v>20</v>
      </c>
      <c r="H1198" s="111">
        <v>201608</v>
      </c>
      <c r="I1198" s="104">
        <v>12651.2</v>
      </c>
      <c r="J1198" s="297">
        <f t="shared" si="75"/>
        <v>42675</v>
      </c>
      <c r="K1198" s="67">
        <f t="shared" si="76"/>
        <v>6</v>
      </c>
      <c r="L1198" s="127">
        <v>1.4833299999999999E-3</v>
      </c>
      <c r="M1198" s="104">
        <f t="shared" si="77"/>
        <v>112.59542697600001</v>
      </c>
      <c r="O1198" s="66"/>
      <c r="Q1198" s="66">
        <f t="shared" si="74"/>
        <v>209.29565433333335</v>
      </c>
    </row>
    <row r="1199" spans="1:17">
      <c r="A1199" s="112" t="s">
        <v>626</v>
      </c>
      <c r="B1199" s="111" t="s">
        <v>1921</v>
      </c>
      <c r="C1199" s="111" t="s">
        <v>1922</v>
      </c>
      <c r="D1199" s="112" t="s">
        <v>1923</v>
      </c>
      <c r="E1199" s="111" t="s">
        <v>156</v>
      </c>
      <c r="F1199" s="112" t="s">
        <v>26</v>
      </c>
      <c r="G1199" s="111" t="s">
        <v>20</v>
      </c>
      <c r="H1199" s="111">
        <v>201608</v>
      </c>
      <c r="I1199" s="104">
        <v>1408.66</v>
      </c>
      <c r="J1199" s="297">
        <f t="shared" si="75"/>
        <v>42675</v>
      </c>
      <c r="K1199" s="67">
        <f t="shared" si="76"/>
        <v>6</v>
      </c>
      <c r="L1199" s="127">
        <v>1.4833299999999999E-3</v>
      </c>
      <c r="M1199" s="104">
        <f t="shared" si="77"/>
        <v>12.5370458268</v>
      </c>
      <c r="O1199" s="66"/>
      <c r="Q1199" s="66">
        <f t="shared" si="74"/>
        <v>23.304225404166669</v>
      </c>
    </row>
    <row r="1200" spans="1:17">
      <c r="A1200" s="112" t="s">
        <v>626</v>
      </c>
      <c r="B1200" s="111" t="s">
        <v>2115</v>
      </c>
      <c r="C1200" s="111" t="s">
        <v>2116</v>
      </c>
      <c r="D1200" s="112" t="s">
        <v>1338</v>
      </c>
      <c r="E1200" s="111" t="s">
        <v>75</v>
      </c>
      <c r="F1200" s="112" t="s">
        <v>1602</v>
      </c>
      <c r="G1200" s="111" t="s">
        <v>20</v>
      </c>
      <c r="H1200" s="111">
        <v>201608</v>
      </c>
      <c r="I1200" s="104">
        <v>862.91</v>
      </c>
      <c r="J1200" s="297">
        <f t="shared" si="75"/>
        <v>42675</v>
      </c>
      <c r="K1200" s="67">
        <f t="shared" si="76"/>
        <v>6</v>
      </c>
      <c r="L1200" s="127">
        <v>1.4833299999999999E-3</v>
      </c>
      <c r="M1200" s="104">
        <f t="shared" si="77"/>
        <v>7.6798817418000001</v>
      </c>
      <c r="O1200" s="66"/>
      <c r="Q1200" s="66">
        <f t="shared" si="74"/>
        <v>14.275587539583334</v>
      </c>
    </row>
    <row r="1201" spans="1:17">
      <c r="A1201" s="112" t="s">
        <v>21</v>
      </c>
      <c r="B1201" s="111" t="s">
        <v>1664</v>
      </c>
      <c r="C1201" s="111" t="s">
        <v>1665</v>
      </c>
      <c r="D1201" s="112" t="s">
        <v>1666</v>
      </c>
      <c r="E1201" s="111" t="s">
        <v>87</v>
      </c>
      <c r="F1201" s="112" t="s">
        <v>1603</v>
      </c>
      <c r="G1201" s="111" t="s">
        <v>20</v>
      </c>
      <c r="H1201" s="111">
        <v>201608</v>
      </c>
      <c r="I1201" s="104">
        <v>-18.190000000000001</v>
      </c>
      <c r="J1201" s="297">
        <f t="shared" si="75"/>
        <v>42675</v>
      </c>
      <c r="K1201" s="67">
        <f t="shared" si="76"/>
        <v>6</v>
      </c>
      <c r="L1201" s="127">
        <v>1.4833299999999999E-3</v>
      </c>
      <c r="M1201" s="104">
        <f t="shared" si="77"/>
        <v>-0.16189063620000002</v>
      </c>
      <c r="O1201" s="66"/>
      <c r="Q1201" s="66">
        <f t="shared" si="74"/>
        <v>-0.30092702291666668</v>
      </c>
    </row>
    <row r="1202" spans="1:17">
      <c r="A1202" s="112" t="s">
        <v>990</v>
      </c>
      <c r="B1202" s="111" t="s">
        <v>1751</v>
      </c>
      <c r="C1202" s="111" t="s">
        <v>1752</v>
      </c>
      <c r="D1202" s="112" t="s">
        <v>1753</v>
      </c>
      <c r="E1202" s="111" t="s">
        <v>1688</v>
      </c>
      <c r="F1202" s="112" t="s">
        <v>1689</v>
      </c>
      <c r="G1202" s="111" t="s">
        <v>20</v>
      </c>
      <c r="H1202" s="111">
        <v>201608</v>
      </c>
      <c r="I1202" s="104">
        <v>15.34</v>
      </c>
      <c r="J1202" s="297">
        <f t="shared" si="75"/>
        <v>42675</v>
      </c>
      <c r="K1202" s="67">
        <f t="shared" si="76"/>
        <v>6</v>
      </c>
      <c r="L1202" s="313">
        <v>2.3833299999999999E-3</v>
      </c>
      <c r="M1202" s="104">
        <f t="shared" si="77"/>
        <v>0.21936169320000001</v>
      </c>
      <c r="O1202" s="66"/>
      <c r="Q1202" s="66">
        <f t="shared" si="74"/>
        <v>0.25377792916666669</v>
      </c>
    </row>
    <row r="1203" spans="1:17">
      <c r="A1203" s="112" t="s">
        <v>990</v>
      </c>
      <c r="B1203" s="111" t="s">
        <v>1754</v>
      </c>
      <c r="C1203" s="111" t="s">
        <v>1755</v>
      </c>
      <c r="D1203" s="112" t="s">
        <v>1756</v>
      </c>
      <c r="E1203" s="111" t="s">
        <v>1688</v>
      </c>
      <c r="F1203" s="112" t="s">
        <v>1689</v>
      </c>
      <c r="G1203" s="111" t="s">
        <v>20</v>
      </c>
      <c r="H1203" s="111">
        <v>201608</v>
      </c>
      <c r="I1203" s="104">
        <v>55.69</v>
      </c>
      <c r="J1203" s="297">
        <f t="shared" si="75"/>
        <v>42675</v>
      </c>
      <c r="K1203" s="67">
        <f t="shared" si="76"/>
        <v>6</v>
      </c>
      <c r="L1203" s="313">
        <v>2.3833299999999999E-3</v>
      </c>
      <c r="M1203" s="104">
        <f t="shared" si="77"/>
        <v>0.79636588620000004</v>
      </c>
      <c r="O1203" s="66"/>
      <c r="Q1203" s="66">
        <f t="shared" si="74"/>
        <v>0.92130983541666656</v>
      </c>
    </row>
    <row r="1204" spans="1:17">
      <c r="A1204" s="112" t="s">
        <v>626</v>
      </c>
      <c r="B1204" s="111" t="s">
        <v>1924</v>
      </c>
      <c r="C1204" s="111" t="s">
        <v>1925</v>
      </c>
      <c r="D1204" s="112" t="s">
        <v>1926</v>
      </c>
      <c r="E1204" s="111" t="s">
        <v>75</v>
      </c>
      <c r="F1204" s="112" t="s">
        <v>1602</v>
      </c>
      <c r="G1204" s="111" t="s">
        <v>20</v>
      </c>
      <c r="H1204" s="111">
        <v>201608</v>
      </c>
      <c r="I1204" s="104">
        <v>31.42</v>
      </c>
      <c r="J1204" s="297">
        <f t="shared" si="75"/>
        <v>42675</v>
      </c>
      <c r="K1204" s="67">
        <f t="shared" si="76"/>
        <v>6</v>
      </c>
      <c r="L1204" s="127">
        <v>1.4833299999999999E-3</v>
      </c>
      <c r="M1204" s="104">
        <f t="shared" si="77"/>
        <v>0.27963737160000002</v>
      </c>
      <c r="O1204" s="66"/>
      <c r="Q1204" s="66">
        <f t="shared" si="74"/>
        <v>0.51979807916666665</v>
      </c>
    </row>
    <row r="1205" spans="1:17">
      <c r="A1205" s="112" t="s">
        <v>626</v>
      </c>
      <c r="B1205" s="111" t="s">
        <v>1927</v>
      </c>
      <c r="C1205" s="111" t="s">
        <v>1928</v>
      </c>
      <c r="D1205" s="112" t="s">
        <v>1929</v>
      </c>
      <c r="E1205" s="111" t="s">
        <v>75</v>
      </c>
      <c r="F1205" s="112" t="s">
        <v>1602</v>
      </c>
      <c r="G1205" s="111" t="s">
        <v>20</v>
      </c>
      <c r="H1205" s="111">
        <v>201608</v>
      </c>
      <c r="I1205" s="104">
        <v>364.78</v>
      </c>
      <c r="J1205" s="297">
        <f t="shared" si="75"/>
        <v>42675</v>
      </c>
      <c r="K1205" s="67">
        <f t="shared" si="76"/>
        <v>6</v>
      </c>
      <c r="L1205" s="127">
        <v>1.4833299999999999E-3</v>
      </c>
      <c r="M1205" s="104">
        <f t="shared" si="77"/>
        <v>3.2465347043999997</v>
      </c>
      <c r="O1205" s="66"/>
      <c r="Q1205" s="66">
        <f t="shared" si="74"/>
        <v>6.0347531291666661</v>
      </c>
    </row>
    <row r="1206" spans="1:17">
      <c r="A1206" s="112" t="s">
        <v>21</v>
      </c>
      <c r="B1206" s="111" t="s">
        <v>1820</v>
      </c>
      <c r="C1206" s="111" t="s">
        <v>1821</v>
      </c>
      <c r="D1206" s="112" t="s">
        <v>1822</v>
      </c>
      <c r="E1206" s="111" t="s">
        <v>87</v>
      </c>
      <c r="F1206" s="112" t="s">
        <v>1603</v>
      </c>
      <c r="G1206" s="111" t="s">
        <v>20</v>
      </c>
      <c r="H1206" s="111">
        <v>201608</v>
      </c>
      <c r="I1206" s="104">
        <v>286.22000000000003</v>
      </c>
      <c r="J1206" s="297">
        <f t="shared" si="75"/>
        <v>42675</v>
      </c>
      <c r="K1206" s="67">
        <f t="shared" si="76"/>
        <v>6</v>
      </c>
      <c r="L1206" s="127">
        <v>1.4833299999999999E-3</v>
      </c>
      <c r="M1206" s="104">
        <f t="shared" si="77"/>
        <v>2.5473522756000002</v>
      </c>
      <c r="O1206" s="66"/>
      <c r="Q1206" s="66">
        <f t="shared" si="74"/>
        <v>4.7350924958333342</v>
      </c>
    </row>
    <row r="1207" spans="1:17">
      <c r="A1207" s="112" t="s">
        <v>626</v>
      </c>
      <c r="B1207" s="111" t="s">
        <v>1699</v>
      </c>
      <c r="C1207" s="111" t="s">
        <v>1700</v>
      </c>
      <c r="D1207" s="112" t="s">
        <v>1701</v>
      </c>
      <c r="E1207" s="111" t="s">
        <v>544</v>
      </c>
      <c r="F1207" s="112" t="s">
        <v>26</v>
      </c>
      <c r="G1207" s="111" t="s">
        <v>20</v>
      </c>
      <c r="H1207" s="111">
        <v>201608</v>
      </c>
      <c r="I1207" s="104">
        <v>-106.9</v>
      </c>
      <c r="J1207" s="297">
        <f t="shared" si="75"/>
        <v>42675</v>
      </c>
      <c r="K1207" s="67">
        <f t="shared" si="76"/>
        <v>6</v>
      </c>
      <c r="L1207" s="127">
        <v>1.4833299999999999E-3</v>
      </c>
      <c r="M1207" s="104">
        <f t="shared" si="77"/>
        <v>-0.95140786200000005</v>
      </c>
      <c r="O1207" s="66"/>
      <c r="Q1207" s="66">
        <f t="shared" si="74"/>
        <v>-1.7685046041666668</v>
      </c>
    </row>
    <row r="1208" spans="1:17">
      <c r="A1208" s="112" t="s">
        <v>127</v>
      </c>
      <c r="B1208" s="111" t="s">
        <v>1964</v>
      </c>
      <c r="C1208" s="111" t="s">
        <v>1965</v>
      </c>
      <c r="D1208" s="112" t="s">
        <v>1966</v>
      </c>
      <c r="E1208" s="111" t="s">
        <v>87</v>
      </c>
      <c r="F1208" s="112" t="s">
        <v>1603</v>
      </c>
      <c r="G1208" s="111" t="s">
        <v>20</v>
      </c>
      <c r="H1208" s="111">
        <v>201608</v>
      </c>
      <c r="I1208" s="104">
        <v>107.59</v>
      </c>
      <c r="J1208" s="297">
        <f t="shared" si="75"/>
        <v>42675</v>
      </c>
      <c r="K1208" s="67">
        <f t="shared" si="76"/>
        <v>6</v>
      </c>
      <c r="L1208" s="313">
        <v>2.3833299999999999E-3</v>
      </c>
      <c r="M1208" s="104">
        <f t="shared" si="77"/>
        <v>1.5385348482000001</v>
      </c>
      <c r="O1208" s="66"/>
      <c r="Q1208" s="66">
        <f t="shared" si="74"/>
        <v>1.7799196479166668</v>
      </c>
    </row>
    <row r="1209" spans="1:17">
      <c r="A1209" s="112" t="s">
        <v>626</v>
      </c>
      <c r="B1209" s="111" t="s">
        <v>1930</v>
      </c>
      <c r="C1209" s="111" t="s">
        <v>1931</v>
      </c>
      <c r="D1209" s="112" t="s">
        <v>1932</v>
      </c>
      <c r="E1209" s="111" t="s">
        <v>75</v>
      </c>
      <c r="F1209" s="112" t="s">
        <v>1602</v>
      </c>
      <c r="G1209" s="111" t="s">
        <v>20</v>
      </c>
      <c r="H1209" s="111">
        <v>201608</v>
      </c>
      <c r="I1209" s="104">
        <v>218.66</v>
      </c>
      <c r="J1209" s="297">
        <f t="shared" si="75"/>
        <v>42675</v>
      </c>
      <c r="K1209" s="67">
        <f t="shared" si="76"/>
        <v>6</v>
      </c>
      <c r="L1209" s="127">
        <v>1.4833299999999999E-3</v>
      </c>
      <c r="M1209" s="104">
        <f t="shared" si="77"/>
        <v>1.9460696268</v>
      </c>
      <c r="O1209" s="66"/>
      <c r="Q1209" s="66">
        <f t="shared" si="74"/>
        <v>3.6174108208333333</v>
      </c>
    </row>
    <row r="1210" spans="1:17">
      <c r="A1210" s="112" t="s">
        <v>626</v>
      </c>
      <c r="B1210" s="111" t="s">
        <v>1782</v>
      </c>
      <c r="C1210" s="111" t="s">
        <v>1783</v>
      </c>
      <c r="D1210" s="112" t="s">
        <v>1784</v>
      </c>
      <c r="E1210" s="111" t="s">
        <v>87</v>
      </c>
      <c r="F1210" s="112" t="s">
        <v>1603</v>
      </c>
      <c r="G1210" s="111" t="s">
        <v>20</v>
      </c>
      <c r="H1210" s="111">
        <v>201608</v>
      </c>
      <c r="I1210" s="104">
        <v>195.3</v>
      </c>
      <c r="J1210" s="297">
        <f t="shared" si="75"/>
        <v>42675</v>
      </c>
      <c r="K1210" s="67">
        <f t="shared" si="76"/>
        <v>6</v>
      </c>
      <c r="L1210" s="127">
        <v>1.4833299999999999E-3</v>
      </c>
      <c r="M1210" s="104">
        <f t="shared" si="77"/>
        <v>1.7381660940000001</v>
      </c>
      <c r="O1210" s="66"/>
      <c r="Q1210" s="66">
        <f t="shared" si="74"/>
        <v>3.2309536875</v>
      </c>
    </row>
    <row r="1211" spans="1:17">
      <c r="A1211" s="112" t="s">
        <v>21</v>
      </c>
      <c r="B1211" s="111" t="s">
        <v>1782</v>
      </c>
      <c r="C1211" s="111" t="s">
        <v>1783</v>
      </c>
      <c r="D1211" s="112" t="s">
        <v>1784</v>
      </c>
      <c r="E1211" s="111" t="s">
        <v>87</v>
      </c>
      <c r="F1211" s="112" t="s">
        <v>1603</v>
      </c>
      <c r="G1211" s="111" t="s">
        <v>20</v>
      </c>
      <c r="H1211" s="111">
        <v>201608</v>
      </c>
      <c r="I1211" s="104">
        <v>197.06</v>
      </c>
      <c r="J1211" s="297">
        <f t="shared" si="75"/>
        <v>42675</v>
      </c>
      <c r="K1211" s="67">
        <f t="shared" si="76"/>
        <v>6</v>
      </c>
      <c r="L1211" s="127">
        <v>1.4833299999999999E-3</v>
      </c>
      <c r="M1211" s="104">
        <f t="shared" si="77"/>
        <v>1.7538300588</v>
      </c>
      <c r="O1211" s="66"/>
      <c r="Q1211" s="66">
        <f t="shared" si="74"/>
        <v>3.2600703208333335</v>
      </c>
    </row>
    <row r="1212" spans="1:17">
      <c r="A1212" s="112" t="s">
        <v>626</v>
      </c>
      <c r="B1212" s="111" t="s">
        <v>1933</v>
      </c>
      <c r="C1212" s="111" t="s">
        <v>1934</v>
      </c>
      <c r="D1212" s="112" t="s">
        <v>1935</v>
      </c>
      <c r="E1212" s="111" t="s">
        <v>75</v>
      </c>
      <c r="F1212" s="112" t="s">
        <v>1602</v>
      </c>
      <c r="G1212" s="111" t="s">
        <v>20</v>
      </c>
      <c r="H1212" s="111">
        <v>201608</v>
      </c>
      <c r="I1212" s="104">
        <v>195.76</v>
      </c>
      <c r="J1212" s="297">
        <f t="shared" si="75"/>
        <v>42675</v>
      </c>
      <c r="K1212" s="67">
        <f t="shared" si="76"/>
        <v>6</v>
      </c>
      <c r="L1212" s="127">
        <v>1.4833299999999999E-3</v>
      </c>
      <c r="M1212" s="104">
        <f t="shared" si="77"/>
        <v>1.7422600847999998</v>
      </c>
      <c r="O1212" s="66"/>
      <c r="Q1212" s="66">
        <f t="shared" si="74"/>
        <v>3.2385637166666665</v>
      </c>
    </row>
    <row r="1213" spans="1:17">
      <c r="A1213" s="112" t="s">
        <v>626</v>
      </c>
      <c r="B1213" s="111" t="s">
        <v>1967</v>
      </c>
      <c r="C1213" s="111" t="s">
        <v>1968</v>
      </c>
      <c r="D1213" s="112" t="s">
        <v>1969</v>
      </c>
      <c r="E1213" s="111" t="s">
        <v>544</v>
      </c>
      <c r="F1213" s="112" t="s">
        <v>26</v>
      </c>
      <c r="G1213" s="111" t="s">
        <v>20</v>
      </c>
      <c r="H1213" s="111">
        <v>201608</v>
      </c>
      <c r="I1213" s="104">
        <v>2095.8000000000002</v>
      </c>
      <c r="J1213" s="297">
        <f t="shared" si="75"/>
        <v>42675</v>
      </c>
      <c r="K1213" s="67">
        <f t="shared" si="76"/>
        <v>6</v>
      </c>
      <c r="L1213" s="127">
        <v>1.4833299999999999E-3</v>
      </c>
      <c r="M1213" s="104">
        <f t="shared" si="77"/>
        <v>18.652578084000002</v>
      </c>
      <c r="O1213" s="66"/>
      <c r="Q1213" s="66">
        <f t="shared" si="74"/>
        <v>34.671954624999998</v>
      </c>
    </row>
    <row r="1214" spans="1:17">
      <c r="A1214" s="112" t="s">
        <v>626</v>
      </c>
      <c r="B1214" s="111" t="s">
        <v>1936</v>
      </c>
      <c r="C1214" s="111" t="s">
        <v>1937</v>
      </c>
      <c r="D1214" s="112" t="s">
        <v>1938</v>
      </c>
      <c r="E1214" s="111" t="s">
        <v>75</v>
      </c>
      <c r="F1214" s="112" t="s">
        <v>1602</v>
      </c>
      <c r="G1214" s="111" t="s">
        <v>20</v>
      </c>
      <c r="H1214" s="111">
        <v>201608</v>
      </c>
      <c r="I1214" s="104">
        <v>50.5</v>
      </c>
      <c r="J1214" s="297">
        <f t="shared" si="75"/>
        <v>42675</v>
      </c>
      <c r="K1214" s="67">
        <f t="shared" si="76"/>
        <v>6</v>
      </c>
      <c r="L1214" s="127">
        <v>1.4833299999999999E-3</v>
      </c>
      <c r="M1214" s="104">
        <f t="shared" si="77"/>
        <v>0.44944898999999999</v>
      </c>
      <c r="O1214" s="66"/>
      <c r="Q1214" s="66">
        <f t="shared" si="74"/>
        <v>0.8354488541666667</v>
      </c>
    </row>
    <row r="1215" spans="1:17">
      <c r="A1215" s="112" t="s">
        <v>626</v>
      </c>
      <c r="B1215" s="111" t="s">
        <v>1970</v>
      </c>
      <c r="C1215" s="111" t="s">
        <v>1971</v>
      </c>
      <c r="D1215" s="112" t="s">
        <v>1972</v>
      </c>
      <c r="E1215" s="111" t="s">
        <v>93</v>
      </c>
      <c r="F1215" s="112" t="s">
        <v>1601</v>
      </c>
      <c r="G1215" s="111" t="s">
        <v>20</v>
      </c>
      <c r="H1215" s="111">
        <v>201608</v>
      </c>
      <c r="I1215" s="104">
        <v>21605.68</v>
      </c>
      <c r="J1215" s="297">
        <f t="shared" si="75"/>
        <v>42675</v>
      </c>
      <c r="K1215" s="67">
        <f t="shared" si="76"/>
        <v>6</v>
      </c>
      <c r="L1215" s="127">
        <v>1.4833299999999999E-3</v>
      </c>
      <c r="M1215" s="104">
        <f t="shared" si="77"/>
        <v>192.29011988639999</v>
      </c>
      <c r="O1215" s="66"/>
      <c r="Q1215" s="66">
        <f t="shared" si="74"/>
        <v>357.43446731666666</v>
      </c>
    </row>
    <row r="1216" spans="1:17">
      <c r="A1216" s="112" t="s">
        <v>21</v>
      </c>
      <c r="B1216" s="111" t="s">
        <v>1939</v>
      </c>
      <c r="C1216" s="111" t="s">
        <v>1940</v>
      </c>
      <c r="D1216" s="112" t="s">
        <v>1941</v>
      </c>
      <c r="E1216" s="111" t="s">
        <v>87</v>
      </c>
      <c r="F1216" s="112" t="s">
        <v>1603</v>
      </c>
      <c r="G1216" s="111" t="s">
        <v>20</v>
      </c>
      <c r="H1216" s="111">
        <v>201608</v>
      </c>
      <c r="I1216" s="104">
        <v>1279.75</v>
      </c>
      <c r="J1216" s="297">
        <f t="shared" si="75"/>
        <v>42675</v>
      </c>
      <c r="K1216" s="67">
        <f t="shared" si="76"/>
        <v>6</v>
      </c>
      <c r="L1216" s="127">
        <v>1.4833299999999999E-3</v>
      </c>
      <c r="M1216" s="104">
        <f t="shared" si="77"/>
        <v>11.389749405</v>
      </c>
      <c r="O1216" s="66"/>
      <c r="Q1216" s="66">
        <f t="shared" si="74"/>
        <v>21.171597447916668</v>
      </c>
    </row>
    <row r="1217" spans="1:17">
      <c r="A1217" s="112" t="s">
        <v>21</v>
      </c>
      <c r="B1217" s="111" t="s">
        <v>1973</v>
      </c>
      <c r="C1217" s="111" t="s">
        <v>1974</v>
      </c>
      <c r="D1217" s="112" t="s">
        <v>1975</v>
      </c>
      <c r="E1217" s="111" t="s">
        <v>87</v>
      </c>
      <c r="F1217" s="112" t="s">
        <v>1603</v>
      </c>
      <c r="G1217" s="111" t="s">
        <v>20</v>
      </c>
      <c r="H1217" s="111">
        <v>201608</v>
      </c>
      <c r="I1217" s="104">
        <v>1235.5899999999999</v>
      </c>
      <c r="J1217" s="297">
        <f t="shared" si="75"/>
        <v>42675</v>
      </c>
      <c r="K1217" s="67">
        <f t="shared" si="76"/>
        <v>6</v>
      </c>
      <c r="L1217" s="127">
        <v>1.4833299999999999E-3</v>
      </c>
      <c r="M1217" s="104">
        <f t="shared" si="77"/>
        <v>10.9967262882</v>
      </c>
      <c r="O1217" s="66"/>
      <c r="Q1217" s="66">
        <f t="shared" si="74"/>
        <v>20.441034647916666</v>
      </c>
    </row>
    <row r="1218" spans="1:17">
      <c r="A1218" s="112" t="s">
        <v>626</v>
      </c>
      <c r="B1218" s="111" t="s">
        <v>1811</v>
      </c>
      <c r="C1218" s="111" t="s">
        <v>1812</v>
      </c>
      <c r="D1218" s="112" t="s">
        <v>1813</v>
      </c>
      <c r="E1218" s="111" t="s">
        <v>25</v>
      </c>
      <c r="F1218" s="112" t="s">
        <v>26</v>
      </c>
      <c r="G1218" s="111" t="s">
        <v>20</v>
      </c>
      <c r="H1218" s="111">
        <v>201608</v>
      </c>
      <c r="I1218" s="104">
        <v>345.3</v>
      </c>
      <c r="J1218" s="297">
        <f t="shared" si="75"/>
        <v>42675</v>
      </c>
      <c r="K1218" s="67">
        <f t="shared" si="76"/>
        <v>6</v>
      </c>
      <c r="L1218" s="127">
        <v>1.4833299999999999E-3</v>
      </c>
      <c r="M1218" s="104">
        <f t="shared" si="77"/>
        <v>3.0731630940000003</v>
      </c>
      <c r="O1218" s="66"/>
      <c r="Q1218" s="66">
        <f t="shared" si="74"/>
        <v>5.7124849375000002</v>
      </c>
    </row>
    <row r="1219" spans="1:17">
      <c r="A1219" s="112" t="s">
        <v>1942</v>
      </c>
      <c r="B1219" s="125" t="s">
        <v>1681</v>
      </c>
      <c r="C1219" s="111" t="s">
        <v>1682</v>
      </c>
      <c r="D1219" s="112" t="s">
        <v>1683</v>
      </c>
      <c r="E1219" s="111" t="s">
        <v>198</v>
      </c>
      <c r="F1219" s="112" t="s">
        <v>1610</v>
      </c>
      <c r="G1219" s="111" t="s">
        <v>20</v>
      </c>
      <c r="H1219" s="111">
        <v>201608</v>
      </c>
      <c r="I1219" s="104">
        <v>2371.38</v>
      </c>
      <c r="J1219" s="297">
        <f t="shared" si="75"/>
        <v>42675</v>
      </c>
      <c r="K1219" s="67">
        <f t="shared" si="76"/>
        <v>6</v>
      </c>
      <c r="L1219" s="313">
        <v>2.23333E-3</v>
      </c>
      <c r="M1219" s="104">
        <f t="shared" si="77"/>
        <v>31.776444572399999</v>
      </c>
      <c r="O1219" s="66"/>
      <c r="Q1219" s="66">
        <f t="shared" si="74"/>
        <v>39.231023837500004</v>
      </c>
    </row>
    <row r="1220" spans="1:17">
      <c r="A1220" s="112" t="s">
        <v>1942</v>
      </c>
      <c r="B1220" s="125" t="s">
        <v>1681</v>
      </c>
      <c r="C1220" s="111" t="s">
        <v>1943</v>
      </c>
      <c r="D1220" s="112" t="s">
        <v>1944</v>
      </c>
      <c r="E1220" s="111" t="s">
        <v>202</v>
      </c>
      <c r="F1220" s="112" t="s">
        <v>1611</v>
      </c>
      <c r="G1220" s="111" t="s">
        <v>20</v>
      </c>
      <c r="H1220" s="111">
        <v>201608</v>
      </c>
      <c r="I1220" s="104">
        <v>5791.11</v>
      </c>
      <c r="J1220" s="297">
        <f t="shared" si="75"/>
        <v>42675</v>
      </c>
      <c r="K1220" s="67">
        <f t="shared" si="76"/>
        <v>6</v>
      </c>
      <c r="L1220" s="313">
        <v>2.23333E-3</v>
      </c>
      <c r="M1220" s="104">
        <f t="shared" si="77"/>
        <v>77.600758177799989</v>
      </c>
      <c r="O1220" s="66"/>
      <c r="Q1220" s="66">
        <f t="shared" si="74"/>
        <v>95.805469581249994</v>
      </c>
    </row>
    <row r="1221" spans="1:17">
      <c r="A1221" s="112" t="s">
        <v>1942</v>
      </c>
      <c r="B1221" s="125" t="s">
        <v>1681</v>
      </c>
      <c r="C1221" s="111" t="s">
        <v>1976</v>
      </c>
      <c r="D1221" s="112" t="s">
        <v>1977</v>
      </c>
      <c r="E1221" s="111" t="s">
        <v>294</v>
      </c>
      <c r="F1221" s="112" t="s">
        <v>1613</v>
      </c>
      <c r="G1221" s="111" t="s">
        <v>20</v>
      </c>
      <c r="H1221" s="111">
        <v>201608</v>
      </c>
      <c r="I1221" s="104">
        <v>1322.8</v>
      </c>
      <c r="J1221" s="297">
        <f t="shared" si="75"/>
        <v>42675</v>
      </c>
      <c r="K1221" s="67">
        <f t="shared" si="76"/>
        <v>6</v>
      </c>
      <c r="L1221" s="313">
        <v>2.23333E-3</v>
      </c>
      <c r="M1221" s="104">
        <f t="shared" si="77"/>
        <v>17.725493543999999</v>
      </c>
      <c r="O1221" s="66"/>
      <c r="Q1221" s="66">
        <f t="shared" si="74"/>
        <v>21.883796916666665</v>
      </c>
    </row>
    <row r="1222" spans="1:17">
      <c r="A1222" s="112" t="s">
        <v>626</v>
      </c>
      <c r="B1222" s="111" t="s">
        <v>2117</v>
      </c>
      <c r="C1222" s="111" t="s">
        <v>2118</v>
      </c>
      <c r="D1222" s="112" t="s">
        <v>2119</v>
      </c>
      <c r="E1222" s="111" t="s">
        <v>75</v>
      </c>
      <c r="F1222" s="112" t="s">
        <v>1602</v>
      </c>
      <c r="G1222" s="111" t="s">
        <v>20</v>
      </c>
      <c r="H1222" s="111">
        <v>201608</v>
      </c>
      <c r="I1222" s="104">
        <v>1396.43</v>
      </c>
      <c r="J1222" s="297">
        <f t="shared" si="75"/>
        <v>42675</v>
      </c>
      <c r="K1222" s="67">
        <f t="shared" si="76"/>
        <v>6</v>
      </c>
      <c r="L1222" s="127">
        <v>1.4833299999999999E-3</v>
      </c>
      <c r="M1222" s="104">
        <f t="shared" si="77"/>
        <v>12.4281990714</v>
      </c>
      <c r="O1222" s="66"/>
      <c r="Q1222" s="66">
        <f t="shared" ref="Q1222:Q1285" si="78">($Q$4*0.5*I1222*$T$10)</f>
        <v>23.101897889583334</v>
      </c>
    </row>
    <row r="1223" spans="1:17">
      <c r="A1223" s="112" t="s">
        <v>626</v>
      </c>
      <c r="B1223" s="111" t="s">
        <v>1978</v>
      </c>
      <c r="C1223" s="111" t="s">
        <v>1979</v>
      </c>
      <c r="D1223" s="112" t="s">
        <v>1980</v>
      </c>
      <c r="E1223" s="111" t="s">
        <v>75</v>
      </c>
      <c r="F1223" s="112" t="s">
        <v>1602</v>
      </c>
      <c r="G1223" s="111" t="s">
        <v>20</v>
      </c>
      <c r="H1223" s="111">
        <v>201608</v>
      </c>
      <c r="I1223" s="104">
        <v>2070.5300000000002</v>
      </c>
      <c r="J1223" s="297">
        <f t="shared" ref="J1223:J1286" si="79">+J1222</f>
        <v>42675</v>
      </c>
      <c r="K1223" s="67">
        <f t="shared" si="76"/>
        <v>6</v>
      </c>
      <c r="L1223" s="127">
        <v>1.4833299999999999E-3</v>
      </c>
      <c r="M1223" s="104">
        <f t="shared" si="77"/>
        <v>18.427675589400003</v>
      </c>
      <c r="O1223" s="66"/>
      <c r="Q1223" s="66">
        <f t="shared" si="78"/>
        <v>34.253899327083339</v>
      </c>
    </row>
    <row r="1224" spans="1:17">
      <c r="A1224" s="112" t="s">
        <v>626</v>
      </c>
      <c r="B1224" s="111" t="s">
        <v>1757</v>
      </c>
      <c r="C1224" s="111" t="s">
        <v>1758</v>
      </c>
      <c r="D1224" s="112" t="s">
        <v>1759</v>
      </c>
      <c r="E1224" s="111" t="s">
        <v>75</v>
      </c>
      <c r="F1224" s="112" t="s">
        <v>1602</v>
      </c>
      <c r="G1224" s="111" t="s">
        <v>20</v>
      </c>
      <c r="H1224" s="111">
        <v>201608</v>
      </c>
      <c r="I1224" s="104">
        <v>43.26</v>
      </c>
      <c r="J1224" s="297">
        <f t="shared" si="79"/>
        <v>42675</v>
      </c>
      <c r="K1224" s="67">
        <f t="shared" si="76"/>
        <v>6</v>
      </c>
      <c r="L1224" s="127">
        <v>1.4833299999999999E-3</v>
      </c>
      <c r="M1224" s="104">
        <f t="shared" si="77"/>
        <v>0.38501313479999999</v>
      </c>
      <c r="O1224" s="66"/>
      <c r="Q1224" s="66">
        <f t="shared" si="78"/>
        <v>0.71567361249999994</v>
      </c>
    </row>
    <row r="1225" spans="1:17">
      <c r="A1225" s="112" t="s">
        <v>626</v>
      </c>
      <c r="B1225" s="111" t="s">
        <v>1981</v>
      </c>
      <c r="C1225" s="111" t="s">
        <v>1982</v>
      </c>
      <c r="D1225" s="112" t="s">
        <v>1983</v>
      </c>
      <c r="E1225" s="111" t="s">
        <v>75</v>
      </c>
      <c r="F1225" s="112" t="s">
        <v>1602</v>
      </c>
      <c r="G1225" s="111" t="s">
        <v>20</v>
      </c>
      <c r="H1225" s="111">
        <v>201608</v>
      </c>
      <c r="I1225" s="104">
        <v>2356.04</v>
      </c>
      <c r="J1225" s="297">
        <f t="shared" si="79"/>
        <v>42675</v>
      </c>
      <c r="K1225" s="67">
        <f t="shared" si="76"/>
        <v>6</v>
      </c>
      <c r="L1225" s="127">
        <v>1.4833299999999999E-3</v>
      </c>
      <c r="M1225" s="104">
        <f t="shared" si="77"/>
        <v>20.968708879200001</v>
      </c>
      <c r="O1225" s="66"/>
      <c r="Q1225" s="66">
        <f t="shared" si="78"/>
        <v>38.977245908333337</v>
      </c>
    </row>
    <row r="1226" spans="1:17">
      <c r="A1226" s="112" t="s">
        <v>626</v>
      </c>
      <c r="B1226" s="111" t="s">
        <v>2252</v>
      </c>
      <c r="C1226" s="111" t="s">
        <v>2253</v>
      </c>
      <c r="D1226" s="112" t="s">
        <v>2254</v>
      </c>
      <c r="E1226" s="111" t="s">
        <v>75</v>
      </c>
      <c r="F1226" s="112" t="s">
        <v>1602</v>
      </c>
      <c r="G1226" s="111" t="s">
        <v>20</v>
      </c>
      <c r="H1226" s="111">
        <v>201608</v>
      </c>
      <c r="I1226" s="104">
        <v>192236.71</v>
      </c>
      <c r="J1226" s="297">
        <f t="shared" si="79"/>
        <v>42675</v>
      </c>
      <c r="K1226" s="67">
        <f t="shared" si="76"/>
        <v>6</v>
      </c>
      <c r="L1226" s="127">
        <v>1.4833299999999999E-3</v>
      </c>
      <c r="M1226" s="104">
        <f t="shared" si="77"/>
        <v>1710.9028742657999</v>
      </c>
      <c r="O1226" s="66"/>
      <c r="Q1226" s="66">
        <f t="shared" si="78"/>
        <v>3180.2760217479163</v>
      </c>
    </row>
    <row r="1227" spans="1:17">
      <c r="A1227" s="112" t="s">
        <v>626</v>
      </c>
      <c r="B1227" s="111" t="s">
        <v>1984</v>
      </c>
      <c r="C1227" s="111" t="s">
        <v>1985</v>
      </c>
      <c r="D1227" s="112" t="s">
        <v>1986</v>
      </c>
      <c r="E1227" s="111" t="s">
        <v>156</v>
      </c>
      <c r="F1227" s="112" t="s">
        <v>26</v>
      </c>
      <c r="G1227" s="111" t="s">
        <v>20</v>
      </c>
      <c r="H1227" s="111">
        <v>201608</v>
      </c>
      <c r="I1227" s="104">
        <v>11322.37</v>
      </c>
      <c r="J1227" s="297">
        <f t="shared" si="79"/>
        <v>42675</v>
      </c>
      <c r="K1227" s="67">
        <f t="shared" si="76"/>
        <v>6</v>
      </c>
      <c r="L1227" s="127">
        <v>1.4833299999999999E-3</v>
      </c>
      <c r="M1227" s="104">
        <f t="shared" si="77"/>
        <v>100.7688665526</v>
      </c>
      <c r="O1227" s="66"/>
      <c r="Q1227" s="66">
        <f t="shared" si="78"/>
        <v>187.31209986041668</v>
      </c>
    </row>
    <row r="1228" spans="1:17">
      <c r="A1228" s="112" t="s">
        <v>626</v>
      </c>
      <c r="B1228" s="111" t="s">
        <v>2054</v>
      </c>
      <c r="C1228" s="111" t="s">
        <v>2055</v>
      </c>
      <c r="D1228" s="112" t="s">
        <v>2056</v>
      </c>
      <c r="E1228" s="111" t="s">
        <v>156</v>
      </c>
      <c r="F1228" s="112" t="s">
        <v>26</v>
      </c>
      <c r="G1228" s="111" t="s">
        <v>20</v>
      </c>
      <c r="H1228" s="111">
        <v>201608</v>
      </c>
      <c r="I1228" s="104">
        <v>15565.51</v>
      </c>
      <c r="J1228" s="297">
        <f t="shared" si="79"/>
        <v>42675</v>
      </c>
      <c r="K1228" s="67">
        <f t="shared" si="76"/>
        <v>6</v>
      </c>
      <c r="L1228" s="127">
        <v>1.4833299999999999E-3</v>
      </c>
      <c r="M1228" s="104">
        <f t="shared" si="77"/>
        <v>138.5327276898</v>
      </c>
      <c r="O1228" s="66"/>
      <c r="Q1228" s="66">
        <f t="shared" si="78"/>
        <v>257.50866324791667</v>
      </c>
    </row>
    <row r="1229" spans="1:17">
      <c r="A1229" s="112" t="s">
        <v>626</v>
      </c>
      <c r="B1229" s="111" t="s">
        <v>1850</v>
      </c>
      <c r="C1229" s="111" t="s">
        <v>1851</v>
      </c>
      <c r="D1229" s="112" t="s">
        <v>1852</v>
      </c>
      <c r="E1229" s="111" t="s">
        <v>260</v>
      </c>
      <c r="F1229" s="112" t="s">
        <v>1608</v>
      </c>
      <c r="G1229" s="111" t="s">
        <v>20</v>
      </c>
      <c r="H1229" s="111">
        <v>201608</v>
      </c>
      <c r="I1229" s="104">
        <v>20052.45</v>
      </c>
      <c r="J1229" s="297">
        <f t="shared" si="79"/>
        <v>42675</v>
      </c>
      <c r="K1229" s="67">
        <f t="shared" si="76"/>
        <v>6</v>
      </c>
      <c r="L1229" s="127">
        <v>1.4833299999999999E-3</v>
      </c>
      <c r="M1229" s="104">
        <f t="shared" si="77"/>
        <v>178.46640395100002</v>
      </c>
      <c r="O1229" s="66"/>
      <c r="Q1229" s="66">
        <f t="shared" si="78"/>
        <v>331.73854209375003</v>
      </c>
    </row>
    <row r="1230" spans="1:17">
      <c r="A1230" s="112" t="s">
        <v>626</v>
      </c>
      <c r="B1230" s="111" t="s">
        <v>1814</v>
      </c>
      <c r="C1230" s="111" t="s">
        <v>1815</v>
      </c>
      <c r="D1230" s="112" t="s">
        <v>1816</v>
      </c>
      <c r="E1230" s="111" t="s">
        <v>25</v>
      </c>
      <c r="F1230" s="112" t="s">
        <v>26</v>
      </c>
      <c r="G1230" s="111" t="s">
        <v>20</v>
      </c>
      <c r="H1230" s="111">
        <v>201608</v>
      </c>
      <c r="I1230" s="104">
        <v>921.14</v>
      </c>
      <c r="J1230" s="297">
        <f t="shared" si="79"/>
        <v>42675</v>
      </c>
      <c r="K1230" s="67">
        <f t="shared" si="76"/>
        <v>6</v>
      </c>
      <c r="L1230" s="127">
        <v>1.4833299999999999E-3</v>
      </c>
      <c r="M1230" s="104">
        <f t="shared" si="77"/>
        <v>8.1981275771999993</v>
      </c>
      <c r="O1230" s="66"/>
      <c r="Q1230" s="66">
        <f t="shared" si="78"/>
        <v>15.238917970833334</v>
      </c>
    </row>
    <row r="1231" spans="1:17">
      <c r="A1231" s="112" t="s">
        <v>626</v>
      </c>
      <c r="B1231" s="111" t="s">
        <v>2057</v>
      </c>
      <c r="C1231" s="111" t="s">
        <v>2058</v>
      </c>
      <c r="D1231" s="112" t="s">
        <v>2059</v>
      </c>
      <c r="E1231" s="111" t="s">
        <v>156</v>
      </c>
      <c r="F1231" s="112" t="s">
        <v>26</v>
      </c>
      <c r="G1231" s="111" t="s">
        <v>20</v>
      </c>
      <c r="H1231" s="111">
        <v>201608</v>
      </c>
      <c r="I1231" s="104">
        <v>16551.669999999998</v>
      </c>
      <c r="J1231" s="297">
        <f t="shared" si="79"/>
        <v>42675</v>
      </c>
      <c r="K1231" s="67">
        <f t="shared" si="76"/>
        <v>6</v>
      </c>
      <c r="L1231" s="127">
        <v>1.4833299999999999E-3</v>
      </c>
      <c r="M1231" s="104">
        <f t="shared" si="77"/>
        <v>147.30953196659999</v>
      </c>
      <c r="O1231" s="66"/>
      <c r="Q1231" s="66">
        <f t="shared" si="78"/>
        <v>273.82324229791664</v>
      </c>
    </row>
    <row r="1232" spans="1:17">
      <c r="A1232" s="112" t="s">
        <v>626</v>
      </c>
      <c r="B1232" s="111" t="s">
        <v>2060</v>
      </c>
      <c r="C1232" s="111" t="s">
        <v>2061</v>
      </c>
      <c r="D1232" s="112" t="s">
        <v>2062</v>
      </c>
      <c r="E1232" s="111" t="s">
        <v>156</v>
      </c>
      <c r="F1232" s="112" t="s">
        <v>26</v>
      </c>
      <c r="G1232" s="111" t="s">
        <v>20</v>
      </c>
      <c r="H1232" s="111">
        <v>201608</v>
      </c>
      <c r="I1232" s="104">
        <v>13101.02</v>
      </c>
      <c r="J1232" s="297">
        <f t="shared" si="79"/>
        <v>42675</v>
      </c>
      <c r="K1232" s="67">
        <f t="shared" si="76"/>
        <v>6</v>
      </c>
      <c r="L1232" s="127">
        <v>1.4833299999999999E-3</v>
      </c>
      <c r="M1232" s="104">
        <f t="shared" si="77"/>
        <v>116.5988159796</v>
      </c>
      <c r="O1232" s="66"/>
      <c r="Q1232" s="66">
        <f t="shared" si="78"/>
        <v>216.73727024583334</v>
      </c>
    </row>
    <row r="1233" spans="1:17">
      <c r="A1233" s="112" t="s">
        <v>21</v>
      </c>
      <c r="B1233" s="111" t="s">
        <v>1760</v>
      </c>
      <c r="C1233" s="111" t="s">
        <v>1761</v>
      </c>
      <c r="D1233" s="112" t="s">
        <v>1388</v>
      </c>
      <c r="E1233" s="111" t="s">
        <v>164</v>
      </c>
      <c r="F1233" s="112" t="s">
        <v>1600</v>
      </c>
      <c r="G1233" s="111" t="s">
        <v>20</v>
      </c>
      <c r="H1233" s="111">
        <v>201608</v>
      </c>
      <c r="I1233" s="104">
        <v>1.46</v>
      </c>
      <c r="J1233" s="297">
        <f t="shared" si="79"/>
        <v>42675</v>
      </c>
      <c r="K1233" s="67">
        <f t="shared" si="76"/>
        <v>6</v>
      </c>
      <c r="L1233" s="127">
        <v>1.4833299999999999E-3</v>
      </c>
      <c r="M1233" s="104">
        <f t="shared" si="77"/>
        <v>1.2993970799999999E-2</v>
      </c>
      <c r="O1233" s="66"/>
      <c r="Q1233" s="66">
        <f t="shared" si="78"/>
        <v>2.4153570833333332E-2</v>
      </c>
    </row>
    <row r="1234" spans="1:17">
      <c r="A1234" s="112" t="s">
        <v>626</v>
      </c>
      <c r="B1234" s="111" t="s">
        <v>1760</v>
      </c>
      <c r="C1234" s="111" t="s">
        <v>1761</v>
      </c>
      <c r="D1234" s="112" t="s">
        <v>1388</v>
      </c>
      <c r="E1234" s="111" t="s">
        <v>164</v>
      </c>
      <c r="F1234" s="112" t="s">
        <v>1600</v>
      </c>
      <c r="G1234" s="111" t="s">
        <v>20</v>
      </c>
      <c r="H1234" s="111">
        <v>201608</v>
      </c>
      <c r="I1234" s="104">
        <v>63.58</v>
      </c>
      <c r="J1234" s="297">
        <f t="shared" si="79"/>
        <v>42675</v>
      </c>
      <c r="K1234" s="67">
        <f t="shared" si="76"/>
        <v>6</v>
      </c>
      <c r="L1234" s="127">
        <v>1.4833299999999999E-3</v>
      </c>
      <c r="M1234" s="104">
        <f t="shared" si="77"/>
        <v>0.56586072840000001</v>
      </c>
      <c r="O1234" s="66"/>
      <c r="Q1234" s="66">
        <f t="shared" si="78"/>
        <v>1.0518383791666668</v>
      </c>
    </row>
    <row r="1235" spans="1:17">
      <c r="A1235" s="112" t="s">
        <v>626</v>
      </c>
      <c r="B1235" s="111" t="s">
        <v>1987</v>
      </c>
      <c r="C1235" s="111" t="s">
        <v>1988</v>
      </c>
      <c r="D1235" s="112" t="s">
        <v>1338</v>
      </c>
      <c r="E1235" s="111" t="s">
        <v>75</v>
      </c>
      <c r="F1235" s="112" t="s">
        <v>1602</v>
      </c>
      <c r="G1235" s="111" t="s">
        <v>20</v>
      </c>
      <c r="H1235" s="111">
        <v>201608</v>
      </c>
      <c r="I1235" s="104">
        <v>1044.6300000000001</v>
      </c>
      <c r="J1235" s="297">
        <f t="shared" si="79"/>
        <v>42675</v>
      </c>
      <c r="K1235" s="67">
        <f t="shared" si="76"/>
        <v>6</v>
      </c>
      <c r="L1235" s="127">
        <v>1.4833299999999999E-3</v>
      </c>
      <c r="M1235" s="104">
        <f t="shared" si="77"/>
        <v>9.2971861074000017</v>
      </c>
      <c r="O1235" s="66"/>
      <c r="Q1235" s="66">
        <f t="shared" si="78"/>
        <v>17.281879931250003</v>
      </c>
    </row>
    <row r="1236" spans="1:17">
      <c r="A1236" s="352" t="s">
        <v>133</v>
      </c>
      <c r="B1236" s="353" t="s">
        <v>1817</v>
      </c>
      <c r="C1236" s="353" t="s">
        <v>1818</v>
      </c>
      <c r="D1236" s="352" t="s">
        <v>1819</v>
      </c>
      <c r="E1236" s="353" t="s">
        <v>75</v>
      </c>
      <c r="F1236" s="352" t="s">
        <v>1602</v>
      </c>
      <c r="G1236" s="353" t="s">
        <v>20</v>
      </c>
      <c r="H1236" s="353">
        <v>201608</v>
      </c>
      <c r="I1236" s="349">
        <v>0</v>
      </c>
      <c r="J1236" s="297">
        <f t="shared" si="79"/>
        <v>42675</v>
      </c>
      <c r="K1236" s="348">
        <f t="shared" si="76"/>
        <v>6</v>
      </c>
      <c r="L1236" s="354">
        <v>1.4833299999999999E-3</v>
      </c>
      <c r="M1236" s="349">
        <f t="shared" si="77"/>
        <v>0</v>
      </c>
      <c r="N1236" s="350"/>
      <c r="O1236" s="351"/>
      <c r="P1236" s="350"/>
      <c r="Q1236" s="66">
        <f t="shared" si="78"/>
        <v>0</v>
      </c>
    </row>
    <row r="1237" spans="1:17">
      <c r="A1237" s="112" t="s">
        <v>626</v>
      </c>
      <c r="B1237" s="111" t="s">
        <v>1989</v>
      </c>
      <c r="C1237" s="111" t="s">
        <v>1990</v>
      </c>
      <c r="D1237" s="112" t="s">
        <v>1495</v>
      </c>
      <c r="E1237" s="111" t="s">
        <v>75</v>
      </c>
      <c r="F1237" s="112" t="s">
        <v>1602</v>
      </c>
      <c r="G1237" s="111" t="s">
        <v>20</v>
      </c>
      <c r="H1237" s="111">
        <v>201608</v>
      </c>
      <c r="I1237" s="104">
        <v>1835.3</v>
      </c>
      <c r="J1237" s="297">
        <f t="shared" si="79"/>
        <v>42675</v>
      </c>
      <c r="K1237" s="67">
        <f t="shared" si="76"/>
        <v>6</v>
      </c>
      <c r="L1237" s="127">
        <v>1.4833299999999999E-3</v>
      </c>
      <c r="M1237" s="104">
        <f t="shared" si="77"/>
        <v>16.334133294000001</v>
      </c>
      <c r="O1237" s="66"/>
      <c r="Q1237" s="66">
        <f t="shared" si="78"/>
        <v>30.362362020833331</v>
      </c>
    </row>
    <row r="1238" spans="1:17">
      <c r="A1238" s="112" t="s">
        <v>626</v>
      </c>
      <c r="B1238" s="111" t="s">
        <v>1764</v>
      </c>
      <c r="C1238" s="111" t="s">
        <v>1765</v>
      </c>
      <c r="D1238" s="112" t="s">
        <v>1766</v>
      </c>
      <c r="E1238" s="111" t="s">
        <v>156</v>
      </c>
      <c r="F1238" s="112" t="s">
        <v>26</v>
      </c>
      <c r="G1238" s="111" t="s">
        <v>20</v>
      </c>
      <c r="H1238" s="111">
        <v>201608</v>
      </c>
      <c r="I1238" s="104">
        <v>915.06</v>
      </c>
      <c r="J1238" s="297">
        <f t="shared" si="79"/>
        <v>42675</v>
      </c>
      <c r="K1238" s="67">
        <f t="shared" si="76"/>
        <v>6</v>
      </c>
      <c r="L1238" s="127">
        <v>1.4833299999999999E-3</v>
      </c>
      <c r="M1238" s="104">
        <f t="shared" si="77"/>
        <v>8.1440156987999988</v>
      </c>
      <c r="O1238" s="66"/>
      <c r="Q1238" s="66">
        <f t="shared" si="78"/>
        <v>15.138333237499998</v>
      </c>
    </row>
    <row r="1239" spans="1:17">
      <c r="A1239" s="112" t="s">
        <v>626</v>
      </c>
      <c r="B1239" s="111" t="s">
        <v>2251</v>
      </c>
      <c r="C1239" s="111" t="s">
        <v>2250</v>
      </c>
      <c r="D1239" s="112" t="s">
        <v>1759</v>
      </c>
      <c r="E1239" s="111" t="s">
        <v>75</v>
      </c>
      <c r="F1239" s="112" t="s">
        <v>1602</v>
      </c>
      <c r="G1239" s="111" t="s">
        <v>20</v>
      </c>
      <c r="H1239" s="111">
        <v>201608</v>
      </c>
      <c r="I1239" s="104">
        <v>66638.52</v>
      </c>
      <c r="J1239" s="297">
        <f t="shared" si="79"/>
        <v>42675</v>
      </c>
      <c r="K1239" s="67">
        <f t="shared" si="76"/>
        <v>6</v>
      </c>
      <c r="L1239" s="127">
        <v>1.4833299999999999E-3</v>
      </c>
      <c r="M1239" s="104">
        <f t="shared" si="77"/>
        <v>593.08149522960002</v>
      </c>
      <c r="O1239" s="66"/>
      <c r="Q1239" s="66">
        <f t="shared" si="78"/>
        <v>1102.4371322250001</v>
      </c>
    </row>
    <row r="1240" spans="1:17">
      <c r="A1240" s="112" t="s">
        <v>626</v>
      </c>
      <c r="B1240" s="111" t="s">
        <v>1945</v>
      </c>
      <c r="C1240" s="111" t="s">
        <v>1946</v>
      </c>
      <c r="D1240" s="112" t="s">
        <v>1947</v>
      </c>
      <c r="E1240" s="111" t="s">
        <v>93</v>
      </c>
      <c r="F1240" s="112" t="s">
        <v>1601</v>
      </c>
      <c r="G1240" s="111" t="s">
        <v>20</v>
      </c>
      <c r="H1240" s="111">
        <v>201608</v>
      </c>
      <c r="I1240" s="104">
        <v>714.89</v>
      </c>
      <c r="J1240" s="297">
        <f t="shared" si="79"/>
        <v>42675</v>
      </c>
      <c r="K1240" s="67">
        <f t="shared" si="76"/>
        <v>6</v>
      </c>
      <c r="L1240" s="127">
        <v>1.4833299999999999E-3</v>
      </c>
      <c r="M1240" s="104">
        <f t="shared" si="77"/>
        <v>6.3625067022000001</v>
      </c>
      <c r="O1240" s="66"/>
      <c r="Q1240" s="66">
        <f t="shared" si="78"/>
        <v>11.826812502083333</v>
      </c>
    </row>
    <row r="1241" spans="1:17">
      <c r="A1241" s="112" t="s">
        <v>626</v>
      </c>
      <c r="B1241" s="111" t="s">
        <v>1991</v>
      </c>
      <c r="C1241" s="111" t="s">
        <v>1992</v>
      </c>
      <c r="D1241" s="112" t="s">
        <v>1993</v>
      </c>
      <c r="E1241" s="111" t="s">
        <v>497</v>
      </c>
      <c r="F1241" s="112" t="s">
        <v>26</v>
      </c>
      <c r="G1241" s="111" t="s">
        <v>20</v>
      </c>
      <c r="H1241" s="111">
        <v>201608</v>
      </c>
      <c r="I1241" s="104">
        <v>442.02</v>
      </c>
      <c r="J1241" s="297">
        <f t="shared" si="79"/>
        <v>42675</v>
      </c>
      <c r="K1241" s="67">
        <f t="shared" si="76"/>
        <v>6</v>
      </c>
      <c r="L1241" s="127">
        <v>1.4833299999999999E-3</v>
      </c>
      <c r="M1241" s="104">
        <f t="shared" si="77"/>
        <v>3.9339691595999997</v>
      </c>
      <c r="O1241" s="66"/>
      <c r="Q1241" s="66">
        <f t="shared" si="78"/>
        <v>7.3125762874999998</v>
      </c>
    </row>
    <row r="1242" spans="1:17">
      <c r="A1242" s="112" t="s">
        <v>127</v>
      </c>
      <c r="B1242" s="111" t="s">
        <v>1994</v>
      </c>
      <c r="C1242" s="111" t="s">
        <v>1995</v>
      </c>
      <c r="D1242" s="112" t="s">
        <v>1996</v>
      </c>
      <c r="E1242" s="111" t="s">
        <v>87</v>
      </c>
      <c r="F1242" s="112" t="s">
        <v>1603</v>
      </c>
      <c r="G1242" s="111" t="s">
        <v>20</v>
      </c>
      <c r="H1242" s="111">
        <v>201608</v>
      </c>
      <c r="I1242" s="104">
        <v>362.79</v>
      </c>
      <c r="J1242" s="297">
        <f t="shared" si="79"/>
        <v>42675</v>
      </c>
      <c r="K1242" s="67">
        <f t="shared" si="76"/>
        <v>6</v>
      </c>
      <c r="L1242" s="313">
        <v>2.3833299999999999E-3</v>
      </c>
      <c r="M1242" s="104">
        <f t="shared" si="77"/>
        <v>5.1878897442000005</v>
      </c>
      <c r="O1242" s="66"/>
      <c r="Q1242" s="66">
        <f t="shared" si="78"/>
        <v>6.00183148125</v>
      </c>
    </row>
    <row r="1243" spans="1:17">
      <c r="A1243" s="112" t="s">
        <v>990</v>
      </c>
      <c r="B1243" s="125" t="s">
        <v>1681</v>
      </c>
      <c r="C1243" s="111" t="s">
        <v>2063</v>
      </c>
      <c r="D1243" s="112" t="s">
        <v>2064</v>
      </c>
      <c r="E1243" s="111" t="s">
        <v>1688</v>
      </c>
      <c r="F1243" s="112" t="s">
        <v>1689</v>
      </c>
      <c r="G1243" s="111" t="s">
        <v>20</v>
      </c>
      <c r="H1243" s="111">
        <v>201608</v>
      </c>
      <c r="I1243" s="104">
        <v>81.650000000000006</v>
      </c>
      <c r="J1243" s="297">
        <f t="shared" si="79"/>
        <v>42675</v>
      </c>
      <c r="K1243" s="67">
        <f t="shared" si="76"/>
        <v>6</v>
      </c>
      <c r="L1243" s="313">
        <v>2.3833299999999999E-3</v>
      </c>
      <c r="M1243" s="104">
        <f t="shared" si="77"/>
        <v>1.167593367</v>
      </c>
      <c r="O1243" s="66"/>
      <c r="Q1243" s="66">
        <f t="shared" si="78"/>
        <v>1.3507801770833334</v>
      </c>
    </row>
    <row r="1244" spans="1:17">
      <c r="A1244" s="112" t="s">
        <v>14</v>
      </c>
      <c r="B1244" s="125" t="s">
        <v>1681</v>
      </c>
      <c r="C1244" s="111" t="s">
        <v>2255</v>
      </c>
      <c r="D1244" s="112" t="s">
        <v>2256</v>
      </c>
      <c r="E1244" s="111" t="s">
        <v>209</v>
      </c>
      <c r="F1244" s="112" t="s">
        <v>1612</v>
      </c>
      <c r="G1244" s="111" t="s">
        <v>20</v>
      </c>
      <c r="H1244" s="111">
        <v>201608</v>
      </c>
      <c r="I1244" s="104">
        <v>1668.77</v>
      </c>
      <c r="J1244" s="297">
        <f t="shared" si="79"/>
        <v>42675</v>
      </c>
      <c r="K1244" s="67">
        <f t="shared" si="76"/>
        <v>6</v>
      </c>
      <c r="L1244" s="313">
        <v>2.23333E-3</v>
      </c>
      <c r="M1244" s="104">
        <f t="shared" si="77"/>
        <v>22.361484624599999</v>
      </c>
      <c r="O1244" s="66"/>
      <c r="Q1244" s="66">
        <f t="shared" si="78"/>
        <v>27.607366027083334</v>
      </c>
    </row>
    <row r="1245" spans="1:17">
      <c r="A1245" s="112" t="s">
        <v>626</v>
      </c>
      <c r="B1245" s="125" t="s">
        <v>1681</v>
      </c>
      <c r="C1245" s="111" t="s">
        <v>2255</v>
      </c>
      <c r="D1245" s="112" t="s">
        <v>2256</v>
      </c>
      <c r="E1245" s="111" t="s">
        <v>209</v>
      </c>
      <c r="F1245" s="112" t="s">
        <v>1612</v>
      </c>
      <c r="G1245" s="111" t="s">
        <v>20</v>
      </c>
      <c r="H1245" s="111">
        <v>201608</v>
      </c>
      <c r="I1245" s="104">
        <v>48962.01</v>
      </c>
      <c r="J1245" s="297">
        <f t="shared" si="79"/>
        <v>42675</v>
      </c>
      <c r="K1245" s="67">
        <f t="shared" si="76"/>
        <v>6</v>
      </c>
      <c r="L1245" s="127">
        <v>1.4833299999999999E-3</v>
      </c>
      <c r="M1245" s="104">
        <f t="shared" si="77"/>
        <v>435.76090975980003</v>
      </c>
      <c r="O1245" s="66"/>
      <c r="Q1245" s="66">
        <f t="shared" si="78"/>
        <v>810.00505251875006</v>
      </c>
    </row>
    <row r="1246" spans="1:17">
      <c r="A1246" s="112" t="s">
        <v>1942</v>
      </c>
      <c r="B1246" s="125" t="s">
        <v>1681</v>
      </c>
      <c r="C1246" s="111" t="s">
        <v>1997</v>
      </c>
      <c r="D1246" s="112" t="s">
        <v>1998</v>
      </c>
      <c r="E1246" s="111" t="s">
        <v>164</v>
      </c>
      <c r="F1246" s="112" t="s">
        <v>1600</v>
      </c>
      <c r="G1246" s="111" t="s">
        <v>20</v>
      </c>
      <c r="H1246" s="111">
        <v>201608</v>
      </c>
      <c r="I1246" s="104">
        <v>1.86</v>
      </c>
      <c r="J1246" s="297">
        <f t="shared" si="79"/>
        <v>42675</v>
      </c>
      <c r="K1246" s="67">
        <f t="shared" si="76"/>
        <v>6</v>
      </c>
      <c r="L1246" s="313">
        <v>2.23333E-3</v>
      </c>
      <c r="M1246" s="104">
        <f t="shared" si="77"/>
        <v>2.4923962799999998E-2</v>
      </c>
      <c r="O1246" s="66"/>
      <c r="Q1246" s="66">
        <f t="shared" si="78"/>
        <v>3.0770987500000003E-2</v>
      </c>
    </row>
    <row r="1247" spans="1:17">
      <c r="A1247" s="112" t="s">
        <v>626</v>
      </c>
      <c r="B1247" s="125" t="s">
        <v>1681</v>
      </c>
      <c r="C1247" s="111" t="s">
        <v>1997</v>
      </c>
      <c r="D1247" s="112" t="s">
        <v>1998</v>
      </c>
      <c r="E1247" s="111" t="s">
        <v>164</v>
      </c>
      <c r="F1247" s="112" t="s">
        <v>1600</v>
      </c>
      <c r="G1247" s="111" t="s">
        <v>20</v>
      </c>
      <c r="H1247" s="111">
        <v>201608</v>
      </c>
      <c r="I1247" s="104">
        <v>817.72</v>
      </c>
      <c r="J1247" s="297">
        <f t="shared" si="79"/>
        <v>42675</v>
      </c>
      <c r="K1247" s="67">
        <f t="shared" si="76"/>
        <v>6</v>
      </c>
      <c r="L1247" s="127">
        <v>1.4833299999999999E-3</v>
      </c>
      <c r="M1247" s="104">
        <f t="shared" si="77"/>
        <v>7.2776916456</v>
      </c>
      <c r="O1247" s="66"/>
      <c r="Q1247" s="66">
        <f t="shared" si="78"/>
        <v>13.527984891666668</v>
      </c>
    </row>
    <row r="1248" spans="1:17">
      <c r="A1248" s="112" t="s">
        <v>21</v>
      </c>
      <c r="B1248" s="125" t="s">
        <v>1681</v>
      </c>
      <c r="C1248" s="111" t="s">
        <v>2257</v>
      </c>
      <c r="D1248" s="112" t="s">
        <v>2258</v>
      </c>
      <c r="E1248" s="111" t="s">
        <v>93</v>
      </c>
      <c r="F1248" s="112" t="s">
        <v>1601</v>
      </c>
      <c r="G1248" s="111" t="s">
        <v>20</v>
      </c>
      <c r="H1248" s="111">
        <v>201608</v>
      </c>
      <c r="I1248" s="104">
        <v>5349.73</v>
      </c>
      <c r="J1248" s="297">
        <f t="shared" si="79"/>
        <v>42675</v>
      </c>
      <c r="K1248" s="67">
        <f t="shared" si="76"/>
        <v>6</v>
      </c>
      <c r="L1248" s="127">
        <v>1.4833299999999999E-3</v>
      </c>
      <c r="M1248" s="104">
        <f t="shared" si="77"/>
        <v>47.612490005399998</v>
      </c>
      <c r="O1248" s="66"/>
      <c r="Q1248" s="66">
        <f t="shared" si="78"/>
        <v>88.503481160416655</v>
      </c>
    </row>
    <row r="1249" spans="1:17">
      <c r="A1249" s="112" t="s">
        <v>626</v>
      </c>
      <c r="B1249" s="125" t="s">
        <v>1681</v>
      </c>
      <c r="C1249" s="111" t="s">
        <v>2257</v>
      </c>
      <c r="D1249" s="112" t="s">
        <v>2258</v>
      </c>
      <c r="E1249" s="111" t="s">
        <v>93</v>
      </c>
      <c r="F1249" s="112" t="s">
        <v>1601</v>
      </c>
      <c r="G1249" s="111" t="s">
        <v>20</v>
      </c>
      <c r="H1249" s="111">
        <v>201608</v>
      </c>
      <c r="I1249" s="104">
        <v>125343.76</v>
      </c>
      <c r="J1249" s="297">
        <f t="shared" si="79"/>
        <v>42675</v>
      </c>
      <c r="K1249" s="67">
        <f t="shared" si="76"/>
        <v>6</v>
      </c>
      <c r="L1249" s="127">
        <v>1.4833299999999999E-3</v>
      </c>
      <c r="M1249" s="104">
        <f t="shared" si="77"/>
        <v>1115.5569571248</v>
      </c>
      <c r="O1249" s="66"/>
      <c r="Q1249" s="66">
        <f t="shared" si="78"/>
        <v>2073.6297162166666</v>
      </c>
    </row>
    <row r="1250" spans="1:17">
      <c r="A1250" s="112" t="s">
        <v>1942</v>
      </c>
      <c r="B1250" s="125" t="s">
        <v>1681</v>
      </c>
      <c r="C1250" s="111" t="s">
        <v>1999</v>
      </c>
      <c r="D1250" s="112" t="s">
        <v>2000</v>
      </c>
      <c r="E1250" s="111" t="s">
        <v>75</v>
      </c>
      <c r="F1250" s="112" t="s">
        <v>1602</v>
      </c>
      <c r="G1250" s="111" t="s">
        <v>20</v>
      </c>
      <c r="H1250" s="111">
        <v>201608</v>
      </c>
      <c r="I1250" s="104">
        <v>46.54</v>
      </c>
      <c r="J1250" s="297">
        <f t="shared" si="79"/>
        <v>42675</v>
      </c>
      <c r="K1250" s="67">
        <f t="shared" si="76"/>
        <v>6</v>
      </c>
      <c r="L1250" s="313">
        <v>2.23333E-3</v>
      </c>
      <c r="M1250" s="104">
        <f t="shared" si="77"/>
        <v>0.62363506919999989</v>
      </c>
      <c r="O1250" s="66"/>
      <c r="Q1250" s="66">
        <f t="shared" si="78"/>
        <v>0.7699364291666666</v>
      </c>
    </row>
    <row r="1251" spans="1:17">
      <c r="A1251" s="112" t="s">
        <v>14</v>
      </c>
      <c r="B1251" s="125" t="s">
        <v>1681</v>
      </c>
      <c r="C1251" s="111" t="s">
        <v>1999</v>
      </c>
      <c r="D1251" s="112" t="s">
        <v>2000</v>
      </c>
      <c r="E1251" s="111" t="s">
        <v>75</v>
      </c>
      <c r="F1251" s="112" t="s">
        <v>1602</v>
      </c>
      <c r="G1251" s="111" t="s">
        <v>20</v>
      </c>
      <c r="H1251" s="111">
        <v>201608</v>
      </c>
      <c r="I1251" s="104">
        <v>1422.61</v>
      </c>
      <c r="J1251" s="297">
        <f t="shared" si="79"/>
        <v>42675</v>
      </c>
      <c r="K1251" s="67">
        <f t="shared" si="76"/>
        <v>6</v>
      </c>
      <c r="L1251" s="313">
        <v>2.23333E-3</v>
      </c>
      <c r="M1251" s="104">
        <f t="shared" si="77"/>
        <v>19.062945547799998</v>
      </c>
      <c r="O1251" s="66"/>
      <c r="Q1251" s="66">
        <f t="shared" si="78"/>
        <v>23.535007810416666</v>
      </c>
    </row>
    <row r="1252" spans="1:17">
      <c r="A1252" s="112" t="s">
        <v>626</v>
      </c>
      <c r="B1252" s="125" t="s">
        <v>1681</v>
      </c>
      <c r="C1252" s="111" t="s">
        <v>1999</v>
      </c>
      <c r="D1252" s="112" t="s">
        <v>2000</v>
      </c>
      <c r="E1252" s="111" t="s">
        <v>75</v>
      </c>
      <c r="F1252" s="112" t="s">
        <v>1602</v>
      </c>
      <c r="G1252" s="111" t="s">
        <v>20</v>
      </c>
      <c r="H1252" s="111">
        <v>201608</v>
      </c>
      <c r="I1252" s="104">
        <v>11123.03</v>
      </c>
      <c r="J1252" s="297">
        <f t="shared" si="79"/>
        <v>42675</v>
      </c>
      <c r="K1252" s="67">
        <f t="shared" si="76"/>
        <v>6</v>
      </c>
      <c r="L1252" s="127">
        <v>1.4833299999999999E-3</v>
      </c>
      <c r="M1252" s="104">
        <f t="shared" si="77"/>
        <v>98.994744539400003</v>
      </c>
      <c r="O1252" s="66"/>
      <c r="Q1252" s="66">
        <f t="shared" si="78"/>
        <v>184.01431026458334</v>
      </c>
    </row>
    <row r="1253" spans="1:17">
      <c r="A1253" s="112" t="s">
        <v>14</v>
      </c>
      <c r="B1253" s="125" t="s">
        <v>1681</v>
      </c>
      <c r="C1253" s="111" t="s">
        <v>2001</v>
      </c>
      <c r="D1253" s="112" t="s">
        <v>2002</v>
      </c>
      <c r="E1253" s="111" t="s">
        <v>164</v>
      </c>
      <c r="F1253" s="112" t="s">
        <v>1600</v>
      </c>
      <c r="G1253" s="111" t="s">
        <v>20</v>
      </c>
      <c r="H1253" s="111">
        <v>201608</v>
      </c>
      <c r="I1253" s="104">
        <v>4.6900000000000004</v>
      </c>
      <c r="J1253" s="297">
        <f t="shared" si="79"/>
        <v>42675</v>
      </c>
      <c r="K1253" s="67">
        <f t="shared" si="76"/>
        <v>6</v>
      </c>
      <c r="L1253" s="313">
        <v>2.23333E-3</v>
      </c>
      <c r="M1253" s="104">
        <f t="shared" si="77"/>
        <v>6.2845906199999996E-2</v>
      </c>
      <c r="O1253" s="66"/>
      <c r="Q1253" s="66">
        <f t="shared" si="78"/>
        <v>7.7589210416666679E-2</v>
      </c>
    </row>
    <row r="1254" spans="1:17">
      <c r="A1254" s="112" t="s">
        <v>626</v>
      </c>
      <c r="B1254" s="125" t="s">
        <v>1681</v>
      </c>
      <c r="C1254" s="111" t="s">
        <v>2001</v>
      </c>
      <c r="D1254" s="112" t="s">
        <v>2002</v>
      </c>
      <c r="E1254" s="111" t="s">
        <v>164</v>
      </c>
      <c r="F1254" s="112" t="s">
        <v>1600</v>
      </c>
      <c r="G1254" s="111" t="s">
        <v>20</v>
      </c>
      <c r="H1254" s="111">
        <v>201608</v>
      </c>
      <c r="I1254" s="104">
        <v>3438.14</v>
      </c>
      <c r="J1254" s="297">
        <f t="shared" si="79"/>
        <v>42675</v>
      </c>
      <c r="K1254" s="67">
        <f t="shared" ref="K1254:K1317" si="80">((YEAR($K$1)-YEAR(J1254))*12+MONTH($K$1)-MONTH(J1254))</f>
        <v>6</v>
      </c>
      <c r="L1254" s="127">
        <v>1.4833299999999999E-3</v>
      </c>
      <c r="M1254" s="104">
        <f t="shared" ref="M1254:M1317" si="81">L1254*K1254*I1254</f>
        <v>30.599377237199999</v>
      </c>
      <c r="O1254" s="66"/>
      <c r="Q1254" s="66">
        <f t="shared" si="78"/>
        <v>56.879012345833331</v>
      </c>
    </row>
    <row r="1255" spans="1:17">
      <c r="A1255" s="112" t="s">
        <v>626</v>
      </c>
      <c r="B1255" s="125" t="s">
        <v>1681</v>
      </c>
      <c r="C1255" s="111" t="s">
        <v>2259</v>
      </c>
      <c r="D1255" s="112" t="s">
        <v>2260</v>
      </c>
      <c r="E1255" s="111" t="s">
        <v>209</v>
      </c>
      <c r="F1255" s="112" t="s">
        <v>1612</v>
      </c>
      <c r="G1255" s="111" t="s">
        <v>20</v>
      </c>
      <c r="H1255" s="111">
        <v>201608</v>
      </c>
      <c r="I1255" s="104">
        <v>165982.85999999999</v>
      </c>
      <c r="J1255" s="297">
        <f t="shared" si="79"/>
        <v>42675</v>
      </c>
      <c r="K1255" s="67">
        <f t="shared" si="80"/>
        <v>6</v>
      </c>
      <c r="L1255" s="127">
        <v>1.4833299999999999E-3</v>
      </c>
      <c r="M1255" s="104">
        <f t="shared" si="81"/>
        <v>1477.2441343428</v>
      </c>
      <c r="O1255" s="66"/>
      <c r="Q1255" s="66">
        <f t="shared" si="78"/>
        <v>2745.9443603625</v>
      </c>
    </row>
    <row r="1256" spans="1:17">
      <c r="A1256" s="112" t="s">
        <v>14</v>
      </c>
      <c r="B1256" s="125" t="s">
        <v>1681</v>
      </c>
      <c r="C1256" s="111" t="s">
        <v>2003</v>
      </c>
      <c r="D1256" s="112" t="s">
        <v>2004</v>
      </c>
      <c r="E1256" s="111" t="s">
        <v>164</v>
      </c>
      <c r="F1256" s="112" t="s">
        <v>1600</v>
      </c>
      <c r="G1256" s="111" t="s">
        <v>20</v>
      </c>
      <c r="H1256" s="111">
        <v>201608</v>
      </c>
      <c r="I1256" s="104">
        <v>10.75</v>
      </c>
      <c r="J1256" s="297">
        <f t="shared" si="79"/>
        <v>42675</v>
      </c>
      <c r="K1256" s="67">
        <f t="shared" si="80"/>
        <v>6</v>
      </c>
      <c r="L1256" s="313">
        <v>2.23333E-3</v>
      </c>
      <c r="M1256" s="104">
        <f t="shared" si="81"/>
        <v>0.14404978499999999</v>
      </c>
      <c r="O1256" s="66"/>
      <c r="Q1256" s="66">
        <f t="shared" si="78"/>
        <v>0.17784307291666668</v>
      </c>
    </row>
    <row r="1257" spans="1:17">
      <c r="A1257" s="112" t="s">
        <v>21</v>
      </c>
      <c r="B1257" s="125" t="s">
        <v>1681</v>
      </c>
      <c r="C1257" s="111" t="s">
        <v>2003</v>
      </c>
      <c r="D1257" s="112" t="s">
        <v>2004</v>
      </c>
      <c r="E1257" s="111" t="s">
        <v>164</v>
      </c>
      <c r="F1257" s="112" t="s">
        <v>1600</v>
      </c>
      <c r="G1257" s="111" t="s">
        <v>20</v>
      </c>
      <c r="H1257" s="111">
        <v>201608</v>
      </c>
      <c r="I1257" s="104">
        <v>10.86</v>
      </c>
      <c r="J1257" s="297">
        <f t="shared" si="79"/>
        <v>42675</v>
      </c>
      <c r="K1257" s="67">
        <f t="shared" si="80"/>
        <v>6</v>
      </c>
      <c r="L1257" s="127">
        <v>1.4833299999999999E-3</v>
      </c>
      <c r="M1257" s="104">
        <f t="shared" si="81"/>
        <v>9.665378279999999E-2</v>
      </c>
      <c r="O1257" s="66"/>
      <c r="Q1257" s="66">
        <f t="shared" si="78"/>
        <v>0.17966286249999999</v>
      </c>
    </row>
    <row r="1258" spans="1:17">
      <c r="A1258" s="112" t="s">
        <v>626</v>
      </c>
      <c r="B1258" s="125" t="s">
        <v>1681</v>
      </c>
      <c r="C1258" s="111" t="s">
        <v>2003</v>
      </c>
      <c r="D1258" s="112" t="s">
        <v>2004</v>
      </c>
      <c r="E1258" s="111" t="s">
        <v>164</v>
      </c>
      <c r="F1258" s="112" t="s">
        <v>1600</v>
      </c>
      <c r="G1258" s="111" t="s">
        <v>20</v>
      </c>
      <c r="H1258" s="111">
        <v>201608</v>
      </c>
      <c r="I1258" s="104">
        <v>223.42</v>
      </c>
      <c r="J1258" s="297">
        <f t="shared" si="79"/>
        <v>42675</v>
      </c>
      <c r="K1258" s="67">
        <f t="shared" si="80"/>
        <v>6</v>
      </c>
      <c r="L1258" s="127">
        <v>1.4833299999999999E-3</v>
      </c>
      <c r="M1258" s="104">
        <f t="shared" si="81"/>
        <v>1.9884335315999999</v>
      </c>
      <c r="O1258" s="66"/>
      <c r="Q1258" s="66">
        <f t="shared" si="78"/>
        <v>3.6961580791666666</v>
      </c>
    </row>
    <row r="1259" spans="1:17">
      <c r="A1259" s="112" t="s">
        <v>14</v>
      </c>
      <c r="B1259" s="125" t="s">
        <v>1681</v>
      </c>
      <c r="C1259" s="111" t="s">
        <v>2005</v>
      </c>
      <c r="D1259" s="112" t="s">
        <v>2006</v>
      </c>
      <c r="E1259" s="111" t="s">
        <v>87</v>
      </c>
      <c r="F1259" s="112" t="s">
        <v>1603</v>
      </c>
      <c r="G1259" s="111" t="s">
        <v>20</v>
      </c>
      <c r="H1259" s="111">
        <v>201608</v>
      </c>
      <c r="I1259" s="104">
        <v>1.98</v>
      </c>
      <c r="J1259" s="297">
        <f t="shared" si="79"/>
        <v>42675</v>
      </c>
      <c r="K1259" s="67">
        <f t="shared" si="80"/>
        <v>6</v>
      </c>
      <c r="L1259" s="313">
        <v>2.23333E-3</v>
      </c>
      <c r="M1259" s="104">
        <f t="shared" si="81"/>
        <v>2.6531960399999999E-2</v>
      </c>
      <c r="O1259" s="66"/>
      <c r="Q1259" s="66">
        <f t="shared" si="78"/>
        <v>3.27562125E-2</v>
      </c>
    </row>
    <row r="1260" spans="1:17">
      <c r="A1260" s="112" t="s">
        <v>626</v>
      </c>
      <c r="B1260" s="125" t="s">
        <v>1681</v>
      </c>
      <c r="C1260" s="111" t="s">
        <v>2005</v>
      </c>
      <c r="D1260" s="112" t="s">
        <v>2006</v>
      </c>
      <c r="E1260" s="111" t="s">
        <v>87</v>
      </c>
      <c r="F1260" s="112" t="s">
        <v>1603</v>
      </c>
      <c r="G1260" s="111" t="s">
        <v>20</v>
      </c>
      <c r="H1260" s="111">
        <v>201608</v>
      </c>
      <c r="I1260" s="104">
        <v>612.71</v>
      </c>
      <c r="J1260" s="297">
        <f t="shared" si="79"/>
        <v>42675</v>
      </c>
      <c r="K1260" s="67">
        <f t="shared" si="80"/>
        <v>6</v>
      </c>
      <c r="L1260" s="127">
        <v>1.4833299999999999E-3</v>
      </c>
      <c r="M1260" s="104">
        <f t="shared" si="81"/>
        <v>5.4531067458000004</v>
      </c>
      <c r="O1260" s="66"/>
      <c r="Q1260" s="66">
        <f t="shared" si="78"/>
        <v>10.136393414583335</v>
      </c>
    </row>
    <row r="1261" spans="1:17">
      <c r="A1261" s="112" t="s">
        <v>626</v>
      </c>
      <c r="B1261" s="125" t="s">
        <v>1681</v>
      </c>
      <c r="C1261" s="111" t="s">
        <v>1853</v>
      </c>
      <c r="D1261" s="112" t="s">
        <v>1854</v>
      </c>
      <c r="E1261" s="111" t="s">
        <v>260</v>
      </c>
      <c r="F1261" s="112" t="s">
        <v>1608</v>
      </c>
      <c r="G1261" s="111" t="s">
        <v>20</v>
      </c>
      <c r="H1261" s="111">
        <v>201608</v>
      </c>
      <c r="I1261" s="104">
        <v>-2507.64</v>
      </c>
      <c r="J1261" s="297">
        <f t="shared" si="79"/>
        <v>42675</v>
      </c>
      <c r="K1261" s="67">
        <f t="shared" si="80"/>
        <v>6</v>
      </c>
      <c r="L1261" s="127">
        <v>1.4833299999999999E-3</v>
      </c>
      <c r="M1261" s="104">
        <f t="shared" si="81"/>
        <v>-22.317945847200001</v>
      </c>
      <c r="O1261" s="66"/>
      <c r="Q1261" s="66">
        <f t="shared" si="78"/>
        <v>-41.485246824999997</v>
      </c>
    </row>
    <row r="1262" spans="1:17">
      <c r="A1262" s="112" t="s">
        <v>14</v>
      </c>
      <c r="B1262" s="125" t="s">
        <v>1681</v>
      </c>
      <c r="C1262" s="111" t="s">
        <v>2065</v>
      </c>
      <c r="D1262" s="112" t="s">
        <v>2066</v>
      </c>
      <c r="E1262" s="111" t="s">
        <v>209</v>
      </c>
      <c r="F1262" s="112" t="s">
        <v>1612</v>
      </c>
      <c r="G1262" s="111" t="s">
        <v>20</v>
      </c>
      <c r="H1262" s="111">
        <v>201608</v>
      </c>
      <c r="I1262" s="104">
        <v>1.5</v>
      </c>
      <c r="J1262" s="297">
        <f t="shared" si="79"/>
        <v>42675</v>
      </c>
      <c r="K1262" s="67">
        <f t="shared" si="80"/>
        <v>6</v>
      </c>
      <c r="L1262" s="313">
        <v>2.23333E-3</v>
      </c>
      <c r="M1262" s="104">
        <f t="shared" si="81"/>
        <v>2.0099969999999998E-2</v>
      </c>
      <c r="O1262" s="66"/>
      <c r="Q1262" s="66">
        <f t="shared" si="78"/>
        <v>2.4815312499999999E-2</v>
      </c>
    </row>
    <row r="1263" spans="1:17">
      <c r="A1263" s="112" t="s">
        <v>626</v>
      </c>
      <c r="B1263" s="125" t="s">
        <v>1681</v>
      </c>
      <c r="C1263" s="111" t="s">
        <v>2065</v>
      </c>
      <c r="D1263" s="112" t="s">
        <v>2066</v>
      </c>
      <c r="E1263" s="111" t="s">
        <v>209</v>
      </c>
      <c r="F1263" s="112" t="s">
        <v>1612</v>
      </c>
      <c r="G1263" s="111" t="s">
        <v>20</v>
      </c>
      <c r="H1263" s="111">
        <v>201608</v>
      </c>
      <c r="I1263" s="104">
        <v>283.74</v>
      </c>
      <c r="J1263" s="297">
        <f t="shared" si="79"/>
        <v>42675</v>
      </c>
      <c r="K1263" s="67">
        <f t="shared" si="80"/>
        <v>6</v>
      </c>
      <c r="L1263" s="127">
        <v>1.4833299999999999E-3</v>
      </c>
      <c r="M1263" s="104">
        <f t="shared" si="81"/>
        <v>2.5252803252000002</v>
      </c>
      <c r="O1263" s="66"/>
      <c r="Q1263" s="66">
        <f t="shared" si="78"/>
        <v>4.6940645124999998</v>
      </c>
    </row>
    <row r="1264" spans="1:17">
      <c r="A1264" s="112" t="s">
        <v>626</v>
      </c>
      <c r="B1264" s="125" t="s">
        <v>1681</v>
      </c>
      <c r="C1264" s="111" t="s">
        <v>2067</v>
      </c>
      <c r="D1264" s="112" t="s">
        <v>2068</v>
      </c>
      <c r="E1264" s="111" t="s">
        <v>93</v>
      </c>
      <c r="F1264" s="112" t="s">
        <v>1601</v>
      </c>
      <c r="G1264" s="111" t="s">
        <v>20</v>
      </c>
      <c r="H1264" s="111">
        <v>201608</v>
      </c>
      <c r="I1264" s="104">
        <v>12.73</v>
      </c>
      <c r="J1264" s="297">
        <f t="shared" si="79"/>
        <v>42675</v>
      </c>
      <c r="K1264" s="67">
        <f t="shared" si="80"/>
        <v>6</v>
      </c>
      <c r="L1264" s="127">
        <v>1.4833299999999999E-3</v>
      </c>
      <c r="M1264" s="104">
        <f t="shared" si="81"/>
        <v>0.11329674540000001</v>
      </c>
      <c r="O1264" s="66"/>
      <c r="Q1264" s="66">
        <f t="shared" si="78"/>
        <v>0.21059928541666667</v>
      </c>
    </row>
    <row r="1265" spans="1:17">
      <c r="A1265" s="112" t="s">
        <v>14</v>
      </c>
      <c r="B1265" s="125" t="s">
        <v>1681</v>
      </c>
      <c r="C1265" s="111" t="s">
        <v>2261</v>
      </c>
      <c r="D1265" s="112" t="s">
        <v>2262</v>
      </c>
      <c r="E1265" s="111" t="s">
        <v>75</v>
      </c>
      <c r="F1265" s="112" t="s">
        <v>1602</v>
      </c>
      <c r="G1265" s="111" t="s">
        <v>20</v>
      </c>
      <c r="H1265" s="111">
        <v>201608</v>
      </c>
      <c r="I1265" s="104">
        <v>17.21</v>
      </c>
      <c r="J1265" s="297">
        <f t="shared" si="79"/>
        <v>42675</v>
      </c>
      <c r="K1265" s="67">
        <f t="shared" si="80"/>
        <v>6</v>
      </c>
      <c r="L1265" s="313">
        <v>2.23333E-3</v>
      </c>
      <c r="M1265" s="104">
        <f t="shared" si="81"/>
        <v>0.23061365579999998</v>
      </c>
      <c r="O1265" s="66"/>
      <c r="Q1265" s="66">
        <f t="shared" si="78"/>
        <v>0.28471435208333334</v>
      </c>
    </row>
    <row r="1266" spans="1:17">
      <c r="A1266" s="112" t="s">
        <v>21</v>
      </c>
      <c r="B1266" s="125" t="s">
        <v>1681</v>
      </c>
      <c r="C1266" s="111" t="s">
        <v>2261</v>
      </c>
      <c r="D1266" s="112" t="s">
        <v>2262</v>
      </c>
      <c r="E1266" s="111" t="s">
        <v>75</v>
      </c>
      <c r="F1266" s="112" t="s">
        <v>1602</v>
      </c>
      <c r="G1266" s="111" t="s">
        <v>20</v>
      </c>
      <c r="H1266" s="111">
        <v>201608</v>
      </c>
      <c r="I1266" s="104">
        <v>406.01</v>
      </c>
      <c r="J1266" s="297">
        <f t="shared" si="79"/>
        <v>42675</v>
      </c>
      <c r="K1266" s="67">
        <f t="shared" si="80"/>
        <v>6</v>
      </c>
      <c r="L1266" s="127">
        <v>1.4833299999999999E-3</v>
      </c>
      <c r="M1266" s="104">
        <f t="shared" si="81"/>
        <v>3.6134808798</v>
      </c>
      <c r="O1266" s="66"/>
      <c r="Q1266" s="66">
        <f t="shared" si="78"/>
        <v>6.7168433520833331</v>
      </c>
    </row>
    <row r="1267" spans="1:17">
      <c r="A1267" s="112" t="s">
        <v>626</v>
      </c>
      <c r="B1267" s="125" t="s">
        <v>1681</v>
      </c>
      <c r="C1267" s="111" t="s">
        <v>2261</v>
      </c>
      <c r="D1267" s="112" t="s">
        <v>2262</v>
      </c>
      <c r="E1267" s="111" t="s">
        <v>75</v>
      </c>
      <c r="F1267" s="112" t="s">
        <v>1602</v>
      </c>
      <c r="G1267" s="111" t="s">
        <v>20</v>
      </c>
      <c r="H1267" s="111">
        <v>201608</v>
      </c>
      <c r="I1267" s="104">
        <v>106961.46</v>
      </c>
      <c r="J1267" s="297">
        <f t="shared" si="79"/>
        <v>42675</v>
      </c>
      <c r="K1267" s="67">
        <f t="shared" si="80"/>
        <v>6</v>
      </c>
      <c r="L1267" s="127">
        <v>1.4833299999999999E-3</v>
      </c>
      <c r="M1267" s="104">
        <f t="shared" si="81"/>
        <v>951.95485477080001</v>
      </c>
      <c r="O1267" s="66"/>
      <c r="Q1267" s="66">
        <f t="shared" si="78"/>
        <v>1769.5213702375002</v>
      </c>
    </row>
    <row r="1268" spans="1:17">
      <c r="A1268" s="112" t="s">
        <v>14</v>
      </c>
      <c r="B1268" s="125" t="s">
        <v>1681</v>
      </c>
      <c r="C1268" s="111" t="s">
        <v>2263</v>
      </c>
      <c r="D1268" s="112" t="s">
        <v>2264</v>
      </c>
      <c r="E1268" s="111" t="s">
        <v>75</v>
      </c>
      <c r="F1268" s="112" t="s">
        <v>1602</v>
      </c>
      <c r="G1268" s="111" t="s">
        <v>20</v>
      </c>
      <c r="H1268" s="111">
        <v>201608</v>
      </c>
      <c r="I1268" s="104">
        <v>456.12</v>
      </c>
      <c r="J1268" s="297">
        <f t="shared" si="79"/>
        <v>42675</v>
      </c>
      <c r="K1268" s="67">
        <f t="shared" si="80"/>
        <v>6</v>
      </c>
      <c r="L1268" s="313">
        <v>2.23333E-3</v>
      </c>
      <c r="M1268" s="104">
        <f t="shared" si="81"/>
        <v>6.1119988775999996</v>
      </c>
      <c r="O1268" s="66"/>
      <c r="Q1268" s="66">
        <f t="shared" si="78"/>
        <v>7.5458402249999992</v>
      </c>
    </row>
    <row r="1269" spans="1:17">
      <c r="A1269" s="112" t="s">
        <v>626</v>
      </c>
      <c r="B1269" s="125" t="s">
        <v>1681</v>
      </c>
      <c r="C1269" s="111" t="s">
        <v>2263</v>
      </c>
      <c r="D1269" s="112" t="s">
        <v>2264</v>
      </c>
      <c r="E1269" s="111" t="s">
        <v>75</v>
      </c>
      <c r="F1269" s="112" t="s">
        <v>1602</v>
      </c>
      <c r="G1269" s="111" t="s">
        <v>20</v>
      </c>
      <c r="H1269" s="111">
        <v>201608</v>
      </c>
      <c r="I1269" s="104">
        <v>105294.87</v>
      </c>
      <c r="J1269" s="297">
        <f t="shared" si="79"/>
        <v>42675</v>
      </c>
      <c r="K1269" s="67">
        <f t="shared" si="80"/>
        <v>6</v>
      </c>
      <c r="L1269" s="127">
        <v>1.4833299999999999E-3</v>
      </c>
      <c r="M1269" s="104">
        <f t="shared" si="81"/>
        <v>937.12223710259991</v>
      </c>
      <c r="O1269" s="66"/>
      <c r="Q1269" s="66">
        <f t="shared" si="78"/>
        <v>1741.9500691312498</v>
      </c>
    </row>
    <row r="1270" spans="1:17">
      <c r="A1270" s="112" t="s">
        <v>626</v>
      </c>
      <c r="B1270" s="125" t="s">
        <v>1681</v>
      </c>
      <c r="C1270" s="111" t="s">
        <v>2007</v>
      </c>
      <c r="D1270" s="112" t="s">
        <v>2008</v>
      </c>
      <c r="E1270" s="111" t="s">
        <v>260</v>
      </c>
      <c r="F1270" s="112" t="s">
        <v>1608</v>
      </c>
      <c r="G1270" s="111" t="s">
        <v>20</v>
      </c>
      <c r="H1270" s="111">
        <v>201608</v>
      </c>
      <c r="I1270" s="104">
        <v>994.8</v>
      </c>
      <c r="J1270" s="297">
        <f t="shared" si="79"/>
        <v>42675</v>
      </c>
      <c r="K1270" s="67">
        <f t="shared" si="80"/>
        <v>6</v>
      </c>
      <c r="L1270" s="127">
        <v>1.4833299999999999E-3</v>
      </c>
      <c r="M1270" s="104">
        <f t="shared" si="81"/>
        <v>8.8537001039999996</v>
      </c>
      <c r="O1270" s="66"/>
      <c r="Q1270" s="66">
        <f t="shared" si="78"/>
        <v>16.45751525</v>
      </c>
    </row>
    <row r="1271" spans="1:17">
      <c r="A1271" s="112" t="s">
        <v>14</v>
      </c>
      <c r="B1271" s="125" t="s">
        <v>1681</v>
      </c>
      <c r="C1271" s="111" t="s">
        <v>2009</v>
      </c>
      <c r="D1271" s="112" t="s">
        <v>2010</v>
      </c>
      <c r="E1271" s="111" t="s">
        <v>260</v>
      </c>
      <c r="F1271" s="112" t="s">
        <v>1608</v>
      </c>
      <c r="G1271" s="111" t="s">
        <v>20</v>
      </c>
      <c r="H1271" s="111">
        <v>201608</v>
      </c>
      <c r="I1271" s="104">
        <v>89.16</v>
      </c>
      <c r="J1271" s="297">
        <f t="shared" si="79"/>
        <v>42675</v>
      </c>
      <c r="K1271" s="67">
        <f t="shared" si="80"/>
        <v>6</v>
      </c>
      <c r="L1271" s="313">
        <v>2.23333E-3</v>
      </c>
      <c r="M1271" s="104">
        <f t="shared" si="81"/>
        <v>1.1947422167999999</v>
      </c>
      <c r="O1271" s="66"/>
      <c r="Q1271" s="66">
        <f t="shared" si="78"/>
        <v>1.4750221750000001</v>
      </c>
    </row>
    <row r="1272" spans="1:17">
      <c r="A1272" s="112" t="s">
        <v>626</v>
      </c>
      <c r="B1272" s="125" t="s">
        <v>1681</v>
      </c>
      <c r="C1272" s="111" t="s">
        <v>2009</v>
      </c>
      <c r="D1272" s="112" t="s">
        <v>2010</v>
      </c>
      <c r="E1272" s="111" t="s">
        <v>260</v>
      </c>
      <c r="F1272" s="112" t="s">
        <v>1608</v>
      </c>
      <c r="G1272" s="111" t="s">
        <v>20</v>
      </c>
      <c r="H1272" s="111">
        <v>201608</v>
      </c>
      <c r="I1272" s="104">
        <v>4726.62</v>
      </c>
      <c r="J1272" s="297">
        <f t="shared" si="79"/>
        <v>42675</v>
      </c>
      <c r="K1272" s="67">
        <f t="shared" si="80"/>
        <v>6</v>
      </c>
      <c r="L1272" s="127">
        <v>1.4833299999999999E-3</v>
      </c>
      <c r="M1272" s="104">
        <f t="shared" si="81"/>
        <v>42.066823467600003</v>
      </c>
      <c r="O1272" s="66"/>
      <c r="Q1272" s="66">
        <f t="shared" si="78"/>
        <v>78.195034912500006</v>
      </c>
    </row>
    <row r="1273" spans="1:17">
      <c r="A1273" s="112" t="s">
        <v>14</v>
      </c>
      <c r="B1273" s="125" t="s">
        <v>1681</v>
      </c>
      <c r="C1273" s="111" t="s">
        <v>2011</v>
      </c>
      <c r="D1273" s="112" t="s">
        <v>2012</v>
      </c>
      <c r="E1273" s="111" t="s">
        <v>260</v>
      </c>
      <c r="F1273" s="112" t="s">
        <v>1608</v>
      </c>
      <c r="G1273" s="111" t="s">
        <v>20</v>
      </c>
      <c r="H1273" s="111">
        <v>201608</v>
      </c>
      <c r="I1273" s="104">
        <v>70.010000000000005</v>
      </c>
      <c r="J1273" s="297">
        <f t="shared" si="79"/>
        <v>42675</v>
      </c>
      <c r="K1273" s="67">
        <f t="shared" si="80"/>
        <v>6</v>
      </c>
      <c r="L1273" s="313">
        <v>2.23333E-3</v>
      </c>
      <c r="M1273" s="104">
        <f t="shared" si="81"/>
        <v>0.93813259979999997</v>
      </c>
      <c r="O1273" s="66"/>
      <c r="Q1273" s="66">
        <f t="shared" si="78"/>
        <v>1.1582133520833333</v>
      </c>
    </row>
    <row r="1274" spans="1:17">
      <c r="A1274" s="112" t="s">
        <v>626</v>
      </c>
      <c r="B1274" s="125" t="s">
        <v>1681</v>
      </c>
      <c r="C1274" s="111" t="s">
        <v>2011</v>
      </c>
      <c r="D1274" s="112" t="s">
        <v>2012</v>
      </c>
      <c r="E1274" s="111" t="s">
        <v>260</v>
      </c>
      <c r="F1274" s="112" t="s">
        <v>1608</v>
      </c>
      <c r="G1274" s="111" t="s">
        <v>20</v>
      </c>
      <c r="H1274" s="111">
        <v>201608</v>
      </c>
      <c r="I1274" s="104">
        <v>3130.24</v>
      </c>
      <c r="J1274" s="297">
        <f t="shared" si="79"/>
        <v>42675</v>
      </c>
      <c r="K1274" s="67">
        <f t="shared" si="80"/>
        <v>6</v>
      </c>
      <c r="L1274" s="127">
        <v>1.4833299999999999E-3</v>
      </c>
      <c r="M1274" s="104">
        <f t="shared" si="81"/>
        <v>27.859073395199999</v>
      </c>
      <c r="O1274" s="66"/>
      <c r="Q1274" s="66">
        <f t="shared" si="78"/>
        <v>51.785255866666667</v>
      </c>
    </row>
    <row r="1275" spans="1:17">
      <c r="A1275" s="112" t="s">
        <v>14</v>
      </c>
      <c r="B1275" s="125" t="s">
        <v>1681</v>
      </c>
      <c r="C1275" s="111" t="s">
        <v>2069</v>
      </c>
      <c r="D1275" s="112" t="s">
        <v>2070</v>
      </c>
      <c r="E1275" s="111" t="s">
        <v>164</v>
      </c>
      <c r="F1275" s="112" t="s">
        <v>1600</v>
      </c>
      <c r="G1275" s="111" t="s">
        <v>20</v>
      </c>
      <c r="H1275" s="111">
        <v>201608</v>
      </c>
      <c r="I1275" s="104">
        <v>444.37</v>
      </c>
      <c r="J1275" s="297">
        <f t="shared" si="79"/>
        <v>42675</v>
      </c>
      <c r="K1275" s="67">
        <f t="shared" si="80"/>
        <v>6</v>
      </c>
      <c r="L1275" s="313">
        <v>2.23333E-3</v>
      </c>
      <c r="M1275" s="104">
        <f t="shared" si="81"/>
        <v>5.9545491125999996</v>
      </c>
      <c r="O1275" s="66"/>
      <c r="Q1275" s="66">
        <f t="shared" si="78"/>
        <v>7.3514536104166677</v>
      </c>
    </row>
    <row r="1276" spans="1:17">
      <c r="A1276" s="112" t="s">
        <v>626</v>
      </c>
      <c r="B1276" s="125" t="s">
        <v>1681</v>
      </c>
      <c r="C1276" s="111" t="s">
        <v>2069</v>
      </c>
      <c r="D1276" s="112" t="s">
        <v>2070</v>
      </c>
      <c r="E1276" s="111" t="s">
        <v>164</v>
      </c>
      <c r="F1276" s="112" t="s">
        <v>1600</v>
      </c>
      <c r="G1276" s="111" t="s">
        <v>20</v>
      </c>
      <c r="H1276" s="111">
        <v>201608</v>
      </c>
      <c r="I1276" s="104">
        <v>2082.6</v>
      </c>
      <c r="J1276" s="297">
        <f t="shared" si="79"/>
        <v>42675</v>
      </c>
      <c r="K1276" s="67">
        <f t="shared" si="80"/>
        <v>6</v>
      </c>
      <c r="L1276" s="127">
        <v>1.4833299999999999E-3</v>
      </c>
      <c r="M1276" s="104">
        <f t="shared" si="81"/>
        <v>18.535098347999998</v>
      </c>
      <c r="O1276" s="66"/>
      <c r="Q1276" s="66">
        <f t="shared" si="78"/>
        <v>34.453579874999996</v>
      </c>
    </row>
    <row r="1277" spans="1:17">
      <c r="A1277" s="112" t="s">
        <v>626</v>
      </c>
      <c r="B1277" s="125" t="s">
        <v>1681</v>
      </c>
      <c r="C1277" s="111" t="s">
        <v>2265</v>
      </c>
      <c r="D1277" s="112" t="s">
        <v>2266</v>
      </c>
      <c r="E1277" s="111" t="s">
        <v>164</v>
      </c>
      <c r="F1277" s="112" t="s">
        <v>1600</v>
      </c>
      <c r="G1277" s="111" t="s">
        <v>20</v>
      </c>
      <c r="H1277" s="111">
        <v>201608</v>
      </c>
      <c r="I1277" s="104">
        <v>462798.54</v>
      </c>
      <c r="J1277" s="297">
        <f t="shared" si="79"/>
        <v>42675</v>
      </c>
      <c r="K1277" s="67">
        <f t="shared" si="80"/>
        <v>6</v>
      </c>
      <c r="L1277" s="127">
        <v>1.4833299999999999E-3</v>
      </c>
      <c r="M1277" s="104">
        <f t="shared" si="81"/>
        <v>4118.8977500291994</v>
      </c>
      <c r="O1277" s="66"/>
      <c r="Q1277" s="66">
        <f t="shared" si="78"/>
        <v>7656.3269297624993</v>
      </c>
    </row>
    <row r="1278" spans="1:17">
      <c r="A1278" s="112" t="s">
        <v>14</v>
      </c>
      <c r="B1278" s="125" t="s">
        <v>1681</v>
      </c>
      <c r="C1278" s="111" t="s">
        <v>2267</v>
      </c>
      <c r="D1278" s="112" t="s">
        <v>2268</v>
      </c>
      <c r="E1278" s="111" t="s">
        <v>260</v>
      </c>
      <c r="F1278" s="112" t="s">
        <v>1608</v>
      </c>
      <c r="G1278" s="111" t="s">
        <v>20</v>
      </c>
      <c r="H1278" s="111">
        <v>201608</v>
      </c>
      <c r="I1278" s="104">
        <v>110291.85</v>
      </c>
      <c r="J1278" s="297">
        <f t="shared" si="79"/>
        <v>42675</v>
      </c>
      <c r="K1278" s="67">
        <f t="shared" si="80"/>
        <v>6</v>
      </c>
      <c r="L1278" s="313">
        <v>2.23333E-3</v>
      </c>
      <c r="M1278" s="104">
        <f t="shared" si="81"/>
        <v>1477.9085841629999</v>
      </c>
      <c r="O1278" s="66"/>
      <c r="Q1278" s="66">
        <f t="shared" si="78"/>
        <v>1824.6178159687502</v>
      </c>
    </row>
    <row r="1279" spans="1:17">
      <c r="A1279" s="112" t="s">
        <v>626</v>
      </c>
      <c r="B1279" s="125" t="s">
        <v>1681</v>
      </c>
      <c r="C1279" s="111" t="s">
        <v>2267</v>
      </c>
      <c r="D1279" s="112" t="s">
        <v>2268</v>
      </c>
      <c r="E1279" s="111" t="s">
        <v>260</v>
      </c>
      <c r="F1279" s="112" t="s">
        <v>1608</v>
      </c>
      <c r="G1279" s="111" t="s">
        <v>20</v>
      </c>
      <c r="H1279" s="111">
        <v>201608</v>
      </c>
      <c r="I1279" s="104">
        <v>532655.48</v>
      </c>
      <c r="J1279" s="297">
        <f t="shared" si="79"/>
        <v>42675</v>
      </c>
      <c r="K1279" s="67">
        <f t="shared" si="80"/>
        <v>6</v>
      </c>
      <c r="L1279" s="127">
        <v>1.4833299999999999E-3</v>
      </c>
      <c r="M1279" s="104">
        <f t="shared" si="81"/>
        <v>4740.6231188904003</v>
      </c>
      <c r="O1279" s="66"/>
      <c r="Q1279" s="66">
        <f t="shared" si="78"/>
        <v>8812.0081273583346</v>
      </c>
    </row>
    <row r="1280" spans="1:17">
      <c r="A1280" s="112" t="s">
        <v>626</v>
      </c>
      <c r="B1280" s="125" t="s">
        <v>1681</v>
      </c>
      <c r="C1280" s="111" t="s">
        <v>2071</v>
      </c>
      <c r="D1280" s="112" t="s">
        <v>2072</v>
      </c>
      <c r="E1280" s="111" t="s">
        <v>260</v>
      </c>
      <c r="F1280" s="112" t="s">
        <v>1608</v>
      </c>
      <c r="G1280" s="111" t="s">
        <v>20</v>
      </c>
      <c r="H1280" s="111">
        <v>201608</v>
      </c>
      <c r="I1280" s="104">
        <v>2738.05</v>
      </c>
      <c r="J1280" s="297">
        <f t="shared" si="79"/>
        <v>42675</v>
      </c>
      <c r="K1280" s="67">
        <f t="shared" si="80"/>
        <v>6</v>
      </c>
      <c r="L1280" s="127">
        <v>1.4833299999999999E-3</v>
      </c>
      <c r="M1280" s="104">
        <f t="shared" si="81"/>
        <v>24.368590239000003</v>
      </c>
      <c r="O1280" s="66"/>
      <c r="Q1280" s="66">
        <f t="shared" si="78"/>
        <v>45.297044260416669</v>
      </c>
    </row>
    <row r="1281" spans="1:17">
      <c r="A1281" s="112" t="s">
        <v>626</v>
      </c>
      <c r="B1281" s="125" t="s">
        <v>1681</v>
      </c>
      <c r="C1281" s="111" t="s">
        <v>2073</v>
      </c>
      <c r="D1281" s="112" t="s">
        <v>2074</v>
      </c>
      <c r="E1281" s="111" t="s">
        <v>164</v>
      </c>
      <c r="F1281" s="112" t="s">
        <v>1600</v>
      </c>
      <c r="G1281" s="111" t="s">
        <v>20</v>
      </c>
      <c r="H1281" s="111">
        <v>201608</v>
      </c>
      <c r="I1281" s="104">
        <v>493.67</v>
      </c>
      <c r="J1281" s="297">
        <f t="shared" si="79"/>
        <v>42675</v>
      </c>
      <c r="K1281" s="67">
        <f t="shared" si="80"/>
        <v>6</v>
      </c>
      <c r="L1281" s="127">
        <v>1.4833299999999999E-3</v>
      </c>
      <c r="M1281" s="104">
        <f t="shared" si="81"/>
        <v>4.3936531266000003</v>
      </c>
      <c r="O1281" s="66"/>
      <c r="Q1281" s="66">
        <f t="shared" si="78"/>
        <v>8.1670502145833339</v>
      </c>
    </row>
    <row r="1282" spans="1:17">
      <c r="A1282" s="112" t="s">
        <v>21</v>
      </c>
      <c r="B1282" s="125" t="s">
        <v>1681</v>
      </c>
      <c r="C1282" s="111" t="s">
        <v>2075</v>
      </c>
      <c r="D1282" s="112" t="s">
        <v>2076</v>
      </c>
      <c r="E1282" s="111" t="s">
        <v>75</v>
      </c>
      <c r="F1282" s="112" t="s">
        <v>1602</v>
      </c>
      <c r="G1282" s="111" t="s">
        <v>20</v>
      </c>
      <c r="H1282" s="111">
        <v>201608</v>
      </c>
      <c r="I1282" s="104">
        <v>1507.01</v>
      </c>
      <c r="J1282" s="297">
        <f t="shared" si="79"/>
        <v>42675</v>
      </c>
      <c r="K1282" s="67">
        <f t="shared" si="80"/>
        <v>6</v>
      </c>
      <c r="L1282" s="127">
        <v>1.4833299999999999E-3</v>
      </c>
      <c r="M1282" s="104">
        <f t="shared" si="81"/>
        <v>13.412358859799999</v>
      </c>
      <c r="O1282" s="66"/>
      <c r="Q1282" s="66">
        <f t="shared" si="78"/>
        <v>24.931282727083332</v>
      </c>
    </row>
    <row r="1283" spans="1:17">
      <c r="A1283" s="112" t="s">
        <v>14</v>
      </c>
      <c r="B1283" s="125" t="s">
        <v>1681</v>
      </c>
      <c r="C1283" s="111" t="s">
        <v>2013</v>
      </c>
      <c r="D1283" s="112" t="s">
        <v>2014</v>
      </c>
      <c r="E1283" s="111" t="s">
        <v>164</v>
      </c>
      <c r="F1283" s="112" t="s">
        <v>1600</v>
      </c>
      <c r="G1283" s="111" t="s">
        <v>20</v>
      </c>
      <c r="H1283" s="111">
        <v>201608</v>
      </c>
      <c r="I1283" s="104">
        <v>63.04</v>
      </c>
      <c r="J1283" s="297">
        <f t="shared" si="79"/>
        <v>42675</v>
      </c>
      <c r="K1283" s="67">
        <f t="shared" si="80"/>
        <v>6</v>
      </c>
      <c r="L1283" s="313">
        <v>2.23333E-3</v>
      </c>
      <c r="M1283" s="104">
        <f t="shared" si="81"/>
        <v>0.84473473919999986</v>
      </c>
      <c r="O1283" s="66"/>
      <c r="Q1283" s="66">
        <f t="shared" si="78"/>
        <v>1.0429048666666667</v>
      </c>
    </row>
    <row r="1284" spans="1:17">
      <c r="A1284" s="112" t="s">
        <v>626</v>
      </c>
      <c r="B1284" s="125" t="s">
        <v>1681</v>
      </c>
      <c r="C1284" s="111" t="s">
        <v>2013</v>
      </c>
      <c r="D1284" s="112" t="s">
        <v>2014</v>
      </c>
      <c r="E1284" s="111" t="s">
        <v>164</v>
      </c>
      <c r="F1284" s="112" t="s">
        <v>1600</v>
      </c>
      <c r="G1284" s="111" t="s">
        <v>20</v>
      </c>
      <c r="H1284" s="111">
        <v>201608</v>
      </c>
      <c r="I1284" s="104">
        <v>241.14</v>
      </c>
      <c r="J1284" s="297">
        <f t="shared" si="79"/>
        <v>42675</v>
      </c>
      <c r="K1284" s="67">
        <f t="shared" si="80"/>
        <v>6</v>
      </c>
      <c r="L1284" s="127">
        <v>1.4833299999999999E-3</v>
      </c>
      <c r="M1284" s="104">
        <f t="shared" si="81"/>
        <v>2.1461411772000001</v>
      </c>
      <c r="O1284" s="66"/>
      <c r="Q1284" s="66">
        <f t="shared" si="78"/>
        <v>3.9893096374999999</v>
      </c>
    </row>
    <row r="1285" spans="1:17">
      <c r="A1285" s="112" t="s">
        <v>14</v>
      </c>
      <c r="B1285" s="125" t="s">
        <v>1681</v>
      </c>
      <c r="C1285" s="111" t="s">
        <v>2015</v>
      </c>
      <c r="D1285" s="112" t="s">
        <v>2016</v>
      </c>
      <c r="E1285" s="111" t="s">
        <v>164</v>
      </c>
      <c r="F1285" s="112" t="s">
        <v>1600</v>
      </c>
      <c r="G1285" s="111" t="s">
        <v>20</v>
      </c>
      <c r="H1285" s="111">
        <v>201608</v>
      </c>
      <c r="I1285" s="104">
        <v>31.54</v>
      </c>
      <c r="J1285" s="297">
        <f t="shared" si="79"/>
        <v>42675</v>
      </c>
      <c r="K1285" s="67">
        <f t="shared" si="80"/>
        <v>6</v>
      </c>
      <c r="L1285" s="313">
        <v>2.23333E-3</v>
      </c>
      <c r="M1285" s="104">
        <f t="shared" si="81"/>
        <v>0.42263536919999994</v>
      </c>
      <c r="O1285" s="66"/>
      <c r="Q1285" s="66">
        <f t="shared" si="78"/>
        <v>0.52178330416666663</v>
      </c>
    </row>
    <row r="1286" spans="1:17">
      <c r="A1286" s="112" t="s">
        <v>626</v>
      </c>
      <c r="B1286" s="125" t="s">
        <v>1681</v>
      </c>
      <c r="C1286" s="111" t="s">
        <v>2015</v>
      </c>
      <c r="D1286" s="112" t="s">
        <v>2016</v>
      </c>
      <c r="E1286" s="111" t="s">
        <v>164</v>
      </c>
      <c r="F1286" s="112" t="s">
        <v>1600</v>
      </c>
      <c r="G1286" s="111" t="s">
        <v>20</v>
      </c>
      <c r="H1286" s="111">
        <v>201608</v>
      </c>
      <c r="I1286" s="104">
        <v>351.28</v>
      </c>
      <c r="J1286" s="297">
        <f t="shared" si="79"/>
        <v>42675</v>
      </c>
      <c r="K1286" s="67">
        <f t="shared" si="80"/>
        <v>6</v>
      </c>
      <c r="L1286" s="127">
        <v>1.4833299999999999E-3</v>
      </c>
      <c r="M1286" s="104">
        <f t="shared" si="81"/>
        <v>3.1263849743999996</v>
      </c>
      <c r="O1286" s="66"/>
      <c r="Q1286" s="66">
        <f t="shared" ref="Q1286:Q1349" si="82">($Q$4*0.5*I1286*$T$10)</f>
        <v>5.8114153166666664</v>
      </c>
    </row>
    <row r="1287" spans="1:17">
      <c r="A1287" s="112" t="s">
        <v>626</v>
      </c>
      <c r="B1287" s="125" t="s">
        <v>1681</v>
      </c>
      <c r="C1287" s="111" t="s">
        <v>2077</v>
      </c>
      <c r="D1287" s="112" t="s">
        <v>2078</v>
      </c>
      <c r="E1287" s="111" t="s">
        <v>260</v>
      </c>
      <c r="F1287" s="112" t="s">
        <v>1608</v>
      </c>
      <c r="G1287" s="111" t="s">
        <v>20</v>
      </c>
      <c r="H1287" s="111">
        <v>201608</v>
      </c>
      <c r="I1287" s="104">
        <v>9477.17</v>
      </c>
      <c r="J1287" s="297">
        <f t="shared" ref="J1287:J1350" si="83">+J1286</f>
        <v>42675</v>
      </c>
      <c r="K1287" s="67">
        <f t="shared" si="80"/>
        <v>6</v>
      </c>
      <c r="L1287" s="127">
        <v>1.4833299999999999E-3</v>
      </c>
      <c r="M1287" s="104">
        <f t="shared" si="81"/>
        <v>84.3466234566</v>
      </c>
      <c r="O1287" s="66"/>
      <c r="Q1287" s="66">
        <f t="shared" si="82"/>
        <v>156.78595677708336</v>
      </c>
    </row>
    <row r="1288" spans="1:17">
      <c r="A1288" s="112" t="s">
        <v>626</v>
      </c>
      <c r="B1288" s="125" t="s">
        <v>1681</v>
      </c>
      <c r="C1288" s="111" t="s">
        <v>2079</v>
      </c>
      <c r="D1288" s="112" t="s">
        <v>2080</v>
      </c>
      <c r="E1288" s="111" t="s">
        <v>75</v>
      </c>
      <c r="F1288" s="112" t="s">
        <v>1602</v>
      </c>
      <c r="G1288" s="111" t="s">
        <v>20</v>
      </c>
      <c r="H1288" s="111">
        <v>201608</v>
      </c>
      <c r="I1288" s="104">
        <v>3318.91</v>
      </c>
      <c r="J1288" s="297">
        <f t="shared" si="83"/>
        <v>42675</v>
      </c>
      <c r="K1288" s="67">
        <f t="shared" si="80"/>
        <v>6</v>
      </c>
      <c r="L1288" s="127">
        <v>1.4833299999999999E-3</v>
      </c>
      <c r="M1288" s="104">
        <f t="shared" si="81"/>
        <v>29.538232621799999</v>
      </c>
      <c r="O1288" s="66"/>
      <c r="Q1288" s="66">
        <f t="shared" si="82"/>
        <v>54.90652587291666</v>
      </c>
    </row>
    <row r="1289" spans="1:17">
      <c r="A1289" s="112" t="s">
        <v>21</v>
      </c>
      <c r="B1289" s="125" t="s">
        <v>1681</v>
      </c>
      <c r="C1289" s="111" t="s">
        <v>2017</v>
      </c>
      <c r="D1289" s="112" t="s">
        <v>2018</v>
      </c>
      <c r="E1289" s="111" t="s">
        <v>87</v>
      </c>
      <c r="F1289" s="112" t="s">
        <v>1603</v>
      </c>
      <c r="G1289" s="111" t="s">
        <v>20</v>
      </c>
      <c r="H1289" s="111">
        <v>201608</v>
      </c>
      <c r="I1289" s="104">
        <v>166.08</v>
      </c>
      <c r="J1289" s="297">
        <f t="shared" si="83"/>
        <v>42675</v>
      </c>
      <c r="K1289" s="67">
        <f t="shared" si="80"/>
        <v>6</v>
      </c>
      <c r="L1289" s="127">
        <v>1.4833299999999999E-3</v>
      </c>
      <c r="M1289" s="104">
        <f t="shared" si="81"/>
        <v>1.4781086784000002</v>
      </c>
      <c r="O1289" s="66"/>
      <c r="Q1289" s="66">
        <f t="shared" si="82"/>
        <v>2.7475514000000003</v>
      </c>
    </row>
    <row r="1290" spans="1:17">
      <c r="A1290" s="112" t="s">
        <v>626</v>
      </c>
      <c r="B1290" s="125" t="s">
        <v>1681</v>
      </c>
      <c r="C1290" s="111" t="s">
        <v>2081</v>
      </c>
      <c r="D1290" s="112" t="s">
        <v>2082</v>
      </c>
      <c r="E1290" s="111" t="s">
        <v>75</v>
      </c>
      <c r="F1290" s="112" t="s">
        <v>1602</v>
      </c>
      <c r="G1290" s="111" t="s">
        <v>20</v>
      </c>
      <c r="H1290" s="111">
        <v>201608</v>
      </c>
      <c r="I1290" s="104">
        <v>17332.650000000001</v>
      </c>
      <c r="J1290" s="297">
        <f t="shared" si="83"/>
        <v>42675</v>
      </c>
      <c r="K1290" s="67">
        <f t="shared" si="80"/>
        <v>6</v>
      </c>
      <c r="L1290" s="127">
        <v>1.4833299999999999E-3</v>
      </c>
      <c r="M1290" s="104">
        <f t="shared" si="81"/>
        <v>154.26023834700001</v>
      </c>
      <c r="O1290" s="66"/>
      <c r="Q1290" s="66">
        <f t="shared" si="82"/>
        <v>286.74341746875001</v>
      </c>
    </row>
    <row r="1291" spans="1:17">
      <c r="A1291" s="112" t="s">
        <v>626</v>
      </c>
      <c r="B1291" s="125" t="s">
        <v>1681</v>
      </c>
      <c r="C1291" s="111" t="s">
        <v>2083</v>
      </c>
      <c r="D1291" s="112" t="s">
        <v>2084</v>
      </c>
      <c r="E1291" s="111" t="s">
        <v>75</v>
      </c>
      <c r="F1291" s="112" t="s">
        <v>1602</v>
      </c>
      <c r="G1291" s="111" t="s">
        <v>20</v>
      </c>
      <c r="H1291" s="111">
        <v>201608</v>
      </c>
      <c r="I1291" s="104">
        <v>1502.61</v>
      </c>
      <c r="J1291" s="297">
        <f t="shared" si="83"/>
        <v>42675</v>
      </c>
      <c r="K1291" s="67">
        <f t="shared" si="80"/>
        <v>6</v>
      </c>
      <c r="L1291" s="127">
        <v>1.4833299999999999E-3</v>
      </c>
      <c r="M1291" s="104">
        <f t="shared" si="81"/>
        <v>13.373198947799999</v>
      </c>
      <c r="O1291" s="66"/>
      <c r="Q1291" s="66">
        <f t="shared" si="82"/>
        <v>24.858491143749998</v>
      </c>
    </row>
    <row r="1292" spans="1:17">
      <c r="A1292" s="112" t="s">
        <v>626</v>
      </c>
      <c r="B1292" s="125" t="s">
        <v>1681</v>
      </c>
      <c r="C1292" s="111" t="s">
        <v>2085</v>
      </c>
      <c r="D1292" s="112" t="s">
        <v>2086</v>
      </c>
      <c r="E1292" s="111" t="s">
        <v>164</v>
      </c>
      <c r="F1292" s="112" t="s">
        <v>1600</v>
      </c>
      <c r="G1292" s="111" t="s">
        <v>20</v>
      </c>
      <c r="H1292" s="111">
        <v>201608</v>
      </c>
      <c r="I1292" s="104">
        <v>2118.33</v>
      </c>
      <c r="J1292" s="297">
        <f t="shared" si="83"/>
        <v>42675</v>
      </c>
      <c r="K1292" s="67">
        <f t="shared" si="80"/>
        <v>6</v>
      </c>
      <c r="L1292" s="127">
        <v>1.4833299999999999E-3</v>
      </c>
      <c r="M1292" s="104">
        <f t="shared" si="81"/>
        <v>18.853094633399998</v>
      </c>
      <c r="O1292" s="66"/>
      <c r="Q1292" s="66">
        <f t="shared" si="82"/>
        <v>35.04468061875</v>
      </c>
    </row>
    <row r="1293" spans="1:17">
      <c r="A1293" s="112" t="s">
        <v>14</v>
      </c>
      <c r="B1293" s="125" t="s">
        <v>1681</v>
      </c>
      <c r="C1293" s="111" t="s">
        <v>2087</v>
      </c>
      <c r="D1293" s="112" t="s">
        <v>2088</v>
      </c>
      <c r="E1293" s="111" t="s">
        <v>164</v>
      </c>
      <c r="F1293" s="112" t="s">
        <v>1600</v>
      </c>
      <c r="G1293" s="111" t="s">
        <v>20</v>
      </c>
      <c r="H1293" s="111">
        <v>201608</v>
      </c>
      <c r="I1293" s="104">
        <v>63.07</v>
      </c>
      <c r="J1293" s="297">
        <f t="shared" si="83"/>
        <v>42675</v>
      </c>
      <c r="K1293" s="67">
        <f t="shared" si="80"/>
        <v>6</v>
      </c>
      <c r="L1293" s="313">
        <v>2.23333E-3</v>
      </c>
      <c r="M1293" s="104">
        <f t="shared" si="81"/>
        <v>0.84513673859999994</v>
      </c>
      <c r="O1293" s="66"/>
      <c r="Q1293" s="66">
        <f t="shared" si="82"/>
        <v>1.0434011729166668</v>
      </c>
    </row>
    <row r="1294" spans="1:17">
      <c r="A1294" s="112" t="s">
        <v>626</v>
      </c>
      <c r="B1294" s="125" t="s">
        <v>1681</v>
      </c>
      <c r="C1294" s="111" t="s">
        <v>2087</v>
      </c>
      <c r="D1294" s="112" t="s">
        <v>2088</v>
      </c>
      <c r="E1294" s="111" t="s">
        <v>164</v>
      </c>
      <c r="F1294" s="112" t="s">
        <v>1600</v>
      </c>
      <c r="G1294" s="111" t="s">
        <v>20</v>
      </c>
      <c r="H1294" s="111">
        <v>201608</v>
      </c>
      <c r="I1294" s="104">
        <v>834.88</v>
      </c>
      <c r="J1294" s="297">
        <f t="shared" si="83"/>
        <v>42675</v>
      </c>
      <c r="K1294" s="67">
        <f t="shared" si="80"/>
        <v>6</v>
      </c>
      <c r="L1294" s="127">
        <v>1.4833299999999999E-3</v>
      </c>
      <c r="M1294" s="104">
        <f t="shared" si="81"/>
        <v>7.4304153024000001</v>
      </c>
      <c r="O1294" s="66"/>
      <c r="Q1294" s="66">
        <f t="shared" si="82"/>
        <v>13.811872066666666</v>
      </c>
    </row>
    <row r="1295" spans="1:17">
      <c r="A1295" s="112" t="s">
        <v>626</v>
      </c>
      <c r="B1295" s="125" t="s">
        <v>1681</v>
      </c>
      <c r="C1295" s="111" t="s">
        <v>2089</v>
      </c>
      <c r="D1295" s="112" t="s">
        <v>2090</v>
      </c>
      <c r="E1295" s="111" t="s">
        <v>164</v>
      </c>
      <c r="F1295" s="112" t="s">
        <v>1600</v>
      </c>
      <c r="G1295" s="111" t="s">
        <v>20</v>
      </c>
      <c r="H1295" s="111">
        <v>201608</v>
      </c>
      <c r="I1295" s="104">
        <v>34.520000000000003</v>
      </c>
      <c r="J1295" s="297">
        <f t="shared" si="83"/>
        <v>42675</v>
      </c>
      <c r="K1295" s="67">
        <f t="shared" si="80"/>
        <v>6</v>
      </c>
      <c r="L1295" s="127">
        <v>1.4833299999999999E-3</v>
      </c>
      <c r="M1295" s="104">
        <f t="shared" si="81"/>
        <v>0.30722730960000005</v>
      </c>
      <c r="O1295" s="66"/>
      <c r="Q1295" s="66">
        <f t="shared" si="82"/>
        <v>0.57108305833333339</v>
      </c>
    </row>
    <row r="1296" spans="1:17">
      <c r="A1296" s="112" t="s">
        <v>14</v>
      </c>
      <c r="B1296" s="125" t="s">
        <v>1681</v>
      </c>
      <c r="C1296" s="111" t="s">
        <v>2091</v>
      </c>
      <c r="D1296" s="112" t="s">
        <v>2092</v>
      </c>
      <c r="E1296" s="111" t="s">
        <v>93</v>
      </c>
      <c r="F1296" s="112" t="s">
        <v>1601</v>
      </c>
      <c r="G1296" s="111" t="s">
        <v>20</v>
      </c>
      <c r="H1296" s="111">
        <v>201608</v>
      </c>
      <c r="I1296" s="104">
        <v>82.47</v>
      </c>
      <c r="J1296" s="297">
        <f t="shared" si="83"/>
        <v>42675</v>
      </c>
      <c r="K1296" s="67">
        <f t="shared" si="80"/>
        <v>6</v>
      </c>
      <c r="L1296" s="313">
        <v>2.23333E-3</v>
      </c>
      <c r="M1296" s="104">
        <f t="shared" si="81"/>
        <v>1.1050963506</v>
      </c>
      <c r="O1296" s="66"/>
      <c r="Q1296" s="66">
        <f t="shared" si="82"/>
        <v>1.36434588125</v>
      </c>
    </row>
    <row r="1297" spans="1:17">
      <c r="A1297" s="112" t="s">
        <v>626</v>
      </c>
      <c r="B1297" s="125" t="s">
        <v>1681</v>
      </c>
      <c r="C1297" s="111" t="s">
        <v>2093</v>
      </c>
      <c r="D1297" s="112" t="s">
        <v>2094</v>
      </c>
      <c r="E1297" s="111" t="s">
        <v>209</v>
      </c>
      <c r="F1297" s="112" t="s">
        <v>1612</v>
      </c>
      <c r="G1297" s="111" t="s">
        <v>20</v>
      </c>
      <c r="H1297" s="111">
        <v>201608</v>
      </c>
      <c r="I1297" s="104">
        <v>807.89</v>
      </c>
      <c r="J1297" s="297">
        <f t="shared" si="83"/>
        <v>42675</v>
      </c>
      <c r="K1297" s="67">
        <f t="shared" si="80"/>
        <v>6</v>
      </c>
      <c r="L1297" s="127">
        <v>1.4833299999999999E-3</v>
      </c>
      <c r="M1297" s="104">
        <f t="shared" si="81"/>
        <v>7.1902048422</v>
      </c>
      <c r="O1297" s="66"/>
      <c r="Q1297" s="66">
        <f t="shared" si="82"/>
        <v>13.365361877083332</v>
      </c>
    </row>
    <row r="1298" spans="1:17">
      <c r="A1298" s="112" t="s">
        <v>626</v>
      </c>
      <c r="B1298" s="125" t="s">
        <v>1681</v>
      </c>
      <c r="C1298" s="111" t="s">
        <v>2095</v>
      </c>
      <c r="D1298" s="112" t="s">
        <v>2096</v>
      </c>
      <c r="E1298" s="111" t="s">
        <v>164</v>
      </c>
      <c r="F1298" s="112" t="s">
        <v>1600</v>
      </c>
      <c r="G1298" s="111" t="s">
        <v>20</v>
      </c>
      <c r="H1298" s="111">
        <v>201608</v>
      </c>
      <c r="I1298" s="104">
        <v>92.05</v>
      </c>
      <c r="J1298" s="297">
        <f t="shared" si="83"/>
        <v>42675</v>
      </c>
      <c r="K1298" s="67">
        <f t="shared" si="80"/>
        <v>6</v>
      </c>
      <c r="L1298" s="127">
        <v>1.4833299999999999E-3</v>
      </c>
      <c r="M1298" s="104">
        <f t="shared" si="81"/>
        <v>0.819243159</v>
      </c>
      <c r="O1298" s="66"/>
      <c r="Q1298" s="66">
        <f t="shared" si="82"/>
        <v>1.5228330104166665</v>
      </c>
    </row>
    <row r="1299" spans="1:17">
      <c r="A1299" s="112" t="s">
        <v>626</v>
      </c>
      <c r="B1299" s="125" t="s">
        <v>1681</v>
      </c>
      <c r="C1299" s="111" t="s">
        <v>2269</v>
      </c>
      <c r="D1299" s="112" t="s">
        <v>2270</v>
      </c>
      <c r="E1299" s="111" t="s">
        <v>93</v>
      </c>
      <c r="F1299" s="112" t="s">
        <v>1601</v>
      </c>
      <c r="G1299" s="111" t="s">
        <v>20</v>
      </c>
      <c r="H1299" s="111">
        <v>201608</v>
      </c>
      <c r="I1299" s="104">
        <v>179223.01</v>
      </c>
      <c r="J1299" s="297">
        <f t="shared" si="83"/>
        <v>42675</v>
      </c>
      <c r="K1299" s="67">
        <f t="shared" si="80"/>
        <v>6</v>
      </c>
      <c r="L1299" s="127">
        <v>1.4833299999999999E-3</v>
      </c>
      <c r="M1299" s="104">
        <f t="shared" si="81"/>
        <v>1595.0812045398002</v>
      </c>
      <c r="O1299" s="66"/>
      <c r="Q1299" s="66">
        <f t="shared" si="82"/>
        <v>2964.9833335604171</v>
      </c>
    </row>
    <row r="1300" spans="1:17">
      <c r="A1300" s="112" t="s">
        <v>14</v>
      </c>
      <c r="B1300" s="125" t="s">
        <v>1681</v>
      </c>
      <c r="C1300" s="111" t="s">
        <v>2097</v>
      </c>
      <c r="D1300" s="112" t="s">
        <v>2098</v>
      </c>
      <c r="E1300" s="111" t="s">
        <v>260</v>
      </c>
      <c r="F1300" s="112" t="s">
        <v>1608</v>
      </c>
      <c r="G1300" s="111" t="s">
        <v>20</v>
      </c>
      <c r="H1300" s="111">
        <v>201608</v>
      </c>
      <c r="I1300" s="104">
        <v>232.32</v>
      </c>
      <c r="J1300" s="297">
        <f t="shared" si="83"/>
        <v>42675</v>
      </c>
      <c r="K1300" s="67">
        <f t="shared" si="80"/>
        <v>6</v>
      </c>
      <c r="L1300" s="313">
        <v>2.23333E-3</v>
      </c>
      <c r="M1300" s="104">
        <f t="shared" si="81"/>
        <v>3.1130833535999995</v>
      </c>
      <c r="O1300" s="66"/>
      <c r="Q1300" s="66">
        <f t="shared" si="82"/>
        <v>3.8433955999999996</v>
      </c>
    </row>
    <row r="1301" spans="1:17">
      <c r="A1301" s="112" t="s">
        <v>626</v>
      </c>
      <c r="B1301" s="125" t="s">
        <v>1681</v>
      </c>
      <c r="C1301" s="111" t="s">
        <v>2097</v>
      </c>
      <c r="D1301" s="112" t="s">
        <v>2098</v>
      </c>
      <c r="E1301" s="111" t="s">
        <v>260</v>
      </c>
      <c r="F1301" s="112" t="s">
        <v>1608</v>
      </c>
      <c r="G1301" s="111" t="s">
        <v>20</v>
      </c>
      <c r="H1301" s="111">
        <v>201608</v>
      </c>
      <c r="I1301" s="104">
        <v>1861.95</v>
      </c>
      <c r="J1301" s="297">
        <f t="shared" si="83"/>
        <v>42675</v>
      </c>
      <c r="K1301" s="67">
        <f t="shared" si="80"/>
        <v>6</v>
      </c>
      <c r="L1301" s="127">
        <v>1.4833299999999999E-3</v>
      </c>
      <c r="M1301" s="104">
        <f t="shared" si="81"/>
        <v>16.571317761</v>
      </c>
      <c r="O1301" s="66"/>
      <c r="Q1301" s="66">
        <f t="shared" si="82"/>
        <v>30.803247406250001</v>
      </c>
    </row>
    <row r="1302" spans="1:17">
      <c r="A1302" s="112" t="s">
        <v>14</v>
      </c>
      <c r="B1302" s="125" t="s">
        <v>1681</v>
      </c>
      <c r="C1302" s="111" t="s">
        <v>2099</v>
      </c>
      <c r="D1302" s="112" t="s">
        <v>2100</v>
      </c>
      <c r="E1302" s="111" t="s">
        <v>260</v>
      </c>
      <c r="F1302" s="112" t="s">
        <v>1608</v>
      </c>
      <c r="G1302" s="111" t="s">
        <v>20</v>
      </c>
      <c r="H1302" s="111">
        <v>201608</v>
      </c>
      <c r="I1302" s="104">
        <v>50.44</v>
      </c>
      <c r="J1302" s="297">
        <f t="shared" si="83"/>
        <v>42675</v>
      </c>
      <c r="K1302" s="67">
        <f t="shared" si="80"/>
        <v>6</v>
      </c>
      <c r="L1302" s="313">
        <v>2.23333E-3</v>
      </c>
      <c r="M1302" s="104">
        <f t="shared" si="81"/>
        <v>0.67589499119999996</v>
      </c>
      <c r="O1302" s="66"/>
      <c r="Q1302" s="66">
        <f t="shared" si="82"/>
        <v>0.83445624166666665</v>
      </c>
    </row>
    <row r="1303" spans="1:17">
      <c r="A1303" s="112" t="s">
        <v>626</v>
      </c>
      <c r="B1303" s="125" t="s">
        <v>1681</v>
      </c>
      <c r="C1303" s="111" t="s">
        <v>2099</v>
      </c>
      <c r="D1303" s="112" t="s">
        <v>2100</v>
      </c>
      <c r="E1303" s="111" t="s">
        <v>260</v>
      </c>
      <c r="F1303" s="112" t="s">
        <v>1608</v>
      </c>
      <c r="G1303" s="111" t="s">
        <v>20</v>
      </c>
      <c r="H1303" s="111">
        <v>201608</v>
      </c>
      <c r="I1303" s="104">
        <v>1382.33</v>
      </c>
      <c r="J1303" s="297">
        <f t="shared" si="83"/>
        <v>42675</v>
      </c>
      <c r="K1303" s="67">
        <f t="shared" si="80"/>
        <v>6</v>
      </c>
      <c r="L1303" s="127">
        <v>1.4833299999999999E-3</v>
      </c>
      <c r="M1303" s="104">
        <f t="shared" si="81"/>
        <v>12.302709353399999</v>
      </c>
      <c r="O1303" s="66"/>
      <c r="Q1303" s="66">
        <f t="shared" si="82"/>
        <v>22.868633952083332</v>
      </c>
    </row>
    <row r="1304" spans="1:17">
      <c r="A1304" s="112" t="s">
        <v>14</v>
      </c>
      <c r="B1304" s="125" t="s">
        <v>1681</v>
      </c>
      <c r="C1304" s="111" t="s">
        <v>2271</v>
      </c>
      <c r="D1304" s="112" t="s">
        <v>2272</v>
      </c>
      <c r="E1304" s="111" t="s">
        <v>260</v>
      </c>
      <c r="F1304" s="112" t="s">
        <v>1608</v>
      </c>
      <c r="G1304" s="111" t="s">
        <v>20</v>
      </c>
      <c r="H1304" s="111">
        <v>201608</v>
      </c>
      <c r="I1304" s="104">
        <v>1417</v>
      </c>
      <c r="J1304" s="297">
        <f t="shared" si="83"/>
        <v>42675</v>
      </c>
      <c r="K1304" s="67">
        <f t="shared" si="80"/>
        <v>6</v>
      </c>
      <c r="L1304" s="313">
        <v>2.23333E-3</v>
      </c>
      <c r="M1304" s="104">
        <f t="shared" si="81"/>
        <v>18.98777166</v>
      </c>
      <c r="O1304" s="66"/>
      <c r="Q1304" s="66">
        <f t="shared" si="82"/>
        <v>23.442198541666667</v>
      </c>
    </row>
    <row r="1305" spans="1:17">
      <c r="A1305" s="112" t="s">
        <v>626</v>
      </c>
      <c r="B1305" s="125" t="s">
        <v>1681</v>
      </c>
      <c r="C1305" s="111" t="s">
        <v>2271</v>
      </c>
      <c r="D1305" s="112" t="s">
        <v>2272</v>
      </c>
      <c r="E1305" s="111" t="s">
        <v>260</v>
      </c>
      <c r="F1305" s="112" t="s">
        <v>1608</v>
      </c>
      <c r="G1305" s="111" t="s">
        <v>20</v>
      </c>
      <c r="H1305" s="111">
        <v>201608</v>
      </c>
      <c r="I1305" s="104">
        <v>159340.85</v>
      </c>
      <c r="J1305" s="297">
        <f t="shared" si="83"/>
        <v>42675</v>
      </c>
      <c r="K1305" s="67">
        <f t="shared" si="80"/>
        <v>6</v>
      </c>
      <c r="L1305" s="127">
        <v>1.4833299999999999E-3</v>
      </c>
      <c r="M1305" s="104">
        <f t="shared" si="81"/>
        <v>1418.1303781829999</v>
      </c>
      <c r="O1305" s="66"/>
      <c r="Q1305" s="66">
        <f t="shared" si="82"/>
        <v>2636.0619911770832</v>
      </c>
    </row>
    <row r="1306" spans="1:17">
      <c r="A1306" s="112" t="s">
        <v>626</v>
      </c>
      <c r="B1306" s="125" t="s">
        <v>1681</v>
      </c>
      <c r="C1306" s="111" t="s">
        <v>2101</v>
      </c>
      <c r="D1306" s="112" t="s">
        <v>2102</v>
      </c>
      <c r="E1306" s="111" t="s">
        <v>260</v>
      </c>
      <c r="F1306" s="112" t="s">
        <v>1608</v>
      </c>
      <c r="G1306" s="111" t="s">
        <v>20</v>
      </c>
      <c r="H1306" s="111">
        <v>201608</v>
      </c>
      <c r="I1306" s="104">
        <v>321.13</v>
      </c>
      <c r="J1306" s="297">
        <f t="shared" si="83"/>
        <v>42675</v>
      </c>
      <c r="K1306" s="67">
        <f t="shared" si="80"/>
        <v>6</v>
      </c>
      <c r="L1306" s="127">
        <v>1.4833299999999999E-3</v>
      </c>
      <c r="M1306" s="104">
        <f t="shared" si="81"/>
        <v>2.8580505773999998</v>
      </c>
      <c r="O1306" s="66"/>
      <c r="Q1306" s="66">
        <f t="shared" si="82"/>
        <v>5.3126275354166665</v>
      </c>
    </row>
    <row r="1307" spans="1:17">
      <c r="A1307" s="112" t="s">
        <v>626</v>
      </c>
      <c r="B1307" s="125" t="s">
        <v>1681</v>
      </c>
      <c r="C1307" s="111" t="s">
        <v>2273</v>
      </c>
      <c r="D1307" s="112" t="s">
        <v>2274</v>
      </c>
      <c r="E1307" s="111" t="s">
        <v>260</v>
      </c>
      <c r="F1307" s="112" t="s">
        <v>1608</v>
      </c>
      <c r="G1307" s="111" t="s">
        <v>20</v>
      </c>
      <c r="H1307" s="111">
        <v>201608</v>
      </c>
      <c r="I1307" s="104">
        <v>62659.360000000001</v>
      </c>
      <c r="J1307" s="297">
        <f t="shared" si="83"/>
        <v>42675</v>
      </c>
      <c r="K1307" s="67">
        <f t="shared" si="80"/>
        <v>6</v>
      </c>
      <c r="L1307" s="127">
        <v>1.4833299999999999E-3</v>
      </c>
      <c r="M1307" s="104">
        <f t="shared" si="81"/>
        <v>557.66705081279997</v>
      </c>
      <c r="O1307" s="66"/>
      <c r="Q1307" s="66">
        <f t="shared" si="82"/>
        <v>1036.6077329666666</v>
      </c>
    </row>
    <row r="1308" spans="1:17">
      <c r="A1308" s="112" t="s">
        <v>626</v>
      </c>
      <c r="B1308" s="125" t="s">
        <v>1681</v>
      </c>
      <c r="C1308" s="111" t="s">
        <v>2113</v>
      </c>
      <c r="D1308" s="112" t="s">
        <v>2114</v>
      </c>
      <c r="E1308" s="111" t="s">
        <v>87</v>
      </c>
      <c r="F1308" s="112" t="s">
        <v>1603</v>
      </c>
      <c r="G1308" s="111" t="s">
        <v>20</v>
      </c>
      <c r="H1308" s="111">
        <v>201608</v>
      </c>
      <c r="I1308" s="104">
        <v>114.61</v>
      </c>
      <c r="J1308" s="297">
        <f t="shared" si="83"/>
        <v>42675</v>
      </c>
      <c r="K1308" s="67">
        <f t="shared" si="80"/>
        <v>6</v>
      </c>
      <c r="L1308" s="127">
        <v>1.4833299999999999E-3</v>
      </c>
      <c r="M1308" s="104">
        <f t="shared" si="81"/>
        <v>1.0200267078</v>
      </c>
      <c r="O1308" s="66"/>
      <c r="Q1308" s="66">
        <f t="shared" si="82"/>
        <v>1.8960553104166666</v>
      </c>
    </row>
    <row r="1309" spans="1:17">
      <c r="A1309" s="112" t="s">
        <v>626</v>
      </c>
      <c r="B1309" s="125" t="s">
        <v>1681</v>
      </c>
      <c r="C1309" s="111" t="s">
        <v>2103</v>
      </c>
      <c r="D1309" s="112" t="s">
        <v>2104</v>
      </c>
      <c r="E1309" s="111" t="s">
        <v>93</v>
      </c>
      <c r="F1309" s="112" t="s">
        <v>1601</v>
      </c>
      <c r="G1309" s="111" t="s">
        <v>20</v>
      </c>
      <c r="H1309" s="111">
        <v>201608</v>
      </c>
      <c r="I1309" s="104">
        <v>4.95</v>
      </c>
      <c r="J1309" s="297">
        <f t="shared" si="83"/>
        <v>42675</v>
      </c>
      <c r="K1309" s="67">
        <f t="shared" si="80"/>
        <v>6</v>
      </c>
      <c r="L1309" s="127">
        <v>1.4833299999999999E-3</v>
      </c>
      <c r="M1309" s="104">
        <f t="shared" si="81"/>
        <v>4.4054901E-2</v>
      </c>
      <c r="O1309" s="66"/>
      <c r="Q1309" s="66">
        <f t="shared" si="82"/>
        <v>8.1890531250000009E-2</v>
      </c>
    </row>
    <row r="1310" spans="1:17">
      <c r="A1310" s="112" t="s">
        <v>626</v>
      </c>
      <c r="B1310" s="125" t="s">
        <v>1681</v>
      </c>
      <c r="C1310" s="111" t="s">
        <v>2105</v>
      </c>
      <c r="D1310" s="112" t="s">
        <v>2106</v>
      </c>
      <c r="E1310" s="111" t="s">
        <v>75</v>
      </c>
      <c r="F1310" s="112" t="s">
        <v>1602</v>
      </c>
      <c r="G1310" s="111" t="s">
        <v>20</v>
      </c>
      <c r="H1310" s="111">
        <v>201608</v>
      </c>
      <c r="I1310" s="104">
        <v>9783.34</v>
      </c>
      <c r="J1310" s="297">
        <f t="shared" si="83"/>
        <v>42675</v>
      </c>
      <c r="K1310" s="67">
        <f t="shared" si="80"/>
        <v>6</v>
      </c>
      <c r="L1310" s="127">
        <v>1.4833299999999999E-3</v>
      </c>
      <c r="M1310" s="104">
        <f t="shared" si="81"/>
        <v>87.071530333200002</v>
      </c>
      <c r="O1310" s="66"/>
      <c r="Q1310" s="66">
        <f t="shared" si="82"/>
        <v>161.85109292916667</v>
      </c>
    </row>
    <row r="1311" spans="1:17">
      <c r="A1311" s="112" t="s">
        <v>626</v>
      </c>
      <c r="B1311" s="125" t="s">
        <v>1681</v>
      </c>
      <c r="C1311" s="111" t="s">
        <v>2275</v>
      </c>
      <c r="D1311" s="112" t="s">
        <v>2276</v>
      </c>
      <c r="E1311" s="111" t="s">
        <v>75</v>
      </c>
      <c r="F1311" s="112" t="s">
        <v>1602</v>
      </c>
      <c r="G1311" s="111" t="s">
        <v>20</v>
      </c>
      <c r="H1311" s="111">
        <v>201608</v>
      </c>
      <c r="I1311" s="104">
        <v>83566.789999999994</v>
      </c>
      <c r="J1311" s="297">
        <f t="shared" si="83"/>
        <v>42675</v>
      </c>
      <c r="K1311" s="67">
        <f t="shared" si="80"/>
        <v>6</v>
      </c>
      <c r="L1311" s="127">
        <v>1.4833299999999999E-3</v>
      </c>
      <c r="M1311" s="104">
        <f t="shared" si="81"/>
        <v>743.74275966419998</v>
      </c>
      <c r="O1311" s="66"/>
      <c r="Q1311" s="66">
        <f t="shared" si="82"/>
        <v>1382.4906723145832</v>
      </c>
    </row>
    <row r="1312" spans="1:17">
      <c r="A1312" s="112" t="s">
        <v>14</v>
      </c>
      <c r="B1312" s="125" t="s">
        <v>1681</v>
      </c>
      <c r="C1312" s="111" t="s">
        <v>2111</v>
      </c>
      <c r="D1312" s="112" t="s">
        <v>2112</v>
      </c>
      <c r="E1312" s="111" t="s">
        <v>164</v>
      </c>
      <c r="F1312" s="112" t="s">
        <v>1600</v>
      </c>
      <c r="G1312" s="111" t="s">
        <v>20</v>
      </c>
      <c r="H1312" s="111">
        <v>201608</v>
      </c>
      <c r="I1312" s="104">
        <v>72.92</v>
      </c>
      <c r="J1312" s="297">
        <f t="shared" si="83"/>
        <v>42675</v>
      </c>
      <c r="K1312" s="67">
        <f t="shared" si="80"/>
        <v>6</v>
      </c>
      <c r="L1312" s="313">
        <v>2.23333E-3</v>
      </c>
      <c r="M1312" s="104">
        <f t="shared" si="81"/>
        <v>0.9771265415999999</v>
      </c>
      <c r="O1312" s="66"/>
      <c r="Q1312" s="66">
        <f t="shared" si="82"/>
        <v>1.2063550583333333</v>
      </c>
    </row>
    <row r="1313" spans="1:17">
      <c r="A1313" s="112" t="s">
        <v>626</v>
      </c>
      <c r="B1313" s="125" t="s">
        <v>1681</v>
      </c>
      <c r="C1313" s="111" t="s">
        <v>2111</v>
      </c>
      <c r="D1313" s="112" t="s">
        <v>2112</v>
      </c>
      <c r="E1313" s="111" t="s">
        <v>164</v>
      </c>
      <c r="F1313" s="112" t="s">
        <v>1600</v>
      </c>
      <c r="G1313" s="111" t="s">
        <v>20</v>
      </c>
      <c r="H1313" s="111">
        <v>201608</v>
      </c>
      <c r="I1313" s="104">
        <v>631.11</v>
      </c>
      <c r="J1313" s="297">
        <f t="shared" si="83"/>
        <v>42675</v>
      </c>
      <c r="K1313" s="67">
        <f t="shared" si="80"/>
        <v>6</v>
      </c>
      <c r="L1313" s="127">
        <v>1.4833299999999999E-3</v>
      </c>
      <c r="M1313" s="104">
        <f t="shared" si="81"/>
        <v>5.6168663778000001</v>
      </c>
      <c r="O1313" s="66"/>
      <c r="Q1313" s="66">
        <f t="shared" si="82"/>
        <v>10.44079458125</v>
      </c>
    </row>
    <row r="1314" spans="1:17">
      <c r="A1314" s="112" t="s">
        <v>14</v>
      </c>
      <c r="B1314" s="125" t="s">
        <v>1681</v>
      </c>
      <c r="C1314" s="111" t="s">
        <v>2277</v>
      </c>
      <c r="D1314" s="112" t="s">
        <v>2278</v>
      </c>
      <c r="E1314" s="111" t="s">
        <v>75</v>
      </c>
      <c r="F1314" s="112" t="s">
        <v>1602</v>
      </c>
      <c r="G1314" s="111" t="s">
        <v>20</v>
      </c>
      <c r="H1314" s="111">
        <v>201608</v>
      </c>
      <c r="I1314" s="104">
        <v>2314.9699999999998</v>
      </c>
      <c r="J1314" s="297">
        <f t="shared" si="83"/>
        <v>42675</v>
      </c>
      <c r="K1314" s="67">
        <f t="shared" si="80"/>
        <v>6</v>
      </c>
      <c r="L1314" s="313">
        <v>2.23333E-3</v>
      </c>
      <c r="M1314" s="104">
        <f t="shared" si="81"/>
        <v>31.020551700599995</v>
      </c>
      <c r="O1314" s="66"/>
      <c r="Q1314" s="66">
        <f t="shared" si="82"/>
        <v>38.297802652083334</v>
      </c>
    </row>
    <row r="1315" spans="1:17">
      <c r="A1315" s="112" t="s">
        <v>626</v>
      </c>
      <c r="B1315" s="125" t="s">
        <v>1681</v>
      </c>
      <c r="C1315" s="111" t="s">
        <v>2277</v>
      </c>
      <c r="D1315" s="112" t="s">
        <v>2278</v>
      </c>
      <c r="E1315" s="111" t="s">
        <v>75</v>
      </c>
      <c r="F1315" s="112" t="s">
        <v>1602</v>
      </c>
      <c r="G1315" s="111" t="s">
        <v>20</v>
      </c>
      <c r="H1315" s="111">
        <v>201608</v>
      </c>
      <c r="I1315" s="104">
        <v>45666.5</v>
      </c>
      <c r="J1315" s="297">
        <f t="shared" si="83"/>
        <v>42675</v>
      </c>
      <c r="K1315" s="67">
        <f t="shared" si="80"/>
        <v>6</v>
      </c>
      <c r="L1315" s="127">
        <v>1.4833299999999999E-3</v>
      </c>
      <c r="M1315" s="104">
        <f t="shared" si="81"/>
        <v>406.43093666999999</v>
      </c>
      <c r="O1315" s="66"/>
      <c r="Q1315" s="66">
        <f t="shared" si="82"/>
        <v>755.48564552083337</v>
      </c>
    </row>
    <row r="1316" spans="1:17">
      <c r="A1316" s="112" t="s">
        <v>21</v>
      </c>
      <c r="B1316" s="125" t="s">
        <v>1681</v>
      </c>
      <c r="C1316" s="111" t="s">
        <v>2279</v>
      </c>
      <c r="D1316" s="112" t="s">
        <v>2280</v>
      </c>
      <c r="E1316" s="111" t="s">
        <v>87</v>
      </c>
      <c r="F1316" s="112" t="s">
        <v>1603</v>
      </c>
      <c r="G1316" s="111" t="s">
        <v>20</v>
      </c>
      <c r="H1316" s="111">
        <v>201608</v>
      </c>
      <c r="I1316" s="104">
        <v>105022.81</v>
      </c>
      <c r="J1316" s="297">
        <f t="shared" si="83"/>
        <v>42675</v>
      </c>
      <c r="K1316" s="67">
        <f t="shared" si="80"/>
        <v>6</v>
      </c>
      <c r="L1316" s="127">
        <v>1.4833299999999999E-3</v>
      </c>
      <c r="M1316" s="104">
        <f t="shared" si="81"/>
        <v>934.70090854379998</v>
      </c>
      <c r="O1316" s="66"/>
      <c r="Q1316" s="66">
        <f t="shared" si="82"/>
        <v>1737.4492331854167</v>
      </c>
    </row>
    <row r="1317" spans="1:17">
      <c r="A1317" s="112" t="s">
        <v>21</v>
      </c>
      <c r="B1317" s="125" t="s">
        <v>1681</v>
      </c>
      <c r="C1317" s="111" t="s">
        <v>2107</v>
      </c>
      <c r="D1317" s="112" t="s">
        <v>2108</v>
      </c>
      <c r="E1317" s="111" t="s">
        <v>209</v>
      </c>
      <c r="F1317" s="112" t="s">
        <v>1612</v>
      </c>
      <c r="G1317" s="111" t="s">
        <v>20</v>
      </c>
      <c r="H1317" s="111">
        <v>201608</v>
      </c>
      <c r="I1317" s="104">
        <v>206.24</v>
      </c>
      <c r="J1317" s="297">
        <f t="shared" si="83"/>
        <v>42675</v>
      </c>
      <c r="K1317" s="67">
        <f t="shared" si="80"/>
        <v>6</v>
      </c>
      <c r="L1317" s="127">
        <v>1.4833299999999999E-3</v>
      </c>
      <c r="M1317" s="104">
        <f t="shared" si="81"/>
        <v>1.8355318752000001</v>
      </c>
      <c r="O1317" s="66"/>
      <c r="Q1317" s="66">
        <f t="shared" si="82"/>
        <v>3.4119400333333334</v>
      </c>
    </row>
    <row r="1318" spans="1:17">
      <c r="A1318" s="112" t="s">
        <v>626</v>
      </c>
      <c r="B1318" s="125" t="s">
        <v>1681</v>
      </c>
      <c r="C1318" s="111" t="s">
        <v>2281</v>
      </c>
      <c r="D1318" s="112" t="s">
        <v>2282</v>
      </c>
      <c r="E1318" s="111" t="s">
        <v>260</v>
      </c>
      <c r="F1318" s="112" t="s">
        <v>1608</v>
      </c>
      <c r="G1318" s="111" t="s">
        <v>20</v>
      </c>
      <c r="H1318" s="111">
        <v>201608</v>
      </c>
      <c r="I1318" s="104">
        <v>17389.45</v>
      </c>
      <c r="J1318" s="297">
        <f t="shared" si="83"/>
        <v>42675</v>
      </c>
      <c r="K1318" s="67">
        <f t="shared" ref="K1318:K1617" si="84">((YEAR($K$1)-YEAR(J1318))*12+MONTH($K$1)-MONTH(J1318))</f>
        <v>6</v>
      </c>
      <c r="L1318" s="127">
        <v>1.4833299999999999E-3</v>
      </c>
      <c r="M1318" s="104">
        <f t="shared" ref="M1318:M1617" si="85">L1318*K1318*I1318</f>
        <v>154.76575721099999</v>
      </c>
      <c r="O1318" s="66"/>
      <c r="Q1318" s="66">
        <f t="shared" si="82"/>
        <v>287.68309063541665</v>
      </c>
    </row>
    <row r="1319" spans="1:17">
      <c r="A1319" s="112" t="s">
        <v>21</v>
      </c>
      <c r="B1319" s="125" t="s">
        <v>1681</v>
      </c>
      <c r="C1319" s="111" t="s">
        <v>2109</v>
      </c>
      <c r="D1319" s="112" t="s">
        <v>2110</v>
      </c>
      <c r="E1319" s="111" t="s">
        <v>75</v>
      </c>
      <c r="F1319" s="112" t="s">
        <v>1602</v>
      </c>
      <c r="G1319" s="111" t="s">
        <v>20</v>
      </c>
      <c r="H1319" s="111">
        <v>201608</v>
      </c>
      <c r="I1319" s="104">
        <v>1300.6600000000001</v>
      </c>
      <c r="J1319" s="297">
        <f t="shared" si="83"/>
        <v>42675</v>
      </c>
      <c r="K1319" s="67">
        <f t="shared" si="84"/>
        <v>6</v>
      </c>
      <c r="L1319" s="127">
        <v>1.4833299999999999E-3</v>
      </c>
      <c r="M1319" s="104">
        <f t="shared" si="85"/>
        <v>11.575847986800001</v>
      </c>
      <c r="O1319" s="66"/>
      <c r="Q1319" s="66">
        <f t="shared" si="82"/>
        <v>21.517522904166668</v>
      </c>
    </row>
    <row r="1320" spans="1:17">
      <c r="A1320" s="112" t="s">
        <v>14</v>
      </c>
      <c r="B1320" s="125" t="s">
        <v>1681</v>
      </c>
      <c r="C1320" s="111" t="s">
        <v>2109</v>
      </c>
      <c r="D1320" s="112" t="s">
        <v>2110</v>
      </c>
      <c r="E1320" s="111" t="s">
        <v>75</v>
      </c>
      <c r="F1320" s="112" t="s">
        <v>1602</v>
      </c>
      <c r="G1320" s="111" t="s">
        <v>20</v>
      </c>
      <c r="H1320" s="111">
        <v>201608</v>
      </c>
      <c r="I1320" s="104">
        <v>1943.86</v>
      </c>
      <c r="J1320" s="297">
        <f t="shared" si="83"/>
        <v>42675</v>
      </c>
      <c r="K1320" s="67">
        <f t="shared" si="84"/>
        <v>6</v>
      </c>
      <c r="L1320" s="313">
        <v>2.23333E-3</v>
      </c>
      <c r="M1320" s="104">
        <f t="shared" si="85"/>
        <v>26.047685122799997</v>
      </c>
      <c r="O1320" s="66"/>
      <c r="Q1320" s="66">
        <f t="shared" si="82"/>
        <v>32.158328904166666</v>
      </c>
    </row>
    <row r="1321" spans="1:17">
      <c r="A1321" s="112" t="s">
        <v>626</v>
      </c>
      <c r="B1321" s="125" t="s">
        <v>1681</v>
      </c>
      <c r="C1321" s="111" t="s">
        <v>2109</v>
      </c>
      <c r="D1321" s="112" t="s">
        <v>2110</v>
      </c>
      <c r="E1321" s="111" t="s">
        <v>75</v>
      </c>
      <c r="F1321" s="112" t="s">
        <v>1602</v>
      </c>
      <c r="G1321" s="111" t="s">
        <v>20</v>
      </c>
      <c r="H1321" s="111">
        <v>201608</v>
      </c>
      <c r="I1321" s="104">
        <v>14696.11</v>
      </c>
      <c r="J1321" s="297">
        <f t="shared" si="83"/>
        <v>42675</v>
      </c>
      <c r="K1321" s="67">
        <f t="shared" si="84"/>
        <v>6</v>
      </c>
      <c r="L1321" s="127">
        <v>1.4833299999999999E-3</v>
      </c>
      <c r="M1321" s="104">
        <f t="shared" si="85"/>
        <v>130.7950850778</v>
      </c>
      <c r="O1321" s="66"/>
      <c r="Q1321" s="66">
        <f t="shared" si="82"/>
        <v>243.12570812291668</v>
      </c>
    </row>
    <row r="1322" spans="1:17">
      <c r="A1322" s="112" t="s">
        <v>626</v>
      </c>
      <c r="B1322" s="125" t="s">
        <v>1681</v>
      </c>
      <c r="C1322" s="111" t="s">
        <v>2283</v>
      </c>
      <c r="D1322" s="112" t="s">
        <v>2284</v>
      </c>
      <c r="E1322" s="111" t="s">
        <v>260</v>
      </c>
      <c r="F1322" s="112" t="s">
        <v>1608</v>
      </c>
      <c r="G1322" s="111" t="s">
        <v>20</v>
      </c>
      <c r="H1322" s="111">
        <v>201608</v>
      </c>
      <c r="I1322" s="104">
        <v>2331.29</v>
      </c>
      <c r="J1322" s="297">
        <f t="shared" si="83"/>
        <v>42675</v>
      </c>
      <c r="K1322" s="67">
        <f t="shared" si="84"/>
        <v>6</v>
      </c>
      <c r="L1322" s="127">
        <v>1.4833299999999999E-3</v>
      </c>
      <c r="M1322" s="104">
        <f t="shared" si="85"/>
        <v>20.748434374199999</v>
      </c>
      <c r="O1322" s="66"/>
      <c r="Q1322" s="66">
        <f t="shared" si="82"/>
        <v>38.567793252083334</v>
      </c>
    </row>
    <row r="1323" spans="1:17">
      <c r="A1323" s="112" t="s">
        <v>14</v>
      </c>
      <c r="B1323" s="125" t="s">
        <v>1681</v>
      </c>
      <c r="C1323" s="111" t="s">
        <v>2285</v>
      </c>
      <c r="D1323" s="112" t="s">
        <v>2286</v>
      </c>
      <c r="E1323" s="111" t="s">
        <v>260</v>
      </c>
      <c r="F1323" s="112" t="s">
        <v>1608</v>
      </c>
      <c r="G1323" s="111" t="s">
        <v>20</v>
      </c>
      <c r="H1323" s="111">
        <v>201608</v>
      </c>
      <c r="I1323" s="104">
        <v>1766.89</v>
      </c>
      <c r="J1323" s="297">
        <f t="shared" si="83"/>
        <v>42675</v>
      </c>
      <c r="K1323" s="67">
        <f t="shared" si="84"/>
        <v>6</v>
      </c>
      <c r="L1323" s="313">
        <v>2.23333E-3</v>
      </c>
      <c r="M1323" s="104">
        <f t="shared" si="85"/>
        <v>23.6762906622</v>
      </c>
      <c r="O1323" s="66"/>
      <c r="Q1323" s="66">
        <f t="shared" si="82"/>
        <v>29.230618335416668</v>
      </c>
    </row>
    <row r="1324" spans="1:17">
      <c r="A1324" s="112" t="s">
        <v>626</v>
      </c>
      <c r="B1324" s="125" t="s">
        <v>1681</v>
      </c>
      <c r="C1324" s="111" t="s">
        <v>2285</v>
      </c>
      <c r="D1324" s="112" t="s">
        <v>2286</v>
      </c>
      <c r="E1324" s="111" t="s">
        <v>260</v>
      </c>
      <c r="F1324" s="112" t="s">
        <v>1608</v>
      </c>
      <c r="G1324" s="111" t="s">
        <v>20</v>
      </c>
      <c r="H1324" s="111">
        <v>201608</v>
      </c>
      <c r="I1324" s="104">
        <v>105475.51</v>
      </c>
      <c r="J1324" s="297">
        <f t="shared" si="83"/>
        <v>42675</v>
      </c>
      <c r="K1324" s="67">
        <f t="shared" si="84"/>
        <v>6</v>
      </c>
      <c r="L1324" s="127">
        <v>1.4833299999999999E-3</v>
      </c>
      <c r="M1324" s="104">
        <f t="shared" si="85"/>
        <v>938.72992948979993</v>
      </c>
      <c r="O1324" s="66"/>
      <c r="Q1324" s="66">
        <f t="shared" si="82"/>
        <v>1744.9384944979167</v>
      </c>
    </row>
    <row r="1325" spans="1:17">
      <c r="A1325" s="112" t="s">
        <v>626</v>
      </c>
      <c r="B1325" s="125" t="s">
        <v>1681</v>
      </c>
      <c r="C1325" s="111" t="s">
        <v>2287</v>
      </c>
      <c r="D1325" s="112" t="s">
        <v>2288</v>
      </c>
      <c r="E1325" s="111" t="s">
        <v>260</v>
      </c>
      <c r="F1325" s="112" t="s">
        <v>1608</v>
      </c>
      <c r="G1325" s="111" t="s">
        <v>20</v>
      </c>
      <c r="H1325" s="111">
        <v>201608</v>
      </c>
      <c r="I1325" s="104">
        <v>54929.17</v>
      </c>
      <c r="J1325" s="297">
        <f t="shared" si="83"/>
        <v>42675</v>
      </c>
      <c r="K1325" s="67">
        <f t="shared" si="84"/>
        <v>6</v>
      </c>
      <c r="L1325" s="127">
        <v>1.4833299999999999E-3</v>
      </c>
      <c r="M1325" s="104">
        <f t="shared" si="85"/>
        <v>488.86851441659996</v>
      </c>
      <c r="O1325" s="66"/>
      <c r="Q1325" s="66">
        <f t="shared" si="82"/>
        <v>908.72301261041673</v>
      </c>
    </row>
    <row r="1326" spans="1:17">
      <c r="A1326" s="112" t="s">
        <v>626</v>
      </c>
      <c r="B1326" s="125" t="s">
        <v>1681</v>
      </c>
      <c r="C1326" s="111" t="s">
        <v>2289</v>
      </c>
      <c r="D1326" s="112" t="s">
        <v>2290</v>
      </c>
      <c r="E1326" s="111" t="s">
        <v>93</v>
      </c>
      <c r="F1326" s="112" t="s">
        <v>1601</v>
      </c>
      <c r="G1326" s="111" t="s">
        <v>20</v>
      </c>
      <c r="H1326" s="111">
        <v>201608</v>
      </c>
      <c r="I1326" s="104">
        <v>153505.57</v>
      </c>
      <c r="J1326" s="297">
        <f t="shared" si="83"/>
        <v>42675</v>
      </c>
      <c r="K1326" s="67">
        <f t="shared" si="84"/>
        <v>6</v>
      </c>
      <c r="L1326" s="127">
        <v>1.4833299999999999E-3</v>
      </c>
      <c r="M1326" s="104">
        <f t="shared" si="85"/>
        <v>1366.1965028886</v>
      </c>
      <c r="O1326" s="66"/>
      <c r="Q1326" s="66">
        <f t="shared" si="82"/>
        <v>2539.5257933604171</v>
      </c>
    </row>
    <row r="1327" spans="1:17">
      <c r="A1327" s="102" t="s">
        <v>626</v>
      </c>
      <c r="B1327" s="103" t="s">
        <v>1597</v>
      </c>
      <c r="C1327" s="103" t="s">
        <v>1598</v>
      </c>
      <c r="D1327" s="102" t="s">
        <v>1599</v>
      </c>
      <c r="E1327" s="103" t="s">
        <v>164</v>
      </c>
      <c r="F1327" s="102" t="s">
        <v>1600</v>
      </c>
      <c r="G1327" s="103" t="s">
        <v>20</v>
      </c>
      <c r="H1327" s="103">
        <v>201609</v>
      </c>
      <c r="I1327" s="104">
        <v>-2.59</v>
      </c>
      <c r="J1327" s="297">
        <f t="shared" si="83"/>
        <v>42675</v>
      </c>
      <c r="K1327" s="67">
        <f t="shared" si="84"/>
        <v>6</v>
      </c>
      <c r="L1327" s="155">
        <v>1.4833299999999999E-3</v>
      </c>
      <c r="M1327" s="104">
        <f t="shared" si="85"/>
        <v>-2.3050948199999997E-2</v>
      </c>
      <c r="O1327" s="66"/>
      <c r="Q1327" s="66">
        <f t="shared" si="82"/>
        <v>-4.2847772916666665E-2</v>
      </c>
    </row>
    <row r="1328" spans="1:17">
      <c r="A1328" s="102" t="s">
        <v>14</v>
      </c>
      <c r="B1328" s="103" t="s">
        <v>30</v>
      </c>
      <c r="C1328" s="103" t="s">
        <v>31</v>
      </c>
      <c r="D1328" s="102" t="s">
        <v>32</v>
      </c>
      <c r="E1328" s="103" t="s">
        <v>33</v>
      </c>
      <c r="F1328" s="102" t="s">
        <v>34</v>
      </c>
      <c r="G1328" s="103" t="s">
        <v>20</v>
      </c>
      <c r="H1328" s="103">
        <v>201609</v>
      </c>
      <c r="I1328" s="104">
        <v>6869.08</v>
      </c>
      <c r="J1328" s="297">
        <f t="shared" si="83"/>
        <v>42675</v>
      </c>
      <c r="K1328" s="67">
        <f t="shared" si="84"/>
        <v>6</v>
      </c>
      <c r="L1328" s="148">
        <v>2.23333E-3</v>
      </c>
      <c r="M1328" s="104">
        <f t="shared" si="85"/>
        <v>92.045534618399998</v>
      </c>
      <c r="O1328" s="66"/>
      <c r="Q1328" s="66">
        <f t="shared" si="82"/>
        <v>113.63891119166666</v>
      </c>
    </row>
    <row r="1329" spans="1:17">
      <c r="A1329" s="102" t="s">
        <v>14</v>
      </c>
      <c r="B1329" s="103" t="s">
        <v>37</v>
      </c>
      <c r="C1329" s="103" t="s">
        <v>38</v>
      </c>
      <c r="D1329" s="102" t="s">
        <v>39</v>
      </c>
      <c r="E1329" s="103" t="s">
        <v>40</v>
      </c>
      <c r="F1329" s="102" t="s">
        <v>41</v>
      </c>
      <c r="G1329" s="103" t="s">
        <v>20</v>
      </c>
      <c r="H1329" s="103">
        <v>201609</v>
      </c>
      <c r="I1329" s="104">
        <v>-4152.8</v>
      </c>
      <c r="J1329" s="297">
        <f t="shared" si="83"/>
        <v>42675</v>
      </c>
      <c r="K1329" s="67">
        <f t="shared" si="84"/>
        <v>6</v>
      </c>
      <c r="L1329" s="148">
        <v>2.23333E-3</v>
      </c>
      <c r="M1329" s="104">
        <f t="shared" si="85"/>
        <v>-55.647436943999999</v>
      </c>
      <c r="O1329" s="66"/>
      <c r="Q1329" s="66">
        <f t="shared" si="82"/>
        <v>-68.702019833333338</v>
      </c>
    </row>
    <row r="1330" spans="1:17">
      <c r="A1330" s="102" t="s">
        <v>14</v>
      </c>
      <c r="B1330" s="103" t="s">
        <v>43</v>
      </c>
      <c r="C1330" s="103" t="s">
        <v>44</v>
      </c>
      <c r="D1330" s="102" t="s">
        <v>45</v>
      </c>
      <c r="E1330" s="103" t="s">
        <v>46</v>
      </c>
      <c r="F1330" s="102" t="s">
        <v>41</v>
      </c>
      <c r="G1330" s="103" t="s">
        <v>20</v>
      </c>
      <c r="H1330" s="103">
        <v>201609</v>
      </c>
      <c r="I1330" s="104">
        <v>-32.19</v>
      </c>
      <c r="J1330" s="297">
        <f t="shared" si="83"/>
        <v>42675</v>
      </c>
      <c r="K1330" s="67">
        <f t="shared" si="84"/>
        <v>6</v>
      </c>
      <c r="L1330" s="148">
        <v>2.23333E-3</v>
      </c>
      <c r="M1330" s="104">
        <f t="shared" si="85"/>
        <v>-0.43134535619999992</v>
      </c>
      <c r="O1330" s="66"/>
      <c r="Q1330" s="66">
        <f t="shared" si="82"/>
        <v>-0.53253660624999999</v>
      </c>
    </row>
    <row r="1331" spans="1:17">
      <c r="A1331" s="102" t="s">
        <v>990</v>
      </c>
      <c r="B1331" s="103" t="s">
        <v>991</v>
      </c>
      <c r="C1331" s="103" t="s">
        <v>992</v>
      </c>
      <c r="D1331" s="102" t="s">
        <v>993</v>
      </c>
      <c r="E1331" s="103" t="s">
        <v>994</v>
      </c>
      <c r="F1331" s="102" t="s">
        <v>995</v>
      </c>
      <c r="G1331" s="103" t="s">
        <v>20</v>
      </c>
      <c r="H1331" s="103">
        <v>201609</v>
      </c>
      <c r="I1331" s="104">
        <v>-1705.82</v>
      </c>
      <c r="J1331" s="297">
        <f t="shared" si="83"/>
        <v>42675</v>
      </c>
      <c r="K1331" s="67">
        <f t="shared" si="84"/>
        <v>6</v>
      </c>
      <c r="L1331" s="148">
        <v>2.3833299999999999E-3</v>
      </c>
      <c r="M1331" s="104">
        <f t="shared" si="85"/>
        <v>-24.3931918836</v>
      </c>
      <c r="O1331" s="66"/>
      <c r="Q1331" s="66">
        <f t="shared" si="82"/>
        <v>-28.220304245833333</v>
      </c>
    </row>
    <row r="1332" spans="1:17">
      <c r="A1332" s="102" t="s">
        <v>990</v>
      </c>
      <c r="B1332" s="103" t="s">
        <v>996</v>
      </c>
      <c r="C1332" s="103" t="s">
        <v>997</v>
      </c>
      <c r="D1332" s="102" t="s">
        <v>998</v>
      </c>
      <c r="E1332" s="103" t="s">
        <v>999</v>
      </c>
      <c r="F1332" s="102" t="s">
        <v>995</v>
      </c>
      <c r="G1332" s="103" t="s">
        <v>20</v>
      </c>
      <c r="H1332" s="103">
        <v>201609</v>
      </c>
      <c r="I1332" s="104">
        <v>7396.08</v>
      </c>
      <c r="J1332" s="297">
        <f t="shared" si="83"/>
        <v>42675</v>
      </c>
      <c r="K1332" s="67">
        <f t="shared" si="84"/>
        <v>6</v>
      </c>
      <c r="L1332" s="148">
        <v>2.3833299999999999E-3</v>
      </c>
      <c r="M1332" s="104">
        <f t="shared" si="85"/>
        <v>105.76379607840001</v>
      </c>
      <c r="O1332" s="66"/>
      <c r="Q1332" s="66">
        <f t="shared" si="82"/>
        <v>122.35735765</v>
      </c>
    </row>
    <row r="1333" spans="1:17">
      <c r="A1333" s="102" t="s">
        <v>990</v>
      </c>
      <c r="B1333" s="103" t="s">
        <v>1000</v>
      </c>
      <c r="C1333" s="103" t="s">
        <v>1001</v>
      </c>
      <c r="D1333" s="102" t="s">
        <v>1672</v>
      </c>
      <c r="E1333" s="103" t="s">
        <v>1002</v>
      </c>
      <c r="F1333" s="102" t="s">
        <v>1604</v>
      </c>
      <c r="G1333" s="103" t="s">
        <v>20</v>
      </c>
      <c r="H1333" s="103">
        <v>201609</v>
      </c>
      <c r="I1333" s="104">
        <v>6571.72</v>
      </c>
      <c r="J1333" s="297">
        <f t="shared" si="83"/>
        <v>42675</v>
      </c>
      <c r="K1333" s="67">
        <f t="shared" si="84"/>
        <v>6</v>
      </c>
      <c r="L1333" s="148">
        <v>2.3833299999999999E-3</v>
      </c>
      <c r="M1333" s="104">
        <f t="shared" si="85"/>
        <v>93.975464565600006</v>
      </c>
      <c r="O1333" s="66"/>
      <c r="Q1333" s="66">
        <f t="shared" si="82"/>
        <v>108.71952364166668</v>
      </c>
    </row>
    <row r="1334" spans="1:17">
      <c r="A1334" s="102" t="s">
        <v>14</v>
      </c>
      <c r="B1334" s="103" t="s">
        <v>107</v>
      </c>
      <c r="C1334" s="103" t="s">
        <v>108</v>
      </c>
      <c r="D1334" s="102" t="s">
        <v>109</v>
      </c>
      <c r="E1334" s="103" t="s">
        <v>110</v>
      </c>
      <c r="F1334" s="102" t="s">
        <v>52</v>
      </c>
      <c r="G1334" s="103" t="s">
        <v>20</v>
      </c>
      <c r="H1334" s="103">
        <v>201609</v>
      </c>
      <c r="I1334" s="104">
        <v>-4672.62</v>
      </c>
      <c r="J1334" s="297">
        <f t="shared" si="83"/>
        <v>42675</v>
      </c>
      <c r="K1334" s="67">
        <f t="shared" si="84"/>
        <v>6</v>
      </c>
      <c r="L1334" s="148">
        <v>2.23333E-3</v>
      </c>
      <c r="M1334" s="104">
        <f t="shared" si="85"/>
        <v>-62.613014547599995</v>
      </c>
      <c r="O1334" s="66"/>
      <c r="Q1334" s="66">
        <f t="shared" si="82"/>
        <v>-77.301683662499997</v>
      </c>
    </row>
    <row r="1335" spans="1:17">
      <c r="A1335" s="102" t="s">
        <v>554</v>
      </c>
      <c r="B1335" s="103" t="s">
        <v>116</v>
      </c>
      <c r="C1335" s="103" t="s">
        <v>117</v>
      </c>
      <c r="D1335" s="102" t="s">
        <v>118</v>
      </c>
      <c r="E1335" s="103" t="s">
        <v>119</v>
      </c>
      <c r="F1335" s="102" t="s">
        <v>1605</v>
      </c>
      <c r="G1335" s="103" t="s">
        <v>20</v>
      </c>
      <c r="H1335" s="103">
        <v>201609</v>
      </c>
      <c r="I1335" s="104">
        <v>461250.42</v>
      </c>
      <c r="J1335" s="297">
        <f t="shared" si="83"/>
        <v>42675</v>
      </c>
      <c r="K1335" s="67">
        <f t="shared" si="84"/>
        <v>6</v>
      </c>
      <c r="L1335" s="148">
        <v>1.4833299999999999E-3</v>
      </c>
      <c r="M1335" s="104">
        <f t="shared" si="85"/>
        <v>4105.1195129915995</v>
      </c>
      <c r="O1335" s="66"/>
      <c r="Q1335" s="66">
        <f t="shared" si="82"/>
        <v>7630.7155420375002</v>
      </c>
    </row>
    <row r="1336" spans="1:17">
      <c r="A1336" s="102" t="s">
        <v>14</v>
      </c>
      <c r="B1336" s="103" t="s">
        <v>555</v>
      </c>
      <c r="C1336" s="103" t="s">
        <v>556</v>
      </c>
      <c r="D1336" s="102" t="s">
        <v>45</v>
      </c>
      <c r="E1336" s="103" t="s">
        <v>557</v>
      </c>
      <c r="F1336" s="102" t="s">
        <v>41</v>
      </c>
      <c r="G1336" s="103" t="s">
        <v>20</v>
      </c>
      <c r="H1336" s="103">
        <v>201609</v>
      </c>
      <c r="I1336" s="104">
        <v>15.36</v>
      </c>
      <c r="J1336" s="297">
        <f t="shared" si="83"/>
        <v>42675</v>
      </c>
      <c r="K1336" s="67">
        <f t="shared" si="84"/>
        <v>6</v>
      </c>
      <c r="L1336" s="148">
        <v>2.23333E-3</v>
      </c>
      <c r="M1336" s="104">
        <f t="shared" si="85"/>
        <v>0.20582369279999999</v>
      </c>
      <c r="O1336" s="66"/>
      <c r="Q1336" s="66">
        <f t="shared" si="82"/>
        <v>0.25410879999999997</v>
      </c>
    </row>
    <row r="1337" spans="1:17">
      <c r="A1337" s="102" t="s">
        <v>990</v>
      </c>
      <c r="B1337" s="103" t="s">
        <v>1003</v>
      </c>
      <c r="C1337" s="103" t="s">
        <v>1004</v>
      </c>
      <c r="D1337" s="102" t="s">
        <v>1673</v>
      </c>
      <c r="E1337" s="103" t="s">
        <v>1006</v>
      </c>
      <c r="F1337" s="102" t="s">
        <v>1606</v>
      </c>
      <c r="G1337" s="103" t="s">
        <v>20</v>
      </c>
      <c r="H1337" s="103">
        <v>201609</v>
      </c>
      <c r="I1337" s="104">
        <v>65802.679999999993</v>
      </c>
      <c r="J1337" s="297">
        <f t="shared" si="83"/>
        <v>42675</v>
      </c>
      <c r="K1337" s="67">
        <f t="shared" si="84"/>
        <v>6</v>
      </c>
      <c r="L1337" s="148">
        <v>2.3833299999999999E-3</v>
      </c>
      <c r="M1337" s="104">
        <f t="shared" si="85"/>
        <v>940.97700794639991</v>
      </c>
      <c r="O1337" s="66"/>
      <c r="Q1337" s="66">
        <f t="shared" si="82"/>
        <v>1088.6093783583331</v>
      </c>
    </row>
    <row r="1338" spans="1:17">
      <c r="A1338" s="102" t="s">
        <v>14</v>
      </c>
      <c r="B1338" s="103" t="s">
        <v>2026</v>
      </c>
      <c r="C1338" s="103" t="s">
        <v>2027</v>
      </c>
      <c r="D1338" s="102" t="s">
        <v>2028</v>
      </c>
      <c r="E1338" s="103" t="s">
        <v>2029</v>
      </c>
      <c r="F1338" s="102" t="s">
        <v>710</v>
      </c>
      <c r="G1338" s="103" t="s">
        <v>20</v>
      </c>
      <c r="H1338" s="103">
        <v>201609</v>
      </c>
      <c r="I1338" s="104">
        <v>-31.35</v>
      </c>
      <c r="J1338" s="297">
        <f t="shared" si="83"/>
        <v>42675</v>
      </c>
      <c r="K1338" s="67">
        <f t="shared" si="84"/>
        <v>6</v>
      </c>
      <c r="L1338" s="148">
        <v>2.23333E-3</v>
      </c>
      <c r="M1338" s="104">
        <f t="shared" si="85"/>
        <v>-0.42008937299999999</v>
      </c>
      <c r="O1338" s="66"/>
      <c r="Q1338" s="66">
        <f t="shared" si="82"/>
        <v>-0.51864003125000002</v>
      </c>
    </row>
    <row r="1339" spans="1:17">
      <c r="A1339" s="102" t="s">
        <v>14</v>
      </c>
      <c r="B1339" s="103" t="s">
        <v>1247</v>
      </c>
      <c r="C1339" s="103" t="s">
        <v>1248</v>
      </c>
      <c r="D1339" s="102" t="s">
        <v>708</v>
      </c>
      <c r="E1339" s="103" t="s">
        <v>1249</v>
      </c>
      <c r="F1339" s="102" t="s">
        <v>710</v>
      </c>
      <c r="G1339" s="103" t="s">
        <v>20</v>
      </c>
      <c r="H1339" s="103">
        <v>201609</v>
      </c>
      <c r="I1339" s="104">
        <v>-7.0000000000000007E-2</v>
      </c>
      <c r="J1339" s="297">
        <f t="shared" si="83"/>
        <v>42675</v>
      </c>
      <c r="K1339" s="67">
        <f t="shared" si="84"/>
        <v>6</v>
      </c>
      <c r="L1339" s="148">
        <v>2.23333E-3</v>
      </c>
      <c r="M1339" s="104">
        <f t="shared" si="85"/>
        <v>-9.3799859999999999E-4</v>
      </c>
      <c r="O1339" s="66"/>
      <c r="Q1339" s="66">
        <f t="shared" si="82"/>
        <v>-1.1580479166666668E-3</v>
      </c>
    </row>
    <row r="1340" spans="1:17">
      <c r="A1340" s="102" t="s">
        <v>21</v>
      </c>
      <c r="B1340" s="103" t="s">
        <v>1767</v>
      </c>
      <c r="C1340" s="103" t="s">
        <v>1768</v>
      </c>
      <c r="D1340" s="102" t="s">
        <v>1769</v>
      </c>
      <c r="E1340" s="103" t="s">
        <v>1413</v>
      </c>
      <c r="F1340" s="102" t="s">
        <v>88</v>
      </c>
      <c r="G1340" s="103" t="s">
        <v>20</v>
      </c>
      <c r="H1340" s="103">
        <v>201609</v>
      </c>
      <c r="I1340" s="104">
        <v>-21.34</v>
      </c>
      <c r="J1340" s="297">
        <f t="shared" si="83"/>
        <v>42675</v>
      </c>
      <c r="K1340" s="67">
        <f t="shared" si="84"/>
        <v>6</v>
      </c>
      <c r="L1340" s="155">
        <v>1.4833299999999999E-3</v>
      </c>
      <c r="M1340" s="104">
        <f t="shared" si="85"/>
        <v>-0.1899255732</v>
      </c>
      <c r="O1340" s="66"/>
      <c r="Q1340" s="66">
        <f t="shared" si="82"/>
        <v>-0.35303917916666666</v>
      </c>
    </row>
    <row r="1341" spans="1:17">
      <c r="A1341" s="102" t="s">
        <v>21</v>
      </c>
      <c r="B1341" s="103" t="s">
        <v>1072</v>
      </c>
      <c r="C1341" s="103" t="s">
        <v>1073</v>
      </c>
      <c r="D1341" s="102" t="s">
        <v>1074</v>
      </c>
      <c r="E1341" s="103" t="s">
        <v>857</v>
      </c>
      <c r="F1341" s="102" t="s">
        <v>88</v>
      </c>
      <c r="G1341" s="103" t="s">
        <v>20</v>
      </c>
      <c r="H1341" s="103">
        <v>201609</v>
      </c>
      <c r="I1341" s="104">
        <v>-9.69</v>
      </c>
      <c r="J1341" s="297">
        <f t="shared" si="83"/>
        <v>42675</v>
      </c>
      <c r="K1341" s="67">
        <f t="shared" si="84"/>
        <v>6</v>
      </c>
      <c r="L1341" s="155">
        <v>1.4833299999999999E-3</v>
      </c>
      <c r="M1341" s="104">
        <f t="shared" si="85"/>
        <v>-8.6240806199999992E-2</v>
      </c>
      <c r="O1341" s="66"/>
      <c r="Q1341" s="66">
        <f t="shared" si="82"/>
        <v>-0.16030691875</v>
      </c>
    </row>
    <row r="1342" spans="1:17">
      <c r="A1342" s="102" t="s">
        <v>14</v>
      </c>
      <c r="B1342" s="103" t="s">
        <v>183</v>
      </c>
      <c r="C1342" s="103" t="s">
        <v>184</v>
      </c>
      <c r="D1342" s="102" t="s">
        <v>45</v>
      </c>
      <c r="E1342" s="103" t="s">
        <v>185</v>
      </c>
      <c r="F1342" s="102" t="s">
        <v>41</v>
      </c>
      <c r="G1342" s="103" t="s">
        <v>20</v>
      </c>
      <c r="H1342" s="103">
        <v>201609</v>
      </c>
      <c r="I1342" s="104">
        <v>-176.51</v>
      </c>
      <c r="J1342" s="297">
        <f t="shared" si="83"/>
        <v>42675</v>
      </c>
      <c r="K1342" s="67">
        <f t="shared" si="84"/>
        <v>6</v>
      </c>
      <c r="L1342" s="148">
        <v>2.23333E-3</v>
      </c>
      <c r="M1342" s="104">
        <f t="shared" si="85"/>
        <v>-2.3652304697999997</v>
      </c>
      <c r="O1342" s="66"/>
      <c r="Q1342" s="66">
        <f t="shared" si="82"/>
        <v>-2.9201005395833328</v>
      </c>
    </row>
    <row r="1343" spans="1:17">
      <c r="A1343" s="102" t="s">
        <v>14</v>
      </c>
      <c r="B1343" s="103" t="s">
        <v>191</v>
      </c>
      <c r="C1343" s="103" t="s">
        <v>192</v>
      </c>
      <c r="D1343" s="102" t="s">
        <v>193</v>
      </c>
      <c r="E1343" s="103" t="s">
        <v>194</v>
      </c>
      <c r="F1343" s="102" t="s">
        <v>115</v>
      </c>
      <c r="G1343" s="103" t="s">
        <v>20</v>
      </c>
      <c r="H1343" s="103">
        <v>201609</v>
      </c>
      <c r="I1343" s="104">
        <v>3.11</v>
      </c>
      <c r="J1343" s="297">
        <f t="shared" si="83"/>
        <v>42675</v>
      </c>
      <c r="K1343" s="67">
        <f t="shared" si="84"/>
        <v>6</v>
      </c>
      <c r="L1343" s="148">
        <v>2.23333E-3</v>
      </c>
      <c r="M1343" s="104">
        <f t="shared" si="85"/>
        <v>4.1673937799999998E-2</v>
      </c>
      <c r="O1343" s="66"/>
      <c r="Q1343" s="66">
        <f t="shared" si="82"/>
        <v>5.1450414583333333E-2</v>
      </c>
    </row>
    <row r="1344" spans="1:17">
      <c r="A1344" s="102" t="s">
        <v>14</v>
      </c>
      <c r="B1344" s="103" t="s">
        <v>195</v>
      </c>
      <c r="C1344" s="103" t="s">
        <v>196</v>
      </c>
      <c r="D1344" s="102" t="s">
        <v>1674</v>
      </c>
      <c r="E1344" s="103" t="s">
        <v>198</v>
      </c>
      <c r="F1344" s="102" t="s">
        <v>1610</v>
      </c>
      <c r="G1344" s="103" t="s">
        <v>20</v>
      </c>
      <c r="H1344" s="103">
        <v>201609</v>
      </c>
      <c r="I1344" s="104">
        <v>1303314.02</v>
      </c>
      <c r="J1344" s="297">
        <f t="shared" si="83"/>
        <v>42675</v>
      </c>
      <c r="K1344" s="67">
        <f t="shared" si="84"/>
        <v>6</v>
      </c>
      <c r="L1344" s="148">
        <v>2.23333E-3</v>
      </c>
      <c r="M1344" s="104">
        <f t="shared" si="85"/>
        <v>17464.381801719599</v>
      </c>
      <c r="O1344" s="66"/>
      <c r="Q1344" s="66">
        <f t="shared" si="82"/>
        <v>21561.429794620835</v>
      </c>
    </row>
    <row r="1345" spans="1:17">
      <c r="A1345" s="102" t="s">
        <v>14</v>
      </c>
      <c r="B1345" s="103" t="s">
        <v>200</v>
      </c>
      <c r="C1345" s="103" t="s">
        <v>201</v>
      </c>
      <c r="D1345" s="102" t="s">
        <v>1675</v>
      </c>
      <c r="E1345" s="103" t="s">
        <v>202</v>
      </c>
      <c r="F1345" s="102" t="s">
        <v>1611</v>
      </c>
      <c r="G1345" s="103" t="s">
        <v>20</v>
      </c>
      <c r="H1345" s="103">
        <v>201609</v>
      </c>
      <c r="I1345" s="104">
        <v>3260.39</v>
      </c>
      <c r="J1345" s="297">
        <f t="shared" si="83"/>
        <v>42675</v>
      </c>
      <c r="K1345" s="67">
        <f t="shared" si="84"/>
        <v>6</v>
      </c>
      <c r="L1345" s="148">
        <v>2.23333E-3</v>
      </c>
      <c r="M1345" s="104">
        <f t="shared" si="85"/>
        <v>43.689160792199992</v>
      </c>
      <c r="O1345" s="66"/>
      <c r="Q1345" s="66">
        <f t="shared" si="82"/>
        <v>53.938397814583332</v>
      </c>
    </row>
    <row r="1346" spans="1:17">
      <c r="A1346" s="102" t="s">
        <v>626</v>
      </c>
      <c r="B1346" s="103" t="s">
        <v>1855</v>
      </c>
      <c r="C1346" s="103" t="s">
        <v>1856</v>
      </c>
      <c r="D1346" s="102" t="s">
        <v>1857</v>
      </c>
      <c r="E1346" s="103" t="s">
        <v>209</v>
      </c>
      <c r="F1346" s="102" t="s">
        <v>1612</v>
      </c>
      <c r="G1346" s="103" t="s">
        <v>20</v>
      </c>
      <c r="H1346" s="103">
        <v>201609</v>
      </c>
      <c r="I1346" s="104">
        <v>-609.23</v>
      </c>
      <c r="J1346" s="297">
        <f t="shared" si="83"/>
        <v>42675</v>
      </c>
      <c r="K1346" s="67">
        <f t="shared" si="84"/>
        <v>6</v>
      </c>
      <c r="L1346" s="155">
        <v>1.4833299999999999E-3</v>
      </c>
      <c r="M1346" s="104">
        <f t="shared" si="85"/>
        <v>-5.4221348153999998</v>
      </c>
      <c r="O1346" s="66"/>
      <c r="Q1346" s="66">
        <f t="shared" si="82"/>
        <v>-10.078821889583335</v>
      </c>
    </row>
    <row r="1347" spans="1:17">
      <c r="A1347" s="102" t="s">
        <v>14</v>
      </c>
      <c r="B1347" s="103" t="s">
        <v>481</v>
      </c>
      <c r="C1347" s="103" t="s">
        <v>482</v>
      </c>
      <c r="D1347" s="102" t="s">
        <v>483</v>
      </c>
      <c r="E1347" s="103" t="s">
        <v>484</v>
      </c>
      <c r="F1347" s="102" t="s">
        <v>190</v>
      </c>
      <c r="G1347" s="103" t="s">
        <v>20</v>
      </c>
      <c r="H1347" s="103">
        <v>201609</v>
      </c>
      <c r="I1347" s="104">
        <v>-170.48</v>
      </c>
      <c r="J1347" s="297">
        <f t="shared" si="83"/>
        <v>42675</v>
      </c>
      <c r="K1347" s="67">
        <f t="shared" si="84"/>
        <v>6</v>
      </c>
      <c r="L1347" s="148">
        <v>2.23333E-3</v>
      </c>
      <c r="M1347" s="104">
        <f t="shared" si="85"/>
        <v>-2.2844285903999997</v>
      </c>
      <c r="O1347" s="66"/>
      <c r="Q1347" s="66">
        <f t="shared" si="82"/>
        <v>-2.8203429833333331</v>
      </c>
    </row>
    <row r="1348" spans="1:17">
      <c r="A1348" s="102" t="s">
        <v>990</v>
      </c>
      <c r="B1348" s="103" t="s">
        <v>1010</v>
      </c>
      <c r="C1348" s="103" t="s">
        <v>1011</v>
      </c>
      <c r="D1348" s="102" t="s">
        <v>1012</v>
      </c>
      <c r="E1348" s="103" t="s">
        <v>1013</v>
      </c>
      <c r="F1348" s="102" t="s">
        <v>995</v>
      </c>
      <c r="G1348" s="103" t="s">
        <v>20</v>
      </c>
      <c r="H1348" s="103">
        <v>201609</v>
      </c>
      <c r="I1348" s="104">
        <v>-118.91</v>
      </c>
      <c r="J1348" s="297">
        <f t="shared" si="83"/>
        <v>42675</v>
      </c>
      <c r="K1348" s="67">
        <f t="shared" si="84"/>
        <v>6</v>
      </c>
      <c r="L1348" s="148">
        <v>2.3833299999999999E-3</v>
      </c>
      <c r="M1348" s="104">
        <f t="shared" si="85"/>
        <v>-1.7004106217999999</v>
      </c>
      <c r="O1348" s="66"/>
      <c r="Q1348" s="66">
        <f t="shared" si="82"/>
        <v>-1.9671925395833334</v>
      </c>
    </row>
    <row r="1349" spans="1:17">
      <c r="A1349" s="102" t="s">
        <v>21</v>
      </c>
      <c r="B1349" s="103" t="s">
        <v>485</v>
      </c>
      <c r="C1349" s="103" t="s">
        <v>486</v>
      </c>
      <c r="D1349" s="102" t="s">
        <v>487</v>
      </c>
      <c r="E1349" s="103" t="s">
        <v>75</v>
      </c>
      <c r="F1349" s="102" t="s">
        <v>1602</v>
      </c>
      <c r="G1349" s="103" t="s">
        <v>20</v>
      </c>
      <c r="H1349" s="103">
        <v>201609</v>
      </c>
      <c r="I1349" s="104">
        <v>-0.86</v>
      </c>
      <c r="J1349" s="297">
        <f t="shared" si="83"/>
        <v>42675</v>
      </c>
      <c r="K1349" s="67">
        <f t="shared" si="84"/>
        <v>6</v>
      </c>
      <c r="L1349" s="155">
        <v>1.4833299999999999E-3</v>
      </c>
      <c r="M1349" s="104">
        <f t="shared" si="85"/>
        <v>-7.6539827999999996E-3</v>
      </c>
      <c r="O1349" s="66"/>
      <c r="Q1349" s="66">
        <f t="shared" si="82"/>
        <v>-1.4227445833333333E-2</v>
      </c>
    </row>
    <row r="1350" spans="1:17">
      <c r="A1350" s="102" t="s">
        <v>14</v>
      </c>
      <c r="B1350" s="103" t="s">
        <v>236</v>
      </c>
      <c r="C1350" s="103" t="s">
        <v>237</v>
      </c>
      <c r="D1350" s="102" t="s">
        <v>188</v>
      </c>
      <c r="E1350" s="103" t="s">
        <v>238</v>
      </c>
      <c r="F1350" s="102" t="s">
        <v>190</v>
      </c>
      <c r="G1350" s="103" t="s">
        <v>20</v>
      </c>
      <c r="H1350" s="103">
        <v>201609</v>
      </c>
      <c r="I1350" s="104">
        <v>119154.35</v>
      </c>
      <c r="J1350" s="297">
        <f t="shared" si="83"/>
        <v>42675</v>
      </c>
      <c r="K1350" s="67">
        <f t="shared" si="84"/>
        <v>6</v>
      </c>
      <c r="L1350" s="148">
        <v>2.23333E-3</v>
      </c>
      <c r="M1350" s="104">
        <f t="shared" si="85"/>
        <v>1596.6659069129998</v>
      </c>
      <c r="O1350" s="66"/>
      <c r="Q1350" s="66">
        <f t="shared" ref="Q1350:Q1413" si="86">($Q$4*0.5*I1350*$T$10)</f>
        <v>1971.2349539895833</v>
      </c>
    </row>
    <row r="1351" spans="1:17">
      <c r="A1351" s="102" t="s">
        <v>14</v>
      </c>
      <c r="B1351" s="103" t="s">
        <v>239</v>
      </c>
      <c r="C1351" s="103" t="s">
        <v>240</v>
      </c>
      <c r="D1351" s="102" t="s">
        <v>197</v>
      </c>
      <c r="E1351" s="103" t="s">
        <v>241</v>
      </c>
      <c r="F1351" s="102" t="s">
        <v>199</v>
      </c>
      <c r="G1351" s="103" t="s">
        <v>20</v>
      </c>
      <c r="H1351" s="103">
        <v>201609</v>
      </c>
      <c r="I1351" s="104">
        <v>-2.62</v>
      </c>
      <c r="J1351" s="297">
        <f t="shared" ref="J1351:J1414" si="87">+J1350</f>
        <v>42675</v>
      </c>
      <c r="K1351" s="67">
        <f t="shared" si="84"/>
        <v>6</v>
      </c>
      <c r="L1351" s="148">
        <v>2.23333E-3</v>
      </c>
      <c r="M1351" s="104">
        <f t="shared" si="85"/>
        <v>-3.5107947600000002E-2</v>
      </c>
      <c r="O1351" s="66"/>
      <c r="Q1351" s="66">
        <f t="shared" si="86"/>
        <v>-4.3344079166666667E-2</v>
      </c>
    </row>
    <row r="1352" spans="1:17">
      <c r="A1352" s="102" t="s">
        <v>127</v>
      </c>
      <c r="B1352" s="103" t="s">
        <v>1032</v>
      </c>
      <c r="C1352" s="103" t="s">
        <v>1033</v>
      </c>
      <c r="D1352" s="102" t="s">
        <v>1034</v>
      </c>
      <c r="E1352" s="103" t="s">
        <v>209</v>
      </c>
      <c r="F1352" s="102" t="s">
        <v>1612</v>
      </c>
      <c r="G1352" s="103" t="s">
        <v>20</v>
      </c>
      <c r="H1352" s="103">
        <v>201609</v>
      </c>
      <c r="I1352" s="104">
        <v>-60.37</v>
      </c>
      <c r="J1352" s="297">
        <f t="shared" si="87"/>
        <v>42675</v>
      </c>
      <c r="K1352" s="67">
        <f t="shared" si="84"/>
        <v>6</v>
      </c>
      <c r="L1352" s="148">
        <v>2.3833299999999999E-3</v>
      </c>
      <c r="M1352" s="104">
        <f t="shared" si="85"/>
        <v>-0.86328979259999994</v>
      </c>
      <c r="O1352" s="66"/>
      <c r="Q1352" s="66">
        <f t="shared" si="86"/>
        <v>-0.99873361041666664</v>
      </c>
    </row>
    <row r="1353" spans="1:17">
      <c r="A1353" s="102" t="s">
        <v>14</v>
      </c>
      <c r="B1353" s="103" t="s">
        <v>706</v>
      </c>
      <c r="C1353" s="103" t="s">
        <v>707</v>
      </c>
      <c r="D1353" s="102" t="s">
        <v>708</v>
      </c>
      <c r="E1353" s="103" t="s">
        <v>709</v>
      </c>
      <c r="F1353" s="102" t="s">
        <v>710</v>
      </c>
      <c r="G1353" s="103" t="s">
        <v>20</v>
      </c>
      <c r="H1353" s="103">
        <v>201609</v>
      </c>
      <c r="I1353" s="104">
        <v>-0.47</v>
      </c>
      <c r="J1353" s="297">
        <f t="shared" si="87"/>
        <v>42675</v>
      </c>
      <c r="K1353" s="67">
        <f t="shared" si="84"/>
        <v>6</v>
      </c>
      <c r="L1353" s="148">
        <v>2.23333E-3</v>
      </c>
      <c r="M1353" s="104">
        <f t="shared" si="85"/>
        <v>-6.2979905999999992E-3</v>
      </c>
      <c r="O1353" s="66"/>
      <c r="Q1353" s="66">
        <f t="shared" si="86"/>
        <v>-7.7754645833333332E-3</v>
      </c>
    </row>
    <row r="1354" spans="1:17">
      <c r="A1354" s="102" t="s">
        <v>14</v>
      </c>
      <c r="B1354" s="103" t="s">
        <v>267</v>
      </c>
      <c r="C1354" s="103" t="s">
        <v>268</v>
      </c>
      <c r="D1354" s="102" t="s">
        <v>269</v>
      </c>
      <c r="E1354" s="103" t="s">
        <v>270</v>
      </c>
      <c r="F1354" s="102" t="s">
        <v>115</v>
      </c>
      <c r="G1354" s="103" t="s">
        <v>20</v>
      </c>
      <c r="H1354" s="103">
        <v>201609</v>
      </c>
      <c r="I1354" s="104">
        <v>-369.39</v>
      </c>
      <c r="J1354" s="297">
        <f t="shared" si="87"/>
        <v>42675</v>
      </c>
      <c r="K1354" s="67">
        <f t="shared" si="84"/>
        <v>6</v>
      </c>
      <c r="L1354" s="148">
        <v>2.23333E-3</v>
      </c>
      <c r="M1354" s="104">
        <f t="shared" si="85"/>
        <v>-4.9498186121999996</v>
      </c>
      <c r="O1354" s="66"/>
      <c r="Q1354" s="66">
        <f t="shared" si="86"/>
        <v>-6.1110188562499994</v>
      </c>
    </row>
    <row r="1355" spans="1:17">
      <c r="A1355" s="102" t="s">
        <v>14</v>
      </c>
      <c r="B1355" s="103" t="s">
        <v>271</v>
      </c>
      <c r="C1355" s="103" t="s">
        <v>272</v>
      </c>
      <c r="D1355" s="102" t="s">
        <v>197</v>
      </c>
      <c r="E1355" s="103" t="s">
        <v>273</v>
      </c>
      <c r="F1355" s="102" t="s">
        <v>199</v>
      </c>
      <c r="G1355" s="103" t="s">
        <v>20</v>
      </c>
      <c r="H1355" s="103">
        <v>201609</v>
      </c>
      <c r="I1355" s="104">
        <v>-805.05</v>
      </c>
      <c r="J1355" s="297">
        <f t="shared" si="87"/>
        <v>42675</v>
      </c>
      <c r="K1355" s="67">
        <f t="shared" si="84"/>
        <v>6</v>
      </c>
      <c r="L1355" s="148">
        <v>2.23333E-3</v>
      </c>
      <c r="M1355" s="104">
        <f t="shared" si="85"/>
        <v>-10.787653898999999</v>
      </c>
      <c r="O1355" s="66"/>
      <c r="Q1355" s="66">
        <f t="shared" si="86"/>
        <v>-13.31837821875</v>
      </c>
    </row>
    <row r="1356" spans="1:17">
      <c r="A1356" s="102" t="s">
        <v>626</v>
      </c>
      <c r="B1356" s="103" t="s">
        <v>1250</v>
      </c>
      <c r="C1356" s="103" t="s">
        <v>1251</v>
      </c>
      <c r="D1356" s="102" t="s">
        <v>1252</v>
      </c>
      <c r="E1356" s="103" t="s">
        <v>260</v>
      </c>
      <c r="F1356" s="102" t="s">
        <v>1608</v>
      </c>
      <c r="G1356" s="103" t="s">
        <v>20</v>
      </c>
      <c r="H1356" s="103">
        <v>201609</v>
      </c>
      <c r="I1356" s="104">
        <v>-62.94</v>
      </c>
      <c r="J1356" s="297">
        <f t="shared" si="87"/>
        <v>42675</v>
      </c>
      <c r="K1356" s="67">
        <f t="shared" si="84"/>
        <v>6</v>
      </c>
      <c r="L1356" s="155">
        <v>1.4833299999999999E-3</v>
      </c>
      <c r="M1356" s="104">
        <f t="shared" si="85"/>
        <v>-0.56016474119999993</v>
      </c>
      <c r="O1356" s="66"/>
      <c r="Q1356" s="66">
        <f t="shared" si="86"/>
        <v>-1.0412505125</v>
      </c>
    </row>
    <row r="1357" spans="1:17">
      <c r="A1357" s="102" t="s">
        <v>14</v>
      </c>
      <c r="B1357" s="103" t="s">
        <v>1676</v>
      </c>
      <c r="C1357" s="103" t="s">
        <v>1677</v>
      </c>
      <c r="D1357" s="102" t="s">
        <v>50</v>
      </c>
      <c r="E1357" s="103" t="s">
        <v>1678</v>
      </c>
      <c r="F1357" s="102" t="s">
        <v>52</v>
      </c>
      <c r="G1357" s="103" t="s">
        <v>20</v>
      </c>
      <c r="H1357" s="103">
        <v>201609</v>
      </c>
      <c r="I1357" s="104">
        <v>-6.15</v>
      </c>
      <c r="J1357" s="297">
        <f t="shared" si="87"/>
        <v>42675</v>
      </c>
      <c r="K1357" s="67">
        <f t="shared" si="84"/>
        <v>6</v>
      </c>
      <c r="L1357" s="148">
        <v>2.23333E-3</v>
      </c>
      <c r="M1357" s="104">
        <f t="shared" si="85"/>
        <v>-8.2409876999999992E-2</v>
      </c>
      <c r="O1357" s="66"/>
      <c r="Q1357" s="66">
        <f t="shared" si="86"/>
        <v>-0.10174278125000001</v>
      </c>
    </row>
    <row r="1358" spans="1:17">
      <c r="A1358" s="102" t="s">
        <v>990</v>
      </c>
      <c r="B1358" s="103" t="s">
        <v>1017</v>
      </c>
      <c r="C1358" s="103" t="s">
        <v>1018</v>
      </c>
      <c r="D1358" s="102" t="s">
        <v>993</v>
      </c>
      <c r="E1358" s="103" t="s">
        <v>1019</v>
      </c>
      <c r="F1358" s="102" t="s">
        <v>995</v>
      </c>
      <c r="G1358" s="103" t="s">
        <v>20</v>
      </c>
      <c r="H1358" s="103">
        <v>201609</v>
      </c>
      <c r="I1358" s="104">
        <v>-6.12</v>
      </c>
      <c r="J1358" s="297">
        <f t="shared" si="87"/>
        <v>42675</v>
      </c>
      <c r="K1358" s="67">
        <f t="shared" si="84"/>
        <v>6</v>
      </c>
      <c r="L1358" s="148">
        <v>2.3833299999999999E-3</v>
      </c>
      <c r="M1358" s="104">
        <f t="shared" si="85"/>
        <v>-8.75158776E-2</v>
      </c>
      <c r="O1358" s="66"/>
      <c r="Q1358" s="66">
        <f t="shared" si="86"/>
        <v>-0.101246475</v>
      </c>
    </row>
    <row r="1359" spans="1:17">
      <c r="A1359" s="102" t="s">
        <v>14</v>
      </c>
      <c r="B1359" s="103" t="s">
        <v>292</v>
      </c>
      <c r="C1359" s="103" t="s">
        <v>293</v>
      </c>
      <c r="D1359" s="102" t="s">
        <v>1679</v>
      </c>
      <c r="E1359" s="103" t="s">
        <v>294</v>
      </c>
      <c r="F1359" s="102" t="s">
        <v>1613</v>
      </c>
      <c r="G1359" s="103" t="s">
        <v>20</v>
      </c>
      <c r="H1359" s="103">
        <v>201609</v>
      </c>
      <c r="I1359" s="104">
        <v>57557.51</v>
      </c>
      <c r="J1359" s="297">
        <f t="shared" si="87"/>
        <v>42675</v>
      </c>
      <c r="K1359" s="67">
        <f t="shared" si="84"/>
        <v>6</v>
      </c>
      <c r="L1359" s="148">
        <v>2.23333E-3</v>
      </c>
      <c r="M1359" s="104">
        <f t="shared" si="85"/>
        <v>771.26948284979994</v>
      </c>
      <c r="O1359" s="66"/>
      <c r="Q1359" s="66">
        <f t="shared" si="86"/>
        <v>952.20506491458332</v>
      </c>
    </row>
    <row r="1360" spans="1:17">
      <c r="A1360" s="102" t="s">
        <v>14</v>
      </c>
      <c r="B1360" s="103" t="s">
        <v>419</v>
      </c>
      <c r="C1360" s="103" t="s">
        <v>420</v>
      </c>
      <c r="D1360" s="102" t="s">
        <v>50</v>
      </c>
      <c r="E1360" s="103" t="s">
        <v>421</v>
      </c>
      <c r="F1360" s="102" t="s">
        <v>52</v>
      </c>
      <c r="G1360" s="103" t="s">
        <v>20</v>
      </c>
      <c r="H1360" s="103">
        <v>201609</v>
      </c>
      <c r="I1360" s="104">
        <v>179.36</v>
      </c>
      <c r="J1360" s="297">
        <f t="shared" si="87"/>
        <v>42675</v>
      </c>
      <c r="K1360" s="67">
        <f t="shared" si="84"/>
        <v>6</v>
      </c>
      <c r="L1360" s="148">
        <v>2.23333E-3</v>
      </c>
      <c r="M1360" s="104">
        <f t="shared" si="85"/>
        <v>2.4034204128000001</v>
      </c>
      <c r="O1360" s="66"/>
      <c r="Q1360" s="66">
        <f t="shared" si="86"/>
        <v>2.9672496333333336</v>
      </c>
    </row>
    <row r="1361" spans="1:17">
      <c r="A1361" s="102" t="s">
        <v>14</v>
      </c>
      <c r="B1361" s="103" t="s">
        <v>839</v>
      </c>
      <c r="C1361" s="103" t="s">
        <v>840</v>
      </c>
      <c r="D1361" s="102" t="s">
        <v>50</v>
      </c>
      <c r="E1361" s="103" t="s">
        <v>841</v>
      </c>
      <c r="F1361" s="102" t="s">
        <v>52</v>
      </c>
      <c r="G1361" s="103" t="s">
        <v>20</v>
      </c>
      <c r="H1361" s="103">
        <v>201609</v>
      </c>
      <c r="I1361" s="104">
        <v>33.590000000000003</v>
      </c>
      <c r="J1361" s="297">
        <f t="shared" si="87"/>
        <v>42675</v>
      </c>
      <c r="K1361" s="67">
        <f t="shared" si="84"/>
        <v>6</v>
      </c>
      <c r="L1361" s="148">
        <v>2.23333E-3</v>
      </c>
      <c r="M1361" s="104">
        <f t="shared" si="85"/>
        <v>0.45010532819999999</v>
      </c>
      <c r="O1361" s="66"/>
      <c r="Q1361" s="66">
        <f t="shared" si="86"/>
        <v>0.55569756458333341</v>
      </c>
    </row>
    <row r="1362" spans="1:17">
      <c r="A1362" s="102" t="s">
        <v>990</v>
      </c>
      <c r="B1362" s="103" t="s">
        <v>1020</v>
      </c>
      <c r="C1362" s="103" t="s">
        <v>1021</v>
      </c>
      <c r="D1362" s="102" t="s">
        <v>1680</v>
      </c>
      <c r="E1362" s="103" t="s">
        <v>1022</v>
      </c>
      <c r="F1362" s="102" t="s">
        <v>1614</v>
      </c>
      <c r="G1362" s="103" t="s">
        <v>20</v>
      </c>
      <c r="H1362" s="103">
        <v>201609</v>
      </c>
      <c r="I1362" s="104">
        <v>1294.8900000000001</v>
      </c>
      <c r="J1362" s="297">
        <f t="shared" si="87"/>
        <v>42675</v>
      </c>
      <c r="K1362" s="67">
        <f t="shared" si="84"/>
        <v>6</v>
      </c>
      <c r="L1362" s="148">
        <v>2.3833299999999999E-3</v>
      </c>
      <c r="M1362" s="104">
        <f t="shared" si="85"/>
        <v>18.516901102200002</v>
      </c>
      <c r="O1362" s="66"/>
      <c r="Q1362" s="66">
        <f t="shared" si="86"/>
        <v>21.422066668750002</v>
      </c>
    </row>
    <row r="1363" spans="1:17">
      <c r="A1363" s="102" t="s">
        <v>14</v>
      </c>
      <c r="B1363" s="103" t="s">
        <v>325</v>
      </c>
      <c r="C1363" s="103" t="s">
        <v>326</v>
      </c>
      <c r="D1363" s="102" t="s">
        <v>327</v>
      </c>
      <c r="E1363" s="103" t="s">
        <v>328</v>
      </c>
      <c r="F1363" s="102" t="s">
        <v>58</v>
      </c>
      <c r="G1363" s="103" t="s">
        <v>20</v>
      </c>
      <c r="H1363" s="103">
        <v>201609</v>
      </c>
      <c r="I1363" s="104">
        <v>292.27</v>
      </c>
      <c r="J1363" s="297">
        <f t="shared" si="87"/>
        <v>42675</v>
      </c>
      <c r="K1363" s="67">
        <f t="shared" si="84"/>
        <v>6</v>
      </c>
      <c r="L1363" s="148">
        <v>2.23333E-3</v>
      </c>
      <c r="M1363" s="104">
        <f t="shared" si="85"/>
        <v>3.9164121545999993</v>
      </c>
      <c r="O1363" s="66"/>
      <c r="Q1363" s="66">
        <f t="shared" si="86"/>
        <v>4.835180922916666</v>
      </c>
    </row>
    <row r="1364" spans="1:17">
      <c r="A1364" s="102" t="s">
        <v>626</v>
      </c>
      <c r="B1364" s="103" t="s">
        <v>1823</v>
      </c>
      <c r="C1364" s="103" t="s">
        <v>1824</v>
      </c>
      <c r="D1364" s="102" t="s">
        <v>1825</v>
      </c>
      <c r="E1364" s="103" t="s">
        <v>260</v>
      </c>
      <c r="F1364" s="102" t="s">
        <v>1608</v>
      </c>
      <c r="G1364" s="103" t="s">
        <v>20</v>
      </c>
      <c r="H1364" s="103">
        <v>201609</v>
      </c>
      <c r="I1364" s="104">
        <v>-78.22</v>
      </c>
      <c r="J1364" s="297">
        <f t="shared" si="87"/>
        <v>42675</v>
      </c>
      <c r="K1364" s="67">
        <f t="shared" si="84"/>
        <v>6</v>
      </c>
      <c r="L1364" s="155">
        <v>1.4833299999999999E-3</v>
      </c>
      <c r="M1364" s="104">
        <f t="shared" si="85"/>
        <v>-0.69615643559999996</v>
      </c>
      <c r="O1364" s="66"/>
      <c r="Q1364" s="66">
        <f t="shared" si="86"/>
        <v>-1.2940358291666667</v>
      </c>
    </row>
    <row r="1365" spans="1:17">
      <c r="A1365" s="102" t="s">
        <v>21</v>
      </c>
      <c r="B1365" s="103" t="s">
        <v>1823</v>
      </c>
      <c r="C1365" s="103" t="s">
        <v>1824</v>
      </c>
      <c r="D1365" s="102" t="s">
        <v>1825</v>
      </c>
      <c r="E1365" s="103" t="s">
        <v>260</v>
      </c>
      <c r="F1365" s="102" t="s">
        <v>1608</v>
      </c>
      <c r="G1365" s="103" t="s">
        <v>20</v>
      </c>
      <c r="H1365" s="103">
        <v>201609</v>
      </c>
      <c r="I1365" s="104">
        <v>-28.21</v>
      </c>
      <c r="J1365" s="297">
        <f t="shared" si="87"/>
        <v>42675</v>
      </c>
      <c r="K1365" s="67">
        <f t="shared" si="84"/>
        <v>6</v>
      </c>
      <c r="L1365" s="155">
        <v>1.4833299999999999E-3</v>
      </c>
      <c r="M1365" s="104">
        <f t="shared" si="85"/>
        <v>-0.25106843579999999</v>
      </c>
      <c r="O1365" s="66"/>
      <c r="Q1365" s="66">
        <f t="shared" si="86"/>
        <v>-0.46669331041666667</v>
      </c>
    </row>
    <row r="1366" spans="1:17">
      <c r="A1366" s="102" t="s">
        <v>127</v>
      </c>
      <c r="B1366" s="103" t="s">
        <v>1130</v>
      </c>
      <c r="C1366" s="103" t="s">
        <v>1131</v>
      </c>
      <c r="D1366" s="102" t="s">
        <v>1132</v>
      </c>
      <c r="E1366" s="103" t="s">
        <v>131</v>
      </c>
      <c r="F1366" s="102" t="s">
        <v>1607</v>
      </c>
      <c r="G1366" s="103" t="s">
        <v>20</v>
      </c>
      <c r="H1366" s="103">
        <v>201609</v>
      </c>
      <c r="I1366" s="104">
        <v>-0.02</v>
      </c>
      <c r="J1366" s="297">
        <f t="shared" si="87"/>
        <v>42675</v>
      </c>
      <c r="K1366" s="67">
        <f t="shared" si="84"/>
        <v>6</v>
      </c>
      <c r="L1366" s="148">
        <v>2.3833299999999999E-3</v>
      </c>
      <c r="M1366" s="104">
        <f t="shared" si="85"/>
        <v>-2.8599960000000004E-4</v>
      </c>
      <c r="O1366" s="66"/>
      <c r="Q1366" s="66">
        <f t="shared" si="86"/>
        <v>-3.3087083333333336E-4</v>
      </c>
    </row>
    <row r="1367" spans="1:17">
      <c r="A1367" s="102" t="s">
        <v>626</v>
      </c>
      <c r="B1367" s="103" t="s">
        <v>1136</v>
      </c>
      <c r="C1367" s="103" t="s">
        <v>1137</v>
      </c>
      <c r="D1367" s="102" t="s">
        <v>1138</v>
      </c>
      <c r="E1367" s="103" t="s">
        <v>962</v>
      </c>
      <c r="F1367" s="102" t="s">
        <v>88</v>
      </c>
      <c r="G1367" s="103" t="s">
        <v>20</v>
      </c>
      <c r="H1367" s="103">
        <v>201609</v>
      </c>
      <c r="I1367" s="104">
        <v>-24.51</v>
      </c>
      <c r="J1367" s="297">
        <f t="shared" si="87"/>
        <v>42675</v>
      </c>
      <c r="K1367" s="67">
        <f t="shared" si="84"/>
        <v>6</v>
      </c>
      <c r="L1367" s="155">
        <v>1.4833299999999999E-3</v>
      </c>
      <c r="M1367" s="104">
        <f t="shared" si="85"/>
        <v>-0.21813850980000002</v>
      </c>
      <c r="O1367" s="66"/>
      <c r="Q1367" s="66">
        <f t="shared" si="86"/>
        <v>-0.40548220625000003</v>
      </c>
    </row>
    <row r="1368" spans="1:17">
      <c r="A1368" s="102" t="s">
        <v>21</v>
      </c>
      <c r="B1368" s="103" t="s">
        <v>1826</v>
      </c>
      <c r="C1368" s="103" t="s">
        <v>1827</v>
      </c>
      <c r="D1368" s="102" t="s">
        <v>1828</v>
      </c>
      <c r="E1368" s="103" t="s">
        <v>25</v>
      </c>
      <c r="F1368" s="102" t="s">
        <v>26</v>
      </c>
      <c r="G1368" s="103" t="s">
        <v>20</v>
      </c>
      <c r="H1368" s="103">
        <v>201609</v>
      </c>
      <c r="I1368" s="104">
        <v>-329.37</v>
      </c>
      <c r="J1368" s="297">
        <f t="shared" si="87"/>
        <v>42675</v>
      </c>
      <c r="K1368" s="67">
        <f t="shared" si="84"/>
        <v>6</v>
      </c>
      <c r="L1368" s="155">
        <v>1.4833299999999999E-3</v>
      </c>
      <c r="M1368" s="104">
        <f t="shared" si="85"/>
        <v>-2.9313864126000002</v>
      </c>
      <c r="O1368" s="66"/>
      <c r="Q1368" s="66">
        <f t="shared" si="86"/>
        <v>-5.4489463187500009</v>
      </c>
    </row>
    <row r="1369" spans="1:17">
      <c r="A1369" s="102" t="s">
        <v>626</v>
      </c>
      <c r="B1369" s="103" t="s">
        <v>1826</v>
      </c>
      <c r="C1369" s="103" t="s">
        <v>1827</v>
      </c>
      <c r="D1369" s="102" t="s">
        <v>1828</v>
      </c>
      <c r="E1369" s="103" t="s">
        <v>25</v>
      </c>
      <c r="F1369" s="102" t="s">
        <v>26</v>
      </c>
      <c r="G1369" s="103" t="s">
        <v>20</v>
      </c>
      <c r="H1369" s="103">
        <v>201609</v>
      </c>
      <c r="I1369" s="104">
        <v>-114.49</v>
      </c>
      <c r="J1369" s="297">
        <f t="shared" si="87"/>
        <v>42675</v>
      </c>
      <c r="K1369" s="67">
        <f t="shared" si="84"/>
        <v>6</v>
      </c>
      <c r="L1369" s="155">
        <v>1.4833299999999999E-3</v>
      </c>
      <c r="M1369" s="104">
        <f t="shared" si="85"/>
        <v>-1.0189587102</v>
      </c>
      <c r="O1369" s="66"/>
      <c r="Q1369" s="66">
        <f t="shared" si="86"/>
        <v>-1.8940700854166665</v>
      </c>
    </row>
    <row r="1370" spans="1:17">
      <c r="A1370" s="102" t="s">
        <v>626</v>
      </c>
      <c r="B1370" s="103" t="s">
        <v>1139</v>
      </c>
      <c r="C1370" s="103" t="s">
        <v>1140</v>
      </c>
      <c r="D1370" s="102" t="s">
        <v>1141</v>
      </c>
      <c r="E1370" s="103" t="s">
        <v>280</v>
      </c>
      <c r="F1370" s="102" t="s">
        <v>26</v>
      </c>
      <c r="G1370" s="103" t="s">
        <v>20</v>
      </c>
      <c r="H1370" s="103">
        <v>201609</v>
      </c>
      <c r="I1370" s="104">
        <v>-5.77</v>
      </c>
      <c r="J1370" s="297">
        <f t="shared" si="87"/>
        <v>42675</v>
      </c>
      <c r="K1370" s="67">
        <f t="shared" si="84"/>
        <v>6</v>
      </c>
      <c r="L1370" s="155">
        <v>1.4833299999999999E-3</v>
      </c>
      <c r="M1370" s="104">
        <f t="shared" si="85"/>
        <v>-5.1352884599999996E-2</v>
      </c>
      <c r="O1370" s="66"/>
      <c r="Q1370" s="66">
        <f t="shared" si="86"/>
        <v>-9.545623541666666E-2</v>
      </c>
    </row>
    <row r="1371" spans="1:17">
      <c r="A1371" s="102" t="s">
        <v>626</v>
      </c>
      <c r="B1371" s="103" t="s">
        <v>1142</v>
      </c>
      <c r="C1371" s="103" t="s">
        <v>1143</v>
      </c>
      <c r="D1371" s="102" t="s">
        <v>1144</v>
      </c>
      <c r="E1371" s="103" t="s">
        <v>164</v>
      </c>
      <c r="F1371" s="102" t="s">
        <v>1600</v>
      </c>
      <c r="G1371" s="103" t="s">
        <v>20</v>
      </c>
      <c r="H1371" s="103">
        <v>201609</v>
      </c>
      <c r="I1371" s="104">
        <v>-2.3199999999999998</v>
      </c>
      <c r="J1371" s="297">
        <f t="shared" si="87"/>
        <v>42675</v>
      </c>
      <c r="K1371" s="67">
        <f t="shared" si="84"/>
        <v>6</v>
      </c>
      <c r="L1371" s="155">
        <v>1.4833299999999999E-3</v>
      </c>
      <c r="M1371" s="104">
        <f t="shared" si="85"/>
        <v>-2.0647953599999998E-2</v>
      </c>
      <c r="O1371" s="66"/>
      <c r="Q1371" s="66">
        <f t="shared" si="86"/>
        <v>-3.8381016666666663E-2</v>
      </c>
    </row>
    <row r="1372" spans="1:17">
      <c r="A1372" s="102" t="s">
        <v>626</v>
      </c>
      <c r="B1372" s="103" t="s">
        <v>1615</v>
      </c>
      <c r="C1372" s="103" t="s">
        <v>1616</v>
      </c>
      <c r="D1372" s="102" t="s">
        <v>1617</v>
      </c>
      <c r="E1372" s="103" t="s">
        <v>497</v>
      </c>
      <c r="F1372" s="102" t="s">
        <v>26</v>
      </c>
      <c r="G1372" s="103" t="s">
        <v>20</v>
      </c>
      <c r="H1372" s="103">
        <v>201609</v>
      </c>
      <c r="I1372" s="104">
        <v>-1.95</v>
      </c>
      <c r="J1372" s="297">
        <f t="shared" si="87"/>
        <v>42675</v>
      </c>
      <c r="K1372" s="67">
        <f t="shared" si="84"/>
        <v>6</v>
      </c>
      <c r="L1372" s="155">
        <v>1.4833299999999999E-3</v>
      </c>
      <c r="M1372" s="104">
        <f t="shared" si="85"/>
        <v>-1.7354960999999999E-2</v>
      </c>
      <c r="O1372" s="66"/>
      <c r="Q1372" s="66">
        <f t="shared" si="86"/>
        <v>-3.2259906249999998E-2</v>
      </c>
    </row>
    <row r="1373" spans="1:17">
      <c r="A1373" s="102" t="s">
        <v>626</v>
      </c>
      <c r="B1373" s="103" t="s">
        <v>1148</v>
      </c>
      <c r="C1373" s="103" t="s">
        <v>1149</v>
      </c>
      <c r="D1373" s="102" t="s">
        <v>1150</v>
      </c>
      <c r="E1373" s="103" t="s">
        <v>93</v>
      </c>
      <c r="F1373" s="102" t="s">
        <v>1601</v>
      </c>
      <c r="G1373" s="103" t="s">
        <v>20</v>
      </c>
      <c r="H1373" s="103">
        <v>201609</v>
      </c>
      <c r="I1373" s="104">
        <v>0.1</v>
      </c>
      <c r="J1373" s="297">
        <f t="shared" si="87"/>
        <v>42675</v>
      </c>
      <c r="K1373" s="67">
        <f t="shared" si="84"/>
        <v>6</v>
      </c>
      <c r="L1373" s="155">
        <v>1.4833299999999999E-3</v>
      </c>
      <c r="M1373" s="104">
        <f t="shared" si="85"/>
        <v>8.8999800000000003E-4</v>
      </c>
      <c r="O1373" s="66"/>
      <c r="Q1373" s="66">
        <f t="shared" si="86"/>
        <v>1.6543541666666668E-3</v>
      </c>
    </row>
    <row r="1374" spans="1:17">
      <c r="A1374" s="102" t="s">
        <v>21</v>
      </c>
      <c r="B1374" s="103" t="s">
        <v>1502</v>
      </c>
      <c r="C1374" s="103" t="s">
        <v>1503</v>
      </c>
      <c r="D1374" s="102" t="s">
        <v>1504</v>
      </c>
      <c r="E1374" s="103" t="s">
        <v>172</v>
      </c>
      <c r="F1374" s="102" t="s">
        <v>1609</v>
      </c>
      <c r="G1374" s="103" t="s">
        <v>20</v>
      </c>
      <c r="H1374" s="103">
        <v>201609</v>
      </c>
      <c r="I1374" s="104">
        <v>3.06</v>
      </c>
      <c r="J1374" s="297">
        <f t="shared" si="87"/>
        <v>42675</v>
      </c>
      <c r="K1374" s="67">
        <f t="shared" si="84"/>
        <v>6</v>
      </c>
      <c r="L1374" s="155">
        <v>1.4833299999999999E-3</v>
      </c>
      <c r="M1374" s="104">
        <f t="shared" si="85"/>
        <v>2.7233938799999999E-2</v>
      </c>
      <c r="O1374" s="66"/>
      <c r="Q1374" s="66">
        <f t="shared" si="86"/>
        <v>5.0623237500000001E-2</v>
      </c>
    </row>
    <row r="1375" spans="1:17">
      <c r="A1375" s="102" t="s">
        <v>21</v>
      </c>
      <c r="B1375" s="103" t="s">
        <v>1948</v>
      </c>
      <c r="C1375" s="103" t="s">
        <v>1949</v>
      </c>
      <c r="D1375" s="102" t="s">
        <v>1950</v>
      </c>
      <c r="E1375" s="103" t="s">
        <v>756</v>
      </c>
      <c r="F1375" s="102" t="s">
        <v>757</v>
      </c>
      <c r="G1375" s="103" t="s">
        <v>20</v>
      </c>
      <c r="H1375" s="103">
        <v>201609</v>
      </c>
      <c r="I1375" s="104">
        <v>-100.29</v>
      </c>
      <c r="J1375" s="297">
        <f t="shared" si="87"/>
        <v>42675</v>
      </c>
      <c r="K1375" s="67">
        <f t="shared" si="84"/>
        <v>6</v>
      </c>
      <c r="L1375" s="155">
        <v>1.4833299999999999E-3</v>
      </c>
      <c r="M1375" s="104">
        <f t="shared" si="85"/>
        <v>-0.89257899420000009</v>
      </c>
      <c r="O1375" s="66"/>
      <c r="Q1375" s="66">
        <f t="shared" si="86"/>
        <v>-1.6591517937500002</v>
      </c>
    </row>
    <row r="1376" spans="1:17">
      <c r="A1376" s="102" t="s">
        <v>21</v>
      </c>
      <c r="B1376" s="103" t="s">
        <v>1858</v>
      </c>
      <c r="C1376" s="103" t="s">
        <v>1859</v>
      </c>
      <c r="D1376" s="102" t="s">
        <v>1860</v>
      </c>
      <c r="E1376" s="103" t="s">
        <v>70</v>
      </c>
      <c r="F1376" s="102" t="s">
        <v>71</v>
      </c>
      <c r="G1376" s="103" t="s">
        <v>20</v>
      </c>
      <c r="H1376" s="103">
        <v>201609</v>
      </c>
      <c r="I1376" s="104">
        <v>-12.41</v>
      </c>
      <c r="J1376" s="297">
        <f t="shared" si="87"/>
        <v>42675</v>
      </c>
      <c r="K1376" s="67">
        <f t="shared" si="84"/>
        <v>6</v>
      </c>
      <c r="L1376" s="155">
        <v>1.4833299999999999E-3</v>
      </c>
      <c r="M1376" s="104">
        <f t="shared" si="85"/>
        <v>-0.11044875180000001</v>
      </c>
      <c r="O1376" s="66"/>
      <c r="Q1376" s="66">
        <f t="shared" si="86"/>
        <v>-0.20530535208333336</v>
      </c>
    </row>
    <row r="1377" spans="1:17">
      <c r="A1377" s="102" t="s">
        <v>626</v>
      </c>
      <c r="B1377" s="103" t="s">
        <v>1169</v>
      </c>
      <c r="C1377" s="103" t="s">
        <v>1170</v>
      </c>
      <c r="D1377" s="102" t="s">
        <v>1171</v>
      </c>
      <c r="E1377" s="103" t="s">
        <v>164</v>
      </c>
      <c r="F1377" s="102" t="s">
        <v>1600</v>
      </c>
      <c r="G1377" s="103" t="s">
        <v>20</v>
      </c>
      <c r="H1377" s="103">
        <v>201609</v>
      </c>
      <c r="I1377" s="104">
        <v>-15.8</v>
      </c>
      <c r="J1377" s="297">
        <f t="shared" si="87"/>
        <v>42675</v>
      </c>
      <c r="K1377" s="67">
        <f t="shared" si="84"/>
        <v>6</v>
      </c>
      <c r="L1377" s="155">
        <v>1.4833299999999999E-3</v>
      </c>
      <c r="M1377" s="104">
        <f t="shared" si="85"/>
        <v>-0.14061968399999999</v>
      </c>
      <c r="O1377" s="66"/>
      <c r="Q1377" s="66">
        <f t="shared" si="86"/>
        <v>-0.26138795833333334</v>
      </c>
    </row>
    <row r="1378" spans="1:17">
      <c r="A1378" s="102" t="s">
        <v>626</v>
      </c>
      <c r="B1378" s="103" t="s">
        <v>1172</v>
      </c>
      <c r="C1378" s="103" t="s">
        <v>1173</v>
      </c>
      <c r="D1378" s="102" t="s">
        <v>1174</v>
      </c>
      <c r="E1378" s="103" t="s">
        <v>156</v>
      </c>
      <c r="F1378" s="102" t="s">
        <v>26</v>
      </c>
      <c r="G1378" s="103" t="s">
        <v>20</v>
      </c>
      <c r="H1378" s="103">
        <v>201609</v>
      </c>
      <c r="I1378" s="104">
        <v>-2.23</v>
      </c>
      <c r="J1378" s="297">
        <f t="shared" si="87"/>
        <v>42675</v>
      </c>
      <c r="K1378" s="67">
        <f t="shared" si="84"/>
        <v>6</v>
      </c>
      <c r="L1378" s="155">
        <v>1.4833299999999999E-3</v>
      </c>
      <c r="M1378" s="104">
        <f t="shared" si="85"/>
        <v>-1.9846955400000001E-2</v>
      </c>
      <c r="O1378" s="66"/>
      <c r="Q1378" s="66">
        <f t="shared" si="86"/>
        <v>-3.6892097916666665E-2</v>
      </c>
    </row>
    <row r="1379" spans="1:17">
      <c r="A1379" s="102" t="s">
        <v>626</v>
      </c>
      <c r="B1379" s="103" t="s">
        <v>1545</v>
      </c>
      <c r="C1379" s="103" t="s">
        <v>1546</v>
      </c>
      <c r="D1379" s="102" t="s">
        <v>1547</v>
      </c>
      <c r="E1379" s="103" t="s">
        <v>164</v>
      </c>
      <c r="F1379" s="102" t="s">
        <v>1600</v>
      </c>
      <c r="G1379" s="103" t="s">
        <v>20</v>
      </c>
      <c r="H1379" s="103">
        <v>201609</v>
      </c>
      <c r="I1379" s="104">
        <v>1.17</v>
      </c>
      <c r="J1379" s="297">
        <f t="shared" si="87"/>
        <v>42675</v>
      </c>
      <c r="K1379" s="67">
        <f t="shared" si="84"/>
        <v>6</v>
      </c>
      <c r="L1379" s="155">
        <v>1.4833299999999999E-3</v>
      </c>
      <c r="M1379" s="104">
        <f t="shared" si="85"/>
        <v>1.04129766E-2</v>
      </c>
      <c r="O1379" s="66"/>
      <c r="Q1379" s="66">
        <f t="shared" si="86"/>
        <v>1.935594375E-2</v>
      </c>
    </row>
    <row r="1380" spans="1:17">
      <c r="A1380" s="102" t="s">
        <v>626</v>
      </c>
      <c r="B1380" s="103" t="s">
        <v>1420</v>
      </c>
      <c r="C1380" s="103" t="s">
        <v>1421</v>
      </c>
      <c r="D1380" s="102" t="s">
        <v>1422</v>
      </c>
      <c r="E1380" s="103" t="s">
        <v>260</v>
      </c>
      <c r="F1380" s="102" t="s">
        <v>1608</v>
      </c>
      <c r="G1380" s="103" t="s">
        <v>20</v>
      </c>
      <c r="H1380" s="103">
        <v>201609</v>
      </c>
      <c r="I1380" s="104">
        <v>-11.1</v>
      </c>
      <c r="J1380" s="297">
        <f t="shared" si="87"/>
        <v>42675</v>
      </c>
      <c r="K1380" s="67">
        <f t="shared" si="84"/>
        <v>6</v>
      </c>
      <c r="L1380" s="155">
        <v>1.4833299999999999E-3</v>
      </c>
      <c r="M1380" s="104">
        <f t="shared" si="85"/>
        <v>-9.8789777999999995E-2</v>
      </c>
      <c r="O1380" s="66"/>
      <c r="Q1380" s="66">
        <f t="shared" si="86"/>
        <v>-0.18363331250000001</v>
      </c>
    </row>
    <row r="1381" spans="1:17">
      <c r="A1381" s="102" t="s">
        <v>21</v>
      </c>
      <c r="B1381" s="103" t="s">
        <v>1420</v>
      </c>
      <c r="C1381" s="103" t="s">
        <v>1421</v>
      </c>
      <c r="D1381" s="102" t="s">
        <v>1422</v>
      </c>
      <c r="E1381" s="103" t="s">
        <v>260</v>
      </c>
      <c r="F1381" s="102" t="s">
        <v>1608</v>
      </c>
      <c r="G1381" s="103" t="s">
        <v>20</v>
      </c>
      <c r="H1381" s="103">
        <v>201609</v>
      </c>
      <c r="I1381" s="104">
        <v>-2.83</v>
      </c>
      <c r="J1381" s="297">
        <f t="shared" si="87"/>
        <v>42675</v>
      </c>
      <c r="K1381" s="67">
        <f t="shared" si="84"/>
        <v>6</v>
      </c>
      <c r="L1381" s="155">
        <v>1.4833299999999999E-3</v>
      </c>
      <c r="M1381" s="104">
        <f t="shared" si="85"/>
        <v>-2.5186943400000002E-2</v>
      </c>
      <c r="O1381" s="66"/>
      <c r="Q1381" s="66">
        <f t="shared" si="86"/>
        <v>-4.6818222916666673E-2</v>
      </c>
    </row>
    <row r="1382" spans="1:17">
      <c r="A1382" s="102" t="s">
        <v>626</v>
      </c>
      <c r="B1382" s="103" t="s">
        <v>1268</v>
      </c>
      <c r="C1382" s="103" t="s">
        <v>1269</v>
      </c>
      <c r="D1382" s="102" t="s">
        <v>1270</v>
      </c>
      <c r="E1382" s="103" t="s">
        <v>260</v>
      </c>
      <c r="F1382" s="102" t="s">
        <v>1608</v>
      </c>
      <c r="G1382" s="103" t="s">
        <v>20</v>
      </c>
      <c r="H1382" s="103">
        <v>201609</v>
      </c>
      <c r="I1382" s="104">
        <v>0.05</v>
      </c>
      <c r="J1382" s="297">
        <f t="shared" si="87"/>
        <v>42675</v>
      </c>
      <c r="K1382" s="67">
        <f t="shared" si="84"/>
        <v>6</v>
      </c>
      <c r="L1382" s="155">
        <v>1.4833299999999999E-3</v>
      </c>
      <c r="M1382" s="104">
        <f t="shared" si="85"/>
        <v>4.4499900000000001E-4</v>
      </c>
      <c r="O1382" s="66"/>
      <c r="Q1382" s="66">
        <f t="shared" si="86"/>
        <v>8.2717708333333341E-4</v>
      </c>
    </row>
    <row r="1383" spans="1:17">
      <c r="A1383" s="102" t="s">
        <v>127</v>
      </c>
      <c r="B1383" s="103" t="s">
        <v>1785</v>
      </c>
      <c r="C1383" s="103" t="s">
        <v>1786</v>
      </c>
      <c r="D1383" s="102" t="s">
        <v>1787</v>
      </c>
      <c r="E1383" s="103" t="s">
        <v>1580</v>
      </c>
      <c r="F1383" s="102" t="s">
        <v>217</v>
      </c>
      <c r="G1383" s="103" t="s">
        <v>20</v>
      </c>
      <c r="H1383" s="103">
        <v>201609</v>
      </c>
      <c r="I1383" s="104">
        <v>-2.6</v>
      </c>
      <c r="J1383" s="297">
        <f t="shared" si="87"/>
        <v>42675</v>
      </c>
      <c r="K1383" s="67">
        <f t="shared" si="84"/>
        <v>6</v>
      </c>
      <c r="L1383" s="148">
        <v>2.3833299999999999E-3</v>
      </c>
      <c r="M1383" s="104">
        <f t="shared" si="85"/>
        <v>-3.7179948000000004E-2</v>
      </c>
      <c r="O1383" s="66"/>
      <c r="Q1383" s="66">
        <f t="shared" si="86"/>
        <v>-4.3013208333333337E-2</v>
      </c>
    </row>
    <row r="1384" spans="1:17">
      <c r="A1384" s="102" t="s">
        <v>626</v>
      </c>
      <c r="B1384" s="103" t="s">
        <v>1508</v>
      </c>
      <c r="C1384" s="103" t="s">
        <v>1509</v>
      </c>
      <c r="D1384" s="102" t="s">
        <v>1510</v>
      </c>
      <c r="E1384" s="103" t="s">
        <v>75</v>
      </c>
      <c r="F1384" s="102" t="s">
        <v>1602</v>
      </c>
      <c r="G1384" s="103" t="s">
        <v>20</v>
      </c>
      <c r="H1384" s="103">
        <v>201609</v>
      </c>
      <c r="I1384" s="104">
        <v>-6.41</v>
      </c>
      <c r="J1384" s="297">
        <f t="shared" si="87"/>
        <v>42675</v>
      </c>
      <c r="K1384" s="67">
        <f t="shared" si="84"/>
        <v>6</v>
      </c>
      <c r="L1384" s="155">
        <v>1.4833299999999999E-3</v>
      </c>
      <c r="M1384" s="104">
        <f t="shared" si="85"/>
        <v>-5.7048871800000005E-2</v>
      </c>
      <c r="O1384" s="66"/>
      <c r="Q1384" s="66">
        <f t="shared" si="86"/>
        <v>-0.10604410208333334</v>
      </c>
    </row>
    <row r="1385" spans="1:17">
      <c r="A1385" s="102" t="s">
        <v>626</v>
      </c>
      <c r="B1385" s="103" t="s">
        <v>1829</v>
      </c>
      <c r="C1385" s="103" t="s">
        <v>1830</v>
      </c>
      <c r="D1385" s="102" t="s">
        <v>1831</v>
      </c>
      <c r="E1385" s="103" t="s">
        <v>497</v>
      </c>
      <c r="F1385" s="102" t="s">
        <v>26</v>
      </c>
      <c r="G1385" s="103" t="s">
        <v>20</v>
      </c>
      <c r="H1385" s="103">
        <v>201609</v>
      </c>
      <c r="I1385" s="104">
        <v>-6.82</v>
      </c>
      <c r="J1385" s="297">
        <f t="shared" si="87"/>
        <v>42675</v>
      </c>
      <c r="K1385" s="67">
        <f t="shared" si="84"/>
        <v>6</v>
      </c>
      <c r="L1385" s="155">
        <v>1.4833299999999999E-3</v>
      </c>
      <c r="M1385" s="104">
        <f t="shared" si="85"/>
        <v>-6.0697863600000006E-2</v>
      </c>
      <c r="O1385" s="66"/>
      <c r="Q1385" s="66">
        <f t="shared" si="86"/>
        <v>-0.11282695416666667</v>
      </c>
    </row>
    <row r="1386" spans="1:17">
      <c r="A1386" s="102" t="s">
        <v>21</v>
      </c>
      <c r="B1386" s="103" t="s">
        <v>1829</v>
      </c>
      <c r="C1386" s="103" t="s">
        <v>1830</v>
      </c>
      <c r="D1386" s="102" t="s">
        <v>1831</v>
      </c>
      <c r="E1386" s="103" t="s">
        <v>497</v>
      </c>
      <c r="F1386" s="102" t="s">
        <v>26</v>
      </c>
      <c r="G1386" s="103" t="s">
        <v>20</v>
      </c>
      <c r="H1386" s="103">
        <v>201609</v>
      </c>
      <c r="I1386" s="104">
        <v>-1</v>
      </c>
      <c r="J1386" s="297">
        <f t="shared" si="87"/>
        <v>42675</v>
      </c>
      <c r="K1386" s="67">
        <f t="shared" si="84"/>
        <v>6</v>
      </c>
      <c r="L1386" s="155">
        <v>1.4833299999999999E-3</v>
      </c>
      <c r="M1386" s="104">
        <f t="shared" si="85"/>
        <v>-8.89998E-3</v>
      </c>
      <c r="O1386" s="66"/>
      <c r="Q1386" s="66">
        <f t="shared" si="86"/>
        <v>-1.6543541666666668E-2</v>
      </c>
    </row>
    <row r="1387" spans="1:17">
      <c r="A1387" s="102" t="s">
        <v>626</v>
      </c>
      <c r="B1387" s="103" t="s">
        <v>1709</v>
      </c>
      <c r="C1387" s="103" t="s">
        <v>1710</v>
      </c>
      <c r="D1387" s="102" t="s">
        <v>1711</v>
      </c>
      <c r="E1387" s="103" t="s">
        <v>497</v>
      </c>
      <c r="F1387" s="102" t="s">
        <v>26</v>
      </c>
      <c r="G1387" s="103" t="s">
        <v>20</v>
      </c>
      <c r="H1387" s="103">
        <v>201609</v>
      </c>
      <c r="I1387" s="104">
        <v>-1.1599999999999999</v>
      </c>
      <c r="J1387" s="297">
        <f t="shared" si="87"/>
        <v>42675</v>
      </c>
      <c r="K1387" s="67">
        <f t="shared" si="84"/>
        <v>6</v>
      </c>
      <c r="L1387" s="155">
        <v>1.4833299999999999E-3</v>
      </c>
      <c r="M1387" s="104">
        <f t="shared" si="85"/>
        <v>-1.0323976799999999E-2</v>
      </c>
      <c r="O1387" s="66"/>
      <c r="Q1387" s="66">
        <f t="shared" si="86"/>
        <v>-1.9190508333333332E-2</v>
      </c>
    </row>
    <row r="1388" spans="1:17">
      <c r="A1388" s="102" t="s">
        <v>626</v>
      </c>
      <c r="B1388" s="103" t="s">
        <v>1861</v>
      </c>
      <c r="C1388" s="103" t="s">
        <v>1862</v>
      </c>
      <c r="D1388" s="102" t="s">
        <v>1863</v>
      </c>
      <c r="E1388" s="103" t="s">
        <v>75</v>
      </c>
      <c r="F1388" s="102" t="s">
        <v>1602</v>
      </c>
      <c r="G1388" s="103" t="s">
        <v>20</v>
      </c>
      <c r="H1388" s="103">
        <v>201609</v>
      </c>
      <c r="I1388" s="104">
        <v>-98.32</v>
      </c>
      <c r="J1388" s="297">
        <f t="shared" si="87"/>
        <v>42675</v>
      </c>
      <c r="K1388" s="67">
        <f t="shared" si="84"/>
        <v>6</v>
      </c>
      <c r="L1388" s="155">
        <v>1.4833299999999999E-3</v>
      </c>
      <c r="M1388" s="104">
        <f t="shared" si="85"/>
        <v>-0.8750460336</v>
      </c>
      <c r="O1388" s="66"/>
      <c r="Q1388" s="66">
        <f t="shared" si="86"/>
        <v>-1.6265610166666666</v>
      </c>
    </row>
    <row r="1389" spans="1:17">
      <c r="A1389" s="102" t="s">
        <v>626</v>
      </c>
      <c r="B1389" s="103" t="s">
        <v>1511</v>
      </c>
      <c r="C1389" s="103" t="s">
        <v>1512</v>
      </c>
      <c r="D1389" s="102" t="s">
        <v>1513</v>
      </c>
      <c r="E1389" s="103" t="s">
        <v>260</v>
      </c>
      <c r="F1389" s="102" t="s">
        <v>1608</v>
      </c>
      <c r="G1389" s="103" t="s">
        <v>20</v>
      </c>
      <c r="H1389" s="103">
        <v>201609</v>
      </c>
      <c r="I1389" s="104">
        <v>-3.56</v>
      </c>
      <c r="J1389" s="297">
        <f t="shared" si="87"/>
        <v>42675</v>
      </c>
      <c r="K1389" s="67">
        <f t="shared" si="84"/>
        <v>6</v>
      </c>
      <c r="L1389" s="155">
        <v>1.4833299999999999E-3</v>
      </c>
      <c r="M1389" s="104">
        <f t="shared" si="85"/>
        <v>-3.1683928800000004E-2</v>
      </c>
      <c r="O1389" s="66"/>
      <c r="Q1389" s="66">
        <f t="shared" si="86"/>
        <v>-5.8895008333333332E-2</v>
      </c>
    </row>
    <row r="1390" spans="1:17">
      <c r="A1390" s="102" t="s">
        <v>626</v>
      </c>
      <c r="B1390" s="103" t="s">
        <v>1864</v>
      </c>
      <c r="C1390" s="103" t="s">
        <v>1865</v>
      </c>
      <c r="D1390" s="102" t="s">
        <v>1866</v>
      </c>
      <c r="E1390" s="103" t="s">
        <v>75</v>
      </c>
      <c r="F1390" s="102" t="s">
        <v>1602</v>
      </c>
      <c r="G1390" s="103" t="s">
        <v>20</v>
      </c>
      <c r="H1390" s="103">
        <v>201609</v>
      </c>
      <c r="I1390" s="104">
        <v>-460.65</v>
      </c>
      <c r="J1390" s="297">
        <f t="shared" si="87"/>
        <v>42675</v>
      </c>
      <c r="K1390" s="67">
        <f t="shared" si="84"/>
        <v>6</v>
      </c>
      <c r="L1390" s="155">
        <v>1.4833299999999999E-3</v>
      </c>
      <c r="M1390" s="104">
        <f t="shared" si="85"/>
        <v>-4.0997757869999996</v>
      </c>
      <c r="O1390" s="66"/>
      <c r="Q1390" s="66">
        <f t="shared" si="86"/>
        <v>-7.620782468749999</v>
      </c>
    </row>
    <row r="1391" spans="1:17">
      <c r="A1391" s="102" t="s">
        <v>626</v>
      </c>
      <c r="B1391" s="103" t="s">
        <v>1867</v>
      </c>
      <c r="C1391" s="103" t="s">
        <v>1868</v>
      </c>
      <c r="D1391" s="102" t="s">
        <v>1869</v>
      </c>
      <c r="E1391" s="103" t="s">
        <v>75</v>
      </c>
      <c r="F1391" s="102" t="s">
        <v>1602</v>
      </c>
      <c r="G1391" s="103" t="s">
        <v>20</v>
      </c>
      <c r="H1391" s="103">
        <v>201609</v>
      </c>
      <c r="I1391" s="104">
        <v>-3.34</v>
      </c>
      <c r="J1391" s="297">
        <f t="shared" si="87"/>
        <v>42675</v>
      </c>
      <c r="K1391" s="67">
        <f t="shared" si="84"/>
        <v>6</v>
      </c>
      <c r="L1391" s="155">
        <v>1.4833299999999999E-3</v>
      </c>
      <c r="M1391" s="104">
        <f t="shared" si="85"/>
        <v>-2.9725933199999999E-2</v>
      </c>
      <c r="O1391" s="66"/>
      <c r="Q1391" s="66">
        <f t="shared" si="86"/>
        <v>-5.5255429166666668E-2</v>
      </c>
    </row>
    <row r="1392" spans="1:17">
      <c r="A1392" s="102" t="s">
        <v>626</v>
      </c>
      <c r="B1392" s="103" t="s">
        <v>1870</v>
      </c>
      <c r="C1392" s="103" t="s">
        <v>1871</v>
      </c>
      <c r="D1392" s="102" t="s">
        <v>1872</v>
      </c>
      <c r="E1392" s="103" t="s">
        <v>75</v>
      </c>
      <c r="F1392" s="102" t="s">
        <v>1602</v>
      </c>
      <c r="G1392" s="103" t="s">
        <v>20</v>
      </c>
      <c r="H1392" s="103">
        <v>201609</v>
      </c>
      <c r="I1392" s="104">
        <v>-154.1</v>
      </c>
      <c r="J1392" s="297">
        <f t="shared" si="87"/>
        <v>42675</v>
      </c>
      <c r="K1392" s="67">
        <f t="shared" si="84"/>
        <v>6</v>
      </c>
      <c r="L1392" s="155">
        <v>1.4833299999999999E-3</v>
      </c>
      <c r="M1392" s="104">
        <f t="shared" si="85"/>
        <v>-1.371486918</v>
      </c>
      <c r="O1392" s="66"/>
      <c r="Q1392" s="66">
        <f t="shared" si="86"/>
        <v>-2.5493597708333335</v>
      </c>
    </row>
    <row r="1393" spans="1:17">
      <c r="A1393" s="102" t="s">
        <v>626</v>
      </c>
      <c r="B1393" s="103" t="s">
        <v>1514</v>
      </c>
      <c r="C1393" s="103" t="s">
        <v>1515</v>
      </c>
      <c r="D1393" s="102" t="s">
        <v>1516</v>
      </c>
      <c r="E1393" s="103" t="s">
        <v>809</v>
      </c>
      <c r="F1393" s="102" t="s">
        <v>26</v>
      </c>
      <c r="G1393" s="103" t="s">
        <v>20</v>
      </c>
      <c r="H1393" s="103">
        <v>201609</v>
      </c>
      <c r="I1393" s="104">
        <v>-1537.98</v>
      </c>
      <c r="J1393" s="297">
        <f t="shared" si="87"/>
        <v>42675</v>
      </c>
      <c r="K1393" s="67">
        <f t="shared" si="84"/>
        <v>6</v>
      </c>
      <c r="L1393" s="155">
        <v>1.4833299999999999E-3</v>
      </c>
      <c r="M1393" s="104">
        <f t="shared" si="85"/>
        <v>-13.687991240400001</v>
      </c>
      <c r="O1393" s="66"/>
      <c r="Q1393" s="66">
        <f t="shared" si="86"/>
        <v>-25.443636212500003</v>
      </c>
    </row>
    <row r="1394" spans="1:17">
      <c r="A1394" s="102" t="s">
        <v>626</v>
      </c>
      <c r="B1394" s="103" t="s">
        <v>1873</v>
      </c>
      <c r="C1394" s="103" t="s">
        <v>1874</v>
      </c>
      <c r="D1394" s="102" t="s">
        <v>1875</v>
      </c>
      <c r="E1394" s="103" t="s">
        <v>75</v>
      </c>
      <c r="F1394" s="102" t="s">
        <v>1602</v>
      </c>
      <c r="G1394" s="103" t="s">
        <v>20</v>
      </c>
      <c r="H1394" s="103">
        <v>201609</v>
      </c>
      <c r="I1394" s="104">
        <v>-681.62</v>
      </c>
      <c r="J1394" s="297">
        <f t="shared" si="87"/>
        <v>42675</v>
      </c>
      <c r="K1394" s="67">
        <f t="shared" si="84"/>
        <v>6</v>
      </c>
      <c r="L1394" s="155">
        <v>1.4833299999999999E-3</v>
      </c>
      <c r="M1394" s="104">
        <f t="shared" si="85"/>
        <v>-6.0664043675999997</v>
      </c>
      <c r="O1394" s="66"/>
      <c r="Q1394" s="66">
        <f t="shared" si="86"/>
        <v>-11.276408870833334</v>
      </c>
    </row>
    <row r="1395" spans="1:17">
      <c r="A1395" s="102" t="s">
        <v>626</v>
      </c>
      <c r="B1395" s="160" t="s">
        <v>1681</v>
      </c>
      <c r="C1395" s="103" t="s">
        <v>1703</v>
      </c>
      <c r="D1395" s="102" t="s">
        <v>1704</v>
      </c>
      <c r="E1395" s="103" t="s">
        <v>164</v>
      </c>
      <c r="F1395" s="102" t="s">
        <v>1600</v>
      </c>
      <c r="G1395" s="103" t="s">
        <v>20</v>
      </c>
      <c r="H1395" s="103">
        <v>201609</v>
      </c>
      <c r="I1395" s="104">
        <v>9658.1299999999992</v>
      </c>
      <c r="J1395" s="297">
        <f t="shared" si="87"/>
        <v>42675</v>
      </c>
      <c r="K1395" s="67">
        <f t="shared" si="84"/>
        <v>6</v>
      </c>
      <c r="L1395" s="155">
        <v>1.4833299999999999E-3</v>
      </c>
      <c r="M1395" s="104">
        <f t="shared" si="85"/>
        <v>85.957163837399989</v>
      </c>
      <c r="O1395" s="66"/>
      <c r="Q1395" s="66">
        <f t="shared" si="86"/>
        <v>159.77967607708334</v>
      </c>
    </row>
    <row r="1396" spans="1:17">
      <c r="A1396" s="102" t="s">
        <v>626</v>
      </c>
      <c r="B1396" s="160" t="s">
        <v>1681</v>
      </c>
      <c r="C1396" s="103" t="s">
        <v>1705</v>
      </c>
      <c r="D1396" s="102" t="s">
        <v>1706</v>
      </c>
      <c r="E1396" s="103" t="s">
        <v>75</v>
      </c>
      <c r="F1396" s="102" t="s">
        <v>1602</v>
      </c>
      <c r="G1396" s="103" t="s">
        <v>20</v>
      </c>
      <c r="H1396" s="103">
        <v>201609</v>
      </c>
      <c r="I1396" s="104">
        <v>12175.77</v>
      </c>
      <c r="J1396" s="297">
        <f t="shared" si="87"/>
        <v>42675</v>
      </c>
      <c r="K1396" s="67">
        <f t="shared" si="84"/>
        <v>6</v>
      </c>
      <c r="L1396" s="155">
        <v>1.4833299999999999E-3</v>
      </c>
      <c r="M1396" s="104">
        <f t="shared" si="85"/>
        <v>108.36410948460001</v>
      </c>
      <c r="O1396" s="66"/>
      <c r="Q1396" s="66">
        <f t="shared" si="86"/>
        <v>201.43035831875002</v>
      </c>
    </row>
    <row r="1397" spans="1:17">
      <c r="A1397" s="102" t="s">
        <v>626</v>
      </c>
      <c r="B1397" s="160" t="s">
        <v>1681</v>
      </c>
      <c r="C1397" s="103" t="s">
        <v>1707</v>
      </c>
      <c r="D1397" s="102" t="s">
        <v>1708</v>
      </c>
      <c r="E1397" s="103" t="s">
        <v>75</v>
      </c>
      <c r="F1397" s="102" t="s">
        <v>1602</v>
      </c>
      <c r="G1397" s="103" t="s">
        <v>20</v>
      </c>
      <c r="H1397" s="103">
        <v>201609</v>
      </c>
      <c r="I1397" s="104">
        <v>23847.3</v>
      </c>
      <c r="J1397" s="297">
        <f t="shared" si="87"/>
        <v>42675</v>
      </c>
      <c r="K1397" s="67">
        <f t="shared" si="84"/>
        <v>6</v>
      </c>
      <c r="L1397" s="155">
        <v>1.4833299999999999E-3</v>
      </c>
      <c r="M1397" s="104">
        <f t="shared" si="85"/>
        <v>212.24049305399998</v>
      </c>
      <c r="O1397" s="66"/>
      <c r="Q1397" s="66">
        <f t="shared" si="86"/>
        <v>394.5188011875</v>
      </c>
    </row>
    <row r="1398" spans="1:17">
      <c r="A1398" s="102" t="s">
        <v>626</v>
      </c>
      <c r="B1398" s="103" t="s">
        <v>1832</v>
      </c>
      <c r="C1398" s="103" t="s">
        <v>1833</v>
      </c>
      <c r="D1398" s="102" t="s">
        <v>1834</v>
      </c>
      <c r="E1398" s="103" t="s">
        <v>497</v>
      </c>
      <c r="F1398" s="102" t="s">
        <v>26</v>
      </c>
      <c r="G1398" s="103" t="s">
        <v>20</v>
      </c>
      <c r="H1398" s="103">
        <v>201609</v>
      </c>
      <c r="I1398" s="104">
        <v>-10.27</v>
      </c>
      <c r="J1398" s="297">
        <f t="shared" si="87"/>
        <v>42675</v>
      </c>
      <c r="K1398" s="67">
        <f t="shared" si="84"/>
        <v>6</v>
      </c>
      <c r="L1398" s="155">
        <v>1.4833299999999999E-3</v>
      </c>
      <c r="M1398" s="104">
        <f t="shared" si="85"/>
        <v>-9.1402794600000004E-2</v>
      </c>
      <c r="O1398" s="66"/>
      <c r="Q1398" s="66">
        <f t="shared" si="86"/>
        <v>-0.16990217291666665</v>
      </c>
    </row>
    <row r="1399" spans="1:17">
      <c r="A1399" s="102" t="s">
        <v>626</v>
      </c>
      <c r="B1399" s="103" t="s">
        <v>1712</v>
      </c>
      <c r="C1399" s="103" t="s">
        <v>1713</v>
      </c>
      <c r="D1399" s="102" t="s">
        <v>1714</v>
      </c>
      <c r="E1399" s="103" t="s">
        <v>497</v>
      </c>
      <c r="F1399" s="102" t="s">
        <v>26</v>
      </c>
      <c r="G1399" s="103" t="s">
        <v>20</v>
      </c>
      <c r="H1399" s="103">
        <v>201609</v>
      </c>
      <c r="I1399" s="104">
        <v>-1.42</v>
      </c>
      <c r="J1399" s="297">
        <f t="shared" si="87"/>
        <v>42675</v>
      </c>
      <c r="K1399" s="67">
        <f t="shared" si="84"/>
        <v>6</v>
      </c>
      <c r="L1399" s="155">
        <v>1.4833299999999999E-3</v>
      </c>
      <c r="M1399" s="104">
        <f t="shared" si="85"/>
        <v>-1.2637971599999999E-2</v>
      </c>
      <c r="O1399" s="66"/>
      <c r="Q1399" s="66">
        <f t="shared" si="86"/>
        <v>-2.3491829166666665E-2</v>
      </c>
    </row>
    <row r="1400" spans="1:17">
      <c r="A1400" s="102" t="s">
        <v>626</v>
      </c>
      <c r="B1400" s="103" t="s">
        <v>2030</v>
      </c>
      <c r="C1400" s="103" t="s">
        <v>2031</v>
      </c>
      <c r="D1400" s="102" t="s">
        <v>2032</v>
      </c>
      <c r="E1400" s="103" t="s">
        <v>497</v>
      </c>
      <c r="F1400" s="102" t="s">
        <v>26</v>
      </c>
      <c r="G1400" s="103" t="s">
        <v>20</v>
      </c>
      <c r="H1400" s="103">
        <v>201609</v>
      </c>
      <c r="I1400" s="104">
        <v>-3827.88</v>
      </c>
      <c r="J1400" s="297">
        <f t="shared" si="87"/>
        <v>42675</v>
      </c>
      <c r="K1400" s="67">
        <f t="shared" si="84"/>
        <v>6</v>
      </c>
      <c r="L1400" s="155">
        <v>1.4833299999999999E-3</v>
      </c>
      <c r="M1400" s="104">
        <f t="shared" si="85"/>
        <v>-34.068055442400002</v>
      </c>
      <c r="O1400" s="66"/>
      <c r="Q1400" s="66">
        <f t="shared" si="86"/>
        <v>-63.326692275000006</v>
      </c>
    </row>
    <row r="1401" spans="1:17">
      <c r="A1401" s="102" t="s">
        <v>626</v>
      </c>
      <c r="B1401" s="103" t="s">
        <v>1715</v>
      </c>
      <c r="C1401" s="103" t="s">
        <v>1716</v>
      </c>
      <c r="D1401" s="102" t="s">
        <v>1717</v>
      </c>
      <c r="E1401" s="103" t="s">
        <v>497</v>
      </c>
      <c r="F1401" s="102" t="s">
        <v>26</v>
      </c>
      <c r="G1401" s="103" t="s">
        <v>20</v>
      </c>
      <c r="H1401" s="103">
        <v>201609</v>
      </c>
      <c r="I1401" s="104">
        <v>-3.66</v>
      </c>
      <c r="J1401" s="297">
        <f t="shared" si="87"/>
        <v>42675</v>
      </c>
      <c r="K1401" s="67">
        <f t="shared" si="84"/>
        <v>6</v>
      </c>
      <c r="L1401" s="155">
        <v>1.4833299999999999E-3</v>
      </c>
      <c r="M1401" s="104">
        <f t="shared" si="85"/>
        <v>-3.25739268E-2</v>
      </c>
      <c r="O1401" s="66"/>
      <c r="Q1401" s="66">
        <f t="shared" si="86"/>
        <v>-6.0549362500000009E-2</v>
      </c>
    </row>
    <row r="1402" spans="1:17">
      <c r="A1402" s="102" t="s">
        <v>626</v>
      </c>
      <c r="B1402" s="103" t="s">
        <v>1951</v>
      </c>
      <c r="C1402" s="103" t="s">
        <v>1952</v>
      </c>
      <c r="D1402" s="102" t="s">
        <v>1759</v>
      </c>
      <c r="E1402" s="103" t="s">
        <v>75</v>
      </c>
      <c r="F1402" s="102" t="s">
        <v>1602</v>
      </c>
      <c r="G1402" s="103" t="s">
        <v>20</v>
      </c>
      <c r="H1402" s="103">
        <v>201609</v>
      </c>
      <c r="I1402" s="104">
        <v>-189.19</v>
      </c>
      <c r="J1402" s="297">
        <f t="shared" si="87"/>
        <v>42675</v>
      </c>
      <c r="K1402" s="67">
        <f t="shared" si="84"/>
        <v>6</v>
      </c>
      <c r="L1402" s="155">
        <v>1.4833299999999999E-3</v>
      </c>
      <c r="M1402" s="104">
        <f t="shared" si="85"/>
        <v>-1.6837872162</v>
      </c>
      <c r="O1402" s="66"/>
      <c r="Q1402" s="66">
        <f t="shared" si="86"/>
        <v>-3.1298726479166663</v>
      </c>
    </row>
    <row r="1403" spans="1:17">
      <c r="A1403" s="102" t="s">
        <v>626</v>
      </c>
      <c r="B1403" s="103" t="s">
        <v>1835</v>
      </c>
      <c r="C1403" s="103" t="s">
        <v>1836</v>
      </c>
      <c r="D1403" s="102" t="s">
        <v>1837</v>
      </c>
      <c r="E1403" s="103" t="s">
        <v>497</v>
      </c>
      <c r="F1403" s="102" t="s">
        <v>26</v>
      </c>
      <c r="G1403" s="103" t="s">
        <v>20</v>
      </c>
      <c r="H1403" s="103">
        <v>201609</v>
      </c>
      <c r="I1403" s="104">
        <v>-60.24</v>
      </c>
      <c r="J1403" s="297">
        <f t="shared" si="87"/>
        <v>42675</v>
      </c>
      <c r="K1403" s="67">
        <f t="shared" si="84"/>
        <v>6</v>
      </c>
      <c r="L1403" s="155">
        <v>1.4833299999999999E-3</v>
      </c>
      <c r="M1403" s="104">
        <f t="shared" si="85"/>
        <v>-0.53613479520000007</v>
      </c>
      <c r="O1403" s="66"/>
      <c r="Q1403" s="66">
        <f t="shared" si="86"/>
        <v>-0.99658295000000008</v>
      </c>
    </row>
    <row r="1404" spans="1:17">
      <c r="A1404" s="102" t="s">
        <v>626</v>
      </c>
      <c r="B1404" s="103" t="s">
        <v>1718</v>
      </c>
      <c r="C1404" s="103" t="s">
        <v>1719</v>
      </c>
      <c r="D1404" s="102" t="s">
        <v>1720</v>
      </c>
      <c r="E1404" s="103" t="s">
        <v>497</v>
      </c>
      <c r="F1404" s="102" t="s">
        <v>26</v>
      </c>
      <c r="G1404" s="103" t="s">
        <v>20</v>
      </c>
      <c r="H1404" s="103">
        <v>201609</v>
      </c>
      <c r="I1404" s="104">
        <v>-15.45</v>
      </c>
      <c r="J1404" s="297">
        <f t="shared" si="87"/>
        <v>42675</v>
      </c>
      <c r="K1404" s="67">
        <f t="shared" si="84"/>
        <v>6</v>
      </c>
      <c r="L1404" s="155">
        <v>1.4833299999999999E-3</v>
      </c>
      <c r="M1404" s="104">
        <f t="shared" si="85"/>
        <v>-0.13750469099999998</v>
      </c>
      <c r="O1404" s="66"/>
      <c r="Q1404" s="66">
        <f t="shared" si="86"/>
        <v>-0.25559771874999998</v>
      </c>
    </row>
    <row r="1405" spans="1:17">
      <c r="A1405" s="102" t="s">
        <v>626</v>
      </c>
      <c r="B1405" s="103" t="s">
        <v>2033</v>
      </c>
      <c r="C1405" s="103" t="s">
        <v>2034</v>
      </c>
      <c r="D1405" s="102" t="s">
        <v>2035</v>
      </c>
      <c r="E1405" s="103" t="s">
        <v>497</v>
      </c>
      <c r="F1405" s="102" t="s">
        <v>26</v>
      </c>
      <c r="G1405" s="103" t="s">
        <v>20</v>
      </c>
      <c r="H1405" s="103">
        <v>201609</v>
      </c>
      <c r="I1405" s="104">
        <v>-433.19</v>
      </c>
      <c r="J1405" s="297">
        <f t="shared" si="87"/>
        <v>42675</v>
      </c>
      <c r="K1405" s="67">
        <f t="shared" si="84"/>
        <v>6</v>
      </c>
      <c r="L1405" s="155">
        <v>1.4833299999999999E-3</v>
      </c>
      <c r="M1405" s="104">
        <f t="shared" si="85"/>
        <v>-3.8553823361999999</v>
      </c>
      <c r="O1405" s="66"/>
      <c r="Q1405" s="66">
        <f t="shared" si="86"/>
        <v>-7.1664968145833337</v>
      </c>
    </row>
    <row r="1406" spans="1:17">
      <c r="A1406" s="102" t="s">
        <v>626</v>
      </c>
      <c r="B1406" s="103" t="s">
        <v>1620</v>
      </c>
      <c r="C1406" s="103" t="s">
        <v>1621</v>
      </c>
      <c r="D1406" s="102" t="s">
        <v>1622</v>
      </c>
      <c r="E1406" s="103" t="s">
        <v>497</v>
      </c>
      <c r="F1406" s="102" t="s">
        <v>26</v>
      </c>
      <c r="G1406" s="103" t="s">
        <v>20</v>
      </c>
      <c r="H1406" s="103">
        <v>201609</v>
      </c>
      <c r="I1406" s="104">
        <v>-85.98</v>
      </c>
      <c r="J1406" s="297">
        <f t="shared" si="87"/>
        <v>42675</v>
      </c>
      <c r="K1406" s="67">
        <f t="shared" si="84"/>
        <v>6</v>
      </c>
      <c r="L1406" s="155">
        <v>1.4833299999999999E-3</v>
      </c>
      <c r="M1406" s="104">
        <f t="shared" si="85"/>
        <v>-0.76522028040000001</v>
      </c>
      <c r="O1406" s="66"/>
      <c r="Q1406" s="66">
        <f t="shared" si="86"/>
        <v>-1.4224137125000003</v>
      </c>
    </row>
    <row r="1407" spans="1:17">
      <c r="A1407" s="102" t="s">
        <v>626</v>
      </c>
      <c r="B1407" s="103" t="s">
        <v>2036</v>
      </c>
      <c r="C1407" s="103" t="s">
        <v>2037</v>
      </c>
      <c r="D1407" s="102" t="s">
        <v>2038</v>
      </c>
      <c r="E1407" s="103" t="s">
        <v>160</v>
      </c>
      <c r="F1407" s="102" t="s">
        <v>19</v>
      </c>
      <c r="G1407" s="103" t="s">
        <v>20</v>
      </c>
      <c r="H1407" s="103">
        <v>201609</v>
      </c>
      <c r="I1407" s="104">
        <v>-415.44</v>
      </c>
      <c r="J1407" s="297">
        <f t="shared" si="87"/>
        <v>42675</v>
      </c>
      <c r="K1407" s="67">
        <f t="shared" si="84"/>
        <v>6</v>
      </c>
      <c r="L1407" s="155">
        <v>1.4833299999999999E-3</v>
      </c>
      <c r="M1407" s="104">
        <f t="shared" si="85"/>
        <v>-3.6974076912</v>
      </c>
      <c r="O1407" s="66"/>
      <c r="Q1407" s="66">
        <f t="shared" si="86"/>
        <v>-6.8728489500000007</v>
      </c>
    </row>
    <row r="1408" spans="1:17">
      <c r="A1408" s="102" t="s">
        <v>626</v>
      </c>
      <c r="B1408" s="103" t="s">
        <v>1770</v>
      </c>
      <c r="C1408" s="103" t="s">
        <v>1771</v>
      </c>
      <c r="D1408" s="102" t="s">
        <v>1772</v>
      </c>
      <c r="E1408" s="103" t="s">
        <v>93</v>
      </c>
      <c r="F1408" s="102" t="s">
        <v>1601</v>
      </c>
      <c r="G1408" s="103" t="s">
        <v>20</v>
      </c>
      <c r="H1408" s="103">
        <v>201609</v>
      </c>
      <c r="I1408" s="104">
        <v>-5.41</v>
      </c>
      <c r="J1408" s="297">
        <f t="shared" si="87"/>
        <v>42675</v>
      </c>
      <c r="K1408" s="67">
        <f t="shared" si="84"/>
        <v>6</v>
      </c>
      <c r="L1408" s="155">
        <v>1.4833299999999999E-3</v>
      </c>
      <c r="M1408" s="104">
        <f t="shared" si="85"/>
        <v>-4.8148891800000003E-2</v>
      </c>
      <c r="O1408" s="66"/>
      <c r="Q1408" s="66">
        <f t="shared" si="86"/>
        <v>-8.950056041666668E-2</v>
      </c>
    </row>
    <row r="1409" spans="1:17">
      <c r="A1409" s="102" t="s">
        <v>626</v>
      </c>
      <c r="B1409" s="103" t="s">
        <v>1721</v>
      </c>
      <c r="C1409" s="103" t="s">
        <v>1722</v>
      </c>
      <c r="D1409" s="102" t="s">
        <v>1723</v>
      </c>
      <c r="E1409" s="103" t="s">
        <v>75</v>
      </c>
      <c r="F1409" s="102" t="s">
        <v>1602</v>
      </c>
      <c r="G1409" s="103" t="s">
        <v>20</v>
      </c>
      <c r="H1409" s="103">
        <v>201609</v>
      </c>
      <c r="I1409" s="104">
        <v>-4.6900000000000004</v>
      </c>
      <c r="J1409" s="297">
        <f t="shared" si="87"/>
        <v>42675</v>
      </c>
      <c r="K1409" s="67">
        <f t="shared" si="84"/>
        <v>6</v>
      </c>
      <c r="L1409" s="155">
        <v>1.4833299999999999E-3</v>
      </c>
      <c r="M1409" s="104">
        <f t="shared" si="85"/>
        <v>-4.1740906200000004E-2</v>
      </c>
      <c r="O1409" s="66"/>
      <c r="Q1409" s="66">
        <f t="shared" si="86"/>
        <v>-7.7589210416666679E-2</v>
      </c>
    </row>
    <row r="1410" spans="1:17">
      <c r="A1410" s="102" t="s">
        <v>626</v>
      </c>
      <c r="B1410" s="103" t="s">
        <v>1953</v>
      </c>
      <c r="C1410" s="103" t="s">
        <v>1954</v>
      </c>
      <c r="D1410" s="102" t="s">
        <v>1955</v>
      </c>
      <c r="E1410" s="103" t="s">
        <v>75</v>
      </c>
      <c r="F1410" s="102" t="s">
        <v>1602</v>
      </c>
      <c r="G1410" s="103" t="s">
        <v>20</v>
      </c>
      <c r="H1410" s="103">
        <v>201609</v>
      </c>
      <c r="I1410" s="104">
        <v>-5.61</v>
      </c>
      <c r="J1410" s="297">
        <f t="shared" si="87"/>
        <v>42675</v>
      </c>
      <c r="K1410" s="67">
        <f t="shared" si="84"/>
        <v>6</v>
      </c>
      <c r="L1410" s="155">
        <v>1.4833299999999999E-3</v>
      </c>
      <c r="M1410" s="104">
        <f t="shared" si="85"/>
        <v>-4.9928887800000002E-2</v>
      </c>
      <c r="O1410" s="66"/>
      <c r="Q1410" s="66">
        <f t="shared" si="86"/>
        <v>-9.2809268750000007E-2</v>
      </c>
    </row>
    <row r="1411" spans="1:17">
      <c r="A1411" s="102" t="s">
        <v>626</v>
      </c>
      <c r="B1411" s="103" t="s">
        <v>1548</v>
      </c>
      <c r="C1411" s="103" t="s">
        <v>1549</v>
      </c>
      <c r="D1411" s="102" t="s">
        <v>1550</v>
      </c>
      <c r="E1411" s="103" t="s">
        <v>164</v>
      </c>
      <c r="F1411" s="102" t="s">
        <v>1600</v>
      </c>
      <c r="G1411" s="103" t="s">
        <v>20</v>
      </c>
      <c r="H1411" s="103">
        <v>201609</v>
      </c>
      <c r="I1411" s="104">
        <v>-2.4500000000000002</v>
      </c>
      <c r="J1411" s="297">
        <f t="shared" si="87"/>
        <v>42675</v>
      </c>
      <c r="K1411" s="67">
        <f t="shared" si="84"/>
        <v>6</v>
      </c>
      <c r="L1411" s="155">
        <v>1.4833299999999999E-3</v>
      </c>
      <c r="M1411" s="104">
        <f t="shared" si="85"/>
        <v>-2.1804951000000003E-2</v>
      </c>
      <c r="O1411" s="66"/>
      <c r="Q1411" s="66">
        <f t="shared" si="86"/>
        <v>-4.0531677083333342E-2</v>
      </c>
    </row>
    <row r="1412" spans="1:17">
      <c r="A1412" s="102" t="s">
        <v>626</v>
      </c>
      <c r="B1412" s="103" t="s">
        <v>1724</v>
      </c>
      <c r="C1412" s="103" t="s">
        <v>1725</v>
      </c>
      <c r="D1412" s="102" t="s">
        <v>1726</v>
      </c>
      <c r="E1412" s="103" t="s">
        <v>75</v>
      </c>
      <c r="F1412" s="102" t="s">
        <v>1602</v>
      </c>
      <c r="G1412" s="103" t="s">
        <v>20</v>
      </c>
      <c r="H1412" s="103">
        <v>201609</v>
      </c>
      <c r="I1412" s="104">
        <v>-3.97</v>
      </c>
      <c r="J1412" s="297">
        <f t="shared" si="87"/>
        <v>42675</v>
      </c>
      <c r="K1412" s="67">
        <f t="shared" si="84"/>
        <v>6</v>
      </c>
      <c r="L1412" s="155">
        <v>1.4833299999999999E-3</v>
      </c>
      <c r="M1412" s="104">
        <f t="shared" si="85"/>
        <v>-3.5332920600000005E-2</v>
      </c>
      <c r="O1412" s="66"/>
      <c r="Q1412" s="66">
        <f t="shared" si="86"/>
        <v>-6.5677860416666664E-2</v>
      </c>
    </row>
    <row r="1413" spans="1:17">
      <c r="A1413" s="102" t="s">
        <v>626</v>
      </c>
      <c r="B1413" s="103" t="s">
        <v>1375</v>
      </c>
      <c r="C1413" s="103" t="s">
        <v>1376</v>
      </c>
      <c r="D1413" s="102" t="s">
        <v>1374</v>
      </c>
      <c r="E1413" s="103" t="s">
        <v>497</v>
      </c>
      <c r="F1413" s="102" t="s">
        <v>26</v>
      </c>
      <c r="G1413" s="103" t="s">
        <v>20</v>
      </c>
      <c r="H1413" s="103">
        <v>201609</v>
      </c>
      <c r="I1413" s="104">
        <v>-244.27</v>
      </c>
      <c r="J1413" s="297">
        <f t="shared" si="87"/>
        <v>42675</v>
      </c>
      <c r="K1413" s="67">
        <f t="shared" si="84"/>
        <v>6</v>
      </c>
      <c r="L1413" s="155">
        <v>1.4833299999999999E-3</v>
      </c>
      <c r="M1413" s="104">
        <f t="shared" si="85"/>
        <v>-2.1739981146000003</v>
      </c>
      <c r="O1413" s="66"/>
      <c r="Q1413" s="66">
        <f t="shared" si="86"/>
        <v>-4.0410909229166672</v>
      </c>
    </row>
    <row r="1414" spans="1:17">
      <c r="A1414" s="102" t="s">
        <v>626</v>
      </c>
      <c r="B1414" s="103" t="s">
        <v>1444</v>
      </c>
      <c r="C1414" s="103" t="s">
        <v>1445</v>
      </c>
      <c r="D1414" s="102" t="s">
        <v>1282</v>
      </c>
      <c r="E1414" s="103" t="s">
        <v>164</v>
      </c>
      <c r="F1414" s="102" t="s">
        <v>1600</v>
      </c>
      <c r="G1414" s="103" t="s">
        <v>20</v>
      </c>
      <c r="H1414" s="103">
        <v>201609</v>
      </c>
      <c r="I1414" s="104">
        <v>42.31</v>
      </c>
      <c r="J1414" s="297">
        <f t="shared" si="87"/>
        <v>42675</v>
      </c>
      <c r="K1414" s="67">
        <f t="shared" si="84"/>
        <v>6</v>
      </c>
      <c r="L1414" s="155">
        <v>1.4833299999999999E-3</v>
      </c>
      <c r="M1414" s="104">
        <f t="shared" si="85"/>
        <v>0.37655815380000002</v>
      </c>
      <c r="O1414" s="66"/>
      <c r="Q1414" s="66">
        <f t="shared" ref="Q1414:Q1477" si="88">($Q$4*0.5*I1414*$T$10)</f>
        <v>0.69995724791666669</v>
      </c>
    </row>
    <row r="1415" spans="1:17">
      <c r="A1415" s="102" t="s">
        <v>626</v>
      </c>
      <c r="B1415" s="103" t="s">
        <v>1788</v>
      </c>
      <c r="C1415" s="103" t="s">
        <v>1789</v>
      </c>
      <c r="D1415" s="102" t="s">
        <v>1790</v>
      </c>
      <c r="E1415" s="103" t="s">
        <v>25</v>
      </c>
      <c r="F1415" s="102" t="s">
        <v>26</v>
      </c>
      <c r="G1415" s="103" t="s">
        <v>20</v>
      </c>
      <c r="H1415" s="103">
        <v>201609</v>
      </c>
      <c r="I1415" s="104">
        <v>-21.27</v>
      </c>
      <c r="J1415" s="297">
        <f t="shared" ref="J1415:J1478" si="89">+J1414</f>
        <v>42675</v>
      </c>
      <c r="K1415" s="67">
        <f t="shared" si="84"/>
        <v>6</v>
      </c>
      <c r="L1415" s="155">
        <v>1.4833299999999999E-3</v>
      </c>
      <c r="M1415" s="104">
        <f t="shared" si="85"/>
        <v>-0.1893025746</v>
      </c>
      <c r="O1415" s="66"/>
      <c r="Q1415" s="66">
        <f t="shared" si="88"/>
        <v>-0.35188113124999998</v>
      </c>
    </row>
    <row r="1416" spans="1:17">
      <c r="A1416" s="102" t="s">
        <v>626</v>
      </c>
      <c r="B1416" s="103" t="s">
        <v>1791</v>
      </c>
      <c r="C1416" s="103" t="s">
        <v>1792</v>
      </c>
      <c r="D1416" s="102" t="s">
        <v>1793</v>
      </c>
      <c r="E1416" s="103" t="s">
        <v>75</v>
      </c>
      <c r="F1416" s="102" t="s">
        <v>1602</v>
      </c>
      <c r="G1416" s="103" t="s">
        <v>20</v>
      </c>
      <c r="H1416" s="103">
        <v>201609</v>
      </c>
      <c r="I1416" s="104">
        <v>-335.25</v>
      </c>
      <c r="J1416" s="297">
        <f t="shared" si="89"/>
        <v>42675</v>
      </c>
      <c r="K1416" s="67">
        <f t="shared" si="84"/>
        <v>6</v>
      </c>
      <c r="L1416" s="155">
        <v>1.4833299999999999E-3</v>
      </c>
      <c r="M1416" s="104">
        <f t="shared" si="85"/>
        <v>-2.9837182950000001</v>
      </c>
      <c r="O1416" s="66"/>
      <c r="Q1416" s="66">
        <f t="shared" si="88"/>
        <v>-5.5462223437500002</v>
      </c>
    </row>
    <row r="1417" spans="1:17">
      <c r="A1417" s="102" t="s">
        <v>626</v>
      </c>
      <c r="B1417" s="103" t="s">
        <v>1838</v>
      </c>
      <c r="C1417" s="103" t="s">
        <v>1839</v>
      </c>
      <c r="D1417" s="102" t="s">
        <v>1840</v>
      </c>
      <c r="E1417" s="103" t="s">
        <v>260</v>
      </c>
      <c r="F1417" s="102" t="s">
        <v>1608</v>
      </c>
      <c r="G1417" s="103" t="s">
        <v>20</v>
      </c>
      <c r="H1417" s="103">
        <v>201609</v>
      </c>
      <c r="I1417" s="104">
        <v>-333.11</v>
      </c>
      <c r="J1417" s="297">
        <f t="shared" si="89"/>
        <v>42675</v>
      </c>
      <c r="K1417" s="67">
        <f t="shared" si="84"/>
        <v>6</v>
      </c>
      <c r="L1417" s="155">
        <v>1.4833299999999999E-3</v>
      </c>
      <c r="M1417" s="104">
        <f t="shared" si="85"/>
        <v>-2.9646723378000002</v>
      </c>
      <c r="O1417" s="66"/>
      <c r="Q1417" s="66">
        <f t="shared" si="88"/>
        <v>-5.5108191645833342</v>
      </c>
    </row>
    <row r="1418" spans="1:17">
      <c r="A1418" s="334" t="s">
        <v>133</v>
      </c>
      <c r="B1418" s="336" t="s">
        <v>1876</v>
      </c>
      <c r="C1418" s="336" t="s">
        <v>1877</v>
      </c>
      <c r="D1418" s="334" t="s">
        <v>1878</v>
      </c>
      <c r="E1418" s="336" t="s">
        <v>75</v>
      </c>
      <c r="F1418" s="334" t="s">
        <v>1602</v>
      </c>
      <c r="G1418" s="336" t="s">
        <v>20</v>
      </c>
      <c r="H1418" s="336">
        <v>201609</v>
      </c>
      <c r="I1418" s="349">
        <v>0</v>
      </c>
      <c r="J1418" s="297">
        <f t="shared" si="89"/>
        <v>42675</v>
      </c>
      <c r="K1418" s="348">
        <f t="shared" si="84"/>
        <v>6</v>
      </c>
      <c r="L1418" s="345">
        <v>1.4833299999999999E-3</v>
      </c>
      <c r="M1418" s="349">
        <f t="shared" si="85"/>
        <v>0</v>
      </c>
      <c r="N1418" s="350"/>
      <c r="O1418" s="351"/>
      <c r="P1418" s="350"/>
      <c r="Q1418" s="66">
        <f t="shared" si="88"/>
        <v>0</v>
      </c>
    </row>
    <row r="1419" spans="1:17">
      <c r="A1419" s="102" t="s">
        <v>626</v>
      </c>
      <c r="B1419" s="103" t="s">
        <v>2296</v>
      </c>
      <c r="C1419" s="103" t="s">
        <v>2297</v>
      </c>
      <c r="D1419" s="102" t="s">
        <v>2298</v>
      </c>
      <c r="E1419" s="103" t="s">
        <v>1059</v>
      </c>
      <c r="F1419" s="102" t="s">
        <v>26</v>
      </c>
      <c r="G1419" s="103" t="s">
        <v>20</v>
      </c>
      <c r="H1419" s="103">
        <v>201609</v>
      </c>
      <c r="I1419" s="104">
        <v>343060.91</v>
      </c>
      <c r="J1419" s="297">
        <f t="shared" si="89"/>
        <v>42675</v>
      </c>
      <c r="K1419" s="67">
        <f t="shared" si="84"/>
        <v>6</v>
      </c>
      <c r="L1419" s="155">
        <v>1.4833299999999999E-3</v>
      </c>
      <c r="M1419" s="104">
        <f t="shared" si="85"/>
        <v>3053.2352377817997</v>
      </c>
      <c r="O1419" s="66"/>
      <c r="Q1419" s="66">
        <f t="shared" si="88"/>
        <v>5675.4424587895828</v>
      </c>
    </row>
    <row r="1420" spans="1:17">
      <c r="A1420" s="102" t="s">
        <v>626</v>
      </c>
      <c r="B1420" s="103" t="s">
        <v>2039</v>
      </c>
      <c r="C1420" s="103" t="s">
        <v>2040</v>
      </c>
      <c r="D1420" s="102" t="s">
        <v>2041</v>
      </c>
      <c r="E1420" s="103" t="s">
        <v>497</v>
      </c>
      <c r="F1420" s="102" t="s">
        <v>26</v>
      </c>
      <c r="G1420" s="103" t="s">
        <v>20</v>
      </c>
      <c r="H1420" s="103">
        <v>201609</v>
      </c>
      <c r="I1420" s="104">
        <v>-1404.42</v>
      </c>
      <c r="J1420" s="297">
        <f t="shared" si="89"/>
        <v>42675</v>
      </c>
      <c r="K1420" s="67">
        <f t="shared" si="84"/>
        <v>6</v>
      </c>
      <c r="L1420" s="155">
        <v>1.4833299999999999E-3</v>
      </c>
      <c r="M1420" s="104">
        <f t="shared" si="85"/>
        <v>-12.499309911600001</v>
      </c>
      <c r="O1420" s="66"/>
      <c r="Q1420" s="66">
        <f t="shared" si="88"/>
        <v>-23.234080787500002</v>
      </c>
    </row>
    <row r="1421" spans="1:17">
      <c r="A1421" s="102" t="s">
        <v>626</v>
      </c>
      <c r="B1421" s="103" t="s">
        <v>1879</v>
      </c>
      <c r="C1421" s="103" t="s">
        <v>1880</v>
      </c>
      <c r="D1421" s="102" t="s">
        <v>1273</v>
      </c>
      <c r="E1421" s="103" t="s">
        <v>75</v>
      </c>
      <c r="F1421" s="102" t="s">
        <v>1602</v>
      </c>
      <c r="G1421" s="103" t="s">
        <v>20</v>
      </c>
      <c r="H1421" s="103">
        <v>201609</v>
      </c>
      <c r="I1421" s="104">
        <v>-22.21</v>
      </c>
      <c r="J1421" s="297">
        <f t="shared" si="89"/>
        <v>42675</v>
      </c>
      <c r="K1421" s="67">
        <f t="shared" si="84"/>
        <v>6</v>
      </c>
      <c r="L1421" s="155">
        <v>1.4833299999999999E-3</v>
      </c>
      <c r="M1421" s="104">
        <f t="shared" si="85"/>
        <v>-0.19766855580000001</v>
      </c>
      <c r="O1421" s="66"/>
      <c r="Q1421" s="66">
        <f t="shared" si="88"/>
        <v>-0.36743206041666671</v>
      </c>
    </row>
    <row r="1422" spans="1:17">
      <c r="A1422" s="102" t="s">
        <v>626</v>
      </c>
      <c r="B1422" s="103" t="s">
        <v>2042</v>
      </c>
      <c r="C1422" s="103" t="s">
        <v>2043</v>
      </c>
      <c r="D1422" s="102" t="s">
        <v>2044</v>
      </c>
      <c r="E1422" s="103" t="s">
        <v>497</v>
      </c>
      <c r="F1422" s="102" t="s">
        <v>26</v>
      </c>
      <c r="G1422" s="103" t="s">
        <v>20</v>
      </c>
      <c r="H1422" s="103">
        <v>201609</v>
      </c>
      <c r="I1422" s="104">
        <v>-579.35</v>
      </c>
      <c r="J1422" s="297">
        <f t="shared" si="89"/>
        <v>42675</v>
      </c>
      <c r="K1422" s="67">
        <f t="shared" si="84"/>
        <v>6</v>
      </c>
      <c r="L1422" s="155">
        <v>1.4833299999999999E-3</v>
      </c>
      <c r="M1422" s="104">
        <f t="shared" si="85"/>
        <v>-5.1562034130000001</v>
      </c>
      <c r="O1422" s="66"/>
      <c r="Q1422" s="66">
        <f t="shared" si="88"/>
        <v>-9.5845008645833349</v>
      </c>
    </row>
    <row r="1423" spans="1:17">
      <c r="A1423" s="102" t="s">
        <v>626</v>
      </c>
      <c r="B1423" s="103" t="s">
        <v>1794</v>
      </c>
      <c r="C1423" s="103" t="s">
        <v>1795</v>
      </c>
      <c r="D1423" s="102" t="s">
        <v>1796</v>
      </c>
      <c r="E1423" s="103" t="s">
        <v>809</v>
      </c>
      <c r="F1423" s="102" t="s">
        <v>26</v>
      </c>
      <c r="G1423" s="103" t="s">
        <v>20</v>
      </c>
      <c r="H1423" s="103">
        <v>201609</v>
      </c>
      <c r="I1423" s="104">
        <v>-71.569999999999993</v>
      </c>
      <c r="J1423" s="297">
        <f t="shared" si="89"/>
        <v>42675</v>
      </c>
      <c r="K1423" s="67">
        <f t="shared" si="84"/>
        <v>6</v>
      </c>
      <c r="L1423" s="155">
        <v>1.4833299999999999E-3</v>
      </c>
      <c r="M1423" s="104">
        <f t="shared" si="85"/>
        <v>-0.63697156859999993</v>
      </c>
      <c r="O1423" s="66"/>
      <c r="Q1423" s="66">
        <f t="shared" si="88"/>
        <v>-1.1840212770833332</v>
      </c>
    </row>
    <row r="1424" spans="1:17">
      <c r="A1424" s="102" t="s">
        <v>626</v>
      </c>
      <c r="B1424" s="103" t="s">
        <v>1844</v>
      </c>
      <c r="C1424" s="103" t="s">
        <v>1845</v>
      </c>
      <c r="D1424" s="102" t="s">
        <v>1846</v>
      </c>
      <c r="E1424" s="103" t="s">
        <v>160</v>
      </c>
      <c r="F1424" s="102" t="s">
        <v>19</v>
      </c>
      <c r="G1424" s="103" t="s">
        <v>20</v>
      </c>
      <c r="H1424" s="103">
        <v>201609</v>
      </c>
      <c r="I1424" s="104">
        <v>-189.34</v>
      </c>
      <c r="J1424" s="297">
        <f t="shared" si="89"/>
        <v>42675</v>
      </c>
      <c r="K1424" s="67">
        <f t="shared" si="84"/>
        <v>6</v>
      </c>
      <c r="L1424" s="155">
        <v>1.4833299999999999E-3</v>
      </c>
      <c r="M1424" s="104">
        <f t="shared" si="85"/>
        <v>-1.6851222132000001</v>
      </c>
      <c r="O1424" s="66"/>
      <c r="Q1424" s="66">
        <f t="shared" si="88"/>
        <v>-3.1323541791666667</v>
      </c>
    </row>
    <row r="1425" spans="1:17">
      <c r="A1425" s="102" t="s">
        <v>21</v>
      </c>
      <c r="B1425" s="103" t="s">
        <v>1727</v>
      </c>
      <c r="C1425" s="103" t="s">
        <v>1728</v>
      </c>
      <c r="D1425" s="102" t="s">
        <v>1729</v>
      </c>
      <c r="E1425" s="103" t="s">
        <v>75</v>
      </c>
      <c r="F1425" s="102" t="s">
        <v>1602</v>
      </c>
      <c r="G1425" s="103" t="s">
        <v>20</v>
      </c>
      <c r="H1425" s="103">
        <v>201609</v>
      </c>
      <c r="I1425" s="104">
        <v>-22.97</v>
      </c>
      <c r="J1425" s="297">
        <f t="shared" si="89"/>
        <v>42675</v>
      </c>
      <c r="K1425" s="67">
        <f t="shared" si="84"/>
        <v>6</v>
      </c>
      <c r="L1425" s="155">
        <v>1.4833299999999999E-3</v>
      </c>
      <c r="M1425" s="104">
        <f t="shared" si="85"/>
        <v>-0.20443254059999999</v>
      </c>
      <c r="O1425" s="66"/>
      <c r="Q1425" s="66">
        <f t="shared" si="88"/>
        <v>-0.3800051520833333</v>
      </c>
    </row>
    <row r="1426" spans="1:17">
      <c r="A1426" s="102" t="s">
        <v>990</v>
      </c>
      <c r="B1426" s="103" t="s">
        <v>1730</v>
      </c>
      <c r="C1426" s="103" t="s">
        <v>1731</v>
      </c>
      <c r="D1426" s="102" t="s">
        <v>1732</v>
      </c>
      <c r="E1426" s="103" t="s">
        <v>1688</v>
      </c>
      <c r="F1426" s="102" t="s">
        <v>1689</v>
      </c>
      <c r="G1426" s="103" t="s">
        <v>20</v>
      </c>
      <c r="H1426" s="103">
        <v>201609</v>
      </c>
      <c r="I1426" s="104">
        <v>-0.02</v>
      </c>
      <c r="J1426" s="297">
        <f t="shared" si="89"/>
        <v>42675</v>
      </c>
      <c r="K1426" s="67">
        <f t="shared" si="84"/>
        <v>6</v>
      </c>
      <c r="L1426" s="148">
        <v>2.3833299999999999E-3</v>
      </c>
      <c r="M1426" s="104">
        <f t="shared" si="85"/>
        <v>-2.8599960000000004E-4</v>
      </c>
      <c r="O1426" s="66"/>
      <c r="Q1426" s="66">
        <f t="shared" si="88"/>
        <v>-3.3087083333333336E-4</v>
      </c>
    </row>
    <row r="1427" spans="1:17">
      <c r="A1427" s="102" t="s">
        <v>990</v>
      </c>
      <c r="B1427" s="103" t="s">
        <v>1733</v>
      </c>
      <c r="C1427" s="103" t="s">
        <v>1734</v>
      </c>
      <c r="D1427" s="102" t="s">
        <v>1735</v>
      </c>
      <c r="E1427" s="103" t="s">
        <v>1688</v>
      </c>
      <c r="F1427" s="102" t="s">
        <v>1689</v>
      </c>
      <c r="G1427" s="103" t="s">
        <v>20</v>
      </c>
      <c r="H1427" s="103">
        <v>201609</v>
      </c>
      <c r="I1427" s="104">
        <v>-0.44</v>
      </c>
      <c r="J1427" s="297">
        <f t="shared" si="89"/>
        <v>42675</v>
      </c>
      <c r="K1427" s="67">
        <f t="shared" si="84"/>
        <v>6</v>
      </c>
      <c r="L1427" s="148">
        <v>2.3833299999999999E-3</v>
      </c>
      <c r="M1427" s="104">
        <f t="shared" si="85"/>
        <v>-6.2919912000000003E-3</v>
      </c>
      <c r="O1427" s="66"/>
      <c r="Q1427" s="66">
        <f t="shared" si="88"/>
        <v>-7.279158333333334E-3</v>
      </c>
    </row>
    <row r="1428" spans="1:17">
      <c r="A1428" s="102" t="s">
        <v>626</v>
      </c>
      <c r="B1428" s="103" t="s">
        <v>1881</v>
      </c>
      <c r="C1428" s="103" t="s">
        <v>1882</v>
      </c>
      <c r="D1428" s="102" t="s">
        <v>1883</v>
      </c>
      <c r="E1428" s="103" t="s">
        <v>75</v>
      </c>
      <c r="F1428" s="102" t="s">
        <v>1602</v>
      </c>
      <c r="G1428" s="103" t="s">
        <v>20</v>
      </c>
      <c r="H1428" s="103">
        <v>201609</v>
      </c>
      <c r="I1428" s="104">
        <v>-31.79</v>
      </c>
      <c r="J1428" s="297">
        <f t="shared" si="89"/>
        <v>42675</v>
      </c>
      <c r="K1428" s="67">
        <f t="shared" si="84"/>
        <v>6</v>
      </c>
      <c r="L1428" s="155">
        <v>1.4833299999999999E-3</v>
      </c>
      <c r="M1428" s="104">
        <f t="shared" si="85"/>
        <v>-0.28293036420000001</v>
      </c>
      <c r="O1428" s="66"/>
      <c r="Q1428" s="66">
        <f t="shared" si="88"/>
        <v>-0.52591918958333339</v>
      </c>
    </row>
    <row r="1429" spans="1:17">
      <c r="A1429" s="102" t="s">
        <v>626</v>
      </c>
      <c r="B1429" s="103" t="s">
        <v>1496</v>
      </c>
      <c r="C1429" s="103" t="s">
        <v>1497</v>
      </c>
      <c r="D1429" s="102" t="s">
        <v>1498</v>
      </c>
      <c r="E1429" s="103" t="s">
        <v>164</v>
      </c>
      <c r="F1429" s="102" t="s">
        <v>1600</v>
      </c>
      <c r="G1429" s="103" t="s">
        <v>20</v>
      </c>
      <c r="H1429" s="103">
        <v>201609</v>
      </c>
      <c r="I1429" s="104">
        <v>6.21</v>
      </c>
      <c r="J1429" s="297">
        <f t="shared" si="89"/>
        <v>42675</v>
      </c>
      <c r="K1429" s="67">
        <f t="shared" si="84"/>
        <v>6</v>
      </c>
      <c r="L1429" s="155">
        <v>1.4833299999999999E-3</v>
      </c>
      <c r="M1429" s="104">
        <f t="shared" si="85"/>
        <v>5.5268875799999999E-2</v>
      </c>
      <c r="O1429" s="66"/>
      <c r="Q1429" s="66">
        <f t="shared" si="88"/>
        <v>0.10273539375</v>
      </c>
    </row>
    <row r="1430" spans="1:17">
      <c r="A1430" s="102" t="s">
        <v>626</v>
      </c>
      <c r="B1430" s="103" t="s">
        <v>1884</v>
      </c>
      <c r="C1430" s="103" t="s">
        <v>1885</v>
      </c>
      <c r="D1430" s="102" t="s">
        <v>1886</v>
      </c>
      <c r="E1430" s="103" t="s">
        <v>75</v>
      </c>
      <c r="F1430" s="102" t="s">
        <v>1602</v>
      </c>
      <c r="G1430" s="103" t="s">
        <v>20</v>
      </c>
      <c r="H1430" s="103">
        <v>201609</v>
      </c>
      <c r="I1430" s="104">
        <v>22.13</v>
      </c>
      <c r="J1430" s="297">
        <f t="shared" si="89"/>
        <v>42675</v>
      </c>
      <c r="K1430" s="67">
        <f t="shared" si="84"/>
        <v>6</v>
      </c>
      <c r="L1430" s="155">
        <v>1.4833299999999999E-3</v>
      </c>
      <c r="M1430" s="104">
        <f t="shared" si="85"/>
        <v>0.19695655739999998</v>
      </c>
      <c r="O1430" s="66"/>
      <c r="Q1430" s="66">
        <f t="shared" si="88"/>
        <v>0.36610857708333333</v>
      </c>
    </row>
    <row r="1431" spans="1:17">
      <c r="A1431" s="102" t="s">
        <v>626</v>
      </c>
      <c r="B1431" s="103" t="s">
        <v>1736</v>
      </c>
      <c r="C1431" s="103" t="s">
        <v>1737</v>
      </c>
      <c r="D1431" s="102" t="s">
        <v>1738</v>
      </c>
      <c r="E1431" s="103" t="s">
        <v>164</v>
      </c>
      <c r="F1431" s="102" t="s">
        <v>1600</v>
      </c>
      <c r="G1431" s="103" t="s">
        <v>20</v>
      </c>
      <c r="H1431" s="103">
        <v>201609</v>
      </c>
      <c r="I1431" s="104">
        <v>-159.94999999999999</v>
      </c>
      <c r="J1431" s="297">
        <f t="shared" si="89"/>
        <v>42675</v>
      </c>
      <c r="K1431" s="67">
        <f t="shared" si="84"/>
        <v>6</v>
      </c>
      <c r="L1431" s="155">
        <v>1.4833299999999999E-3</v>
      </c>
      <c r="M1431" s="104">
        <f t="shared" si="85"/>
        <v>-1.4235518009999999</v>
      </c>
      <c r="O1431" s="66"/>
      <c r="Q1431" s="66">
        <f t="shared" si="88"/>
        <v>-2.6461394895833332</v>
      </c>
    </row>
    <row r="1432" spans="1:17">
      <c r="A1432" s="102" t="s">
        <v>626</v>
      </c>
      <c r="B1432" s="103" t="s">
        <v>1847</v>
      </c>
      <c r="C1432" s="103" t="s">
        <v>1848</v>
      </c>
      <c r="D1432" s="102" t="s">
        <v>1849</v>
      </c>
      <c r="E1432" s="103" t="s">
        <v>63</v>
      </c>
      <c r="F1432" s="102" t="s">
        <v>19</v>
      </c>
      <c r="G1432" s="103" t="s">
        <v>20</v>
      </c>
      <c r="H1432" s="103">
        <v>201609</v>
      </c>
      <c r="I1432" s="104">
        <v>-1.48</v>
      </c>
      <c r="J1432" s="297">
        <f t="shared" si="89"/>
        <v>42675</v>
      </c>
      <c r="K1432" s="67">
        <f t="shared" si="84"/>
        <v>6</v>
      </c>
      <c r="L1432" s="155">
        <v>1.4833299999999999E-3</v>
      </c>
      <c r="M1432" s="104">
        <f t="shared" si="85"/>
        <v>-1.31719704E-2</v>
      </c>
      <c r="O1432" s="66"/>
      <c r="Q1432" s="66">
        <f t="shared" si="88"/>
        <v>-2.4484441666666669E-2</v>
      </c>
    </row>
    <row r="1433" spans="1:17">
      <c r="A1433" s="102" t="s">
        <v>626</v>
      </c>
      <c r="B1433" s="103" t="s">
        <v>1594</v>
      </c>
      <c r="C1433" s="103" t="s">
        <v>1595</v>
      </c>
      <c r="D1433" s="102" t="s">
        <v>1596</v>
      </c>
      <c r="E1433" s="103" t="s">
        <v>87</v>
      </c>
      <c r="F1433" s="102" t="s">
        <v>1603</v>
      </c>
      <c r="G1433" s="103" t="s">
        <v>20</v>
      </c>
      <c r="H1433" s="103">
        <v>201609</v>
      </c>
      <c r="I1433" s="104">
        <v>-1.39</v>
      </c>
      <c r="J1433" s="297">
        <f t="shared" si="89"/>
        <v>42675</v>
      </c>
      <c r="K1433" s="67">
        <f t="shared" si="84"/>
        <v>6</v>
      </c>
      <c r="L1433" s="155">
        <v>1.4833299999999999E-3</v>
      </c>
      <c r="M1433" s="104">
        <f t="shared" si="85"/>
        <v>-1.2370972199999998E-2</v>
      </c>
      <c r="O1433" s="66"/>
      <c r="Q1433" s="66">
        <f t="shared" si="88"/>
        <v>-2.2995522916666667E-2</v>
      </c>
    </row>
    <row r="1434" spans="1:17">
      <c r="A1434" s="102" t="s">
        <v>127</v>
      </c>
      <c r="B1434" s="103" t="s">
        <v>1773</v>
      </c>
      <c r="C1434" s="103" t="s">
        <v>1774</v>
      </c>
      <c r="D1434" s="102" t="s">
        <v>1775</v>
      </c>
      <c r="E1434" s="103" t="s">
        <v>209</v>
      </c>
      <c r="F1434" s="102" t="s">
        <v>1612</v>
      </c>
      <c r="G1434" s="103" t="s">
        <v>20</v>
      </c>
      <c r="H1434" s="103">
        <v>201609</v>
      </c>
      <c r="I1434" s="104">
        <v>-1.4</v>
      </c>
      <c r="J1434" s="297">
        <f t="shared" si="89"/>
        <v>42675</v>
      </c>
      <c r="K1434" s="67">
        <f t="shared" si="84"/>
        <v>6</v>
      </c>
      <c r="L1434" s="148">
        <v>2.3833299999999999E-3</v>
      </c>
      <c r="M1434" s="104">
        <f t="shared" si="85"/>
        <v>-2.0019972E-2</v>
      </c>
      <c r="O1434" s="66"/>
      <c r="Q1434" s="66">
        <f t="shared" si="88"/>
        <v>-2.3160958333333332E-2</v>
      </c>
    </row>
    <row r="1435" spans="1:17">
      <c r="A1435" s="102" t="s">
        <v>626</v>
      </c>
      <c r="B1435" s="103" t="s">
        <v>1739</v>
      </c>
      <c r="C1435" s="103" t="s">
        <v>1740</v>
      </c>
      <c r="D1435" s="102" t="s">
        <v>1741</v>
      </c>
      <c r="E1435" s="103" t="s">
        <v>164</v>
      </c>
      <c r="F1435" s="102" t="s">
        <v>1600</v>
      </c>
      <c r="G1435" s="103" t="s">
        <v>20</v>
      </c>
      <c r="H1435" s="103">
        <v>201609</v>
      </c>
      <c r="I1435" s="104">
        <v>-543.58000000000004</v>
      </c>
      <c r="J1435" s="297">
        <f t="shared" si="89"/>
        <v>42675</v>
      </c>
      <c r="K1435" s="67">
        <f t="shared" si="84"/>
        <v>6</v>
      </c>
      <c r="L1435" s="155">
        <v>1.4833299999999999E-3</v>
      </c>
      <c r="M1435" s="104">
        <f t="shared" si="85"/>
        <v>-4.8378511284000005</v>
      </c>
      <c r="O1435" s="66"/>
      <c r="Q1435" s="66">
        <f t="shared" si="88"/>
        <v>-8.9927383791666688</v>
      </c>
    </row>
    <row r="1436" spans="1:17">
      <c r="A1436" s="102" t="s">
        <v>626</v>
      </c>
      <c r="B1436" s="103" t="s">
        <v>1632</v>
      </c>
      <c r="C1436" s="103" t="s">
        <v>1633</v>
      </c>
      <c r="D1436" s="102" t="s">
        <v>1634</v>
      </c>
      <c r="E1436" s="103" t="s">
        <v>471</v>
      </c>
      <c r="F1436" s="102" t="s">
        <v>165</v>
      </c>
      <c r="G1436" s="103" t="s">
        <v>20</v>
      </c>
      <c r="H1436" s="103">
        <v>201609</v>
      </c>
      <c r="I1436" s="104">
        <v>-7.21</v>
      </c>
      <c r="J1436" s="297">
        <f t="shared" si="89"/>
        <v>42675</v>
      </c>
      <c r="K1436" s="67">
        <f t="shared" si="84"/>
        <v>6</v>
      </c>
      <c r="L1436" s="155">
        <v>1.4833299999999999E-3</v>
      </c>
      <c r="M1436" s="104">
        <f t="shared" si="85"/>
        <v>-6.4168855799999994E-2</v>
      </c>
      <c r="O1436" s="66"/>
      <c r="Q1436" s="66">
        <f t="shared" si="88"/>
        <v>-0.11927893541666668</v>
      </c>
    </row>
    <row r="1437" spans="1:17">
      <c r="A1437" s="102" t="s">
        <v>21</v>
      </c>
      <c r="B1437" s="103" t="s">
        <v>1635</v>
      </c>
      <c r="C1437" s="103" t="s">
        <v>1636</v>
      </c>
      <c r="D1437" s="102" t="s">
        <v>1637</v>
      </c>
      <c r="E1437" s="103" t="s">
        <v>360</v>
      </c>
      <c r="F1437" s="102" t="s">
        <v>19</v>
      </c>
      <c r="G1437" s="103" t="s">
        <v>20</v>
      </c>
      <c r="H1437" s="103">
        <v>201609</v>
      </c>
      <c r="I1437" s="104">
        <v>-3.06</v>
      </c>
      <c r="J1437" s="297">
        <f t="shared" si="89"/>
        <v>42675</v>
      </c>
      <c r="K1437" s="67">
        <f t="shared" si="84"/>
        <v>6</v>
      </c>
      <c r="L1437" s="155">
        <v>1.4833299999999999E-3</v>
      </c>
      <c r="M1437" s="104">
        <f t="shared" si="85"/>
        <v>-2.7233938799999999E-2</v>
      </c>
      <c r="O1437" s="66"/>
      <c r="Q1437" s="66">
        <f t="shared" si="88"/>
        <v>-5.0623237500000001E-2</v>
      </c>
    </row>
    <row r="1438" spans="1:17">
      <c r="A1438" s="102" t="s">
        <v>626</v>
      </c>
      <c r="B1438" s="103" t="s">
        <v>1797</v>
      </c>
      <c r="C1438" s="103" t="s">
        <v>1798</v>
      </c>
      <c r="D1438" s="102" t="s">
        <v>1799</v>
      </c>
      <c r="E1438" s="103" t="s">
        <v>164</v>
      </c>
      <c r="F1438" s="102" t="s">
        <v>1600</v>
      </c>
      <c r="G1438" s="103" t="s">
        <v>20</v>
      </c>
      <c r="H1438" s="103">
        <v>201609</v>
      </c>
      <c r="I1438" s="104">
        <v>-1250.67</v>
      </c>
      <c r="J1438" s="297">
        <f t="shared" si="89"/>
        <v>42675</v>
      </c>
      <c r="K1438" s="67">
        <f t="shared" si="84"/>
        <v>6</v>
      </c>
      <c r="L1438" s="155">
        <v>1.4833299999999999E-3</v>
      </c>
      <c r="M1438" s="104">
        <f t="shared" si="85"/>
        <v>-11.130937986600001</v>
      </c>
      <c r="O1438" s="66"/>
      <c r="Q1438" s="66">
        <f t="shared" si="88"/>
        <v>-20.690511256250002</v>
      </c>
    </row>
    <row r="1439" spans="1:17">
      <c r="A1439" s="102" t="s">
        <v>626</v>
      </c>
      <c r="B1439" s="103" t="s">
        <v>1890</v>
      </c>
      <c r="C1439" s="103" t="s">
        <v>1891</v>
      </c>
      <c r="D1439" s="102" t="s">
        <v>1495</v>
      </c>
      <c r="E1439" s="103" t="s">
        <v>75</v>
      </c>
      <c r="F1439" s="102" t="s">
        <v>1602</v>
      </c>
      <c r="G1439" s="103" t="s">
        <v>20</v>
      </c>
      <c r="H1439" s="103">
        <v>201609</v>
      </c>
      <c r="I1439" s="104">
        <v>-166.07</v>
      </c>
      <c r="J1439" s="297">
        <f t="shared" si="89"/>
        <v>42675</v>
      </c>
      <c r="K1439" s="67">
        <f t="shared" si="84"/>
        <v>6</v>
      </c>
      <c r="L1439" s="155">
        <v>1.4833299999999999E-3</v>
      </c>
      <c r="M1439" s="104">
        <f t="shared" si="85"/>
        <v>-1.4780196785999999</v>
      </c>
      <c r="O1439" s="66"/>
      <c r="Q1439" s="66">
        <f t="shared" si="88"/>
        <v>-2.7473859645833332</v>
      </c>
    </row>
    <row r="1440" spans="1:17">
      <c r="A1440" s="102" t="s">
        <v>21</v>
      </c>
      <c r="B1440" s="103" t="s">
        <v>1956</v>
      </c>
      <c r="C1440" s="103" t="s">
        <v>1957</v>
      </c>
      <c r="D1440" s="102" t="s">
        <v>1958</v>
      </c>
      <c r="E1440" s="103" t="s">
        <v>75</v>
      </c>
      <c r="F1440" s="102" t="s">
        <v>1602</v>
      </c>
      <c r="G1440" s="103" t="s">
        <v>20</v>
      </c>
      <c r="H1440" s="103">
        <v>201609</v>
      </c>
      <c r="I1440" s="104">
        <v>-3432.27</v>
      </c>
      <c r="J1440" s="297">
        <f t="shared" si="89"/>
        <v>42675</v>
      </c>
      <c r="K1440" s="67">
        <f t="shared" si="84"/>
        <v>6</v>
      </c>
      <c r="L1440" s="155">
        <v>1.4833299999999999E-3</v>
      </c>
      <c r="M1440" s="104">
        <f t="shared" si="85"/>
        <v>-30.547134354600001</v>
      </c>
      <c r="O1440" s="66"/>
      <c r="Q1440" s="66">
        <f t="shared" si="88"/>
        <v>-56.781901756250001</v>
      </c>
    </row>
    <row r="1441" spans="1:17">
      <c r="A1441" s="102" t="s">
        <v>626</v>
      </c>
      <c r="B1441" s="103" t="s">
        <v>1892</v>
      </c>
      <c r="C1441" s="103" t="s">
        <v>1893</v>
      </c>
      <c r="D1441" s="102" t="s">
        <v>1894</v>
      </c>
      <c r="E1441" s="103" t="s">
        <v>75</v>
      </c>
      <c r="F1441" s="102" t="s">
        <v>1602</v>
      </c>
      <c r="G1441" s="103" t="s">
        <v>20</v>
      </c>
      <c r="H1441" s="103">
        <v>201609</v>
      </c>
      <c r="I1441" s="104">
        <v>-395.39</v>
      </c>
      <c r="J1441" s="297">
        <f t="shared" si="89"/>
        <v>42675</v>
      </c>
      <c r="K1441" s="67">
        <f t="shared" si="84"/>
        <v>6</v>
      </c>
      <c r="L1441" s="155">
        <v>1.4833299999999999E-3</v>
      </c>
      <c r="M1441" s="104">
        <f t="shared" si="85"/>
        <v>-3.5189630921999999</v>
      </c>
      <c r="O1441" s="66"/>
      <c r="Q1441" s="66">
        <f t="shared" si="88"/>
        <v>-6.5411509395833329</v>
      </c>
    </row>
    <row r="1442" spans="1:17">
      <c r="A1442" s="102" t="s">
        <v>626</v>
      </c>
      <c r="B1442" s="103" t="s">
        <v>1959</v>
      </c>
      <c r="C1442" s="103" t="s">
        <v>1960</v>
      </c>
      <c r="D1442" s="102" t="s">
        <v>1495</v>
      </c>
      <c r="E1442" s="103" t="s">
        <v>75</v>
      </c>
      <c r="F1442" s="102" t="s">
        <v>1602</v>
      </c>
      <c r="G1442" s="103" t="s">
        <v>20</v>
      </c>
      <c r="H1442" s="103">
        <v>201609</v>
      </c>
      <c r="I1442" s="104">
        <v>-7.01</v>
      </c>
      <c r="J1442" s="297">
        <f t="shared" si="89"/>
        <v>42675</v>
      </c>
      <c r="K1442" s="67">
        <f t="shared" si="84"/>
        <v>6</v>
      </c>
      <c r="L1442" s="155">
        <v>1.4833299999999999E-3</v>
      </c>
      <c r="M1442" s="104">
        <f t="shared" si="85"/>
        <v>-6.2388859800000002E-2</v>
      </c>
      <c r="O1442" s="66"/>
      <c r="Q1442" s="66">
        <f t="shared" si="88"/>
        <v>-0.11597022708333332</v>
      </c>
    </row>
    <row r="1443" spans="1:17">
      <c r="A1443" s="102" t="s">
        <v>626</v>
      </c>
      <c r="B1443" s="103" t="s">
        <v>1898</v>
      </c>
      <c r="C1443" s="103" t="s">
        <v>1899</v>
      </c>
      <c r="D1443" s="102" t="s">
        <v>1900</v>
      </c>
      <c r="E1443" s="103" t="s">
        <v>75</v>
      </c>
      <c r="F1443" s="102" t="s">
        <v>1602</v>
      </c>
      <c r="G1443" s="103" t="s">
        <v>20</v>
      </c>
      <c r="H1443" s="103">
        <v>201609</v>
      </c>
      <c r="I1443" s="104">
        <v>-156.81</v>
      </c>
      <c r="J1443" s="297">
        <f t="shared" si="89"/>
        <v>42675</v>
      </c>
      <c r="K1443" s="67">
        <f t="shared" si="84"/>
        <v>6</v>
      </c>
      <c r="L1443" s="155">
        <v>1.4833299999999999E-3</v>
      </c>
      <c r="M1443" s="104">
        <f t="shared" si="85"/>
        <v>-1.3956058638</v>
      </c>
      <c r="O1443" s="66"/>
      <c r="Q1443" s="66">
        <f t="shared" si="88"/>
        <v>-2.5941927687500002</v>
      </c>
    </row>
    <row r="1444" spans="1:17">
      <c r="A1444" s="102" t="s">
        <v>626</v>
      </c>
      <c r="B1444" s="103" t="s">
        <v>1901</v>
      </c>
      <c r="C1444" s="103" t="s">
        <v>1902</v>
      </c>
      <c r="D1444" s="102" t="s">
        <v>1903</v>
      </c>
      <c r="E1444" s="103" t="s">
        <v>75</v>
      </c>
      <c r="F1444" s="102" t="s">
        <v>1602</v>
      </c>
      <c r="G1444" s="103" t="s">
        <v>20</v>
      </c>
      <c r="H1444" s="103">
        <v>201609</v>
      </c>
      <c r="I1444" s="104">
        <v>-1072.92</v>
      </c>
      <c r="J1444" s="297">
        <f t="shared" si="89"/>
        <v>42675</v>
      </c>
      <c r="K1444" s="67">
        <f t="shared" si="84"/>
        <v>6</v>
      </c>
      <c r="L1444" s="155">
        <v>1.4833299999999999E-3</v>
      </c>
      <c r="M1444" s="104">
        <f t="shared" si="85"/>
        <v>-9.5489665416000005</v>
      </c>
      <c r="O1444" s="66"/>
      <c r="Q1444" s="66">
        <f t="shared" si="88"/>
        <v>-17.749896724999999</v>
      </c>
    </row>
    <row r="1445" spans="1:17">
      <c r="A1445" s="102" t="s">
        <v>626</v>
      </c>
      <c r="B1445" s="103" t="s">
        <v>1693</v>
      </c>
      <c r="C1445" s="103" t="s">
        <v>1694</v>
      </c>
      <c r="D1445" s="102" t="s">
        <v>1695</v>
      </c>
      <c r="E1445" s="103" t="s">
        <v>809</v>
      </c>
      <c r="F1445" s="102" t="s">
        <v>26</v>
      </c>
      <c r="G1445" s="103" t="s">
        <v>20</v>
      </c>
      <c r="H1445" s="103">
        <v>201609</v>
      </c>
      <c r="I1445" s="104">
        <v>-99.16</v>
      </c>
      <c r="J1445" s="297">
        <f t="shared" si="89"/>
        <v>42675</v>
      </c>
      <c r="K1445" s="67">
        <f t="shared" si="84"/>
        <v>6</v>
      </c>
      <c r="L1445" s="155">
        <v>1.4833299999999999E-3</v>
      </c>
      <c r="M1445" s="104">
        <f t="shared" si="85"/>
        <v>-0.88252201679999998</v>
      </c>
      <c r="O1445" s="66"/>
      <c r="Q1445" s="66">
        <f t="shared" si="88"/>
        <v>-1.6404575916666666</v>
      </c>
    </row>
    <row r="1446" spans="1:17">
      <c r="A1446" s="102" t="s">
        <v>626</v>
      </c>
      <c r="B1446" s="103" t="s">
        <v>1638</v>
      </c>
      <c r="C1446" s="103" t="s">
        <v>1639</v>
      </c>
      <c r="D1446" s="102" t="s">
        <v>1640</v>
      </c>
      <c r="E1446" s="103" t="s">
        <v>164</v>
      </c>
      <c r="F1446" s="102" t="s">
        <v>1600</v>
      </c>
      <c r="G1446" s="103" t="s">
        <v>20</v>
      </c>
      <c r="H1446" s="103">
        <v>201609</v>
      </c>
      <c r="I1446" s="104">
        <v>-2.4500000000000002</v>
      </c>
      <c r="J1446" s="297">
        <f t="shared" si="89"/>
        <v>42675</v>
      </c>
      <c r="K1446" s="67">
        <f t="shared" si="84"/>
        <v>6</v>
      </c>
      <c r="L1446" s="155">
        <v>1.4833299999999999E-3</v>
      </c>
      <c r="M1446" s="104">
        <f t="shared" si="85"/>
        <v>-2.1804951000000003E-2</v>
      </c>
      <c r="O1446" s="66"/>
      <c r="Q1446" s="66">
        <f t="shared" si="88"/>
        <v>-4.0531677083333342E-2</v>
      </c>
    </row>
    <row r="1447" spans="1:17">
      <c r="A1447" s="102" t="s">
        <v>626</v>
      </c>
      <c r="B1447" s="103" t="s">
        <v>1904</v>
      </c>
      <c r="C1447" s="103" t="s">
        <v>1905</v>
      </c>
      <c r="D1447" s="102" t="s">
        <v>1906</v>
      </c>
      <c r="E1447" s="103" t="s">
        <v>75</v>
      </c>
      <c r="F1447" s="102" t="s">
        <v>1602</v>
      </c>
      <c r="G1447" s="103" t="s">
        <v>20</v>
      </c>
      <c r="H1447" s="103">
        <v>201609</v>
      </c>
      <c r="I1447" s="104">
        <v>-156.44999999999999</v>
      </c>
      <c r="J1447" s="297">
        <f t="shared" si="89"/>
        <v>42675</v>
      </c>
      <c r="K1447" s="67">
        <f t="shared" si="84"/>
        <v>6</v>
      </c>
      <c r="L1447" s="155">
        <v>1.4833299999999999E-3</v>
      </c>
      <c r="M1447" s="104">
        <f t="shared" si="85"/>
        <v>-1.3924018709999999</v>
      </c>
      <c r="O1447" s="66"/>
      <c r="Q1447" s="66">
        <f t="shared" si="88"/>
        <v>-2.5882370937499997</v>
      </c>
    </row>
    <row r="1448" spans="1:17">
      <c r="A1448" s="102" t="s">
        <v>626</v>
      </c>
      <c r="B1448" s="103" t="s">
        <v>1742</v>
      </c>
      <c r="C1448" s="103" t="s">
        <v>1743</v>
      </c>
      <c r="D1448" s="102" t="s">
        <v>1744</v>
      </c>
      <c r="E1448" s="103" t="s">
        <v>497</v>
      </c>
      <c r="F1448" s="102" t="s">
        <v>26</v>
      </c>
      <c r="G1448" s="103" t="s">
        <v>20</v>
      </c>
      <c r="H1448" s="103">
        <v>201609</v>
      </c>
      <c r="I1448" s="104">
        <v>-12.35</v>
      </c>
      <c r="J1448" s="297">
        <f t="shared" si="89"/>
        <v>42675</v>
      </c>
      <c r="K1448" s="67">
        <f t="shared" si="84"/>
        <v>6</v>
      </c>
      <c r="L1448" s="155">
        <v>1.4833299999999999E-3</v>
      </c>
      <c r="M1448" s="104">
        <f t="shared" si="85"/>
        <v>-0.109914753</v>
      </c>
      <c r="O1448" s="66"/>
      <c r="Q1448" s="66">
        <f t="shared" si="88"/>
        <v>-0.20431273958333332</v>
      </c>
    </row>
    <row r="1449" spans="1:17">
      <c r="A1449" s="102" t="s">
        <v>626</v>
      </c>
      <c r="B1449" s="103" t="s">
        <v>1745</v>
      </c>
      <c r="C1449" s="103" t="s">
        <v>1746</v>
      </c>
      <c r="D1449" s="102" t="s">
        <v>1747</v>
      </c>
      <c r="E1449" s="103" t="s">
        <v>497</v>
      </c>
      <c r="F1449" s="102" t="s">
        <v>26</v>
      </c>
      <c r="G1449" s="103" t="s">
        <v>20</v>
      </c>
      <c r="H1449" s="103">
        <v>201609</v>
      </c>
      <c r="I1449" s="104">
        <v>-165.51</v>
      </c>
      <c r="J1449" s="297">
        <f t="shared" si="89"/>
        <v>42675</v>
      </c>
      <c r="K1449" s="67">
        <f t="shared" si="84"/>
        <v>6</v>
      </c>
      <c r="L1449" s="155">
        <v>1.4833299999999999E-3</v>
      </c>
      <c r="M1449" s="104">
        <f t="shared" si="85"/>
        <v>-1.4730356897999999</v>
      </c>
      <c r="O1449" s="66"/>
      <c r="Q1449" s="66">
        <f t="shared" si="88"/>
        <v>-2.7381215812500002</v>
      </c>
    </row>
    <row r="1450" spans="1:17">
      <c r="A1450" s="102" t="s">
        <v>21</v>
      </c>
      <c r="B1450" s="103" t="s">
        <v>1745</v>
      </c>
      <c r="C1450" s="103" t="s">
        <v>1746</v>
      </c>
      <c r="D1450" s="102" t="s">
        <v>1747</v>
      </c>
      <c r="E1450" s="103" t="s">
        <v>497</v>
      </c>
      <c r="F1450" s="102" t="s">
        <v>26</v>
      </c>
      <c r="G1450" s="103" t="s">
        <v>20</v>
      </c>
      <c r="H1450" s="103">
        <v>201609</v>
      </c>
      <c r="I1450" s="104">
        <v>-13.64</v>
      </c>
      <c r="J1450" s="297">
        <f t="shared" si="89"/>
        <v>42675</v>
      </c>
      <c r="K1450" s="67">
        <f t="shared" si="84"/>
        <v>6</v>
      </c>
      <c r="L1450" s="155">
        <v>1.4833299999999999E-3</v>
      </c>
      <c r="M1450" s="104">
        <f t="shared" si="85"/>
        <v>-0.12139572720000001</v>
      </c>
      <c r="O1450" s="66"/>
      <c r="Q1450" s="66">
        <f t="shared" si="88"/>
        <v>-0.22565390833333335</v>
      </c>
    </row>
    <row r="1451" spans="1:17">
      <c r="A1451" s="102" t="s">
        <v>626</v>
      </c>
      <c r="B1451" s="103" t="s">
        <v>1800</v>
      </c>
      <c r="C1451" s="103" t="s">
        <v>1801</v>
      </c>
      <c r="D1451" s="102" t="s">
        <v>1802</v>
      </c>
      <c r="E1451" s="103" t="s">
        <v>75</v>
      </c>
      <c r="F1451" s="102" t="s">
        <v>1602</v>
      </c>
      <c r="G1451" s="103" t="s">
        <v>20</v>
      </c>
      <c r="H1451" s="103">
        <v>201609</v>
      </c>
      <c r="I1451" s="104">
        <v>-826.62</v>
      </c>
      <c r="J1451" s="297">
        <f t="shared" si="89"/>
        <v>42675</v>
      </c>
      <c r="K1451" s="67">
        <f t="shared" si="84"/>
        <v>6</v>
      </c>
      <c r="L1451" s="155">
        <v>1.4833299999999999E-3</v>
      </c>
      <c r="M1451" s="104">
        <f t="shared" si="85"/>
        <v>-7.3569014676000002</v>
      </c>
      <c r="O1451" s="66"/>
      <c r="Q1451" s="66">
        <f t="shared" si="88"/>
        <v>-13.6752224125</v>
      </c>
    </row>
    <row r="1452" spans="1:17">
      <c r="A1452" s="102" t="s">
        <v>626</v>
      </c>
      <c r="B1452" s="103" t="s">
        <v>2045</v>
      </c>
      <c r="C1452" s="103" t="s">
        <v>2046</v>
      </c>
      <c r="D1452" s="102" t="s">
        <v>2047</v>
      </c>
      <c r="E1452" s="103" t="s">
        <v>75</v>
      </c>
      <c r="F1452" s="102" t="s">
        <v>1602</v>
      </c>
      <c r="G1452" s="103" t="s">
        <v>20</v>
      </c>
      <c r="H1452" s="103">
        <v>201609</v>
      </c>
      <c r="I1452" s="104">
        <v>-1146.9000000000001</v>
      </c>
      <c r="J1452" s="297">
        <f t="shared" si="89"/>
        <v>42675</v>
      </c>
      <c r="K1452" s="67">
        <f t="shared" si="84"/>
        <v>6</v>
      </c>
      <c r="L1452" s="155">
        <v>1.4833299999999999E-3</v>
      </c>
      <c r="M1452" s="104">
        <f t="shared" si="85"/>
        <v>-10.207387062</v>
      </c>
      <c r="O1452" s="66"/>
      <c r="Q1452" s="66">
        <f t="shared" si="88"/>
        <v>-18.973787937499999</v>
      </c>
    </row>
    <row r="1453" spans="1:17">
      <c r="A1453" s="102" t="s">
        <v>626</v>
      </c>
      <c r="B1453" s="103" t="s">
        <v>1961</v>
      </c>
      <c r="C1453" s="103" t="s">
        <v>1962</v>
      </c>
      <c r="D1453" s="102" t="s">
        <v>1963</v>
      </c>
      <c r="E1453" s="103" t="s">
        <v>75</v>
      </c>
      <c r="F1453" s="102" t="s">
        <v>1602</v>
      </c>
      <c r="G1453" s="103" t="s">
        <v>20</v>
      </c>
      <c r="H1453" s="103">
        <v>201609</v>
      </c>
      <c r="I1453" s="104">
        <v>-170.33</v>
      </c>
      <c r="J1453" s="297">
        <f t="shared" si="89"/>
        <v>42675</v>
      </c>
      <c r="K1453" s="67">
        <f t="shared" si="84"/>
        <v>6</v>
      </c>
      <c r="L1453" s="155">
        <v>1.4833299999999999E-3</v>
      </c>
      <c r="M1453" s="104">
        <f t="shared" si="85"/>
        <v>-1.5159335934000002</v>
      </c>
      <c r="O1453" s="66"/>
      <c r="Q1453" s="66">
        <f t="shared" si="88"/>
        <v>-2.8178614520833336</v>
      </c>
    </row>
    <row r="1454" spans="1:17">
      <c r="A1454" s="102" t="s">
        <v>626</v>
      </c>
      <c r="B1454" s="103" t="s">
        <v>1907</v>
      </c>
      <c r="C1454" s="103" t="s">
        <v>1908</v>
      </c>
      <c r="D1454" s="102" t="s">
        <v>1909</v>
      </c>
      <c r="E1454" s="103" t="s">
        <v>75</v>
      </c>
      <c r="F1454" s="102" t="s">
        <v>1602</v>
      </c>
      <c r="G1454" s="103" t="s">
        <v>20</v>
      </c>
      <c r="H1454" s="103">
        <v>201609</v>
      </c>
      <c r="I1454" s="104">
        <v>-770.71</v>
      </c>
      <c r="J1454" s="297">
        <f t="shared" si="89"/>
        <v>42675</v>
      </c>
      <c r="K1454" s="67">
        <f t="shared" si="84"/>
        <v>6</v>
      </c>
      <c r="L1454" s="155">
        <v>1.4833299999999999E-3</v>
      </c>
      <c r="M1454" s="104">
        <f t="shared" si="85"/>
        <v>-6.8593035858000002</v>
      </c>
      <c r="O1454" s="66"/>
      <c r="Q1454" s="66">
        <f t="shared" si="88"/>
        <v>-12.750272997916667</v>
      </c>
    </row>
    <row r="1455" spans="1:17">
      <c r="A1455" s="102" t="s">
        <v>626</v>
      </c>
      <c r="B1455" s="103" t="s">
        <v>1803</v>
      </c>
      <c r="C1455" s="103" t="s">
        <v>1804</v>
      </c>
      <c r="D1455" s="102" t="s">
        <v>1805</v>
      </c>
      <c r="E1455" s="103" t="s">
        <v>164</v>
      </c>
      <c r="F1455" s="102" t="s">
        <v>1600</v>
      </c>
      <c r="G1455" s="103" t="s">
        <v>20</v>
      </c>
      <c r="H1455" s="103">
        <v>201609</v>
      </c>
      <c r="I1455" s="104">
        <v>-1165.97</v>
      </c>
      <c r="J1455" s="297">
        <f t="shared" si="89"/>
        <v>42675</v>
      </c>
      <c r="K1455" s="67">
        <f t="shared" si="84"/>
        <v>6</v>
      </c>
      <c r="L1455" s="155">
        <v>1.4833299999999999E-3</v>
      </c>
      <c r="M1455" s="104">
        <f t="shared" si="85"/>
        <v>-10.3771096806</v>
      </c>
      <c r="O1455" s="66"/>
      <c r="Q1455" s="66">
        <f t="shared" si="88"/>
        <v>-19.289273277083336</v>
      </c>
    </row>
    <row r="1456" spans="1:17">
      <c r="A1456" s="102" t="s">
        <v>626</v>
      </c>
      <c r="B1456" s="103" t="s">
        <v>1748</v>
      </c>
      <c r="C1456" s="103" t="s">
        <v>1749</v>
      </c>
      <c r="D1456" s="102" t="s">
        <v>1750</v>
      </c>
      <c r="E1456" s="103" t="s">
        <v>75</v>
      </c>
      <c r="F1456" s="102" t="s">
        <v>1602</v>
      </c>
      <c r="G1456" s="103" t="s">
        <v>20</v>
      </c>
      <c r="H1456" s="103">
        <v>201609</v>
      </c>
      <c r="I1456" s="104">
        <v>-549.23</v>
      </c>
      <c r="J1456" s="297">
        <f t="shared" si="89"/>
        <v>42675</v>
      </c>
      <c r="K1456" s="67">
        <f t="shared" si="84"/>
        <v>6</v>
      </c>
      <c r="L1456" s="155">
        <v>1.4833299999999999E-3</v>
      </c>
      <c r="M1456" s="104">
        <f t="shared" si="85"/>
        <v>-4.8881360153999998</v>
      </c>
      <c r="O1456" s="66"/>
      <c r="Q1456" s="66">
        <f t="shared" si="88"/>
        <v>-9.0862093895833329</v>
      </c>
    </row>
    <row r="1457" spans="1:17">
      <c r="A1457" s="102" t="s">
        <v>626</v>
      </c>
      <c r="B1457" s="103" t="s">
        <v>1910</v>
      </c>
      <c r="C1457" s="103" t="s">
        <v>1911</v>
      </c>
      <c r="D1457" s="102" t="s">
        <v>1912</v>
      </c>
      <c r="E1457" s="103" t="s">
        <v>75</v>
      </c>
      <c r="F1457" s="102" t="s">
        <v>1602</v>
      </c>
      <c r="G1457" s="103" t="s">
        <v>20</v>
      </c>
      <c r="H1457" s="103">
        <v>201609</v>
      </c>
      <c r="I1457" s="104">
        <v>-671.69</v>
      </c>
      <c r="J1457" s="297">
        <f t="shared" si="89"/>
        <v>42675</v>
      </c>
      <c r="K1457" s="67">
        <f t="shared" si="84"/>
        <v>6</v>
      </c>
      <c r="L1457" s="155">
        <v>1.4833299999999999E-3</v>
      </c>
      <c r="M1457" s="104">
        <f t="shared" si="85"/>
        <v>-5.9780275662000006</v>
      </c>
      <c r="O1457" s="66"/>
      <c r="Q1457" s="66">
        <f t="shared" si="88"/>
        <v>-11.112131502083335</v>
      </c>
    </row>
    <row r="1458" spans="1:17">
      <c r="A1458" s="102" t="s">
        <v>626</v>
      </c>
      <c r="B1458" s="103" t="s">
        <v>1913</v>
      </c>
      <c r="C1458" s="103" t="s">
        <v>1914</v>
      </c>
      <c r="D1458" s="102" t="s">
        <v>1915</v>
      </c>
      <c r="E1458" s="103" t="s">
        <v>75</v>
      </c>
      <c r="F1458" s="102" t="s">
        <v>1602</v>
      </c>
      <c r="G1458" s="103" t="s">
        <v>20</v>
      </c>
      <c r="H1458" s="103">
        <v>201609</v>
      </c>
      <c r="I1458" s="104">
        <v>-38.159999999999997</v>
      </c>
      <c r="J1458" s="297">
        <f t="shared" si="89"/>
        <v>42675</v>
      </c>
      <c r="K1458" s="67">
        <f t="shared" si="84"/>
        <v>6</v>
      </c>
      <c r="L1458" s="155">
        <v>1.4833299999999999E-3</v>
      </c>
      <c r="M1458" s="104">
        <f t="shared" si="85"/>
        <v>-0.33962323679999995</v>
      </c>
      <c r="O1458" s="66"/>
      <c r="Q1458" s="66">
        <f t="shared" si="88"/>
        <v>-0.63130154999999999</v>
      </c>
    </row>
    <row r="1459" spans="1:17">
      <c r="A1459" s="102" t="s">
        <v>626</v>
      </c>
      <c r="B1459" s="103" t="s">
        <v>2048</v>
      </c>
      <c r="C1459" s="103" t="s">
        <v>2049</v>
      </c>
      <c r="D1459" s="102" t="s">
        <v>2050</v>
      </c>
      <c r="E1459" s="103" t="s">
        <v>75</v>
      </c>
      <c r="F1459" s="102" t="s">
        <v>1602</v>
      </c>
      <c r="G1459" s="103" t="s">
        <v>20</v>
      </c>
      <c r="H1459" s="103">
        <v>201609</v>
      </c>
      <c r="I1459" s="104">
        <v>-853.27</v>
      </c>
      <c r="J1459" s="297">
        <f t="shared" si="89"/>
        <v>42675</v>
      </c>
      <c r="K1459" s="67">
        <f t="shared" si="84"/>
        <v>6</v>
      </c>
      <c r="L1459" s="155">
        <v>1.4833299999999999E-3</v>
      </c>
      <c r="M1459" s="104">
        <f t="shared" si="85"/>
        <v>-7.5940859345999998</v>
      </c>
      <c r="O1459" s="66"/>
      <c r="Q1459" s="66">
        <f t="shared" si="88"/>
        <v>-14.116107797916667</v>
      </c>
    </row>
    <row r="1460" spans="1:17">
      <c r="A1460" s="102" t="s">
        <v>626</v>
      </c>
      <c r="B1460" s="103" t="s">
        <v>1916</v>
      </c>
      <c r="C1460" s="103" t="s">
        <v>1917</v>
      </c>
      <c r="D1460" s="102" t="s">
        <v>1273</v>
      </c>
      <c r="E1460" s="103" t="s">
        <v>75</v>
      </c>
      <c r="F1460" s="102" t="s">
        <v>1602</v>
      </c>
      <c r="G1460" s="103" t="s">
        <v>20</v>
      </c>
      <c r="H1460" s="103">
        <v>201609</v>
      </c>
      <c r="I1460" s="104">
        <v>-239.63</v>
      </c>
      <c r="J1460" s="297">
        <f t="shared" si="89"/>
        <v>42675</v>
      </c>
      <c r="K1460" s="67">
        <f t="shared" si="84"/>
        <v>6</v>
      </c>
      <c r="L1460" s="155">
        <v>1.4833299999999999E-3</v>
      </c>
      <c r="M1460" s="104">
        <f t="shared" si="85"/>
        <v>-2.1327022073999999</v>
      </c>
      <c r="O1460" s="66"/>
      <c r="Q1460" s="66">
        <f t="shared" si="88"/>
        <v>-3.9643288895833333</v>
      </c>
    </row>
    <row r="1461" spans="1:17">
      <c r="A1461" s="102" t="s">
        <v>626</v>
      </c>
      <c r="B1461" s="103" t="s">
        <v>1776</v>
      </c>
      <c r="C1461" s="103" t="s">
        <v>1777</v>
      </c>
      <c r="D1461" s="102" t="s">
        <v>1778</v>
      </c>
      <c r="E1461" s="103" t="s">
        <v>452</v>
      </c>
      <c r="F1461" s="102" t="s">
        <v>398</v>
      </c>
      <c r="G1461" s="103" t="s">
        <v>20</v>
      </c>
      <c r="H1461" s="103">
        <v>201609</v>
      </c>
      <c r="I1461" s="104">
        <v>-54.01</v>
      </c>
      <c r="J1461" s="297">
        <f t="shared" si="89"/>
        <v>42675</v>
      </c>
      <c r="K1461" s="67">
        <f t="shared" si="84"/>
        <v>6</v>
      </c>
      <c r="L1461" s="155">
        <v>1.4833299999999999E-3</v>
      </c>
      <c r="M1461" s="104">
        <f t="shared" si="85"/>
        <v>-0.48068791979999997</v>
      </c>
      <c r="O1461" s="66"/>
      <c r="Q1461" s="66">
        <f t="shared" si="88"/>
        <v>-0.89351668541666662</v>
      </c>
    </row>
    <row r="1462" spans="1:17">
      <c r="A1462" s="102" t="s">
        <v>626</v>
      </c>
      <c r="B1462" s="103" t="s">
        <v>1806</v>
      </c>
      <c r="C1462" s="103" t="s">
        <v>1807</v>
      </c>
      <c r="D1462" s="102" t="s">
        <v>1808</v>
      </c>
      <c r="E1462" s="103" t="s">
        <v>75</v>
      </c>
      <c r="F1462" s="102" t="s">
        <v>1602</v>
      </c>
      <c r="G1462" s="103" t="s">
        <v>20</v>
      </c>
      <c r="H1462" s="103">
        <v>201609</v>
      </c>
      <c r="I1462" s="104">
        <v>-69.650000000000006</v>
      </c>
      <c r="J1462" s="297">
        <f t="shared" si="89"/>
        <v>42675</v>
      </c>
      <c r="K1462" s="67">
        <f t="shared" si="84"/>
        <v>6</v>
      </c>
      <c r="L1462" s="155">
        <v>1.4833299999999999E-3</v>
      </c>
      <c r="M1462" s="104">
        <f t="shared" si="85"/>
        <v>-0.619883607</v>
      </c>
      <c r="O1462" s="66"/>
      <c r="Q1462" s="66">
        <f t="shared" si="88"/>
        <v>-1.1522576770833333</v>
      </c>
    </row>
    <row r="1463" spans="1:17">
      <c r="A1463" s="102" t="s">
        <v>626</v>
      </c>
      <c r="B1463" s="103" t="s">
        <v>1918</v>
      </c>
      <c r="C1463" s="103" t="s">
        <v>1919</v>
      </c>
      <c r="D1463" s="102" t="s">
        <v>1920</v>
      </c>
      <c r="E1463" s="103" t="s">
        <v>75</v>
      </c>
      <c r="F1463" s="102" t="s">
        <v>1602</v>
      </c>
      <c r="G1463" s="103" t="s">
        <v>20</v>
      </c>
      <c r="H1463" s="103">
        <v>201609</v>
      </c>
      <c r="I1463" s="104">
        <v>-24.43</v>
      </c>
      <c r="J1463" s="297">
        <f t="shared" si="89"/>
        <v>42675</v>
      </c>
      <c r="K1463" s="67">
        <f t="shared" si="84"/>
        <v>6</v>
      </c>
      <c r="L1463" s="155">
        <v>1.4833299999999999E-3</v>
      </c>
      <c r="M1463" s="104">
        <f t="shared" si="85"/>
        <v>-0.21742651139999999</v>
      </c>
      <c r="O1463" s="66"/>
      <c r="Q1463" s="66">
        <f t="shared" si="88"/>
        <v>-0.40415872291666671</v>
      </c>
    </row>
    <row r="1464" spans="1:17">
      <c r="A1464" s="102" t="s">
        <v>626</v>
      </c>
      <c r="B1464" s="103" t="s">
        <v>2051</v>
      </c>
      <c r="C1464" s="103" t="s">
        <v>2052</v>
      </c>
      <c r="D1464" s="102" t="s">
        <v>2053</v>
      </c>
      <c r="E1464" s="103" t="s">
        <v>75</v>
      </c>
      <c r="F1464" s="102" t="s">
        <v>1602</v>
      </c>
      <c r="G1464" s="103" t="s">
        <v>20</v>
      </c>
      <c r="H1464" s="103">
        <v>201609</v>
      </c>
      <c r="I1464" s="104">
        <v>-407.24</v>
      </c>
      <c r="J1464" s="297">
        <f t="shared" si="89"/>
        <v>42675</v>
      </c>
      <c r="K1464" s="67">
        <f t="shared" si="84"/>
        <v>6</v>
      </c>
      <c r="L1464" s="155">
        <v>1.4833299999999999E-3</v>
      </c>
      <c r="M1464" s="104">
        <f t="shared" si="85"/>
        <v>-3.6244278552</v>
      </c>
      <c r="O1464" s="66"/>
      <c r="Q1464" s="66">
        <f t="shared" si="88"/>
        <v>-6.7371919083333331</v>
      </c>
    </row>
    <row r="1465" spans="1:17">
      <c r="A1465" s="102" t="s">
        <v>626</v>
      </c>
      <c r="B1465" s="103" t="s">
        <v>1921</v>
      </c>
      <c r="C1465" s="103" t="s">
        <v>1922</v>
      </c>
      <c r="D1465" s="102" t="s">
        <v>1923</v>
      </c>
      <c r="E1465" s="103" t="s">
        <v>156</v>
      </c>
      <c r="F1465" s="102" t="s">
        <v>26</v>
      </c>
      <c r="G1465" s="103" t="s">
        <v>20</v>
      </c>
      <c r="H1465" s="103">
        <v>201609</v>
      </c>
      <c r="I1465" s="104">
        <v>-91.41</v>
      </c>
      <c r="J1465" s="297">
        <f t="shared" si="89"/>
        <v>42675</v>
      </c>
      <c r="K1465" s="67">
        <f t="shared" si="84"/>
        <v>6</v>
      </c>
      <c r="L1465" s="155">
        <v>1.4833299999999999E-3</v>
      </c>
      <c r="M1465" s="104">
        <f t="shared" si="85"/>
        <v>-0.81354717180000002</v>
      </c>
      <c r="O1465" s="66"/>
      <c r="Q1465" s="66">
        <f t="shared" si="88"/>
        <v>-1.51224514375</v>
      </c>
    </row>
    <row r="1466" spans="1:17">
      <c r="A1466" s="102" t="s">
        <v>14</v>
      </c>
      <c r="B1466" s="103" t="s">
        <v>1661</v>
      </c>
      <c r="C1466" s="103" t="s">
        <v>1662</v>
      </c>
      <c r="D1466" s="102" t="s">
        <v>1663</v>
      </c>
      <c r="E1466" s="103" t="s">
        <v>284</v>
      </c>
      <c r="F1466" s="102" t="s">
        <v>285</v>
      </c>
      <c r="G1466" s="103" t="s">
        <v>20</v>
      </c>
      <c r="H1466" s="103">
        <v>201609</v>
      </c>
      <c r="I1466" s="104">
        <v>-0.01</v>
      </c>
      <c r="J1466" s="297">
        <f t="shared" si="89"/>
        <v>42675</v>
      </c>
      <c r="K1466" s="67">
        <f t="shared" si="84"/>
        <v>6</v>
      </c>
      <c r="L1466" s="148">
        <v>2.23333E-3</v>
      </c>
      <c r="M1466" s="104">
        <f t="shared" si="85"/>
        <v>-1.3399979999999999E-4</v>
      </c>
      <c r="O1466" s="66"/>
      <c r="Q1466" s="66">
        <f t="shared" si="88"/>
        <v>-1.6543541666666668E-4</v>
      </c>
    </row>
    <row r="1467" spans="1:17">
      <c r="A1467" s="102" t="s">
        <v>626</v>
      </c>
      <c r="B1467" s="103" t="s">
        <v>2115</v>
      </c>
      <c r="C1467" s="103" t="s">
        <v>2116</v>
      </c>
      <c r="D1467" s="102" t="s">
        <v>1338</v>
      </c>
      <c r="E1467" s="103" t="s">
        <v>75</v>
      </c>
      <c r="F1467" s="102" t="s">
        <v>1602</v>
      </c>
      <c r="G1467" s="103" t="s">
        <v>20</v>
      </c>
      <c r="H1467" s="103">
        <v>201609</v>
      </c>
      <c r="I1467" s="104">
        <v>1963.31</v>
      </c>
      <c r="J1467" s="297">
        <f t="shared" si="89"/>
        <v>42675</v>
      </c>
      <c r="K1467" s="67">
        <f t="shared" si="84"/>
        <v>6</v>
      </c>
      <c r="L1467" s="155">
        <v>1.4833299999999999E-3</v>
      </c>
      <c r="M1467" s="104">
        <f t="shared" si="85"/>
        <v>17.4734197338</v>
      </c>
      <c r="O1467" s="66"/>
      <c r="Q1467" s="66">
        <f t="shared" si="88"/>
        <v>32.480100789583332</v>
      </c>
    </row>
    <row r="1468" spans="1:17">
      <c r="A1468" s="102" t="s">
        <v>21</v>
      </c>
      <c r="B1468" s="103" t="s">
        <v>1664</v>
      </c>
      <c r="C1468" s="103" t="s">
        <v>1665</v>
      </c>
      <c r="D1468" s="102" t="s">
        <v>1666</v>
      </c>
      <c r="E1468" s="103" t="s">
        <v>87</v>
      </c>
      <c r="F1468" s="102" t="s">
        <v>1603</v>
      </c>
      <c r="G1468" s="103" t="s">
        <v>20</v>
      </c>
      <c r="H1468" s="103">
        <v>201609</v>
      </c>
      <c r="I1468" s="104">
        <v>17.04</v>
      </c>
      <c r="J1468" s="297">
        <f t="shared" si="89"/>
        <v>42675</v>
      </c>
      <c r="K1468" s="67">
        <f t="shared" si="84"/>
        <v>6</v>
      </c>
      <c r="L1468" s="155">
        <v>1.4833299999999999E-3</v>
      </c>
      <c r="M1468" s="104">
        <f t="shared" si="85"/>
        <v>0.15165565919999999</v>
      </c>
      <c r="O1468" s="66"/>
      <c r="Q1468" s="66">
        <f t="shared" si="88"/>
        <v>0.28190195000000001</v>
      </c>
    </row>
    <row r="1469" spans="1:17">
      <c r="A1469" s="102" t="s">
        <v>990</v>
      </c>
      <c r="B1469" s="103" t="s">
        <v>1751</v>
      </c>
      <c r="C1469" s="103" t="s">
        <v>1752</v>
      </c>
      <c r="D1469" s="102" t="s">
        <v>1753</v>
      </c>
      <c r="E1469" s="103" t="s">
        <v>1688</v>
      </c>
      <c r="F1469" s="102" t="s">
        <v>1689</v>
      </c>
      <c r="G1469" s="103" t="s">
        <v>20</v>
      </c>
      <c r="H1469" s="103">
        <v>201609</v>
      </c>
      <c r="I1469" s="104">
        <v>-0.44</v>
      </c>
      <c r="J1469" s="297">
        <f t="shared" si="89"/>
        <v>42675</v>
      </c>
      <c r="K1469" s="67">
        <f t="shared" si="84"/>
        <v>6</v>
      </c>
      <c r="L1469" s="148">
        <v>2.3833299999999999E-3</v>
      </c>
      <c r="M1469" s="104">
        <f t="shared" si="85"/>
        <v>-6.2919912000000003E-3</v>
      </c>
      <c r="O1469" s="66"/>
      <c r="Q1469" s="66">
        <f t="shared" si="88"/>
        <v>-7.279158333333334E-3</v>
      </c>
    </row>
    <row r="1470" spans="1:17">
      <c r="A1470" s="102" t="s">
        <v>990</v>
      </c>
      <c r="B1470" s="103" t="s">
        <v>1754</v>
      </c>
      <c r="C1470" s="103" t="s">
        <v>1755</v>
      </c>
      <c r="D1470" s="102" t="s">
        <v>1756</v>
      </c>
      <c r="E1470" s="103" t="s">
        <v>1688</v>
      </c>
      <c r="F1470" s="102" t="s">
        <v>1689</v>
      </c>
      <c r="G1470" s="103" t="s">
        <v>20</v>
      </c>
      <c r="H1470" s="103">
        <v>201609</v>
      </c>
      <c r="I1470" s="104">
        <v>-2.57</v>
      </c>
      <c r="J1470" s="297">
        <f t="shared" si="89"/>
        <v>42675</v>
      </c>
      <c r="K1470" s="67">
        <f t="shared" si="84"/>
        <v>6</v>
      </c>
      <c r="L1470" s="148">
        <v>2.3833299999999999E-3</v>
      </c>
      <c r="M1470" s="104">
        <f t="shared" si="85"/>
        <v>-3.67509486E-2</v>
      </c>
      <c r="O1470" s="66"/>
      <c r="Q1470" s="66">
        <f t="shared" si="88"/>
        <v>-4.2516902083333336E-2</v>
      </c>
    </row>
    <row r="1471" spans="1:17">
      <c r="A1471" s="102" t="s">
        <v>626</v>
      </c>
      <c r="B1471" s="103" t="s">
        <v>1924</v>
      </c>
      <c r="C1471" s="103" t="s">
        <v>1925</v>
      </c>
      <c r="D1471" s="102" t="s">
        <v>1926</v>
      </c>
      <c r="E1471" s="103" t="s">
        <v>75</v>
      </c>
      <c r="F1471" s="102" t="s">
        <v>1602</v>
      </c>
      <c r="G1471" s="103" t="s">
        <v>20</v>
      </c>
      <c r="H1471" s="103">
        <v>201609</v>
      </c>
      <c r="I1471" s="104">
        <v>-29.49</v>
      </c>
      <c r="J1471" s="297">
        <f t="shared" si="89"/>
        <v>42675</v>
      </c>
      <c r="K1471" s="67">
        <f t="shared" si="84"/>
        <v>6</v>
      </c>
      <c r="L1471" s="155">
        <v>1.4833299999999999E-3</v>
      </c>
      <c r="M1471" s="104">
        <f t="shared" si="85"/>
        <v>-0.26246041019999999</v>
      </c>
      <c r="O1471" s="66"/>
      <c r="Q1471" s="66">
        <f t="shared" si="88"/>
        <v>-0.48786904374999995</v>
      </c>
    </row>
    <row r="1472" spans="1:17">
      <c r="A1472" s="102" t="s">
        <v>626</v>
      </c>
      <c r="B1472" s="103" t="s">
        <v>1927</v>
      </c>
      <c r="C1472" s="103" t="s">
        <v>1928</v>
      </c>
      <c r="D1472" s="102" t="s">
        <v>1929</v>
      </c>
      <c r="E1472" s="103" t="s">
        <v>75</v>
      </c>
      <c r="F1472" s="102" t="s">
        <v>1602</v>
      </c>
      <c r="G1472" s="103" t="s">
        <v>20</v>
      </c>
      <c r="H1472" s="103">
        <v>201609</v>
      </c>
      <c r="I1472" s="104">
        <v>-31.38</v>
      </c>
      <c r="J1472" s="297">
        <f t="shared" si="89"/>
        <v>42675</v>
      </c>
      <c r="K1472" s="67">
        <f t="shared" si="84"/>
        <v>6</v>
      </c>
      <c r="L1472" s="155">
        <v>1.4833299999999999E-3</v>
      </c>
      <c r="M1472" s="104">
        <f t="shared" si="85"/>
        <v>-0.27928137240000001</v>
      </c>
      <c r="O1472" s="66"/>
      <c r="Q1472" s="66">
        <f t="shared" si="88"/>
        <v>-0.51913633749999999</v>
      </c>
    </row>
    <row r="1473" spans="1:17">
      <c r="A1473" s="102" t="s">
        <v>21</v>
      </c>
      <c r="B1473" s="103" t="s">
        <v>1820</v>
      </c>
      <c r="C1473" s="103" t="s">
        <v>1821</v>
      </c>
      <c r="D1473" s="102" t="s">
        <v>1822</v>
      </c>
      <c r="E1473" s="103" t="s">
        <v>87</v>
      </c>
      <c r="F1473" s="102" t="s">
        <v>1603</v>
      </c>
      <c r="G1473" s="103" t="s">
        <v>20</v>
      </c>
      <c r="H1473" s="103">
        <v>201609</v>
      </c>
      <c r="I1473" s="104">
        <v>-63.5</v>
      </c>
      <c r="J1473" s="297">
        <f t="shared" si="89"/>
        <v>42675</v>
      </c>
      <c r="K1473" s="67">
        <f t="shared" si="84"/>
        <v>6</v>
      </c>
      <c r="L1473" s="155">
        <v>1.4833299999999999E-3</v>
      </c>
      <c r="M1473" s="104">
        <f t="shared" si="85"/>
        <v>-0.56514872999999999</v>
      </c>
      <c r="O1473" s="66"/>
      <c r="Q1473" s="66">
        <f t="shared" si="88"/>
        <v>-1.0505148958333332</v>
      </c>
    </row>
    <row r="1474" spans="1:17">
      <c r="A1474" s="102" t="s">
        <v>626</v>
      </c>
      <c r="B1474" s="103" t="s">
        <v>1699</v>
      </c>
      <c r="C1474" s="103" t="s">
        <v>1700</v>
      </c>
      <c r="D1474" s="102" t="s">
        <v>1701</v>
      </c>
      <c r="E1474" s="103" t="s">
        <v>544</v>
      </c>
      <c r="F1474" s="102" t="s">
        <v>26</v>
      </c>
      <c r="G1474" s="103" t="s">
        <v>20</v>
      </c>
      <c r="H1474" s="103">
        <v>201609</v>
      </c>
      <c r="I1474" s="104">
        <v>-1.88</v>
      </c>
      <c r="J1474" s="297">
        <f t="shared" si="89"/>
        <v>42675</v>
      </c>
      <c r="K1474" s="67">
        <f t="shared" si="84"/>
        <v>6</v>
      </c>
      <c r="L1474" s="155">
        <v>1.4833299999999999E-3</v>
      </c>
      <c r="M1474" s="104">
        <f t="shared" si="85"/>
        <v>-1.6731962399999998E-2</v>
      </c>
      <c r="O1474" s="66"/>
      <c r="Q1474" s="66">
        <f t="shared" si="88"/>
        <v>-3.1101858333333333E-2</v>
      </c>
    </row>
    <row r="1475" spans="1:17">
      <c r="A1475" s="102" t="s">
        <v>127</v>
      </c>
      <c r="B1475" s="103" t="s">
        <v>1964</v>
      </c>
      <c r="C1475" s="103" t="s">
        <v>1965</v>
      </c>
      <c r="D1475" s="102" t="s">
        <v>1966</v>
      </c>
      <c r="E1475" s="103" t="s">
        <v>87</v>
      </c>
      <c r="F1475" s="102" t="s">
        <v>1603</v>
      </c>
      <c r="G1475" s="103" t="s">
        <v>20</v>
      </c>
      <c r="H1475" s="103">
        <v>201609</v>
      </c>
      <c r="I1475" s="104">
        <v>-16.48</v>
      </c>
      <c r="J1475" s="297">
        <f t="shared" si="89"/>
        <v>42675</v>
      </c>
      <c r="K1475" s="67">
        <f t="shared" si="84"/>
        <v>6</v>
      </c>
      <c r="L1475" s="148">
        <v>2.3833299999999999E-3</v>
      </c>
      <c r="M1475" s="104">
        <f t="shared" si="85"/>
        <v>-0.23566367040000002</v>
      </c>
      <c r="O1475" s="66"/>
      <c r="Q1475" s="66">
        <f t="shared" si="88"/>
        <v>-0.27263756666666672</v>
      </c>
    </row>
    <row r="1476" spans="1:17">
      <c r="A1476" s="102" t="s">
        <v>626</v>
      </c>
      <c r="B1476" s="103" t="s">
        <v>1930</v>
      </c>
      <c r="C1476" s="103" t="s">
        <v>1931</v>
      </c>
      <c r="D1476" s="102" t="s">
        <v>1932</v>
      </c>
      <c r="E1476" s="103" t="s">
        <v>75</v>
      </c>
      <c r="F1476" s="102" t="s">
        <v>1602</v>
      </c>
      <c r="G1476" s="103" t="s">
        <v>20</v>
      </c>
      <c r="H1476" s="103">
        <v>201609</v>
      </c>
      <c r="I1476" s="104">
        <v>-58.44</v>
      </c>
      <c r="J1476" s="297">
        <f t="shared" si="89"/>
        <v>42675</v>
      </c>
      <c r="K1476" s="67">
        <f t="shared" si="84"/>
        <v>6</v>
      </c>
      <c r="L1476" s="155">
        <v>1.4833299999999999E-3</v>
      </c>
      <c r="M1476" s="104">
        <f t="shared" si="85"/>
        <v>-0.52011483120000002</v>
      </c>
      <c r="O1476" s="66"/>
      <c r="Q1476" s="66">
        <f t="shared" si="88"/>
        <v>-0.96680457499999994</v>
      </c>
    </row>
    <row r="1477" spans="1:17">
      <c r="A1477" s="102" t="s">
        <v>21</v>
      </c>
      <c r="B1477" s="103" t="s">
        <v>1782</v>
      </c>
      <c r="C1477" s="103" t="s">
        <v>1783</v>
      </c>
      <c r="D1477" s="102" t="s">
        <v>1784</v>
      </c>
      <c r="E1477" s="103" t="s">
        <v>87</v>
      </c>
      <c r="F1477" s="102" t="s">
        <v>1603</v>
      </c>
      <c r="G1477" s="103" t="s">
        <v>20</v>
      </c>
      <c r="H1477" s="103">
        <v>201609</v>
      </c>
      <c r="I1477" s="104">
        <v>-36.94</v>
      </c>
      <c r="J1477" s="297">
        <f t="shared" si="89"/>
        <v>42675</v>
      </c>
      <c r="K1477" s="67">
        <f t="shared" si="84"/>
        <v>6</v>
      </c>
      <c r="L1477" s="155">
        <v>1.4833299999999999E-3</v>
      </c>
      <c r="M1477" s="104">
        <f t="shared" si="85"/>
        <v>-0.32876526119999999</v>
      </c>
      <c r="O1477" s="66"/>
      <c r="Q1477" s="66">
        <f t="shared" si="88"/>
        <v>-0.6111184291666667</v>
      </c>
    </row>
    <row r="1478" spans="1:17">
      <c r="A1478" s="102" t="s">
        <v>626</v>
      </c>
      <c r="B1478" s="103" t="s">
        <v>1782</v>
      </c>
      <c r="C1478" s="103" t="s">
        <v>1783</v>
      </c>
      <c r="D1478" s="102" t="s">
        <v>1784</v>
      </c>
      <c r="E1478" s="103" t="s">
        <v>87</v>
      </c>
      <c r="F1478" s="102" t="s">
        <v>1603</v>
      </c>
      <c r="G1478" s="103" t="s">
        <v>20</v>
      </c>
      <c r="H1478" s="103">
        <v>201609</v>
      </c>
      <c r="I1478" s="104">
        <v>-36.69</v>
      </c>
      <c r="J1478" s="297">
        <f t="shared" si="89"/>
        <v>42675</v>
      </c>
      <c r="K1478" s="67">
        <f t="shared" si="84"/>
        <v>6</v>
      </c>
      <c r="L1478" s="155">
        <v>1.4833299999999999E-3</v>
      </c>
      <c r="M1478" s="104">
        <f t="shared" si="85"/>
        <v>-0.32654026619999998</v>
      </c>
      <c r="O1478" s="66"/>
      <c r="Q1478" s="66">
        <f t="shared" ref="Q1478:Q1541" si="90">($Q$4*0.5*I1478*$T$10)</f>
        <v>-0.60698254374999994</v>
      </c>
    </row>
    <row r="1479" spans="1:17">
      <c r="A1479" s="102" t="s">
        <v>626</v>
      </c>
      <c r="B1479" s="103" t="s">
        <v>1933</v>
      </c>
      <c r="C1479" s="103" t="s">
        <v>1934</v>
      </c>
      <c r="D1479" s="102" t="s">
        <v>1935</v>
      </c>
      <c r="E1479" s="103" t="s">
        <v>75</v>
      </c>
      <c r="F1479" s="102" t="s">
        <v>1602</v>
      </c>
      <c r="G1479" s="103" t="s">
        <v>20</v>
      </c>
      <c r="H1479" s="103">
        <v>201609</v>
      </c>
      <c r="I1479" s="104">
        <v>-22.71</v>
      </c>
      <c r="J1479" s="297">
        <f t="shared" ref="J1479:J1542" si="91">+J1478</f>
        <v>42675</v>
      </c>
      <c r="K1479" s="67">
        <f t="shared" si="84"/>
        <v>6</v>
      </c>
      <c r="L1479" s="155">
        <v>1.4833299999999999E-3</v>
      </c>
      <c r="M1479" s="104">
        <f t="shared" si="85"/>
        <v>-0.20211854580000002</v>
      </c>
      <c r="O1479" s="66"/>
      <c r="Q1479" s="66">
        <f t="shared" si="90"/>
        <v>-0.37570383125000001</v>
      </c>
    </row>
    <row r="1480" spans="1:17">
      <c r="A1480" s="102" t="s">
        <v>626</v>
      </c>
      <c r="B1480" s="103" t="s">
        <v>2294</v>
      </c>
      <c r="C1480" s="103" t="s">
        <v>2293</v>
      </c>
      <c r="D1480" s="102" t="s">
        <v>2295</v>
      </c>
      <c r="E1480" s="103" t="s">
        <v>75</v>
      </c>
      <c r="F1480" s="102" t="s">
        <v>1602</v>
      </c>
      <c r="G1480" s="103" t="s">
        <v>20</v>
      </c>
      <c r="H1480" s="103">
        <v>201609</v>
      </c>
      <c r="I1480" s="104">
        <v>375259.82</v>
      </c>
      <c r="J1480" s="297">
        <f t="shared" si="91"/>
        <v>42675</v>
      </c>
      <c r="K1480" s="67">
        <f t="shared" si="84"/>
        <v>6</v>
      </c>
      <c r="L1480" s="155">
        <v>1.4833299999999999E-3</v>
      </c>
      <c r="M1480" s="104">
        <f t="shared" si="85"/>
        <v>3339.8048928036001</v>
      </c>
      <c r="O1480" s="66"/>
      <c r="Q1480" s="66">
        <f t="shared" si="90"/>
        <v>6208.126467995834</v>
      </c>
    </row>
    <row r="1481" spans="1:17">
      <c r="A1481" s="102" t="s">
        <v>626</v>
      </c>
      <c r="B1481" s="103" t="s">
        <v>1967</v>
      </c>
      <c r="C1481" s="103" t="s">
        <v>1968</v>
      </c>
      <c r="D1481" s="102" t="s">
        <v>1969</v>
      </c>
      <c r="E1481" s="103" t="s">
        <v>544</v>
      </c>
      <c r="F1481" s="102" t="s">
        <v>26</v>
      </c>
      <c r="G1481" s="103" t="s">
        <v>20</v>
      </c>
      <c r="H1481" s="103">
        <v>201609</v>
      </c>
      <c r="I1481" s="104">
        <v>-178.46</v>
      </c>
      <c r="J1481" s="297">
        <f t="shared" si="91"/>
        <v>42675</v>
      </c>
      <c r="K1481" s="67">
        <f t="shared" si="84"/>
        <v>6</v>
      </c>
      <c r="L1481" s="155">
        <v>1.4833299999999999E-3</v>
      </c>
      <c r="M1481" s="104">
        <f t="shared" si="85"/>
        <v>-1.5882904308000001</v>
      </c>
      <c r="O1481" s="66"/>
      <c r="Q1481" s="66">
        <f t="shared" si="90"/>
        <v>-2.9523604458333335</v>
      </c>
    </row>
    <row r="1482" spans="1:17">
      <c r="A1482" s="102" t="s">
        <v>626</v>
      </c>
      <c r="B1482" s="103" t="s">
        <v>1936</v>
      </c>
      <c r="C1482" s="103" t="s">
        <v>1937</v>
      </c>
      <c r="D1482" s="102" t="s">
        <v>1938</v>
      </c>
      <c r="E1482" s="103" t="s">
        <v>75</v>
      </c>
      <c r="F1482" s="102" t="s">
        <v>1602</v>
      </c>
      <c r="G1482" s="103" t="s">
        <v>20</v>
      </c>
      <c r="H1482" s="103">
        <v>201609</v>
      </c>
      <c r="I1482" s="104">
        <v>-58.5</v>
      </c>
      <c r="J1482" s="297">
        <f t="shared" si="91"/>
        <v>42675</v>
      </c>
      <c r="K1482" s="67">
        <f t="shared" si="84"/>
        <v>6</v>
      </c>
      <c r="L1482" s="155">
        <v>1.4833299999999999E-3</v>
      </c>
      <c r="M1482" s="104">
        <f t="shared" si="85"/>
        <v>-0.52064882999999995</v>
      </c>
      <c r="O1482" s="66"/>
      <c r="Q1482" s="66">
        <f t="shared" si="90"/>
        <v>-0.96779718749999999</v>
      </c>
    </row>
    <row r="1483" spans="1:17">
      <c r="A1483" s="102" t="s">
        <v>626</v>
      </c>
      <c r="B1483" s="103" t="s">
        <v>1970</v>
      </c>
      <c r="C1483" s="103" t="s">
        <v>1971</v>
      </c>
      <c r="D1483" s="102" t="s">
        <v>1972</v>
      </c>
      <c r="E1483" s="103" t="s">
        <v>93</v>
      </c>
      <c r="F1483" s="102" t="s">
        <v>1601</v>
      </c>
      <c r="G1483" s="103" t="s">
        <v>20</v>
      </c>
      <c r="H1483" s="103">
        <v>201609</v>
      </c>
      <c r="I1483" s="104">
        <v>-28024.84</v>
      </c>
      <c r="J1483" s="297">
        <f t="shared" si="91"/>
        <v>42675</v>
      </c>
      <c r="K1483" s="67">
        <f t="shared" si="84"/>
        <v>6</v>
      </c>
      <c r="L1483" s="155">
        <v>1.4833299999999999E-3</v>
      </c>
      <c r="M1483" s="104">
        <f t="shared" si="85"/>
        <v>-249.42051550319999</v>
      </c>
      <c r="O1483" s="66"/>
      <c r="Q1483" s="66">
        <f t="shared" si="90"/>
        <v>-463.63010824166668</v>
      </c>
    </row>
    <row r="1484" spans="1:17">
      <c r="A1484" s="102" t="s">
        <v>21</v>
      </c>
      <c r="B1484" s="103" t="s">
        <v>1970</v>
      </c>
      <c r="C1484" s="103" t="s">
        <v>1971</v>
      </c>
      <c r="D1484" s="102" t="s">
        <v>1972</v>
      </c>
      <c r="E1484" s="103" t="s">
        <v>93</v>
      </c>
      <c r="F1484" s="102" t="s">
        <v>1601</v>
      </c>
      <c r="G1484" s="103" t="s">
        <v>20</v>
      </c>
      <c r="H1484" s="103">
        <v>201609</v>
      </c>
      <c r="I1484" s="104">
        <v>40879.99</v>
      </c>
      <c r="J1484" s="297">
        <f t="shared" si="91"/>
        <v>42675</v>
      </c>
      <c r="K1484" s="67">
        <f t="shared" si="84"/>
        <v>6</v>
      </c>
      <c r="L1484" s="155">
        <v>1.4833299999999999E-3</v>
      </c>
      <c r="M1484" s="104">
        <f t="shared" si="85"/>
        <v>363.83109340019996</v>
      </c>
      <c r="O1484" s="66"/>
      <c r="Q1484" s="66">
        <f t="shared" si="90"/>
        <v>676.29981789791668</v>
      </c>
    </row>
    <row r="1485" spans="1:17">
      <c r="A1485" s="102" t="s">
        <v>21</v>
      </c>
      <c r="B1485" s="103" t="s">
        <v>1939</v>
      </c>
      <c r="C1485" s="103" t="s">
        <v>1940</v>
      </c>
      <c r="D1485" s="102" t="s">
        <v>1941</v>
      </c>
      <c r="E1485" s="103" t="s">
        <v>87</v>
      </c>
      <c r="F1485" s="102" t="s">
        <v>1603</v>
      </c>
      <c r="G1485" s="103" t="s">
        <v>20</v>
      </c>
      <c r="H1485" s="103">
        <v>201609</v>
      </c>
      <c r="I1485" s="104">
        <v>-546.51</v>
      </c>
      <c r="J1485" s="297">
        <f t="shared" si="91"/>
        <v>42675</v>
      </c>
      <c r="K1485" s="67">
        <f t="shared" si="84"/>
        <v>6</v>
      </c>
      <c r="L1485" s="155">
        <v>1.4833299999999999E-3</v>
      </c>
      <c r="M1485" s="104">
        <f t="shared" si="85"/>
        <v>-4.8639280698</v>
      </c>
      <c r="O1485" s="66"/>
      <c r="Q1485" s="66">
        <f t="shared" si="90"/>
        <v>-9.0412109562500014</v>
      </c>
    </row>
    <row r="1486" spans="1:17">
      <c r="A1486" s="102" t="s">
        <v>21</v>
      </c>
      <c r="B1486" s="103" t="s">
        <v>1973</v>
      </c>
      <c r="C1486" s="103" t="s">
        <v>1974</v>
      </c>
      <c r="D1486" s="102" t="s">
        <v>1975</v>
      </c>
      <c r="E1486" s="103" t="s">
        <v>87</v>
      </c>
      <c r="F1486" s="102" t="s">
        <v>1603</v>
      </c>
      <c r="G1486" s="103" t="s">
        <v>20</v>
      </c>
      <c r="H1486" s="103">
        <v>201609</v>
      </c>
      <c r="I1486" s="104">
        <v>-75601.350000000006</v>
      </c>
      <c r="J1486" s="297">
        <f t="shared" si="91"/>
        <v>42675</v>
      </c>
      <c r="K1486" s="67">
        <f t="shared" si="84"/>
        <v>6</v>
      </c>
      <c r="L1486" s="155">
        <v>1.4833299999999999E-3</v>
      </c>
      <c r="M1486" s="104">
        <f t="shared" si="85"/>
        <v>-672.85050297300006</v>
      </c>
      <c r="O1486" s="66"/>
      <c r="Q1486" s="66">
        <f t="shared" si="90"/>
        <v>-1250.7140837812501</v>
      </c>
    </row>
    <row r="1487" spans="1:17">
      <c r="A1487" s="102" t="s">
        <v>626</v>
      </c>
      <c r="B1487" s="103" t="s">
        <v>1973</v>
      </c>
      <c r="C1487" s="103" t="s">
        <v>1974</v>
      </c>
      <c r="D1487" s="102" t="s">
        <v>1975</v>
      </c>
      <c r="E1487" s="103" t="s">
        <v>87</v>
      </c>
      <c r="F1487" s="102" t="s">
        <v>1603</v>
      </c>
      <c r="G1487" s="103" t="s">
        <v>20</v>
      </c>
      <c r="H1487" s="103">
        <v>201609</v>
      </c>
      <c r="I1487" s="104">
        <v>75353.070000000007</v>
      </c>
      <c r="J1487" s="297">
        <f t="shared" si="91"/>
        <v>42675</v>
      </c>
      <c r="K1487" s="67">
        <f t="shared" si="84"/>
        <v>6</v>
      </c>
      <c r="L1487" s="155">
        <v>1.4833299999999999E-3</v>
      </c>
      <c r="M1487" s="104">
        <f t="shared" si="85"/>
        <v>670.6408159386001</v>
      </c>
      <c r="O1487" s="66"/>
      <c r="Q1487" s="66">
        <f t="shared" si="90"/>
        <v>1246.6066532562502</v>
      </c>
    </row>
    <row r="1488" spans="1:17">
      <c r="A1488" s="102" t="s">
        <v>626</v>
      </c>
      <c r="B1488" s="103" t="s">
        <v>1811</v>
      </c>
      <c r="C1488" s="103" t="s">
        <v>1812</v>
      </c>
      <c r="D1488" s="102" t="s">
        <v>1813</v>
      </c>
      <c r="E1488" s="103" t="s">
        <v>25</v>
      </c>
      <c r="F1488" s="102" t="s">
        <v>26</v>
      </c>
      <c r="G1488" s="103" t="s">
        <v>20</v>
      </c>
      <c r="H1488" s="103">
        <v>201609</v>
      </c>
      <c r="I1488" s="104">
        <v>-63.74</v>
      </c>
      <c r="J1488" s="297">
        <f t="shared" si="91"/>
        <v>42675</v>
      </c>
      <c r="K1488" s="67">
        <f t="shared" si="84"/>
        <v>6</v>
      </c>
      <c r="L1488" s="155">
        <v>1.4833299999999999E-3</v>
      </c>
      <c r="M1488" s="104">
        <f t="shared" si="85"/>
        <v>-0.56728472520000006</v>
      </c>
      <c r="O1488" s="66"/>
      <c r="Q1488" s="66">
        <f t="shared" si="90"/>
        <v>-1.0544853458333334</v>
      </c>
    </row>
    <row r="1489" spans="1:17">
      <c r="A1489" s="102" t="s">
        <v>626</v>
      </c>
      <c r="B1489" s="103" t="s">
        <v>2299</v>
      </c>
      <c r="C1489" s="103" t="s">
        <v>2300</v>
      </c>
      <c r="D1489" s="102" t="s">
        <v>2301</v>
      </c>
      <c r="E1489" s="103" t="s">
        <v>260</v>
      </c>
      <c r="F1489" s="102" t="s">
        <v>1608</v>
      </c>
      <c r="G1489" s="103" t="s">
        <v>20</v>
      </c>
      <c r="H1489" s="103">
        <v>201609</v>
      </c>
      <c r="I1489" s="104">
        <v>86024.86</v>
      </c>
      <c r="J1489" s="297">
        <f t="shared" si="91"/>
        <v>42675</v>
      </c>
      <c r="K1489" s="67">
        <f t="shared" si="84"/>
        <v>6</v>
      </c>
      <c r="L1489" s="155">
        <v>1.4833299999999999E-3</v>
      </c>
      <c r="M1489" s="104">
        <f t="shared" si="85"/>
        <v>765.61953350279998</v>
      </c>
      <c r="O1489" s="66"/>
      <c r="Q1489" s="66">
        <f t="shared" si="90"/>
        <v>1423.1558557791668</v>
      </c>
    </row>
    <row r="1490" spans="1:17">
      <c r="A1490" s="102" t="s">
        <v>1942</v>
      </c>
      <c r="B1490" s="160" t="s">
        <v>1681</v>
      </c>
      <c r="C1490" s="103" t="s">
        <v>1682</v>
      </c>
      <c r="D1490" s="102" t="s">
        <v>1683</v>
      </c>
      <c r="E1490" s="103" t="s">
        <v>198</v>
      </c>
      <c r="F1490" s="102" t="s">
        <v>1610</v>
      </c>
      <c r="G1490" s="103" t="s">
        <v>20</v>
      </c>
      <c r="H1490" s="103">
        <v>201609</v>
      </c>
      <c r="I1490" s="104">
        <v>-157.30000000000001</v>
      </c>
      <c r="J1490" s="297">
        <f t="shared" si="91"/>
        <v>42675</v>
      </c>
      <c r="K1490" s="67">
        <f t="shared" si="84"/>
        <v>6</v>
      </c>
      <c r="L1490" s="148">
        <v>2.23333E-3</v>
      </c>
      <c r="M1490" s="104">
        <f t="shared" si="85"/>
        <v>-2.1078168540000002</v>
      </c>
      <c r="O1490" s="66"/>
      <c r="Q1490" s="66">
        <f t="shared" si="90"/>
        <v>-2.6022991041666672</v>
      </c>
    </row>
    <row r="1491" spans="1:17">
      <c r="A1491" s="102" t="s">
        <v>1942</v>
      </c>
      <c r="B1491" s="160" t="s">
        <v>1681</v>
      </c>
      <c r="C1491" s="103" t="s">
        <v>1943</v>
      </c>
      <c r="D1491" s="102" t="s">
        <v>1944</v>
      </c>
      <c r="E1491" s="103" t="s">
        <v>202</v>
      </c>
      <c r="F1491" s="102" t="s">
        <v>1611</v>
      </c>
      <c r="G1491" s="103" t="s">
        <v>20</v>
      </c>
      <c r="H1491" s="103">
        <v>201609</v>
      </c>
      <c r="I1491" s="104">
        <v>-2155</v>
      </c>
      <c r="J1491" s="297">
        <f t="shared" si="91"/>
        <v>42675</v>
      </c>
      <c r="K1491" s="67">
        <f t="shared" si="84"/>
        <v>6</v>
      </c>
      <c r="L1491" s="148">
        <v>2.23333E-3</v>
      </c>
      <c r="M1491" s="104">
        <f t="shared" si="85"/>
        <v>-28.876956899999996</v>
      </c>
      <c r="O1491" s="66"/>
      <c r="Q1491" s="66">
        <f t="shared" si="90"/>
        <v>-35.65133229166667</v>
      </c>
    </row>
    <row r="1492" spans="1:17">
      <c r="A1492" s="102" t="s">
        <v>1942</v>
      </c>
      <c r="B1492" s="160" t="s">
        <v>1681</v>
      </c>
      <c r="C1492" s="103" t="s">
        <v>1976</v>
      </c>
      <c r="D1492" s="102" t="s">
        <v>1977</v>
      </c>
      <c r="E1492" s="103" t="s">
        <v>294</v>
      </c>
      <c r="F1492" s="102" t="s">
        <v>1613</v>
      </c>
      <c r="G1492" s="103" t="s">
        <v>20</v>
      </c>
      <c r="H1492" s="103">
        <v>201609</v>
      </c>
      <c r="I1492" s="104">
        <v>-117.93</v>
      </c>
      <c r="J1492" s="297">
        <f t="shared" si="91"/>
        <v>42675</v>
      </c>
      <c r="K1492" s="67">
        <f t="shared" si="84"/>
        <v>6</v>
      </c>
      <c r="L1492" s="148">
        <v>2.23333E-3</v>
      </c>
      <c r="M1492" s="104">
        <f t="shared" si="85"/>
        <v>-1.5802596413999999</v>
      </c>
      <c r="O1492" s="66"/>
      <c r="Q1492" s="66">
        <f t="shared" si="90"/>
        <v>-1.95097986875</v>
      </c>
    </row>
    <row r="1493" spans="1:17">
      <c r="A1493" s="102" t="s">
        <v>626</v>
      </c>
      <c r="B1493" s="103" t="s">
        <v>2117</v>
      </c>
      <c r="C1493" s="103" t="s">
        <v>2118</v>
      </c>
      <c r="D1493" s="102" t="s">
        <v>2119</v>
      </c>
      <c r="E1493" s="103" t="s">
        <v>75</v>
      </c>
      <c r="F1493" s="102" t="s">
        <v>1602</v>
      </c>
      <c r="G1493" s="103" t="s">
        <v>20</v>
      </c>
      <c r="H1493" s="103">
        <v>201609</v>
      </c>
      <c r="I1493" s="104">
        <v>-307.64</v>
      </c>
      <c r="J1493" s="297">
        <f t="shared" si="91"/>
        <v>42675</v>
      </c>
      <c r="K1493" s="67">
        <f t="shared" si="84"/>
        <v>6</v>
      </c>
      <c r="L1493" s="155">
        <v>1.4833299999999999E-3</v>
      </c>
      <c r="M1493" s="104">
        <f t="shared" si="85"/>
        <v>-2.7379898471999997</v>
      </c>
      <c r="O1493" s="66"/>
      <c r="Q1493" s="66">
        <f t="shared" si="90"/>
        <v>-5.0894551583333332</v>
      </c>
    </row>
    <row r="1494" spans="1:17">
      <c r="A1494" s="102" t="s">
        <v>626</v>
      </c>
      <c r="B1494" s="103" t="s">
        <v>1978</v>
      </c>
      <c r="C1494" s="103" t="s">
        <v>1979</v>
      </c>
      <c r="D1494" s="102" t="s">
        <v>1980</v>
      </c>
      <c r="E1494" s="103" t="s">
        <v>75</v>
      </c>
      <c r="F1494" s="102" t="s">
        <v>1602</v>
      </c>
      <c r="G1494" s="103" t="s">
        <v>20</v>
      </c>
      <c r="H1494" s="103">
        <v>201609</v>
      </c>
      <c r="I1494" s="104">
        <v>6426.1</v>
      </c>
      <c r="J1494" s="297">
        <f t="shared" si="91"/>
        <v>42675</v>
      </c>
      <c r="K1494" s="67">
        <f t="shared" si="84"/>
        <v>6</v>
      </c>
      <c r="L1494" s="155">
        <v>1.4833299999999999E-3</v>
      </c>
      <c r="M1494" s="104">
        <f t="shared" si="85"/>
        <v>57.192161478000003</v>
      </c>
      <c r="O1494" s="66"/>
      <c r="Q1494" s="66">
        <f t="shared" si="90"/>
        <v>106.31045310416667</v>
      </c>
    </row>
    <row r="1495" spans="1:17">
      <c r="A1495" s="102" t="s">
        <v>626</v>
      </c>
      <c r="B1495" s="103" t="s">
        <v>1757</v>
      </c>
      <c r="C1495" s="103" t="s">
        <v>1758</v>
      </c>
      <c r="D1495" s="102" t="s">
        <v>1759</v>
      </c>
      <c r="E1495" s="103" t="s">
        <v>75</v>
      </c>
      <c r="F1495" s="102" t="s">
        <v>1602</v>
      </c>
      <c r="G1495" s="103" t="s">
        <v>20</v>
      </c>
      <c r="H1495" s="103">
        <v>201609</v>
      </c>
      <c r="I1495" s="104">
        <v>-46.74</v>
      </c>
      <c r="J1495" s="297">
        <f t="shared" si="91"/>
        <v>42675</v>
      </c>
      <c r="K1495" s="67">
        <f t="shared" si="84"/>
        <v>6</v>
      </c>
      <c r="L1495" s="155">
        <v>1.4833299999999999E-3</v>
      </c>
      <c r="M1495" s="104">
        <f t="shared" si="85"/>
        <v>-0.4159850652</v>
      </c>
      <c r="O1495" s="66"/>
      <c r="Q1495" s="66">
        <f t="shared" si="90"/>
        <v>-0.77324513750000001</v>
      </c>
    </row>
    <row r="1496" spans="1:17">
      <c r="A1496" s="102" t="s">
        <v>626</v>
      </c>
      <c r="B1496" s="103" t="s">
        <v>1981</v>
      </c>
      <c r="C1496" s="103" t="s">
        <v>1982</v>
      </c>
      <c r="D1496" s="102" t="s">
        <v>1983</v>
      </c>
      <c r="E1496" s="103" t="s">
        <v>75</v>
      </c>
      <c r="F1496" s="102" t="s">
        <v>1602</v>
      </c>
      <c r="G1496" s="103" t="s">
        <v>20</v>
      </c>
      <c r="H1496" s="103">
        <v>201609</v>
      </c>
      <c r="I1496" s="104">
        <v>-945.24</v>
      </c>
      <c r="J1496" s="297">
        <f t="shared" si="91"/>
        <v>42675</v>
      </c>
      <c r="K1496" s="67">
        <f t="shared" si="84"/>
        <v>6</v>
      </c>
      <c r="L1496" s="155">
        <v>1.4833299999999999E-3</v>
      </c>
      <c r="M1496" s="104">
        <f t="shared" si="85"/>
        <v>-8.4126170951999999</v>
      </c>
      <c r="O1496" s="66"/>
      <c r="Q1496" s="66">
        <f t="shared" si="90"/>
        <v>-15.637617325000001</v>
      </c>
    </row>
    <row r="1497" spans="1:17">
      <c r="A1497" s="102" t="s">
        <v>626</v>
      </c>
      <c r="B1497" s="103" t="s">
        <v>2302</v>
      </c>
      <c r="C1497" s="103" t="s">
        <v>2303</v>
      </c>
      <c r="D1497" s="102" t="s">
        <v>2304</v>
      </c>
      <c r="E1497" s="103" t="s">
        <v>75</v>
      </c>
      <c r="F1497" s="102" t="s">
        <v>1602</v>
      </c>
      <c r="G1497" s="103" t="s">
        <v>20</v>
      </c>
      <c r="H1497" s="103">
        <v>201609</v>
      </c>
      <c r="I1497" s="104">
        <v>224267.61</v>
      </c>
      <c r="J1497" s="297">
        <f t="shared" si="91"/>
        <v>42675</v>
      </c>
      <c r="K1497" s="67">
        <f t="shared" si="84"/>
        <v>6</v>
      </c>
      <c r="L1497" s="155">
        <v>1.4833299999999999E-3</v>
      </c>
      <c r="M1497" s="104">
        <f t="shared" si="85"/>
        <v>1995.9772436477999</v>
      </c>
      <c r="O1497" s="66"/>
      <c r="Q1497" s="66">
        <f t="shared" si="90"/>
        <v>3710.1805505187494</v>
      </c>
    </row>
    <row r="1498" spans="1:17">
      <c r="A1498" s="102" t="s">
        <v>626</v>
      </c>
      <c r="B1498" s="103" t="s">
        <v>2252</v>
      </c>
      <c r="C1498" s="103" t="s">
        <v>2253</v>
      </c>
      <c r="D1498" s="102" t="s">
        <v>2254</v>
      </c>
      <c r="E1498" s="103" t="s">
        <v>75</v>
      </c>
      <c r="F1498" s="102" t="s">
        <v>1602</v>
      </c>
      <c r="G1498" s="103" t="s">
        <v>20</v>
      </c>
      <c r="H1498" s="103">
        <v>201609</v>
      </c>
      <c r="I1498" s="104">
        <v>5459.56</v>
      </c>
      <c r="J1498" s="297">
        <f t="shared" si="91"/>
        <v>42675</v>
      </c>
      <c r="K1498" s="67">
        <f t="shared" si="84"/>
        <v>6</v>
      </c>
      <c r="L1498" s="155">
        <v>1.4833299999999999E-3</v>
      </c>
      <c r="M1498" s="104">
        <f t="shared" si="85"/>
        <v>48.589974808800001</v>
      </c>
      <c r="O1498" s="66"/>
      <c r="Q1498" s="66">
        <f t="shared" si="90"/>
        <v>90.320458341666679</v>
      </c>
    </row>
    <row r="1499" spans="1:17">
      <c r="A1499" s="102" t="s">
        <v>626</v>
      </c>
      <c r="B1499" s="103" t="s">
        <v>1984</v>
      </c>
      <c r="C1499" s="103" t="s">
        <v>1985</v>
      </c>
      <c r="D1499" s="102" t="s">
        <v>1986</v>
      </c>
      <c r="E1499" s="103" t="s">
        <v>156</v>
      </c>
      <c r="F1499" s="102" t="s">
        <v>26</v>
      </c>
      <c r="G1499" s="103" t="s">
        <v>20</v>
      </c>
      <c r="H1499" s="103">
        <v>201609</v>
      </c>
      <c r="I1499" s="104">
        <v>54532.43</v>
      </c>
      <c r="J1499" s="297">
        <f t="shared" si="91"/>
        <v>42675</v>
      </c>
      <c r="K1499" s="67">
        <f t="shared" si="84"/>
        <v>6</v>
      </c>
      <c r="L1499" s="155">
        <v>1.4833299999999999E-3</v>
      </c>
      <c r="M1499" s="104">
        <f t="shared" si="85"/>
        <v>485.33753635139999</v>
      </c>
      <c r="O1499" s="66"/>
      <c r="Q1499" s="66">
        <f t="shared" si="90"/>
        <v>902.15952788958339</v>
      </c>
    </row>
    <row r="1500" spans="1:17">
      <c r="A1500" s="102" t="s">
        <v>626</v>
      </c>
      <c r="B1500" s="103" t="s">
        <v>2054</v>
      </c>
      <c r="C1500" s="103" t="s">
        <v>2055</v>
      </c>
      <c r="D1500" s="102" t="s">
        <v>2056</v>
      </c>
      <c r="E1500" s="103" t="s">
        <v>156</v>
      </c>
      <c r="F1500" s="102" t="s">
        <v>26</v>
      </c>
      <c r="G1500" s="103" t="s">
        <v>20</v>
      </c>
      <c r="H1500" s="103">
        <v>201609</v>
      </c>
      <c r="I1500" s="104">
        <v>36894.339999999997</v>
      </c>
      <c r="J1500" s="297">
        <f t="shared" si="91"/>
        <v>42675</v>
      </c>
      <c r="K1500" s="67">
        <f t="shared" si="84"/>
        <v>6</v>
      </c>
      <c r="L1500" s="155">
        <v>1.4833299999999999E-3</v>
      </c>
      <c r="M1500" s="104">
        <f t="shared" si="85"/>
        <v>328.35888811319995</v>
      </c>
      <c r="O1500" s="66"/>
      <c r="Q1500" s="66">
        <f t="shared" si="90"/>
        <v>610.36305105416659</v>
      </c>
    </row>
    <row r="1501" spans="1:17">
      <c r="A1501" s="102" t="s">
        <v>626</v>
      </c>
      <c r="B1501" s="103" t="s">
        <v>1850</v>
      </c>
      <c r="C1501" s="103" t="s">
        <v>1851</v>
      </c>
      <c r="D1501" s="102" t="s">
        <v>1852</v>
      </c>
      <c r="E1501" s="103" t="s">
        <v>260</v>
      </c>
      <c r="F1501" s="102" t="s">
        <v>1608</v>
      </c>
      <c r="G1501" s="103" t="s">
        <v>20</v>
      </c>
      <c r="H1501" s="103">
        <v>201609</v>
      </c>
      <c r="I1501" s="104">
        <v>-1077.3</v>
      </c>
      <c r="J1501" s="297">
        <f t="shared" si="91"/>
        <v>42675</v>
      </c>
      <c r="K1501" s="67">
        <f t="shared" si="84"/>
        <v>6</v>
      </c>
      <c r="L1501" s="155">
        <v>1.4833299999999999E-3</v>
      </c>
      <c r="M1501" s="104">
        <f t="shared" si="85"/>
        <v>-9.5879484539999993</v>
      </c>
      <c r="O1501" s="66"/>
      <c r="Q1501" s="66">
        <f t="shared" si="90"/>
        <v>-17.822357437499999</v>
      </c>
    </row>
    <row r="1502" spans="1:17">
      <c r="A1502" s="102" t="s">
        <v>626</v>
      </c>
      <c r="B1502" s="103" t="s">
        <v>1814</v>
      </c>
      <c r="C1502" s="103" t="s">
        <v>1815</v>
      </c>
      <c r="D1502" s="102" t="s">
        <v>1816</v>
      </c>
      <c r="E1502" s="103" t="s">
        <v>25</v>
      </c>
      <c r="F1502" s="102" t="s">
        <v>26</v>
      </c>
      <c r="G1502" s="103" t="s">
        <v>20</v>
      </c>
      <c r="H1502" s="103">
        <v>201609</v>
      </c>
      <c r="I1502" s="104">
        <v>-65.900000000000006</v>
      </c>
      <c r="J1502" s="297">
        <f t="shared" si="91"/>
        <v>42675</v>
      </c>
      <c r="K1502" s="67">
        <f t="shared" si="84"/>
        <v>6</v>
      </c>
      <c r="L1502" s="155">
        <v>1.4833299999999999E-3</v>
      </c>
      <c r="M1502" s="104">
        <f t="shared" si="85"/>
        <v>-0.58650868200000006</v>
      </c>
      <c r="O1502" s="66"/>
      <c r="Q1502" s="66">
        <f t="shared" si="90"/>
        <v>-1.0902193958333335</v>
      </c>
    </row>
    <row r="1503" spans="1:17">
      <c r="A1503" s="102" t="s">
        <v>626</v>
      </c>
      <c r="B1503" s="103" t="s">
        <v>2057</v>
      </c>
      <c r="C1503" s="103" t="s">
        <v>2058</v>
      </c>
      <c r="D1503" s="102" t="s">
        <v>2059</v>
      </c>
      <c r="E1503" s="103" t="s">
        <v>156</v>
      </c>
      <c r="F1503" s="102" t="s">
        <v>26</v>
      </c>
      <c r="G1503" s="103" t="s">
        <v>20</v>
      </c>
      <c r="H1503" s="103">
        <v>201609</v>
      </c>
      <c r="I1503" s="104">
        <v>19588.47</v>
      </c>
      <c r="J1503" s="297">
        <f t="shared" si="91"/>
        <v>42675</v>
      </c>
      <c r="K1503" s="67">
        <f t="shared" si="84"/>
        <v>6</v>
      </c>
      <c r="L1503" s="155">
        <v>1.4833299999999999E-3</v>
      </c>
      <c r="M1503" s="104">
        <f t="shared" si="85"/>
        <v>174.33699123060001</v>
      </c>
      <c r="O1503" s="66"/>
      <c r="Q1503" s="66">
        <f t="shared" si="90"/>
        <v>324.06266963125006</v>
      </c>
    </row>
    <row r="1504" spans="1:17">
      <c r="A1504" s="102" t="s">
        <v>626</v>
      </c>
      <c r="B1504" s="103" t="s">
        <v>2060</v>
      </c>
      <c r="C1504" s="103" t="s">
        <v>2061</v>
      </c>
      <c r="D1504" s="102" t="s">
        <v>2062</v>
      </c>
      <c r="E1504" s="103" t="s">
        <v>156</v>
      </c>
      <c r="F1504" s="102" t="s">
        <v>26</v>
      </c>
      <c r="G1504" s="103" t="s">
        <v>20</v>
      </c>
      <c r="H1504" s="103">
        <v>201609</v>
      </c>
      <c r="I1504" s="104">
        <v>31637.13</v>
      </c>
      <c r="J1504" s="297">
        <f t="shared" si="91"/>
        <v>42675</v>
      </c>
      <c r="K1504" s="67">
        <f t="shared" si="84"/>
        <v>6</v>
      </c>
      <c r="L1504" s="155">
        <v>1.4833299999999999E-3</v>
      </c>
      <c r="M1504" s="104">
        <f t="shared" si="85"/>
        <v>281.5698242574</v>
      </c>
      <c r="O1504" s="66"/>
      <c r="Q1504" s="66">
        <f t="shared" si="90"/>
        <v>523.39017836874996</v>
      </c>
    </row>
    <row r="1505" spans="1:17">
      <c r="A1505" s="102" t="s">
        <v>626</v>
      </c>
      <c r="B1505" s="103" t="s">
        <v>1760</v>
      </c>
      <c r="C1505" s="103" t="s">
        <v>1761</v>
      </c>
      <c r="D1505" s="102" t="s">
        <v>1388</v>
      </c>
      <c r="E1505" s="103" t="s">
        <v>164</v>
      </c>
      <c r="F1505" s="102" t="s">
        <v>1600</v>
      </c>
      <c r="G1505" s="103" t="s">
        <v>20</v>
      </c>
      <c r="H1505" s="103">
        <v>201609</v>
      </c>
      <c r="I1505" s="104">
        <v>-55.14</v>
      </c>
      <c r="J1505" s="297">
        <f t="shared" si="91"/>
        <v>42675</v>
      </c>
      <c r="K1505" s="67">
        <f t="shared" si="84"/>
        <v>6</v>
      </c>
      <c r="L1505" s="155">
        <v>1.4833299999999999E-3</v>
      </c>
      <c r="M1505" s="104">
        <f t="shared" si="85"/>
        <v>-0.49074489720000003</v>
      </c>
      <c r="O1505" s="66"/>
      <c r="Q1505" s="66">
        <f t="shared" si="90"/>
        <v>-0.91221088750000001</v>
      </c>
    </row>
    <row r="1506" spans="1:17">
      <c r="A1506" s="102" t="s">
        <v>21</v>
      </c>
      <c r="B1506" s="103" t="s">
        <v>1760</v>
      </c>
      <c r="C1506" s="103" t="s">
        <v>1761</v>
      </c>
      <c r="D1506" s="102" t="s">
        <v>1388</v>
      </c>
      <c r="E1506" s="103" t="s">
        <v>164</v>
      </c>
      <c r="F1506" s="102" t="s">
        <v>1600</v>
      </c>
      <c r="G1506" s="103" t="s">
        <v>20</v>
      </c>
      <c r="H1506" s="103">
        <v>201609</v>
      </c>
      <c r="I1506" s="104">
        <v>-1.28</v>
      </c>
      <c r="J1506" s="297">
        <f t="shared" si="91"/>
        <v>42675</v>
      </c>
      <c r="K1506" s="67">
        <f t="shared" si="84"/>
        <v>6</v>
      </c>
      <c r="L1506" s="155">
        <v>1.4833299999999999E-3</v>
      </c>
      <c r="M1506" s="104">
        <f t="shared" si="85"/>
        <v>-1.1391974400000001E-2</v>
      </c>
      <c r="O1506" s="66"/>
      <c r="Q1506" s="66">
        <f t="shared" si="90"/>
        <v>-2.1175733333333335E-2</v>
      </c>
    </row>
    <row r="1507" spans="1:17">
      <c r="A1507" s="102" t="s">
        <v>626</v>
      </c>
      <c r="B1507" s="103" t="s">
        <v>1987</v>
      </c>
      <c r="C1507" s="103" t="s">
        <v>1988</v>
      </c>
      <c r="D1507" s="102" t="s">
        <v>1338</v>
      </c>
      <c r="E1507" s="103" t="s">
        <v>75</v>
      </c>
      <c r="F1507" s="102" t="s">
        <v>1602</v>
      </c>
      <c r="G1507" s="103" t="s">
        <v>20</v>
      </c>
      <c r="H1507" s="103">
        <v>201609</v>
      </c>
      <c r="I1507" s="104">
        <v>-284.62</v>
      </c>
      <c r="J1507" s="297">
        <f t="shared" si="91"/>
        <v>42675</v>
      </c>
      <c r="K1507" s="67">
        <f t="shared" si="84"/>
        <v>6</v>
      </c>
      <c r="L1507" s="155">
        <v>1.4833299999999999E-3</v>
      </c>
      <c r="M1507" s="104">
        <f t="shared" si="85"/>
        <v>-2.5331123076000002</v>
      </c>
      <c r="O1507" s="66"/>
      <c r="Q1507" s="66">
        <f t="shared" si="90"/>
        <v>-4.708622829166667</v>
      </c>
    </row>
    <row r="1508" spans="1:17">
      <c r="A1508" s="334" t="s">
        <v>133</v>
      </c>
      <c r="B1508" s="336" t="s">
        <v>1817</v>
      </c>
      <c r="C1508" s="336" t="s">
        <v>1818</v>
      </c>
      <c r="D1508" s="334" t="s">
        <v>1819</v>
      </c>
      <c r="E1508" s="336" t="s">
        <v>75</v>
      </c>
      <c r="F1508" s="334" t="s">
        <v>1602</v>
      </c>
      <c r="G1508" s="336" t="s">
        <v>20</v>
      </c>
      <c r="H1508" s="336">
        <v>201609</v>
      </c>
      <c r="I1508" s="349">
        <v>0</v>
      </c>
      <c r="J1508" s="297">
        <f t="shared" si="91"/>
        <v>42675</v>
      </c>
      <c r="K1508" s="348">
        <f t="shared" si="84"/>
        <v>6</v>
      </c>
      <c r="L1508" s="345">
        <v>1.4833299999999999E-3</v>
      </c>
      <c r="M1508" s="349">
        <f t="shared" si="85"/>
        <v>0</v>
      </c>
      <c r="N1508" s="350"/>
      <c r="O1508" s="351"/>
      <c r="P1508" s="350"/>
      <c r="Q1508" s="66">
        <f t="shared" si="90"/>
        <v>0</v>
      </c>
    </row>
    <row r="1509" spans="1:17">
      <c r="A1509" s="102" t="s">
        <v>626</v>
      </c>
      <c r="B1509" s="103" t="s">
        <v>1989</v>
      </c>
      <c r="C1509" s="103" t="s">
        <v>1990</v>
      </c>
      <c r="D1509" s="102" t="s">
        <v>1495</v>
      </c>
      <c r="E1509" s="103" t="s">
        <v>75</v>
      </c>
      <c r="F1509" s="102" t="s">
        <v>1602</v>
      </c>
      <c r="G1509" s="103" t="s">
        <v>20</v>
      </c>
      <c r="H1509" s="103">
        <v>201609</v>
      </c>
      <c r="I1509" s="104">
        <v>-462.96</v>
      </c>
      <c r="J1509" s="297">
        <f t="shared" si="91"/>
        <v>42675</v>
      </c>
      <c r="K1509" s="67">
        <f t="shared" si="84"/>
        <v>6</v>
      </c>
      <c r="L1509" s="155">
        <v>1.4833299999999999E-3</v>
      </c>
      <c r="M1509" s="104">
        <f t="shared" si="85"/>
        <v>-4.1203347407999997</v>
      </c>
      <c r="O1509" s="66"/>
      <c r="Q1509" s="66">
        <f t="shared" si="90"/>
        <v>-7.6589980500000001</v>
      </c>
    </row>
    <row r="1510" spans="1:17">
      <c r="A1510" s="102" t="s">
        <v>626</v>
      </c>
      <c r="B1510" s="103" t="s">
        <v>1764</v>
      </c>
      <c r="C1510" s="103" t="s">
        <v>1765</v>
      </c>
      <c r="D1510" s="102" t="s">
        <v>1766</v>
      </c>
      <c r="E1510" s="103" t="s">
        <v>156</v>
      </c>
      <c r="F1510" s="102" t="s">
        <v>26</v>
      </c>
      <c r="G1510" s="103" t="s">
        <v>20</v>
      </c>
      <c r="H1510" s="103">
        <v>201609</v>
      </c>
      <c r="I1510" s="104">
        <v>-135.44</v>
      </c>
      <c r="J1510" s="297">
        <f t="shared" si="91"/>
        <v>42675</v>
      </c>
      <c r="K1510" s="67">
        <f t="shared" si="84"/>
        <v>6</v>
      </c>
      <c r="L1510" s="155">
        <v>1.4833299999999999E-3</v>
      </c>
      <c r="M1510" s="104">
        <f t="shared" si="85"/>
        <v>-1.2054132912</v>
      </c>
      <c r="O1510" s="66"/>
      <c r="Q1510" s="66">
        <f t="shared" si="90"/>
        <v>-2.2406572833333334</v>
      </c>
    </row>
    <row r="1511" spans="1:17">
      <c r="A1511" s="102" t="s">
        <v>626</v>
      </c>
      <c r="B1511" s="103" t="s">
        <v>2251</v>
      </c>
      <c r="C1511" s="103" t="s">
        <v>2250</v>
      </c>
      <c r="D1511" s="102" t="s">
        <v>1759</v>
      </c>
      <c r="E1511" s="103" t="s">
        <v>75</v>
      </c>
      <c r="F1511" s="102" t="s">
        <v>1602</v>
      </c>
      <c r="G1511" s="103" t="s">
        <v>20</v>
      </c>
      <c r="H1511" s="103">
        <v>201609</v>
      </c>
      <c r="I1511" s="104">
        <v>-226.91</v>
      </c>
      <c r="J1511" s="297">
        <f t="shared" si="91"/>
        <v>42675</v>
      </c>
      <c r="K1511" s="67">
        <f t="shared" si="84"/>
        <v>6</v>
      </c>
      <c r="L1511" s="155">
        <v>1.4833299999999999E-3</v>
      </c>
      <c r="M1511" s="104">
        <f t="shared" si="85"/>
        <v>-2.0194944617999999</v>
      </c>
      <c r="O1511" s="66"/>
      <c r="Q1511" s="66">
        <f t="shared" si="90"/>
        <v>-3.7538950395833335</v>
      </c>
    </row>
    <row r="1512" spans="1:17">
      <c r="A1512" s="102" t="s">
        <v>626</v>
      </c>
      <c r="B1512" s="103" t="s">
        <v>1945</v>
      </c>
      <c r="C1512" s="103" t="s">
        <v>1946</v>
      </c>
      <c r="D1512" s="102" t="s">
        <v>1947</v>
      </c>
      <c r="E1512" s="103" t="s">
        <v>93</v>
      </c>
      <c r="F1512" s="102" t="s">
        <v>1601</v>
      </c>
      <c r="G1512" s="103" t="s">
        <v>20</v>
      </c>
      <c r="H1512" s="103">
        <v>201609</v>
      </c>
      <c r="I1512" s="104">
        <v>-826.73</v>
      </c>
      <c r="J1512" s="297">
        <f t="shared" si="91"/>
        <v>42675</v>
      </c>
      <c r="K1512" s="67">
        <f t="shared" si="84"/>
        <v>6</v>
      </c>
      <c r="L1512" s="155">
        <v>1.4833299999999999E-3</v>
      </c>
      <c r="M1512" s="104">
        <f t="shared" si="85"/>
        <v>-7.3578804654000001</v>
      </c>
      <c r="O1512" s="66"/>
      <c r="Q1512" s="66">
        <f t="shared" si="90"/>
        <v>-13.677042202083335</v>
      </c>
    </row>
    <row r="1513" spans="1:17">
      <c r="A1513" s="102" t="s">
        <v>626</v>
      </c>
      <c r="B1513" s="103" t="s">
        <v>1991</v>
      </c>
      <c r="C1513" s="103" t="s">
        <v>1992</v>
      </c>
      <c r="D1513" s="102" t="s">
        <v>1993</v>
      </c>
      <c r="E1513" s="103" t="s">
        <v>497</v>
      </c>
      <c r="F1513" s="102" t="s">
        <v>26</v>
      </c>
      <c r="G1513" s="103" t="s">
        <v>20</v>
      </c>
      <c r="H1513" s="103">
        <v>201609</v>
      </c>
      <c r="I1513" s="104">
        <v>-263.05</v>
      </c>
      <c r="J1513" s="297">
        <f t="shared" si="91"/>
        <v>42675</v>
      </c>
      <c r="K1513" s="67">
        <f t="shared" si="84"/>
        <v>6</v>
      </c>
      <c r="L1513" s="155">
        <v>1.4833299999999999E-3</v>
      </c>
      <c r="M1513" s="104">
        <f t="shared" si="85"/>
        <v>-2.3411397389999999</v>
      </c>
      <c r="O1513" s="66"/>
      <c r="Q1513" s="66">
        <f t="shared" si="90"/>
        <v>-4.3517786354166672</v>
      </c>
    </row>
    <row r="1514" spans="1:17">
      <c r="A1514" s="102" t="s">
        <v>127</v>
      </c>
      <c r="B1514" s="103" t="s">
        <v>1994</v>
      </c>
      <c r="C1514" s="103" t="s">
        <v>1995</v>
      </c>
      <c r="D1514" s="102" t="s">
        <v>1996</v>
      </c>
      <c r="E1514" s="103" t="s">
        <v>87</v>
      </c>
      <c r="F1514" s="102" t="s">
        <v>1603</v>
      </c>
      <c r="G1514" s="103" t="s">
        <v>20</v>
      </c>
      <c r="H1514" s="103">
        <v>201609</v>
      </c>
      <c r="I1514" s="104">
        <v>-235.91</v>
      </c>
      <c r="J1514" s="297">
        <f t="shared" si="91"/>
        <v>42675</v>
      </c>
      <c r="K1514" s="67">
        <f t="shared" si="84"/>
        <v>6</v>
      </c>
      <c r="L1514" s="148">
        <v>2.3833299999999999E-3</v>
      </c>
      <c r="M1514" s="104">
        <f t="shared" si="85"/>
        <v>-3.3735082818</v>
      </c>
      <c r="O1514" s="66"/>
      <c r="Q1514" s="66">
        <f t="shared" si="90"/>
        <v>-3.9027869145833334</v>
      </c>
    </row>
    <row r="1515" spans="1:17">
      <c r="A1515" s="102" t="s">
        <v>990</v>
      </c>
      <c r="B1515" s="160" t="s">
        <v>1681</v>
      </c>
      <c r="C1515" s="103" t="s">
        <v>2063</v>
      </c>
      <c r="D1515" s="102" t="s">
        <v>2064</v>
      </c>
      <c r="E1515" s="103" t="s">
        <v>1688</v>
      </c>
      <c r="F1515" s="102" t="s">
        <v>1689</v>
      </c>
      <c r="G1515" s="103" t="s">
        <v>20</v>
      </c>
      <c r="H1515" s="103">
        <v>201609</v>
      </c>
      <c r="I1515" s="104">
        <v>-6.91</v>
      </c>
      <c r="J1515" s="297">
        <f t="shared" si="91"/>
        <v>42675</v>
      </c>
      <c r="K1515" s="67">
        <f t="shared" si="84"/>
        <v>6</v>
      </c>
      <c r="L1515" s="148">
        <v>2.3833299999999999E-3</v>
      </c>
      <c r="M1515" s="104">
        <f t="shared" si="85"/>
        <v>-9.8812861799999999E-2</v>
      </c>
      <c r="O1515" s="66"/>
      <c r="Q1515" s="66">
        <f t="shared" si="90"/>
        <v>-0.11431587291666667</v>
      </c>
    </row>
    <row r="1516" spans="1:17">
      <c r="A1516" s="334" t="s">
        <v>133</v>
      </c>
      <c r="B1516" s="335" t="s">
        <v>1681</v>
      </c>
      <c r="C1516" s="336" t="s">
        <v>2305</v>
      </c>
      <c r="D1516" s="334" t="s">
        <v>2306</v>
      </c>
      <c r="E1516" s="336" t="s">
        <v>2307</v>
      </c>
      <c r="F1516" s="334" t="s">
        <v>2308</v>
      </c>
      <c r="G1516" s="336" t="s">
        <v>20</v>
      </c>
      <c r="H1516" s="336">
        <v>201609</v>
      </c>
      <c r="I1516" s="349">
        <v>0</v>
      </c>
      <c r="J1516" s="297">
        <f t="shared" si="91"/>
        <v>42675</v>
      </c>
      <c r="K1516" s="348">
        <f t="shared" si="84"/>
        <v>6</v>
      </c>
      <c r="L1516" s="345">
        <v>1.4833299999999999E-3</v>
      </c>
      <c r="M1516" s="349">
        <f t="shared" si="85"/>
        <v>0</v>
      </c>
      <c r="N1516" s="350"/>
      <c r="O1516" s="351"/>
      <c r="P1516" s="350"/>
      <c r="Q1516" s="66">
        <f t="shared" si="90"/>
        <v>0</v>
      </c>
    </row>
    <row r="1517" spans="1:17">
      <c r="A1517" s="102" t="s">
        <v>990</v>
      </c>
      <c r="B1517" s="160" t="s">
        <v>1681</v>
      </c>
      <c r="C1517" s="103" t="s">
        <v>2309</v>
      </c>
      <c r="D1517" s="102" t="s">
        <v>2310</v>
      </c>
      <c r="E1517" s="103" t="s">
        <v>1688</v>
      </c>
      <c r="F1517" s="102" t="s">
        <v>1689</v>
      </c>
      <c r="G1517" s="103" t="s">
        <v>20</v>
      </c>
      <c r="H1517" s="103">
        <v>201609</v>
      </c>
      <c r="I1517" s="104">
        <v>3120.2</v>
      </c>
      <c r="J1517" s="297">
        <f t="shared" si="91"/>
        <v>42675</v>
      </c>
      <c r="K1517" s="67">
        <f t="shared" si="84"/>
        <v>6</v>
      </c>
      <c r="L1517" s="148">
        <v>2.3833299999999999E-3</v>
      </c>
      <c r="M1517" s="104">
        <f t="shared" si="85"/>
        <v>44.618797596</v>
      </c>
      <c r="O1517" s="66"/>
      <c r="Q1517" s="66">
        <f t="shared" si="90"/>
        <v>51.61915870833333</v>
      </c>
    </row>
    <row r="1518" spans="1:17">
      <c r="A1518" s="102" t="s">
        <v>626</v>
      </c>
      <c r="B1518" s="160" t="s">
        <v>1681</v>
      </c>
      <c r="C1518" s="103" t="s">
        <v>2255</v>
      </c>
      <c r="D1518" s="102" t="s">
        <v>2256</v>
      </c>
      <c r="E1518" s="103" t="s">
        <v>209</v>
      </c>
      <c r="F1518" s="102" t="s">
        <v>1612</v>
      </c>
      <c r="G1518" s="103" t="s">
        <v>20</v>
      </c>
      <c r="H1518" s="103">
        <v>201609</v>
      </c>
      <c r="I1518" s="104">
        <v>-405.43</v>
      </c>
      <c r="J1518" s="297">
        <f t="shared" si="91"/>
        <v>42675</v>
      </c>
      <c r="K1518" s="67">
        <f t="shared" si="84"/>
        <v>6</v>
      </c>
      <c r="L1518" s="155">
        <v>1.4833299999999999E-3</v>
      </c>
      <c r="M1518" s="104">
        <f t="shared" si="85"/>
        <v>-3.6083188914000002</v>
      </c>
      <c r="O1518" s="66"/>
      <c r="Q1518" s="66">
        <f t="shared" si="90"/>
        <v>-6.7072480979166675</v>
      </c>
    </row>
    <row r="1519" spans="1:17">
      <c r="A1519" s="102" t="s">
        <v>14</v>
      </c>
      <c r="B1519" s="160" t="s">
        <v>1681</v>
      </c>
      <c r="C1519" s="103" t="s">
        <v>2255</v>
      </c>
      <c r="D1519" s="102" t="s">
        <v>2256</v>
      </c>
      <c r="E1519" s="103" t="s">
        <v>209</v>
      </c>
      <c r="F1519" s="102" t="s">
        <v>1612</v>
      </c>
      <c r="G1519" s="103" t="s">
        <v>20</v>
      </c>
      <c r="H1519" s="103">
        <v>201609</v>
      </c>
      <c r="I1519" s="104">
        <v>-13.81</v>
      </c>
      <c r="J1519" s="297">
        <f t="shared" si="91"/>
        <v>42675</v>
      </c>
      <c r="K1519" s="67">
        <f t="shared" si="84"/>
        <v>6</v>
      </c>
      <c r="L1519" s="148">
        <v>2.23333E-3</v>
      </c>
      <c r="M1519" s="104">
        <f t="shared" si="85"/>
        <v>-0.18505372379999999</v>
      </c>
      <c r="O1519" s="66"/>
      <c r="Q1519" s="66">
        <f t="shared" si="90"/>
        <v>-0.22846631041666668</v>
      </c>
    </row>
    <row r="1520" spans="1:17">
      <c r="A1520" s="102" t="s">
        <v>626</v>
      </c>
      <c r="B1520" s="160" t="s">
        <v>1681</v>
      </c>
      <c r="C1520" s="103" t="s">
        <v>1997</v>
      </c>
      <c r="D1520" s="102" t="s">
        <v>1998</v>
      </c>
      <c r="E1520" s="103" t="s">
        <v>164</v>
      </c>
      <c r="F1520" s="102" t="s">
        <v>1600</v>
      </c>
      <c r="G1520" s="103" t="s">
        <v>20</v>
      </c>
      <c r="H1520" s="103">
        <v>201609</v>
      </c>
      <c r="I1520" s="104">
        <v>-426.54</v>
      </c>
      <c r="J1520" s="297">
        <f t="shared" si="91"/>
        <v>42675</v>
      </c>
      <c r="K1520" s="67">
        <f t="shared" si="84"/>
        <v>6</v>
      </c>
      <c r="L1520" s="155">
        <v>1.4833299999999999E-3</v>
      </c>
      <c r="M1520" s="104">
        <f t="shared" si="85"/>
        <v>-3.7961974692</v>
      </c>
      <c r="O1520" s="66"/>
      <c r="Q1520" s="66">
        <f t="shared" si="90"/>
        <v>-7.0564822625000003</v>
      </c>
    </row>
    <row r="1521" spans="1:17">
      <c r="A1521" s="102" t="s">
        <v>1942</v>
      </c>
      <c r="B1521" s="160" t="s">
        <v>1681</v>
      </c>
      <c r="C1521" s="103" t="s">
        <v>1997</v>
      </c>
      <c r="D1521" s="102" t="s">
        <v>1998</v>
      </c>
      <c r="E1521" s="103" t="s">
        <v>164</v>
      </c>
      <c r="F1521" s="102" t="s">
        <v>1600</v>
      </c>
      <c r="G1521" s="103" t="s">
        <v>20</v>
      </c>
      <c r="H1521" s="103">
        <v>201609</v>
      </c>
      <c r="I1521" s="104">
        <v>-0.97</v>
      </c>
      <c r="J1521" s="297">
        <f t="shared" si="91"/>
        <v>42675</v>
      </c>
      <c r="K1521" s="67">
        <f t="shared" si="84"/>
        <v>6</v>
      </c>
      <c r="L1521" s="148">
        <v>2.23333E-3</v>
      </c>
      <c r="M1521" s="104">
        <f t="shared" si="85"/>
        <v>-1.2997980599999999E-2</v>
      </c>
      <c r="O1521" s="66"/>
      <c r="Q1521" s="66">
        <f t="shared" si="90"/>
        <v>-1.6047235416666666E-2</v>
      </c>
    </row>
    <row r="1522" spans="1:17">
      <c r="A1522" s="102" t="s">
        <v>626</v>
      </c>
      <c r="B1522" s="160" t="s">
        <v>1681</v>
      </c>
      <c r="C1522" s="103" t="s">
        <v>2257</v>
      </c>
      <c r="D1522" s="102" t="s">
        <v>2258</v>
      </c>
      <c r="E1522" s="103" t="s">
        <v>93</v>
      </c>
      <c r="F1522" s="102" t="s">
        <v>1601</v>
      </c>
      <c r="G1522" s="103" t="s">
        <v>20</v>
      </c>
      <c r="H1522" s="103">
        <v>201609</v>
      </c>
      <c r="I1522" s="104">
        <v>-471.14</v>
      </c>
      <c r="J1522" s="297">
        <f t="shared" si="91"/>
        <v>42675</v>
      </c>
      <c r="K1522" s="67">
        <f t="shared" si="84"/>
        <v>6</v>
      </c>
      <c r="L1522" s="155">
        <v>1.4833299999999999E-3</v>
      </c>
      <c r="M1522" s="104">
        <f t="shared" si="85"/>
        <v>-4.1931365771999998</v>
      </c>
      <c r="O1522" s="66"/>
      <c r="Q1522" s="66">
        <f t="shared" si="90"/>
        <v>-7.7943242208333343</v>
      </c>
    </row>
    <row r="1523" spans="1:17">
      <c r="A1523" s="102" t="s">
        <v>21</v>
      </c>
      <c r="B1523" s="160" t="s">
        <v>1681</v>
      </c>
      <c r="C1523" s="103" t="s">
        <v>2257</v>
      </c>
      <c r="D1523" s="102" t="s">
        <v>2258</v>
      </c>
      <c r="E1523" s="103" t="s">
        <v>93</v>
      </c>
      <c r="F1523" s="102" t="s">
        <v>1601</v>
      </c>
      <c r="G1523" s="103" t="s">
        <v>20</v>
      </c>
      <c r="H1523" s="103">
        <v>201609</v>
      </c>
      <c r="I1523" s="104">
        <v>-20.100000000000001</v>
      </c>
      <c r="J1523" s="297">
        <f t="shared" si="91"/>
        <v>42675</v>
      </c>
      <c r="K1523" s="67">
        <f t="shared" si="84"/>
        <v>6</v>
      </c>
      <c r="L1523" s="155">
        <v>1.4833299999999999E-3</v>
      </c>
      <c r="M1523" s="104">
        <f t="shared" si="85"/>
        <v>-0.17888959800000001</v>
      </c>
      <c r="O1523" s="66"/>
      <c r="Q1523" s="66">
        <f t="shared" si="90"/>
        <v>-0.33252518750000004</v>
      </c>
    </row>
    <row r="1524" spans="1:17">
      <c r="A1524" s="102" t="s">
        <v>626</v>
      </c>
      <c r="B1524" s="160" t="s">
        <v>1681</v>
      </c>
      <c r="C1524" s="103" t="s">
        <v>1999</v>
      </c>
      <c r="D1524" s="102" t="s">
        <v>2000</v>
      </c>
      <c r="E1524" s="103" t="s">
        <v>75</v>
      </c>
      <c r="F1524" s="102" t="s">
        <v>1602</v>
      </c>
      <c r="G1524" s="103" t="s">
        <v>20</v>
      </c>
      <c r="H1524" s="103">
        <v>201609</v>
      </c>
      <c r="I1524" s="104">
        <v>-1026.6600000000001</v>
      </c>
      <c r="J1524" s="297">
        <f t="shared" si="91"/>
        <v>42675</v>
      </c>
      <c r="K1524" s="67">
        <f t="shared" si="84"/>
        <v>6</v>
      </c>
      <c r="L1524" s="155">
        <v>1.4833299999999999E-3</v>
      </c>
      <c r="M1524" s="104">
        <f t="shared" si="85"/>
        <v>-9.1372534668000007</v>
      </c>
      <c r="O1524" s="66"/>
      <c r="Q1524" s="66">
        <f t="shared" si="90"/>
        <v>-16.984592487500002</v>
      </c>
    </row>
    <row r="1525" spans="1:17">
      <c r="A1525" s="102" t="s">
        <v>14</v>
      </c>
      <c r="B1525" s="160" t="s">
        <v>1681</v>
      </c>
      <c r="C1525" s="103" t="s">
        <v>1999</v>
      </c>
      <c r="D1525" s="102" t="s">
        <v>2000</v>
      </c>
      <c r="E1525" s="103" t="s">
        <v>75</v>
      </c>
      <c r="F1525" s="102" t="s">
        <v>1602</v>
      </c>
      <c r="G1525" s="103" t="s">
        <v>20</v>
      </c>
      <c r="H1525" s="103">
        <v>201609</v>
      </c>
      <c r="I1525" s="104">
        <v>-131.31</v>
      </c>
      <c r="J1525" s="297">
        <f t="shared" si="91"/>
        <v>42675</v>
      </c>
      <c r="K1525" s="67">
        <f t="shared" si="84"/>
        <v>6</v>
      </c>
      <c r="L1525" s="148">
        <v>2.23333E-3</v>
      </c>
      <c r="M1525" s="104">
        <f t="shared" si="85"/>
        <v>-1.7595513737999999</v>
      </c>
      <c r="O1525" s="66"/>
      <c r="Q1525" s="66">
        <f t="shared" si="90"/>
        <v>-2.1723324562499999</v>
      </c>
    </row>
    <row r="1526" spans="1:17">
      <c r="A1526" s="102" t="s">
        <v>1942</v>
      </c>
      <c r="B1526" s="160" t="s">
        <v>1681</v>
      </c>
      <c r="C1526" s="103" t="s">
        <v>1999</v>
      </c>
      <c r="D1526" s="102" t="s">
        <v>2000</v>
      </c>
      <c r="E1526" s="103" t="s">
        <v>75</v>
      </c>
      <c r="F1526" s="102" t="s">
        <v>1602</v>
      </c>
      <c r="G1526" s="103" t="s">
        <v>20</v>
      </c>
      <c r="H1526" s="103">
        <v>201609</v>
      </c>
      <c r="I1526" s="104">
        <v>-4.3</v>
      </c>
      <c r="J1526" s="297">
        <f t="shared" si="91"/>
        <v>42675</v>
      </c>
      <c r="K1526" s="67">
        <f t="shared" si="84"/>
        <v>6</v>
      </c>
      <c r="L1526" s="148">
        <v>2.23333E-3</v>
      </c>
      <c r="M1526" s="104">
        <f t="shared" si="85"/>
        <v>-5.7619913999999994E-2</v>
      </c>
      <c r="O1526" s="66"/>
      <c r="Q1526" s="66">
        <f t="shared" si="90"/>
        <v>-7.1137229166666663E-2</v>
      </c>
    </row>
    <row r="1527" spans="1:17">
      <c r="A1527" s="102" t="s">
        <v>626</v>
      </c>
      <c r="B1527" s="160" t="s">
        <v>1681</v>
      </c>
      <c r="C1527" s="103" t="s">
        <v>2001</v>
      </c>
      <c r="D1527" s="102" t="s">
        <v>2002</v>
      </c>
      <c r="E1527" s="103" t="s">
        <v>164</v>
      </c>
      <c r="F1527" s="102" t="s">
        <v>1600</v>
      </c>
      <c r="G1527" s="103" t="s">
        <v>20</v>
      </c>
      <c r="H1527" s="103">
        <v>201609</v>
      </c>
      <c r="I1527" s="104">
        <v>-215.85</v>
      </c>
      <c r="J1527" s="297">
        <f t="shared" si="91"/>
        <v>42675</v>
      </c>
      <c r="K1527" s="67">
        <f t="shared" si="84"/>
        <v>6</v>
      </c>
      <c r="L1527" s="155">
        <v>1.4833299999999999E-3</v>
      </c>
      <c r="M1527" s="104">
        <f t="shared" si="85"/>
        <v>-1.9210606829999999</v>
      </c>
      <c r="O1527" s="66"/>
      <c r="Q1527" s="66">
        <f t="shared" si="90"/>
        <v>-3.5709234687499998</v>
      </c>
    </row>
    <row r="1528" spans="1:17">
      <c r="A1528" s="102" t="s">
        <v>14</v>
      </c>
      <c r="B1528" s="160" t="s">
        <v>1681</v>
      </c>
      <c r="C1528" s="103" t="s">
        <v>2001</v>
      </c>
      <c r="D1528" s="102" t="s">
        <v>2002</v>
      </c>
      <c r="E1528" s="103" t="s">
        <v>164</v>
      </c>
      <c r="F1528" s="102" t="s">
        <v>1600</v>
      </c>
      <c r="G1528" s="103" t="s">
        <v>20</v>
      </c>
      <c r="H1528" s="103">
        <v>201609</v>
      </c>
      <c r="I1528" s="104">
        <v>-0.3</v>
      </c>
      <c r="J1528" s="297">
        <f t="shared" si="91"/>
        <v>42675</v>
      </c>
      <c r="K1528" s="67">
        <f t="shared" si="84"/>
        <v>6</v>
      </c>
      <c r="L1528" s="148">
        <v>2.23333E-3</v>
      </c>
      <c r="M1528" s="104">
        <f t="shared" si="85"/>
        <v>-4.0199939999999998E-3</v>
      </c>
      <c r="O1528" s="66"/>
      <c r="Q1528" s="66">
        <f t="shared" si="90"/>
        <v>-4.9630624999999996E-3</v>
      </c>
    </row>
    <row r="1529" spans="1:17">
      <c r="A1529" s="102" t="s">
        <v>626</v>
      </c>
      <c r="B1529" s="160" t="s">
        <v>1681</v>
      </c>
      <c r="C1529" s="103" t="s">
        <v>2259</v>
      </c>
      <c r="D1529" s="102" t="s">
        <v>2260</v>
      </c>
      <c r="E1529" s="103" t="s">
        <v>209</v>
      </c>
      <c r="F1529" s="102" t="s">
        <v>1612</v>
      </c>
      <c r="G1529" s="103" t="s">
        <v>20</v>
      </c>
      <c r="H1529" s="103">
        <v>201609</v>
      </c>
      <c r="I1529" s="104">
        <v>-663.26</v>
      </c>
      <c r="J1529" s="297">
        <f t="shared" si="91"/>
        <v>42675</v>
      </c>
      <c r="K1529" s="67">
        <f t="shared" si="84"/>
        <v>6</v>
      </c>
      <c r="L1529" s="155">
        <v>1.4833299999999999E-3</v>
      </c>
      <c r="M1529" s="104">
        <f t="shared" si="85"/>
        <v>-5.9030007348</v>
      </c>
      <c r="O1529" s="66"/>
      <c r="Q1529" s="66">
        <f t="shared" si="90"/>
        <v>-10.972669445833334</v>
      </c>
    </row>
    <row r="1530" spans="1:17">
      <c r="A1530" s="102" t="s">
        <v>626</v>
      </c>
      <c r="B1530" s="160" t="s">
        <v>1681</v>
      </c>
      <c r="C1530" s="103" t="s">
        <v>2003</v>
      </c>
      <c r="D1530" s="102" t="s">
        <v>2004</v>
      </c>
      <c r="E1530" s="103" t="s">
        <v>164</v>
      </c>
      <c r="F1530" s="102" t="s">
        <v>1600</v>
      </c>
      <c r="G1530" s="103" t="s">
        <v>20</v>
      </c>
      <c r="H1530" s="103">
        <v>201609</v>
      </c>
      <c r="I1530" s="104">
        <v>-54.05</v>
      </c>
      <c r="J1530" s="297">
        <f t="shared" si="91"/>
        <v>42675</v>
      </c>
      <c r="K1530" s="67">
        <f t="shared" si="84"/>
        <v>6</v>
      </c>
      <c r="L1530" s="155">
        <v>1.4833299999999999E-3</v>
      </c>
      <c r="M1530" s="104">
        <f t="shared" si="85"/>
        <v>-0.48104391899999999</v>
      </c>
      <c r="O1530" s="66"/>
      <c r="Q1530" s="66">
        <f t="shared" si="90"/>
        <v>-0.89417842708333328</v>
      </c>
    </row>
    <row r="1531" spans="1:17">
      <c r="A1531" s="102" t="s">
        <v>21</v>
      </c>
      <c r="B1531" s="160" t="s">
        <v>1681</v>
      </c>
      <c r="C1531" s="103" t="s">
        <v>2003</v>
      </c>
      <c r="D1531" s="102" t="s">
        <v>2004</v>
      </c>
      <c r="E1531" s="103" t="s">
        <v>164</v>
      </c>
      <c r="F1531" s="102" t="s">
        <v>1600</v>
      </c>
      <c r="G1531" s="103" t="s">
        <v>20</v>
      </c>
      <c r="H1531" s="103">
        <v>201609</v>
      </c>
      <c r="I1531" s="104">
        <v>-2.62</v>
      </c>
      <c r="J1531" s="297">
        <f t="shared" si="91"/>
        <v>42675</v>
      </c>
      <c r="K1531" s="67">
        <f t="shared" si="84"/>
        <v>6</v>
      </c>
      <c r="L1531" s="155">
        <v>1.4833299999999999E-3</v>
      </c>
      <c r="M1531" s="104">
        <f t="shared" si="85"/>
        <v>-2.33179476E-2</v>
      </c>
      <c r="O1531" s="66"/>
      <c r="Q1531" s="66">
        <f t="shared" si="90"/>
        <v>-4.3344079166666667E-2</v>
      </c>
    </row>
    <row r="1532" spans="1:17">
      <c r="A1532" s="102" t="s">
        <v>14</v>
      </c>
      <c r="B1532" s="160" t="s">
        <v>1681</v>
      </c>
      <c r="C1532" s="103" t="s">
        <v>2003</v>
      </c>
      <c r="D1532" s="102" t="s">
        <v>2004</v>
      </c>
      <c r="E1532" s="103" t="s">
        <v>164</v>
      </c>
      <c r="F1532" s="102" t="s">
        <v>1600</v>
      </c>
      <c r="G1532" s="103" t="s">
        <v>20</v>
      </c>
      <c r="H1532" s="103">
        <v>201609</v>
      </c>
      <c r="I1532" s="104">
        <v>-2.6</v>
      </c>
      <c r="J1532" s="297">
        <f t="shared" si="91"/>
        <v>42675</v>
      </c>
      <c r="K1532" s="67">
        <f t="shared" si="84"/>
        <v>6</v>
      </c>
      <c r="L1532" s="148">
        <v>2.23333E-3</v>
      </c>
      <c r="M1532" s="104">
        <f t="shared" si="85"/>
        <v>-3.4839947999999996E-2</v>
      </c>
      <c r="O1532" s="66"/>
      <c r="Q1532" s="66">
        <f t="shared" si="90"/>
        <v>-4.3013208333333337E-2</v>
      </c>
    </row>
    <row r="1533" spans="1:17">
      <c r="A1533" s="102" t="s">
        <v>14</v>
      </c>
      <c r="B1533" s="160" t="s">
        <v>1681</v>
      </c>
      <c r="C1533" s="103" t="s">
        <v>2311</v>
      </c>
      <c r="D1533" s="102" t="s">
        <v>2312</v>
      </c>
      <c r="E1533" s="103" t="s">
        <v>209</v>
      </c>
      <c r="F1533" s="102" t="s">
        <v>1612</v>
      </c>
      <c r="G1533" s="103" t="s">
        <v>20</v>
      </c>
      <c r="H1533" s="103">
        <v>201609</v>
      </c>
      <c r="I1533" s="104">
        <v>2480.87</v>
      </c>
      <c r="J1533" s="297">
        <f t="shared" si="91"/>
        <v>42675</v>
      </c>
      <c r="K1533" s="67">
        <f t="shared" si="84"/>
        <v>6</v>
      </c>
      <c r="L1533" s="148">
        <v>2.23333E-3</v>
      </c>
      <c r="M1533" s="104">
        <f t="shared" si="85"/>
        <v>33.243608382599994</v>
      </c>
      <c r="O1533" s="66"/>
      <c r="Q1533" s="66">
        <f t="shared" si="90"/>
        <v>41.042376214583328</v>
      </c>
    </row>
    <row r="1534" spans="1:17">
      <c r="A1534" s="102" t="s">
        <v>626</v>
      </c>
      <c r="B1534" s="160" t="s">
        <v>1681</v>
      </c>
      <c r="C1534" s="103" t="s">
        <v>2311</v>
      </c>
      <c r="D1534" s="102" t="s">
        <v>2312</v>
      </c>
      <c r="E1534" s="103" t="s">
        <v>209</v>
      </c>
      <c r="F1534" s="102" t="s">
        <v>1612</v>
      </c>
      <c r="G1534" s="103" t="s">
        <v>20</v>
      </c>
      <c r="H1534" s="103">
        <v>201609</v>
      </c>
      <c r="I1534" s="104">
        <v>126002.76</v>
      </c>
      <c r="J1534" s="297">
        <f t="shared" si="91"/>
        <v>42675</v>
      </c>
      <c r="K1534" s="67">
        <f t="shared" si="84"/>
        <v>6</v>
      </c>
      <c r="L1534" s="155">
        <v>1.4833299999999999E-3</v>
      </c>
      <c r="M1534" s="104">
        <f t="shared" si="85"/>
        <v>1121.4220439448</v>
      </c>
      <c r="O1534" s="66"/>
      <c r="Q1534" s="66">
        <f t="shared" si="90"/>
        <v>2084.5319101749997</v>
      </c>
    </row>
    <row r="1535" spans="1:17">
      <c r="A1535" s="102" t="s">
        <v>626</v>
      </c>
      <c r="B1535" s="160" t="s">
        <v>1681</v>
      </c>
      <c r="C1535" s="103" t="s">
        <v>2005</v>
      </c>
      <c r="D1535" s="102" t="s">
        <v>2006</v>
      </c>
      <c r="E1535" s="103" t="s">
        <v>87</v>
      </c>
      <c r="F1535" s="102" t="s">
        <v>1603</v>
      </c>
      <c r="G1535" s="103" t="s">
        <v>20</v>
      </c>
      <c r="H1535" s="103">
        <v>201609</v>
      </c>
      <c r="I1535" s="104">
        <v>-245.75</v>
      </c>
      <c r="J1535" s="297">
        <f t="shared" si="91"/>
        <v>42675</v>
      </c>
      <c r="K1535" s="67">
        <f t="shared" si="84"/>
        <v>6</v>
      </c>
      <c r="L1535" s="155">
        <v>1.4833299999999999E-3</v>
      </c>
      <c r="M1535" s="104">
        <f t="shared" si="85"/>
        <v>-2.187170085</v>
      </c>
      <c r="O1535" s="66"/>
      <c r="Q1535" s="66">
        <f t="shared" si="90"/>
        <v>-4.0655753645833332</v>
      </c>
    </row>
    <row r="1536" spans="1:17">
      <c r="A1536" s="102" t="s">
        <v>14</v>
      </c>
      <c r="B1536" s="160" t="s">
        <v>1681</v>
      </c>
      <c r="C1536" s="103" t="s">
        <v>2005</v>
      </c>
      <c r="D1536" s="102" t="s">
        <v>2006</v>
      </c>
      <c r="E1536" s="103" t="s">
        <v>87</v>
      </c>
      <c r="F1536" s="102" t="s">
        <v>1603</v>
      </c>
      <c r="G1536" s="103" t="s">
        <v>20</v>
      </c>
      <c r="H1536" s="103">
        <v>201609</v>
      </c>
      <c r="I1536" s="104">
        <v>-0.8</v>
      </c>
      <c r="J1536" s="297">
        <f t="shared" si="91"/>
        <v>42675</v>
      </c>
      <c r="K1536" s="67">
        <f t="shared" si="84"/>
        <v>6</v>
      </c>
      <c r="L1536" s="148">
        <v>2.23333E-3</v>
      </c>
      <c r="M1536" s="104">
        <f t="shared" si="85"/>
        <v>-1.0719984E-2</v>
      </c>
      <c r="O1536" s="66"/>
      <c r="Q1536" s="66">
        <f t="shared" si="90"/>
        <v>-1.3234833333333335E-2</v>
      </c>
    </row>
    <row r="1537" spans="1:17">
      <c r="A1537" s="102" t="s">
        <v>626</v>
      </c>
      <c r="B1537" s="160" t="s">
        <v>1681</v>
      </c>
      <c r="C1537" s="103" t="s">
        <v>1853</v>
      </c>
      <c r="D1537" s="102" t="s">
        <v>1854</v>
      </c>
      <c r="E1537" s="103" t="s">
        <v>260</v>
      </c>
      <c r="F1537" s="102" t="s">
        <v>1608</v>
      </c>
      <c r="G1537" s="103" t="s">
        <v>20</v>
      </c>
      <c r="H1537" s="103">
        <v>201609</v>
      </c>
      <c r="I1537" s="104">
        <v>-34.69</v>
      </c>
      <c r="J1537" s="297">
        <f t="shared" si="91"/>
        <v>42675</v>
      </c>
      <c r="K1537" s="67">
        <f t="shared" si="84"/>
        <v>6</v>
      </c>
      <c r="L1537" s="155">
        <v>1.4833299999999999E-3</v>
      </c>
      <c r="M1537" s="104">
        <f t="shared" si="85"/>
        <v>-0.30874030619999998</v>
      </c>
      <c r="O1537" s="66"/>
      <c r="Q1537" s="66">
        <f t="shared" si="90"/>
        <v>-0.57389546041666661</v>
      </c>
    </row>
    <row r="1538" spans="1:17">
      <c r="A1538" s="102" t="s">
        <v>626</v>
      </c>
      <c r="B1538" s="160" t="s">
        <v>1681</v>
      </c>
      <c r="C1538" s="103" t="s">
        <v>2313</v>
      </c>
      <c r="D1538" s="102" t="s">
        <v>2314</v>
      </c>
      <c r="E1538" s="103" t="s">
        <v>260</v>
      </c>
      <c r="F1538" s="102" t="s">
        <v>1608</v>
      </c>
      <c r="G1538" s="103" t="s">
        <v>20</v>
      </c>
      <c r="H1538" s="103">
        <v>201609</v>
      </c>
      <c r="I1538" s="104">
        <v>419491.89</v>
      </c>
      <c r="J1538" s="297">
        <f t="shared" si="91"/>
        <v>42675</v>
      </c>
      <c r="K1538" s="67">
        <f t="shared" si="84"/>
        <v>6</v>
      </c>
      <c r="L1538" s="155">
        <v>1.4833299999999999E-3</v>
      </c>
      <c r="M1538" s="104">
        <f t="shared" si="85"/>
        <v>3733.4694311622002</v>
      </c>
      <c r="O1538" s="66"/>
      <c r="Q1538" s="66">
        <f t="shared" si="90"/>
        <v>6939.8815610437505</v>
      </c>
    </row>
    <row r="1539" spans="1:17">
      <c r="A1539" s="102" t="s">
        <v>21</v>
      </c>
      <c r="B1539" s="160" t="s">
        <v>1681</v>
      </c>
      <c r="C1539" s="103" t="s">
        <v>2315</v>
      </c>
      <c r="D1539" s="102" t="s">
        <v>2316</v>
      </c>
      <c r="E1539" s="103" t="s">
        <v>164</v>
      </c>
      <c r="F1539" s="102" t="s">
        <v>1600</v>
      </c>
      <c r="G1539" s="103" t="s">
        <v>20</v>
      </c>
      <c r="H1539" s="103">
        <v>201609</v>
      </c>
      <c r="I1539" s="104">
        <v>302.20999999999998</v>
      </c>
      <c r="J1539" s="297">
        <f t="shared" si="91"/>
        <v>42675</v>
      </c>
      <c r="K1539" s="67">
        <f t="shared" si="84"/>
        <v>6</v>
      </c>
      <c r="L1539" s="155">
        <v>1.4833299999999999E-3</v>
      </c>
      <c r="M1539" s="104">
        <f t="shared" si="85"/>
        <v>2.6896629557999998</v>
      </c>
      <c r="O1539" s="66"/>
      <c r="Q1539" s="66">
        <f t="shared" si="90"/>
        <v>4.9996237270833328</v>
      </c>
    </row>
    <row r="1540" spans="1:17">
      <c r="A1540" s="102" t="s">
        <v>14</v>
      </c>
      <c r="B1540" s="160" t="s">
        <v>1681</v>
      </c>
      <c r="C1540" s="103" t="s">
        <v>2315</v>
      </c>
      <c r="D1540" s="102" t="s">
        <v>2316</v>
      </c>
      <c r="E1540" s="103" t="s">
        <v>164</v>
      </c>
      <c r="F1540" s="102" t="s">
        <v>1600</v>
      </c>
      <c r="G1540" s="103" t="s">
        <v>20</v>
      </c>
      <c r="H1540" s="103">
        <v>201609</v>
      </c>
      <c r="I1540" s="104">
        <v>225981.18</v>
      </c>
      <c r="J1540" s="297">
        <f t="shared" si="91"/>
        <v>42675</v>
      </c>
      <c r="K1540" s="67">
        <f t="shared" si="84"/>
        <v>6</v>
      </c>
      <c r="L1540" s="148">
        <v>2.23333E-3</v>
      </c>
      <c r="M1540" s="104">
        <f t="shared" si="85"/>
        <v>3028.1432923763996</v>
      </c>
      <c r="O1540" s="66"/>
      <c r="Q1540" s="66">
        <f t="shared" si="90"/>
        <v>3738.5290672125002</v>
      </c>
    </row>
    <row r="1541" spans="1:17">
      <c r="A1541" s="102" t="s">
        <v>626</v>
      </c>
      <c r="B1541" s="160" t="s">
        <v>1681</v>
      </c>
      <c r="C1541" s="103" t="s">
        <v>2315</v>
      </c>
      <c r="D1541" s="102" t="s">
        <v>2316</v>
      </c>
      <c r="E1541" s="103" t="s">
        <v>164</v>
      </c>
      <c r="F1541" s="102" t="s">
        <v>1600</v>
      </c>
      <c r="G1541" s="103" t="s">
        <v>20</v>
      </c>
      <c r="H1541" s="103">
        <v>201609</v>
      </c>
      <c r="I1541" s="104">
        <v>527221.43999999994</v>
      </c>
      <c r="J1541" s="297">
        <f t="shared" si="91"/>
        <v>42675</v>
      </c>
      <c r="K1541" s="67">
        <f t="shared" si="84"/>
        <v>6</v>
      </c>
      <c r="L1541" s="155">
        <v>1.4833299999999999E-3</v>
      </c>
      <c r="M1541" s="104">
        <f t="shared" si="85"/>
        <v>4692.2602715711992</v>
      </c>
      <c r="O1541" s="66"/>
      <c r="Q1541" s="66">
        <f t="shared" si="90"/>
        <v>8722.1098601999984</v>
      </c>
    </row>
    <row r="1542" spans="1:17">
      <c r="A1542" s="102" t="s">
        <v>626</v>
      </c>
      <c r="B1542" s="160" t="s">
        <v>1681</v>
      </c>
      <c r="C1542" s="103" t="s">
        <v>2065</v>
      </c>
      <c r="D1542" s="102" t="s">
        <v>2066</v>
      </c>
      <c r="E1542" s="103" t="s">
        <v>209</v>
      </c>
      <c r="F1542" s="102" t="s">
        <v>1612</v>
      </c>
      <c r="G1542" s="103" t="s">
        <v>20</v>
      </c>
      <c r="H1542" s="103">
        <v>201609</v>
      </c>
      <c r="I1542" s="104">
        <v>-200.23</v>
      </c>
      <c r="J1542" s="297">
        <f t="shared" si="91"/>
        <v>42675</v>
      </c>
      <c r="K1542" s="67">
        <f t="shared" si="84"/>
        <v>6</v>
      </c>
      <c r="L1542" s="155">
        <v>1.4833299999999999E-3</v>
      </c>
      <c r="M1542" s="104">
        <f t="shared" si="85"/>
        <v>-1.7820429953999999</v>
      </c>
      <c r="O1542" s="66"/>
      <c r="Q1542" s="66">
        <f t="shared" ref="Q1542:Q1605" si="92">($Q$4*0.5*I1542*$T$10)</f>
        <v>-3.3125133479166666</v>
      </c>
    </row>
    <row r="1543" spans="1:17">
      <c r="A1543" s="102" t="s">
        <v>14</v>
      </c>
      <c r="B1543" s="160" t="s">
        <v>1681</v>
      </c>
      <c r="C1543" s="103" t="s">
        <v>2065</v>
      </c>
      <c r="D1543" s="102" t="s">
        <v>2066</v>
      </c>
      <c r="E1543" s="103" t="s">
        <v>209</v>
      </c>
      <c r="F1543" s="102" t="s">
        <v>1612</v>
      </c>
      <c r="G1543" s="103" t="s">
        <v>20</v>
      </c>
      <c r="H1543" s="103">
        <v>201609</v>
      </c>
      <c r="I1543" s="104">
        <v>-1.3</v>
      </c>
      <c r="J1543" s="297">
        <f t="shared" ref="J1543:J1606" si="93">+J1542</f>
        <v>42675</v>
      </c>
      <c r="K1543" s="67">
        <f t="shared" si="84"/>
        <v>6</v>
      </c>
      <c r="L1543" s="148">
        <v>2.23333E-3</v>
      </c>
      <c r="M1543" s="104">
        <f t="shared" si="85"/>
        <v>-1.7419973999999998E-2</v>
      </c>
      <c r="O1543" s="66"/>
      <c r="Q1543" s="66">
        <f t="shared" si="92"/>
        <v>-2.1506604166666669E-2</v>
      </c>
    </row>
    <row r="1544" spans="1:17">
      <c r="A1544" s="102" t="s">
        <v>626</v>
      </c>
      <c r="B1544" s="160" t="s">
        <v>1681</v>
      </c>
      <c r="C1544" s="103" t="s">
        <v>2067</v>
      </c>
      <c r="D1544" s="102" t="s">
        <v>2068</v>
      </c>
      <c r="E1544" s="103" t="s">
        <v>93</v>
      </c>
      <c r="F1544" s="102" t="s">
        <v>1601</v>
      </c>
      <c r="G1544" s="103" t="s">
        <v>20</v>
      </c>
      <c r="H1544" s="103">
        <v>201609</v>
      </c>
      <c r="I1544" s="104">
        <v>-4.42</v>
      </c>
      <c r="J1544" s="297">
        <f t="shared" si="93"/>
        <v>42675</v>
      </c>
      <c r="K1544" s="67">
        <f t="shared" si="84"/>
        <v>6</v>
      </c>
      <c r="L1544" s="155">
        <v>1.4833299999999999E-3</v>
      </c>
      <c r="M1544" s="104">
        <f t="shared" si="85"/>
        <v>-3.9337911599999997E-2</v>
      </c>
      <c r="O1544" s="66"/>
      <c r="Q1544" s="66">
        <f t="shared" si="92"/>
        <v>-7.312245416666667E-2</v>
      </c>
    </row>
    <row r="1545" spans="1:17">
      <c r="A1545" s="102" t="s">
        <v>626</v>
      </c>
      <c r="B1545" s="160" t="s">
        <v>1681</v>
      </c>
      <c r="C1545" s="103" t="s">
        <v>2317</v>
      </c>
      <c r="D1545" s="102" t="s">
        <v>2318</v>
      </c>
      <c r="E1545" s="103" t="s">
        <v>75</v>
      </c>
      <c r="F1545" s="102" t="s">
        <v>1602</v>
      </c>
      <c r="G1545" s="103" t="s">
        <v>20</v>
      </c>
      <c r="H1545" s="103">
        <v>201609</v>
      </c>
      <c r="I1545" s="104">
        <v>205451.48</v>
      </c>
      <c r="J1545" s="297">
        <f t="shared" si="93"/>
        <v>42675</v>
      </c>
      <c r="K1545" s="67">
        <f t="shared" si="84"/>
        <v>6</v>
      </c>
      <c r="L1545" s="155">
        <v>1.4833299999999999E-3</v>
      </c>
      <c r="M1545" s="104">
        <f t="shared" si="85"/>
        <v>1828.5140629704001</v>
      </c>
      <c r="O1545" s="66"/>
      <c r="Q1545" s="66">
        <f t="shared" si="92"/>
        <v>3398.8951198583336</v>
      </c>
    </row>
    <row r="1546" spans="1:17">
      <c r="A1546" s="102" t="s">
        <v>626</v>
      </c>
      <c r="B1546" s="160" t="s">
        <v>1681</v>
      </c>
      <c r="C1546" s="103" t="s">
        <v>2261</v>
      </c>
      <c r="D1546" s="102" t="s">
        <v>2262</v>
      </c>
      <c r="E1546" s="103" t="s">
        <v>75</v>
      </c>
      <c r="F1546" s="102" t="s">
        <v>1602</v>
      </c>
      <c r="G1546" s="103" t="s">
        <v>20</v>
      </c>
      <c r="H1546" s="103">
        <v>201609</v>
      </c>
      <c r="I1546" s="104">
        <v>-557</v>
      </c>
      <c r="J1546" s="297">
        <f t="shared" si="93"/>
        <v>42675</v>
      </c>
      <c r="K1546" s="67">
        <f t="shared" si="84"/>
        <v>6</v>
      </c>
      <c r="L1546" s="155">
        <v>1.4833299999999999E-3</v>
      </c>
      <c r="M1546" s="104">
        <f t="shared" si="85"/>
        <v>-4.9572888600000002</v>
      </c>
      <c r="O1546" s="66"/>
      <c r="Q1546" s="66">
        <f t="shared" si="92"/>
        <v>-9.214752708333334</v>
      </c>
    </row>
    <row r="1547" spans="1:17">
      <c r="A1547" s="102" t="s">
        <v>21</v>
      </c>
      <c r="B1547" s="160" t="s">
        <v>1681</v>
      </c>
      <c r="C1547" s="103" t="s">
        <v>2261</v>
      </c>
      <c r="D1547" s="102" t="s">
        <v>2262</v>
      </c>
      <c r="E1547" s="103" t="s">
        <v>75</v>
      </c>
      <c r="F1547" s="102" t="s">
        <v>1602</v>
      </c>
      <c r="G1547" s="103" t="s">
        <v>20</v>
      </c>
      <c r="H1547" s="103">
        <v>201609</v>
      </c>
      <c r="I1547" s="104">
        <v>-2.12</v>
      </c>
      <c r="J1547" s="297">
        <f t="shared" si="93"/>
        <v>42675</v>
      </c>
      <c r="K1547" s="67">
        <f t="shared" si="84"/>
        <v>6</v>
      </c>
      <c r="L1547" s="155">
        <v>1.4833299999999999E-3</v>
      </c>
      <c r="M1547" s="104">
        <f t="shared" si="85"/>
        <v>-1.8867957600000002E-2</v>
      </c>
      <c r="O1547" s="66"/>
      <c r="Q1547" s="66">
        <f t="shared" si="92"/>
        <v>-3.5072308333333337E-2</v>
      </c>
    </row>
    <row r="1548" spans="1:17">
      <c r="A1548" s="102" t="s">
        <v>14</v>
      </c>
      <c r="B1548" s="160" t="s">
        <v>1681</v>
      </c>
      <c r="C1548" s="103" t="s">
        <v>2261</v>
      </c>
      <c r="D1548" s="102" t="s">
        <v>2262</v>
      </c>
      <c r="E1548" s="103" t="s">
        <v>75</v>
      </c>
      <c r="F1548" s="102" t="s">
        <v>1602</v>
      </c>
      <c r="G1548" s="103" t="s">
        <v>20</v>
      </c>
      <c r="H1548" s="103">
        <v>201609</v>
      </c>
      <c r="I1548" s="104">
        <v>-0.08</v>
      </c>
      <c r="J1548" s="297">
        <f t="shared" si="93"/>
        <v>42675</v>
      </c>
      <c r="K1548" s="67">
        <f t="shared" si="84"/>
        <v>6</v>
      </c>
      <c r="L1548" s="148">
        <v>2.23333E-3</v>
      </c>
      <c r="M1548" s="104">
        <f t="shared" si="85"/>
        <v>-1.0719983999999999E-3</v>
      </c>
      <c r="O1548" s="66"/>
      <c r="Q1548" s="66">
        <f t="shared" si="92"/>
        <v>-1.3234833333333335E-3</v>
      </c>
    </row>
    <row r="1549" spans="1:17">
      <c r="A1549" s="102" t="s">
        <v>626</v>
      </c>
      <c r="B1549" s="160" t="s">
        <v>1681</v>
      </c>
      <c r="C1549" s="103" t="s">
        <v>2263</v>
      </c>
      <c r="D1549" s="102" t="s">
        <v>2264</v>
      </c>
      <c r="E1549" s="103" t="s">
        <v>75</v>
      </c>
      <c r="F1549" s="102" t="s">
        <v>1602</v>
      </c>
      <c r="G1549" s="103" t="s">
        <v>20</v>
      </c>
      <c r="H1549" s="103">
        <v>201609</v>
      </c>
      <c r="I1549" s="104">
        <v>-1115.1500000000001</v>
      </c>
      <c r="J1549" s="297">
        <f t="shared" si="93"/>
        <v>42675</v>
      </c>
      <c r="K1549" s="67">
        <f t="shared" si="84"/>
        <v>6</v>
      </c>
      <c r="L1549" s="155">
        <v>1.4833299999999999E-3</v>
      </c>
      <c r="M1549" s="104">
        <f t="shared" si="85"/>
        <v>-9.9248126970000001</v>
      </c>
      <c r="O1549" s="66"/>
      <c r="Q1549" s="66">
        <f t="shared" si="92"/>
        <v>-18.448530489583337</v>
      </c>
    </row>
    <row r="1550" spans="1:17">
      <c r="A1550" s="102" t="s">
        <v>14</v>
      </c>
      <c r="B1550" s="160" t="s">
        <v>1681</v>
      </c>
      <c r="C1550" s="103" t="s">
        <v>2263</v>
      </c>
      <c r="D1550" s="102" t="s">
        <v>2264</v>
      </c>
      <c r="E1550" s="103" t="s">
        <v>75</v>
      </c>
      <c r="F1550" s="102" t="s">
        <v>1602</v>
      </c>
      <c r="G1550" s="103" t="s">
        <v>20</v>
      </c>
      <c r="H1550" s="103">
        <v>201609</v>
      </c>
      <c r="I1550" s="104">
        <v>-4.83</v>
      </c>
      <c r="J1550" s="297">
        <f t="shared" si="93"/>
        <v>42675</v>
      </c>
      <c r="K1550" s="67">
        <f t="shared" si="84"/>
        <v>6</v>
      </c>
      <c r="L1550" s="148">
        <v>2.23333E-3</v>
      </c>
      <c r="M1550" s="104">
        <f t="shared" si="85"/>
        <v>-6.4721903399999989E-2</v>
      </c>
      <c r="O1550" s="66"/>
      <c r="Q1550" s="66">
        <f t="shared" si="92"/>
        <v>-7.9905306250000002E-2</v>
      </c>
    </row>
    <row r="1551" spans="1:17">
      <c r="A1551" s="102" t="s">
        <v>626</v>
      </c>
      <c r="B1551" s="160" t="s">
        <v>1681</v>
      </c>
      <c r="C1551" s="103" t="s">
        <v>2007</v>
      </c>
      <c r="D1551" s="102" t="s">
        <v>2008</v>
      </c>
      <c r="E1551" s="103" t="s">
        <v>260</v>
      </c>
      <c r="F1551" s="102" t="s">
        <v>1608</v>
      </c>
      <c r="G1551" s="103" t="s">
        <v>20</v>
      </c>
      <c r="H1551" s="103">
        <v>201609</v>
      </c>
      <c r="I1551" s="104">
        <v>4325.8500000000004</v>
      </c>
      <c r="J1551" s="297">
        <f t="shared" si="93"/>
        <v>42675</v>
      </c>
      <c r="K1551" s="67">
        <f t="shared" si="84"/>
        <v>6</v>
      </c>
      <c r="L1551" s="155">
        <v>1.4833299999999999E-3</v>
      </c>
      <c r="M1551" s="104">
        <f t="shared" si="85"/>
        <v>38.499978483000007</v>
      </c>
      <c r="O1551" s="66"/>
      <c r="Q1551" s="66">
        <f t="shared" si="92"/>
        <v>71.564879718750007</v>
      </c>
    </row>
    <row r="1552" spans="1:17">
      <c r="A1552" s="102" t="s">
        <v>626</v>
      </c>
      <c r="B1552" s="160" t="s">
        <v>1681</v>
      </c>
      <c r="C1552" s="103" t="s">
        <v>2009</v>
      </c>
      <c r="D1552" s="102" t="s">
        <v>2010</v>
      </c>
      <c r="E1552" s="103" t="s">
        <v>260</v>
      </c>
      <c r="F1552" s="102" t="s">
        <v>1608</v>
      </c>
      <c r="G1552" s="103" t="s">
        <v>20</v>
      </c>
      <c r="H1552" s="103">
        <v>201609</v>
      </c>
      <c r="I1552" s="104">
        <v>-4827.2</v>
      </c>
      <c r="J1552" s="297">
        <f t="shared" si="93"/>
        <v>42675</v>
      </c>
      <c r="K1552" s="67">
        <f t="shared" si="84"/>
        <v>6</v>
      </c>
      <c r="L1552" s="155">
        <v>1.4833299999999999E-3</v>
      </c>
      <c r="M1552" s="104">
        <f t="shared" si="85"/>
        <v>-42.961983455999999</v>
      </c>
      <c r="O1552" s="66"/>
      <c r="Q1552" s="66">
        <f t="shared" si="92"/>
        <v>-79.858984333333339</v>
      </c>
    </row>
    <row r="1553" spans="1:17">
      <c r="A1553" s="102" t="s">
        <v>14</v>
      </c>
      <c r="B1553" s="160" t="s">
        <v>1681</v>
      </c>
      <c r="C1553" s="103" t="s">
        <v>2009</v>
      </c>
      <c r="D1553" s="102" t="s">
        <v>2010</v>
      </c>
      <c r="E1553" s="103" t="s">
        <v>260</v>
      </c>
      <c r="F1553" s="102" t="s">
        <v>1608</v>
      </c>
      <c r="G1553" s="103" t="s">
        <v>20</v>
      </c>
      <c r="H1553" s="103">
        <v>201609</v>
      </c>
      <c r="I1553" s="104">
        <v>-91.05</v>
      </c>
      <c r="J1553" s="297">
        <f t="shared" si="93"/>
        <v>42675</v>
      </c>
      <c r="K1553" s="67">
        <f t="shared" si="84"/>
        <v>6</v>
      </c>
      <c r="L1553" s="148">
        <v>2.23333E-3</v>
      </c>
      <c r="M1553" s="104">
        <f t="shared" si="85"/>
        <v>-1.2200681789999999</v>
      </c>
      <c r="O1553" s="66"/>
      <c r="Q1553" s="66">
        <f t="shared" si="92"/>
        <v>-1.5062894687499999</v>
      </c>
    </row>
    <row r="1554" spans="1:17">
      <c r="A1554" s="102" t="s">
        <v>626</v>
      </c>
      <c r="B1554" s="160" t="s">
        <v>1681</v>
      </c>
      <c r="C1554" s="103" t="s">
        <v>2011</v>
      </c>
      <c r="D1554" s="102" t="s">
        <v>2012</v>
      </c>
      <c r="E1554" s="103" t="s">
        <v>260</v>
      </c>
      <c r="F1554" s="102" t="s">
        <v>1608</v>
      </c>
      <c r="G1554" s="103" t="s">
        <v>20</v>
      </c>
      <c r="H1554" s="103">
        <v>201609</v>
      </c>
      <c r="I1554" s="104">
        <v>-24755.11</v>
      </c>
      <c r="J1554" s="297">
        <f t="shared" si="93"/>
        <v>42675</v>
      </c>
      <c r="K1554" s="67">
        <f t="shared" si="84"/>
        <v>6</v>
      </c>
      <c r="L1554" s="155">
        <v>1.4833299999999999E-3</v>
      </c>
      <c r="M1554" s="104">
        <f t="shared" si="85"/>
        <v>-220.3199838978</v>
      </c>
      <c r="O1554" s="66"/>
      <c r="Q1554" s="66">
        <f t="shared" si="92"/>
        <v>-409.53719374791666</v>
      </c>
    </row>
    <row r="1555" spans="1:17">
      <c r="A1555" s="102" t="s">
        <v>14</v>
      </c>
      <c r="B1555" s="160" t="s">
        <v>1681</v>
      </c>
      <c r="C1555" s="103" t="s">
        <v>2011</v>
      </c>
      <c r="D1555" s="102" t="s">
        <v>2012</v>
      </c>
      <c r="E1555" s="103" t="s">
        <v>260</v>
      </c>
      <c r="F1555" s="102" t="s">
        <v>1608</v>
      </c>
      <c r="G1555" s="103" t="s">
        <v>20</v>
      </c>
      <c r="H1555" s="103">
        <v>201609</v>
      </c>
      <c r="I1555" s="104">
        <v>-553.58000000000004</v>
      </c>
      <c r="J1555" s="297">
        <f t="shared" si="93"/>
        <v>42675</v>
      </c>
      <c r="K1555" s="67">
        <f t="shared" si="84"/>
        <v>6</v>
      </c>
      <c r="L1555" s="148">
        <v>2.23333E-3</v>
      </c>
      <c r="M1555" s="104">
        <f t="shared" si="85"/>
        <v>-7.4179609284000003</v>
      </c>
      <c r="O1555" s="66"/>
      <c r="Q1555" s="66">
        <f t="shared" si="92"/>
        <v>-9.1581737958333349</v>
      </c>
    </row>
    <row r="1556" spans="1:17">
      <c r="A1556" s="102" t="s">
        <v>626</v>
      </c>
      <c r="B1556" s="160" t="s">
        <v>1681</v>
      </c>
      <c r="C1556" s="103" t="s">
        <v>2069</v>
      </c>
      <c r="D1556" s="102" t="s">
        <v>2070</v>
      </c>
      <c r="E1556" s="103" t="s">
        <v>164</v>
      </c>
      <c r="F1556" s="102" t="s">
        <v>1600</v>
      </c>
      <c r="G1556" s="103" t="s">
        <v>20</v>
      </c>
      <c r="H1556" s="103">
        <v>201609</v>
      </c>
      <c r="I1556" s="104">
        <v>-453.19</v>
      </c>
      <c r="J1556" s="297">
        <f t="shared" si="93"/>
        <v>42675</v>
      </c>
      <c r="K1556" s="67">
        <f t="shared" si="84"/>
        <v>6</v>
      </c>
      <c r="L1556" s="155">
        <v>1.4833299999999999E-3</v>
      </c>
      <c r="M1556" s="104">
        <f t="shared" si="85"/>
        <v>-4.0333819361999996</v>
      </c>
      <c r="O1556" s="66"/>
      <c r="Q1556" s="66">
        <f t="shared" si="92"/>
        <v>-7.4973676479166667</v>
      </c>
    </row>
    <row r="1557" spans="1:17">
      <c r="A1557" s="102" t="s">
        <v>14</v>
      </c>
      <c r="B1557" s="160" t="s">
        <v>1681</v>
      </c>
      <c r="C1557" s="103" t="s">
        <v>2069</v>
      </c>
      <c r="D1557" s="102" t="s">
        <v>2070</v>
      </c>
      <c r="E1557" s="103" t="s">
        <v>164</v>
      </c>
      <c r="F1557" s="102" t="s">
        <v>1600</v>
      </c>
      <c r="G1557" s="103" t="s">
        <v>20</v>
      </c>
      <c r="H1557" s="103">
        <v>201609</v>
      </c>
      <c r="I1557" s="104">
        <v>-96.71</v>
      </c>
      <c r="J1557" s="297">
        <f t="shared" si="93"/>
        <v>42675</v>
      </c>
      <c r="K1557" s="67">
        <f t="shared" si="84"/>
        <v>6</v>
      </c>
      <c r="L1557" s="148">
        <v>2.23333E-3</v>
      </c>
      <c r="M1557" s="104">
        <f t="shared" si="85"/>
        <v>-1.2959120657999998</v>
      </c>
      <c r="O1557" s="66"/>
      <c r="Q1557" s="66">
        <f t="shared" si="92"/>
        <v>-1.5999259145833333</v>
      </c>
    </row>
    <row r="1558" spans="1:17">
      <c r="A1558" s="102" t="s">
        <v>626</v>
      </c>
      <c r="B1558" s="160" t="s">
        <v>1681</v>
      </c>
      <c r="C1558" s="103" t="s">
        <v>2265</v>
      </c>
      <c r="D1558" s="102" t="s">
        <v>2266</v>
      </c>
      <c r="E1558" s="103" t="s">
        <v>164</v>
      </c>
      <c r="F1558" s="102" t="s">
        <v>1600</v>
      </c>
      <c r="G1558" s="103" t="s">
        <v>20</v>
      </c>
      <c r="H1558" s="103">
        <v>201609</v>
      </c>
      <c r="I1558" s="104">
        <v>-12260.46</v>
      </c>
      <c r="J1558" s="297">
        <f t="shared" si="93"/>
        <v>42675</v>
      </c>
      <c r="K1558" s="67">
        <f t="shared" si="84"/>
        <v>6</v>
      </c>
      <c r="L1558" s="155">
        <v>1.4833299999999999E-3</v>
      </c>
      <c r="M1558" s="104">
        <f t="shared" si="85"/>
        <v>-109.1178487908</v>
      </c>
      <c r="O1558" s="66"/>
      <c r="Q1558" s="66">
        <f t="shared" si="92"/>
        <v>-202.83143086249999</v>
      </c>
    </row>
    <row r="1559" spans="1:17">
      <c r="A1559" s="102" t="s">
        <v>14</v>
      </c>
      <c r="B1559" s="160" t="s">
        <v>1681</v>
      </c>
      <c r="C1559" s="103" t="s">
        <v>2319</v>
      </c>
      <c r="D1559" s="102" t="s">
        <v>2320</v>
      </c>
      <c r="E1559" s="103" t="s">
        <v>164</v>
      </c>
      <c r="F1559" s="102" t="s">
        <v>1600</v>
      </c>
      <c r="G1559" s="103" t="s">
        <v>20</v>
      </c>
      <c r="H1559" s="103">
        <v>201609</v>
      </c>
      <c r="I1559" s="104">
        <v>2280.9499999999998</v>
      </c>
      <c r="J1559" s="297">
        <f t="shared" si="93"/>
        <v>42675</v>
      </c>
      <c r="K1559" s="67">
        <f t="shared" si="84"/>
        <v>6</v>
      </c>
      <c r="L1559" s="148">
        <v>2.23333E-3</v>
      </c>
      <c r="M1559" s="104">
        <f t="shared" si="85"/>
        <v>30.564684380999996</v>
      </c>
      <c r="O1559" s="66"/>
      <c r="Q1559" s="66">
        <f t="shared" si="92"/>
        <v>37.73499136458333</v>
      </c>
    </row>
    <row r="1560" spans="1:17">
      <c r="A1560" s="102" t="s">
        <v>626</v>
      </c>
      <c r="B1560" s="160" t="s">
        <v>1681</v>
      </c>
      <c r="C1560" s="103" t="s">
        <v>2319</v>
      </c>
      <c r="D1560" s="102" t="s">
        <v>2320</v>
      </c>
      <c r="E1560" s="103" t="s">
        <v>164</v>
      </c>
      <c r="F1560" s="102" t="s">
        <v>1600</v>
      </c>
      <c r="G1560" s="103" t="s">
        <v>20</v>
      </c>
      <c r="H1560" s="103">
        <v>201609</v>
      </c>
      <c r="I1560" s="104">
        <v>81525.23</v>
      </c>
      <c r="J1560" s="297">
        <f t="shared" si="93"/>
        <v>42675</v>
      </c>
      <c r="K1560" s="67">
        <f t="shared" si="84"/>
        <v>6</v>
      </c>
      <c r="L1560" s="155">
        <v>1.4833299999999999E-3</v>
      </c>
      <c r="M1560" s="104">
        <f t="shared" si="85"/>
        <v>725.57291649540002</v>
      </c>
      <c r="O1560" s="66"/>
      <c r="Q1560" s="66">
        <f t="shared" si="92"/>
        <v>1348.7160393895833</v>
      </c>
    </row>
    <row r="1561" spans="1:17">
      <c r="A1561" s="102" t="s">
        <v>14</v>
      </c>
      <c r="B1561" s="160" t="s">
        <v>1681</v>
      </c>
      <c r="C1561" s="103" t="s">
        <v>2321</v>
      </c>
      <c r="D1561" s="102" t="s">
        <v>2322</v>
      </c>
      <c r="E1561" s="103" t="s">
        <v>164</v>
      </c>
      <c r="F1561" s="102" t="s">
        <v>1600</v>
      </c>
      <c r="G1561" s="103" t="s">
        <v>20</v>
      </c>
      <c r="H1561" s="103">
        <v>201609</v>
      </c>
      <c r="I1561" s="104">
        <v>1193.44</v>
      </c>
      <c r="J1561" s="297">
        <f t="shared" si="93"/>
        <v>42675</v>
      </c>
      <c r="K1561" s="67">
        <f t="shared" si="84"/>
        <v>6</v>
      </c>
      <c r="L1561" s="148">
        <v>2.23333E-3</v>
      </c>
      <c r="M1561" s="104">
        <f t="shared" si="85"/>
        <v>15.992072131199999</v>
      </c>
      <c r="O1561" s="66"/>
      <c r="Q1561" s="66">
        <f t="shared" si="92"/>
        <v>19.743724366666665</v>
      </c>
    </row>
    <row r="1562" spans="1:17">
      <c r="A1562" s="102" t="s">
        <v>626</v>
      </c>
      <c r="B1562" s="160" t="s">
        <v>1681</v>
      </c>
      <c r="C1562" s="103" t="s">
        <v>2321</v>
      </c>
      <c r="D1562" s="102" t="s">
        <v>2322</v>
      </c>
      <c r="E1562" s="103" t="s">
        <v>164</v>
      </c>
      <c r="F1562" s="102" t="s">
        <v>1600</v>
      </c>
      <c r="G1562" s="103" t="s">
        <v>20</v>
      </c>
      <c r="H1562" s="103">
        <v>201609</v>
      </c>
      <c r="I1562" s="104">
        <v>135357.69</v>
      </c>
      <c r="J1562" s="297">
        <f t="shared" si="93"/>
        <v>42675</v>
      </c>
      <c r="K1562" s="67">
        <f t="shared" si="84"/>
        <v>6</v>
      </c>
      <c r="L1562" s="155">
        <v>1.4833299999999999E-3</v>
      </c>
      <c r="M1562" s="104">
        <f t="shared" si="85"/>
        <v>1204.6807338461999</v>
      </c>
      <c r="O1562" s="66"/>
      <c r="Q1562" s="66">
        <f t="shared" si="92"/>
        <v>2239.29558441875</v>
      </c>
    </row>
    <row r="1563" spans="1:17">
      <c r="A1563" s="102" t="s">
        <v>14</v>
      </c>
      <c r="B1563" s="160" t="s">
        <v>1681</v>
      </c>
      <c r="C1563" s="103" t="s">
        <v>2267</v>
      </c>
      <c r="D1563" s="102" t="s">
        <v>2268</v>
      </c>
      <c r="E1563" s="103" t="s">
        <v>260</v>
      </c>
      <c r="F1563" s="102" t="s">
        <v>1608</v>
      </c>
      <c r="G1563" s="103" t="s">
        <v>20</v>
      </c>
      <c r="H1563" s="103">
        <v>201609</v>
      </c>
      <c r="I1563" s="104">
        <v>4615.54</v>
      </c>
      <c r="J1563" s="297">
        <f t="shared" si="93"/>
        <v>42675</v>
      </c>
      <c r="K1563" s="67">
        <f t="shared" si="84"/>
        <v>6</v>
      </c>
      <c r="L1563" s="148">
        <v>2.23333E-3</v>
      </c>
      <c r="M1563" s="104">
        <f t="shared" si="85"/>
        <v>61.848143689199993</v>
      </c>
      <c r="O1563" s="66"/>
      <c r="Q1563" s="66">
        <f t="shared" si="92"/>
        <v>76.357378304166673</v>
      </c>
    </row>
    <row r="1564" spans="1:17">
      <c r="A1564" s="102" t="s">
        <v>626</v>
      </c>
      <c r="B1564" s="160" t="s">
        <v>1681</v>
      </c>
      <c r="C1564" s="103" t="s">
        <v>2267</v>
      </c>
      <c r="D1564" s="102" t="s">
        <v>2268</v>
      </c>
      <c r="E1564" s="103" t="s">
        <v>260</v>
      </c>
      <c r="F1564" s="102" t="s">
        <v>1608</v>
      </c>
      <c r="G1564" s="103" t="s">
        <v>20</v>
      </c>
      <c r="H1564" s="103">
        <v>201609</v>
      </c>
      <c r="I1564" s="104">
        <v>22290.720000000001</v>
      </c>
      <c r="J1564" s="297">
        <f t="shared" si="93"/>
        <v>42675</v>
      </c>
      <c r="K1564" s="67">
        <f t="shared" si="84"/>
        <v>6</v>
      </c>
      <c r="L1564" s="155">
        <v>1.4833299999999999E-3</v>
      </c>
      <c r="M1564" s="104">
        <f t="shared" si="85"/>
        <v>198.3869621856</v>
      </c>
      <c r="O1564" s="66"/>
      <c r="Q1564" s="66">
        <f t="shared" si="92"/>
        <v>368.76745510000001</v>
      </c>
    </row>
    <row r="1565" spans="1:17">
      <c r="A1565" s="102" t="s">
        <v>626</v>
      </c>
      <c r="B1565" s="160" t="s">
        <v>1681</v>
      </c>
      <c r="C1565" s="103" t="s">
        <v>2071</v>
      </c>
      <c r="D1565" s="102" t="s">
        <v>2072</v>
      </c>
      <c r="E1565" s="103" t="s">
        <v>260</v>
      </c>
      <c r="F1565" s="102" t="s">
        <v>1608</v>
      </c>
      <c r="G1565" s="103" t="s">
        <v>20</v>
      </c>
      <c r="H1565" s="103">
        <v>201609</v>
      </c>
      <c r="I1565" s="104">
        <v>3405.89</v>
      </c>
      <c r="J1565" s="297">
        <f t="shared" si="93"/>
        <v>42675</v>
      </c>
      <c r="K1565" s="67">
        <f t="shared" si="84"/>
        <v>6</v>
      </c>
      <c r="L1565" s="155">
        <v>1.4833299999999999E-3</v>
      </c>
      <c r="M1565" s="104">
        <f t="shared" si="85"/>
        <v>30.312352882199999</v>
      </c>
      <c r="O1565" s="66"/>
      <c r="Q1565" s="66">
        <f t="shared" si="92"/>
        <v>56.345483127083334</v>
      </c>
    </row>
    <row r="1566" spans="1:17">
      <c r="A1566" s="102" t="s">
        <v>626</v>
      </c>
      <c r="B1566" s="160" t="s">
        <v>1681</v>
      </c>
      <c r="C1566" s="103" t="s">
        <v>2073</v>
      </c>
      <c r="D1566" s="102" t="s">
        <v>2074</v>
      </c>
      <c r="E1566" s="103" t="s">
        <v>164</v>
      </c>
      <c r="F1566" s="102" t="s">
        <v>1600</v>
      </c>
      <c r="G1566" s="103" t="s">
        <v>20</v>
      </c>
      <c r="H1566" s="103">
        <v>201609</v>
      </c>
      <c r="I1566" s="104">
        <v>-135.08000000000001</v>
      </c>
      <c r="J1566" s="297">
        <f t="shared" si="93"/>
        <v>42675</v>
      </c>
      <c r="K1566" s="67">
        <f t="shared" si="84"/>
        <v>6</v>
      </c>
      <c r="L1566" s="155">
        <v>1.4833299999999999E-3</v>
      </c>
      <c r="M1566" s="104">
        <f t="shared" si="85"/>
        <v>-1.2022092984000001</v>
      </c>
      <c r="O1566" s="66"/>
      <c r="Q1566" s="66">
        <f t="shared" si="92"/>
        <v>-2.2347016083333338</v>
      </c>
    </row>
    <row r="1567" spans="1:17">
      <c r="A1567" s="102" t="s">
        <v>21</v>
      </c>
      <c r="B1567" s="160" t="s">
        <v>1681</v>
      </c>
      <c r="C1567" s="103" t="s">
        <v>2075</v>
      </c>
      <c r="D1567" s="102" t="s">
        <v>2076</v>
      </c>
      <c r="E1567" s="103" t="s">
        <v>75</v>
      </c>
      <c r="F1567" s="102" t="s">
        <v>1602</v>
      </c>
      <c r="G1567" s="103" t="s">
        <v>20</v>
      </c>
      <c r="H1567" s="103">
        <v>201609</v>
      </c>
      <c r="I1567" s="104">
        <v>-448.9</v>
      </c>
      <c r="J1567" s="297">
        <f t="shared" si="93"/>
        <v>42675</v>
      </c>
      <c r="K1567" s="67">
        <f t="shared" si="84"/>
        <v>6</v>
      </c>
      <c r="L1567" s="155">
        <v>1.4833299999999999E-3</v>
      </c>
      <c r="M1567" s="104">
        <f t="shared" si="85"/>
        <v>-3.9952010219999998</v>
      </c>
      <c r="O1567" s="66"/>
      <c r="Q1567" s="66">
        <f t="shared" si="92"/>
        <v>-7.4263958541666675</v>
      </c>
    </row>
    <row r="1568" spans="1:17">
      <c r="A1568" s="102" t="s">
        <v>14</v>
      </c>
      <c r="B1568" s="160" t="s">
        <v>1681</v>
      </c>
      <c r="C1568" s="103" t="s">
        <v>2013</v>
      </c>
      <c r="D1568" s="102" t="s">
        <v>2014</v>
      </c>
      <c r="E1568" s="103" t="s">
        <v>164</v>
      </c>
      <c r="F1568" s="102" t="s">
        <v>1600</v>
      </c>
      <c r="G1568" s="103" t="s">
        <v>20</v>
      </c>
      <c r="H1568" s="103">
        <v>201609</v>
      </c>
      <c r="I1568" s="104">
        <v>196.08</v>
      </c>
      <c r="J1568" s="297">
        <f t="shared" si="93"/>
        <v>42675</v>
      </c>
      <c r="K1568" s="67">
        <f t="shared" si="84"/>
        <v>6</v>
      </c>
      <c r="L1568" s="148">
        <v>2.23333E-3</v>
      </c>
      <c r="M1568" s="104">
        <f t="shared" si="85"/>
        <v>2.6274680783999997</v>
      </c>
      <c r="O1568" s="66"/>
      <c r="Q1568" s="66">
        <f t="shared" si="92"/>
        <v>3.2438576500000003</v>
      </c>
    </row>
    <row r="1569" spans="1:17">
      <c r="A1569" s="102" t="s">
        <v>626</v>
      </c>
      <c r="B1569" s="160" t="s">
        <v>1681</v>
      </c>
      <c r="C1569" s="103" t="s">
        <v>2013</v>
      </c>
      <c r="D1569" s="102" t="s">
        <v>2014</v>
      </c>
      <c r="E1569" s="103" t="s">
        <v>164</v>
      </c>
      <c r="F1569" s="102" t="s">
        <v>1600</v>
      </c>
      <c r="G1569" s="103" t="s">
        <v>20</v>
      </c>
      <c r="H1569" s="103">
        <v>201609</v>
      </c>
      <c r="I1569" s="104">
        <v>750.04</v>
      </c>
      <c r="J1569" s="297">
        <f t="shared" si="93"/>
        <v>42675</v>
      </c>
      <c r="K1569" s="67">
        <f t="shared" ref="K1569:K1616" si="94">((YEAR($K$1)-YEAR(J1569))*12+MONTH($K$1)-MONTH(J1569))</f>
        <v>6</v>
      </c>
      <c r="L1569" s="155">
        <v>1.4833299999999999E-3</v>
      </c>
      <c r="M1569" s="104">
        <f t="shared" ref="M1569:M1616" si="95">L1569*K1569*I1569</f>
        <v>6.6753409991999995</v>
      </c>
      <c r="O1569" s="66"/>
      <c r="Q1569" s="66">
        <f t="shared" si="92"/>
        <v>12.408317991666665</v>
      </c>
    </row>
    <row r="1570" spans="1:17">
      <c r="A1570" s="102" t="s">
        <v>626</v>
      </c>
      <c r="B1570" s="160" t="s">
        <v>1681</v>
      </c>
      <c r="C1570" s="103" t="s">
        <v>2015</v>
      </c>
      <c r="D1570" s="102" t="s">
        <v>2016</v>
      </c>
      <c r="E1570" s="103" t="s">
        <v>164</v>
      </c>
      <c r="F1570" s="102" t="s">
        <v>1600</v>
      </c>
      <c r="G1570" s="103" t="s">
        <v>20</v>
      </c>
      <c r="H1570" s="103">
        <v>201609</v>
      </c>
      <c r="I1570" s="104">
        <v>-111.3</v>
      </c>
      <c r="J1570" s="297">
        <f t="shared" si="93"/>
        <v>42675</v>
      </c>
      <c r="K1570" s="67">
        <f t="shared" si="94"/>
        <v>6</v>
      </c>
      <c r="L1570" s="155">
        <v>1.4833299999999999E-3</v>
      </c>
      <c r="M1570" s="104">
        <f t="shared" si="95"/>
        <v>-0.99056777399999996</v>
      </c>
      <c r="O1570" s="66"/>
      <c r="Q1570" s="66">
        <f t="shared" si="92"/>
        <v>-1.8412961874999998</v>
      </c>
    </row>
    <row r="1571" spans="1:17">
      <c r="A1571" s="102" t="s">
        <v>14</v>
      </c>
      <c r="B1571" s="160" t="s">
        <v>1681</v>
      </c>
      <c r="C1571" s="103" t="s">
        <v>2015</v>
      </c>
      <c r="D1571" s="102" t="s">
        <v>2016</v>
      </c>
      <c r="E1571" s="103" t="s">
        <v>164</v>
      </c>
      <c r="F1571" s="102" t="s">
        <v>1600</v>
      </c>
      <c r="G1571" s="103" t="s">
        <v>20</v>
      </c>
      <c r="H1571" s="103">
        <v>201609</v>
      </c>
      <c r="I1571" s="104">
        <v>-9.99</v>
      </c>
      <c r="J1571" s="297">
        <f t="shared" si="93"/>
        <v>42675</v>
      </c>
      <c r="K1571" s="67">
        <f t="shared" si="94"/>
        <v>6</v>
      </c>
      <c r="L1571" s="148">
        <v>2.23333E-3</v>
      </c>
      <c r="M1571" s="104">
        <f t="shared" si="95"/>
        <v>-0.1338658002</v>
      </c>
      <c r="O1571" s="66"/>
      <c r="Q1571" s="66">
        <f t="shared" si="92"/>
        <v>-0.16526998125</v>
      </c>
    </row>
    <row r="1572" spans="1:17">
      <c r="A1572" s="102" t="s">
        <v>626</v>
      </c>
      <c r="B1572" s="160" t="s">
        <v>1681</v>
      </c>
      <c r="C1572" s="103" t="s">
        <v>2077</v>
      </c>
      <c r="D1572" s="102" t="s">
        <v>2078</v>
      </c>
      <c r="E1572" s="103" t="s">
        <v>260</v>
      </c>
      <c r="F1572" s="102" t="s">
        <v>1608</v>
      </c>
      <c r="G1572" s="103" t="s">
        <v>20</v>
      </c>
      <c r="H1572" s="103">
        <v>201609</v>
      </c>
      <c r="I1572" s="104">
        <v>-709.41</v>
      </c>
      <c r="J1572" s="297">
        <f t="shared" si="93"/>
        <v>42675</v>
      </c>
      <c r="K1572" s="67">
        <f t="shared" si="94"/>
        <v>6</v>
      </c>
      <c r="L1572" s="155">
        <v>1.4833299999999999E-3</v>
      </c>
      <c r="M1572" s="104">
        <f t="shared" si="95"/>
        <v>-6.3137348117999998</v>
      </c>
      <c r="O1572" s="66"/>
      <c r="Q1572" s="66">
        <f t="shared" si="92"/>
        <v>-11.73615389375</v>
      </c>
    </row>
    <row r="1573" spans="1:17">
      <c r="A1573" s="102" t="s">
        <v>626</v>
      </c>
      <c r="B1573" s="160" t="s">
        <v>1681</v>
      </c>
      <c r="C1573" s="103" t="s">
        <v>2079</v>
      </c>
      <c r="D1573" s="102" t="s">
        <v>2080</v>
      </c>
      <c r="E1573" s="103" t="s">
        <v>75</v>
      </c>
      <c r="F1573" s="102" t="s">
        <v>1602</v>
      </c>
      <c r="G1573" s="103" t="s">
        <v>20</v>
      </c>
      <c r="H1573" s="103">
        <v>201609</v>
      </c>
      <c r="I1573" s="104">
        <v>-348.39</v>
      </c>
      <c r="J1573" s="297">
        <f t="shared" si="93"/>
        <v>42675</v>
      </c>
      <c r="K1573" s="67">
        <f t="shared" si="94"/>
        <v>6</v>
      </c>
      <c r="L1573" s="155">
        <v>1.4833299999999999E-3</v>
      </c>
      <c r="M1573" s="104">
        <f t="shared" si="95"/>
        <v>-3.1006640322000001</v>
      </c>
      <c r="O1573" s="66"/>
      <c r="Q1573" s="66">
        <f t="shared" si="92"/>
        <v>-5.7636044812499998</v>
      </c>
    </row>
    <row r="1574" spans="1:17">
      <c r="A1574" s="102" t="s">
        <v>21</v>
      </c>
      <c r="B1574" s="160" t="s">
        <v>1681</v>
      </c>
      <c r="C1574" s="103" t="s">
        <v>2017</v>
      </c>
      <c r="D1574" s="102" t="s">
        <v>2018</v>
      </c>
      <c r="E1574" s="103" t="s">
        <v>87</v>
      </c>
      <c r="F1574" s="102" t="s">
        <v>1603</v>
      </c>
      <c r="G1574" s="103" t="s">
        <v>20</v>
      </c>
      <c r="H1574" s="103">
        <v>201609</v>
      </c>
      <c r="I1574" s="104">
        <v>-152.18</v>
      </c>
      <c r="J1574" s="297">
        <f t="shared" si="93"/>
        <v>42675</v>
      </c>
      <c r="K1574" s="67">
        <f t="shared" si="94"/>
        <v>6</v>
      </c>
      <c r="L1574" s="155">
        <v>1.4833299999999999E-3</v>
      </c>
      <c r="M1574" s="104">
        <f t="shared" si="95"/>
        <v>-1.3543989564000001</v>
      </c>
      <c r="O1574" s="66"/>
      <c r="Q1574" s="66">
        <f t="shared" si="92"/>
        <v>-2.5175961708333334</v>
      </c>
    </row>
    <row r="1575" spans="1:17">
      <c r="A1575" s="102" t="s">
        <v>626</v>
      </c>
      <c r="B1575" s="160" t="s">
        <v>1681</v>
      </c>
      <c r="C1575" s="103" t="s">
        <v>2081</v>
      </c>
      <c r="D1575" s="102" t="s">
        <v>2082</v>
      </c>
      <c r="E1575" s="103" t="s">
        <v>75</v>
      </c>
      <c r="F1575" s="102" t="s">
        <v>1602</v>
      </c>
      <c r="G1575" s="103" t="s">
        <v>20</v>
      </c>
      <c r="H1575" s="103">
        <v>201609</v>
      </c>
      <c r="I1575" s="104">
        <v>779.97</v>
      </c>
      <c r="J1575" s="297">
        <f t="shared" si="93"/>
        <v>42675</v>
      </c>
      <c r="K1575" s="67">
        <f t="shared" si="94"/>
        <v>6</v>
      </c>
      <c r="L1575" s="155">
        <v>1.4833299999999999E-3</v>
      </c>
      <c r="M1575" s="104">
        <f t="shared" si="95"/>
        <v>6.9417174006</v>
      </c>
      <c r="O1575" s="66"/>
      <c r="Q1575" s="66">
        <f t="shared" si="92"/>
        <v>12.903466193750001</v>
      </c>
    </row>
    <row r="1576" spans="1:17">
      <c r="A1576" s="102" t="s">
        <v>626</v>
      </c>
      <c r="B1576" s="160" t="s">
        <v>1681</v>
      </c>
      <c r="C1576" s="103" t="s">
        <v>2083</v>
      </c>
      <c r="D1576" s="102" t="s">
        <v>2084</v>
      </c>
      <c r="E1576" s="103" t="s">
        <v>75</v>
      </c>
      <c r="F1576" s="102" t="s">
        <v>1602</v>
      </c>
      <c r="G1576" s="103" t="s">
        <v>20</v>
      </c>
      <c r="H1576" s="103">
        <v>201609</v>
      </c>
      <c r="I1576" s="104">
        <v>-354.28</v>
      </c>
      <c r="J1576" s="297">
        <f t="shared" si="93"/>
        <v>42675</v>
      </c>
      <c r="K1576" s="67">
        <f t="shared" si="94"/>
        <v>6</v>
      </c>
      <c r="L1576" s="155">
        <v>1.4833299999999999E-3</v>
      </c>
      <c r="M1576" s="104">
        <f t="shared" si="95"/>
        <v>-3.1530849143999999</v>
      </c>
      <c r="O1576" s="66"/>
      <c r="Q1576" s="66">
        <f t="shared" si="92"/>
        <v>-5.8610459416666663</v>
      </c>
    </row>
    <row r="1577" spans="1:17">
      <c r="A1577" s="102" t="s">
        <v>626</v>
      </c>
      <c r="B1577" s="160" t="s">
        <v>1681</v>
      </c>
      <c r="C1577" s="103" t="s">
        <v>2085</v>
      </c>
      <c r="D1577" s="102" t="s">
        <v>2086</v>
      </c>
      <c r="E1577" s="103" t="s">
        <v>164</v>
      </c>
      <c r="F1577" s="102" t="s">
        <v>1600</v>
      </c>
      <c r="G1577" s="103" t="s">
        <v>20</v>
      </c>
      <c r="H1577" s="103">
        <v>201609</v>
      </c>
      <c r="I1577" s="104">
        <v>-92.72</v>
      </c>
      <c r="J1577" s="297">
        <f t="shared" si="93"/>
        <v>42675</v>
      </c>
      <c r="K1577" s="67">
        <f t="shared" si="94"/>
        <v>6</v>
      </c>
      <c r="L1577" s="155">
        <v>1.4833299999999999E-3</v>
      </c>
      <c r="M1577" s="104">
        <f t="shared" si="95"/>
        <v>-0.82520614559999994</v>
      </c>
      <c r="O1577" s="66"/>
      <c r="Q1577" s="66">
        <f t="shared" si="92"/>
        <v>-1.5339171833333332</v>
      </c>
    </row>
    <row r="1578" spans="1:17">
      <c r="A1578" s="102" t="s">
        <v>626</v>
      </c>
      <c r="B1578" s="160" t="s">
        <v>1681</v>
      </c>
      <c r="C1578" s="103" t="s">
        <v>2087</v>
      </c>
      <c r="D1578" s="102" t="s">
        <v>2088</v>
      </c>
      <c r="E1578" s="103" t="s">
        <v>164</v>
      </c>
      <c r="F1578" s="102" t="s">
        <v>1600</v>
      </c>
      <c r="G1578" s="103" t="s">
        <v>20</v>
      </c>
      <c r="H1578" s="103">
        <v>201609</v>
      </c>
      <c r="I1578" s="104">
        <v>-159.12</v>
      </c>
      <c r="J1578" s="297">
        <f t="shared" si="93"/>
        <v>42675</v>
      </c>
      <c r="K1578" s="67">
        <f t="shared" si="94"/>
        <v>6</v>
      </c>
      <c r="L1578" s="155">
        <v>1.4833299999999999E-3</v>
      </c>
      <c r="M1578" s="104">
        <f t="shared" si="95"/>
        <v>-1.4161648176000001</v>
      </c>
      <c r="O1578" s="66"/>
      <c r="Q1578" s="66">
        <f t="shared" si="92"/>
        <v>-2.63240835</v>
      </c>
    </row>
    <row r="1579" spans="1:17">
      <c r="A1579" s="102" t="s">
        <v>14</v>
      </c>
      <c r="B1579" s="160" t="s">
        <v>1681</v>
      </c>
      <c r="C1579" s="103" t="s">
        <v>2087</v>
      </c>
      <c r="D1579" s="102" t="s">
        <v>2088</v>
      </c>
      <c r="E1579" s="103" t="s">
        <v>164</v>
      </c>
      <c r="F1579" s="102" t="s">
        <v>1600</v>
      </c>
      <c r="G1579" s="103" t="s">
        <v>20</v>
      </c>
      <c r="H1579" s="103">
        <v>201609</v>
      </c>
      <c r="I1579" s="104">
        <v>-12.03</v>
      </c>
      <c r="J1579" s="297">
        <f t="shared" si="93"/>
        <v>42675</v>
      </c>
      <c r="K1579" s="67">
        <f t="shared" si="94"/>
        <v>6</v>
      </c>
      <c r="L1579" s="148">
        <v>2.23333E-3</v>
      </c>
      <c r="M1579" s="104">
        <f t="shared" si="95"/>
        <v>-0.16120175939999998</v>
      </c>
      <c r="O1579" s="66"/>
      <c r="Q1579" s="66">
        <f t="shared" si="92"/>
        <v>-0.19901880624999999</v>
      </c>
    </row>
    <row r="1580" spans="1:17">
      <c r="A1580" s="102" t="s">
        <v>626</v>
      </c>
      <c r="B1580" s="160" t="s">
        <v>1681</v>
      </c>
      <c r="C1580" s="103" t="s">
        <v>2089</v>
      </c>
      <c r="D1580" s="102" t="s">
        <v>2090</v>
      </c>
      <c r="E1580" s="103" t="s">
        <v>164</v>
      </c>
      <c r="F1580" s="102" t="s">
        <v>1600</v>
      </c>
      <c r="G1580" s="103" t="s">
        <v>20</v>
      </c>
      <c r="H1580" s="103">
        <v>201609</v>
      </c>
      <c r="I1580" s="104">
        <v>-32.909999999999997</v>
      </c>
      <c r="J1580" s="297">
        <f t="shared" si="93"/>
        <v>42675</v>
      </c>
      <c r="K1580" s="67">
        <f t="shared" si="94"/>
        <v>6</v>
      </c>
      <c r="L1580" s="155">
        <v>1.4833299999999999E-3</v>
      </c>
      <c r="M1580" s="104">
        <f t="shared" si="95"/>
        <v>-0.29289834179999996</v>
      </c>
      <c r="O1580" s="66"/>
      <c r="Q1580" s="66">
        <f t="shared" si="92"/>
        <v>-0.54444795624999998</v>
      </c>
    </row>
    <row r="1581" spans="1:17">
      <c r="A1581" s="102" t="s">
        <v>14</v>
      </c>
      <c r="B1581" s="160" t="s">
        <v>1681</v>
      </c>
      <c r="C1581" s="103" t="s">
        <v>2091</v>
      </c>
      <c r="D1581" s="102" t="s">
        <v>2092</v>
      </c>
      <c r="E1581" s="103" t="s">
        <v>93</v>
      </c>
      <c r="F1581" s="102" t="s">
        <v>1601</v>
      </c>
      <c r="G1581" s="103" t="s">
        <v>20</v>
      </c>
      <c r="H1581" s="103">
        <v>201609</v>
      </c>
      <c r="I1581" s="104">
        <v>-4.51</v>
      </c>
      <c r="J1581" s="297">
        <f t="shared" si="93"/>
        <v>42675</v>
      </c>
      <c r="K1581" s="67">
        <f t="shared" si="94"/>
        <v>6</v>
      </c>
      <c r="L1581" s="148">
        <v>2.23333E-3</v>
      </c>
      <c r="M1581" s="104">
        <f t="shared" si="95"/>
        <v>-6.0433909799999991E-2</v>
      </c>
      <c r="O1581" s="66"/>
      <c r="Q1581" s="66">
        <f t="shared" si="92"/>
        <v>-7.4611372916666668E-2</v>
      </c>
    </row>
    <row r="1582" spans="1:17">
      <c r="A1582" s="102" t="s">
        <v>626</v>
      </c>
      <c r="B1582" s="160" t="s">
        <v>1681</v>
      </c>
      <c r="C1582" s="103" t="s">
        <v>2093</v>
      </c>
      <c r="D1582" s="102" t="s">
        <v>2094</v>
      </c>
      <c r="E1582" s="103" t="s">
        <v>209</v>
      </c>
      <c r="F1582" s="102" t="s">
        <v>1612</v>
      </c>
      <c r="G1582" s="103" t="s">
        <v>20</v>
      </c>
      <c r="H1582" s="103">
        <v>201609</v>
      </c>
      <c r="I1582" s="104">
        <v>-65.12</v>
      </c>
      <c r="J1582" s="297">
        <f t="shared" si="93"/>
        <v>42675</v>
      </c>
      <c r="K1582" s="67">
        <f t="shared" si="94"/>
        <v>6</v>
      </c>
      <c r="L1582" s="155">
        <v>1.4833299999999999E-3</v>
      </c>
      <c r="M1582" s="104">
        <f t="shared" si="95"/>
        <v>-0.57956669760000001</v>
      </c>
      <c r="O1582" s="66"/>
      <c r="Q1582" s="66">
        <f t="shared" si="92"/>
        <v>-1.0773154333333335</v>
      </c>
    </row>
    <row r="1583" spans="1:17">
      <c r="A1583" s="102" t="s">
        <v>626</v>
      </c>
      <c r="B1583" s="160" t="s">
        <v>1681</v>
      </c>
      <c r="C1583" s="103" t="s">
        <v>2095</v>
      </c>
      <c r="D1583" s="102" t="s">
        <v>2096</v>
      </c>
      <c r="E1583" s="103" t="s">
        <v>164</v>
      </c>
      <c r="F1583" s="102" t="s">
        <v>1600</v>
      </c>
      <c r="G1583" s="103" t="s">
        <v>20</v>
      </c>
      <c r="H1583" s="103">
        <v>201609</v>
      </c>
      <c r="I1583" s="104">
        <v>-37.340000000000003</v>
      </c>
      <c r="J1583" s="297">
        <f t="shared" si="93"/>
        <v>42675</v>
      </c>
      <c r="K1583" s="67">
        <f t="shared" si="94"/>
        <v>6</v>
      </c>
      <c r="L1583" s="155">
        <v>1.4833299999999999E-3</v>
      </c>
      <c r="M1583" s="104">
        <f t="shared" si="95"/>
        <v>-0.33232525320000006</v>
      </c>
      <c r="O1583" s="66"/>
      <c r="Q1583" s="66">
        <f t="shared" si="92"/>
        <v>-0.61773584583333341</v>
      </c>
    </row>
    <row r="1584" spans="1:17">
      <c r="A1584" s="102" t="s">
        <v>14</v>
      </c>
      <c r="B1584" s="160" t="s">
        <v>1681</v>
      </c>
      <c r="C1584" s="103" t="s">
        <v>2323</v>
      </c>
      <c r="D1584" s="102" t="s">
        <v>2324</v>
      </c>
      <c r="E1584" s="103" t="s">
        <v>87</v>
      </c>
      <c r="F1584" s="102" t="s">
        <v>1603</v>
      </c>
      <c r="G1584" s="103" t="s">
        <v>20</v>
      </c>
      <c r="H1584" s="103">
        <v>201609</v>
      </c>
      <c r="I1584" s="104">
        <v>3896.83</v>
      </c>
      <c r="J1584" s="297">
        <f t="shared" si="93"/>
        <v>42675</v>
      </c>
      <c r="K1584" s="67">
        <f t="shared" si="94"/>
        <v>6</v>
      </c>
      <c r="L1584" s="148">
        <v>2.23333E-3</v>
      </c>
      <c r="M1584" s="104">
        <f t="shared" si="95"/>
        <v>52.217444063399995</v>
      </c>
      <c r="O1584" s="66"/>
      <c r="Q1584" s="66">
        <f t="shared" si="92"/>
        <v>64.467369472916658</v>
      </c>
    </row>
    <row r="1585" spans="1:17">
      <c r="A1585" s="102" t="s">
        <v>626</v>
      </c>
      <c r="B1585" s="160" t="s">
        <v>1681</v>
      </c>
      <c r="C1585" s="103" t="s">
        <v>2323</v>
      </c>
      <c r="D1585" s="102" t="s">
        <v>2324</v>
      </c>
      <c r="E1585" s="103" t="s">
        <v>87</v>
      </c>
      <c r="F1585" s="102" t="s">
        <v>1603</v>
      </c>
      <c r="G1585" s="103" t="s">
        <v>20</v>
      </c>
      <c r="H1585" s="103">
        <v>201609</v>
      </c>
      <c r="I1585" s="104">
        <v>45575.3</v>
      </c>
      <c r="J1585" s="297">
        <f t="shared" si="93"/>
        <v>42675</v>
      </c>
      <c r="K1585" s="67">
        <f t="shared" si="94"/>
        <v>6</v>
      </c>
      <c r="L1585" s="155">
        <v>1.4833299999999999E-3</v>
      </c>
      <c r="M1585" s="104">
        <f t="shared" si="95"/>
        <v>405.61925849400001</v>
      </c>
      <c r="O1585" s="66"/>
      <c r="Q1585" s="66">
        <f t="shared" si="92"/>
        <v>753.97687452083346</v>
      </c>
    </row>
    <row r="1586" spans="1:17">
      <c r="A1586" s="102" t="s">
        <v>626</v>
      </c>
      <c r="B1586" s="160" t="s">
        <v>1681</v>
      </c>
      <c r="C1586" s="103" t="s">
        <v>2325</v>
      </c>
      <c r="D1586" s="102" t="s">
        <v>2326</v>
      </c>
      <c r="E1586" s="103" t="s">
        <v>164</v>
      </c>
      <c r="F1586" s="102" t="s">
        <v>1600</v>
      </c>
      <c r="G1586" s="103" t="s">
        <v>20</v>
      </c>
      <c r="H1586" s="103">
        <v>201609</v>
      </c>
      <c r="I1586" s="104">
        <v>25917.72</v>
      </c>
      <c r="J1586" s="297">
        <f t="shared" si="93"/>
        <v>42675</v>
      </c>
      <c r="K1586" s="67">
        <f t="shared" si="94"/>
        <v>6</v>
      </c>
      <c r="L1586" s="155">
        <v>1.4833299999999999E-3</v>
      </c>
      <c r="M1586" s="104">
        <f t="shared" si="95"/>
        <v>230.66718964560002</v>
      </c>
      <c r="O1586" s="66"/>
      <c r="Q1586" s="66">
        <f t="shared" si="92"/>
        <v>428.77088072499998</v>
      </c>
    </row>
    <row r="1587" spans="1:17">
      <c r="A1587" s="102" t="s">
        <v>626</v>
      </c>
      <c r="B1587" s="160" t="s">
        <v>1681</v>
      </c>
      <c r="C1587" s="103" t="s">
        <v>2269</v>
      </c>
      <c r="D1587" s="102" t="s">
        <v>2270</v>
      </c>
      <c r="E1587" s="103" t="s">
        <v>93</v>
      </c>
      <c r="F1587" s="102" t="s">
        <v>1601</v>
      </c>
      <c r="G1587" s="103" t="s">
        <v>20</v>
      </c>
      <c r="H1587" s="103">
        <v>201609</v>
      </c>
      <c r="I1587" s="104">
        <v>-682.93</v>
      </c>
      <c r="J1587" s="297">
        <f t="shared" si="93"/>
        <v>42675</v>
      </c>
      <c r="K1587" s="67">
        <f t="shared" si="94"/>
        <v>6</v>
      </c>
      <c r="L1587" s="155">
        <v>1.4833299999999999E-3</v>
      </c>
      <c r="M1587" s="104">
        <f t="shared" si="95"/>
        <v>-6.0780633413999992</v>
      </c>
      <c r="O1587" s="66"/>
      <c r="Q1587" s="66">
        <f t="shared" si="92"/>
        <v>-11.298080910416667</v>
      </c>
    </row>
    <row r="1588" spans="1:17">
      <c r="A1588" s="102" t="s">
        <v>14</v>
      </c>
      <c r="B1588" s="160" t="s">
        <v>1681</v>
      </c>
      <c r="C1588" s="103" t="s">
        <v>2097</v>
      </c>
      <c r="D1588" s="102" t="s">
        <v>2098</v>
      </c>
      <c r="E1588" s="103" t="s">
        <v>260</v>
      </c>
      <c r="F1588" s="102" t="s">
        <v>1608</v>
      </c>
      <c r="G1588" s="103" t="s">
        <v>20</v>
      </c>
      <c r="H1588" s="103">
        <v>201609</v>
      </c>
      <c r="I1588" s="104">
        <v>149.4</v>
      </c>
      <c r="J1588" s="297">
        <f t="shared" si="93"/>
        <v>42675</v>
      </c>
      <c r="K1588" s="67">
        <f t="shared" si="94"/>
        <v>6</v>
      </c>
      <c r="L1588" s="148">
        <v>2.23333E-3</v>
      </c>
      <c r="M1588" s="104">
        <f t="shared" si="95"/>
        <v>2.0019570120000001</v>
      </c>
      <c r="O1588" s="66"/>
      <c r="Q1588" s="66">
        <f t="shared" si="92"/>
        <v>2.4716051250000004</v>
      </c>
    </row>
    <row r="1589" spans="1:17">
      <c r="A1589" s="102" t="s">
        <v>626</v>
      </c>
      <c r="B1589" s="160" t="s">
        <v>1681</v>
      </c>
      <c r="C1589" s="103" t="s">
        <v>2097</v>
      </c>
      <c r="D1589" s="102" t="s">
        <v>2098</v>
      </c>
      <c r="E1589" s="103" t="s">
        <v>260</v>
      </c>
      <c r="F1589" s="102" t="s">
        <v>1608</v>
      </c>
      <c r="G1589" s="103" t="s">
        <v>20</v>
      </c>
      <c r="H1589" s="103">
        <v>201609</v>
      </c>
      <c r="I1589" s="104">
        <v>1197.29</v>
      </c>
      <c r="J1589" s="297">
        <f t="shared" si="93"/>
        <v>42675</v>
      </c>
      <c r="K1589" s="67">
        <f t="shared" si="94"/>
        <v>6</v>
      </c>
      <c r="L1589" s="155">
        <v>1.4833299999999999E-3</v>
      </c>
      <c r="M1589" s="104">
        <f t="shared" si="95"/>
        <v>10.6558570542</v>
      </c>
      <c r="O1589" s="66"/>
      <c r="Q1589" s="66">
        <f t="shared" si="92"/>
        <v>19.807417002083334</v>
      </c>
    </row>
    <row r="1590" spans="1:17">
      <c r="A1590" s="102" t="s">
        <v>14</v>
      </c>
      <c r="B1590" s="160" t="s">
        <v>1681</v>
      </c>
      <c r="C1590" s="103" t="s">
        <v>2099</v>
      </c>
      <c r="D1590" s="102" t="s">
        <v>2100</v>
      </c>
      <c r="E1590" s="103" t="s">
        <v>260</v>
      </c>
      <c r="F1590" s="102" t="s">
        <v>1608</v>
      </c>
      <c r="G1590" s="103" t="s">
        <v>20</v>
      </c>
      <c r="H1590" s="103">
        <v>201609</v>
      </c>
      <c r="I1590" s="104">
        <v>107.82</v>
      </c>
      <c r="J1590" s="297">
        <f t="shared" si="93"/>
        <v>42675</v>
      </c>
      <c r="K1590" s="67">
        <f t="shared" si="94"/>
        <v>6</v>
      </c>
      <c r="L1590" s="148">
        <v>2.23333E-3</v>
      </c>
      <c r="M1590" s="104">
        <f t="shared" si="95"/>
        <v>1.4447858435999998</v>
      </c>
      <c r="O1590" s="66"/>
      <c r="Q1590" s="66">
        <f t="shared" si="92"/>
        <v>1.7837246624999998</v>
      </c>
    </row>
    <row r="1591" spans="1:17">
      <c r="A1591" s="102" t="s">
        <v>626</v>
      </c>
      <c r="B1591" s="160" t="s">
        <v>1681</v>
      </c>
      <c r="C1591" s="103" t="s">
        <v>2099</v>
      </c>
      <c r="D1591" s="102" t="s">
        <v>2100</v>
      </c>
      <c r="E1591" s="103" t="s">
        <v>260</v>
      </c>
      <c r="F1591" s="102" t="s">
        <v>1608</v>
      </c>
      <c r="G1591" s="103" t="s">
        <v>20</v>
      </c>
      <c r="H1591" s="103">
        <v>201609</v>
      </c>
      <c r="I1591" s="104">
        <v>2954.21</v>
      </c>
      <c r="J1591" s="297">
        <f t="shared" si="93"/>
        <v>42675</v>
      </c>
      <c r="K1591" s="67">
        <f t="shared" si="94"/>
        <v>6</v>
      </c>
      <c r="L1591" s="155">
        <v>1.4833299999999999E-3</v>
      </c>
      <c r="M1591" s="104">
        <f t="shared" si="95"/>
        <v>26.2924099158</v>
      </c>
      <c r="O1591" s="66"/>
      <c r="Q1591" s="66">
        <f t="shared" si="92"/>
        <v>48.87309622708333</v>
      </c>
    </row>
    <row r="1592" spans="1:17">
      <c r="A1592" s="102" t="s">
        <v>14</v>
      </c>
      <c r="B1592" s="160" t="s">
        <v>1681</v>
      </c>
      <c r="C1592" s="103" t="s">
        <v>2271</v>
      </c>
      <c r="D1592" s="102" t="s">
        <v>2272</v>
      </c>
      <c r="E1592" s="103" t="s">
        <v>260</v>
      </c>
      <c r="F1592" s="102" t="s">
        <v>1608</v>
      </c>
      <c r="G1592" s="103" t="s">
        <v>20</v>
      </c>
      <c r="H1592" s="103">
        <v>201609</v>
      </c>
      <c r="I1592" s="104">
        <v>71.91</v>
      </c>
      <c r="J1592" s="297">
        <f t="shared" si="93"/>
        <v>42675</v>
      </c>
      <c r="K1592" s="67">
        <f t="shared" si="94"/>
        <v>6</v>
      </c>
      <c r="L1592" s="148">
        <v>2.23333E-3</v>
      </c>
      <c r="M1592" s="104">
        <f t="shared" si="95"/>
        <v>0.96359256179999986</v>
      </c>
      <c r="O1592" s="66"/>
      <c r="Q1592" s="66">
        <f t="shared" si="92"/>
        <v>1.18964608125</v>
      </c>
    </row>
    <row r="1593" spans="1:17">
      <c r="A1593" s="102" t="s">
        <v>626</v>
      </c>
      <c r="B1593" s="160" t="s">
        <v>1681</v>
      </c>
      <c r="C1593" s="103" t="s">
        <v>2271</v>
      </c>
      <c r="D1593" s="102" t="s">
        <v>2272</v>
      </c>
      <c r="E1593" s="103" t="s">
        <v>260</v>
      </c>
      <c r="F1593" s="102" t="s">
        <v>1608</v>
      </c>
      <c r="G1593" s="103" t="s">
        <v>20</v>
      </c>
      <c r="H1593" s="103">
        <v>201609</v>
      </c>
      <c r="I1593" s="104">
        <v>8085.45</v>
      </c>
      <c r="J1593" s="297">
        <f t="shared" si="93"/>
        <v>42675</v>
      </c>
      <c r="K1593" s="67">
        <f t="shared" si="94"/>
        <v>6</v>
      </c>
      <c r="L1593" s="155">
        <v>1.4833299999999999E-3</v>
      </c>
      <c r="M1593" s="104">
        <f t="shared" si="95"/>
        <v>71.960343291000001</v>
      </c>
      <c r="O1593" s="66"/>
      <c r="Q1593" s="66">
        <f t="shared" si="92"/>
        <v>133.76197896875001</v>
      </c>
    </row>
    <row r="1594" spans="1:17">
      <c r="A1594" s="102" t="s">
        <v>626</v>
      </c>
      <c r="B1594" s="160" t="s">
        <v>1681</v>
      </c>
      <c r="C1594" s="103" t="s">
        <v>2101</v>
      </c>
      <c r="D1594" s="102" t="s">
        <v>2102</v>
      </c>
      <c r="E1594" s="103" t="s">
        <v>260</v>
      </c>
      <c r="F1594" s="102" t="s">
        <v>1608</v>
      </c>
      <c r="G1594" s="103" t="s">
        <v>20</v>
      </c>
      <c r="H1594" s="103">
        <v>201609</v>
      </c>
      <c r="I1594" s="104">
        <v>300.36</v>
      </c>
      <c r="J1594" s="297">
        <f t="shared" si="93"/>
        <v>42675</v>
      </c>
      <c r="K1594" s="67">
        <f t="shared" si="94"/>
        <v>6</v>
      </c>
      <c r="L1594" s="155">
        <v>1.4833299999999999E-3</v>
      </c>
      <c r="M1594" s="104">
        <f t="shared" si="95"/>
        <v>2.6731979928</v>
      </c>
      <c r="O1594" s="66"/>
      <c r="Q1594" s="66">
        <f t="shared" si="92"/>
        <v>4.9690181750000004</v>
      </c>
    </row>
    <row r="1595" spans="1:17">
      <c r="A1595" s="102" t="s">
        <v>626</v>
      </c>
      <c r="B1595" s="160" t="s">
        <v>1681</v>
      </c>
      <c r="C1595" s="103" t="s">
        <v>2273</v>
      </c>
      <c r="D1595" s="102" t="s">
        <v>2274</v>
      </c>
      <c r="E1595" s="103" t="s">
        <v>260</v>
      </c>
      <c r="F1595" s="102" t="s">
        <v>1608</v>
      </c>
      <c r="G1595" s="103" t="s">
        <v>20</v>
      </c>
      <c r="H1595" s="103">
        <v>201609</v>
      </c>
      <c r="I1595" s="104">
        <v>505.24</v>
      </c>
      <c r="J1595" s="297">
        <f t="shared" si="93"/>
        <v>42675</v>
      </c>
      <c r="K1595" s="67">
        <f t="shared" si="94"/>
        <v>6</v>
      </c>
      <c r="L1595" s="155">
        <v>1.4833299999999999E-3</v>
      </c>
      <c r="M1595" s="104">
        <f t="shared" si="95"/>
        <v>4.4966258952000002</v>
      </c>
      <c r="O1595" s="66"/>
      <c r="Q1595" s="66">
        <f t="shared" si="92"/>
        <v>8.3584589916666658</v>
      </c>
    </row>
    <row r="1596" spans="1:17">
      <c r="A1596" s="102" t="s">
        <v>626</v>
      </c>
      <c r="B1596" s="160" t="s">
        <v>1681</v>
      </c>
      <c r="C1596" s="103" t="s">
        <v>2113</v>
      </c>
      <c r="D1596" s="102" t="s">
        <v>2114</v>
      </c>
      <c r="E1596" s="103" t="s">
        <v>87</v>
      </c>
      <c r="F1596" s="102" t="s">
        <v>1603</v>
      </c>
      <c r="G1596" s="103" t="s">
        <v>20</v>
      </c>
      <c r="H1596" s="103">
        <v>201609</v>
      </c>
      <c r="I1596" s="104">
        <v>-31.77</v>
      </c>
      <c r="J1596" s="297">
        <f t="shared" si="93"/>
        <v>42675</v>
      </c>
      <c r="K1596" s="67">
        <f t="shared" si="94"/>
        <v>6</v>
      </c>
      <c r="L1596" s="155">
        <v>1.4833299999999999E-3</v>
      </c>
      <c r="M1596" s="104">
        <f t="shared" si="95"/>
        <v>-0.28275236459999997</v>
      </c>
      <c r="O1596" s="66"/>
      <c r="Q1596" s="66">
        <f t="shared" si="92"/>
        <v>-0.52558831875000001</v>
      </c>
    </row>
    <row r="1597" spans="1:17">
      <c r="A1597" s="102" t="s">
        <v>626</v>
      </c>
      <c r="B1597" s="160" t="s">
        <v>1681</v>
      </c>
      <c r="C1597" s="103" t="s">
        <v>2103</v>
      </c>
      <c r="D1597" s="102" t="s">
        <v>2104</v>
      </c>
      <c r="E1597" s="103" t="s">
        <v>93</v>
      </c>
      <c r="F1597" s="102" t="s">
        <v>1601</v>
      </c>
      <c r="G1597" s="103" t="s">
        <v>20</v>
      </c>
      <c r="H1597" s="103">
        <v>201609</v>
      </c>
      <c r="I1597" s="104">
        <v>-5.28</v>
      </c>
      <c r="J1597" s="297">
        <f t="shared" si="93"/>
        <v>42675</v>
      </c>
      <c r="K1597" s="67">
        <f t="shared" si="94"/>
        <v>6</v>
      </c>
      <c r="L1597" s="155">
        <v>1.4833299999999999E-3</v>
      </c>
      <c r="M1597" s="104">
        <f t="shared" si="95"/>
        <v>-4.6991894400000005E-2</v>
      </c>
      <c r="O1597" s="66"/>
      <c r="Q1597" s="66">
        <f t="shared" si="92"/>
        <v>-8.7349900000000008E-2</v>
      </c>
    </row>
    <row r="1598" spans="1:17">
      <c r="A1598" s="102" t="s">
        <v>626</v>
      </c>
      <c r="B1598" s="160" t="s">
        <v>1681</v>
      </c>
      <c r="C1598" s="103" t="s">
        <v>2105</v>
      </c>
      <c r="D1598" s="102" t="s">
        <v>2106</v>
      </c>
      <c r="E1598" s="103" t="s">
        <v>75</v>
      </c>
      <c r="F1598" s="102" t="s">
        <v>1602</v>
      </c>
      <c r="G1598" s="103" t="s">
        <v>20</v>
      </c>
      <c r="H1598" s="103">
        <v>201609</v>
      </c>
      <c r="I1598" s="104">
        <v>-896.23</v>
      </c>
      <c r="J1598" s="297">
        <f t="shared" si="93"/>
        <v>42675</v>
      </c>
      <c r="K1598" s="67">
        <f t="shared" si="94"/>
        <v>6</v>
      </c>
      <c r="L1598" s="155">
        <v>1.4833299999999999E-3</v>
      </c>
      <c r="M1598" s="104">
        <f t="shared" si="95"/>
        <v>-7.9764290754000005</v>
      </c>
      <c r="O1598" s="66"/>
      <c r="Q1598" s="66">
        <f t="shared" si="92"/>
        <v>-14.826818347916669</v>
      </c>
    </row>
    <row r="1599" spans="1:17">
      <c r="A1599" s="102" t="s">
        <v>626</v>
      </c>
      <c r="B1599" s="160" t="s">
        <v>1681</v>
      </c>
      <c r="C1599" s="103" t="s">
        <v>2275</v>
      </c>
      <c r="D1599" s="102" t="s">
        <v>2276</v>
      </c>
      <c r="E1599" s="103" t="s">
        <v>75</v>
      </c>
      <c r="F1599" s="102" t="s">
        <v>1602</v>
      </c>
      <c r="G1599" s="103" t="s">
        <v>20</v>
      </c>
      <c r="H1599" s="103">
        <v>201609</v>
      </c>
      <c r="I1599" s="104">
        <v>-268.17</v>
      </c>
      <c r="J1599" s="297">
        <f t="shared" si="93"/>
        <v>42675</v>
      </c>
      <c r="K1599" s="67">
        <f t="shared" si="94"/>
        <v>6</v>
      </c>
      <c r="L1599" s="155">
        <v>1.4833299999999999E-3</v>
      </c>
      <c r="M1599" s="104">
        <f t="shared" si="95"/>
        <v>-2.3867076366000002</v>
      </c>
      <c r="O1599" s="66"/>
      <c r="Q1599" s="66">
        <f t="shared" si="92"/>
        <v>-4.4364815687500005</v>
      </c>
    </row>
    <row r="1600" spans="1:17">
      <c r="A1600" s="102" t="s">
        <v>626</v>
      </c>
      <c r="B1600" s="160" t="s">
        <v>1681</v>
      </c>
      <c r="C1600" s="103" t="s">
        <v>2111</v>
      </c>
      <c r="D1600" s="102" t="s">
        <v>2112</v>
      </c>
      <c r="E1600" s="103" t="s">
        <v>164</v>
      </c>
      <c r="F1600" s="102" t="s">
        <v>1600</v>
      </c>
      <c r="G1600" s="103" t="s">
        <v>20</v>
      </c>
      <c r="H1600" s="103">
        <v>201609</v>
      </c>
      <c r="I1600" s="104">
        <v>-86.02</v>
      </c>
      <c r="J1600" s="297">
        <f t="shared" si="93"/>
        <v>42675</v>
      </c>
      <c r="K1600" s="67">
        <f t="shared" si="94"/>
        <v>6</v>
      </c>
      <c r="L1600" s="155">
        <v>1.4833299999999999E-3</v>
      </c>
      <c r="M1600" s="104">
        <f t="shared" si="95"/>
        <v>-0.76557627959999996</v>
      </c>
      <c r="O1600" s="66"/>
      <c r="Q1600" s="66">
        <f t="shared" si="92"/>
        <v>-1.4230754541666666</v>
      </c>
    </row>
    <row r="1601" spans="1:17">
      <c r="A1601" s="102" t="s">
        <v>14</v>
      </c>
      <c r="B1601" s="160" t="s">
        <v>1681</v>
      </c>
      <c r="C1601" s="103" t="s">
        <v>2111</v>
      </c>
      <c r="D1601" s="102" t="s">
        <v>2112</v>
      </c>
      <c r="E1601" s="103" t="s">
        <v>164</v>
      </c>
      <c r="F1601" s="102" t="s">
        <v>1600</v>
      </c>
      <c r="G1601" s="103" t="s">
        <v>20</v>
      </c>
      <c r="H1601" s="103">
        <v>201609</v>
      </c>
      <c r="I1601" s="104">
        <v>-9.93</v>
      </c>
      <c r="J1601" s="297">
        <f t="shared" si="93"/>
        <v>42675</v>
      </c>
      <c r="K1601" s="67">
        <f t="shared" si="94"/>
        <v>6</v>
      </c>
      <c r="L1601" s="148">
        <v>2.23333E-3</v>
      </c>
      <c r="M1601" s="104">
        <f t="shared" si="95"/>
        <v>-0.13306180139999998</v>
      </c>
      <c r="O1601" s="66"/>
      <c r="Q1601" s="66">
        <f t="shared" si="92"/>
        <v>-0.16427736875000001</v>
      </c>
    </row>
    <row r="1602" spans="1:17">
      <c r="A1602" s="102" t="s">
        <v>14</v>
      </c>
      <c r="B1602" s="160" t="s">
        <v>1681</v>
      </c>
      <c r="C1602" s="103" t="s">
        <v>2327</v>
      </c>
      <c r="D1602" s="102" t="s">
        <v>2328</v>
      </c>
      <c r="E1602" s="103" t="s">
        <v>164</v>
      </c>
      <c r="F1602" s="102" t="s">
        <v>1600</v>
      </c>
      <c r="G1602" s="103" t="s">
        <v>20</v>
      </c>
      <c r="H1602" s="103">
        <v>201609</v>
      </c>
      <c r="I1602" s="104">
        <v>380.11</v>
      </c>
      <c r="J1602" s="297">
        <f t="shared" si="93"/>
        <v>42675</v>
      </c>
      <c r="K1602" s="67">
        <f t="shared" si="94"/>
        <v>6</v>
      </c>
      <c r="L1602" s="148">
        <v>2.23333E-3</v>
      </c>
      <c r="M1602" s="104">
        <f t="shared" si="95"/>
        <v>5.0934663977999994</v>
      </c>
      <c r="O1602" s="66"/>
      <c r="Q1602" s="66">
        <f t="shared" si="92"/>
        <v>6.2883656229166673</v>
      </c>
    </row>
    <row r="1603" spans="1:17">
      <c r="A1603" s="102" t="s">
        <v>626</v>
      </c>
      <c r="B1603" s="160" t="s">
        <v>1681</v>
      </c>
      <c r="C1603" s="103" t="s">
        <v>2327</v>
      </c>
      <c r="D1603" s="102" t="s">
        <v>2328</v>
      </c>
      <c r="E1603" s="103" t="s">
        <v>164</v>
      </c>
      <c r="F1603" s="102" t="s">
        <v>1600</v>
      </c>
      <c r="G1603" s="103" t="s">
        <v>20</v>
      </c>
      <c r="H1603" s="103">
        <v>201609</v>
      </c>
      <c r="I1603" s="104">
        <v>17941.150000000001</v>
      </c>
      <c r="J1603" s="297">
        <f t="shared" si="93"/>
        <v>42675</v>
      </c>
      <c r="K1603" s="67">
        <f t="shared" si="94"/>
        <v>6</v>
      </c>
      <c r="L1603" s="155">
        <v>1.4833299999999999E-3</v>
      </c>
      <c r="M1603" s="104">
        <f t="shared" si="95"/>
        <v>159.67587617700002</v>
      </c>
      <c r="O1603" s="66"/>
      <c r="Q1603" s="66">
        <f t="shared" si="92"/>
        <v>296.81016257291674</v>
      </c>
    </row>
    <row r="1604" spans="1:17">
      <c r="A1604" s="102" t="s">
        <v>626</v>
      </c>
      <c r="B1604" s="160" t="s">
        <v>1681</v>
      </c>
      <c r="C1604" s="103" t="s">
        <v>2277</v>
      </c>
      <c r="D1604" s="102" t="s">
        <v>2278</v>
      </c>
      <c r="E1604" s="103" t="s">
        <v>75</v>
      </c>
      <c r="F1604" s="102" t="s">
        <v>1602</v>
      </c>
      <c r="G1604" s="103" t="s">
        <v>20</v>
      </c>
      <c r="H1604" s="103">
        <v>201609</v>
      </c>
      <c r="I1604" s="104">
        <v>-213.01</v>
      </c>
      <c r="J1604" s="297">
        <f t="shared" si="93"/>
        <v>42675</v>
      </c>
      <c r="K1604" s="67">
        <f t="shared" si="94"/>
        <v>6</v>
      </c>
      <c r="L1604" s="155">
        <v>1.4833299999999999E-3</v>
      </c>
      <c r="M1604" s="104">
        <f t="shared" si="95"/>
        <v>-1.8957847397999998</v>
      </c>
      <c r="O1604" s="66"/>
      <c r="Q1604" s="66">
        <f t="shared" si="92"/>
        <v>-3.5239398104166666</v>
      </c>
    </row>
    <row r="1605" spans="1:17">
      <c r="A1605" s="102" t="s">
        <v>14</v>
      </c>
      <c r="B1605" s="160" t="s">
        <v>1681</v>
      </c>
      <c r="C1605" s="103" t="s">
        <v>2277</v>
      </c>
      <c r="D1605" s="102" t="s">
        <v>2278</v>
      </c>
      <c r="E1605" s="103" t="s">
        <v>75</v>
      </c>
      <c r="F1605" s="102" t="s">
        <v>1602</v>
      </c>
      <c r="G1605" s="103" t="s">
        <v>20</v>
      </c>
      <c r="H1605" s="103">
        <v>201609</v>
      </c>
      <c r="I1605" s="104">
        <v>-10.8</v>
      </c>
      <c r="J1605" s="297">
        <f t="shared" si="93"/>
        <v>42675</v>
      </c>
      <c r="K1605" s="67">
        <f t="shared" si="94"/>
        <v>6</v>
      </c>
      <c r="L1605" s="148">
        <v>2.23333E-3</v>
      </c>
      <c r="M1605" s="104">
        <f t="shared" si="95"/>
        <v>-0.14471978399999999</v>
      </c>
      <c r="O1605" s="66"/>
      <c r="Q1605" s="66">
        <f t="shared" si="92"/>
        <v>-0.17867025000000003</v>
      </c>
    </row>
    <row r="1606" spans="1:17">
      <c r="A1606" s="102" t="s">
        <v>21</v>
      </c>
      <c r="B1606" s="160" t="s">
        <v>1681</v>
      </c>
      <c r="C1606" s="103" t="s">
        <v>2279</v>
      </c>
      <c r="D1606" s="102" t="s">
        <v>2280</v>
      </c>
      <c r="E1606" s="103" t="s">
        <v>87</v>
      </c>
      <c r="F1606" s="102" t="s">
        <v>1603</v>
      </c>
      <c r="G1606" s="103" t="s">
        <v>20</v>
      </c>
      <c r="H1606" s="103">
        <v>201609</v>
      </c>
      <c r="I1606" s="104">
        <v>-3195.15</v>
      </c>
      <c r="J1606" s="297">
        <f t="shared" si="93"/>
        <v>42675</v>
      </c>
      <c r="K1606" s="67">
        <f t="shared" si="94"/>
        <v>6</v>
      </c>
      <c r="L1606" s="155">
        <v>1.4833299999999999E-3</v>
      </c>
      <c r="M1606" s="104">
        <f t="shared" si="95"/>
        <v>-28.436771097000001</v>
      </c>
      <c r="O1606" s="66"/>
      <c r="Q1606" s="66">
        <f t="shared" ref="Q1606:Q1616" si="96">($Q$4*0.5*I1606*$T$10)</f>
        <v>-52.859097156250002</v>
      </c>
    </row>
    <row r="1607" spans="1:17">
      <c r="A1607" s="102" t="s">
        <v>21</v>
      </c>
      <c r="B1607" s="160" t="s">
        <v>1681</v>
      </c>
      <c r="C1607" s="103" t="s">
        <v>2107</v>
      </c>
      <c r="D1607" s="102" t="s">
        <v>2108</v>
      </c>
      <c r="E1607" s="103" t="s">
        <v>209</v>
      </c>
      <c r="F1607" s="102" t="s">
        <v>1612</v>
      </c>
      <c r="G1607" s="103" t="s">
        <v>20</v>
      </c>
      <c r="H1607" s="103">
        <v>201609</v>
      </c>
      <c r="I1607" s="104">
        <v>-47.6</v>
      </c>
      <c r="J1607" s="297">
        <f t="shared" ref="J1607:J1670" si="97">+J1606</f>
        <v>42675</v>
      </c>
      <c r="K1607" s="67">
        <f t="shared" si="94"/>
        <v>6</v>
      </c>
      <c r="L1607" s="155">
        <v>1.4833299999999999E-3</v>
      </c>
      <c r="M1607" s="104">
        <f t="shared" si="95"/>
        <v>-0.42363904800000002</v>
      </c>
      <c r="O1607" s="66"/>
      <c r="Q1607" s="66">
        <f t="shared" si="96"/>
        <v>-0.78747258333333336</v>
      </c>
    </row>
    <row r="1608" spans="1:17">
      <c r="A1608" s="102" t="s">
        <v>626</v>
      </c>
      <c r="B1608" s="160" t="s">
        <v>1681</v>
      </c>
      <c r="C1608" s="103" t="s">
        <v>2281</v>
      </c>
      <c r="D1608" s="102" t="s">
        <v>2282</v>
      </c>
      <c r="E1608" s="103" t="s">
        <v>260</v>
      </c>
      <c r="F1608" s="102" t="s">
        <v>1608</v>
      </c>
      <c r="G1608" s="103" t="s">
        <v>20</v>
      </c>
      <c r="H1608" s="103">
        <v>201609</v>
      </c>
      <c r="I1608" s="104">
        <v>-2112.2600000000002</v>
      </c>
      <c r="J1608" s="297">
        <f t="shared" si="97"/>
        <v>42675</v>
      </c>
      <c r="K1608" s="67">
        <f t="shared" si="94"/>
        <v>6</v>
      </c>
      <c r="L1608" s="155">
        <v>1.4833299999999999E-3</v>
      </c>
      <c r="M1608" s="104">
        <f t="shared" si="95"/>
        <v>-18.799071754800003</v>
      </c>
      <c r="O1608" s="66"/>
      <c r="Q1608" s="66">
        <f t="shared" si="96"/>
        <v>-34.944261320833341</v>
      </c>
    </row>
    <row r="1609" spans="1:17">
      <c r="A1609" s="102" t="s">
        <v>626</v>
      </c>
      <c r="B1609" s="160" t="s">
        <v>1681</v>
      </c>
      <c r="C1609" s="103" t="s">
        <v>2109</v>
      </c>
      <c r="D1609" s="102" t="s">
        <v>2110</v>
      </c>
      <c r="E1609" s="103" t="s">
        <v>75</v>
      </c>
      <c r="F1609" s="102" t="s">
        <v>1602</v>
      </c>
      <c r="G1609" s="103" t="s">
        <v>20</v>
      </c>
      <c r="H1609" s="103">
        <v>201609</v>
      </c>
      <c r="I1609" s="104">
        <v>-545.55999999999995</v>
      </c>
      <c r="J1609" s="297">
        <f t="shared" si="97"/>
        <v>42675</v>
      </c>
      <c r="K1609" s="67">
        <f t="shared" si="94"/>
        <v>6</v>
      </c>
      <c r="L1609" s="155">
        <v>1.4833299999999999E-3</v>
      </c>
      <c r="M1609" s="104">
        <f t="shared" si="95"/>
        <v>-4.8554730887999993</v>
      </c>
      <c r="O1609" s="66"/>
      <c r="Q1609" s="66">
        <f t="shared" si="96"/>
        <v>-9.025494591666666</v>
      </c>
    </row>
    <row r="1610" spans="1:17">
      <c r="A1610" s="102" t="s">
        <v>14</v>
      </c>
      <c r="B1610" s="160" t="s">
        <v>1681</v>
      </c>
      <c r="C1610" s="103" t="s">
        <v>2109</v>
      </c>
      <c r="D1610" s="102" t="s">
        <v>2110</v>
      </c>
      <c r="E1610" s="103" t="s">
        <v>75</v>
      </c>
      <c r="F1610" s="102" t="s">
        <v>1602</v>
      </c>
      <c r="G1610" s="103" t="s">
        <v>20</v>
      </c>
      <c r="H1610" s="103">
        <v>201609</v>
      </c>
      <c r="I1610" s="104">
        <v>-72.16</v>
      </c>
      <c r="J1610" s="297">
        <f t="shared" si="97"/>
        <v>42675</v>
      </c>
      <c r="K1610" s="67">
        <f t="shared" si="94"/>
        <v>6</v>
      </c>
      <c r="L1610" s="148">
        <v>2.23333E-3</v>
      </c>
      <c r="M1610" s="104">
        <f t="shared" si="95"/>
        <v>-0.96694255679999985</v>
      </c>
      <c r="O1610" s="66"/>
      <c r="Q1610" s="66">
        <f t="shared" si="96"/>
        <v>-1.1937819666666667</v>
      </c>
    </row>
    <row r="1611" spans="1:17">
      <c r="A1611" s="102" t="s">
        <v>21</v>
      </c>
      <c r="B1611" s="160" t="s">
        <v>1681</v>
      </c>
      <c r="C1611" s="103" t="s">
        <v>2109</v>
      </c>
      <c r="D1611" s="102" t="s">
        <v>2110</v>
      </c>
      <c r="E1611" s="103" t="s">
        <v>75</v>
      </c>
      <c r="F1611" s="102" t="s">
        <v>1602</v>
      </c>
      <c r="G1611" s="103" t="s">
        <v>20</v>
      </c>
      <c r="H1611" s="103">
        <v>201609</v>
      </c>
      <c r="I1611" s="104">
        <v>-48.29</v>
      </c>
      <c r="J1611" s="297">
        <f t="shared" si="97"/>
        <v>42675</v>
      </c>
      <c r="K1611" s="67">
        <f t="shared" si="94"/>
        <v>6</v>
      </c>
      <c r="L1611" s="155">
        <v>1.4833299999999999E-3</v>
      </c>
      <c r="M1611" s="104">
        <f t="shared" si="95"/>
        <v>-0.42978003419999999</v>
      </c>
      <c r="O1611" s="66"/>
      <c r="Q1611" s="66">
        <f t="shared" si="96"/>
        <v>-0.79888762708333338</v>
      </c>
    </row>
    <row r="1612" spans="1:17">
      <c r="A1612" s="102" t="s">
        <v>626</v>
      </c>
      <c r="B1612" s="160" t="s">
        <v>1681</v>
      </c>
      <c r="C1612" s="103" t="s">
        <v>2283</v>
      </c>
      <c r="D1612" s="102" t="s">
        <v>2284</v>
      </c>
      <c r="E1612" s="103" t="s">
        <v>260</v>
      </c>
      <c r="F1612" s="102" t="s">
        <v>1608</v>
      </c>
      <c r="G1612" s="103" t="s">
        <v>20</v>
      </c>
      <c r="H1612" s="103">
        <v>201609</v>
      </c>
      <c r="I1612" s="104">
        <v>-9.18</v>
      </c>
      <c r="J1612" s="297">
        <f t="shared" si="97"/>
        <v>42675</v>
      </c>
      <c r="K1612" s="67">
        <f t="shared" si="94"/>
        <v>6</v>
      </c>
      <c r="L1612" s="155">
        <v>1.4833299999999999E-3</v>
      </c>
      <c r="M1612" s="104">
        <f t="shared" si="95"/>
        <v>-8.1701816400000002E-2</v>
      </c>
      <c r="O1612" s="66"/>
      <c r="Q1612" s="66">
        <f t="shared" si="96"/>
        <v>-0.15186971249999998</v>
      </c>
    </row>
    <row r="1613" spans="1:17">
      <c r="A1613" s="102" t="s">
        <v>14</v>
      </c>
      <c r="B1613" s="160" t="s">
        <v>1681</v>
      </c>
      <c r="C1613" s="103" t="s">
        <v>2285</v>
      </c>
      <c r="D1613" s="102" t="s">
        <v>2286</v>
      </c>
      <c r="E1613" s="103" t="s">
        <v>260</v>
      </c>
      <c r="F1613" s="102" t="s">
        <v>1608</v>
      </c>
      <c r="G1613" s="103" t="s">
        <v>20</v>
      </c>
      <c r="H1613" s="103">
        <v>201609</v>
      </c>
      <c r="I1613" s="104">
        <v>95.08</v>
      </c>
      <c r="J1613" s="297">
        <f t="shared" si="97"/>
        <v>42675</v>
      </c>
      <c r="K1613" s="67">
        <f t="shared" si="94"/>
        <v>6</v>
      </c>
      <c r="L1613" s="148">
        <v>2.23333E-3</v>
      </c>
      <c r="M1613" s="104">
        <f t="shared" si="95"/>
        <v>1.2740700984</v>
      </c>
      <c r="O1613" s="66"/>
      <c r="Q1613" s="66">
        <f t="shared" si="96"/>
        <v>1.5729599416666666</v>
      </c>
    </row>
    <row r="1614" spans="1:17">
      <c r="A1614" s="102" t="s">
        <v>626</v>
      </c>
      <c r="B1614" s="160" t="s">
        <v>1681</v>
      </c>
      <c r="C1614" s="103" t="s">
        <v>2285</v>
      </c>
      <c r="D1614" s="102" t="s">
        <v>2286</v>
      </c>
      <c r="E1614" s="103" t="s">
        <v>260</v>
      </c>
      <c r="F1614" s="102" t="s">
        <v>1608</v>
      </c>
      <c r="G1614" s="103" t="s">
        <v>20</v>
      </c>
      <c r="H1614" s="103">
        <v>201609</v>
      </c>
      <c r="I1614" s="104">
        <v>5675.58</v>
      </c>
      <c r="J1614" s="297">
        <f t="shared" si="97"/>
        <v>42675</v>
      </c>
      <c r="K1614" s="67">
        <f t="shared" si="94"/>
        <v>6</v>
      </c>
      <c r="L1614" s="155">
        <v>1.4833299999999999E-3</v>
      </c>
      <c r="M1614" s="104">
        <f t="shared" si="95"/>
        <v>50.5125484884</v>
      </c>
      <c r="O1614" s="66"/>
      <c r="Q1614" s="66">
        <f t="shared" si="96"/>
        <v>93.894194212499997</v>
      </c>
    </row>
    <row r="1615" spans="1:17">
      <c r="A1615" s="102" t="s">
        <v>626</v>
      </c>
      <c r="B1615" s="160" t="s">
        <v>1681</v>
      </c>
      <c r="C1615" s="103" t="s">
        <v>2287</v>
      </c>
      <c r="D1615" s="102" t="s">
        <v>2288</v>
      </c>
      <c r="E1615" s="103" t="s">
        <v>260</v>
      </c>
      <c r="F1615" s="102" t="s">
        <v>1608</v>
      </c>
      <c r="G1615" s="103" t="s">
        <v>20</v>
      </c>
      <c r="H1615" s="103">
        <v>201609</v>
      </c>
      <c r="I1615" s="104">
        <v>-1416.09</v>
      </c>
      <c r="J1615" s="297">
        <f t="shared" si="97"/>
        <v>42675</v>
      </c>
      <c r="K1615" s="67">
        <f t="shared" si="94"/>
        <v>6</v>
      </c>
      <c r="L1615" s="155">
        <v>1.4833299999999999E-3</v>
      </c>
      <c r="M1615" s="104">
        <f t="shared" si="95"/>
        <v>-12.6031726782</v>
      </c>
      <c r="O1615" s="66"/>
      <c r="Q1615" s="66">
        <f t="shared" si="96"/>
        <v>-23.427143918750001</v>
      </c>
    </row>
    <row r="1616" spans="1:17">
      <c r="A1616" s="102" t="s">
        <v>626</v>
      </c>
      <c r="B1616" s="160" t="s">
        <v>1681</v>
      </c>
      <c r="C1616" s="103" t="s">
        <v>2289</v>
      </c>
      <c r="D1616" s="102" t="s">
        <v>2290</v>
      </c>
      <c r="E1616" s="103" t="s">
        <v>93</v>
      </c>
      <c r="F1616" s="102" t="s">
        <v>1601</v>
      </c>
      <c r="G1616" s="103" t="s">
        <v>20</v>
      </c>
      <c r="H1616" s="103">
        <v>201609</v>
      </c>
      <c r="I1616" s="104">
        <v>10612.92</v>
      </c>
      <c r="J1616" s="297">
        <f t="shared" si="97"/>
        <v>42675</v>
      </c>
      <c r="K1616" s="67">
        <f t="shared" si="94"/>
        <v>6</v>
      </c>
      <c r="L1616" s="155">
        <v>1.4833299999999999E-3</v>
      </c>
      <c r="M1616" s="104">
        <f t="shared" si="95"/>
        <v>94.454775741600002</v>
      </c>
      <c r="O1616" s="66"/>
      <c r="Q1616" s="66">
        <f t="shared" si="96"/>
        <v>175.57528422500002</v>
      </c>
    </row>
    <row r="1617" spans="1:17">
      <c r="A1617" s="106" t="s">
        <v>14</v>
      </c>
      <c r="B1617" s="324" t="s">
        <v>30</v>
      </c>
      <c r="C1617" s="324" t="s">
        <v>31</v>
      </c>
      <c r="D1617" s="106" t="s">
        <v>32</v>
      </c>
      <c r="E1617" s="324" t="s">
        <v>33</v>
      </c>
      <c r="F1617" s="106" t="s">
        <v>34</v>
      </c>
      <c r="G1617" s="324" t="s">
        <v>20</v>
      </c>
      <c r="H1617" s="324">
        <v>201610</v>
      </c>
      <c r="I1617" s="325">
        <v>5677.21</v>
      </c>
      <c r="J1617" s="297">
        <f t="shared" si="97"/>
        <v>42675</v>
      </c>
      <c r="K1617" s="67">
        <f t="shared" si="84"/>
        <v>6</v>
      </c>
      <c r="L1617" s="326">
        <v>2.23333E-3</v>
      </c>
      <c r="M1617" s="104">
        <f t="shared" si="85"/>
        <v>76.074500455799992</v>
      </c>
      <c r="O1617" s="66"/>
      <c r="Q1617" s="66">
        <f>($O$4*I1617*$T$10)</f>
        <v>1349.9459178333334</v>
      </c>
    </row>
    <row r="1618" spans="1:17">
      <c r="A1618" s="106" t="s">
        <v>554</v>
      </c>
      <c r="B1618" s="324" t="s">
        <v>116</v>
      </c>
      <c r="C1618" s="324" t="s">
        <v>117</v>
      </c>
      <c r="D1618" s="106" t="s">
        <v>118</v>
      </c>
      <c r="E1618" s="324" t="s">
        <v>119</v>
      </c>
      <c r="F1618" s="106" t="s">
        <v>1605</v>
      </c>
      <c r="G1618" s="324" t="s">
        <v>20</v>
      </c>
      <c r="H1618" s="324">
        <v>201610</v>
      </c>
      <c r="I1618" s="325">
        <v>106023.8</v>
      </c>
      <c r="J1618" s="297">
        <f t="shared" si="97"/>
        <v>42675</v>
      </c>
      <c r="K1618" s="67">
        <f t="shared" ref="K1618:K1681" si="98">((YEAR($K$1)-YEAR(J1618))*12+MONTH($K$1)-MONTH(J1618))</f>
        <v>6</v>
      </c>
      <c r="L1618" s="326">
        <v>1.4833299999999999E-3</v>
      </c>
      <c r="M1618" s="104">
        <f t="shared" ref="M1618:M1681" si="99">L1618*K1618*I1618</f>
        <v>943.60969952400001</v>
      </c>
      <c r="O1618" s="66"/>
      <c r="Q1618" s="66">
        <f t="shared" ref="Q1618:Q1681" si="100">($O$4*I1618*$T$10)</f>
        <v>25210.692576666668</v>
      </c>
    </row>
    <row r="1619" spans="1:17">
      <c r="A1619" s="106" t="s">
        <v>14</v>
      </c>
      <c r="B1619" s="324" t="s">
        <v>195</v>
      </c>
      <c r="C1619" s="324" t="s">
        <v>196</v>
      </c>
      <c r="D1619" s="106" t="s">
        <v>1674</v>
      </c>
      <c r="E1619" s="324" t="s">
        <v>198</v>
      </c>
      <c r="F1619" s="106" t="s">
        <v>1610</v>
      </c>
      <c r="G1619" s="324" t="s">
        <v>20</v>
      </c>
      <c r="H1619" s="324">
        <v>201610</v>
      </c>
      <c r="I1619" s="325">
        <v>-497799.24</v>
      </c>
      <c r="J1619" s="297">
        <f t="shared" si="97"/>
        <v>42675</v>
      </c>
      <c r="K1619" s="67">
        <f t="shared" si="98"/>
        <v>6</v>
      </c>
      <c r="L1619" s="326">
        <v>2.23333E-3</v>
      </c>
      <c r="M1619" s="104">
        <f t="shared" si="99"/>
        <v>-6670.4998600151994</v>
      </c>
      <c r="O1619" s="66"/>
      <c r="Q1619" s="66">
        <f t="shared" si="100"/>
        <v>-118368.362618</v>
      </c>
    </row>
    <row r="1620" spans="1:17">
      <c r="A1620" s="106" t="s">
        <v>14</v>
      </c>
      <c r="B1620" s="324" t="s">
        <v>200</v>
      </c>
      <c r="C1620" s="324" t="s">
        <v>201</v>
      </c>
      <c r="D1620" s="106" t="s">
        <v>1675</v>
      </c>
      <c r="E1620" s="324" t="s">
        <v>202</v>
      </c>
      <c r="F1620" s="106" t="s">
        <v>1611</v>
      </c>
      <c r="G1620" s="324" t="s">
        <v>20</v>
      </c>
      <c r="H1620" s="324">
        <v>201610</v>
      </c>
      <c r="I1620" s="325">
        <v>62855.77</v>
      </c>
      <c r="J1620" s="297">
        <f t="shared" si="97"/>
        <v>42675</v>
      </c>
      <c r="K1620" s="67">
        <f t="shared" si="98"/>
        <v>6</v>
      </c>
      <c r="L1620" s="326">
        <v>2.23333E-3</v>
      </c>
      <c r="M1620" s="104">
        <f t="shared" si="99"/>
        <v>842.26606088459994</v>
      </c>
      <c r="O1620" s="66"/>
      <c r="Q1620" s="66">
        <f t="shared" si="100"/>
        <v>14946.054509833333</v>
      </c>
    </row>
    <row r="1621" spans="1:17">
      <c r="A1621" s="106" t="s">
        <v>14</v>
      </c>
      <c r="B1621" s="324" t="s">
        <v>481</v>
      </c>
      <c r="C1621" s="324" t="s">
        <v>482</v>
      </c>
      <c r="D1621" s="106" t="s">
        <v>483</v>
      </c>
      <c r="E1621" s="324" t="s">
        <v>484</v>
      </c>
      <c r="F1621" s="106" t="s">
        <v>190</v>
      </c>
      <c r="G1621" s="324" t="s">
        <v>20</v>
      </c>
      <c r="H1621" s="324">
        <v>201610</v>
      </c>
      <c r="I1621" s="325">
        <v>351.35</v>
      </c>
      <c r="J1621" s="297">
        <f t="shared" si="97"/>
        <v>42675</v>
      </c>
      <c r="K1621" s="67">
        <f t="shared" si="98"/>
        <v>6</v>
      </c>
      <c r="L1621" s="326">
        <v>2.23333E-3</v>
      </c>
      <c r="M1621" s="104">
        <f t="shared" si="99"/>
        <v>4.7080829729999998</v>
      </c>
      <c r="O1621" s="66"/>
      <c r="Q1621" s="66">
        <f t="shared" si="100"/>
        <v>83.545174166666683</v>
      </c>
    </row>
    <row r="1622" spans="1:17">
      <c r="A1622" s="106" t="s">
        <v>14</v>
      </c>
      <c r="B1622" s="324" t="s">
        <v>236</v>
      </c>
      <c r="C1622" s="324" t="s">
        <v>237</v>
      </c>
      <c r="D1622" s="106" t="s">
        <v>188</v>
      </c>
      <c r="E1622" s="324" t="s">
        <v>238</v>
      </c>
      <c r="F1622" s="106" t="s">
        <v>190</v>
      </c>
      <c r="G1622" s="324" t="s">
        <v>20</v>
      </c>
      <c r="H1622" s="324">
        <v>201610</v>
      </c>
      <c r="I1622" s="325">
        <v>186966.41</v>
      </c>
      <c r="J1622" s="297">
        <f t="shared" si="97"/>
        <v>42675</v>
      </c>
      <c r="K1622" s="67">
        <f t="shared" si="98"/>
        <v>6</v>
      </c>
      <c r="L1622" s="326">
        <v>2.23333E-3</v>
      </c>
      <c r="M1622" s="104">
        <f t="shared" si="99"/>
        <v>2505.3461546717999</v>
      </c>
      <c r="O1622" s="66"/>
      <c r="Q1622" s="66">
        <f t="shared" si="100"/>
        <v>44457.496191166669</v>
      </c>
    </row>
    <row r="1623" spans="1:17">
      <c r="A1623" s="106" t="s">
        <v>14</v>
      </c>
      <c r="B1623" s="324" t="s">
        <v>292</v>
      </c>
      <c r="C1623" s="324" t="s">
        <v>293</v>
      </c>
      <c r="D1623" s="106" t="s">
        <v>1679</v>
      </c>
      <c r="E1623" s="324" t="s">
        <v>294</v>
      </c>
      <c r="F1623" s="106" t="s">
        <v>1613</v>
      </c>
      <c r="G1623" s="324" t="s">
        <v>20</v>
      </c>
      <c r="H1623" s="324">
        <v>201610</v>
      </c>
      <c r="I1623" s="325">
        <v>55272.01</v>
      </c>
      <c r="J1623" s="297">
        <f t="shared" si="97"/>
        <v>42675</v>
      </c>
      <c r="K1623" s="67">
        <f t="shared" si="98"/>
        <v>6</v>
      </c>
      <c r="L1623" s="326">
        <v>2.23333E-3</v>
      </c>
      <c r="M1623" s="104">
        <f t="shared" si="99"/>
        <v>740.6438285598</v>
      </c>
      <c r="O1623" s="66"/>
      <c r="Q1623" s="66">
        <f t="shared" si="100"/>
        <v>13142.762777833334</v>
      </c>
    </row>
    <row r="1624" spans="1:17">
      <c r="A1624" s="106" t="s">
        <v>14</v>
      </c>
      <c r="B1624" s="324" t="s">
        <v>419</v>
      </c>
      <c r="C1624" s="324" t="s">
        <v>420</v>
      </c>
      <c r="D1624" s="106" t="s">
        <v>50</v>
      </c>
      <c r="E1624" s="324" t="s">
        <v>421</v>
      </c>
      <c r="F1624" s="106" t="s">
        <v>52</v>
      </c>
      <c r="G1624" s="324" t="s">
        <v>20</v>
      </c>
      <c r="H1624" s="324">
        <v>201610</v>
      </c>
      <c r="I1624" s="325">
        <v>1093.72</v>
      </c>
      <c r="J1624" s="297">
        <f t="shared" si="97"/>
        <v>42675</v>
      </c>
      <c r="K1624" s="67">
        <f t="shared" si="98"/>
        <v>6</v>
      </c>
      <c r="L1624" s="326">
        <v>2.23333E-3</v>
      </c>
      <c r="M1624" s="104">
        <f t="shared" si="99"/>
        <v>14.655826125599999</v>
      </c>
      <c r="O1624" s="66"/>
      <c r="Q1624" s="66">
        <f t="shared" si="100"/>
        <v>260.06838733333336</v>
      </c>
    </row>
    <row r="1625" spans="1:17">
      <c r="A1625" s="106" t="s">
        <v>626</v>
      </c>
      <c r="B1625" s="324" t="s">
        <v>1681</v>
      </c>
      <c r="C1625" s="324" t="s">
        <v>1703</v>
      </c>
      <c r="D1625" s="106" t="s">
        <v>1704</v>
      </c>
      <c r="E1625" s="324" t="s">
        <v>164</v>
      </c>
      <c r="F1625" s="106" t="s">
        <v>1600</v>
      </c>
      <c r="G1625" s="324" t="s">
        <v>20</v>
      </c>
      <c r="H1625" s="324">
        <v>201610</v>
      </c>
      <c r="I1625" s="325">
        <v>33450.78</v>
      </c>
      <c r="J1625" s="297">
        <f t="shared" si="97"/>
        <v>42675</v>
      </c>
      <c r="K1625" s="67">
        <f t="shared" si="98"/>
        <v>6</v>
      </c>
      <c r="L1625" s="326">
        <v>1.4833299999999999E-3</v>
      </c>
      <c r="M1625" s="104">
        <f t="shared" si="99"/>
        <v>297.71127298440001</v>
      </c>
      <c r="O1625" s="66"/>
      <c r="Q1625" s="66">
        <f t="shared" si="100"/>
        <v>7954.0379710000007</v>
      </c>
    </row>
    <row r="1626" spans="1:17">
      <c r="A1626" s="106" t="s">
        <v>626</v>
      </c>
      <c r="B1626" s="324" t="s">
        <v>1681</v>
      </c>
      <c r="C1626" s="324" t="s">
        <v>1705</v>
      </c>
      <c r="D1626" s="106" t="s">
        <v>1706</v>
      </c>
      <c r="E1626" s="324" t="s">
        <v>75</v>
      </c>
      <c r="F1626" s="106" t="s">
        <v>1602</v>
      </c>
      <c r="G1626" s="324" t="s">
        <v>20</v>
      </c>
      <c r="H1626" s="324">
        <v>201610</v>
      </c>
      <c r="I1626" s="325">
        <v>32395.68</v>
      </c>
      <c r="J1626" s="297">
        <f t="shared" si="97"/>
        <v>42675</v>
      </c>
      <c r="K1626" s="67">
        <f t="shared" si="98"/>
        <v>6</v>
      </c>
      <c r="L1626" s="326">
        <v>1.4833299999999999E-3</v>
      </c>
      <c r="M1626" s="104">
        <f t="shared" si="99"/>
        <v>288.32090408639999</v>
      </c>
      <c r="O1626" s="66"/>
      <c r="Q1626" s="66">
        <f t="shared" si="100"/>
        <v>7703.1527759999999</v>
      </c>
    </row>
    <row r="1627" spans="1:17">
      <c r="A1627" s="106" t="s">
        <v>626</v>
      </c>
      <c r="B1627" s="324" t="s">
        <v>1681</v>
      </c>
      <c r="C1627" s="324" t="s">
        <v>1707</v>
      </c>
      <c r="D1627" s="106" t="s">
        <v>1708</v>
      </c>
      <c r="E1627" s="324" t="s">
        <v>75</v>
      </c>
      <c r="F1627" s="106" t="s">
        <v>1602</v>
      </c>
      <c r="G1627" s="324" t="s">
        <v>20</v>
      </c>
      <c r="H1627" s="324">
        <v>201610</v>
      </c>
      <c r="I1627" s="325">
        <v>43805.29</v>
      </c>
      <c r="J1627" s="297">
        <f t="shared" si="97"/>
        <v>42675</v>
      </c>
      <c r="K1627" s="67">
        <f t="shared" si="98"/>
        <v>6</v>
      </c>
      <c r="L1627" s="326">
        <v>1.4833299999999999E-3</v>
      </c>
      <c r="M1627" s="104">
        <f t="shared" si="99"/>
        <v>389.8662048942</v>
      </c>
      <c r="O1627" s="66"/>
      <c r="Q1627" s="66">
        <f t="shared" si="100"/>
        <v>10416.167873833334</v>
      </c>
    </row>
    <row r="1628" spans="1:17">
      <c r="A1628" s="106" t="s">
        <v>626</v>
      </c>
      <c r="B1628" s="324" t="s">
        <v>1951</v>
      </c>
      <c r="C1628" s="324" t="s">
        <v>1952</v>
      </c>
      <c r="D1628" s="106" t="s">
        <v>1759</v>
      </c>
      <c r="E1628" s="324" t="s">
        <v>75</v>
      </c>
      <c r="F1628" s="106" t="s">
        <v>1602</v>
      </c>
      <c r="G1628" s="324" t="s">
        <v>20</v>
      </c>
      <c r="H1628" s="324">
        <v>201610</v>
      </c>
      <c r="I1628" s="325">
        <v>-25.88</v>
      </c>
      <c r="J1628" s="297">
        <f t="shared" si="97"/>
        <v>42675</v>
      </c>
      <c r="K1628" s="67">
        <f t="shared" si="98"/>
        <v>6</v>
      </c>
      <c r="L1628" s="326">
        <v>1.4833299999999999E-3</v>
      </c>
      <c r="M1628" s="104">
        <f t="shared" si="99"/>
        <v>-0.23033148239999998</v>
      </c>
      <c r="O1628" s="66"/>
      <c r="Q1628" s="66">
        <f t="shared" si="100"/>
        <v>-6.1538326666666663</v>
      </c>
    </row>
    <row r="1629" spans="1:17">
      <c r="A1629" s="106" t="s">
        <v>626</v>
      </c>
      <c r="B1629" s="324" t="s">
        <v>2036</v>
      </c>
      <c r="C1629" s="324" t="s">
        <v>2037</v>
      </c>
      <c r="D1629" s="106" t="s">
        <v>2038</v>
      </c>
      <c r="E1629" s="324" t="s">
        <v>160</v>
      </c>
      <c r="F1629" s="106" t="s">
        <v>19</v>
      </c>
      <c r="G1629" s="324" t="s">
        <v>20</v>
      </c>
      <c r="H1629" s="324">
        <v>201610</v>
      </c>
      <c r="I1629" s="325">
        <v>23362.17</v>
      </c>
      <c r="J1629" s="297">
        <f t="shared" si="97"/>
        <v>42675</v>
      </c>
      <c r="K1629" s="67">
        <f t="shared" si="98"/>
        <v>6</v>
      </c>
      <c r="L1629" s="326">
        <v>1.4833299999999999E-3</v>
      </c>
      <c r="M1629" s="104">
        <f t="shared" si="99"/>
        <v>207.9228457566</v>
      </c>
      <c r="O1629" s="66"/>
      <c r="Q1629" s="66">
        <f t="shared" si="100"/>
        <v>5555.1346564999994</v>
      </c>
    </row>
    <row r="1630" spans="1:17">
      <c r="A1630" s="106" t="s">
        <v>626</v>
      </c>
      <c r="B1630" s="324" t="s">
        <v>2042</v>
      </c>
      <c r="C1630" s="324" t="s">
        <v>2043</v>
      </c>
      <c r="D1630" s="106" t="s">
        <v>2044</v>
      </c>
      <c r="E1630" s="324" t="s">
        <v>497</v>
      </c>
      <c r="F1630" s="106" t="s">
        <v>26</v>
      </c>
      <c r="G1630" s="324" t="s">
        <v>20</v>
      </c>
      <c r="H1630" s="324">
        <v>201610</v>
      </c>
      <c r="I1630" s="325">
        <v>67226.42</v>
      </c>
      <c r="J1630" s="297">
        <f t="shared" si="97"/>
        <v>42675</v>
      </c>
      <c r="K1630" s="67">
        <f t="shared" si="98"/>
        <v>6</v>
      </c>
      <c r="L1630" s="326">
        <v>1.4833299999999999E-3</v>
      </c>
      <c r="M1630" s="104">
        <f t="shared" si="99"/>
        <v>598.31379347159998</v>
      </c>
      <c r="O1630" s="66"/>
      <c r="Q1630" s="66">
        <f t="shared" si="100"/>
        <v>15985.322235666667</v>
      </c>
    </row>
    <row r="1631" spans="1:17">
      <c r="A1631" s="106" t="s">
        <v>626</v>
      </c>
      <c r="B1631" s="324" t="s">
        <v>1884</v>
      </c>
      <c r="C1631" s="324" t="s">
        <v>1885</v>
      </c>
      <c r="D1631" s="106" t="s">
        <v>1886</v>
      </c>
      <c r="E1631" s="324" t="s">
        <v>75</v>
      </c>
      <c r="F1631" s="106" t="s">
        <v>1602</v>
      </c>
      <c r="G1631" s="324" t="s">
        <v>20</v>
      </c>
      <c r="H1631" s="324">
        <v>201610</v>
      </c>
      <c r="I1631" s="325">
        <v>-0.01</v>
      </c>
      <c r="J1631" s="297">
        <f t="shared" si="97"/>
        <v>42675</v>
      </c>
      <c r="K1631" s="67">
        <f t="shared" si="98"/>
        <v>6</v>
      </c>
      <c r="L1631" s="326">
        <v>1.4833299999999999E-3</v>
      </c>
      <c r="M1631" s="104">
        <f t="shared" si="99"/>
        <v>-8.8999800000000008E-5</v>
      </c>
      <c r="O1631" s="66"/>
      <c r="Q1631" s="66">
        <f t="shared" si="100"/>
        <v>-2.3778333333333338E-3</v>
      </c>
    </row>
    <row r="1632" spans="1:17">
      <c r="A1632" s="106" t="s">
        <v>21</v>
      </c>
      <c r="B1632" s="324" t="s">
        <v>1956</v>
      </c>
      <c r="C1632" s="324" t="s">
        <v>1957</v>
      </c>
      <c r="D1632" s="106" t="s">
        <v>1958</v>
      </c>
      <c r="E1632" s="324" t="s">
        <v>75</v>
      </c>
      <c r="F1632" s="106" t="s">
        <v>1602</v>
      </c>
      <c r="G1632" s="324" t="s">
        <v>20</v>
      </c>
      <c r="H1632" s="324">
        <v>201610</v>
      </c>
      <c r="I1632" s="325">
        <v>-36.03</v>
      </c>
      <c r="J1632" s="297">
        <f t="shared" si="97"/>
        <v>42675</v>
      </c>
      <c r="K1632" s="67">
        <f t="shared" si="98"/>
        <v>6</v>
      </c>
      <c r="L1632" s="326">
        <v>1.4833299999999999E-3</v>
      </c>
      <c r="M1632" s="104">
        <f t="shared" si="99"/>
        <v>-0.32066627940000003</v>
      </c>
      <c r="O1632" s="66"/>
      <c r="Q1632" s="66">
        <f t="shared" si="100"/>
        <v>-8.5673335000000002</v>
      </c>
    </row>
    <row r="1633" spans="1:17">
      <c r="A1633" s="106" t="s">
        <v>626</v>
      </c>
      <c r="B1633" s="324" t="s">
        <v>2048</v>
      </c>
      <c r="C1633" s="324" t="s">
        <v>2049</v>
      </c>
      <c r="D1633" s="106" t="s">
        <v>2050</v>
      </c>
      <c r="E1633" s="324" t="s">
        <v>75</v>
      </c>
      <c r="F1633" s="106" t="s">
        <v>1602</v>
      </c>
      <c r="G1633" s="324" t="s">
        <v>20</v>
      </c>
      <c r="H1633" s="324">
        <v>201610</v>
      </c>
      <c r="I1633" s="325">
        <v>749.86</v>
      </c>
      <c r="J1633" s="297">
        <f t="shared" si="97"/>
        <v>42675</v>
      </c>
      <c r="K1633" s="67">
        <f t="shared" si="98"/>
        <v>6</v>
      </c>
      <c r="L1633" s="326">
        <v>1.4833299999999999E-3</v>
      </c>
      <c r="M1633" s="104">
        <f t="shared" si="99"/>
        <v>6.6737390028000005</v>
      </c>
      <c r="O1633" s="66"/>
      <c r="Q1633" s="66">
        <f t="shared" si="100"/>
        <v>178.30421033333334</v>
      </c>
    </row>
    <row r="1634" spans="1:17">
      <c r="A1634" s="106" t="s">
        <v>626</v>
      </c>
      <c r="B1634" s="324" t="s">
        <v>2051</v>
      </c>
      <c r="C1634" s="324" t="s">
        <v>2052</v>
      </c>
      <c r="D1634" s="106" t="s">
        <v>2053</v>
      </c>
      <c r="E1634" s="324" t="s">
        <v>75</v>
      </c>
      <c r="F1634" s="106" t="s">
        <v>1602</v>
      </c>
      <c r="G1634" s="324" t="s">
        <v>20</v>
      </c>
      <c r="H1634" s="324">
        <v>201610</v>
      </c>
      <c r="I1634" s="325">
        <v>312.85000000000002</v>
      </c>
      <c r="J1634" s="297">
        <f t="shared" si="97"/>
        <v>42675</v>
      </c>
      <c r="K1634" s="67">
        <f t="shared" si="98"/>
        <v>6</v>
      </c>
      <c r="L1634" s="326">
        <v>1.4833299999999999E-3</v>
      </c>
      <c r="M1634" s="104">
        <f t="shared" si="99"/>
        <v>2.7843587430000003</v>
      </c>
      <c r="O1634" s="66"/>
      <c r="Q1634" s="66">
        <f t="shared" si="100"/>
        <v>74.390515833333339</v>
      </c>
    </row>
    <row r="1635" spans="1:17">
      <c r="A1635" s="106" t="s">
        <v>626</v>
      </c>
      <c r="B1635" s="324" t="s">
        <v>2294</v>
      </c>
      <c r="C1635" s="324" t="s">
        <v>2293</v>
      </c>
      <c r="D1635" s="106" t="s">
        <v>2295</v>
      </c>
      <c r="E1635" s="324" t="s">
        <v>75</v>
      </c>
      <c r="F1635" s="106" t="s">
        <v>1602</v>
      </c>
      <c r="G1635" s="324" t="s">
        <v>20</v>
      </c>
      <c r="H1635" s="324">
        <v>201610</v>
      </c>
      <c r="I1635" s="325">
        <v>50.59</v>
      </c>
      <c r="J1635" s="297">
        <f t="shared" si="97"/>
        <v>42675</v>
      </c>
      <c r="K1635" s="67">
        <f t="shared" si="98"/>
        <v>6</v>
      </c>
      <c r="L1635" s="326">
        <v>1.4833299999999999E-3</v>
      </c>
      <c r="M1635" s="104">
        <f t="shared" si="99"/>
        <v>0.45024998820000001</v>
      </c>
      <c r="O1635" s="66"/>
      <c r="Q1635" s="66">
        <f t="shared" si="100"/>
        <v>12.029458833333335</v>
      </c>
    </row>
    <row r="1636" spans="1:17">
      <c r="A1636" s="106" t="s">
        <v>626</v>
      </c>
      <c r="B1636" s="324" t="s">
        <v>1973</v>
      </c>
      <c r="C1636" s="324" t="s">
        <v>1974</v>
      </c>
      <c r="D1636" s="106" t="s">
        <v>1975</v>
      </c>
      <c r="E1636" s="324" t="s">
        <v>87</v>
      </c>
      <c r="F1636" s="106" t="s">
        <v>1603</v>
      </c>
      <c r="G1636" s="324" t="s">
        <v>20</v>
      </c>
      <c r="H1636" s="324">
        <v>201610</v>
      </c>
      <c r="I1636" s="325">
        <v>-30.32</v>
      </c>
      <c r="J1636" s="297">
        <f t="shared" si="97"/>
        <v>42675</v>
      </c>
      <c r="K1636" s="67">
        <f t="shared" si="98"/>
        <v>6</v>
      </c>
      <c r="L1636" s="326">
        <v>1.4833299999999999E-3</v>
      </c>
      <c r="M1636" s="104">
        <f t="shared" si="99"/>
        <v>-0.26984739359999999</v>
      </c>
      <c r="O1636" s="66"/>
      <c r="Q1636" s="66">
        <f t="shared" si="100"/>
        <v>-7.2095906666666671</v>
      </c>
    </row>
    <row r="1637" spans="1:17">
      <c r="A1637" s="106" t="s">
        <v>1942</v>
      </c>
      <c r="B1637" s="324" t="s">
        <v>1681</v>
      </c>
      <c r="C1637" s="324" t="s">
        <v>1943</v>
      </c>
      <c r="D1637" s="106" t="s">
        <v>1944</v>
      </c>
      <c r="E1637" s="324" t="s">
        <v>202</v>
      </c>
      <c r="F1637" s="106" t="s">
        <v>1611</v>
      </c>
      <c r="G1637" s="324" t="s">
        <v>20</v>
      </c>
      <c r="H1637" s="324">
        <v>201610</v>
      </c>
      <c r="I1637" s="325">
        <v>2785.96</v>
      </c>
      <c r="J1637" s="297">
        <f t="shared" si="97"/>
        <v>42675</v>
      </c>
      <c r="K1637" s="67">
        <f t="shared" si="98"/>
        <v>6</v>
      </c>
      <c r="L1637" s="326">
        <v>2.23333E-3</v>
      </c>
      <c r="M1637" s="104">
        <f t="shared" si="99"/>
        <v>37.331808280799997</v>
      </c>
      <c r="O1637" s="66"/>
      <c r="Q1637" s="66">
        <f t="shared" si="100"/>
        <v>662.4548553333334</v>
      </c>
    </row>
    <row r="1638" spans="1:17">
      <c r="A1638" s="106" t="s">
        <v>626</v>
      </c>
      <c r="B1638" s="324" t="s">
        <v>2302</v>
      </c>
      <c r="C1638" s="324" t="s">
        <v>2303</v>
      </c>
      <c r="D1638" s="106" t="s">
        <v>2304</v>
      </c>
      <c r="E1638" s="324" t="s">
        <v>75</v>
      </c>
      <c r="F1638" s="106" t="s">
        <v>1602</v>
      </c>
      <c r="G1638" s="324" t="s">
        <v>20</v>
      </c>
      <c r="H1638" s="324">
        <v>201610</v>
      </c>
      <c r="I1638" s="325">
        <v>4527.53</v>
      </c>
      <c r="J1638" s="297">
        <f t="shared" si="97"/>
        <v>42675</v>
      </c>
      <c r="K1638" s="67">
        <f t="shared" si="98"/>
        <v>6</v>
      </c>
      <c r="L1638" s="326">
        <v>1.4833299999999999E-3</v>
      </c>
      <c r="M1638" s="104">
        <f t="shared" si="99"/>
        <v>40.294926449399995</v>
      </c>
      <c r="O1638" s="66"/>
      <c r="Q1638" s="66">
        <f t="shared" si="100"/>
        <v>1076.5711751666665</v>
      </c>
    </row>
    <row r="1639" spans="1:17">
      <c r="A1639" s="106" t="s">
        <v>626</v>
      </c>
      <c r="B1639" s="324" t="s">
        <v>2057</v>
      </c>
      <c r="C1639" s="324" t="s">
        <v>2058</v>
      </c>
      <c r="D1639" s="106" t="s">
        <v>2059</v>
      </c>
      <c r="E1639" s="324" t="s">
        <v>156</v>
      </c>
      <c r="F1639" s="106" t="s">
        <v>26</v>
      </c>
      <c r="G1639" s="324" t="s">
        <v>20</v>
      </c>
      <c r="H1639" s="324">
        <v>201610</v>
      </c>
      <c r="I1639" s="325">
        <v>-296.58999999999997</v>
      </c>
      <c r="J1639" s="297">
        <f t="shared" si="97"/>
        <v>42675</v>
      </c>
      <c r="K1639" s="67">
        <f t="shared" si="98"/>
        <v>6</v>
      </c>
      <c r="L1639" s="326">
        <v>1.4833299999999999E-3</v>
      </c>
      <c r="M1639" s="104">
        <f t="shared" si="99"/>
        <v>-2.6396450681999997</v>
      </c>
      <c r="O1639" s="66"/>
      <c r="Q1639" s="66">
        <f t="shared" si="100"/>
        <v>-70.524158833333331</v>
      </c>
    </row>
    <row r="1640" spans="1:17">
      <c r="A1640" s="106" t="s">
        <v>626</v>
      </c>
      <c r="B1640" s="324" t="s">
        <v>2251</v>
      </c>
      <c r="C1640" s="324" t="s">
        <v>2250</v>
      </c>
      <c r="D1640" s="106" t="s">
        <v>1759</v>
      </c>
      <c r="E1640" s="324" t="s">
        <v>75</v>
      </c>
      <c r="F1640" s="106" t="s">
        <v>1602</v>
      </c>
      <c r="G1640" s="324" t="s">
        <v>20</v>
      </c>
      <c r="H1640" s="324">
        <v>201610</v>
      </c>
      <c r="I1640" s="325">
        <v>-30.25</v>
      </c>
      <c r="J1640" s="297">
        <f t="shared" si="97"/>
        <v>42675</v>
      </c>
      <c r="K1640" s="67">
        <f t="shared" si="98"/>
        <v>6</v>
      </c>
      <c r="L1640" s="326">
        <v>1.4833299999999999E-3</v>
      </c>
      <c r="M1640" s="104">
        <f t="shared" si="99"/>
        <v>-0.26922439500000001</v>
      </c>
      <c r="O1640" s="66"/>
      <c r="Q1640" s="66">
        <f t="shared" si="100"/>
        <v>-7.1929458333333338</v>
      </c>
    </row>
    <row r="1641" spans="1:17">
      <c r="A1641" s="106" t="s">
        <v>626</v>
      </c>
      <c r="B1641" s="324" t="s">
        <v>2330</v>
      </c>
      <c r="C1641" s="324" t="s">
        <v>2331</v>
      </c>
      <c r="D1641" s="106" t="s">
        <v>2053</v>
      </c>
      <c r="E1641" s="324" t="s">
        <v>75</v>
      </c>
      <c r="F1641" s="106" t="s">
        <v>1602</v>
      </c>
      <c r="G1641" s="324" t="s">
        <v>20</v>
      </c>
      <c r="H1641" s="324">
        <v>201610</v>
      </c>
      <c r="I1641" s="325">
        <v>559144.48</v>
      </c>
      <c r="J1641" s="297">
        <f t="shared" si="97"/>
        <v>42675</v>
      </c>
      <c r="K1641" s="67">
        <f t="shared" si="98"/>
        <v>6</v>
      </c>
      <c r="L1641" s="326">
        <v>1.4833299999999999E-3</v>
      </c>
      <c r="M1641" s="104">
        <f t="shared" si="99"/>
        <v>4976.3746891104001</v>
      </c>
      <c r="O1641" s="66"/>
      <c r="Q1641" s="66">
        <f t="shared" si="100"/>
        <v>132955.23826933335</v>
      </c>
    </row>
    <row r="1642" spans="1:17">
      <c r="A1642" s="337" t="s">
        <v>133</v>
      </c>
      <c r="B1642" s="338" t="s">
        <v>1681</v>
      </c>
      <c r="C1642" s="338" t="s">
        <v>2305</v>
      </c>
      <c r="D1642" s="337" t="s">
        <v>2306</v>
      </c>
      <c r="E1642" s="338" t="s">
        <v>2307</v>
      </c>
      <c r="F1642" s="337" t="s">
        <v>2308</v>
      </c>
      <c r="G1642" s="338" t="s">
        <v>20</v>
      </c>
      <c r="H1642" s="338">
        <v>201610</v>
      </c>
      <c r="I1642" s="340">
        <v>0</v>
      </c>
      <c r="J1642" s="297">
        <f t="shared" si="97"/>
        <v>42675</v>
      </c>
      <c r="K1642" s="348">
        <f t="shared" si="98"/>
        <v>6</v>
      </c>
      <c r="L1642" s="341">
        <v>1.4833299999999999E-3</v>
      </c>
      <c r="M1642" s="349">
        <f t="shared" si="99"/>
        <v>0</v>
      </c>
      <c r="N1642" s="350"/>
      <c r="O1642" s="351"/>
      <c r="P1642" s="350"/>
      <c r="Q1642" s="66">
        <f t="shared" si="100"/>
        <v>0</v>
      </c>
    </row>
    <row r="1643" spans="1:17">
      <c r="A1643" s="106" t="s">
        <v>990</v>
      </c>
      <c r="B1643" s="324" t="s">
        <v>1681</v>
      </c>
      <c r="C1643" s="324" t="s">
        <v>2309</v>
      </c>
      <c r="D1643" s="106" t="s">
        <v>2310</v>
      </c>
      <c r="E1643" s="324" t="s">
        <v>1688</v>
      </c>
      <c r="F1643" s="106" t="s">
        <v>1689</v>
      </c>
      <c r="G1643" s="324" t="s">
        <v>20</v>
      </c>
      <c r="H1643" s="324">
        <v>201610</v>
      </c>
      <c r="I1643" s="325">
        <v>-666.86</v>
      </c>
      <c r="J1643" s="297">
        <f t="shared" si="97"/>
        <v>42675</v>
      </c>
      <c r="K1643" s="67">
        <f t="shared" si="98"/>
        <v>6</v>
      </c>
      <c r="L1643" s="326">
        <v>2.3833299999999999E-3</v>
      </c>
      <c r="M1643" s="104">
        <f t="shared" si="99"/>
        <v>-9.5360846628000004</v>
      </c>
      <c r="O1643" s="66"/>
      <c r="Q1643" s="66">
        <f t="shared" si="100"/>
        <v>-158.56819366666667</v>
      </c>
    </row>
    <row r="1644" spans="1:17">
      <c r="A1644" s="106" t="s">
        <v>626</v>
      </c>
      <c r="B1644" s="324" t="s">
        <v>1681</v>
      </c>
      <c r="C1644" s="324" t="s">
        <v>2332</v>
      </c>
      <c r="D1644" s="106" t="s">
        <v>2333</v>
      </c>
      <c r="E1644" s="324" t="s">
        <v>164</v>
      </c>
      <c r="F1644" s="106" t="s">
        <v>1600</v>
      </c>
      <c r="G1644" s="324" t="s">
        <v>20</v>
      </c>
      <c r="H1644" s="324">
        <v>201610</v>
      </c>
      <c r="I1644" s="325">
        <v>124637.28</v>
      </c>
      <c r="J1644" s="297">
        <f t="shared" si="97"/>
        <v>42675</v>
      </c>
      <c r="K1644" s="67">
        <f t="shared" si="98"/>
        <v>6</v>
      </c>
      <c r="L1644" s="326">
        <v>1.4833299999999999E-3</v>
      </c>
      <c r="M1644" s="104">
        <f t="shared" si="99"/>
        <v>1109.2692992544</v>
      </c>
      <c r="O1644" s="66"/>
      <c r="Q1644" s="66">
        <f t="shared" si="100"/>
        <v>29636.667895999999</v>
      </c>
    </row>
    <row r="1645" spans="1:17">
      <c r="A1645" s="106" t="s">
        <v>626</v>
      </c>
      <c r="B1645" s="324" t="s">
        <v>1681</v>
      </c>
      <c r="C1645" s="324" t="s">
        <v>2001</v>
      </c>
      <c r="D1645" s="106" t="s">
        <v>2002</v>
      </c>
      <c r="E1645" s="324" t="s">
        <v>164</v>
      </c>
      <c r="F1645" s="106" t="s">
        <v>1600</v>
      </c>
      <c r="G1645" s="324" t="s">
        <v>20</v>
      </c>
      <c r="H1645" s="324">
        <v>201610</v>
      </c>
      <c r="I1645" s="325">
        <v>4542.79</v>
      </c>
      <c r="J1645" s="297">
        <f t="shared" si="97"/>
        <v>42675</v>
      </c>
      <c r="K1645" s="67">
        <f t="shared" si="98"/>
        <v>6</v>
      </c>
      <c r="L1645" s="326">
        <v>1.4833299999999999E-3</v>
      </c>
      <c r="M1645" s="104">
        <f t="shared" si="99"/>
        <v>40.430740144200001</v>
      </c>
      <c r="O1645" s="66"/>
      <c r="Q1645" s="66">
        <f t="shared" si="100"/>
        <v>1080.1997488333334</v>
      </c>
    </row>
    <row r="1646" spans="1:17">
      <c r="A1646" s="106" t="s">
        <v>14</v>
      </c>
      <c r="B1646" s="324" t="s">
        <v>1681</v>
      </c>
      <c r="C1646" s="324" t="s">
        <v>2001</v>
      </c>
      <c r="D1646" s="106" t="s">
        <v>2002</v>
      </c>
      <c r="E1646" s="324" t="s">
        <v>164</v>
      </c>
      <c r="F1646" s="106" t="s">
        <v>1600</v>
      </c>
      <c r="G1646" s="324" t="s">
        <v>20</v>
      </c>
      <c r="H1646" s="324">
        <v>201610</v>
      </c>
      <c r="I1646" s="325">
        <v>6.22</v>
      </c>
      <c r="J1646" s="297">
        <f t="shared" si="97"/>
        <v>42675</v>
      </c>
      <c r="K1646" s="67">
        <f t="shared" si="98"/>
        <v>6</v>
      </c>
      <c r="L1646" s="326">
        <v>2.23333E-3</v>
      </c>
      <c r="M1646" s="104">
        <f t="shared" si="99"/>
        <v>8.3347875599999996E-2</v>
      </c>
      <c r="O1646" s="66"/>
      <c r="Q1646" s="66">
        <f t="shared" si="100"/>
        <v>1.4790123333333334</v>
      </c>
    </row>
    <row r="1647" spans="1:17">
      <c r="A1647" s="106" t="s">
        <v>626</v>
      </c>
      <c r="B1647" s="324" t="s">
        <v>1681</v>
      </c>
      <c r="C1647" s="324" t="s">
        <v>2259</v>
      </c>
      <c r="D1647" s="106" t="s">
        <v>2260</v>
      </c>
      <c r="E1647" s="324" t="s">
        <v>209</v>
      </c>
      <c r="F1647" s="106" t="s">
        <v>1612</v>
      </c>
      <c r="G1647" s="324" t="s">
        <v>20</v>
      </c>
      <c r="H1647" s="324">
        <v>201610</v>
      </c>
      <c r="I1647" s="325">
        <v>81.349999999999994</v>
      </c>
      <c r="J1647" s="297">
        <f t="shared" si="97"/>
        <v>42675</v>
      </c>
      <c r="K1647" s="67">
        <f t="shared" si="98"/>
        <v>6</v>
      </c>
      <c r="L1647" s="326">
        <v>1.4833299999999999E-3</v>
      </c>
      <c r="M1647" s="104">
        <f t="shared" si="99"/>
        <v>0.7240133729999999</v>
      </c>
      <c r="O1647" s="66"/>
      <c r="Q1647" s="66">
        <f t="shared" si="100"/>
        <v>19.343674166666666</v>
      </c>
    </row>
    <row r="1648" spans="1:17">
      <c r="A1648" s="106" t="s">
        <v>626</v>
      </c>
      <c r="B1648" s="324" t="s">
        <v>1681</v>
      </c>
      <c r="C1648" s="324" t="s">
        <v>2311</v>
      </c>
      <c r="D1648" s="106" t="s">
        <v>2312</v>
      </c>
      <c r="E1648" s="324" t="s">
        <v>209</v>
      </c>
      <c r="F1648" s="106" t="s">
        <v>1612</v>
      </c>
      <c r="G1648" s="324" t="s">
        <v>20</v>
      </c>
      <c r="H1648" s="324">
        <v>201610</v>
      </c>
      <c r="I1648" s="325">
        <v>376.58</v>
      </c>
      <c r="J1648" s="297">
        <f t="shared" si="97"/>
        <v>42675</v>
      </c>
      <c r="K1648" s="67">
        <f t="shared" si="98"/>
        <v>6</v>
      </c>
      <c r="L1648" s="326">
        <v>1.4833299999999999E-3</v>
      </c>
      <c r="M1648" s="104">
        <f t="shared" si="99"/>
        <v>3.3515544683999998</v>
      </c>
      <c r="O1648" s="66"/>
      <c r="Q1648" s="66">
        <f t="shared" si="100"/>
        <v>89.54444766666667</v>
      </c>
    </row>
    <row r="1649" spans="1:17">
      <c r="A1649" s="106" t="s">
        <v>14</v>
      </c>
      <c r="B1649" s="324" t="s">
        <v>1681</v>
      </c>
      <c r="C1649" s="324" t="s">
        <v>2311</v>
      </c>
      <c r="D1649" s="106" t="s">
        <v>2312</v>
      </c>
      <c r="E1649" s="324" t="s">
        <v>209</v>
      </c>
      <c r="F1649" s="106" t="s">
        <v>1612</v>
      </c>
      <c r="G1649" s="324" t="s">
        <v>20</v>
      </c>
      <c r="H1649" s="324">
        <v>201610</v>
      </c>
      <c r="I1649" s="325">
        <v>7.4</v>
      </c>
      <c r="J1649" s="297">
        <f t="shared" si="97"/>
        <v>42675</v>
      </c>
      <c r="K1649" s="67">
        <f t="shared" si="98"/>
        <v>6</v>
      </c>
      <c r="L1649" s="326">
        <v>2.23333E-3</v>
      </c>
      <c r="M1649" s="104">
        <f t="shared" si="99"/>
        <v>9.9159851999999993E-2</v>
      </c>
      <c r="O1649" s="66"/>
      <c r="Q1649" s="66">
        <f t="shared" si="100"/>
        <v>1.7595966666666667</v>
      </c>
    </row>
    <row r="1650" spans="1:17">
      <c r="A1650" s="106" t="s">
        <v>626</v>
      </c>
      <c r="B1650" s="324" t="s">
        <v>1681</v>
      </c>
      <c r="C1650" s="324" t="s">
        <v>2313</v>
      </c>
      <c r="D1650" s="106" t="s">
        <v>2314</v>
      </c>
      <c r="E1650" s="324" t="s">
        <v>260</v>
      </c>
      <c r="F1650" s="106" t="s">
        <v>1608</v>
      </c>
      <c r="G1650" s="324" t="s">
        <v>20</v>
      </c>
      <c r="H1650" s="324">
        <v>201610</v>
      </c>
      <c r="I1650" s="325">
        <v>8667.07</v>
      </c>
      <c r="J1650" s="297">
        <f t="shared" si="97"/>
        <v>42675</v>
      </c>
      <c r="K1650" s="67">
        <f t="shared" si="98"/>
        <v>6</v>
      </c>
      <c r="L1650" s="326">
        <v>1.4833299999999999E-3</v>
      </c>
      <c r="M1650" s="104">
        <f t="shared" si="99"/>
        <v>77.136749658599996</v>
      </c>
      <c r="O1650" s="66"/>
      <c r="Q1650" s="66">
        <f t="shared" si="100"/>
        <v>2060.8847948333332</v>
      </c>
    </row>
    <row r="1651" spans="1:17">
      <c r="A1651" s="106" t="s">
        <v>21</v>
      </c>
      <c r="B1651" s="324" t="s">
        <v>1681</v>
      </c>
      <c r="C1651" s="324" t="s">
        <v>2315</v>
      </c>
      <c r="D1651" s="106" t="s">
        <v>2316</v>
      </c>
      <c r="E1651" s="324" t="s">
        <v>164</v>
      </c>
      <c r="F1651" s="106" t="s">
        <v>1600</v>
      </c>
      <c r="G1651" s="324" t="s">
        <v>20</v>
      </c>
      <c r="H1651" s="324">
        <v>201610</v>
      </c>
      <c r="I1651" s="325">
        <v>-1.49</v>
      </c>
      <c r="J1651" s="297">
        <f t="shared" si="97"/>
        <v>42675</v>
      </c>
      <c r="K1651" s="67">
        <f t="shared" si="98"/>
        <v>6</v>
      </c>
      <c r="L1651" s="326">
        <v>1.4833299999999999E-3</v>
      </c>
      <c r="M1651" s="104">
        <f t="shared" si="99"/>
        <v>-1.32609702E-2</v>
      </c>
      <c r="O1651" s="66"/>
      <c r="Q1651" s="66">
        <f t="shared" si="100"/>
        <v>-0.35429716666666666</v>
      </c>
    </row>
    <row r="1652" spans="1:17">
      <c r="A1652" s="106" t="s">
        <v>626</v>
      </c>
      <c r="B1652" s="324" t="s">
        <v>1681</v>
      </c>
      <c r="C1652" s="324" t="s">
        <v>2315</v>
      </c>
      <c r="D1652" s="106" t="s">
        <v>2316</v>
      </c>
      <c r="E1652" s="324" t="s">
        <v>164</v>
      </c>
      <c r="F1652" s="106" t="s">
        <v>1600</v>
      </c>
      <c r="G1652" s="324" t="s">
        <v>20</v>
      </c>
      <c r="H1652" s="324">
        <v>201610</v>
      </c>
      <c r="I1652" s="325">
        <v>-2583.64</v>
      </c>
      <c r="J1652" s="297">
        <f t="shared" si="97"/>
        <v>42675</v>
      </c>
      <c r="K1652" s="67">
        <f t="shared" si="98"/>
        <v>6</v>
      </c>
      <c r="L1652" s="326">
        <v>1.4833299999999999E-3</v>
      </c>
      <c r="M1652" s="104">
        <f t="shared" si="99"/>
        <v>-22.9943443272</v>
      </c>
      <c r="O1652" s="66"/>
      <c r="Q1652" s="66">
        <f t="shared" si="100"/>
        <v>-614.34653133333336</v>
      </c>
    </row>
    <row r="1653" spans="1:17">
      <c r="A1653" s="106" t="s">
        <v>14</v>
      </c>
      <c r="B1653" s="324" t="s">
        <v>1681</v>
      </c>
      <c r="C1653" s="324" t="s">
        <v>2315</v>
      </c>
      <c r="D1653" s="106" t="s">
        <v>2316</v>
      </c>
      <c r="E1653" s="324" t="s">
        <v>164</v>
      </c>
      <c r="F1653" s="106" t="s">
        <v>1600</v>
      </c>
      <c r="G1653" s="324" t="s">
        <v>20</v>
      </c>
      <c r="H1653" s="324">
        <v>201610</v>
      </c>
      <c r="I1653" s="325">
        <v>-1107.4000000000001</v>
      </c>
      <c r="J1653" s="297">
        <f t="shared" si="97"/>
        <v>42675</v>
      </c>
      <c r="K1653" s="67">
        <f t="shared" si="98"/>
        <v>6</v>
      </c>
      <c r="L1653" s="326">
        <v>2.23333E-3</v>
      </c>
      <c r="M1653" s="104">
        <f t="shared" si="99"/>
        <v>-14.839137852</v>
      </c>
      <c r="O1653" s="66"/>
      <c r="Q1653" s="66">
        <f t="shared" si="100"/>
        <v>-263.32126333333332</v>
      </c>
    </row>
    <row r="1654" spans="1:17">
      <c r="A1654" s="106" t="s">
        <v>626</v>
      </c>
      <c r="B1654" s="324" t="s">
        <v>1681</v>
      </c>
      <c r="C1654" s="324" t="s">
        <v>2334</v>
      </c>
      <c r="D1654" s="106" t="s">
        <v>2335</v>
      </c>
      <c r="E1654" s="324" t="s">
        <v>164</v>
      </c>
      <c r="F1654" s="106" t="s">
        <v>1600</v>
      </c>
      <c r="G1654" s="324" t="s">
        <v>20</v>
      </c>
      <c r="H1654" s="324">
        <v>201610</v>
      </c>
      <c r="I1654" s="325">
        <v>128710.22</v>
      </c>
      <c r="J1654" s="297">
        <f t="shared" si="97"/>
        <v>42675</v>
      </c>
      <c r="K1654" s="67">
        <f t="shared" si="98"/>
        <v>6</v>
      </c>
      <c r="L1654" s="326">
        <v>1.4833299999999999E-3</v>
      </c>
      <c r="M1654" s="104">
        <f t="shared" si="99"/>
        <v>1145.5183837955999</v>
      </c>
      <c r="O1654" s="66"/>
      <c r="Q1654" s="66">
        <f t="shared" si="100"/>
        <v>30605.145145666669</v>
      </c>
    </row>
    <row r="1655" spans="1:17">
      <c r="A1655" s="106" t="s">
        <v>626</v>
      </c>
      <c r="B1655" s="324" t="s">
        <v>1681</v>
      </c>
      <c r="C1655" s="324" t="s">
        <v>2336</v>
      </c>
      <c r="D1655" s="106" t="s">
        <v>2337</v>
      </c>
      <c r="E1655" s="324" t="s">
        <v>164</v>
      </c>
      <c r="F1655" s="106" t="s">
        <v>1600</v>
      </c>
      <c r="G1655" s="324" t="s">
        <v>20</v>
      </c>
      <c r="H1655" s="324">
        <v>201610</v>
      </c>
      <c r="I1655" s="325">
        <v>510304.87</v>
      </c>
      <c r="J1655" s="297">
        <f t="shared" si="97"/>
        <v>42675</v>
      </c>
      <c r="K1655" s="67">
        <f t="shared" si="98"/>
        <v>6</v>
      </c>
      <c r="L1655" s="326">
        <v>1.4833299999999999E-3</v>
      </c>
      <c r="M1655" s="104">
        <f t="shared" si="99"/>
        <v>4541.7031369025999</v>
      </c>
      <c r="O1655" s="66"/>
      <c r="Q1655" s="66">
        <f t="shared" si="100"/>
        <v>121341.99300483333</v>
      </c>
    </row>
    <row r="1656" spans="1:17">
      <c r="A1656" s="106" t="s">
        <v>14</v>
      </c>
      <c r="B1656" s="324" t="s">
        <v>1681</v>
      </c>
      <c r="C1656" s="324" t="s">
        <v>2336</v>
      </c>
      <c r="D1656" s="106" t="s">
        <v>2337</v>
      </c>
      <c r="E1656" s="324" t="s">
        <v>164</v>
      </c>
      <c r="F1656" s="106" t="s">
        <v>1600</v>
      </c>
      <c r="G1656" s="324" t="s">
        <v>20</v>
      </c>
      <c r="H1656" s="324">
        <v>201610</v>
      </c>
      <c r="I1656" s="325">
        <v>2114.27</v>
      </c>
      <c r="J1656" s="297">
        <f t="shared" si="97"/>
        <v>42675</v>
      </c>
      <c r="K1656" s="67">
        <f t="shared" si="98"/>
        <v>6</v>
      </c>
      <c r="L1656" s="326">
        <v>2.23333E-3</v>
      </c>
      <c r="M1656" s="104">
        <f t="shared" si="99"/>
        <v>28.331175714599997</v>
      </c>
      <c r="O1656" s="66"/>
      <c r="Q1656" s="66">
        <f t="shared" si="100"/>
        <v>502.73816816666664</v>
      </c>
    </row>
    <row r="1657" spans="1:17">
      <c r="A1657" s="106" t="s">
        <v>626</v>
      </c>
      <c r="B1657" s="324" t="s">
        <v>1681</v>
      </c>
      <c r="C1657" s="324" t="s">
        <v>2338</v>
      </c>
      <c r="D1657" s="106" t="s">
        <v>2339</v>
      </c>
      <c r="E1657" s="324" t="s">
        <v>164</v>
      </c>
      <c r="F1657" s="106" t="s">
        <v>1600</v>
      </c>
      <c r="G1657" s="324" t="s">
        <v>20</v>
      </c>
      <c r="H1657" s="324">
        <v>201610</v>
      </c>
      <c r="I1657" s="325">
        <v>217806.87</v>
      </c>
      <c r="J1657" s="297">
        <f t="shared" si="97"/>
        <v>42675</v>
      </c>
      <c r="K1657" s="67">
        <f t="shared" si="98"/>
        <v>6</v>
      </c>
      <c r="L1657" s="326">
        <v>1.4833299999999999E-3</v>
      </c>
      <c r="M1657" s="104">
        <f t="shared" si="99"/>
        <v>1938.4767868626</v>
      </c>
      <c r="O1657" s="66"/>
      <c r="Q1657" s="66">
        <f t="shared" si="100"/>
        <v>51790.843571500001</v>
      </c>
    </row>
    <row r="1658" spans="1:17">
      <c r="A1658" s="106" t="s">
        <v>14</v>
      </c>
      <c r="B1658" s="324" t="s">
        <v>1681</v>
      </c>
      <c r="C1658" s="324" t="s">
        <v>2338</v>
      </c>
      <c r="D1658" s="106" t="s">
        <v>2339</v>
      </c>
      <c r="E1658" s="324" t="s">
        <v>164</v>
      </c>
      <c r="F1658" s="106" t="s">
        <v>1600</v>
      </c>
      <c r="G1658" s="324" t="s">
        <v>20</v>
      </c>
      <c r="H1658" s="324">
        <v>201610</v>
      </c>
      <c r="I1658" s="325">
        <v>1626.33</v>
      </c>
      <c r="J1658" s="297">
        <f t="shared" si="97"/>
        <v>42675</v>
      </c>
      <c r="K1658" s="67">
        <f t="shared" si="98"/>
        <v>6</v>
      </c>
      <c r="L1658" s="326">
        <v>2.23333E-3</v>
      </c>
      <c r="M1658" s="104">
        <f t="shared" si="99"/>
        <v>21.792789473399996</v>
      </c>
      <c r="O1658" s="66"/>
      <c r="Q1658" s="66">
        <f t="shared" si="100"/>
        <v>386.71416849999997</v>
      </c>
    </row>
    <row r="1659" spans="1:17">
      <c r="A1659" s="106" t="s">
        <v>626</v>
      </c>
      <c r="B1659" s="324" t="s">
        <v>1681</v>
      </c>
      <c r="C1659" s="324" t="s">
        <v>2340</v>
      </c>
      <c r="D1659" s="106" t="s">
        <v>2341</v>
      </c>
      <c r="E1659" s="324" t="s">
        <v>260</v>
      </c>
      <c r="F1659" s="106" t="s">
        <v>1608</v>
      </c>
      <c r="G1659" s="324" t="s">
        <v>20</v>
      </c>
      <c r="H1659" s="324">
        <v>201610</v>
      </c>
      <c r="I1659" s="325">
        <v>251639.82</v>
      </c>
      <c r="J1659" s="297">
        <f t="shared" si="97"/>
        <v>42675</v>
      </c>
      <c r="K1659" s="67">
        <f t="shared" si="98"/>
        <v>6</v>
      </c>
      <c r="L1659" s="326">
        <v>1.4833299999999999E-3</v>
      </c>
      <c r="M1659" s="104">
        <f t="shared" si="99"/>
        <v>2239.5893652036002</v>
      </c>
      <c r="O1659" s="66"/>
      <c r="Q1659" s="66">
        <f t="shared" si="100"/>
        <v>59835.755199000007</v>
      </c>
    </row>
    <row r="1660" spans="1:17">
      <c r="A1660" s="106" t="s">
        <v>14</v>
      </c>
      <c r="B1660" s="324" t="s">
        <v>1681</v>
      </c>
      <c r="C1660" s="324" t="s">
        <v>2340</v>
      </c>
      <c r="D1660" s="106" t="s">
        <v>2341</v>
      </c>
      <c r="E1660" s="324" t="s">
        <v>260</v>
      </c>
      <c r="F1660" s="106" t="s">
        <v>1608</v>
      </c>
      <c r="G1660" s="324" t="s">
        <v>20</v>
      </c>
      <c r="H1660" s="324">
        <v>201610</v>
      </c>
      <c r="I1660" s="325">
        <v>3758.7</v>
      </c>
      <c r="J1660" s="297">
        <f t="shared" si="97"/>
        <v>42675</v>
      </c>
      <c r="K1660" s="67">
        <f t="shared" si="98"/>
        <v>6</v>
      </c>
      <c r="L1660" s="326">
        <v>2.23333E-3</v>
      </c>
      <c r="M1660" s="104">
        <f t="shared" si="99"/>
        <v>50.366504825999996</v>
      </c>
      <c r="O1660" s="66"/>
      <c r="Q1660" s="66">
        <f t="shared" si="100"/>
        <v>893.756215</v>
      </c>
    </row>
    <row r="1661" spans="1:17">
      <c r="A1661" s="106" t="s">
        <v>626</v>
      </c>
      <c r="B1661" s="324" t="s">
        <v>1681</v>
      </c>
      <c r="C1661" s="324" t="s">
        <v>2342</v>
      </c>
      <c r="D1661" s="106" t="s">
        <v>2343</v>
      </c>
      <c r="E1661" s="324" t="s">
        <v>75</v>
      </c>
      <c r="F1661" s="106" t="s">
        <v>1602</v>
      </c>
      <c r="G1661" s="324" t="s">
        <v>20</v>
      </c>
      <c r="H1661" s="324">
        <v>201610</v>
      </c>
      <c r="I1661" s="325">
        <v>365546.07</v>
      </c>
      <c r="J1661" s="297">
        <f t="shared" si="97"/>
        <v>42675</v>
      </c>
      <c r="K1661" s="67">
        <f t="shared" si="98"/>
        <v>6</v>
      </c>
      <c r="L1661" s="326">
        <v>1.4833299999999999E-3</v>
      </c>
      <c r="M1661" s="104">
        <f t="shared" si="99"/>
        <v>3253.3527120786002</v>
      </c>
      <c r="O1661" s="66"/>
      <c r="Q1661" s="66">
        <f t="shared" si="100"/>
        <v>86920.763011500007</v>
      </c>
    </row>
    <row r="1662" spans="1:17">
      <c r="A1662" s="106" t="s">
        <v>14</v>
      </c>
      <c r="B1662" s="324" t="s">
        <v>1681</v>
      </c>
      <c r="C1662" s="324" t="s">
        <v>2342</v>
      </c>
      <c r="D1662" s="106" t="s">
        <v>2343</v>
      </c>
      <c r="E1662" s="324" t="s">
        <v>75</v>
      </c>
      <c r="F1662" s="106" t="s">
        <v>1602</v>
      </c>
      <c r="G1662" s="324" t="s">
        <v>20</v>
      </c>
      <c r="H1662" s="324">
        <v>201610</v>
      </c>
      <c r="I1662" s="325">
        <v>14.61</v>
      </c>
      <c r="J1662" s="297">
        <f t="shared" si="97"/>
        <v>42675</v>
      </c>
      <c r="K1662" s="67">
        <f t="shared" si="98"/>
        <v>6</v>
      </c>
      <c r="L1662" s="326">
        <v>2.23333E-3</v>
      </c>
      <c r="M1662" s="104">
        <f t="shared" si="99"/>
        <v>0.19577370779999997</v>
      </c>
      <c r="O1662" s="66"/>
      <c r="Q1662" s="66">
        <f t="shared" si="100"/>
        <v>3.4740145</v>
      </c>
    </row>
    <row r="1663" spans="1:17">
      <c r="A1663" s="106" t="s">
        <v>626</v>
      </c>
      <c r="B1663" s="324" t="s">
        <v>1681</v>
      </c>
      <c r="C1663" s="324" t="s">
        <v>2344</v>
      </c>
      <c r="D1663" s="106" t="s">
        <v>2345</v>
      </c>
      <c r="E1663" s="324" t="s">
        <v>75</v>
      </c>
      <c r="F1663" s="106" t="s">
        <v>1602</v>
      </c>
      <c r="G1663" s="324" t="s">
        <v>20</v>
      </c>
      <c r="H1663" s="324">
        <v>201610</v>
      </c>
      <c r="I1663" s="325">
        <v>369057.56</v>
      </c>
      <c r="J1663" s="297">
        <f t="shared" si="97"/>
        <v>42675</v>
      </c>
      <c r="K1663" s="67">
        <f t="shared" si="98"/>
        <v>6</v>
      </c>
      <c r="L1663" s="326">
        <v>1.4833299999999999E-3</v>
      </c>
      <c r="M1663" s="104">
        <f t="shared" si="99"/>
        <v>3284.6049028488001</v>
      </c>
      <c r="O1663" s="66"/>
      <c r="Q1663" s="66">
        <f t="shared" si="100"/>
        <v>87755.736808666668</v>
      </c>
    </row>
    <row r="1664" spans="1:17">
      <c r="A1664" s="106" t="s">
        <v>14</v>
      </c>
      <c r="B1664" s="324" t="s">
        <v>1681</v>
      </c>
      <c r="C1664" s="324" t="s">
        <v>2344</v>
      </c>
      <c r="D1664" s="106" t="s">
        <v>2345</v>
      </c>
      <c r="E1664" s="324" t="s">
        <v>75</v>
      </c>
      <c r="F1664" s="106" t="s">
        <v>1602</v>
      </c>
      <c r="G1664" s="324" t="s">
        <v>20</v>
      </c>
      <c r="H1664" s="324">
        <v>201610</v>
      </c>
      <c r="I1664" s="325">
        <v>87.24</v>
      </c>
      <c r="J1664" s="297">
        <f t="shared" si="97"/>
        <v>42675</v>
      </c>
      <c r="K1664" s="67">
        <f t="shared" si="98"/>
        <v>6</v>
      </c>
      <c r="L1664" s="326">
        <v>2.23333E-3</v>
      </c>
      <c r="M1664" s="104">
        <f t="shared" si="99"/>
        <v>1.1690142551999998</v>
      </c>
      <c r="O1664" s="66"/>
      <c r="Q1664" s="66">
        <f t="shared" si="100"/>
        <v>20.744218</v>
      </c>
    </row>
    <row r="1665" spans="1:17">
      <c r="A1665" s="106" t="s">
        <v>626</v>
      </c>
      <c r="B1665" s="324" t="s">
        <v>1681</v>
      </c>
      <c r="C1665" s="324" t="s">
        <v>2346</v>
      </c>
      <c r="D1665" s="106" t="s">
        <v>2347</v>
      </c>
      <c r="E1665" s="324" t="s">
        <v>75</v>
      </c>
      <c r="F1665" s="106" t="s">
        <v>1602</v>
      </c>
      <c r="G1665" s="324" t="s">
        <v>20</v>
      </c>
      <c r="H1665" s="324">
        <v>201610</v>
      </c>
      <c r="I1665" s="325">
        <v>167130.89000000001</v>
      </c>
      <c r="J1665" s="297">
        <f t="shared" si="97"/>
        <v>42675</v>
      </c>
      <c r="K1665" s="67">
        <f t="shared" si="98"/>
        <v>6</v>
      </c>
      <c r="L1665" s="326">
        <v>1.4833299999999999E-3</v>
      </c>
      <c r="M1665" s="104">
        <f t="shared" si="99"/>
        <v>1487.4615783822001</v>
      </c>
      <c r="O1665" s="66"/>
      <c r="Q1665" s="66">
        <f t="shared" si="100"/>
        <v>39740.940127166672</v>
      </c>
    </row>
    <row r="1666" spans="1:17">
      <c r="A1666" s="106" t="s">
        <v>626</v>
      </c>
      <c r="B1666" s="324" t="s">
        <v>1681</v>
      </c>
      <c r="C1666" s="324" t="s">
        <v>2348</v>
      </c>
      <c r="D1666" s="106" t="s">
        <v>2349</v>
      </c>
      <c r="E1666" s="324" t="s">
        <v>75</v>
      </c>
      <c r="F1666" s="106" t="s">
        <v>1602</v>
      </c>
      <c r="G1666" s="324" t="s">
        <v>20</v>
      </c>
      <c r="H1666" s="324">
        <v>201610</v>
      </c>
      <c r="I1666" s="325">
        <v>552123.15</v>
      </c>
      <c r="J1666" s="297">
        <f t="shared" si="97"/>
        <v>42675</v>
      </c>
      <c r="K1666" s="67">
        <f t="shared" si="98"/>
        <v>6</v>
      </c>
      <c r="L1666" s="326">
        <v>1.4833299999999999E-3</v>
      </c>
      <c r="M1666" s="104">
        <f t="shared" si="99"/>
        <v>4913.8849925370005</v>
      </c>
      <c r="O1666" s="66"/>
      <c r="Q1666" s="66">
        <f t="shared" si="100"/>
        <v>131285.68301750001</v>
      </c>
    </row>
    <row r="1667" spans="1:17">
      <c r="A1667" s="106" t="s">
        <v>14</v>
      </c>
      <c r="B1667" s="324" t="s">
        <v>1681</v>
      </c>
      <c r="C1667" s="324" t="s">
        <v>2348</v>
      </c>
      <c r="D1667" s="106" t="s">
        <v>2349</v>
      </c>
      <c r="E1667" s="324" t="s">
        <v>75</v>
      </c>
      <c r="F1667" s="106" t="s">
        <v>1602</v>
      </c>
      <c r="G1667" s="324" t="s">
        <v>20</v>
      </c>
      <c r="H1667" s="324">
        <v>201610</v>
      </c>
      <c r="I1667" s="325">
        <v>217.53</v>
      </c>
      <c r="J1667" s="297">
        <f t="shared" si="97"/>
        <v>42675</v>
      </c>
      <c r="K1667" s="67">
        <f t="shared" si="98"/>
        <v>6</v>
      </c>
      <c r="L1667" s="326">
        <v>2.23333E-3</v>
      </c>
      <c r="M1667" s="104">
        <f t="shared" si="99"/>
        <v>2.9148976493999998</v>
      </c>
      <c r="O1667" s="66"/>
      <c r="Q1667" s="66">
        <f t="shared" si="100"/>
        <v>51.725008500000001</v>
      </c>
    </row>
    <row r="1668" spans="1:17">
      <c r="A1668" s="106" t="s">
        <v>626</v>
      </c>
      <c r="B1668" s="324" t="s">
        <v>1681</v>
      </c>
      <c r="C1668" s="324" t="s">
        <v>2350</v>
      </c>
      <c r="D1668" s="106" t="s">
        <v>2351</v>
      </c>
      <c r="E1668" s="324" t="s">
        <v>75</v>
      </c>
      <c r="F1668" s="106" t="s">
        <v>1602</v>
      </c>
      <c r="G1668" s="324" t="s">
        <v>20</v>
      </c>
      <c r="H1668" s="324">
        <v>201610</v>
      </c>
      <c r="I1668" s="325">
        <v>568583.82999999996</v>
      </c>
      <c r="J1668" s="297">
        <f t="shared" si="97"/>
        <v>42675</v>
      </c>
      <c r="K1668" s="67">
        <f t="shared" si="98"/>
        <v>6</v>
      </c>
      <c r="L1668" s="326">
        <v>1.4833299999999999E-3</v>
      </c>
      <c r="M1668" s="104">
        <f t="shared" si="99"/>
        <v>5060.3847153234001</v>
      </c>
      <c r="O1668" s="66"/>
      <c r="Q1668" s="66">
        <f t="shared" si="100"/>
        <v>135199.75837683331</v>
      </c>
    </row>
    <row r="1669" spans="1:17">
      <c r="A1669" s="106" t="s">
        <v>626</v>
      </c>
      <c r="B1669" s="324" t="s">
        <v>1681</v>
      </c>
      <c r="C1669" s="324" t="s">
        <v>2067</v>
      </c>
      <c r="D1669" s="106" t="s">
        <v>2068</v>
      </c>
      <c r="E1669" s="324" t="s">
        <v>93</v>
      </c>
      <c r="F1669" s="106" t="s">
        <v>1601</v>
      </c>
      <c r="G1669" s="324" t="s">
        <v>20</v>
      </c>
      <c r="H1669" s="324">
        <v>201610</v>
      </c>
      <c r="I1669" s="325">
        <v>-0.04</v>
      </c>
      <c r="J1669" s="297">
        <f t="shared" si="97"/>
        <v>42675</v>
      </c>
      <c r="K1669" s="67">
        <f t="shared" si="98"/>
        <v>6</v>
      </c>
      <c r="L1669" s="326">
        <v>1.4833299999999999E-3</v>
      </c>
      <c r="M1669" s="104">
        <f t="shared" si="99"/>
        <v>-3.5599920000000003E-4</v>
      </c>
      <c r="O1669" s="66"/>
      <c r="Q1669" s="66">
        <f t="shared" si="100"/>
        <v>-9.5113333333333352E-3</v>
      </c>
    </row>
    <row r="1670" spans="1:17">
      <c r="A1670" s="106" t="s">
        <v>626</v>
      </c>
      <c r="B1670" s="324" t="s">
        <v>1681</v>
      </c>
      <c r="C1670" s="324" t="s">
        <v>2352</v>
      </c>
      <c r="D1670" s="106" t="s">
        <v>2353</v>
      </c>
      <c r="E1670" s="324" t="s">
        <v>75</v>
      </c>
      <c r="F1670" s="106" t="s">
        <v>1602</v>
      </c>
      <c r="G1670" s="324" t="s">
        <v>20</v>
      </c>
      <c r="H1670" s="324">
        <v>201610</v>
      </c>
      <c r="I1670" s="325">
        <v>514706.91</v>
      </c>
      <c r="J1670" s="297">
        <f t="shared" si="97"/>
        <v>42675</v>
      </c>
      <c r="K1670" s="67">
        <f t="shared" si="98"/>
        <v>6</v>
      </c>
      <c r="L1670" s="326">
        <v>1.4833299999999999E-3</v>
      </c>
      <c r="M1670" s="104">
        <f t="shared" si="99"/>
        <v>4580.8812048618001</v>
      </c>
      <c r="O1670" s="66"/>
      <c r="Q1670" s="66">
        <f t="shared" si="100"/>
        <v>122388.72474949999</v>
      </c>
    </row>
    <row r="1671" spans="1:17">
      <c r="A1671" s="106" t="s">
        <v>14</v>
      </c>
      <c r="B1671" s="324" t="s">
        <v>1681</v>
      </c>
      <c r="C1671" s="324" t="s">
        <v>2352</v>
      </c>
      <c r="D1671" s="106" t="s">
        <v>2353</v>
      </c>
      <c r="E1671" s="324" t="s">
        <v>75</v>
      </c>
      <c r="F1671" s="106" t="s">
        <v>1602</v>
      </c>
      <c r="G1671" s="324" t="s">
        <v>20</v>
      </c>
      <c r="H1671" s="324">
        <v>201610</v>
      </c>
      <c r="I1671" s="325">
        <v>838.08</v>
      </c>
      <c r="J1671" s="297">
        <f t="shared" ref="J1671:J1734" si="101">+J1670</f>
        <v>42675</v>
      </c>
      <c r="K1671" s="67">
        <f t="shared" si="98"/>
        <v>6</v>
      </c>
      <c r="L1671" s="326">
        <v>2.23333E-3</v>
      </c>
      <c r="M1671" s="104">
        <f t="shared" si="99"/>
        <v>11.2302552384</v>
      </c>
      <c r="O1671" s="66"/>
      <c r="Q1671" s="66">
        <f t="shared" si="100"/>
        <v>199.28145600000002</v>
      </c>
    </row>
    <row r="1672" spans="1:17">
      <c r="A1672" s="106" t="s">
        <v>626</v>
      </c>
      <c r="B1672" s="324" t="s">
        <v>1681</v>
      </c>
      <c r="C1672" s="324" t="s">
        <v>2354</v>
      </c>
      <c r="D1672" s="106" t="s">
        <v>2355</v>
      </c>
      <c r="E1672" s="324" t="s">
        <v>164</v>
      </c>
      <c r="F1672" s="106" t="s">
        <v>1600</v>
      </c>
      <c r="G1672" s="324" t="s">
        <v>20</v>
      </c>
      <c r="H1672" s="324">
        <v>201610</v>
      </c>
      <c r="I1672" s="325">
        <v>674891.54</v>
      </c>
      <c r="J1672" s="297">
        <f t="shared" si="101"/>
        <v>42675</v>
      </c>
      <c r="K1672" s="67">
        <f t="shared" si="98"/>
        <v>6</v>
      </c>
      <c r="L1672" s="326">
        <v>1.4833299999999999E-3</v>
      </c>
      <c r="M1672" s="104">
        <f t="shared" si="99"/>
        <v>6006.5212081692007</v>
      </c>
      <c r="O1672" s="66"/>
      <c r="Q1672" s="66">
        <f t="shared" si="100"/>
        <v>160477.9600196667</v>
      </c>
    </row>
    <row r="1673" spans="1:17">
      <c r="A1673" s="106" t="s">
        <v>626</v>
      </c>
      <c r="B1673" s="324" t="s">
        <v>1681</v>
      </c>
      <c r="C1673" s="324" t="s">
        <v>2356</v>
      </c>
      <c r="D1673" s="106" t="s">
        <v>2357</v>
      </c>
      <c r="E1673" s="324" t="s">
        <v>164</v>
      </c>
      <c r="F1673" s="106" t="s">
        <v>1600</v>
      </c>
      <c r="G1673" s="324" t="s">
        <v>20</v>
      </c>
      <c r="H1673" s="324">
        <v>201610</v>
      </c>
      <c r="I1673" s="325">
        <v>202350.58</v>
      </c>
      <c r="J1673" s="297">
        <f t="shared" si="101"/>
        <v>42675</v>
      </c>
      <c r="K1673" s="67">
        <f t="shared" si="98"/>
        <v>6</v>
      </c>
      <c r="L1673" s="326">
        <v>1.4833299999999999E-3</v>
      </c>
      <c r="M1673" s="104">
        <f t="shared" si="99"/>
        <v>1800.9161149883998</v>
      </c>
      <c r="O1673" s="66"/>
      <c r="Q1673" s="66">
        <f t="shared" si="100"/>
        <v>48115.595414333329</v>
      </c>
    </row>
    <row r="1674" spans="1:17">
      <c r="A1674" s="106" t="s">
        <v>626</v>
      </c>
      <c r="B1674" s="324" t="s">
        <v>1681</v>
      </c>
      <c r="C1674" s="324" t="s">
        <v>2358</v>
      </c>
      <c r="D1674" s="106" t="s">
        <v>2359</v>
      </c>
      <c r="E1674" s="324" t="s">
        <v>75</v>
      </c>
      <c r="F1674" s="106" t="s">
        <v>1602</v>
      </c>
      <c r="G1674" s="324" t="s">
        <v>20</v>
      </c>
      <c r="H1674" s="324">
        <v>201610</v>
      </c>
      <c r="I1674" s="325">
        <v>384311.29</v>
      </c>
      <c r="J1674" s="297">
        <f t="shared" si="101"/>
        <v>42675</v>
      </c>
      <c r="K1674" s="67">
        <f t="shared" si="98"/>
        <v>6</v>
      </c>
      <c r="L1674" s="326">
        <v>1.4833299999999999E-3</v>
      </c>
      <c r="M1674" s="104">
        <f t="shared" si="99"/>
        <v>3420.3627947741998</v>
      </c>
      <c r="O1674" s="66"/>
      <c r="Q1674" s="66">
        <f t="shared" si="100"/>
        <v>91382.819573833331</v>
      </c>
    </row>
    <row r="1675" spans="1:17">
      <c r="A1675" s="106" t="s">
        <v>14</v>
      </c>
      <c r="B1675" s="324" t="s">
        <v>1681</v>
      </c>
      <c r="C1675" s="324" t="s">
        <v>2358</v>
      </c>
      <c r="D1675" s="106" t="s">
        <v>2359</v>
      </c>
      <c r="E1675" s="324" t="s">
        <v>75</v>
      </c>
      <c r="F1675" s="106" t="s">
        <v>1602</v>
      </c>
      <c r="G1675" s="324" t="s">
        <v>20</v>
      </c>
      <c r="H1675" s="324">
        <v>201610</v>
      </c>
      <c r="I1675" s="325">
        <v>4328.45</v>
      </c>
      <c r="J1675" s="297">
        <f t="shared" si="101"/>
        <v>42675</v>
      </c>
      <c r="K1675" s="67">
        <f t="shared" si="98"/>
        <v>6</v>
      </c>
      <c r="L1675" s="326">
        <v>2.23333E-3</v>
      </c>
      <c r="M1675" s="104">
        <f t="shared" si="99"/>
        <v>58.001143430999996</v>
      </c>
      <c r="O1675" s="66"/>
      <c r="Q1675" s="66">
        <f t="shared" si="100"/>
        <v>1029.2332691666668</v>
      </c>
    </row>
    <row r="1676" spans="1:17">
      <c r="A1676" s="106" t="s">
        <v>626</v>
      </c>
      <c r="B1676" s="324" t="s">
        <v>1681</v>
      </c>
      <c r="C1676" s="324" t="s">
        <v>2360</v>
      </c>
      <c r="D1676" s="106" t="s">
        <v>2361</v>
      </c>
      <c r="E1676" s="324" t="s">
        <v>75</v>
      </c>
      <c r="F1676" s="106" t="s">
        <v>1602</v>
      </c>
      <c r="G1676" s="324" t="s">
        <v>20</v>
      </c>
      <c r="H1676" s="324">
        <v>201610</v>
      </c>
      <c r="I1676" s="325">
        <v>458234.75</v>
      </c>
      <c r="J1676" s="297">
        <f t="shared" si="101"/>
        <v>42675</v>
      </c>
      <c r="K1676" s="67">
        <f t="shared" si="98"/>
        <v>6</v>
      </c>
      <c r="L1676" s="326">
        <v>1.4833299999999999E-3</v>
      </c>
      <c r="M1676" s="104">
        <f t="shared" si="99"/>
        <v>4078.2801103050001</v>
      </c>
      <c r="O1676" s="66"/>
      <c r="Q1676" s="66">
        <f t="shared" si="100"/>
        <v>108960.58630416666</v>
      </c>
    </row>
    <row r="1677" spans="1:17">
      <c r="A1677" s="106" t="s">
        <v>14</v>
      </c>
      <c r="B1677" s="324" t="s">
        <v>1681</v>
      </c>
      <c r="C1677" s="324" t="s">
        <v>2360</v>
      </c>
      <c r="D1677" s="106" t="s">
        <v>2361</v>
      </c>
      <c r="E1677" s="324" t="s">
        <v>75</v>
      </c>
      <c r="F1677" s="106" t="s">
        <v>1602</v>
      </c>
      <c r="G1677" s="324" t="s">
        <v>20</v>
      </c>
      <c r="H1677" s="324">
        <v>201610</v>
      </c>
      <c r="I1677" s="325">
        <v>5976.07</v>
      </c>
      <c r="J1677" s="297">
        <f t="shared" si="101"/>
        <v>42675</v>
      </c>
      <c r="K1677" s="67">
        <f t="shared" si="98"/>
        <v>6</v>
      </c>
      <c r="L1677" s="326">
        <v>2.23333E-3</v>
      </c>
      <c r="M1677" s="104">
        <f t="shared" si="99"/>
        <v>80.079218478599984</v>
      </c>
      <c r="O1677" s="66"/>
      <c r="Q1677" s="66">
        <f t="shared" si="100"/>
        <v>1421.0098448333333</v>
      </c>
    </row>
    <row r="1678" spans="1:17">
      <c r="A1678" s="106" t="s">
        <v>626</v>
      </c>
      <c r="B1678" s="324" t="s">
        <v>1681</v>
      </c>
      <c r="C1678" s="324" t="s">
        <v>2362</v>
      </c>
      <c r="D1678" s="106" t="s">
        <v>2363</v>
      </c>
      <c r="E1678" s="324" t="s">
        <v>75</v>
      </c>
      <c r="F1678" s="106" t="s">
        <v>1602</v>
      </c>
      <c r="G1678" s="324" t="s">
        <v>20</v>
      </c>
      <c r="H1678" s="324">
        <v>201610</v>
      </c>
      <c r="I1678" s="325">
        <v>183104.32</v>
      </c>
      <c r="J1678" s="297">
        <f t="shared" si="101"/>
        <v>42675</v>
      </c>
      <c r="K1678" s="67">
        <f t="shared" si="98"/>
        <v>6</v>
      </c>
      <c r="L1678" s="326">
        <v>1.4833299999999999E-3</v>
      </c>
      <c r="M1678" s="104">
        <f t="shared" si="99"/>
        <v>1629.6247859136001</v>
      </c>
      <c r="O1678" s="66"/>
      <c r="Q1678" s="66">
        <f t="shared" si="100"/>
        <v>43539.155557333339</v>
      </c>
    </row>
    <row r="1679" spans="1:17">
      <c r="A1679" s="106" t="s">
        <v>14</v>
      </c>
      <c r="B1679" s="324" t="s">
        <v>1681</v>
      </c>
      <c r="C1679" s="324" t="s">
        <v>2362</v>
      </c>
      <c r="D1679" s="106" t="s">
        <v>2363</v>
      </c>
      <c r="E1679" s="324" t="s">
        <v>75</v>
      </c>
      <c r="F1679" s="106" t="s">
        <v>1602</v>
      </c>
      <c r="G1679" s="324" t="s">
        <v>20</v>
      </c>
      <c r="H1679" s="324">
        <v>201610</v>
      </c>
      <c r="I1679" s="325">
        <v>3137.18</v>
      </c>
      <c r="J1679" s="297">
        <f t="shared" si="101"/>
        <v>42675</v>
      </c>
      <c r="K1679" s="67">
        <f t="shared" si="98"/>
        <v>6</v>
      </c>
      <c r="L1679" s="326">
        <v>2.23333E-3</v>
      </c>
      <c r="M1679" s="104">
        <f t="shared" si="99"/>
        <v>42.038149256399997</v>
      </c>
      <c r="O1679" s="66"/>
      <c r="Q1679" s="66">
        <f t="shared" si="100"/>
        <v>745.96911766666665</v>
      </c>
    </row>
    <row r="1680" spans="1:17">
      <c r="A1680" s="106" t="s">
        <v>626</v>
      </c>
      <c r="B1680" s="324" t="s">
        <v>1681</v>
      </c>
      <c r="C1680" s="324" t="s">
        <v>2364</v>
      </c>
      <c r="D1680" s="106" t="s">
        <v>2365</v>
      </c>
      <c r="E1680" s="324" t="s">
        <v>75</v>
      </c>
      <c r="F1680" s="106" t="s">
        <v>1602</v>
      </c>
      <c r="G1680" s="324" t="s">
        <v>20</v>
      </c>
      <c r="H1680" s="324">
        <v>201610</v>
      </c>
      <c r="I1680" s="325">
        <v>486471.87</v>
      </c>
      <c r="J1680" s="297">
        <f t="shared" si="101"/>
        <v>42675</v>
      </c>
      <c r="K1680" s="67">
        <f t="shared" si="98"/>
        <v>6</v>
      </c>
      <c r="L1680" s="326">
        <v>1.4833299999999999E-3</v>
      </c>
      <c r="M1680" s="104">
        <f t="shared" si="99"/>
        <v>4329.5899135625996</v>
      </c>
      <c r="O1680" s="66"/>
      <c r="Q1680" s="66">
        <f t="shared" si="100"/>
        <v>115674.9028215</v>
      </c>
    </row>
    <row r="1681" spans="1:17">
      <c r="A1681" s="106" t="s">
        <v>14</v>
      </c>
      <c r="B1681" s="324" t="s">
        <v>1681</v>
      </c>
      <c r="C1681" s="324" t="s">
        <v>2364</v>
      </c>
      <c r="D1681" s="106" t="s">
        <v>2365</v>
      </c>
      <c r="E1681" s="324" t="s">
        <v>75</v>
      </c>
      <c r="F1681" s="106" t="s">
        <v>1602</v>
      </c>
      <c r="G1681" s="324" t="s">
        <v>20</v>
      </c>
      <c r="H1681" s="324">
        <v>201610</v>
      </c>
      <c r="I1681" s="325">
        <v>4997.79</v>
      </c>
      <c r="J1681" s="297">
        <f t="shared" si="101"/>
        <v>42675</v>
      </c>
      <c r="K1681" s="67">
        <f t="shared" si="98"/>
        <v>6</v>
      </c>
      <c r="L1681" s="326">
        <v>2.23333E-3</v>
      </c>
      <c r="M1681" s="104">
        <f t="shared" si="99"/>
        <v>66.970286044199995</v>
      </c>
      <c r="O1681" s="66"/>
      <c r="Q1681" s="66">
        <f t="shared" si="100"/>
        <v>1188.3911655000002</v>
      </c>
    </row>
    <row r="1682" spans="1:17">
      <c r="A1682" s="106" t="s">
        <v>21</v>
      </c>
      <c r="B1682" s="324" t="s">
        <v>1681</v>
      </c>
      <c r="C1682" s="324" t="s">
        <v>2366</v>
      </c>
      <c r="D1682" s="106" t="s">
        <v>2367</v>
      </c>
      <c r="E1682" s="324" t="s">
        <v>75</v>
      </c>
      <c r="F1682" s="106" t="s">
        <v>1602</v>
      </c>
      <c r="G1682" s="324" t="s">
        <v>20</v>
      </c>
      <c r="H1682" s="324">
        <v>201610</v>
      </c>
      <c r="I1682" s="325">
        <v>28.9</v>
      </c>
      <c r="J1682" s="297">
        <f t="shared" si="101"/>
        <v>42675</v>
      </c>
      <c r="K1682" s="67">
        <f t="shared" ref="K1682:K1745" si="102">((YEAR($K$1)-YEAR(J1682))*12+MONTH($K$1)-MONTH(J1682))</f>
        <v>6</v>
      </c>
      <c r="L1682" s="326">
        <v>1.4833299999999999E-3</v>
      </c>
      <c r="M1682" s="104">
        <f t="shared" ref="M1682:M1745" si="103">L1682*K1682*I1682</f>
        <v>0.25720942199999997</v>
      </c>
      <c r="O1682" s="66"/>
      <c r="Q1682" s="66">
        <f t="shared" ref="Q1682:Q1745" si="104">($O$4*I1682*$T$10)</f>
        <v>6.8719383333333335</v>
      </c>
    </row>
    <row r="1683" spans="1:17">
      <c r="A1683" s="106" t="s">
        <v>626</v>
      </c>
      <c r="B1683" s="324" t="s">
        <v>1681</v>
      </c>
      <c r="C1683" s="324" t="s">
        <v>2366</v>
      </c>
      <c r="D1683" s="106" t="s">
        <v>2367</v>
      </c>
      <c r="E1683" s="324" t="s">
        <v>75</v>
      </c>
      <c r="F1683" s="106" t="s">
        <v>1602</v>
      </c>
      <c r="G1683" s="324" t="s">
        <v>20</v>
      </c>
      <c r="H1683" s="324">
        <v>201610</v>
      </c>
      <c r="I1683" s="325">
        <v>180074.95</v>
      </c>
      <c r="J1683" s="297">
        <f t="shared" si="101"/>
        <v>42675</v>
      </c>
      <c r="K1683" s="67">
        <f t="shared" si="102"/>
        <v>6</v>
      </c>
      <c r="L1683" s="326">
        <v>1.4833299999999999E-3</v>
      </c>
      <c r="M1683" s="104">
        <f t="shared" si="103"/>
        <v>1602.663453501</v>
      </c>
      <c r="O1683" s="66"/>
      <c r="Q1683" s="66">
        <f t="shared" si="104"/>
        <v>42818.821860833334</v>
      </c>
    </row>
    <row r="1684" spans="1:17">
      <c r="A1684" s="106" t="s">
        <v>14</v>
      </c>
      <c r="B1684" s="324" t="s">
        <v>1681</v>
      </c>
      <c r="C1684" s="324" t="s">
        <v>2366</v>
      </c>
      <c r="D1684" s="106" t="s">
        <v>2367</v>
      </c>
      <c r="E1684" s="324" t="s">
        <v>75</v>
      </c>
      <c r="F1684" s="106" t="s">
        <v>1602</v>
      </c>
      <c r="G1684" s="324" t="s">
        <v>20</v>
      </c>
      <c r="H1684" s="324">
        <v>201610</v>
      </c>
      <c r="I1684" s="325">
        <v>233.59</v>
      </c>
      <c r="J1684" s="297">
        <f t="shared" si="101"/>
        <v>42675</v>
      </c>
      <c r="K1684" s="67">
        <f t="shared" si="102"/>
        <v>6</v>
      </c>
      <c r="L1684" s="326">
        <v>2.23333E-3</v>
      </c>
      <c r="M1684" s="104">
        <f t="shared" si="103"/>
        <v>3.1301013281999999</v>
      </c>
      <c r="O1684" s="66"/>
      <c r="Q1684" s="66">
        <f t="shared" si="104"/>
        <v>55.543808833333337</v>
      </c>
    </row>
    <row r="1685" spans="1:17">
      <c r="A1685" s="106" t="s">
        <v>21</v>
      </c>
      <c r="B1685" s="324" t="s">
        <v>1681</v>
      </c>
      <c r="C1685" s="324" t="s">
        <v>2368</v>
      </c>
      <c r="D1685" s="106" t="s">
        <v>2369</v>
      </c>
      <c r="E1685" s="324" t="s">
        <v>75</v>
      </c>
      <c r="F1685" s="106" t="s">
        <v>1602</v>
      </c>
      <c r="G1685" s="324" t="s">
        <v>20</v>
      </c>
      <c r="H1685" s="324">
        <v>201610</v>
      </c>
      <c r="I1685" s="325">
        <v>14.27</v>
      </c>
      <c r="J1685" s="297">
        <f t="shared" si="101"/>
        <v>42675</v>
      </c>
      <c r="K1685" s="67">
        <f t="shared" si="102"/>
        <v>6</v>
      </c>
      <c r="L1685" s="326">
        <v>1.4833299999999999E-3</v>
      </c>
      <c r="M1685" s="104">
        <f t="shared" si="103"/>
        <v>0.12700271460000001</v>
      </c>
      <c r="O1685" s="66"/>
      <c r="Q1685" s="66">
        <f t="shared" si="104"/>
        <v>3.3931681666666664</v>
      </c>
    </row>
    <row r="1686" spans="1:17">
      <c r="A1686" s="106" t="s">
        <v>626</v>
      </c>
      <c r="B1686" s="324" t="s">
        <v>1681</v>
      </c>
      <c r="C1686" s="324" t="s">
        <v>2368</v>
      </c>
      <c r="D1686" s="106" t="s">
        <v>2369</v>
      </c>
      <c r="E1686" s="324" t="s">
        <v>75</v>
      </c>
      <c r="F1686" s="106" t="s">
        <v>1602</v>
      </c>
      <c r="G1686" s="324" t="s">
        <v>20</v>
      </c>
      <c r="H1686" s="324">
        <v>201610</v>
      </c>
      <c r="I1686" s="325">
        <v>153943.76</v>
      </c>
      <c r="J1686" s="297">
        <f t="shared" si="101"/>
        <v>42675</v>
      </c>
      <c r="K1686" s="67">
        <f t="shared" si="102"/>
        <v>6</v>
      </c>
      <c r="L1686" s="326">
        <v>1.4833299999999999E-3</v>
      </c>
      <c r="M1686" s="104">
        <f t="shared" si="103"/>
        <v>1370.0963851248</v>
      </c>
      <c r="O1686" s="66"/>
      <c r="Q1686" s="66">
        <f t="shared" si="104"/>
        <v>36605.260398666673</v>
      </c>
    </row>
    <row r="1687" spans="1:17">
      <c r="A1687" s="106" t="s">
        <v>14</v>
      </c>
      <c r="B1687" s="324" t="s">
        <v>1681</v>
      </c>
      <c r="C1687" s="324" t="s">
        <v>2368</v>
      </c>
      <c r="D1687" s="106" t="s">
        <v>2369</v>
      </c>
      <c r="E1687" s="324" t="s">
        <v>75</v>
      </c>
      <c r="F1687" s="106" t="s">
        <v>1602</v>
      </c>
      <c r="G1687" s="324" t="s">
        <v>20</v>
      </c>
      <c r="H1687" s="324">
        <v>201610</v>
      </c>
      <c r="I1687" s="325">
        <v>253.63</v>
      </c>
      <c r="J1687" s="297">
        <f t="shared" si="101"/>
        <v>42675</v>
      </c>
      <c r="K1687" s="67">
        <f t="shared" si="102"/>
        <v>6</v>
      </c>
      <c r="L1687" s="326">
        <v>2.23333E-3</v>
      </c>
      <c r="M1687" s="104">
        <f t="shared" si="103"/>
        <v>3.3986369273999997</v>
      </c>
      <c r="O1687" s="66"/>
      <c r="Q1687" s="66">
        <f t="shared" si="104"/>
        <v>60.308986833333336</v>
      </c>
    </row>
    <row r="1688" spans="1:17">
      <c r="A1688" s="106" t="s">
        <v>626</v>
      </c>
      <c r="B1688" s="324" t="s">
        <v>1681</v>
      </c>
      <c r="C1688" s="324" t="s">
        <v>2370</v>
      </c>
      <c r="D1688" s="106" t="s">
        <v>2371</v>
      </c>
      <c r="E1688" s="324" t="s">
        <v>75</v>
      </c>
      <c r="F1688" s="106" t="s">
        <v>1602</v>
      </c>
      <c r="G1688" s="324" t="s">
        <v>20</v>
      </c>
      <c r="H1688" s="324">
        <v>201610</v>
      </c>
      <c r="I1688" s="325">
        <v>445283.55</v>
      </c>
      <c r="J1688" s="297">
        <f t="shared" si="101"/>
        <v>42675</v>
      </c>
      <c r="K1688" s="67">
        <f t="shared" si="102"/>
        <v>6</v>
      </c>
      <c r="L1688" s="326">
        <v>1.4833299999999999E-3</v>
      </c>
      <c r="M1688" s="104">
        <f t="shared" si="103"/>
        <v>3963.0146893289998</v>
      </c>
      <c r="O1688" s="66"/>
      <c r="Q1688" s="66">
        <f t="shared" si="104"/>
        <v>105881.0067975</v>
      </c>
    </row>
    <row r="1689" spans="1:17">
      <c r="A1689" s="106" t="s">
        <v>14</v>
      </c>
      <c r="B1689" s="324" t="s">
        <v>1681</v>
      </c>
      <c r="C1689" s="324" t="s">
        <v>2370</v>
      </c>
      <c r="D1689" s="106" t="s">
        <v>2371</v>
      </c>
      <c r="E1689" s="324" t="s">
        <v>75</v>
      </c>
      <c r="F1689" s="106" t="s">
        <v>1602</v>
      </c>
      <c r="G1689" s="324" t="s">
        <v>20</v>
      </c>
      <c r="H1689" s="324">
        <v>201610</v>
      </c>
      <c r="I1689" s="325">
        <v>38.630000000000003</v>
      </c>
      <c r="J1689" s="297">
        <f t="shared" si="101"/>
        <v>42675</v>
      </c>
      <c r="K1689" s="67">
        <f t="shared" si="102"/>
        <v>6</v>
      </c>
      <c r="L1689" s="326">
        <v>2.23333E-3</v>
      </c>
      <c r="M1689" s="104">
        <f t="shared" si="103"/>
        <v>0.51764122739999996</v>
      </c>
      <c r="O1689" s="66"/>
      <c r="Q1689" s="66">
        <f t="shared" si="104"/>
        <v>9.1855701666666683</v>
      </c>
    </row>
    <row r="1690" spans="1:17">
      <c r="A1690" s="106" t="s">
        <v>626</v>
      </c>
      <c r="B1690" s="324" t="s">
        <v>1681</v>
      </c>
      <c r="C1690" s="324" t="s">
        <v>2317</v>
      </c>
      <c r="D1690" s="106" t="s">
        <v>2318</v>
      </c>
      <c r="E1690" s="324" t="s">
        <v>75</v>
      </c>
      <c r="F1690" s="106" t="s">
        <v>1602</v>
      </c>
      <c r="G1690" s="324" t="s">
        <v>20</v>
      </c>
      <c r="H1690" s="324">
        <v>201610</v>
      </c>
      <c r="I1690" s="325">
        <v>-611.33000000000004</v>
      </c>
      <c r="J1690" s="297">
        <f t="shared" si="101"/>
        <v>42675</v>
      </c>
      <c r="K1690" s="67">
        <f t="shared" si="102"/>
        <v>6</v>
      </c>
      <c r="L1690" s="326">
        <v>1.4833299999999999E-3</v>
      </c>
      <c r="M1690" s="104">
        <f t="shared" si="103"/>
        <v>-5.4408247734000001</v>
      </c>
      <c r="O1690" s="66"/>
      <c r="Q1690" s="66">
        <f t="shared" si="104"/>
        <v>-145.36408516666668</v>
      </c>
    </row>
    <row r="1691" spans="1:17">
      <c r="A1691" s="106" t="s">
        <v>626</v>
      </c>
      <c r="B1691" s="324" t="s">
        <v>1681</v>
      </c>
      <c r="C1691" s="324" t="s">
        <v>2009</v>
      </c>
      <c r="D1691" s="106" t="s">
        <v>2010</v>
      </c>
      <c r="E1691" s="324" t="s">
        <v>260</v>
      </c>
      <c r="F1691" s="106" t="s">
        <v>1608</v>
      </c>
      <c r="G1691" s="324" t="s">
        <v>20</v>
      </c>
      <c r="H1691" s="324">
        <v>201610</v>
      </c>
      <c r="I1691" s="325">
        <v>441.36</v>
      </c>
      <c r="J1691" s="297">
        <f t="shared" si="101"/>
        <v>42675</v>
      </c>
      <c r="K1691" s="67">
        <f t="shared" si="102"/>
        <v>6</v>
      </c>
      <c r="L1691" s="326">
        <v>1.4833299999999999E-3</v>
      </c>
      <c r="M1691" s="104">
        <f t="shared" si="103"/>
        <v>3.9280951728</v>
      </c>
      <c r="O1691" s="66"/>
      <c r="Q1691" s="66">
        <f t="shared" si="104"/>
        <v>104.948052</v>
      </c>
    </row>
    <row r="1692" spans="1:17">
      <c r="A1692" s="106" t="s">
        <v>14</v>
      </c>
      <c r="B1692" s="324" t="s">
        <v>1681</v>
      </c>
      <c r="C1692" s="324" t="s">
        <v>2009</v>
      </c>
      <c r="D1692" s="106" t="s">
        <v>2010</v>
      </c>
      <c r="E1692" s="324" t="s">
        <v>260</v>
      </c>
      <c r="F1692" s="106" t="s">
        <v>1608</v>
      </c>
      <c r="G1692" s="324" t="s">
        <v>20</v>
      </c>
      <c r="H1692" s="324">
        <v>201610</v>
      </c>
      <c r="I1692" s="325">
        <v>8.33</v>
      </c>
      <c r="J1692" s="297">
        <f t="shared" si="101"/>
        <v>42675</v>
      </c>
      <c r="K1692" s="67">
        <f t="shared" si="102"/>
        <v>6</v>
      </c>
      <c r="L1692" s="326">
        <v>2.23333E-3</v>
      </c>
      <c r="M1692" s="104">
        <f t="shared" si="103"/>
        <v>0.1116218334</v>
      </c>
      <c r="O1692" s="66"/>
      <c r="Q1692" s="66">
        <f t="shared" si="104"/>
        <v>1.9807351666666668</v>
      </c>
    </row>
    <row r="1693" spans="1:17">
      <c r="A1693" s="106" t="s">
        <v>626</v>
      </c>
      <c r="B1693" s="324" t="s">
        <v>1681</v>
      </c>
      <c r="C1693" s="324" t="s">
        <v>2319</v>
      </c>
      <c r="D1693" s="106" t="s">
        <v>2320</v>
      </c>
      <c r="E1693" s="324" t="s">
        <v>164</v>
      </c>
      <c r="F1693" s="106" t="s">
        <v>1600</v>
      </c>
      <c r="G1693" s="324" t="s">
        <v>20</v>
      </c>
      <c r="H1693" s="324">
        <v>201610</v>
      </c>
      <c r="I1693" s="325">
        <v>-5583.35</v>
      </c>
      <c r="J1693" s="297">
        <f t="shared" si="101"/>
        <v>42675</v>
      </c>
      <c r="K1693" s="67">
        <f t="shared" si="102"/>
        <v>6</v>
      </c>
      <c r="L1693" s="326">
        <v>1.4833299999999999E-3</v>
      </c>
      <c r="M1693" s="104">
        <f t="shared" si="103"/>
        <v>-49.691703333000007</v>
      </c>
      <c r="O1693" s="66"/>
      <c r="Q1693" s="66">
        <f t="shared" si="104"/>
        <v>-1327.6275741666668</v>
      </c>
    </row>
    <row r="1694" spans="1:17">
      <c r="A1694" s="106" t="s">
        <v>14</v>
      </c>
      <c r="B1694" s="324" t="s">
        <v>1681</v>
      </c>
      <c r="C1694" s="324" t="s">
        <v>2319</v>
      </c>
      <c r="D1694" s="106" t="s">
        <v>2320</v>
      </c>
      <c r="E1694" s="324" t="s">
        <v>164</v>
      </c>
      <c r="F1694" s="106" t="s">
        <v>1600</v>
      </c>
      <c r="G1694" s="324" t="s">
        <v>20</v>
      </c>
      <c r="H1694" s="324">
        <v>201610</v>
      </c>
      <c r="I1694" s="325">
        <v>-156.19999999999999</v>
      </c>
      <c r="J1694" s="297">
        <f t="shared" si="101"/>
        <v>42675</v>
      </c>
      <c r="K1694" s="67">
        <f t="shared" si="102"/>
        <v>6</v>
      </c>
      <c r="L1694" s="326">
        <v>2.23333E-3</v>
      </c>
      <c r="M1694" s="104">
        <f t="shared" si="103"/>
        <v>-2.0930768759999996</v>
      </c>
      <c r="O1694" s="66"/>
      <c r="Q1694" s="66">
        <f t="shared" si="104"/>
        <v>-37.141756666666666</v>
      </c>
    </row>
    <row r="1695" spans="1:17">
      <c r="A1695" s="106" t="s">
        <v>626</v>
      </c>
      <c r="B1695" s="324" t="s">
        <v>1681</v>
      </c>
      <c r="C1695" s="324" t="s">
        <v>2372</v>
      </c>
      <c r="D1695" s="106" t="s">
        <v>2373</v>
      </c>
      <c r="E1695" s="324" t="s">
        <v>164</v>
      </c>
      <c r="F1695" s="106" t="s">
        <v>1600</v>
      </c>
      <c r="G1695" s="324" t="s">
        <v>20</v>
      </c>
      <c r="H1695" s="324">
        <v>201610</v>
      </c>
      <c r="I1695" s="325">
        <v>108019.57</v>
      </c>
      <c r="J1695" s="297">
        <f t="shared" si="101"/>
        <v>42675</v>
      </c>
      <c r="K1695" s="67">
        <f t="shared" si="102"/>
        <v>6</v>
      </c>
      <c r="L1695" s="326">
        <v>1.4833299999999999E-3</v>
      </c>
      <c r="M1695" s="104">
        <f t="shared" si="103"/>
        <v>961.37201260860002</v>
      </c>
      <c r="O1695" s="66"/>
      <c r="Q1695" s="66">
        <f t="shared" si="104"/>
        <v>25685.253419833334</v>
      </c>
    </row>
    <row r="1696" spans="1:17">
      <c r="A1696" s="106" t="s">
        <v>14</v>
      </c>
      <c r="B1696" s="324" t="s">
        <v>1681</v>
      </c>
      <c r="C1696" s="324" t="s">
        <v>2372</v>
      </c>
      <c r="D1696" s="106" t="s">
        <v>2373</v>
      </c>
      <c r="E1696" s="324" t="s">
        <v>164</v>
      </c>
      <c r="F1696" s="106" t="s">
        <v>1600</v>
      </c>
      <c r="G1696" s="324" t="s">
        <v>20</v>
      </c>
      <c r="H1696" s="324">
        <v>201610</v>
      </c>
      <c r="I1696" s="325">
        <v>1339.83</v>
      </c>
      <c r="J1696" s="297">
        <f t="shared" si="101"/>
        <v>42675</v>
      </c>
      <c r="K1696" s="67">
        <f t="shared" si="102"/>
        <v>6</v>
      </c>
      <c r="L1696" s="326">
        <v>2.23333E-3</v>
      </c>
      <c r="M1696" s="104">
        <f t="shared" si="103"/>
        <v>17.953695203399999</v>
      </c>
      <c r="O1696" s="66"/>
      <c r="Q1696" s="66">
        <f t="shared" si="104"/>
        <v>318.58924349999995</v>
      </c>
    </row>
    <row r="1697" spans="1:17">
      <c r="A1697" s="106" t="s">
        <v>626</v>
      </c>
      <c r="B1697" s="324" t="s">
        <v>1681</v>
      </c>
      <c r="C1697" s="324" t="s">
        <v>2374</v>
      </c>
      <c r="D1697" s="106" t="s">
        <v>2375</v>
      </c>
      <c r="E1697" s="324" t="s">
        <v>164</v>
      </c>
      <c r="F1697" s="106" t="s">
        <v>1600</v>
      </c>
      <c r="G1697" s="324" t="s">
        <v>20</v>
      </c>
      <c r="H1697" s="324">
        <v>201610</v>
      </c>
      <c r="I1697" s="325">
        <v>271328.99</v>
      </c>
      <c r="J1697" s="297">
        <f t="shared" si="101"/>
        <v>42675</v>
      </c>
      <c r="K1697" s="67">
        <f t="shared" si="102"/>
        <v>6</v>
      </c>
      <c r="L1697" s="326">
        <v>1.4833299999999999E-3</v>
      </c>
      <c r="M1697" s="104">
        <f t="shared" si="103"/>
        <v>2414.8225844201997</v>
      </c>
      <c r="O1697" s="66"/>
      <c r="Q1697" s="66">
        <f t="shared" si="104"/>
        <v>64517.511672166671</v>
      </c>
    </row>
    <row r="1698" spans="1:17">
      <c r="A1698" s="106" t="s">
        <v>14</v>
      </c>
      <c r="B1698" s="324" t="s">
        <v>1681</v>
      </c>
      <c r="C1698" s="324" t="s">
        <v>2374</v>
      </c>
      <c r="D1698" s="106" t="s">
        <v>2375</v>
      </c>
      <c r="E1698" s="324" t="s">
        <v>164</v>
      </c>
      <c r="F1698" s="106" t="s">
        <v>1600</v>
      </c>
      <c r="G1698" s="324" t="s">
        <v>20</v>
      </c>
      <c r="H1698" s="324">
        <v>201610</v>
      </c>
      <c r="I1698" s="325">
        <v>72993.8</v>
      </c>
      <c r="J1698" s="297">
        <f t="shared" si="101"/>
        <v>42675</v>
      </c>
      <c r="K1698" s="67">
        <f t="shared" si="102"/>
        <v>6</v>
      </c>
      <c r="L1698" s="326">
        <v>2.23333E-3</v>
      </c>
      <c r="M1698" s="104">
        <f t="shared" si="103"/>
        <v>978.11546012399992</v>
      </c>
      <c r="O1698" s="66"/>
      <c r="Q1698" s="66">
        <f t="shared" si="104"/>
        <v>17356.70907666667</v>
      </c>
    </row>
    <row r="1699" spans="1:17">
      <c r="A1699" s="106" t="s">
        <v>626</v>
      </c>
      <c r="B1699" s="324" t="s">
        <v>1681</v>
      </c>
      <c r="C1699" s="324" t="s">
        <v>2376</v>
      </c>
      <c r="D1699" s="106" t="s">
        <v>2377</v>
      </c>
      <c r="E1699" s="324" t="s">
        <v>164</v>
      </c>
      <c r="F1699" s="106" t="s">
        <v>1600</v>
      </c>
      <c r="G1699" s="324" t="s">
        <v>20</v>
      </c>
      <c r="H1699" s="324">
        <v>201610</v>
      </c>
      <c r="I1699" s="325">
        <v>203839.94</v>
      </c>
      <c r="J1699" s="297">
        <f t="shared" si="101"/>
        <v>42675</v>
      </c>
      <c r="K1699" s="67">
        <f t="shared" si="102"/>
        <v>6</v>
      </c>
      <c r="L1699" s="326">
        <v>1.4833299999999999E-3</v>
      </c>
      <c r="M1699" s="104">
        <f t="shared" si="103"/>
        <v>1814.1713892012001</v>
      </c>
      <c r="O1699" s="66"/>
      <c r="Q1699" s="66">
        <f t="shared" si="104"/>
        <v>48469.740399666669</v>
      </c>
    </row>
    <row r="1700" spans="1:17">
      <c r="A1700" s="106" t="s">
        <v>14</v>
      </c>
      <c r="B1700" s="324" t="s">
        <v>1681</v>
      </c>
      <c r="C1700" s="324" t="s">
        <v>2376</v>
      </c>
      <c r="D1700" s="106" t="s">
        <v>2377</v>
      </c>
      <c r="E1700" s="324" t="s">
        <v>164</v>
      </c>
      <c r="F1700" s="106" t="s">
        <v>1600</v>
      </c>
      <c r="G1700" s="324" t="s">
        <v>20</v>
      </c>
      <c r="H1700" s="324">
        <v>201610</v>
      </c>
      <c r="I1700" s="325">
        <v>29559.07</v>
      </c>
      <c r="J1700" s="297">
        <f t="shared" si="101"/>
        <v>42675</v>
      </c>
      <c r="K1700" s="67">
        <f t="shared" si="102"/>
        <v>6</v>
      </c>
      <c r="L1700" s="326">
        <v>2.23333E-3</v>
      </c>
      <c r="M1700" s="104">
        <f t="shared" si="103"/>
        <v>396.09094681859995</v>
      </c>
      <c r="O1700" s="66"/>
      <c r="Q1700" s="66">
        <f t="shared" si="104"/>
        <v>7028.6541948333333</v>
      </c>
    </row>
    <row r="1701" spans="1:17">
      <c r="A1701" s="106" t="s">
        <v>626</v>
      </c>
      <c r="B1701" s="324" t="s">
        <v>1681</v>
      </c>
      <c r="C1701" s="324" t="s">
        <v>2378</v>
      </c>
      <c r="D1701" s="106" t="s">
        <v>2379</v>
      </c>
      <c r="E1701" s="324" t="s">
        <v>87</v>
      </c>
      <c r="F1701" s="106" t="s">
        <v>1603</v>
      </c>
      <c r="G1701" s="324" t="s">
        <v>20</v>
      </c>
      <c r="H1701" s="324">
        <v>201610</v>
      </c>
      <c r="I1701" s="325">
        <v>140607.62</v>
      </c>
      <c r="J1701" s="297">
        <f t="shared" si="101"/>
        <v>42675</v>
      </c>
      <c r="K1701" s="67">
        <f t="shared" si="102"/>
        <v>6</v>
      </c>
      <c r="L1701" s="326">
        <v>1.4833299999999999E-3</v>
      </c>
      <c r="M1701" s="104">
        <f t="shared" si="103"/>
        <v>1251.4050058476</v>
      </c>
      <c r="O1701" s="66"/>
      <c r="Q1701" s="66">
        <f t="shared" si="104"/>
        <v>33434.148575666666</v>
      </c>
    </row>
    <row r="1702" spans="1:17">
      <c r="A1702" s="106" t="s">
        <v>14</v>
      </c>
      <c r="B1702" s="324" t="s">
        <v>1681</v>
      </c>
      <c r="C1702" s="324" t="s">
        <v>2378</v>
      </c>
      <c r="D1702" s="106" t="s">
        <v>2379</v>
      </c>
      <c r="E1702" s="324" t="s">
        <v>87</v>
      </c>
      <c r="F1702" s="106" t="s">
        <v>1603</v>
      </c>
      <c r="G1702" s="324" t="s">
        <v>20</v>
      </c>
      <c r="H1702" s="324">
        <v>201610</v>
      </c>
      <c r="I1702" s="325">
        <v>29329.65</v>
      </c>
      <c r="J1702" s="297">
        <f t="shared" si="101"/>
        <v>42675</v>
      </c>
      <c r="K1702" s="67">
        <f t="shared" si="102"/>
        <v>6</v>
      </c>
      <c r="L1702" s="326">
        <v>2.23333E-3</v>
      </c>
      <c r="M1702" s="104">
        <f t="shared" si="103"/>
        <v>393.01672340699997</v>
      </c>
      <c r="O1702" s="66"/>
      <c r="Q1702" s="66">
        <f t="shared" si="104"/>
        <v>6974.1019425000004</v>
      </c>
    </row>
    <row r="1703" spans="1:17">
      <c r="A1703" s="106" t="s">
        <v>626</v>
      </c>
      <c r="B1703" s="324" t="s">
        <v>1681</v>
      </c>
      <c r="C1703" s="324" t="s">
        <v>2380</v>
      </c>
      <c r="D1703" s="106" t="s">
        <v>2381</v>
      </c>
      <c r="E1703" s="324" t="s">
        <v>164</v>
      </c>
      <c r="F1703" s="106" t="s">
        <v>1600</v>
      </c>
      <c r="G1703" s="324" t="s">
        <v>20</v>
      </c>
      <c r="H1703" s="324">
        <v>201610</v>
      </c>
      <c r="I1703" s="325">
        <v>183160.57</v>
      </c>
      <c r="J1703" s="297">
        <f t="shared" si="101"/>
        <v>42675</v>
      </c>
      <c r="K1703" s="67">
        <f t="shared" si="102"/>
        <v>6</v>
      </c>
      <c r="L1703" s="326">
        <v>1.4833299999999999E-3</v>
      </c>
      <c r="M1703" s="104">
        <f t="shared" si="103"/>
        <v>1630.1254097886001</v>
      </c>
      <c r="O1703" s="66"/>
      <c r="Q1703" s="66">
        <f t="shared" si="104"/>
        <v>43552.530869833332</v>
      </c>
    </row>
    <row r="1704" spans="1:17">
      <c r="A1704" s="106" t="s">
        <v>1942</v>
      </c>
      <c r="B1704" s="324" t="s">
        <v>1681</v>
      </c>
      <c r="C1704" s="324" t="s">
        <v>2380</v>
      </c>
      <c r="D1704" s="106" t="s">
        <v>2381</v>
      </c>
      <c r="E1704" s="324" t="s">
        <v>164</v>
      </c>
      <c r="F1704" s="106" t="s">
        <v>1600</v>
      </c>
      <c r="G1704" s="324" t="s">
        <v>20</v>
      </c>
      <c r="H1704" s="324">
        <v>201610</v>
      </c>
      <c r="I1704" s="325">
        <v>530.47</v>
      </c>
      <c r="J1704" s="297">
        <f t="shared" si="101"/>
        <v>42675</v>
      </c>
      <c r="K1704" s="67">
        <f t="shared" si="102"/>
        <v>6</v>
      </c>
      <c r="L1704" s="326">
        <v>2.23333E-3</v>
      </c>
      <c r="M1704" s="104">
        <f t="shared" si="103"/>
        <v>7.1082873906000001</v>
      </c>
      <c r="O1704" s="66"/>
      <c r="Q1704" s="66">
        <f t="shared" si="104"/>
        <v>126.13692483333335</v>
      </c>
    </row>
    <row r="1705" spans="1:17">
      <c r="A1705" s="106" t="s">
        <v>14</v>
      </c>
      <c r="B1705" s="324" t="s">
        <v>1681</v>
      </c>
      <c r="C1705" s="324" t="s">
        <v>2380</v>
      </c>
      <c r="D1705" s="106" t="s">
        <v>2381</v>
      </c>
      <c r="E1705" s="324" t="s">
        <v>164</v>
      </c>
      <c r="F1705" s="106" t="s">
        <v>1600</v>
      </c>
      <c r="G1705" s="324" t="s">
        <v>20</v>
      </c>
      <c r="H1705" s="324">
        <v>201610</v>
      </c>
      <c r="I1705" s="325">
        <v>41763.57</v>
      </c>
      <c r="J1705" s="297">
        <f t="shared" si="101"/>
        <v>42675</v>
      </c>
      <c r="K1705" s="67">
        <f t="shared" si="102"/>
        <v>6</v>
      </c>
      <c r="L1705" s="326">
        <v>2.23333E-3</v>
      </c>
      <c r="M1705" s="104">
        <f t="shared" si="103"/>
        <v>559.63100272859992</v>
      </c>
      <c r="O1705" s="66"/>
      <c r="Q1705" s="66">
        <f t="shared" si="104"/>
        <v>9930.6808865000003</v>
      </c>
    </row>
    <row r="1706" spans="1:17">
      <c r="A1706" s="106" t="s">
        <v>626</v>
      </c>
      <c r="B1706" s="324" t="s">
        <v>1681</v>
      </c>
      <c r="C1706" s="324" t="s">
        <v>2382</v>
      </c>
      <c r="D1706" s="106" t="s">
        <v>2383</v>
      </c>
      <c r="E1706" s="324" t="s">
        <v>164</v>
      </c>
      <c r="F1706" s="106" t="s">
        <v>1600</v>
      </c>
      <c r="G1706" s="324" t="s">
        <v>20</v>
      </c>
      <c r="H1706" s="324">
        <v>201610</v>
      </c>
      <c r="I1706" s="325">
        <v>292181.55</v>
      </c>
      <c r="J1706" s="297">
        <f t="shared" si="101"/>
        <v>42675</v>
      </c>
      <c r="K1706" s="67">
        <f t="shared" si="102"/>
        <v>6</v>
      </c>
      <c r="L1706" s="326">
        <v>1.4833299999999999E-3</v>
      </c>
      <c r="M1706" s="104">
        <f t="shared" si="103"/>
        <v>2600.4099513689998</v>
      </c>
      <c r="O1706" s="66"/>
      <c r="Q1706" s="66">
        <f t="shared" si="104"/>
        <v>69475.902897500011</v>
      </c>
    </row>
    <row r="1707" spans="1:17">
      <c r="A1707" s="106" t="s">
        <v>1942</v>
      </c>
      <c r="B1707" s="324" t="s">
        <v>1681</v>
      </c>
      <c r="C1707" s="324" t="s">
        <v>2382</v>
      </c>
      <c r="D1707" s="106" t="s">
        <v>2383</v>
      </c>
      <c r="E1707" s="324" t="s">
        <v>164</v>
      </c>
      <c r="F1707" s="106" t="s">
        <v>1600</v>
      </c>
      <c r="G1707" s="324" t="s">
        <v>20</v>
      </c>
      <c r="H1707" s="324">
        <v>201610</v>
      </c>
      <c r="I1707" s="325">
        <v>907.11</v>
      </c>
      <c r="J1707" s="297">
        <f t="shared" si="101"/>
        <v>42675</v>
      </c>
      <c r="K1707" s="67">
        <f t="shared" si="102"/>
        <v>6</v>
      </c>
      <c r="L1707" s="326">
        <v>2.23333E-3</v>
      </c>
      <c r="M1707" s="104">
        <f t="shared" si="103"/>
        <v>12.155255857799999</v>
      </c>
      <c r="O1707" s="66"/>
      <c r="Q1707" s="66">
        <f t="shared" si="104"/>
        <v>215.6956395</v>
      </c>
    </row>
    <row r="1708" spans="1:17">
      <c r="A1708" s="106" t="s">
        <v>14</v>
      </c>
      <c r="B1708" s="324" t="s">
        <v>1681</v>
      </c>
      <c r="C1708" s="324" t="s">
        <v>2382</v>
      </c>
      <c r="D1708" s="106" t="s">
        <v>2383</v>
      </c>
      <c r="E1708" s="324" t="s">
        <v>164</v>
      </c>
      <c r="F1708" s="106" t="s">
        <v>1600</v>
      </c>
      <c r="G1708" s="324" t="s">
        <v>20</v>
      </c>
      <c r="H1708" s="324">
        <v>201610</v>
      </c>
      <c r="I1708" s="325">
        <v>34486.400000000001</v>
      </c>
      <c r="J1708" s="297">
        <f t="shared" si="101"/>
        <v>42675</v>
      </c>
      <c r="K1708" s="67">
        <f t="shared" si="102"/>
        <v>6</v>
      </c>
      <c r="L1708" s="326">
        <v>2.23333E-3</v>
      </c>
      <c r="M1708" s="104">
        <f t="shared" si="103"/>
        <v>462.11707027199998</v>
      </c>
      <c r="O1708" s="66"/>
      <c r="Q1708" s="66">
        <f t="shared" si="104"/>
        <v>8200.2911466666665</v>
      </c>
    </row>
    <row r="1709" spans="1:17">
      <c r="A1709" s="106" t="s">
        <v>626</v>
      </c>
      <c r="B1709" s="324" t="s">
        <v>1681</v>
      </c>
      <c r="C1709" s="324" t="s">
        <v>2267</v>
      </c>
      <c r="D1709" s="106" t="s">
        <v>2268</v>
      </c>
      <c r="E1709" s="324" t="s">
        <v>260</v>
      </c>
      <c r="F1709" s="106" t="s">
        <v>1608</v>
      </c>
      <c r="G1709" s="324" t="s">
        <v>20</v>
      </c>
      <c r="H1709" s="324">
        <v>201610</v>
      </c>
      <c r="I1709" s="325">
        <v>4531.08</v>
      </c>
      <c r="J1709" s="297">
        <f t="shared" si="101"/>
        <v>42675</v>
      </c>
      <c r="K1709" s="67">
        <f t="shared" si="102"/>
        <v>6</v>
      </c>
      <c r="L1709" s="326">
        <v>1.4833299999999999E-3</v>
      </c>
      <c r="M1709" s="104">
        <f t="shared" si="103"/>
        <v>40.326521378400003</v>
      </c>
      <c r="O1709" s="66"/>
      <c r="Q1709" s="66">
        <f t="shared" si="104"/>
        <v>1077.4153060000001</v>
      </c>
    </row>
    <row r="1710" spans="1:17">
      <c r="A1710" s="106" t="s">
        <v>14</v>
      </c>
      <c r="B1710" s="324" t="s">
        <v>1681</v>
      </c>
      <c r="C1710" s="324" t="s">
        <v>2267</v>
      </c>
      <c r="D1710" s="106" t="s">
        <v>2268</v>
      </c>
      <c r="E1710" s="324" t="s">
        <v>260</v>
      </c>
      <c r="F1710" s="106" t="s">
        <v>1608</v>
      </c>
      <c r="G1710" s="324" t="s">
        <v>20</v>
      </c>
      <c r="H1710" s="324">
        <v>201610</v>
      </c>
      <c r="I1710" s="325">
        <v>938.21</v>
      </c>
      <c r="J1710" s="297">
        <f t="shared" si="101"/>
        <v>42675</v>
      </c>
      <c r="K1710" s="67">
        <f t="shared" si="102"/>
        <v>6</v>
      </c>
      <c r="L1710" s="326">
        <v>2.23333E-3</v>
      </c>
      <c r="M1710" s="104">
        <f t="shared" si="103"/>
        <v>12.571995235799999</v>
      </c>
      <c r="O1710" s="66"/>
      <c r="Q1710" s="66">
        <f t="shared" si="104"/>
        <v>223.09070116666669</v>
      </c>
    </row>
    <row r="1711" spans="1:17">
      <c r="A1711" s="106" t="s">
        <v>626</v>
      </c>
      <c r="B1711" s="324" t="s">
        <v>1681</v>
      </c>
      <c r="C1711" s="324" t="s">
        <v>2384</v>
      </c>
      <c r="D1711" s="106" t="s">
        <v>2385</v>
      </c>
      <c r="E1711" s="324" t="s">
        <v>260</v>
      </c>
      <c r="F1711" s="106" t="s">
        <v>1608</v>
      </c>
      <c r="G1711" s="324" t="s">
        <v>20</v>
      </c>
      <c r="H1711" s="324">
        <v>201610</v>
      </c>
      <c r="I1711" s="325">
        <v>591974.82999999996</v>
      </c>
      <c r="J1711" s="297">
        <f t="shared" si="101"/>
        <v>42675</v>
      </c>
      <c r="K1711" s="67">
        <f t="shared" si="102"/>
        <v>6</v>
      </c>
      <c r="L1711" s="326">
        <v>1.4833299999999999E-3</v>
      </c>
      <c r="M1711" s="104">
        <f t="shared" si="103"/>
        <v>5268.5641475033999</v>
      </c>
      <c r="O1711" s="66"/>
      <c r="Q1711" s="66">
        <f t="shared" si="104"/>
        <v>140761.74832683333</v>
      </c>
    </row>
    <row r="1712" spans="1:17">
      <c r="A1712" s="106" t="s">
        <v>14</v>
      </c>
      <c r="B1712" s="324" t="s">
        <v>1681</v>
      </c>
      <c r="C1712" s="324" t="s">
        <v>2384</v>
      </c>
      <c r="D1712" s="106" t="s">
        <v>2385</v>
      </c>
      <c r="E1712" s="324" t="s">
        <v>260</v>
      </c>
      <c r="F1712" s="106" t="s">
        <v>1608</v>
      </c>
      <c r="G1712" s="324" t="s">
        <v>20</v>
      </c>
      <c r="H1712" s="324">
        <v>201610</v>
      </c>
      <c r="I1712" s="325">
        <v>15928.51</v>
      </c>
      <c r="J1712" s="297">
        <f t="shared" si="101"/>
        <v>42675</v>
      </c>
      <c r="K1712" s="67">
        <f t="shared" si="102"/>
        <v>6</v>
      </c>
      <c r="L1712" s="326">
        <v>2.23333E-3</v>
      </c>
      <c r="M1712" s="104">
        <f t="shared" si="103"/>
        <v>213.44171542979998</v>
      </c>
      <c r="O1712" s="66"/>
      <c r="Q1712" s="66">
        <f t="shared" si="104"/>
        <v>3787.5342028333334</v>
      </c>
    </row>
    <row r="1713" spans="1:17">
      <c r="A1713" s="106" t="s">
        <v>626</v>
      </c>
      <c r="B1713" s="324" t="s">
        <v>1681</v>
      </c>
      <c r="C1713" s="324" t="s">
        <v>2386</v>
      </c>
      <c r="D1713" s="106" t="s">
        <v>2387</v>
      </c>
      <c r="E1713" s="324" t="s">
        <v>260</v>
      </c>
      <c r="F1713" s="106" t="s">
        <v>1608</v>
      </c>
      <c r="G1713" s="324" t="s">
        <v>20</v>
      </c>
      <c r="H1713" s="324">
        <v>201610</v>
      </c>
      <c r="I1713" s="325">
        <v>362179.19</v>
      </c>
      <c r="J1713" s="297">
        <f t="shared" si="101"/>
        <v>42675</v>
      </c>
      <c r="K1713" s="67">
        <f t="shared" si="102"/>
        <v>6</v>
      </c>
      <c r="L1713" s="326">
        <v>1.4833299999999999E-3</v>
      </c>
      <c r="M1713" s="104">
        <f t="shared" si="103"/>
        <v>3223.3875474162001</v>
      </c>
      <c r="O1713" s="66"/>
      <c r="Q1713" s="66">
        <f t="shared" si="104"/>
        <v>86120.175062166672</v>
      </c>
    </row>
    <row r="1714" spans="1:17">
      <c r="A1714" s="106" t="s">
        <v>14</v>
      </c>
      <c r="B1714" s="324" t="s">
        <v>1681</v>
      </c>
      <c r="C1714" s="324" t="s">
        <v>2386</v>
      </c>
      <c r="D1714" s="106" t="s">
        <v>2387</v>
      </c>
      <c r="E1714" s="324" t="s">
        <v>260</v>
      </c>
      <c r="F1714" s="106" t="s">
        <v>1608</v>
      </c>
      <c r="G1714" s="324" t="s">
        <v>20</v>
      </c>
      <c r="H1714" s="324">
        <v>201610</v>
      </c>
      <c r="I1714" s="325">
        <v>258.29000000000002</v>
      </c>
      <c r="J1714" s="297">
        <f t="shared" si="101"/>
        <v>42675</v>
      </c>
      <c r="K1714" s="67">
        <f t="shared" si="102"/>
        <v>6</v>
      </c>
      <c r="L1714" s="326">
        <v>2.23333E-3</v>
      </c>
      <c r="M1714" s="104">
        <f t="shared" si="103"/>
        <v>3.4610808342000001</v>
      </c>
      <c r="O1714" s="66"/>
      <c r="Q1714" s="66">
        <f t="shared" si="104"/>
        <v>61.417057166666666</v>
      </c>
    </row>
    <row r="1715" spans="1:17">
      <c r="A1715" s="106" t="s">
        <v>626</v>
      </c>
      <c r="B1715" s="324" t="s">
        <v>1681</v>
      </c>
      <c r="C1715" s="324" t="s">
        <v>2388</v>
      </c>
      <c r="D1715" s="106" t="s">
        <v>2389</v>
      </c>
      <c r="E1715" s="324" t="s">
        <v>164</v>
      </c>
      <c r="F1715" s="106" t="s">
        <v>1600</v>
      </c>
      <c r="G1715" s="324" t="s">
        <v>20</v>
      </c>
      <c r="H1715" s="324">
        <v>201610</v>
      </c>
      <c r="I1715" s="325">
        <v>143326.35999999999</v>
      </c>
      <c r="J1715" s="297">
        <f t="shared" si="101"/>
        <v>42675</v>
      </c>
      <c r="K1715" s="67">
        <f t="shared" si="102"/>
        <v>6</v>
      </c>
      <c r="L1715" s="326">
        <v>1.4833299999999999E-3</v>
      </c>
      <c r="M1715" s="104">
        <f t="shared" si="103"/>
        <v>1275.6017374727999</v>
      </c>
      <c r="O1715" s="66"/>
      <c r="Q1715" s="66">
        <f t="shared" si="104"/>
        <v>34080.619635333329</v>
      </c>
    </row>
    <row r="1716" spans="1:17">
      <c r="A1716" s="106" t="s">
        <v>14</v>
      </c>
      <c r="B1716" s="324" t="s">
        <v>1681</v>
      </c>
      <c r="C1716" s="324" t="s">
        <v>2388</v>
      </c>
      <c r="D1716" s="106" t="s">
        <v>2389</v>
      </c>
      <c r="E1716" s="324" t="s">
        <v>164</v>
      </c>
      <c r="F1716" s="106" t="s">
        <v>1600</v>
      </c>
      <c r="G1716" s="324" t="s">
        <v>20</v>
      </c>
      <c r="H1716" s="324">
        <v>201610</v>
      </c>
      <c r="I1716" s="325">
        <v>15928.61</v>
      </c>
      <c r="J1716" s="297">
        <f t="shared" si="101"/>
        <v>42675</v>
      </c>
      <c r="K1716" s="67">
        <f t="shared" si="102"/>
        <v>6</v>
      </c>
      <c r="L1716" s="326">
        <v>2.23333E-3</v>
      </c>
      <c r="M1716" s="104">
        <f t="shared" si="103"/>
        <v>213.44305542779998</v>
      </c>
      <c r="O1716" s="66"/>
      <c r="Q1716" s="66">
        <f t="shared" si="104"/>
        <v>3787.5579811666671</v>
      </c>
    </row>
    <row r="1717" spans="1:17">
      <c r="A1717" s="106" t="s">
        <v>626</v>
      </c>
      <c r="B1717" s="324" t="s">
        <v>1681</v>
      </c>
      <c r="C1717" s="324" t="s">
        <v>2077</v>
      </c>
      <c r="D1717" s="106" t="s">
        <v>2078</v>
      </c>
      <c r="E1717" s="324" t="s">
        <v>260</v>
      </c>
      <c r="F1717" s="106" t="s">
        <v>1608</v>
      </c>
      <c r="G1717" s="324" t="s">
        <v>20</v>
      </c>
      <c r="H1717" s="324">
        <v>201610</v>
      </c>
      <c r="I1717" s="325">
        <v>37549.800000000003</v>
      </c>
      <c r="J1717" s="297">
        <f t="shared" si="101"/>
        <v>42675</v>
      </c>
      <c r="K1717" s="67">
        <f t="shared" si="102"/>
        <v>6</v>
      </c>
      <c r="L1717" s="326">
        <v>1.4833299999999999E-3</v>
      </c>
      <c r="M1717" s="104">
        <f t="shared" si="103"/>
        <v>334.19246900400003</v>
      </c>
      <c r="O1717" s="66"/>
      <c r="Q1717" s="66">
        <f t="shared" si="104"/>
        <v>8928.7166100000013</v>
      </c>
    </row>
    <row r="1718" spans="1:17">
      <c r="A1718" s="106" t="s">
        <v>626</v>
      </c>
      <c r="B1718" s="324" t="s">
        <v>1681</v>
      </c>
      <c r="C1718" s="324" t="s">
        <v>2390</v>
      </c>
      <c r="D1718" s="106" t="s">
        <v>2391</v>
      </c>
      <c r="E1718" s="324" t="s">
        <v>164</v>
      </c>
      <c r="F1718" s="106" t="s">
        <v>1600</v>
      </c>
      <c r="G1718" s="324" t="s">
        <v>20</v>
      </c>
      <c r="H1718" s="324">
        <v>201610</v>
      </c>
      <c r="I1718" s="325">
        <v>6721.19</v>
      </c>
      <c r="J1718" s="297">
        <f t="shared" si="101"/>
        <v>42675</v>
      </c>
      <c r="K1718" s="67">
        <f t="shared" si="102"/>
        <v>6</v>
      </c>
      <c r="L1718" s="326">
        <v>1.4833299999999999E-3</v>
      </c>
      <c r="M1718" s="104">
        <f t="shared" si="103"/>
        <v>59.818456576199999</v>
      </c>
      <c r="O1718" s="66"/>
      <c r="Q1718" s="66">
        <f t="shared" si="104"/>
        <v>1598.1869621666665</v>
      </c>
    </row>
    <row r="1719" spans="1:17">
      <c r="A1719" s="106" t="s">
        <v>14</v>
      </c>
      <c r="B1719" s="324" t="s">
        <v>1681</v>
      </c>
      <c r="C1719" s="324" t="s">
        <v>2390</v>
      </c>
      <c r="D1719" s="106" t="s">
        <v>2391</v>
      </c>
      <c r="E1719" s="324" t="s">
        <v>164</v>
      </c>
      <c r="F1719" s="106" t="s">
        <v>1600</v>
      </c>
      <c r="G1719" s="324" t="s">
        <v>20</v>
      </c>
      <c r="H1719" s="324">
        <v>201610</v>
      </c>
      <c r="I1719" s="325">
        <v>764.73</v>
      </c>
      <c r="J1719" s="297">
        <f t="shared" si="101"/>
        <v>42675</v>
      </c>
      <c r="K1719" s="67">
        <f t="shared" si="102"/>
        <v>6</v>
      </c>
      <c r="L1719" s="326">
        <v>2.23333E-3</v>
      </c>
      <c r="M1719" s="104">
        <f t="shared" si="103"/>
        <v>10.247366705399999</v>
      </c>
      <c r="O1719" s="66"/>
      <c r="Q1719" s="66">
        <f t="shared" si="104"/>
        <v>181.84004850000002</v>
      </c>
    </row>
    <row r="1720" spans="1:17">
      <c r="A1720" s="106" t="s">
        <v>21</v>
      </c>
      <c r="B1720" s="324" t="s">
        <v>1681</v>
      </c>
      <c r="C1720" s="324" t="s">
        <v>2392</v>
      </c>
      <c r="D1720" s="106" t="s">
        <v>2393</v>
      </c>
      <c r="E1720" s="324" t="s">
        <v>75</v>
      </c>
      <c r="F1720" s="106" t="s">
        <v>1602</v>
      </c>
      <c r="G1720" s="324" t="s">
        <v>20</v>
      </c>
      <c r="H1720" s="324">
        <v>201610</v>
      </c>
      <c r="I1720" s="325">
        <v>27.61</v>
      </c>
      <c r="J1720" s="297">
        <f t="shared" si="101"/>
        <v>42675</v>
      </c>
      <c r="K1720" s="67">
        <f t="shared" si="102"/>
        <v>6</v>
      </c>
      <c r="L1720" s="326">
        <v>1.4833299999999999E-3</v>
      </c>
      <c r="M1720" s="104">
        <f t="shared" si="103"/>
        <v>0.2457284478</v>
      </c>
      <c r="O1720" s="66"/>
      <c r="Q1720" s="66">
        <f t="shared" si="104"/>
        <v>6.5651978333333334</v>
      </c>
    </row>
    <row r="1721" spans="1:17">
      <c r="A1721" s="106" t="s">
        <v>626</v>
      </c>
      <c r="B1721" s="324" t="s">
        <v>1681</v>
      </c>
      <c r="C1721" s="324" t="s">
        <v>2392</v>
      </c>
      <c r="D1721" s="106" t="s">
        <v>2393</v>
      </c>
      <c r="E1721" s="324" t="s">
        <v>75</v>
      </c>
      <c r="F1721" s="106" t="s">
        <v>1602</v>
      </c>
      <c r="G1721" s="324" t="s">
        <v>20</v>
      </c>
      <c r="H1721" s="324">
        <v>201610</v>
      </c>
      <c r="I1721" s="325">
        <v>378054.81</v>
      </c>
      <c r="J1721" s="297">
        <f t="shared" si="101"/>
        <v>42675</v>
      </c>
      <c r="K1721" s="67">
        <f t="shared" si="102"/>
        <v>6</v>
      </c>
      <c r="L1721" s="326">
        <v>1.4833299999999999E-3</v>
      </c>
      <c r="M1721" s="104">
        <f t="shared" si="103"/>
        <v>3364.6802479038001</v>
      </c>
      <c r="O1721" s="66"/>
      <c r="Q1721" s="66">
        <f t="shared" si="104"/>
        <v>89895.132904500002</v>
      </c>
    </row>
    <row r="1722" spans="1:17">
      <c r="A1722" s="106" t="s">
        <v>14</v>
      </c>
      <c r="B1722" s="324" t="s">
        <v>1681</v>
      </c>
      <c r="C1722" s="324" t="s">
        <v>2392</v>
      </c>
      <c r="D1722" s="106" t="s">
        <v>2393</v>
      </c>
      <c r="E1722" s="324" t="s">
        <v>75</v>
      </c>
      <c r="F1722" s="106" t="s">
        <v>1602</v>
      </c>
      <c r="G1722" s="324" t="s">
        <v>20</v>
      </c>
      <c r="H1722" s="324">
        <v>201610</v>
      </c>
      <c r="I1722" s="325">
        <v>211.08</v>
      </c>
      <c r="J1722" s="297">
        <f t="shared" si="101"/>
        <v>42675</v>
      </c>
      <c r="K1722" s="67">
        <f t="shared" si="102"/>
        <v>6</v>
      </c>
      <c r="L1722" s="326">
        <v>2.23333E-3</v>
      </c>
      <c r="M1722" s="104">
        <f t="shared" si="103"/>
        <v>2.8284677783999999</v>
      </c>
      <c r="O1722" s="66"/>
      <c r="Q1722" s="66">
        <f t="shared" si="104"/>
        <v>50.191306000000004</v>
      </c>
    </row>
    <row r="1723" spans="1:17">
      <c r="A1723" s="106" t="s">
        <v>626</v>
      </c>
      <c r="B1723" s="324" t="s">
        <v>1681</v>
      </c>
      <c r="C1723" s="324" t="s">
        <v>2394</v>
      </c>
      <c r="D1723" s="106" t="s">
        <v>2395</v>
      </c>
      <c r="E1723" s="324" t="s">
        <v>75</v>
      </c>
      <c r="F1723" s="106" t="s">
        <v>1602</v>
      </c>
      <c r="G1723" s="324" t="s">
        <v>20</v>
      </c>
      <c r="H1723" s="324">
        <v>201610</v>
      </c>
      <c r="I1723" s="325">
        <v>236828.73</v>
      </c>
      <c r="J1723" s="297">
        <f t="shared" si="101"/>
        <v>42675</v>
      </c>
      <c r="K1723" s="67">
        <f t="shared" si="102"/>
        <v>6</v>
      </c>
      <c r="L1723" s="326">
        <v>1.4833299999999999E-3</v>
      </c>
      <c r="M1723" s="104">
        <f t="shared" si="103"/>
        <v>2107.7709604254001</v>
      </c>
      <c r="O1723" s="66"/>
      <c r="Q1723" s="66">
        <f t="shared" si="104"/>
        <v>56313.924848499999</v>
      </c>
    </row>
    <row r="1724" spans="1:17">
      <c r="A1724" s="106" t="s">
        <v>14</v>
      </c>
      <c r="B1724" s="324" t="s">
        <v>1681</v>
      </c>
      <c r="C1724" s="324" t="s">
        <v>2394</v>
      </c>
      <c r="D1724" s="106" t="s">
        <v>2395</v>
      </c>
      <c r="E1724" s="324" t="s">
        <v>75</v>
      </c>
      <c r="F1724" s="106" t="s">
        <v>1602</v>
      </c>
      <c r="G1724" s="324" t="s">
        <v>20</v>
      </c>
      <c r="H1724" s="324">
        <v>201610</v>
      </c>
      <c r="I1724" s="325">
        <v>9942.73</v>
      </c>
      <c r="J1724" s="297">
        <f t="shared" si="101"/>
        <v>42675</v>
      </c>
      <c r="K1724" s="67">
        <f t="shared" si="102"/>
        <v>6</v>
      </c>
      <c r="L1724" s="326">
        <v>2.23333E-3</v>
      </c>
      <c r="M1724" s="104">
        <f t="shared" si="103"/>
        <v>133.23238314539998</v>
      </c>
      <c r="O1724" s="66"/>
      <c r="Q1724" s="66">
        <f t="shared" si="104"/>
        <v>2364.2154818333333</v>
      </c>
    </row>
    <row r="1725" spans="1:17">
      <c r="A1725" s="106" t="s">
        <v>14</v>
      </c>
      <c r="B1725" s="324" t="s">
        <v>1681</v>
      </c>
      <c r="C1725" s="324" t="s">
        <v>2091</v>
      </c>
      <c r="D1725" s="106" t="s">
        <v>2092</v>
      </c>
      <c r="E1725" s="324" t="s">
        <v>93</v>
      </c>
      <c r="F1725" s="106" t="s">
        <v>1601</v>
      </c>
      <c r="G1725" s="324" t="s">
        <v>20</v>
      </c>
      <c r="H1725" s="324">
        <v>201610</v>
      </c>
      <c r="I1725" s="325">
        <v>-3076.67</v>
      </c>
      <c r="J1725" s="297">
        <f t="shared" si="101"/>
        <v>42675</v>
      </c>
      <c r="K1725" s="67">
        <f t="shared" si="102"/>
        <v>6</v>
      </c>
      <c r="L1725" s="326">
        <v>2.23333E-3</v>
      </c>
      <c r="M1725" s="104">
        <f t="shared" si="103"/>
        <v>-41.227316466599994</v>
      </c>
      <c r="O1725" s="66"/>
      <c r="Q1725" s="66">
        <f t="shared" si="104"/>
        <v>-731.58084816666667</v>
      </c>
    </row>
    <row r="1726" spans="1:17">
      <c r="A1726" s="106" t="s">
        <v>626</v>
      </c>
      <c r="B1726" s="324" t="s">
        <v>1681</v>
      </c>
      <c r="C1726" s="324" t="s">
        <v>2396</v>
      </c>
      <c r="D1726" s="106" t="s">
        <v>2397</v>
      </c>
      <c r="E1726" s="324" t="s">
        <v>164</v>
      </c>
      <c r="F1726" s="106" t="s">
        <v>1600</v>
      </c>
      <c r="G1726" s="324" t="s">
        <v>20</v>
      </c>
      <c r="H1726" s="324">
        <v>201610</v>
      </c>
      <c r="I1726" s="325">
        <v>28473.88</v>
      </c>
      <c r="J1726" s="297">
        <f t="shared" si="101"/>
        <v>42675</v>
      </c>
      <c r="K1726" s="67">
        <f t="shared" si="102"/>
        <v>6</v>
      </c>
      <c r="L1726" s="326">
        <v>1.4833299999999999E-3</v>
      </c>
      <c r="M1726" s="104">
        <f t="shared" si="103"/>
        <v>253.41696252240001</v>
      </c>
      <c r="O1726" s="66"/>
      <c r="Q1726" s="66">
        <f t="shared" si="104"/>
        <v>6770.6140993333338</v>
      </c>
    </row>
    <row r="1727" spans="1:17">
      <c r="A1727" s="106" t="s">
        <v>14</v>
      </c>
      <c r="B1727" s="324" t="s">
        <v>1681</v>
      </c>
      <c r="C1727" s="324" t="s">
        <v>2396</v>
      </c>
      <c r="D1727" s="106" t="s">
        <v>2397</v>
      </c>
      <c r="E1727" s="324" t="s">
        <v>164</v>
      </c>
      <c r="F1727" s="106" t="s">
        <v>1600</v>
      </c>
      <c r="G1727" s="324" t="s">
        <v>20</v>
      </c>
      <c r="H1727" s="324">
        <v>201610</v>
      </c>
      <c r="I1727" s="325">
        <v>7895.05</v>
      </c>
      <c r="J1727" s="297">
        <f t="shared" si="101"/>
        <v>42675</v>
      </c>
      <c r="K1727" s="67">
        <f t="shared" si="102"/>
        <v>6</v>
      </c>
      <c r="L1727" s="326">
        <v>2.23333E-3</v>
      </c>
      <c r="M1727" s="104">
        <f t="shared" si="103"/>
        <v>105.793512099</v>
      </c>
      <c r="O1727" s="66"/>
      <c r="Q1727" s="66">
        <f t="shared" si="104"/>
        <v>1877.3113058333333</v>
      </c>
    </row>
    <row r="1728" spans="1:17">
      <c r="A1728" s="106" t="s">
        <v>626</v>
      </c>
      <c r="B1728" s="324" t="s">
        <v>1681</v>
      </c>
      <c r="C1728" s="324" t="s">
        <v>2398</v>
      </c>
      <c r="D1728" s="106" t="s">
        <v>2399</v>
      </c>
      <c r="E1728" s="324" t="s">
        <v>93</v>
      </c>
      <c r="F1728" s="106" t="s">
        <v>1601</v>
      </c>
      <c r="G1728" s="324" t="s">
        <v>20</v>
      </c>
      <c r="H1728" s="324">
        <v>201610</v>
      </c>
      <c r="I1728" s="325">
        <v>215312.95</v>
      </c>
      <c r="J1728" s="297">
        <f t="shared" si="101"/>
        <v>42675</v>
      </c>
      <c r="K1728" s="67">
        <f t="shared" si="102"/>
        <v>6</v>
      </c>
      <c r="L1728" s="326">
        <v>1.4833299999999999E-3</v>
      </c>
      <c r="M1728" s="104">
        <f t="shared" si="103"/>
        <v>1916.2809487410002</v>
      </c>
      <c r="O1728" s="66"/>
      <c r="Q1728" s="66">
        <f t="shared" si="104"/>
        <v>51197.830960833337</v>
      </c>
    </row>
    <row r="1729" spans="1:17">
      <c r="A1729" s="106" t="s">
        <v>626</v>
      </c>
      <c r="B1729" s="324" t="s">
        <v>1681</v>
      </c>
      <c r="C1729" s="324" t="s">
        <v>2400</v>
      </c>
      <c r="D1729" s="106" t="s">
        <v>2401</v>
      </c>
      <c r="E1729" s="324" t="s">
        <v>260</v>
      </c>
      <c r="F1729" s="106" t="s">
        <v>1608</v>
      </c>
      <c r="G1729" s="324" t="s">
        <v>20</v>
      </c>
      <c r="H1729" s="324">
        <v>201610</v>
      </c>
      <c r="I1729" s="325">
        <v>339819</v>
      </c>
      <c r="J1729" s="297">
        <f t="shared" si="101"/>
        <v>42675</v>
      </c>
      <c r="K1729" s="67">
        <f t="shared" si="102"/>
        <v>6</v>
      </c>
      <c r="L1729" s="326">
        <v>1.4833299999999999E-3</v>
      </c>
      <c r="M1729" s="104">
        <f t="shared" si="103"/>
        <v>3024.3823036200001</v>
      </c>
      <c r="O1729" s="66"/>
      <c r="Q1729" s="66">
        <f t="shared" si="104"/>
        <v>80803.294550000006</v>
      </c>
    </row>
    <row r="1730" spans="1:17">
      <c r="A1730" s="106" t="s">
        <v>626</v>
      </c>
      <c r="B1730" s="324" t="s">
        <v>1681</v>
      </c>
      <c r="C1730" s="324" t="s">
        <v>2402</v>
      </c>
      <c r="D1730" s="106" t="s">
        <v>2403</v>
      </c>
      <c r="E1730" s="324" t="s">
        <v>87</v>
      </c>
      <c r="F1730" s="106" t="s">
        <v>1603</v>
      </c>
      <c r="G1730" s="324" t="s">
        <v>20</v>
      </c>
      <c r="H1730" s="324">
        <v>201610</v>
      </c>
      <c r="I1730" s="325">
        <v>360313.02</v>
      </c>
      <c r="J1730" s="297">
        <f t="shared" si="101"/>
        <v>42675</v>
      </c>
      <c r="K1730" s="67">
        <f t="shared" si="102"/>
        <v>6</v>
      </c>
      <c r="L1730" s="326">
        <v>1.4833299999999999E-3</v>
      </c>
      <c r="M1730" s="104">
        <f t="shared" si="103"/>
        <v>3206.7786717396002</v>
      </c>
      <c r="O1730" s="66"/>
      <c r="Q1730" s="66">
        <f t="shared" si="104"/>
        <v>85676.430939000013</v>
      </c>
    </row>
    <row r="1731" spans="1:17">
      <c r="A1731" s="106" t="s">
        <v>14</v>
      </c>
      <c r="B1731" s="324" t="s">
        <v>1681</v>
      </c>
      <c r="C1731" s="324" t="s">
        <v>2402</v>
      </c>
      <c r="D1731" s="106" t="s">
        <v>2403</v>
      </c>
      <c r="E1731" s="324" t="s">
        <v>87</v>
      </c>
      <c r="F1731" s="106" t="s">
        <v>1603</v>
      </c>
      <c r="G1731" s="324" t="s">
        <v>20</v>
      </c>
      <c r="H1731" s="324">
        <v>201610</v>
      </c>
      <c r="I1731" s="325">
        <v>58327.77</v>
      </c>
      <c r="J1731" s="297">
        <f t="shared" si="101"/>
        <v>42675</v>
      </c>
      <c r="K1731" s="67">
        <f t="shared" si="102"/>
        <v>6</v>
      </c>
      <c r="L1731" s="326">
        <v>2.23333E-3</v>
      </c>
      <c r="M1731" s="104">
        <f t="shared" si="103"/>
        <v>781.59095144459991</v>
      </c>
      <c r="O1731" s="66"/>
      <c r="Q1731" s="66">
        <f t="shared" si="104"/>
        <v>13869.3715765</v>
      </c>
    </row>
    <row r="1732" spans="1:17">
      <c r="A1732" s="106" t="s">
        <v>626</v>
      </c>
      <c r="B1732" s="324" t="s">
        <v>1681</v>
      </c>
      <c r="C1732" s="324" t="s">
        <v>2404</v>
      </c>
      <c r="D1732" s="106" t="s">
        <v>2405</v>
      </c>
      <c r="E1732" s="324" t="s">
        <v>209</v>
      </c>
      <c r="F1732" s="106" t="s">
        <v>1612</v>
      </c>
      <c r="G1732" s="324" t="s">
        <v>20</v>
      </c>
      <c r="H1732" s="324">
        <v>201610</v>
      </c>
      <c r="I1732" s="325">
        <v>144542.5</v>
      </c>
      <c r="J1732" s="297">
        <f t="shared" si="101"/>
        <v>42675</v>
      </c>
      <c r="K1732" s="67">
        <f t="shared" si="102"/>
        <v>6</v>
      </c>
      <c r="L1732" s="326">
        <v>1.4833299999999999E-3</v>
      </c>
      <c r="M1732" s="104">
        <f t="shared" si="103"/>
        <v>1286.4253591500001</v>
      </c>
      <c r="O1732" s="66"/>
      <c r="Q1732" s="66">
        <f t="shared" si="104"/>
        <v>34369.797458333334</v>
      </c>
    </row>
    <row r="1733" spans="1:17">
      <c r="A1733" s="106" t="s">
        <v>626</v>
      </c>
      <c r="B1733" s="324" t="s">
        <v>1681</v>
      </c>
      <c r="C1733" s="324" t="s">
        <v>2406</v>
      </c>
      <c r="D1733" s="106" t="s">
        <v>2407</v>
      </c>
      <c r="E1733" s="324" t="s">
        <v>75</v>
      </c>
      <c r="F1733" s="106" t="s">
        <v>1602</v>
      </c>
      <c r="G1733" s="324" t="s">
        <v>20</v>
      </c>
      <c r="H1733" s="324">
        <v>201610</v>
      </c>
      <c r="I1733" s="325">
        <v>273603.40999999997</v>
      </c>
      <c r="J1733" s="297">
        <f t="shared" si="101"/>
        <v>42675</v>
      </c>
      <c r="K1733" s="67">
        <f t="shared" si="102"/>
        <v>6</v>
      </c>
      <c r="L1733" s="326">
        <v>1.4833299999999999E-3</v>
      </c>
      <c r="M1733" s="104">
        <f t="shared" si="103"/>
        <v>2435.0648769318</v>
      </c>
      <c r="O1733" s="66"/>
      <c r="Q1733" s="66">
        <f t="shared" si="104"/>
        <v>65058.330841166666</v>
      </c>
    </row>
    <row r="1734" spans="1:17">
      <c r="A1734" s="106" t="s">
        <v>14</v>
      </c>
      <c r="B1734" s="324" t="s">
        <v>1681</v>
      </c>
      <c r="C1734" s="324" t="s">
        <v>2406</v>
      </c>
      <c r="D1734" s="106" t="s">
        <v>2407</v>
      </c>
      <c r="E1734" s="324" t="s">
        <v>75</v>
      </c>
      <c r="F1734" s="106" t="s">
        <v>1602</v>
      </c>
      <c r="G1734" s="324" t="s">
        <v>20</v>
      </c>
      <c r="H1734" s="324">
        <v>201610</v>
      </c>
      <c r="I1734" s="325">
        <v>6443.19</v>
      </c>
      <c r="J1734" s="297">
        <f t="shared" si="101"/>
        <v>42675</v>
      </c>
      <c r="K1734" s="67">
        <f t="shared" si="102"/>
        <v>6</v>
      </c>
      <c r="L1734" s="326">
        <v>2.23333E-3</v>
      </c>
      <c r="M1734" s="104">
        <f t="shared" si="103"/>
        <v>86.338617136199986</v>
      </c>
      <c r="O1734" s="66"/>
      <c r="Q1734" s="66">
        <f t="shared" si="104"/>
        <v>1532.0831954999999</v>
      </c>
    </row>
    <row r="1735" spans="1:17">
      <c r="A1735" s="106" t="s">
        <v>626</v>
      </c>
      <c r="B1735" s="324" t="s">
        <v>1681</v>
      </c>
      <c r="C1735" s="324" t="s">
        <v>2408</v>
      </c>
      <c r="D1735" s="106" t="s">
        <v>2409</v>
      </c>
      <c r="E1735" s="324" t="s">
        <v>164</v>
      </c>
      <c r="F1735" s="106" t="s">
        <v>1600</v>
      </c>
      <c r="G1735" s="324" t="s">
        <v>20</v>
      </c>
      <c r="H1735" s="324">
        <v>201610</v>
      </c>
      <c r="I1735" s="325">
        <v>83431.960000000006</v>
      </c>
      <c r="J1735" s="297">
        <f t="shared" ref="J1735:J1748" si="105">+J1734</f>
        <v>42675</v>
      </c>
      <c r="K1735" s="67">
        <f t="shared" si="102"/>
        <v>6</v>
      </c>
      <c r="L1735" s="326">
        <v>1.4833299999999999E-3</v>
      </c>
      <c r="M1735" s="104">
        <f t="shared" si="103"/>
        <v>742.54277536080008</v>
      </c>
      <c r="O1735" s="66"/>
      <c r="Q1735" s="66">
        <f t="shared" si="104"/>
        <v>19838.729555333335</v>
      </c>
    </row>
    <row r="1736" spans="1:17">
      <c r="A1736" s="106" t="s">
        <v>14</v>
      </c>
      <c r="B1736" s="324" t="s">
        <v>1681</v>
      </c>
      <c r="C1736" s="324" t="s">
        <v>2408</v>
      </c>
      <c r="D1736" s="106" t="s">
        <v>2409</v>
      </c>
      <c r="E1736" s="324" t="s">
        <v>164</v>
      </c>
      <c r="F1736" s="106" t="s">
        <v>1600</v>
      </c>
      <c r="G1736" s="324" t="s">
        <v>20</v>
      </c>
      <c r="H1736" s="324">
        <v>201610</v>
      </c>
      <c r="I1736" s="325">
        <v>17350.09</v>
      </c>
      <c r="J1736" s="297">
        <f t="shared" si="105"/>
        <v>42675</v>
      </c>
      <c r="K1736" s="67">
        <f t="shared" si="102"/>
        <v>6</v>
      </c>
      <c r="L1736" s="326">
        <v>2.23333E-3</v>
      </c>
      <c r="M1736" s="104">
        <f t="shared" si="103"/>
        <v>232.49085899819997</v>
      </c>
      <c r="O1736" s="66"/>
      <c r="Q1736" s="66">
        <f t="shared" si="104"/>
        <v>4125.5622338333333</v>
      </c>
    </row>
    <row r="1737" spans="1:17">
      <c r="A1737" s="106" t="s">
        <v>626</v>
      </c>
      <c r="B1737" s="324" t="s">
        <v>1681</v>
      </c>
      <c r="C1737" s="324" t="s">
        <v>2410</v>
      </c>
      <c r="D1737" s="106" t="s">
        <v>2411</v>
      </c>
      <c r="E1737" s="324" t="s">
        <v>209</v>
      </c>
      <c r="F1737" s="106" t="s">
        <v>1612</v>
      </c>
      <c r="G1737" s="324" t="s">
        <v>20</v>
      </c>
      <c r="H1737" s="324">
        <v>201610</v>
      </c>
      <c r="I1737" s="325">
        <v>223839.48</v>
      </c>
      <c r="J1737" s="297">
        <f t="shared" si="105"/>
        <v>42675</v>
      </c>
      <c r="K1737" s="67">
        <f t="shared" si="102"/>
        <v>6</v>
      </c>
      <c r="L1737" s="326">
        <v>1.4833299999999999E-3</v>
      </c>
      <c r="M1737" s="104">
        <f t="shared" si="103"/>
        <v>1992.1668952104001</v>
      </c>
      <c r="O1737" s="66"/>
      <c r="Q1737" s="66">
        <f t="shared" si="104"/>
        <v>53225.297686000005</v>
      </c>
    </row>
    <row r="1738" spans="1:17">
      <c r="A1738" s="106" t="s">
        <v>626</v>
      </c>
      <c r="B1738" s="324" t="s">
        <v>1681</v>
      </c>
      <c r="C1738" s="324" t="s">
        <v>2412</v>
      </c>
      <c r="D1738" s="106" t="s">
        <v>2413</v>
      </c>
      <c r="E1738" s="324" t="s">
        <v>75</v>
      </c>
      <c r="F1738" s="106" t="s">
        <v>1602</v>
      </c>
      <c r="G1738" s="324" t="s">
        <v>20</v>
      </c>
      <c r="H1738" s="324">
        <v>201610</v>
      </c>
      <c r="I1738" s="325">
        <v>263550.86</v>
      </c>
      <c r="J1738" s="297">
        <f t="shared" si="105"/>
        <v>42675</v>
      </c>
      <c r="K1738" s="67">
        <f t="shared" si="102"/>
        <v>6</v>
      </c>
      <c r="L1738" s="326">
        <v>1.4833299999999999E-3</v>
      </c>
      <c r="M1738" s="104">
        <f t="shared" si="103"/>
        <v>2345.5973829827999</v>
      </c>
      <c r="O1738" s="66"/>
      <c r="Q1738" s="66">
        <f t="shared" si="104"/>
        <v>62668.001993666672</v>
      </c>
    </row>
    <row r="1739" spans="1:17">
      <c r="A1739" s="106" t="s">
        <v>14</v>
      </c>
      <c r="B1739" s="324" t="s">
        <v>1681</v>
      </c>
      <c r="C1739" s="324" t="s">
        <v>2412</v>
      </c>
      <c r="D1739" s="106" t="s">
        <v>2413</v>
      </c>
      <c r="E1739" s="324" t="s">
        <v>75</v>
      </c>
      <c r="F1739" s="106" t="s">
        <v>1602</v>
      </c>
      <c r="G1739" s="324" t="s">
        <v>20</v>
      </c>
      <c r="H1739" s="324">
        <v>201610</v>
      </c>
      <c r="I1739" s="325">
        <v>2768.38</v>
      </c>
      <c r="J1739" s="297">
        <f t="shared" si="105"/>
        <v>42675</v>
      </c>
      <c r="K1739" s="67">
        <f t="shared" si="102"/>
        <v>6</v>
      </c>
      <c r="L1739" s="326">
        <v>2.23333E-3</v>
      </c>
      <c r="M1739" s="104">
        <f t="shared" si="103"/>
        <v>37.0962366324</v>
      </c>
      <c r="O1739" s="66"/>
      <c r="Q1739" s="66">
        <f t="shared" si="104"/>
        <v>658.27462433333335</v>
      </c>
    </row>
    <row r="1740" spans="1:17">
      <c r="A1740" s="106" t="s">
        <v>626</v>
      </c>
      <c r="B1740" s="324" t="s">
        <v>1681</v>
      </c>
      <c r="C1740" s="324" t="s">
        <v>2414</v>
      </c>
      <c r="D1740" s="106" t="s">
        <v>2415</v>
      </c>
      <c r="E1740" s="324" t="s">
        <v>164</v>
      </c>
      <c r="F1740" s="106" t="s">
        <v>1600</v>
      </c>
      <c r="G1740" s="324" t="s">
        <v>20</v>
      </c>
      <c r="H1740" s="324">
        <v>201610</v>
      </c>
      <c r="I1740" s="325">
        <v>18469.150000000001</v>
      </c>
      <c r="J1740" s="297">
        <f t="shared" si="105"/>
        <v>42675</v>
      </c>
      <c r="K1740" s="67">
        <f t="shared" si="102"/>
        <v>6</v>
      </c>
      <c r="L1740" s="326">
        <v>1.4833299999999999E-3</v>
      </c>
      <c r="M1740" s="104">
        <f t="shared" si="103"/>
        <v>164.37506561700002</v>
      </c>
      <c r="O1740" s="66"/>
      <c r="Q1740" s="66">
        <f t="shared" si="104"/>
        <v>4391.6560508333341</v>
      </c>
    </row>
    <row r="1741" spans="1:17">
      <c r="A1741" s="106" t="s">
        <v>14</v>
      </c>
      <c r="B1741" s="324" t="s">
        <v>1681</v>
      </c>
      <c r="C1741" s="324" t="s">
        <v>2414</v>
      </c>
      <c r="D1741" s="106" t="s">
        <v>2415</v>
      </c>
      <c r="E1741" s="324" t="s">
        <v>164</v>
      </c>
      <c r="F1741" s="106" t="s">
        <v>1600</v>
      </c>
      <c r="G1741" s="324" t="s">
        <v>20</v>
      </c>
      <c r="H1741" s="324">
        <v>201610</v>
      </c>
      <c r="I1741" s="325">
        <v>352.5</v>
      </c>
      <c r="J1741" s="297">
        <f t="shared" si="105"/>
        <v>42675</v>
      </c>
      <c r="K1741" s="67">
        <f t="shared" si="102"/>
        <v>6</v>
      </c>
      <c r="L1741" s="326">
        <v>2.23333E-3</v>
      </c>
      <c r="M1741" s="104">
        <f t="shared" si="103"/>
        <v>4.7234929499999998</v>
      </c>
      <c r="O1741" s="66"/>
      <c r="Q1741" s="66">
        <f t="shared" si="104"/>
        <v>83.818624999999997</v>
      </c>
    </row>
    <row r="1742" spans="1:17">
      <c r="A1742" s="106" t="s">
        <v>626</v>
      </c>
      <c r="B1742" s="324" t="s">
        <v>1681</v>
      </c>
      <c r="C1742" s="324" t="s">
        <v>2416</v>
      </c>
      <c r="D1742" s="106" t="s">
        <v>2417</v>
      </c>
      <c r="E1742" s="324" t="s">
        <v>164</v>
      </c>
      <c r="F1742" s="106" t="s">
        <v>1600</v>
      </c>
      <c r="G1742" s="324" t="s">
        <v>20</v>
      </c>
      <c r="H1742" s="324">
        <v>201610</v>
      </c>
      <c r="I1742" s="325">
        <v>198969.68</v>
      </c>
      <c r="J1742" s="297">
        <f t="shared" si="105"/>
        <v>42675</v>
      </c>
      <c r="K1742" s="67">
        <f t="shared" si="102"/>
        <v>6</v>
      </c>
      <c r="L1742" s="326">
        <v>1.4833299999999999E-3</v>
      </c>
      <c r="M1742" s="104">
        <f t="shared" si="103"/>
        <v>1770.8261726064</v>
      </c>
      <c r="O1742" s="66"/>
      <c r="Q1742" s="66">
        <f t="shared" si="104"/>
        <v>47311.673742666666</v>
      </c>
    </row>
    <row r="1743" spans="1:17">
      <c r="A1743" s="106" t="s">
        <v>1942</v>
      </c>
      <c r="B1743" s="324" t="s">
        <v>1681</v>
      </c>
      <c r="C1743" s="324" t="s">
        <v>2416</v>
      </c>
      <c r="D1743" s="106" t="s">
        <v>2417</v>
      </c>
      <c r="E1743" s="324" t="s">
        <v>164</v>
      </c>
      <c r="F1743" s="106" t="s">
        <v>1600</v>
      </c>
      <c r="G1743" s="324" t="s">
        <v>20</v>
      </c>
      <c r="H1743" s="324">
        <v>201610</v>
      </c>
      <c r="I1743" s="325">
        <v>431.48</v>
      </c>
      <c r="J1743" s="297">
        <f t="shared" si="105"/>
        <v>42675</v>
      </c>
      <c r="K1743" s="67">
        <f t="shared" si="102"/>
        <v>6</v>
      </c>
      <c r="L1743" s="326">
        <v>2.23333E-3</v>
      </c>
      <c r="M1743" s="104">
        <f t="shared" si="103"/>
        <v>5.7818233703999997</v>
      </c>
      <c r="O1743" s="66"/>
      <c r="Q1743" s="66">
        <f t="shared" si="104"/>
        <v>102.59875266666667</v>
      </c>
    </row>
    <row r="1744" spans="1:17">
      <c r="A1744" s="106" t="s">
        <v>21</v>
      </c>
      <c r="B1744" s="324" t="s">
        <v>1681</v>
      </c>
      <c r="C1744" s="324" t="s">
        <v>2418</v>
      </c>
      <c r="D1744" s="106" t="s">
        <v>2419</v>
      </c>
      <c r="E1744" s="324" t="s">
        <v>75</v>
      </c>
      <c r="F1744" s="106" t="s">
        <v>1602</v>
      </c>
      <c r="G1744" s="324" t="s">
        <v>20</v>
      </c>
      <c r="H1744" s="324">
        <v>201610</v>
      </c>
      <c r="I1744" s="325">
        <v>437427.41</v>
      </c>
      <c r="J1744" s="297">
        <f t="shared" si="105"/>
        <v>42675</v>
      </c>
      <c r="K1744" s="67">
        <f t="shared" si="102"/>
        <v>6</v>
      </c>
      <c r="L1744" s="326">
        <v>1.4833299999999999E-3</v>
      </c>
      <c r="M1744" s="104">
        <f t="shared" si="103"/>
        <v>3893.0952004517999</v>
      </c>
      <c r="O1744" s="66"/>
      <c r="Q1744" s="66">
        <f t="shared" si="104"/>
        <v>104012.94764116667</v>
      </c>
    </row>
    <row r="1745" spans="1:17">
      <c r="A1745" s="106" t="s">
        <v>1942</v>
      </c>
      <c r="B1745" s="324" t="s">
        <v>1681</v>
      </c>
      <c r="C1745" s="324" t="s">
        <v>2418</v>
      </c>
      <c r="D1745" s="106" t="s">
        <v>2419</v>
      </c>
      <c r="E1745" s="324" t="s">
        <v>75</v>
      </c>
      <c r="F1745" s="106" t="s">
        <v>1602</v>
      </c>
      <c r="G1745" s="324" t="s">
        <v>20</v>
      </c>
      <c r="H1745" s="324">
        <v>201610</v>
      </c>
      <c r="I1745" s="325">
        <v>1674.06</v>
      </c>
      <c r="J1745" s="297">
        <f t="shared" si="105"/>
        <v>42675</v>
      </c>
      <c r="K1745" s="67">
        <f t="shared" si="102"/>
        <v>6</v>
      </c>
      <c r="L1745" s="326">
        <v>2.23333E-3</v>
      </c>
      <c r="M1745" s="104">
        <f t="shared" si="103"/>
        <v>22.432370518799996</v>
      </c>
      <c r="O1745" s="66"/>
      <c r="Q1745" s="66">
        <f t="shared" si="104"/>
        <v>398.06356699999998</v>
      </c>
    </row>
    <row r="1746" spans="1:17">
      <c r="A1746" s="106" t="s">
        <v>626</v>
      </c>
      <c r="B1746" s="324" t="s">
        <v>1681</v>
      </c>
      <c r="C1746" s="324" t="s">
        <v>2420</v>
      </c>
      <c r="D1746" s="106" t="s">
        <v>2421</v>
      </c>
      <c r="E1746" s="324" t="s">
        <v>164</v>
      </c>
      <c r="F1746" s="106" t="s">
        <v>1600</v>
      </c>
      <c r="G1746" s="324" t="s">
        <v>20</v>
      </c>
      <c r="H1746" s="324">
        <v>201610</v>
      </c>
      <c r="I1746" s="325">
        <v>18694.52</v>
      </c>
      <c r="J1746" s="297">
        <f t="shared" si="105"/>
        <v>42675</v>
      </c>
      <c r="K1746" s="67">
        <f t="shared" ref="K1746:K1748" si="106">((YEAR($K$1)-YEAR(J1746))*12+MONTH($K$1)-MONTH(J1746))</f>
        <v>6</v>
      </c>
      <c r="L1746" s="326">
        <v>1.4833299999999999E-3</v>
      </c>
      <c r="M1746" s="104">
        <f t="shared" ref="M1746:M1748" si="107">L1746*K1746*I1746</f>
        <v>166.38085410959999</v>
      </c>
      <c r="O1746" s="66"/>
      <c r="Q1746" s="66">
        <f t="shared" ref="Q1746:Q1748" si="108">($O$4*I1746*$T$10)</f>
        <v>4445.245280666667</v>
      </c>
    </row>
    <row r="1747" spans="1:17">
      <c r="A1747" s="106" t="s">
        <v>626</v>
      </c>
      <c r="B1747" s="324" t="s">
        <v>1681</v>
      </c>
      <c r="C1747" s="324" t="s">
        <v>2422</v>
      </c>
      <c r="D1747" s="106" t="s">
        <v>2423</v>
      </c>
      <c r="E1747" s="324" t="s">
        <v>164</v>
      </c>
      <c r="F1747" s="106" t="s">
        <v>1600</v>
      </c>
      <c r="G1747" s="324" t="s">
        <v>20</v>
      </c>
      <c r="H1747" s="324">
        <v>201610</v>
      </c>
      <c r="I1747" s="325">
        <v>46701.42</v>
      </c>
      <c r="J1747" s="297">
        <f t="shared" si="105"/>
        <v>42675</v>
      </c>
      <c r="K1747" s="67">
        <f t="shared" si="106"/>
        <v>6</v>
      </c>
      <c r="L1747" s="326">
        <v>1.4833299999999999E-3</v>
      </c>
      <c r="M1747" s="104">
        <f t="shared" si="107"/>
        <v>415.64170397160001</v>
      </c>
      <c r="O1747" s="66"/>
      <c r="Q1747" s="66">
        <f t="shared" si="108"/>
        <v>11104.819319</v>
      </c>
    </row>
    <row r="1748" spans="1:17">
      <c r="A1748" s="106" t="s">
        <v>626</v>
      </c>
      <c r="B1748" s="324" t="s">
        <v>1681</v>
      </c>
      <c r="C1748" s="324" t="s">
        <v>2424</v>
      </c>
      <c r="D1748" s="106" t="s">
        <v>2425</v>
      </c>
      <c r="E1748" s="324" t="s">
        <v>93</v>
      </c>
      <c r="F1748" s="106" t="s">
        <v>1601</v>
      </c>
      <c r="G1748" s="324" t="s">
        <v>20</v>
      </c>
      <c r="H1748" s="324">
        <v>201610</v>
      </c>
      <c r="I1748" s="325">
        <v>71512.210000000006</v>
      </c>
      <c r="J1748" s="297">
        <f t="shared" si="105"/>
        <v>42675</v>
      </c>
      <c r="K1748" s="67">
        <f t="shared" si="106"/>
        <v>6</v>
      </c>
      <c r="L1748" s="326">
        <v>1.4833299999999999E-3</v>
      </c>
      <c r="M1748" s="104">
        <f t="shared" si="107"/>
        <v>636.45723875580006</v>
      </c>
      <c r="O1748" s="66"/>
      <c r="Q1748" s="66">
        <f t="shared" si="108"/>
        <v>17004.411667833334</v>
      </c>
    </row>
    <row r="1749" spans="1:17">
      <c r="D1749" s="321"/>
      <c r="E1749" s="322"/>
      <c r="F1749" s="321"/>
      <c r="G1749" s="322"/>
      <c r="H1749" s="322"/>
      <c r="I1749" s="327"/>
      <c r="J1749" s="297"/>
      <c r="K1749" s="330"/>
      <c r="L1749" s="159"/>
      <c r="M1749" s="327"/>
      <c r="O1749" s="331"/>
      <c r="Q1749" s="331"/>
    </row>
    <row r="1750" spans="1:17" ht="17.25">
      <c r="I1750" s="332">
        <f>SUM(I5:I1748)</f>
        <v>34149746.379999951</v>
      </c>
      <c r="M1750" s="332">
        <f>SUM(M5:M1748)</f>
        <v>333085.61108907242</v>
      </c>
      <c r="O1750" s="332">
        <f>SUM(O5:O1748)</f>
        <v>0</v>
      </c>
      <c r="Q1750" s="332">
        <f>SUM(Q5:Q1748)</f>
        <v>3593702.8229623581</v>
      </c>
    </row>
    <row r="1751" spans="1:17">
      <c r="I1751" s="314"/>
      <c r="M1751" s="314"/>
      <c r="O1751" s="314"/>
      <c r="Q1751" s="314"/>
    </row>
  </sheetData>
  <sortState ref="A5:Q1061">
    <sortCondition ref="H5:H1061"/>
    <sortCondition ref="C5:C1061"/>
  </sortState>
  <mergeCells count="12">
    <mergeCell ref="J4:M4"/>
    <mergeCell ref="U5:W5"/>
    <mergeCell ref="J1:J3"/>
    <mergeCell ref="L1:L3"/>
    <mergeCell ref="M1:M3"/>
    <mergeCell ref="N1:O1"/>
    <mergeCell ref="P1:Q1"/>
    <mergeCell ref="K2:K3"/>
    <mergeCell ref="N2:N3"/>
    <mergeCell ref="O2:O3"/>
    <mergeCell ref="P2:P3"/>
    <mergeCell ref="Q2: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W1065"/>
  <sheetViews>
    <sheetView topLeftCell="D1" zoomScale="85" zoomScaleNormal="85" workbookViewId="0">
      <pane ySplit="4" topLeftCell="A1060" activePane="bottomLeft" state="frozen"/>
      <selection pane="bottomLeft" activeCell="I1066" sqref="I1066"/>
    </sheetView>
  </sheetViews>
  <sheetFormatPr defaultColWidth="9.140625" defaultRowHeight="15"/>
  <cols>
    <col min="1" max="1" width="36.28515625" style="137"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9.28515625" style="164"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56.7109375" style="137" customWidth="1"/>
    <col min="15" max="16384" width="9.140625" style="137"/>
  </cols>
  <sheetData>
    <row r="1" spans="1:17">
      <c r="A1" s="133" t="s">
        <v>0</v>
      </c>
      <c r="B1" s="134"/>
      <c r="C1" s="134"/>
      <c r="D1" s="135"/>
      <c r="E1" s="134"/>
      <c r="F1" s="135"/>
      <c r="G1" s="134"/>
      <c r="H1" s="134"/>
      <c r="I1" s="136"/>
      <c r="J1" s="135"/>
      <c r="K1" s="135"/>
      <c r="L1" s="135"/>
      <c r="M1" s="135"/>
      <c r="N1" s="135"/>
    </row>
    <row r="2" spans="1:17">
      <c r="A2" s="133" t="s">
        <v>2019</v>
      </c>
      <c r="B2" s="134"/>
      <c r="C2" s="134"/>
      <c r="D2" s="135"/>
      <c r="E2" s="134"/>
      <c r="F2" s="135"/>
      <c r="G2" s="134"/>
      <c r="H2" s="134"/>
      <c r="I2" s="136"/>
      <c r="J2" s="135"/>
      <c r="K2" s="135"/>
      <c r="L2" s="135"/>
      <c r="M2" s="135"/>
      <c r="N2" s="135"/>
    </row>
    <row r="3" spans="1:17">
      <c r="A3" s="135"/>
      <c r="B3" s="134"/>
      <c r="C3" s="134"/>
      <c r="D3" s="135"/>
      <c r="E3" s="134"/>
      <c r="F3" s="135"/>
      <c r="G3" s="134"/>
      <c r="H3" s="134"/>
      <c r="I3" s="136"/>
      <c r="J3" s="135"/>
      <c r="K3" s="135"/>
      <c r="L3" s="135"/>
      <c r="M3" s="135"/>
      <c r="N3" s="135"/>
    </row>
    <row r="4" spans="1:17"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2214</v>
      </c>
      <c r="P4" s="144" t="s">
        <v>2025</v>
      </c>
      <c r="Q4" s="144" t="s">
        <v>2020</v>
      </c>
    </row>
    <row r="5" spans="1:17">
      <c r="A5" s="145" t="s">
        <v>626</v>
      </c>
      <c r="B5" s="146" t="s">
        <v>1597</v>
      </c>
      <c r="C5" s="146" t="s">
        <v>1598</v>
      </c>
      <c r="D5" s="145" t="s">
        <v>1599</v>
      </c>
      <c r="E5" s="146" t="s">
        <v>164</v>
      </c>
      <c r="F5" s="145" t="s">
        <v>1600</v>
      </c>
      <c r="G5" s="146" t="s">
        <v>20</v>
      </c>
      <c r="H5" s="146">
        <v>201603</v>
      </c>
      <c r="I5" s="147">
        <v>-1</v>
      </c>
      <c r="J5" s="144">
        <f>VLOOKUP(H5,$P$5:$Q$14,2)</f>
        <v>8</v>
      </c>
      <c r="K5" s="148">
        <v>1.4833299999999999E-3</v>
      </c>
      <c r="L5" s="147">
        <f t="shared" ref="L5:L68" si="0">ROUND(I5*J5*K5,2)</f>
        <v>-0.01</v>
      </c>
      <c r="M5" s="147">
        <f t="shared" ref="M5:M68" si="1">ROUND(I5*K5*12,2)</f>
        <v>-0.02</v>
      </c>
      <c r="N5" s="168" t="e">
        <f>VLOOKUP(C5,#REF!,4)</f>
        <v>#REF!</v>
      </c>
      <c r="P5" s="149">
        <v>201603</v>
      </c>
      <c r="Q5" s="144">
        <v>8</v>
      </c>
    </row>
    <row r="6" spans="1:17">
      <c r="A6" s="145" t="s">
        <v>626</v>
      </c>
      <c r="B6" s="146" t="s">
        <v>1597</v>
      </c>
      <c r="C6" s="146" t="s">
        <v>1598</v>
      </c>
      <c r="D6" s="145" t="s">
        <v>1599</v>
      </c>
      <c r="E6" s="146" t="s">
        <v>164</v>
      </c>
      <c r="F6" s="145" t="s">
        <v>1600</v>
      </c>
      <c r="G6" s="146" t="s">
        <v>20</v>
      </c>
      <c r="H6" s="146">
        <v>201604</v>
      </c>
      <c r="I6" s="147">
        <v>11.71</v>
      </c>
      <c r="J6" s="144">
        <f t="shared" ref="J6:J69" si="2">VLOOKUP(H6,$P$5:$Q$14,2)</f>
        <v>7</v>
      </c>
      <c r="K6" s="148">
        <v>1.4833299999999999E-3</v>
      </c>
      <c r="L6" s="147">
        <f t="shared" si="0"/>
        <v>0.12</v>
      </c>
      <c r="M6" s="147">
        <f t="shared" si="1"/>
        <v>0.21</v>
      </c>
      <c r="N6" s="168" t="e">
        <f>VLOOKUP(C6,#REF!,4)</f>
        <v>#REF!</v>
      </c>
      <c r="P6" s="149">
        <v>201604</v>
      </c>
      <c r="Q6" s="144">
        <v>7</v>
      </c>
    </row>
    <row r="7" spans="1:17">
      <c r="A7" s="145" t="s">
        <v>626</v>
      </c>
      <c r="B7" s="146" t="s">
        <v>1597</v>
      </c>
      <c r="C7" s="146" t="s">
        <v>1598</v>
      </c>
      <c r="D7" s="145" t="s">
        <v>1599</v>
      </c>
      <c r="E7" s="146" t="s">
        <v>164</v>
      </c>
      <c r="F7" s="145" t="s">
        <v>1600</v>
      </c>
      <c r="G7" s="146" t="s">
        <v>20</v>
      </c>
      <c r="H7" s="146">
        <v>201605</v>
      </c>
      <c r="I7" s="147">
        <v>8.36</v>
      </c>
      <c r="J7" s="144">
        <f t="shared" si="2"/>
        <v>6</v>
      </c>
      <c r="K7" s="148">
        <v>1.4833299999999999E-3</v>
      </c>
      <c r="L7" s="147">
        <f t="shared" si="0"/>
        <v>7.0000000000000007E-2</v>
      </c>
      <c r="M7" s="147">
        <f t="shared" si="1"/>
        <v>0.15</v>
      </c>
      <c r="N7" s="168" t="e">
        <f>VLOOKUP(C7,#REF!,4)</f>
        <v>#REF!</v>
      </c>
      <c r="P7" s="149">
        <v>201605</v>
      </c>
      <c r="Q7" s="144">
        <v>6</v>
      </c>
    </row>
    <row r="8" spans="1:17">
      <c r="A8" s="145" t="s">
        <v>626</v>
      </c>
      <c r="B8" s="146" t="s">
        <v>1597</v>
      </c>
      <c r="C8" s="146" t="s">
        <v>1598</v>
      </c>
      <c r="D8" s="145" t="s">
        <v>1599</v>
      </c>
      <c r="E8" s="146" t="s">
        <v>164</v>
      </c>
      <c r="F8" s="145" t="s">
        <v>1600</v>
      </c>
      <c r="G8" s="146" t="s">
        <v>20</v>
      </c>
      <c r="H8" s="146">
        <v>201606</v>
      </c>
      <c r="I8" s="147">
        <v>5.18</v>
      </c>
      <c r="J8" s="144">
        <f t="shared" si="2"/>
        <v>5</v>
      </c>
      <c r="K8" s="148">
        <v>1.4833299999999999E-3</v>
      </c>
      <c r="L8" s="147">
        <f t="shared" si="0"/>
        <v>0.04</v>
      </c>
      <c r="M8" s="147">
        <f t="shared" si="1"/>
        <v>0.09</v>
      </c>
      <c r="N8" s="168" t="e">
        <f>VLOOKUP(C8,#REF!,4)</f>
        <v>#REF!</v>
      </c>
      <c r="P8" s="149">
        <v>201606</v>
      </c>
      <c r="Q8" s="144">
        <v>5</v>
      </c>
    </row>
    <row r="9" spans="1:17">
      <c r="A9" s="145" t="s">
        <v>14</v>
      </c>
      <c r="B9" s="146" t="s">
        <v>30</v>
      </c>
      <c r="C9" s="146" t="s">
        <v>31</v>
      </c>
      <c r="D9" s="145" t="s">
        <v>32</v>
      </c>
      <c r="E9" s="146" t="s">
        <v>33</v>
      </c>
      <c r="F9" s="145" t="s">
        <v>34</v>
      </c>
      <c r="G9" s="146" t="s">
        <v>20</v>
      </c>
      <c r="H9" s="146">
        <v>201603</v>
      </c>
      <c r="I9" s="147">
        <v>12857.86</v>
      </c>
      <c r="J9" s="144">
        <f t="shared" si="2"/>
        <v>8</v>
      </c>
      <c r="K9" s="148">
        <v>2.23333E-3</v>
      </c>
      <c r="L9" s="147">
        <f t="shared" si="0"/>
        <v>229.73</v>
      </c>
      <c r="M9" s="147">
        <f t="shared" si="1"/>
        <v>344.59</v>
      </c>
      <c r="N9" s="168" t="e">
        <f>VLOOKUP(C9,#REF!,4)</f>
        <v>#REF!</v>
      </c>
      <c r="P9" s="149">
        <v>201607</v>
      </c>
      <c r="Q9" s="144">
        <v>4</v>
      </c>
    </row>
    <row r="10" spans="1:17">
      <c r="A10" s="145" t="s">
        <v>14</v>
      </c>
      <c r="B10" s="146" t="s">
        <v>30</v>
      </c>
      <c r="C10" s="146" t="s">
        <v>31</v>
      </c>
      <c r="D10" s="145" t="s">
        <v>32</v>
      </c>
      <c r="E10" s="146" t="s">
        <v>33</v>
      </c>
      <c r="F10" s="145" t="s">
        <v>34</v>
      </c>
      <c r="G10" s="146" t="s">
        <v>20</v>
      </c>
      <c r="H10" s="146">
        <v>201604</v>
      </c>
      <c r="I10" s="147">
        <v>5879.03</v>
      </c>
      <c r="J10" s="144">
        <f t="shared" si="2"/>
        <v>7</v>
      </c>
      <c r="K10" s="148">
        <v>2.23333E-3</v>
      </c>
      <c r="L10" s="147">
        <f t="shared" si="0"/>
        <v>91.91</v>
      </c>
      <c r="M10" s="147">
        <f t="shared" si="1"/>
        <v>157.56</v>
      </c>
      <c r="N10" s="168" t="e">
        <f>VLOOKUP(C10,#REF!,4)</f>
        <v>#REF!</v>
      </c>
      <c r="P10" s="149">
        <v>201608</v>
      </c>
      <c r="Q10" s="144">
        <v>3</v>
      </c>
    </row>
    <row r="11" spans="1:17">
      <c r="A11" s="145" t="s">
        <v>14</v>
      </c>
      <c r="B11" s="146" t="s">
        <v>30</v>
      </c>
      <c r="C11" s="146" t="s">
        <v>31</v>
      </c>
      <c r="D11" s="145" t="s">
        <v>32</v>
      </c>
      <c r="E11" s="146" t="s">
        <v>33</v>
      </c>
      <c r="F11" s="145" t="s">
        <v>34</v>
      </c>
      <c r="G11" s="146" t="s">
        <v>20</v>
      </c>
      <c r="H11" s="146">
        <v>201605</v>
      </c>
      <c r="I11" s="147">
        <v>6706.62</v>
      </c>
      <c r="J11" s="144">
        <f t="shared" si="2"/>
        <v>6</v>
      </c>
      <c r="K11" s="148">
        <v>2.23333E-3</v>
      </c>
      <c r="L11" s="147">
        <f t="shared" si="0"/>
        <v>89.87</v>
      </c>
      <c r="M11" s="147">
        <f t="shared" si="1"/>
        <v>179.74</v>
      </c>
      <c r="N11" s="168" t="e">
        <f>VLOOKUP(C11,#REF!,4)</f>
        <v>#REF!</v>
      </c>
      <c r="P11" s="149">
        <v>201609</v>
      </c>
      <c r="Q11" s="144">
        <v>2</v>
      </c>
    </row>
    <row r="12" spans="1:17">
      <c r="A12" s="145" t="s">
        <v>14</v>
      </c>
      <c r="B12" s="146" t="s">
        <v>30</v>
      </c>
      <c r="C12" s="146" t="s">
        <v>31</v>
      </c>
      <c r="D12" s="145" t="s">
        <v>32</v>
      </c>
      <c r="E12" s="146" t="s">
        <v>33</v>
      </c>
      <c r="F12" s="145" t="s">
        <v>34</v>
      </c>
      <c r="G12" s="146" t="s">
        <v>20</v>
      </c>
      <c r="H12" s="146">
        <v>201606</v>
      </c>
      <c r="I12" s="147">
        <v>2337.11</v>
      </c>
      <c r="J12" s="144">
        <f t="shared" si="2"/>
        <v>5</v>
      </c>
      <c r="K12" s="148">
        <v>2.23333E-3</v>
      </c>
      <c r="L12" s="147">
        <f t="shared" si="0"/>
        <v>26.1</v>
      </c>
      <c r="M12" s="147">
        <f t="shared" si="1"/>
        <v>62.63</v>
      </c>
      <c r="N12" s="168" t="e">
        <f>VLOOKUP(C12,#REF!,4)</f>
        <v>#REF!</v>
      </c>
      <c r="P12" s="149">
        <v>201610</v>
      </c>
      <c r="Q12" s="144">
        <v>1</v>
      </c>
    </row>
    <row r="13" spans="1:17">
      <c r="A13" s="145" t="s">
        <v>14</v>
      </c>
      <c r="B13" s="146" t="s">
        <v>37</v>
      </c>
      <c r="C13" s="146" t="s">
        <v>38</v>
      </c>
      <c r="D13" s="145" t="s">
        <v>39</v>
      </c>
      <c r="E13" s="146" t="s">
        <v>40</v>
      </c>
      <c r="F13" s="145" t="s">
        <v>41</v>
      </c>
      <c r="G13" s="146" t="s">
        <v>20</v>
      </c>
      <c r="H13" s="146">
        <v>201603</v>
      </c>
      <c r="I13" s="147">
        <v>-1585.79</v>
      </c>
      <c r="J13" s="144">
        <f t="shared" si="2"/>
        <v>8</v>
      </c>
      <c r="K13" s="148">
        <v>2.23333E-3</v>
      </c>
      <c r="L13" s="147">
        <f t="shared" si="0"/>
        <v>-28.33</v>
      </c>
      <c r="M13" s="147">
        <f t="shared" si="1"/>
        <v>-42.5</v>
      </c>
      <c r="N13" s="168" t="e">
        <f>VLOOKUP(C13,#REF!,4)</f>
        <v>#REF!</v>
      </c>
      <c r="P13" s="149">
        <v>201611</v>
      </c>
      <c r="Q13" s="144">
        <v>0</v>
      </c>
    </row>
    <row r="14" spans="1:17">
      <c r="A14" s="145" t="s">
        <v>14</v>
      </c>
      <c r="B14" s="146" t="s">
        <v>37</v>
      </c>
      <c r="C14" s="146" t="s">
        <v>38</v>
      </c>
      <c r="D14" s="145" t="s">
        <v>39</v>
      </c>
      <c r="E14" s="146" t="s">
        <v>40</v>
      </c>
      <c r="F14" s="145" t="s">
        <v>41</v>
      </c>
      <c r="G14" s="146" t="s">
        <v>20</v>
      </c>
      <c r="H14" s="146">
        <v>201604</v>
      </c>
      <c r="I14" s="147">
        <v>19025.830000000002</v>
      </c>
      <c r="J14" s="144">
        <f t="shared" si="2"/>
        <v>7</v>
      </c>
      <c r="K14" s="148">
        <v>2.23333E-3</v>
      </c>
      <c r="L14" s="147">
        <f t="shared" si="0"/>
        <v>297.44</v>
      </c>
      <c r="M14" s="147">
        <f t="shared" si="1"/>
        <v>509.89</v>
      </c>
      <c r="N14" s="168" t="e">
        <f>VLOOKUP(C14,#REF!,4)</f>
        <v>#REF!</v>
      </c>
      <c r="P14" s="149">
        <v>201612</v>
      </c>
      <c r="Q14" s="144">
        <v>0</v>
      </c>
    </row>
    <row r="15" spans="1:17">
      <c r="A15" s="145" t="s">
        <v>14</v>
      </c>
      <c r="B15" s="146" t="s">
        <v>37</v>
      </c>
      <c r="C15" s="146" t="s">
        <v>38</v>
      </c>
      <c r="D15" s="145" t="s">
        <v>39</v>
      </c>
      <c r="E15" s="146" t="s">
        <v>40</v>
      </c>
      <c r="F15" s="145" t="s">
        <v>41</v>
      </c>
      <c r="G15" s="146" t="s">
        <v>20</v>
      </c>
      <c r="H15" s="146">
        <v>201605</v>
      </c>
      <c r="I15" s="147">
        <v>13470.27</v>
      </c>
      <c r="J15" s="144">
        <f t="shared" si="2"/>
        <v>6</v>
      </c>
      <c r="K15" s="148">
        <v>2.23333E-3</v>
      </c>
      <c r="L15" s="147">
        <f t="shared" si="0"/>
        <v>180.5</v>
      </c>
      <c r="M15" s="147">
        <f t="shared" si="1"/>
        <v>361</v>
      </c>
      <c r="N15" s="168" t="e">
        <f>VLOOKUP(C15,#REF!,4)</f>
        <v>#REF!</v>
      </c>
    </row>
    <row r="16" spans="1:17">
      <c r="A16" s="145" t="s">
        <v>14</v>
      </c>
      <c r="B16" s="146" t="s">
        <v>37</v>
      </c>
      <c r="C16" s="146" t="s">
        <v>38</v>
      </c>
      <c r="D16" s="145" t="s">
        <v>39</v>
      </c>
      <c r="E16" s="146" t="s">
        <v>40</v>
      </c>
      <c r="F16" s="145" t="s">
        <v>41</v>
      </c>
      <c r="G16" s="146" t="s">
        <v>20</v>
      </c>
      <c r="H16" s="146">
        <v>201606</v>
      </c>
      <c r="I16" s="147">
        <v>8270.3799999999992</v>
      </c>
      <c r="J16" s="144">
        <f t="shared" si="2"/>
        <v>5</v>
      </c>
      <c r="K16" s="148">
        <v>2.23333E-3</v>
      </c>
      <c r="L16" s="147">
        <f t="shared" si="0"/>
        <v>92.35</v>
      </c>
      <c r="M16" s="147">
        <f t="shared" si="1"/>
        <v>221.65</v>
      </c>
      <c r="N16" s="168" t="e">
        <f>VLOOKUP(C16,#REF!,4)</f>
        <v>#REF!</v>
      </c>
    </row>
    <row r="17" spans="1:14">
      <c r="A17" s="145" t="s">
        <v>14</v>
      </c>
      <c r="B17" s="146" t="s">
        <v>43</v>
      </c>
      <c r="C17" s="146" t="s">
        <v>44</v>
      </c>
      <c r="D17" s="145" t="s">
        <v>45</v>
      </c>
      <c r="E17" s="146" t="s">
        <v>46</v>
      </c>
      <c r="F17" s="145" t="s">
        <v>41</v>
      </c>
      <c r="G17" s="146" t="s">
        <v>20</v>
      </c>
      <c r="H17" s="146">
        <v>201603</v>
      </c>
      <c r="I17" s="147">
        <v>0.05</v>
      </c>
      <c r="J17" s="144">
        <f t="shared" si="2"/>
        <v>8</v>
      </c>
      <c r="K17" s="148">
        <v>2.23333E-3</v>
      </c>
      <c r="L17" s="147">
        <f t="shared" si="0"/>
        <v>0</v>
      </c>
      <c r="M17" s="147">
        <f t="shared" si="1"/>
        <v>0</v>
      </c>
      <c r="N17" s="168" t="e">
        <f>VLOOKUP(C17,#REF!,4)</f>
        <v>#REF!</v>
      </c>
    </row>
    <row r="18" spans="1:14">
      <c r="A18" s="145" t="s">
        <v>14</v>
      </c>
      <c r="B18" s="146" t="s">
        <v>43</v>
      </c>
      <c r="C18" s="146" t="s">
        <v>44</v>
      </c>
      <c r="D18" s="145" t="s">
        <v>45</v>
      </c>
      <c r="E18" s="146" t="s">
        <v>46</v>
      </c>
      <c r="F18" s="145" t="s">
        <v>41</v>
      </c>
      <c r="G18" s="146" t="s">
        <v>20</v>
      </c>
      <c r="H18" s="146">
        <v>201604</v>
      </c>
      <c r="I18" s="147">
        <v>115.84</v>
      </c>
      <c r="J18" s="144">
        <f t="shared" si="2"/>
        <v>7</v>
      </c>
      <c r="K18" s="148">
        <v>2.23333E-3</v>
      </c>
      <c r="L18" s="147">
        <f t="shared" si="0"/>
        <v>1.81</v>
      </c>
      <c r="M18" s="147">
        <f t="shared" si="1"/>
        <v>3.1</v>
      </c>
      <c r="N18" s="168" t="e">
        <f>VLOOKUP(C18,#REF!,4)</f>
        <v>#REF!</v>
      </c>
    </row>
    <row r="19" spans="1:14">
      <c r="A19" s="145" t="s">
        <v>14</v>
      </c>
      <c r="B19" s="146" t="s">
        <v>43</v>
      </c>
      <c r="C19" s="146" t="s">
        <v>44</v>
      </c>
      <c r="D19" s="145" t="s">
        <v>45</v>
      </c>
      <c r="E19" s="146" t="s">
        <v>46</v>
      </c>
      <c r="F19" s="145" t="s">
        <v>41</v>
      </c>
      <c r="G19" s="146" t="s">
        <v>20</v>
      </c>
      <c r="H19" s="146">
        <v>201605</v>
      </c>
      <c r="I19" s="147">
        <v>82.36</v>
      </c>
      <c r="J19" s="144">
        <f t="shared" si="2"/>
        <v>6</v>
      </c>
      <c r="K19" s="148">
        <v>2.23333E-3</v>
      </c>
      <c r="L19" s="147">
        <f t="shared" si="0"/>
        <v>1.1000000000000001</v>
      </c>
      <c r="M19" s="147">
        <f t="shared" si="1"/>
        <v>2.21</v>
      </c>
      <c r="N19" s="168" t="e">
        <f>VLOOKUP(C19,#REF!,4)</f>
        <v>#REF!</v>
      </c>
    </row>
    <row r="20" spans="1:14">
      <c r="A20" s="145" t="s">
        <v>14</v>
      </c>
      <c r="B20" s="146" t="s">
        <v>43</v>
      </c>
      <c r="C20" s="146" t="s">
        <v>44</v>
      </c>
      <c r="D20" s="145" t="s">
        <v>45</v>
      </c>
      <c r="E20" s="146" t="s">
        <v>46</v>
      </c>
      <c r="F20" s="145" t="s">
        <v>41</v>
      </c>
      <c r="G20" s="146" t="s">
        <v>20</v>
      </c>
      <c r="H20" s="146">
        <v>201606</v>
      </c>
      <c r="I20" s="147">
        <v>48.73</v>
      </c>
      <c r="J20" s="144">
        <f t="shared" si="2"/>
        <v>5</v>
      </c>
      <c r="K20" s="148">
        <v>2.23333E-3</v>
      </c>
      <c r="L20" s="147">
        <f t="shared" si="0"/>
        <v>0.54</v>
      </c>
      <c r="M20" s="147">
        <f t="shared" si="1"/>
        <v>1.31</v>
      </c>
      <c r="N20" s="168" t="e">
        <f>VLOOKUP(C20,#REF!,4)</f>
        <v>#REF!</v>
      </c>
    </row>
    <row r="21" spans="1:14">
      <c r="A21" s="145" t="s">
        <v>990</v>
      </c>
      <c r="B21" s="146" t="s">
        <v>991</v>
      </c>
      <c r="C21" s="146" t="s">
        <v>992</v>
      </c>
      <c r="D21" s="145" t="s">
        <v>993</v>
      </c>
      <c r="E21" s="146" t="s">
        <v>994</v>
      </c>
      <c r="F21" s="145" t="s">
        <v>995</v>
      </c>
      <c r="G21" s="146" t="s">
        <v>20</v>
      </c>
      <c r="H21" s="146">
        <v>201603</v>
      </c>
      <c r="I21" s="147">
        <v>-24.02</v>
      </c>
      <c r="J21" s="144">
        <f t="shared" si="2"/>
        <v>8</v>
      </c>
      <c r="K21" s="148">
        <v>2.3833299999999999E-3</v>
      </c>
      <c r="L21" s="147">
        <f t="shared" si="0"/>
        <v>-0.46</v>
      </c>
      <c r="M21" s="147">
        <f t="shared" si="1"/>
        <v>-0.69</v>
      </c>
      <c r="N21" s="168" t="e">
        <f>VLOOKUP(C21,#REF!,4)</f>
        <v>#REF!</v>
      </c>
    </row>
    <row r="22" spans="1:14">
      <c r="A22" s="145" t="s">
        <v>990</v>
      </c>
      <c r="B22" s="146" t="s">
        <v>991</v>
      </c>
      <c r="C22" s="146" t="s">
        <v>992</v>
      </c>
      <c r="D22" s="145" t="s">
        <v>993</v>
      </c>
      <c r="E22" s="146" t="s">
        <v>994</v>
      </c>
      <c r="F22" s="145" t="s">
        <v>995</v>
      </c>
      <c r="G22" s="146" t="s">
        <v>20</v>
      </c>
      <c r="H22" s="146">
        <v>201604</v>
      </c>
      <c r="I22" s="147">
        <v>485.97</v>
      </c>
      <c r="J22" s="144">
        <f t="shared" si="2"/>
        <v>7</v>
      </c>
      <c r="K22" s="148">
        <v>2.3833299999999999E-3</v>
      </c>
      <c r="L22" s="147">
        <f t="shared" si="0"/>
        <v>8.11</v>
      </c>
      <c r="M22" s="147">
        <f t="shared" si="1"/>
        <v>13.9</v>
      </c>
      <c r="N22" s="168" t="e">
        <f>VLOOKUP(C22,#REF!,4)</f>
        <v>#REF!</v>
      </c>
    </row>
    <row r="23" spans="1:14">
      <c r="A23" s="145" t="s">
        <v>990</v>
      </c>
      <c r="B23" s="146" t="s">
        <v>991</v>
      </c>
      <c r="C23" s="146" t="s">
        <v>992</v>
      </c>
      <c r="D23" s="145" t="s">
        <v>993</v>
      </c>
      <c r="E23" s="146" t="s">
        <v>994</v>
      </c>
      <c r="F23" s="145" t="s">
        <v>995</v>
      </c>
      <c r="G23" s="146" t="s">
        <v>20</v>
      </c>
      <c r="H23" s="146">
        <v>201605</v>
      </c>
      <c r="I23" s="147">
        <v>211.45</v>
      </c>
      <c r="J23" s="144">
        <f t="shared" si="2"/>
        <v>6</v>
      </c>
      <c r="K23" s="148">
        <v>2.3833299999999999E-3</v>
      </c>
      <c r="L23" s="147">
        <f t="shared" si="0"/>
        <v>3.02</v>
      </c>
      <c r="M23" s="147">
        <f t="shared" si="1"/>
        <v>6.05</v>
      </c>
      <c r="N23" s="168" t="e">
        <f>VLOOKUP(C23,#REF!,4)</f>
        <v>#REF!</v>
      </c>
    </row>
    <row r="24" spans="1:14">
      <c r="A24" s="145" t="s">
        <v>990</v>
      </c>
      <c r="B24" s="146" t="s">
        <v>991</v>
      </c>
      <c r="C24" s="146" t="s">
        <v>992</v>
      </c>
      <c r="D24" s="145" t="s">
        <v>993</v>
      </c>
      <c r="E24" s="146" t="s">
        <v>994</v>
      </c>
      <c r="F24" s="145" t="s">
        <v>995</v>
      </c>
      <c r="G24" s="146" t="s">
        <v>20</v>
      </c>
      <c r="H24" s="146">
        <v>201606</v>
      </c>
      <c r="I24" s="147">
        <v>129.81</v>
      </c>
      <c r="J24" s="144">
        <f t="shared" si="2"/>
        <v>5</v>
      </c>
      <c r="K24" s="148">
        <v>2.3833299999999999E-3</v>
      </c>
      <c r="L24" s="147">
        <f t="shared" si="0"/>
        <v>1.55</v>
      </c>
      <c r="M24" s="147">
        <f t="shared" si="1"/>
        <v>3.71</v>
      </c>
      <c r="N24" s="168" t="e">
        <f>VLOOKUP(C24,#REF!,4)</f>
        <v>#REF!</v>
      </c>
    </row>
    <row r="25" spans="1:14">
      <c r="A25" s="145" t="s">
        <v>990</v>
      </c>
      <c r="B25" s="146" t="s">
        <v>996</v>
      </c>
      <c r="C25" s="146" t="s">
        <v>997</v>
      </c>
      <c r="D25" s="145" t="s">
        <v>998</v>
      </c>
      <c r="E25" s="146" t="s">
        <v>999</v>
      </c>
      <c r="F25" s="145" t="s">
        <v>995</v>
      </c>
      <c r="G25" s="146" t="s">
        <v>20</v>
      </c>
      <c r="H25" s="146">
        <v>201603</v>
      </c>
      <c r="I25" s="147">
        <v>374.93</v>
      </c>
      <c r="J25" s="144">
        <f t="shared" si="2"/>
        <v>8</v>
      </c>
      <c r="K25" s="148">
        <v>2.3833299999999999E-3</v>
      </c>
      <c r="L25" s="147">
        <f t="shared" si="0"/>
        <v>7.15</v>
      </c>
      <c r="M25" s="147">
        <f t="shared" si="1"/>
        <v>10.72</v>
      </c>
      <c r="N25" s="168" t="e">
        <f>VLOOKUP(C25,#REF!,4)</f>
        <v>#REF!</v>
      </c>
    </row>
    <row r="26" spans="1:14">
      <c r="A26" s="145" t="s">
        <v>990</v>
      </c>
      <c r="B26" s="146" t="s">
        <v>996</v>
      </c>
      <c r="C26" s="146" t="s">
        <v>997</v>
      </c>
      <c r="D26" s="145" t="s">
        <v>998</v>
      </c>
      <c r="E26" s="146" t="s">
        <v>999</v>
      </c>
      <c r="F26" s="145" t="s">
        <v>995</v>
      </c>
      <c r="G26" s="146" t="s">
        <v>20</v>
      </c>
      <c r="H26" s="146">
        <v>201604</v>
      </c>
      <c r="I26" s="147">
        <v>829.61</v>
      </c>
      <c r="J26" s="144">
        <f t="shared" si="2"/>
        <v>7</v>
      </c>
      <c r="K26" s="148">
        <v>2.3833299999999999E-3</v>
      </c>
      <c r="L26" s="147">
        <f t="shared" si="0"/>
        <v>13.84</v>
      </c>
      <c r="M26" s="147">
        <f t="shared" si="1"/>
        <v>23.73</v>
      </c>
      <c r="N26" s="168" t="e">
        <f>VLOOKUP(C26,#REF!,4)</f>
        <v>#REF!</v>
      </c>
    </row>
    <row r="27" spans="1:14">
      <c r="A27" s="145" t="s">
        <v>990</v>
      </c>
      <c r="B27" s="146" t="s">
        <v>996</v>
      </c>
      <c r="C27" s="146" t="s">
        <v>997</v>
      </c>
      <c r="D27" s="145" t="s">
        <v>998</v>
      </c>
      <c r="E27" s="146" t="s">
        <v>999</v>
      </c>
      <c r="F27" s="145" t="s">
        <v>995</v>
      </c>
      <c r="G27" s="146" t="s">
        <v>20</v>
      </c>
      <c r="H27" s="146">
        <v>201605</v>
      </c>
      <c r="I27" s="147">
        <v>102.23</v>
      </c>
      <c r="J27" s="144">
        <f t="shared" si="2"/>
        <v>6</v>
      </c>
      <c r="K27" s="148">
        <v>2.3833299999999999E-3</v>
      </c>
      <c r="L27" s="147">
        <f t="shared" si="0"/>
        <v>1.46</v>
      </c>
      <c r="M27" s="147">
        <f t="shared" si="1"/>
        <v>2.92</v>
      </c>
      <c r="N27" s="168" t="e">
        <f>VLOOKUP(C27,#REF!,4)</f>
        <v>#REF!</v>
      </c>
    </row>
    <row r="28" spans="1:14">
      <c r="A28" s="145" t="s">
        <v>990</v>
      </c>
      <c r="B28" s="146" t="s">
        <v>996</v>
      </c>
      <c r="C28" s="146" t="s">
        <v>997</v>
      </c>
      <c r="D28" s="145" t="s">
        <v>998</v>
      </c>
      <c r="E28" s="146" t="s">
        <v>999</v>
      </c>
      <c r="F28" s="145" t="s">
        <v>995</v>
      </c>
      <c r="G28" s="146" t="s">
        <v>20</v>
      </c>
      <c r="H28" s="146">
        <v>201606</v>
      </c>
      <c r="I28" s="147">
        <v>258.26</v>
      </c>
      <c r="J28" s="144">
        <f t="shared" si="2"/>
        <v>5</v>
      </c>
      <c r="K28" s="148">
        <v>2.3833299999999999E-3</v>
      </c>
      <c r="L28" s="147">
        <f t="shared" si="0"/>
        <v>3.08</v>
      </c>
      <c r="M28" s="147">
        <f t="shared" si="1"/>
        <v>7.39</v>
      </c>
      <c r="N28" s="168" t="e">
        <f>VLOOKUP(C28,#REF!,4)</f>
        <v>#REF!</v>
      </c>
    </row>
    <row r="29" spans="1:14">
      <c r="A29" s="145" t="s">
        <v>990</v>
      </c>
      <c r="B29" s="146" t="s">
        <v>1000</v>
      </c>
      <c r="C29" s="146" t="s">
        <v>1001</v>
      </c>
      <c r="D29" s="145" t="s">
        <v>1672</v>
      </c>
      <c r="E29" s="146" t="s">
        <v>1002</v>
      </c>
      <c r="F29" s="145" t="s">
        <v>1604</v>
      </c>
      <c r="G29" s="146" t="s">
        <v>20</v>
      </c>
      <c r="H29" s="146">
        <v>201603</v>
      </c>
      <c r="I29" s="147">
        <v>16090.71</v>
      </c>
      <c r="J29" s="144">
        <f t="shared" si="2"/>
        <v>8</v>
      </c>
      <c r="K29" s="148">
        <v>2.3833299999999999E-3</v>
      </c>
      <c r="L29" s="147">
        <f t="shared" si="0"/>
        <v>306.8</v>
      </c>
      <c r="M29" s="147">
        <f t="shared" si="1"/>
        <v>460.19</v>
      </c>
      <c r="N29" s="168" t="e">
        <f>VLOOKUP(C29,#REF!,4)</f>
        <v>#REF!</v>
      </c>
    </row>
    <row r="30" spans="1:14">
      <c r="A30" s="145" t="s">
        <v>990</v>
      </c>
      <c r="B30" s="146" t="s">
        <v>1000</v>
      </c>
      <c r="C30" s="146" t="s">
        <v>1001</v>
      </c>
      <c r="D30" s="145" t="s">
        <v>1672</v>
      </c>
      <c r="E30" s="146" t="s">
        <v>1002</v>
      </c>
      <c r="F30" s="145" t="s">
        <v>1604</v>
      </c>
      <c r="G30" s="146" t="s">
        <v>20</v>
      </c>
      <c r="H30" s="146">
        <v>201604</v>
      </c>
      <c r="I30" s="147">
        <v>9136.4</v>
      </c>
      <c r="J30" s="144">
        <f t="shared" si="2"/>
        <v>7</v>
      </c>
      <c r="K30" s="148">
        <v>2.3833299999999999E-3</v>
      </c>
      <c r="L30" s="147">
        <f t="shared" si="0"/>
        <v>152.43</v>
      </c>
      <c r="M30" s="147">
        <f t="shared" si="1"/>
        <v>261.3</v>
      </c>
      <c r="N30" s="168" t="e">
        <f>VLOOKUP(C30,#REF!,4)</f>
        <v>#REF!</v>
      </c>
    </row>
    <row r="31" spans="1:14">
      <c r="A31" s="145" t="s">
        <v>990</v>
      </c>
      <c r="B31" s="146" t="s">
        <v>1000</v>
      </c>
      <c r="C31" s="146" t="s">
        <v>1001</v>
      </c>
      <c r="D31" s="145" t="s">
        <v>1672</v>
      </c>
      <c r="E31" s="146" t="s">
        <v>1002</v>
      </c>
      <c r="F31" s="145" t="s">
        <v>1604</v>
      </c>
      <c r="G31" s="146" t="s">
        <v>20</v>
      </c>
      <c r="H31" s="146">
        <v>201605</v>
      </c>
      <c r="I31" s="147">
        <v>4189.82</v>
      </c>
      <c r="J31" s="144">
        <f t="shared" si="2"/>
        <v>6</v>
      </c>
      <c r="K31" s="148">
        <v>2.3833299999999999E-3</v>
      </c>
      <c r="L31" s="147">
        <f t="shared" si="0"/>
        <v>59.91</v>
      </c>
      <c r="M31" s="147">
        <f t="shared" si="1"/>
        <v>119.83</v>
      </c>
      <c r="N31" s="168" t="e">
        <f>VLOOKUP(C31,#REF!,4)</f>
        <v>#REF!</v>
      </c>
    </row>
    <row r="32" spans="1:14">
      <c r="A32" s="145" t="s">
        <v>990</v>
      </c>
      <c r="B32" s="146" t="s">
        <v>1000</v>
      </c>
      <c r="C32" s="146" t="s">
        <v>1001</v>
      </c>
      <c r="D32" s="145" t="s">
        <v>1672</v>
      </c>
      <c r="E32" s="146" t="s">
        <v>1002</v>
      </c>
      <c r="F32" s="145" t="s">
        <v>1604</v>
      </c>
      <c r="G32" s="146" t="s">
        <v>20</v>
      </c>
      <c r="H32" s="146">
        <v>201606</v>
      </c>
      <c r="I32" s="147">
        <v>6405.92</v>
      </c>
      <c r="J32" s="144">
        <f t="shared" si="2"/>
        <v>5</v>
      </c>
      <c r="K32" s="148">
        <v>2.3833299999999999E-3</v>
      </c>
      <c r="L32" s="147">
        <f t="shared" si="0"/>
        <v>76.34</v>
      </c>
      <c r="M32" s="147">
        <f t="shared" si="1"/>
        <v>183.21</v>
      </c>
      <c r="N32" s="168" t="e">
        <f>VLOOKUP(C32,#REF!,4)</f>
        <v>#REF!</v>
      </c>
    </row>
    <row r="33" spans="1:14">
      <c r="A33" s="145" t="s">
        <v>14</v>
      </c>
      <c r="B33" s="146" t="s">
        <v>107</v>
      </c>
      <c r="C33" s="146" t="s">
        <v>108</v>
      </c>
      <c r="D33" s="145" t="s">
        <v>109</v>
      </c>
      <c r="E33" s="146" t="s">
        <v>110</v>
      </c>
      <c r="F33" s="145" t="s">
        <v>52</v>
      </c>
      <c r="G33" s="146" t="s">
        <v>20</v>
      </c>
      <c r="H33" s="146">
        <v>201603</v>
      </c>
      <c r="I33" s="147">
        <v>-34.08</v>
      </c>
      <c r="J33" s="144">
        <f t="shared" si="2"/>
        <v>8</v>
      </c>
      <c r="K33" s="148">
        <v>2.23333E-3</v>
      </c>
      <c r="L33" s="147">
        <f t="shared" si="0"/>
        <v>-0.61</v>
      </c>
      <c r="M33" s="147">
        <f t="shared" si="1"/>
        <v>-0.91</v>
      </c>
      <c r="N33" s="168" t="e">
        <f>VLOOKUP(C33,#REF!,4)</f>
        <v>#REF!</v>
      </c>
    </row>
    <row r="34" spans="1:14">
      <c r="A34" s="145" t="s">
        <v>14</v>
      </c>
      <c r="B34" s="146" t="s">
        <v>107</v>
      </c>
      <c r="C34" s="146" t="s">
        <v>108</v>
      </c>
      <c r="D34" s="145" t="s">
        <v>109</v>
      </c>
      <c r="E34" s="146" t="s">
        <v>110</v>
      </c>
      <c r="F34" s="145" t="s">
        <v>52</v>
      </c>
      <c r="G34" s="146" t="s">
        <v>20</v>
      </c>
      <c r="H34" s="146">
        <v>201604</v>
      </c>
      <c r="I34" s="147">
        <v>6408.81</v>
      </c>
      <c r="J34" s="144">
        <f t="shared" si="2"/>
        <v>7</v>
      </c>
      <c r="K34" s="148">
        <v>2.23333E-3</v>
      </c>
      <c r="L34" s="147">
        <f t="shared" si="0"/>
        <v>100.19</v>
      </c>
      <c r="M34" s="147">
        <f t="shared" si="1"/>
        <v>171.76</v>
      </c>
      <c r="N34" s="168" t="e">
        <f>VLOOKUP(C34,#REF!,4)</f>
        <v>#REF!</v>
      </c>
    </row>
    <row r="35" spans="1:14">
      <c r="A35" s="145" t="s">
        <v>14</v>
      </c>
      <c r="B35" s="146" t="s">
        <v>107</v>
      </c>
      <c r="C35" s="146" t="s">
        <v>108</v>
      </c>
      <c r="D35" s="145" t="s">
        <v>109</v>
      </c>
      <c r="E35" s="146" t="s">
        <v>110</v>
      </c>
      <c r="F35" s="145" t="s">
        <v>52</v>
      </c>
      <c r="G35" s="146" t="s">
        <v>20</v>
      </c>
      <c r="H35" s="146">
        <v>201605</v>
      </c>
      <c r="I35" s="147">
        <v>-429.66</v>
      </c>
      <c r="J35" s="144">
        <f t="shared" si="2"/>
        <v>6</v>
      </c>
      <c r="K35" s="148">
        <v>2.23333E-3</v>
      </c>
      <c r="L35" s="147">
        <f t="shared" si="0"/>
        <v>-5.76</v>
      </c>
      <c r="M35" s="147">
        <f t="shared" si="1"/>
        <v>-11.51</v>
      </c>
      <c r="N35" s="168" t="e">
        <f>VLOOKUP(C35,#REF!,4)</f>
        <v>#REF!</v>
      </c>
    </row>
    <row r="36" spans="1:14">
      <c r="A36" s="145" t="s">
        <v>14</v>
      </c>
      <c r="B36" s="146" t="s">
        <v>107</v>
      </c>
      <c r="C36" s="146" t="s">
        <v>108</v>
      </c>
      <c r="D36" s="145" t="s">
        <v>109</v>
      </c>
      <c r="E36" s="146" t="s">
        <v>110</v>
      </c>
      <c r="F36" s="145" t="s">
        <v>52</v>
      </c>
      <c r="G36" s="146" t="s">
        <v>20</v>
      </c>
      <c r="H36" s="146">
        <v>201606</v>
      </c>
      <c r="I36" s="147">
        <v>314.33999999999997</v>
      </c>
      <c r="J36" s="144">
        <f t="shared" si="2"/>
        <v>5</v>
      </c>
      <c r="K36" s="148">
        <v>2.23333E-3</v>
      </c>
      <c r="L36" s="147">
        <f t="shared" si="0"/>
        <v>3.51</v>
      </c>
      <c r="M36" s="147">
        <f t="shared" si="1"/>
        <v>8.42</v>
      </c>
      <c r="N36" s="168" t="e">
        <f>VLOOKUP(C36,#REF!,4)</f>
        <v>#REF!</v>
      </c>
    </row>
    <row r="37" spans="1:14">
      <c r="A37" s="145" t="s">
        <v>554</v>
      </c>
      <c r="B37" s="146" t="s">
        <v>116</v>
      </c>
      <c r="C37" s="146" t="s">
        <v>117</v>
      </c>
      <c r="D37" s="145" t="s">
        <v>118</v>
      </c>
      <c r="E37" s="146" t="s">
        <v>119</v>
      </c>
      <c r="F37" s="145" t="s">
        <v>1605</v>
      </c>
      <c r="G37" s="146" t="s">
        <v>20</v>
      </c>
      <c r="H37" s="146">
        <v>201603</v>
      </c>
      <c r="I37" s="147">
        <v>387237.87</v>
      </c>
      <c r="J37" s="144">
        <f t="shared" si="2"/>
        <v>8</v>
      </c>
      <c r="K37" s="148">
        <v>1.4833299999999999E-3</v>
      </c>
      <c r="L37" s="147">
        <f t="shared" si="0"/>
        <v>4595.21</v>
      </c>
      <c r="M37" s="147">
        <f t="shared" si="1"/>
        <v>6892.82</v>
      </c>
      <c r="N37" s="168" t="e">
        <f>VLOOKUP(C37,#REF!,4)</f>
        <v>#REF!</v>
      </c>
    </row>
    <row r="38" spans="1:14">
      <c r="A38" s="145" t="s">
        <v>554</v>
      </c>
      <c r="B38" s="146" t="s">
        <v>116</v>
      </c>
      <c r="C38" s="146" t="s">
        <v>117</v>
      </c>
      <c r="D38" s="145" t="s">
        <v>118</v>
      </c>
      <c r="E38" s="146" t="s">
        <v>119</v>
      </c>
      <c r="F38" s="145" t="s">
        <v>1605</v>
      </c>
      <c r="G38" s="146" t="s">
        <v>20</v>
      </c>
      <c r="H38" s="146">
        <v>201604</v>
      </c>
      <c r="I38" s="147">
        <v>221699.39</v>
      </c>
      <c r="J38" s="144">
        <f t="shared" si="2"/>
        <v>7</v>
      </c>
      <c r="K38" s="148">
        <v>1.4833299999999999E-3</v>
      </c>
      <c r="L38" s="147">
        <f t="shared" si="0"/>
        <v>2301.9699999999998</v>
      </c>
      <c r="M38" s="147">
        <f t="shared" si="1"/>
        <v>3946.24</v>
      </c>
      <c r="N38" s="168" t="e">
        <f>VLOOKUP(C38,#REF!,4)</f>
        <v>#REF!</v>
      </c>
    </row>
    <row r="39" spans="1:14">
      <c r="A39" s="145" t="s">
        <v>554</v>
      </c>
      <c r="B39" s="146" t="s">
        <v>116</v>
      </c>
      <c r="C39" s="146" t="s">
        <v>117</v>
      </c>
      <c r="D39" s="145" t="s">
        <v>118</v>
      </c>
      <c r="E39" s="146" t="s">
        <v>119</v>
      </c>
      <c r="F39" s="145" t="s">
        <v>1605</v>
      </c>
      <c r="G39" s="146" t="s">
        <v>20</v>
      </c>
      <c r="H39" s="146">
        <v>201605</v>
      </c>
      <c r="I39" s="147">
        <v>57492.88</v>
      </c>
      <c r="J39" s="144">
        <f t="shared" si="2"/>
        <v>6</v>
      </c>
      <c r="K39" s="148">
        <v>1.4833299999999999E-3</v>
      </c>
      <c r="L39" s="147">
        <f t="shared" si="0"/>
        <v>511.69</v>
      </c>
      <c r="M39" s="147">
        <f t="shared" si="1"/>
        <v>1023.37</v>
      </c>
      <c r="N39" s="168" t="e">
        <f>VLOOKUP(C39,#REF!,4)</f>
        <v>#REF!</v>
      </c>
    </row>
    <row r="40" spans="1:14">
      <c r="A40" s="145" t="s">
        <v>554</v>
      </c>
      <c r="B40" s="146" t="s">
        <v>116</v>
      </c>
      <c r="C40" s="146" t="s">
        <v>117</v>
      </c>
      <c r="D40" s="145" t="s">
        <v>118</v>
      </c>
      <c r="E40" s="146" t="s">
        <v>119</v>
      </c>
      <c r="F40" s="145" t="s">
        <v>1605</v>
      </c>
      <c r="G40" s="146" t="s">
        <v>20</v>
      </c>
      <c r="H40" s="146">
        <v>201606</v>
      </c>
      <c r="I40" s="147">
        <v>181739.69</v>
      </c>
      <c r="J40" s="144">
        <f t="shared" si="2"/>
        <v>5</v>
      </c>
      <c r="K40" s="148">
        <v>1.4833299999999999E-3</v>
      </c>
      <c r="L40" s="147">
        <f t="shared" si="0"/>
        <v>1347.9</v>
      </c>
      <c r="M40" s="147">
        <f t="shared" si="1"/>
        <v>3234.96</v>
      </c>
      <c r="N40" s="168" t="e">
        <f>VLOOKUP(C40,#REF!,4)</f>
        <v>#REF!</v>
      </c>
    </row>
    <row r="41" spans="1:14">
      <c r="A41" s="145" t="s">
        <v>14</v>
      </c>
      <c r="B41" s="146" t="s">
        <v>555</v>
      </c>
      <c r="C41" s="146" t="s">
        <v>556</v>
      </c>
      <c r="D41" s="145" t="s">
        <v>45</v>
      </c>
      <c r="E41" s="146" t="s">
        <v>557</v>
      </c>
      <c r="F41" s="145" t="s">
        <v>41</v>
      </c>
      <c r="G41" s="146" t="s">
        <v>20</v>
      </c>
      <c r="H41" s="146">
        <v>201603</v>
      </c>
      <c r="I41" s="147">
        <v>5.82</v>
      </c>
      <c r="J41" s="144">
        <f t="shared" si="2"/>
        <v>8</v>
      </c>
      <c r="K41" s="148">
        <v>2.23333E-3</v>
      </c>
      <c r="L41" s="147">
        <f t="shared" si="0"/>
        <v>0.1</v>
      </c>
      <c r="M41" s="147">
        <f t="shared" si="1"/>
        <v>0.16</v>
      </c>
      <c r="N41" s="168" t="e">
        <f>VLOOKUP(C41,#REF!,4)</f>
        <v>#REF!</v>
      </c>
    </row>
    <row r="42" spans="1:14">
      <c r="A42" s="145" t="s">
        <v>14</v>
      </c>
      <c r="B42" s="146" t="s">
        <v>555</v>
      </c>
      <c r="C42" s="146" t="s">
        <v>556</v>
      </c>
      <c r="D42" s="145" t="s">
        <v>45</v>
      </c>
      <c r="E42" s="146" t="s">
        <v>557</v>
      </c>
      <c r="F42" s="145" t="s">
        <v>41</v>
      </c>
      <c r="G42" s="146" t="s">
        <v>20</v>
      </c>
      <c r="H42" s="146">
        <v>201604</v>
      </c>
      <c r="I42" s="147">
        <v>-69.19</v>
      </c>
      <c r="J42" s="144">
        <f t="shared" si="2"/>
        <v>7</v>
      </c>
      <c r="K42" s="148">
        <v>2.23333E-3</v>
      </c>
      <c r="L42" s="147">
        <f t="shared" si="0"/>
        <v>-1.08</v>
      </c>
      <c r="M42" s="147">
        <f t="shared" si="1"/>
        <v>-1.85</v>
      </c>
      <c r="N42" s="168" t="e">
        <f>VLOOKUP(C42,#REF!,4)</f>
        <v>#REF!</v>
      </c>
    </row>
    <row r="43" spans="1:14">
      <c r="A43" s="145" t="s">
        <v>14</v>
      </c>
      <c r="B43" s="146" t="s">
        <v>555</v>
      </c>
      <c r="C43" s="146" t="s">
        <v>556</v>
      </c>
      <c r="D43" s="145" t="s">
        <v>45</v>
      </c>
      <c r="E43" s="146" t="s">
        <v>557</v>
      </c>
      <c r="F43" s="145" t="s">
        <v>41</v>
      </c>
      <c r="G43" s="146" t="s">
        <v>20</v>
      </c>
      <c r="H43" s="146">
        <v>201605</v>
      </c>
      <c r="I43" s="147">
        <v>-49.65</v>
      </c>
      <c r="J43" s="144">
        <f t="shared" si="2"/>
        <v>6</v>
      </c>
      <c r="K43" s="148">
        <v>2.23333E-3</v>
      </c>
      <c r="L43" s="147">
        <f t="shared" si="0"/>
        <v>-0.67</v>
      </c>
      <c r="M43" s="147">
        <f t="shared" si="1"/>
        <v>-1.33</v>
      </c>
      <c r="N43" s="168" t="e">
        <f>VLOOKUP(C43,#REF!,4)</f>
        <v>#REF!</v>
      </c>
    </row>
    <row r="44" spans="1:14">
      <c r="A44" s="145" t="s">
        <v>14</v>
      </c>
      <c r="B44" s="146" t="s">
        <v>555</v>
      </c>
      <c r="C44" s="146" t="s">
        <v>556</v>
      </c>
      <c r="D44" s="145" t="s">
        <v>45</v>
      </c>
      <c r="E44" s="146" t="s">
        <v>557</v>
      </c>
      <c r="F44" s="145" t="s">
        <v>41</v>
      </c>
      <c r="G44" s="146" t="s">
        <v>20</v>
      </c>
      <c r="H44" s="146">
        <v>201606</v>
      </c>
      <c r="I44" s="147">
        <v>-30.52</v>
      </c>
      <c r="J44" s="144">
        <f t="shared" si="2"/>
        <v>5</v>
      </c>
      <c r="K44" s="148">
        <v>2.23333E-3</v>
      </c>
      <c r="L44" s="147">
        <f t="shared" si="0"/>
        <v>-0.34</v>
      </c>
      <c r="M44" s="147">
        <f t="shared" si="1"/>
        <v>-0.82</v>
      </c>
      <c r="N44" s="168" t="e">
        <f>VLOOKUP(C44,#REF!,4)</f>
        <v>#REF!</v>
      </c>
    </row>
    <row r="45" spans="1:14">
      <c r="A45" s="145" t="s">
        <v>990</v>
      </c>
      <c r="B45" s="146" t="s">
        <v>1003</v>
      </c>
      <c r="C45" s="146" t="s">
        <v>1004</v>
      </c>
      <c r="D45" s="145" t="s">
        <v>1673</v>
      </c>
      <c r="E45" s="146" t="s">
        <v>1006</v>
      </c>
      <c r="F45" s="145" t="s">
        <v>1606</v>
      </c>
      <c r="G45" s="146" t="s">
        <v>20</v>
      </c>
      <c r="H45" s="146">
        <v>201603</v>
      </c>
      <c r="I45" s="147">
        <v>28009.02</v>
      </c>
      <c r="J45" s="144">
        <f t="shared" si="2"/>
        <v>8</v>
      </c>
      <c r="K45" s="148">
        <v>2.3833299999999999E-3</v>
      </c>
      <c r="L45" s="147">
        <f t="shared" si="0"/>
        <v>534.04</v>
      </c>
      <c r="M45" s="147">
        <f t="shared" si="1"/>
        <v>801.06</v>
      </c>
      <c r="N45" s="168" t="e">
        <f>VLOOKUP(C45,#REF!,4)</f>
        <v>#REF!</v>
      </c>
    </row>
    <row r="46" spans="1:14">
      <c r="A46" s="145" t="s">
        <v>990</v>
      </c>
      <c r="B46" s="146" t="s">
        <v>1003</v>
      </c>
      <c r="C46" s="146" t="s">
        <v>1004</v>
      </c>
      <c r="D46" s="145" t="s">
        <v>1673</v>
      </c>
      <c r="E46" s="146" t="s">
        <v>1006</v>
      </c>
      <c r="F46" s="145" t="s">
        <v>1606</v>
      </c>
      <c r="G46" s="146" t="s">
        <v>20</v>
      </c>
      <c r="H46" s="146">
        <v>201604</v>
      </c>
      <c r="I46" s="147">
        <v>24843.67</v>
      </c>
      <c r="J46" s="144">
        <f t="shared" si="2"/>
        <v>7</v>
      </c>
      <c r="K46" s="148">
        <v>2.3833299999999999E-3</v>
      </c>
      <c r="L46" s="147">
        <f t="shared" si="0"/>
        <v>414.47</v>
      </c>
      <c r="M46" s="147">
        <f t="shared" si="1"/>
        <v>710.53</v>
      </c>
      <c r="N46" s="168" t="e">
        <f>VLOOKUP(C46,#REF!,4)</f>
        <v>#REF!</v>
      </c>
    </row>
    <row r="47" spans="1:14">
      <c r="A47" s="145" t="s">
        <v>990</v>
      </c>
      <c r="B47" s="146" t="s">
        <v>1003</v>
      </c>
      <c r="C47" s="146" t="s">
        <v>1004</v>
      </c>
      <c r="D47" s="145" t="s">
        <v>1673</v>
      </c>
      <c r="E47" s="146" t="s">
        <v>1006</v>
      </c>
      <c r="F47" s="145" t="s">
        <v>1606</v>
      </c>
      <c r="G47" s="146" t="s">
        <v>20</v>
      </c>
      <c r="H47" s="146">
        <v>201605</v>
      </c>
      <c r="I47" s="147">
        <v>14068.65</v>
      </c>
      <c r="J47" s="144">
        <f t="shared" si="2"/>
        <v>6</v>
      </c>
      <c r="K47" s="148">
        <v>2.3833299999999999E-3</v>
      </c>
      <c r="L47" s="147">
        <f t="shared" si="0"/>
        <v>201.18</v>
      </c>
      <c r="M47" s="147">
        <f t="shared" si="1"/>
        <v>402.36</v>
      </c>
      <c r="N47" s="168" t="e">
        <f>VLOOKUP(C47,#REF!,4)</f>
        <v>#REF!</v>
      </c>
    </row>
    <row r="48" spans="1:14">
      <c r="A48" s="145" t="s">
        <v>990</v>
      </c>
      <c r="B48" s="146" t="s">
        <v>1003</v>
      </c>
      <c r="C48" s="146" t="s">
        <v>1004</v>
      </c>
      <c r="D48" s="145" t="s">
        <v>1673</v>
      </c>
      <c r="E48" s="146" t="s">
        <v>1006</v>
      </c>
      <c r="F48" s="145" t="s">
        <v>1606</v>
      </c>
      <c r="G48" s="146" t="s">
        <v>20</v>
      </c>
      <c r="H48" s="146">
        <v>201606</v>
      </c>
      <c r="I48" s="147">
        <v>39977.440000000002</v>
      </c>
      <c r="J48" s="144">
        <f t="shared" si="2"/>
        <v>5</v>
      </c>
      <c r="K48" s="148">
        <v>2.3833299999999999E-3</v>
      </c>
      <c r="L48" s="147">
        <f t="shared" si="0"/>
        <v>476.4</v>
      </c>
      <c r="M48" s="147">
        <f t="shared" si="1"/>
        <v>1143.3499999999999</v>
      </c>
      <c r="N48" s="168" t="e">
        <f>VLOOKUP(C48,#REF!,4)</f>
        <v>#REF!</v>
      </c>
    </row>
    <row r="49" spans="1:14">
      <c r="A49" s="145" t="s">
        <v>14</v>
      </c>
      <c r="B49" s="146" t="s">
        <v>2026</v>
      </c>
      <c r="C49" s="146" t="s">
        <v>2027</v>
      </c>
      <c r="D49" s="145" t="s">
        <v>2028</v>
      </c>
      <c r="E49" s="146" t="s">
        <v>2029</v>
      </c>
      <c r="F49" s="145" t="s">
        <v>710</v>
      </c>
      <c r="G49" s="146" t="s">
        <v>20</v>
      </c>
      <c r="H49" s="146">
        <v>201604</v>
      </c>
      <c r="I49" s="147">
        <v>6840.49</v>
      </c>
      <c r="J49" s="144">
        <f t="shared" si="2"/>
        <v>7</v>
      </c>
      <c r="K49" s="148">
        <v>2.23333E-3</v>
      </c>
      <c r="L49" s="147">
        <f t="shared" si="0"/>
        <v>106.94</v>
      </c>
      <c r="M49" s="147">
        <f t="shared" si="1"/>
        <v>183.32</v>
      </c>
      <c r="N49" s="168" t="e">
        <f>VLOOKUP(C49,#REF!,4)</f>
        <v>#REF!</v>
      </c>
    </row>
    <row r="50" spans="1:14">
      <c r="A50" s="145" t="s">
        <v>14</v>
      </c>
      <c r="B50" s="146" t="s">
        <v>2026</v>
      </c>
      <c r="C50" s="146" t="s">
        <v>2027</v>
      </c>
      <c r="D50" s="145" t="s">
        <v>2028</v>
      </c>
      <c r="E50" s="146" t="s">
        <v>2029</v>
      </c>
      <c r="F50" s="145" t="s">
        <v>710</v>
      </c>
      <c r="G50" s="146" t="s">
        <v>20</v>
      </c>
      <c r="H50" s="146">
        <v>201605</v>
      </c>
      <c r="I50" s="147">
        <v>109.83</v>
      </c>
      <c r="J50" s="144">
        <f t="shared" si="2"/>
        <v>6</v>
      </c>
      <c r="K50" s="148">
        <v>2.23333E-3</v>
      </c>
      <c r="L50" s="147">
        <f t="shared" si="0"/>
        <v>1.47</v>
      </c>
      <c r="M50" s="147">
        <f t="shared" si="1"/>
        <v>2.94</v>
      </c>
      <c r="N50" s="168" t="e">
        <f>VLOOKUP(C50,#REF!,4)</f>
        <v>#REF!</v>
      </c>
    </row>
    <row r="51" spans="1:14">
      <c r="A51" s="145" t="s">
        <v>14</v>
      </c>
      <c r="B51" s="146" t="s">
        <v>2026</v>
      </c>
      <c r="C51" s="146" t="s">
        <v>2027</v>
      </c>
      <c r="D51" s="145" t="s">
        <v>2028</v>
      </c>
      <c r="E51" s="146" t="s">
        <v>2029</v>
      </c>
      <c r="F51" s="145" t="s">
        <v>710</v>
      </c>
      <c r="G51" s="146" t="s">
        <v>20</v>
      </c>
      <c r="H51" s="146">
        <v>201606</v>
      </c>
      <c r="I51" s="147">
        <v>62.43</v>
      </c>
      <c r="J51" s="144">
        <f t="shared" si="2"/>
        <v>5</v>
      </c>
      <c r="K51" s="148">
        <v>2.23333E-3</v>
      </c>
      <c r="L51" s="147">
        <f t="shared" si="0"/>
        <v>0.7</v>
      </c>
      <c r="M51" s="147">
        <f t="shared" si="1"/>
        <v>1.67</v>
      </c>
      <c r="N51" s="168" t="e">
        <f>VLOOKUP(C51,#REF!,4)</f>
        <v>#REF!</v>
      </c>
    </row>
    <row r="52" spans="1:14">
      <c r="A52" s="145" t="s">
        <v>14</v>
      </c>
      <c r="B52" s="146" t="s">
        <v>1247</v>
      </c>
      <c r="C52" s="146" t="s">
        <v>1248</v>
      </c>
      <c r="D52" s="145" t="s">
        <v>708</v>
      </c>
      <c r="E52" s="146" t="s">
        <v>1249</v>
      </c>
      <c r="F52" s="145" t="s">
        <v>710</v>
      </c>
      <c r="G52" s="146" t="s">
        <v>20</v>
      </c>
      <c r="H52" s="146">
        <v>201604</v>
      </c>
      <c r="I52" s="147">
        <v>14.11</v>
      </c>
      <c r="J52" s="144">
        <f t="shared" si="2"/>
        <v>7</v>
      </c>
      <c r="K52" s="148">
        <v>2.23333E-3</v>
      </c>
      <c r="L52" s="147">
        <f t="shared" si="0"/>
        <v>0.22</v>
      </c>
      <c r="M52" s="147">
        <f t="shared" si="1"/>
        <v>0.38</v>
      </c>
      <c r="N52" s="168" t="e">
        <f>VLOOKUP(C52,#REF!,4)</f>
        <v>#REF!</v>
      </c>
    </row>
    <row r="53" spans="1:14">
      <c r="A53" s="145" t="s">
        <v>14</v>
      </c>
      <c r="B53" s="146" t="s">
        <v>1247</v>
      </c>
      <c r="C53" s="146" t="s">
        <v>1248</v>
      </c>
      <c r="D53" s="145" t="s">
        <v>708</v>
      </c>
      <c r="E53" s="146" t="s">
        <v>1249</v>
      </c>
      <c r="F53" s="145" t="s">
        <v>710</v>
      </c>
      <c r="G53" s="146" t="s">
        <v>20</v>
      </c>
      <c r="H53" s="146">
        <v>201605</v>
      </c>
      <c r="I53" s="147">
        <v>0.21</v>
      </c>
      <c r="J53" s="144">
        <f t="shared" si="2"/>
        <v>6</v>
      </c>
      <c r="K53" s="148">
        <v>2.23333E-3</v>
      </c>
      <c r="L53" s="147">
        <f t="shared" si="0"/>
        <v>0</v>
      </c>
      <c r="M53" s="147">
        <f t="shared" si="1"/>
        <v>0.01</v>
      </c>
      <c r="N53" s="168" t="e">
        <f>VLOOKUP(C53,#REF!,4)</f>
        <v>#REF!</v>
      </c>
    </row>
    <row r="54" spans="1:14">
      <c r="A54" s="145" t="s">
        <v>14</v>
      </c>
      <c r="B54" s="146" t="s">
        <v>1247</v>
      </c>
      <c r="C54" s="146" t="s">
        <v>1248</v>
      </c>
      <c r="D54" s="145" t="s">
        <v>708</v>
      </c>
      <c r="E54" s="146" t="s">
        <v>1249</v>
      </c>
      <c r="F54" s="145" t="s">
        <v>710</v>
      </c>
      <c r="G54" s="146" t="s">
        <v>20</v>
      </c>
      <c r="H54" s="146">
        <v>201606</v>
      </c>
      <c r="I54" s="147">
        <v>0.14000000000000001</v>
      </c>
      <c r="J54" s="144">
        <f t="shared" si="2"/>
        <v>5</v>
      </c>
      <c r="K54" s="148">
        <v>2.23333E-3</v>
      </c>
      <c r="L54" s="147">
        <f t="shared" si="0"/>
        <v>0</v>
      </c>
      <c r="M54" s="147">
        <f t="shared" si="1"/>
        <v>0</v>
      </c>
      <c r="N54" s="168" t="e">
        <f>VLOOKUP(C54,#REF!,4)</f>
        <v>#REF!</v>
      </c>
    </row>
    <row r="55" spans="1:14">
      <c r="A55" s="145" t="s">
        <v>21</v>
      </c>
      <c r="B55" s="146" t="s">
        <v>1767</v>
      </c>
      <c r="C55" s="146" t="s">
        <v>1768</v>
      </c>
      <c r="D55" s="145" t="s">
        <v>1769</v>
      </c>
      <c r="E55" s="146" t="s">
        <v>1413</v>
      </c>
      <c r="F55" s="145" t="s">
        <v>88</v>
      </c>
      <c r="G55" s="146" t="s">
        <v>20</v>
      </c>
      <c r="H55" s="146">
        <v>201603</v>
      </c>
      <c r="I55" s="147">
        <v>-431.87</v>
      </c>
      <c r="J55" s="144">
        <f t="shared" si="2"/>
        <v>8</v>
      </c>
      <c r="K55" s="148">
        <v>1.4833299999999999E-3</v>
      </c>
      <c r="L55" s="147">
        <f t="shared" si="0"/>
        <v>-5.12</v>
      </c>
      <c r="M55" s="147">
        <f t="shared" si="1"/>
        <v>-7.69</v>
      </c>
      <c r="N55" s="168" t="e">
        <f>VLOOKUP(C55,#REF!,4)</f>
        <v>#REF!</v>
      </c>
    </row>
    <row r="56" spans="1:14">
      <c r="A56" s="145" t="s">
        <v>21</v>
      </c>
      <c r="B56" s="146" t="s">
        <v>1767</v>
      </c>
      <c r="C56" s="146" t="s">
        <v>1768</v>
      </c>
      <c r="D56" s="145" t="s">
        <v>1769</v>
      </c>
      <c r="E56" s="146" t="s">
        <v>1413</v>
      </c>
      <c r="F56" s="145" t="s">
        <v>88</v>
      </c>
      <c r="G56" s="146" t="s">
        <v>20</v>
      </c>
      <c r="H56" s="146">
        <v>201604</v>
      </c>
      <c r="I56" s="147">
        <v>313.20999999999998</v>
      </c>
      <c r="J56" s="144">
        <f t="shared" si="2"/>
        <v>7</v>
      </c>
      <c r="K56" s="148">
        <v>1.4833299999999999E-3</v>
      </c>
      <c r="L56" s="147">
        <f t="shared" si="0"/>
        <v>3.25</v>
      </c>
      <c r="M56" s="147">
        <f t="shared" si="1"/>
        <v>5.58</v>
      </c>
      <c r="N56" s="168" t="e">
        <f>VLOOKUP(C56,#REF!,4)</f>
        <v>#REF!</v>
      </c>
    </row>
    <row r="57" spans="1:14">
      <c r="A57" s="145" t="s">
        <v>21</v>
      </c>
      <c r="B57" s="146" t="s">
        <v>1767</v>
      </c>
      <c r="C57" s="146" t="s">
        <v>1768</v>
      </c>
      <c r="D57" s="145" t="s">
        <v>1769</v>
      </c>
      <c r="E57" s="146" t="s">
        <v>1413</v>
      </c>
      <c r="F57" s="145" t="s">
        <v>88</v>
      </c>
      <c r="G57" s="146" t="s">
        <v>20</v>
      </c>
      <c r="H57" s="146">
        <v>201605</v>
      </c>
      <c r="I57" s="147">
        <v>268.66000000000003</v>
      </c>
      <c r="J57" s="144">
        <f t="shared" si="2"/>
        <v>6</v>
      </c>
      <c r="K57" s="148">
        <v>1.4833299999999999E-3</v>
      </c>
      <c r="L57" s="147">
        <f t="shared" si="0"/>
        <v>2.39</v>
      </c>
      <c r="M57" s="147">
        <f t="shared" si="1"/>
        <v>4.78</v>
      </c>
      <c r="N57" s="168" t="e">
        <f>VLOOKUP(C57,#REF!,4)</f>
        <v>#REF!</v>
      </c>
    </row>
    <row r="58" spans="1:14">
      <c r="A58" s="145" t="s">
        <v>21</v>
      </c>
      <c r="B58" s="146" t="s">
        <v>1767</v>
      </c>
      <c r="C58" s="146" t="s">
        <v>1768</v>
      </c>
      <c r="D58" s="145" t="s">
        <v>1769</v>
      </c>
      <c r="E58" s="146" t="s">
        <v>1413</v>
      </c>
      <c r="F58" s="145" t="s">
        <v>88</v>
      </c>
      <c r="G58" s="146" t="s">
        <v>20</v>
      </c>
      <c r="H58" s="146">
        <v>201606</v>
      </c>
      <c r="I58" s="147">
        <v>200.76</v>
      </c>
      <c r="J58" s="144">
        <f t="shared" si="2"/>
        <v>5</v>
      </c>
      <c r="K58" s="148">
        <v>1.4833299999999999E-3</v>
      </c>
      <c r="L58" s="147">
        <f t="shared" si="0"/>
        <v>1.49</v>
      </c>
      <c r="M58" s="147">
        <f t="shared" si="1"/>
        <v>3.57</v>
      </c>
      <c r="N58" s="168" t="e">
        <f>VLOOKUP(C58,#REF!,4)</f>
        <v>#REF!</v>
      </c>
    </row>
    <row r="59" spans="1:14">
      <c r="A59" s="145" t="s">
        <v>21</v>
      </c>
      <c r="B59" s="146" t="s">
        <v>1072</v>
      </c>
      <c r="C59" s="146" t="s">
        <v>1073</v>
      </c>
      <c r="D59" s="145" t="s">
        <v>1074</v>
      </c>
      <c r="E59" s="146" t="s">
        <v>857</v>
      </c>
      <c r="F59" s="145" t="s">
        <v>88</v>
      </c>
      <c r="G59" s="146" t="s">
        <v>20</v>
      </c>
      <c r="H59" s="146">
        <v>201604</v>
      </c>
      <c r="I59" s="147">
        <v>2114.7199999999998</v>
      </c>
      <c r="J59" s="144">
        <f t="shared" si="2"/>
        <v>7</v>
      </c>
      <c r="K59" s="148">
        <v>1.4833299999999999E-3</v>
      </c>
      <c r="L59" s="147">
        <f t="shared" si="0"/>
        <v>21.96</v>
      </c>
      <c r="M59" s="147">
        <f t="shared" si="1"/>
        <v>37.64</v>
      </c>
      <c r="N59" s="168" t="e">
        <f>VLOOKUP(C59,#REF!,4)</f>
        <v>#REF!</v>
      </c>
    </row>
    <row r="60" spans="1:14">
      <c r="A60" s="145" t="s">
        <v>21</v>
      </c>
      <c r="B60" s="146" t="s">
        <v>1072</v>
      </c>
      <c r="C60" s="146" t="s">
        <v>1073</v>
      </c>
      <c r="D60" s="145" t="s">
        <v>1074</v>
      </c>
      <c r="E60" s="146" t="s">
        <v>857</v>
      </c>
      <c r="F60" s="145" t="s">
        <v>88</v>
      </c>
      <c r="G60" s="146" t="s">
        <v>20</v>
      </c>
      <c r="H60" s="146">
        <v>201605</v>
      </c>
      <c r="I60" s="147">
        <v>33.96</v>
      </c>
      <c r="J60" s="144">
        <f t="shared" si="2"/>
        <v>6</v>
      </c>
      <c r="K60" s="148">
        <v>1.4833299999999999E-3</v>
      </c>
      <c r="L60" s="147">
        <f t="shared" si="0"/>
        <v>0.3</v>
      </c>
      <c r="M60" s="147">
        <f t="shared" si="1"/>
        <v>0.6</v>
      </c>
      <c r="N60" s="168" t="e">
        <f>VLOOKUP(C60,#REF!,4)</f>
        <v>#REF!</v>
      </c>
    </row>
    <row r="61" spans="1:14">
      <c r="A61" s="145" t="s">
        <v>21</v>
      </c>
      <c r="B61" s="146" t="s">
        <v>1072</v>
      </c>
      <c r="C61" s="146" t="s">
        <v>1073</v>
      </c>
      <c r="D61" s="145" t="s">
        <v>1074</v>
      </c>
      <c r="E61" s="146" t="s">
        <v>857</v>
      </c>
      <c r="F61" s="145" t="s">
        <v>88</v>
      </c>
      <c r="G61" s="146" t="s">
        <v>20</v>
      </c>
      <c r="H61" s="146">
        <v>201606</v>
      </c>
      <c r="I61" s="147">
        <v>19.3</v>
      </c>
      <c r="J61" s="144">
        <f t="shared" si="2"/>
        <v>5</v>
      </c>
      <c r="K61" s="148">
        <v>1.4833299999999999E-3</v>
      </c>
      <c r="L61" s="147">
        <f t="shared" si="0"/>
        <v>0.14000000000000001</v>
      </c>
      <c r="M61" s="147">
        <f t="shared" si="1"/>
        <v>0.34</v>
      </c>
      <c r="N61" s="168" t="e">
        <f>VLOOKUP(C61,#REF!,4)</f>
        <v>#REF!</v>
      </c>
    </row>
    <row r="62" spans="1:14">
      <c r="A62" s="145" t="s">
        <v>14</v>
      </c>
      <c r="B62" s="146" t="s">
        <v>183</v>
      </c>
      <c r="C62" s="146" t="s">
        <v>184</v>
      </c>
      <c r="D62" s="145" t="s">
        <v>45</v>
      </c>
      <c r="E62" s="146" t="s">
        <v>185</v>
      </c>
      <c r="F62" s="145" t="s">
        <v>41</v>
      </c>
      <c r="G62" s="146" t="s">
        <v>20</v>
      </c>
      <c r="H62" s="146">
        <v>201603</v>
      </c>
      <c r="I62" s="147">
        <v>-66.13</v>
      </c>
      <c r="J62" s="144">
        <f t="shared" si="2"/>
        <v>8</v>
      </c>
      <c r="K62" s="148">
        <v>2.23333E-3</v>
      </c>
      <c r="L62" s="147">
        <f t="shared" si="0"/>
        <v>-1.18</v>
      </c>
      <c r="M62" s="147">
        <f t="shared" si="1"/>
        <v>-1.77</v>
      </c>
      <c r="N62" s="168" t="e">
        <f>VLOOKUP(C62,#REF!,4)</f>
        <v>#REF!</v>
      </c>
    </row>
    <row r="63" spans="1:14">
      <c r="A63" s="145" t="s">
        <v>14</v>
      </c>
      <c r="B63" s="146" t="s">
        <v>183</v>
      </c>
      <c r="C63" s="146" t="s">
        <v>184</v>
      </c>
      <c r="D63" s="145" t="s">
        <v>45</v>
      </c>
      <c r="E63" s="146" t="s">
        <v>185</v>
      </c>
      <c r="F63" s="145" t="s">
        <v>41</v>
      </c>
      <c r="G63" s="146" t="s">
        <v>20</v>
      </c>
      <c r="H63" s="146">
        <v>201604</v>
      </c>
      <c r="I63" s="147">
        <v>785.3</v>
      </c>
      <c r="J63" s="144">
        <f t="shared" si="2"/>
        <v>7</v>
      </c>
      <c r="K63" s="148">
        <v>2.23333E-3</v>
      </c>
      <c r="L63" s="147">
        <f t="shared" si="0"/>
        <v>12.28</v>
      </c>
      <c r="M63" s="147">
        <f t="shared" si="1"/>
        <v>21.05</v>
      </c>
      <c r="N63" s="168" t="e">
        <f>VLOOKUP(C63,#REF!,4)</f>
        <v>#REF!</v>
      </c>
    </row>
    <row r="64" spans="1:14">
      <c r="A64" s="145" t="s">
        <v>14</v>
      </c>
      <c r="B64" s="146" t="s">
        <v>183</v>
      </c>
      <c r="C64" s="146" t="s">
        <v>184</v>
      </c>
      <c r="D64" s="145" t="s">
        <v>45</v>
      </c>
      <c r="E64" s="146" t="s">
        <v>185</v>
      </c>
      <c r="F64" s="145" t="s">
        <v>41</v>
      </c>
      <c r="G64" s="146" t="s">
        <v>20</v>
      </c>
      <c r="H64" s="146">
        <v>201605</v>
      </c>
      <c r="I64" s="147">
        <v>563.53</v>
      </c>
      <c r="J64" s="144">
        <f t="shared" si="2"/>
        <v>6</v>
      </c>
      <c r="K64" s="148">
        <v>2.23333E-3</v>
      </c>
      <c r="L64" s="147">
        <f t="shared" si="0"/>
        <v>7.55</v>
      </c>
      <c r="M64" s="147">
        <f t="shared" si="1"/>
        <v>15.1</v>
      </c>
      <c r="N64" s="168" t="e">
        <f>VLOOKUP(C64,#REF!,4)</f>
        <v>#REF!</v>
      </c>
    </row>
    <row r="65" spans="1:14">
      <c r="A65" s="145" t="s">
        <v>14</v>
      </c>
      <c r="B65" s="146" t="s">
        <v>183</v>
      </c>
      <c r="C65" s="146" t="s">
        <v>184</v>
      </c>
      <c r="D65" s="145" t="s">
        <v>45</v>
      </c>
      <c r="E65" s="146" t="s">
        <v>185</v>
      </c>
      <c r="F65" s="145" t="s">
        <v>41</v>
      </c>
      <c r="G65" s="146" t="s">
        <v>20</v>
      </c>
      <c r="H65" s="146">
        <v>201606</v>
      </c>
      <c r="I65" s="147">
        <v>346.39</v>
      </c>
      <c r="J65" s="144">
        <f t="shared" si="2"/>
        <v>5</v>
      </c>
      <c r="K65" s="148">
        <v>2.23333E-3</v>
      </c>
      <c r="L65" s="147">
        <f t="shared" si="0"/>
        <v>3.87</v>
      </c>
      <c r="M65" s="147">
        <f t="shared" si="1"/>
        <v>9.2799999999999994</v>
      </c>
      <c r="N65" s="168" t="e">
        <f>VLOOKUP(C65,#REF!,4)</f>
        <v>#REF!</v>
      </c>
    </row>
    <row r="66" spans="1:14">
      <c r="A66" s="145" t="s">
        <v>14</v>
      </c>
      <c r="B66" s="146" t="s">
        <v>191</v>
      </c>
      <c r="C66" s="146" t="s">
        <v>192</v>
      </c>
      <c r="D66" s="145" t="s">
        <v>193</v>
      </c>
      <c r="E66" s="146" t="s">
        <v>194</v>
      </c>
      <c r="F66" s="145" t="s">
        <v>115</v>
      </c>
      <c r="G66" s="146" t="s">
        <v>20</v>
      </c>
      <c r="H66" s="146">
        <v>201603</v>
      </c>
      <c r="I66" s="147">
        <v>15.21</v>
      </c>
      <c r="J66" s="144">
        <f t="shared" si="2"/>
        <v>8</v>
      </c>
      <c r="K66" s="148">
        <v>2.23333E-3</v>
      </c>
      <c r="L66" s="147">
        <f t="shared" si="0"/>
        <v>0.27</v>
      </c>
      <c r="M66" s="147">
        <f t="shared" si="1"/>
        <v>0.41</v>
      </c>
      <c r="N66" s="168" t="e">
        <f>VLOOKUP(C66,#REF!,4)</f>
        <v>#REF!</v>
      </c>
    </row>
    <row r="67" spans="1:14">
      <c r="A67" s="145" t="s">
        <v>14</v>
      </c>
      <c r="B67" s="146" t="s">
        <v>191</v>
      </c>
      <c r="C67" s="146" t="s">
        <v>192</v>
      </c>
      <c r="D67" s="145" t="s">
        <v>193</v>
      </c>
      <c r="E67" s="146" t="s">
        <v>194</v>
      </c>
      <c r="F67" s="145" t="s">
        <v>115</v>
      </c>
      <c r="G67" s="146" t="s">
        <v>20</v>
      </c>
      <c r="H67" s="146">
        <v>201604</v>
      </c>
      <c r="I67" s="147">
        <v>-47.63</v>
      </c>
      <c r="J67" s="144">
        <f t="shared" si="2"/>
        <v>7</v>
      </c>
      <c r="K67" s="148">
        <v>2.23333E-3</v>
      </c>
      <c r="L67" s="147">
        <f t="shared" si="0"/>
        <v>-0.74</v>
      </c>
      <c r="M67" s="147">
        <f t="shared" si="1"/>
        <v>-1.28</v>
      </c>
      <c r="N67" s="168" t="e">
        <f>VLOOKUP(C67,#REF!,4)</f>
        <v>#REF!</v>
      </c>
    </row>
    <row r="68" spans="1:14">
      <c r="A68" s="145" t="s">
        <v>14</v>
      </c>
      <c r="B68" s="146" t="s">
        <v>191</v>
      </c>
      <c r="C68" s="146" t="s">
        <v>192</v>
      </c>
      <c r="D68" s="145" t="s">
        <v>193</v>
      </c>
      <c r="E68" s="146" t="s">
        <v>194</v>
      </c>
      <c r="F68" s="145" t="s">
        <v>115</v>
      </c>
      <c r="G68" s="146" t="s">
        <v>20</v>
      </c>
      <c r="H68" s="146">
        <v>201605</v>
      </c>
      <c r="I68" s="147">
        <v>-35.020000000000003</v>
      </c>
      <c r="J68" s="144">
        <f t="shared" si="2"/>
        <v>6</v>
      </c>
      <c r="K68" s="148">
        <v>2.23333E-3</v>
      </c>
      <c r="L68" s="147">
        <f t="shared" si="0"/>
        <v>-0.47</v>
      </c>
      <c r="M68" s="147">
        <f t="shared" si="1"/>
        <v>-0.94</v>
      </c>
      <c r="N68" s="168" t="e">
        <f>VLOOKUP(C68,#REF!,4)</f>
        <v>#REF!</v>
      </c>
    </row>
    <row r="69" spans="1:14">
      <c r="A69" s="145" t="s">
        <v>14</v>
      </c>
      <c r="B69" s="146" t="s">
        <v>191</v>
      </c>
      <c r="C69" s="146" t="s">
        <v>192</v>
      </c>
      <c r="D69" s="145" t="s">
        <v>193</v>
      </c>
      <c r="E69" s="146" t="s">
        <v>194</v>
      </c>
      <c r="F69" s="145" t="s">
        <v>115</v>
      </c>
      <c r="G69" s="146" t="s">
        <v>20</v>
      </c>
      <c r="H69" s="146">
        <v>201606</v>
      </c>
      <c r="I69" s="147">
        <v>-23.64</v>
      </c>
      <c r="J69" s="144">
        <f t="shared" si="2"/>
        <v>5</v>
      </c>
      <c r="K69" s="148">
        <v>2.23333E-3</v>
      </c>
      <c r="L69" s="147">
        <f t="shared" ref="L69:L132" si="3">ROUND(I69*J69*K69,2)</f>
        <v>-0.26</v>
      </c>
      <c r="M69" s="147">
        <f t="shared" ref="M69:M132" si="4">ROUND(I69*K69*12,2)</f>
        <v>-0.63</v>
      </c>
      <c r="N69" s="168" t="e">
        <f>VLOOKUP(C69,#REF!,4)</f>
        <v>#REF!</v>
      </c>
    </row>
    <row r="70" spans="1:14">
      <c r="A70" s="145" t="s">
        <v>14</v>
      </c>
      <c r="B70" s="146" t="s">
        <v>195</v>
      </c>
      <c r="C70" s="146" t="s">
        <v>196</v>
      </c>
      <c r="D70" s="145" t="s">
        <v>1674</v>
      </c>
      <c r="E70" s="146" t="s">
        <v>198</v>
      </c>
      <c r="F70" s="145" t="s">
        <v>1610</v>
      </c>
      <c r="G70" s="146" t="s">
        <v>20</v>
      </c>
      <c r="H70" s="146">
        <v>201603</v>
      </c>
      <c r="I70" s="147">
        <v>532651.63</v>
      </c>
      <c r="J70" s="144">
        <f t="shared" ref="J70:J133" si="5">VLOOKUP(H70,$P$5:$Q$14,2)</f>
        <v>8</v>
      </c>
      <c r="K70" s="148">
        <v>2.23333E-3</v>
      </c>
      <c r="L70" s="147">
        <f t="shared" si="3"/>
        <v>9516.69</v>
      </c>
      <c r="M70" s="147">
        <f t="shared" si="4"/>
        <v>14275.04</v>
      </c>
      <c r="N70" s="168" t="e">
        <f>VLOOKUP(C70,#REF!,4)</f>
        <v>#REF!</v>
      </c>
    </row>
    <row r="71" spans="1:14">
      <c r="A71" s="145" t="s">
        <v>14</v>
      </c>
      <c r="B71" s="146" t="s">
        <v>195</v>
      </c>
      <c r="C71" s="146" t="s">
        <v>196</v>
      </c>
      <c r="D71" s="145" t="s">
        <v>1674</v>
      </c>
      <c r="E71" s="146" t="s">
        <v>198</v>
      </c>
      <c r="F71" s="145" t="s">
        <v>1610</v>
      </c>
      <c r="G71" s="146" t="s">
        <v>20</v>
      </c>
      <c r="H71" s="146">
        <v>201604</v>
      </c>
      <c r="I71" s="147">
        <v>326071.76</v>
      </c>
      <c r="J71" s="144">
        <f t="shared" si="5"/>
        <v>7</v>
      </c>
      <c r="K71" s="148">
        <v>2.23333E-3</v>
      </c>
      <c r="L71" s="147">
        <f t="shared" si="3"/>
        <v>5097.58</v>
      </c>
      <c r="M71" s="147">
        <f t="shared" si="4"/>
        <v>8738.7099999999991</v>
      </c>
      <c r="N71" s="168" t="e">
        <f>VLOOKUP(C71,#REF!,4)</f>
        <v>#REF!</v>
      </c>
    </row>
    <row r="72" spans="1:14">
      <c r="A72" s="145" t="s">
        <v>14</v>
      </c>
      <c r="B72" s="146" t="s">
        <v>195</v>
      </c>
      <c r="C72" s="146" t="s">
        <v>196</v>
      </c>
      <c r="D72" s="145" t="s">
        <v>1674</v>
      </c>
      <c r="E72" s="146" t="s">
        <v>198</v>
      </c>
      <c r="F72" s="145" t="s">
        <v>1610</v>
      </c>
      <c r="G72" s="146" t="s">
        <v>20</v>
      </c>
      <c r="H72" s="146">
        <v>201605</v>
      </c>
      <c r="I72" s="147">
        <v>374323.56</v>
      </c>
      <c r="J72" s="144">
        <f t="shared" si="5"/>
        <v>6</v>
      </c>
      <c r="K72" s="148">
        <v>2.23333E-3</v>
      </c>
      <c r="L72" s="147">
        <f t="shared" si="3"/>
        <v>5015.93</v>
      </c>
      <c r="M72" s="147">
        <f t="shared" si="4"/>
        <v>10031.86</v>
      </c>
      <c r="N72" s="168" t="e">
        <f>VLOOKUP(C72,#REF!,4)</f>
        <v>#REF!</v>
      </c>
    </row>
    <row r="73" spans="1:14">
      <c r="A73" s="145" t="s">
        <v>14</v>
      </c>
      <c r="B73" s="146" t="s">
        <v>195</v>
      </c>
      <c r="C73" s="146" t="s">
        <v>196</v>
      </c>
      <c r="D73" s="145" t="s">
        <v>1674</v>
      </c>
      <c r="E73" s="146" t="s">
        <v>198</v>
      </c>
      <c r="F73" s="145" t="s">
        <v>1610</v>
      </c>
      <c r="G73" s="146" t="s">
        <v>20</v>
      </c>
      <c r="H73" s="146">
        <v>201606</v>
      </c>
      <c r="I73" s="147">
        <v>398984.24</v>
      </c>
      <c r="J73" s="144">
        <f t="shared" si="5"/>
        <v>5</v>
      </c>
      <c r="K73" s="148">
        <v>2.23333E-3</v>
      </c>
      <c r="L73" s="147">
        <f t="shared" si="3"/>
        <v>4455.32</v>
      </c>
      <c r="M73" s="147">
        <f t="shared" si="4"/>
        <v>10692.76</v>
      </c>
      <c r="N73" s="168" t="e">
        <f>VLOOKUP(C73,#REF!,4)</f>
        <v>#REF!</v>
      </c>
    </row>
    <row r="74" spans="1:14">
      <c r="A74" s="145" t="s">
        <v>14</v>
      </c>
      <c r="B74" s="146" t="s">
        <v>200</v>
      </c>
      <c r="C74" s="146" t="s">
        <v>201</v>
      </c>
      <c r="D74" s="145" t="s">
        <v>1675</v>
      </c>
      <c r="E74" s="146" t="s">
        <v>202</v>
      </c>
      <c r="F74" s="145" t="s">
        <v>1611</v>
      </c>
      <c r="G74" s="146" t="s">
        <v>20</v>
      </c>
      <c r="H74" s="146">
        <v>201603</v>
      </c>
      <c r="I74" s="147">
        <v>14084.84</v>
      </c>
      <c r="J74" s="144">
        <f t="shared" si="5"/>
        <v>8</v>
      </c>
      <c r="K74" s="148">
        <v>2.23333E-3</v>
      </c>
      <c r="L74" s="147">
        <f t="shared" si="3"/>
        <v>251.65</v>
      </c>
      <c r="M74" s="147">
        <f t="shared" si="4"/>
        <v>377.47</v>
      </c>
      <c r="N74" s="168" t="e">
        <f>VLOOKUP(C74,#REF!,4)</f>
        <v>#REF!</v>
      </c>
    </row>
    <row r="75" spans="1:14">
      <c r="A75" s="145" t="s">
        <v>14</v>
      </c>
      <c r="B75" s="146" t="s">
        <v>200</v>
      </c>
      <c r="C75" s="146" t="s">
        <v>201</v>
      </c>
      <c r="D75" s="145" t="s">
        <v>1675</v>
      </c>
      <c r="E75" s="146" t="s">
        <v>202</v>
      </c>
      <c r="F75" s="145" t="s">
        <v>1611</v>
      </c>
      <c r="G75" s="146" t="s">
        <v>20</v>
      </c>
      <c r="H75" s="146">
        <v>201604</v>
      </c>
      <c r="I75" s="147">
        <v>24735.46</v>
      </c>
      <c r="J75" s="144">
        <f t="shared" si="5"/>
        <v>7</v>
      </c>
      <c r="K75" s="148">
        <v>2.23333E-3</v>
      </c>
      <c r="L75" s="147">
        <f t="shared" si="3"/>
        <v>386.7</v>
      </c>
      <c r="M75" s="147">
        <f t="shared" si="4"/>
        <v>662.91</v>
      </c>
      <c r="N75" s="168" t="e">
        <f>VLOOKUP(C75,#REF!,4)</f>
        <v>#REF!</v>
      </c>
    </row>
    <row r="76" spans="1:14">
      <c r="A76" s="145" t="s">
        <v>14</v>
      </c>
      <c r="B76" s="146" t="s">
        <v>200</v>
      </c>
      <c r="C76" s="146" t="s">
        <v>201</v>
      </c>
      <c r="D76" s="145" t="s">
        <v>1675</v>
      </c>
      <c r="E76" s="146" t="s">
        <v>202</v>
      </c>
      <c r="F76" s="145" t="s">
        <v>1611</v>
      </c>
      <c r="G76" s="146" t="s">
        <v>20</v>
      </c>
      <c r="H76" s="146">
        <v>201605</v>
      </c>
      <c r="I76" s="147">
        <v>50093.1</v>
      </c>
      <c r="J76" s="144">
        <f t="shared" si="5"/>
        <v>6</v>
      </c>
      <c r="K76" s="148">
        <v>2.23333E-3</v>
      </c>
      <c r="L76" s="147">
        <f t="shared" si="3"/>
        <v>671.25</v>
      </c>
      <c r="M76" s="147">
        <f t="shared" si="4"/>
        <v>1342.49</v>
      </c>
      <c r="N76" s="168" t="e">
        <f>VLOOKUP(C76,#REF!,4)</f>
        <v>#REF!</v>
      </c>
    </row>
    <row r="77" spans="1:14">
      <c r="A77" s="145" t="s">
        <v>14</v>
      </c>
      <c r="B77" s="146" t="s">
        <v>200</v>
      </c>
      <c r="C77" s="146" t="s">
        <v>201</v>
      </c>
      <c r="D77" s="145" t="s">
        <v>1675</v>
      </c>
      <c r="E77" s="146" t="s">
        <v>202</v>
      </c>
      <c r="F77" s="145" t="s">
        <v>1611</v>
      </c>
      <c r="G77" s="146" t="s">
        <v>20</v>
      </c>
      <c r="H77" s="146">
        <v>201606</v>
      </c>
      <c r="I77" s="147">
        <v>32430.35</v>
      </c>
      <c r="J77" s="144">
        <f t="shared" si="5"/>
        <v>5</v>
      </c>
      <c r="K77" s="148">
        <v>2.23333E-3</v>
      </c>
      <c r="L77" s="147">
        <f t="shared" si="3"/>
        <v>362.14</v>
      </c>
      <c r="M77" s="147">
        <f t="shared" si="4"/>
        <v>869.13</v>
      </c>
      <c r="N77" s="168" t="e">
        <f>VLOOKUP(C77,#REF!,4)</f>
        <v>#REF!</v>
      </c>
    </row>
    <row r="78" spans="1:14">
      <c r="A78" s="145" t="s">
        <v>626</v>
      </c>
      <c r="B78" s="146" t="s">
        <v>1855</v>
      </c>
      <c r="C78" s="146" t="s">
        <v>1856</v>
      </c>
      <c r="D78" s="145" t="s">
        <v>1857</v>
      </c>
      <c r="E78" s="146" t="s">
        <v>209</v>
      </c>
      <c r="F78" s="145" t="s">
        <v>1612</v>
      </c>
      <c r="G78" s="146" t="s">
        <v>20</v>
      </c>
      <c r="H78" s="146">
        <v>201603</v>
      </c>
      <c r="I78" s="147">
        <v>3691.43</v>
      </c>
      <c r="J78" s="144">
        <f t="shared" si="5"/>
        <v>8</v>
      </c>
      <c r="K78" s="148">
        <v>1.4833299999999999E-3</v>
      </c>
      <c r="L78" s="147">
        <f t="shared" si="3"/>
        <v>43.8</v>
      </c>
      <c r="M78" s="147">
        <f t="shared" si="4"/>
        <v>65.709999999999994</v>
      </c>
      <c r="N78" s="168" t="e">
        <f>VLOOKUP(C78,#REF!,4)</f>
        <v>#REF!</v>
      </c>
    </row>
    <row r="79" spans="1:14">
      <c r="A79" s="145" t="s">
        <v>626</v>
      </c>
      <c r="B79" s="146" t="s">
        <v>1855</v>
      </c>
      <c r="C79" s="146" t="s">
        <v>1856</v>
      </c>
      <c r="D79" s="145" t="s">
        <v>1857</v>
      </c>
      <c r="E79" s="146" t="s">
        <v>209</v>
      </c>
      <c r="F79" s="145" t="s">
        <v>1612</v>
      </c>
      <c r="G79" s="146" t="s">
        <v>20</v>
      </c>
      <c r="H79" s="146">
        <v>201604</v>
      </c>
      <c r="I79" s="147">
        <v>3583.64</v>
      </c>
      <c r="J79" s="144">
        <f t="shared" si="5"/>
        <v>7</v>
      </c>
      <c r="K79" s="148">
        <v>1.4833299999999999E-3</v>
      </c>
      <c r="L79" s="147">
        <f t="shared" si="3"/>
        <v>37.21</v>
      </c>
      <c r="M79" s="147">
        <f t="shared" si="4"/>
        <v>63.79</v>
      </c>
      <c r="N79" s="168" t="e">
        <f>VLOOKUP(C79,#REF!,4)</f>
        <v>#REF!</v>
      </c>
    </row>
    <row r="80" spans="1:14">
      <c r="A80" s="145" t="s">
        <v>626</v>
      </c>
      <c r="B80" s="146" t="s">
        <v>1855</v>
      </c>
      <c r="C80" s="146" t="s">
        <v>1856</v>
      </c>
      <c r="D80" s="145" t="s">
        <v>1857</v>
      </c>
      <c r="E80" s="146" t="s">
        <v>209</v>
      </c>
      <c r="F80" s="145" t="s">
        <v>1612</v>
      </c>
      <c r="G80" s="146" t="s">
        <v>20</v>
      </c>
      <c r="H80" s="146">
        <v>201605</v>
      </c>
      <c r="I80" s="147">
        <v>2702.91</v>
      </c>
      <c r="J80" s="144">
        <f t="shared" si="5"/>
        <v>6</v>
      </c>
      <c r="K80" s="148">
        <v>1.4833299999999999E-3</v>
      </c>
      <c r="L80" s="147">
        <f t="shared" si="3"/>
        <v>24.06</v>
      </c>
      <c r="M80" s="147">
        <f t="shared" si="4"/>
        <v>48.11</v>
      </c>
      <c r="N80" s="168" t="e">
        <f>VLOOKUP(C80,#REF!,4)</f>
        <v>#REF!</v>
      </c>
    </row>
    <row r="81" spans="1:14">
      <c r="A81" s="145" t="s">
        <v>626</v>
      </c>
      <c r="B81" s="146" t="s">
        <v>1855</v>
      </c>
      <c r="C81" s="146" t="s">
        <v>1856</v>
      </c>
      <c r="D81" s="145" t="s">
        <v>1857</v>
      </c>
      <c r="E81" s="146" t="s">
        <v>209</v>
      </c>
      <c r="F81" s="145" t="s">
        <v>1612</v>
      </c>
      <c r="G81" s="146" t="s">
        <v>20</v>
      </c>
      <c r="H81" s="146">
        <v>201606</v>
      </c>
      <c r="I81" s="147">
        <v>1744.96</v>
      </c>
      <c r="J81" s="144">
        <f t="shared" si="5"/>
        <v>5</v>
      </c>
      <c r="K81" s="148">
        <v>1.4833299999999999E-3</v>
      </c>
      <c r="L81" s="147">
        <f t="shared" si="3"/>
        <v>12.94</v>
      </c>
      <c r="M81" s="147">
        <f t="shared" si="4"/>
        <v>31.06</v>
      </c>
      <c r="N81" s="168" t="e">
        <f>VLOOKUP(C81,#REF!,4)</f>
        <v>#REF!</v>
      </c>
    </row>
    <row r="82" spans="1:14">
      <c r="A82" s="145" t="s">
        <v>14</v>
      </c>
      <c r="B82" s="146" t="s">
        <v>481</v>
      </c>
      <c r="C82" s="146" t="s">
        <v>482</v>
      </c>
      <c r="D82" s="145" t="s">
        <v>483</v>
      </c>
      <c r="E82" s="146" t="s">
        <v>484</v>
      </c>
      <c r="F82" s="145" t="s">
        <v>190</v>
      </c>
      <c r="G82" s="146" t="s">
        <v>20</v>
      </c>
      <c r="H82" s="146">
        <v>201603</v>
      </c>
      <c r="I82" s="147">
        <v>-0.23</v>
      </c>
      <c r="J82" s="144">
        <f t="shared" si="5"/>
        <v>8</v>
      </c>
      <c r="K82" s="148">
        <v>2.23333E-3</v>
      </c>
      <c r="L82" s="147">
        <f t="shared" si="3"/>
        <v>0</v>
      </c>
      <c r="M82" s="147">
        <f t="shared" si="4"/>
        <v>-0.01</v>
      </c>
      <c r="N82" s="168" t="e">
        <f>VLOOKUP(C82,#REF!,4)</f>
        <v>#REF!</v>
      </c>
    </row>
    <row r="83" spans="1:14">
      <c r="A83" s="145" t="s">
        <v>14</v>
      </c>
      <c r="B83" s="146" t="s">
        <v>481</v>
      </c>
      <c r="C83" s="146" t="s">
        <v>482</v>
      </c>
      <c r="D83" s="145" t="s">
        <v>483</v>
      </c>
      <c r="E83" s="146" t="s">
        <v>484</v>
      </c>
      <c r="F83" s="145" t="s">
        <v>190</v>
      </c>
      <c r="G83" s="146" t="s">
        <v>20</v>
      </c>
      <c r="H83" s="146">
        <v>201604</v>
      </c>
      <c r="I83" s="147">
        <v>5899.45</v>
      </c>
      <c r="J83" s="144">
        <f t="shared" si="5"/>
        <v>7</v>
      </c>
      <c r="K83" s="148">
        <v>2.23333E-3</v>
      </c>
      <c r="L83" s="147">
        <f t="shared" si="3"/>
        <v>92.23</v>
      </c>
      <c r="M83" s="147">
        <f t="shared" si="4"/>
        <v>158.11000000000001</v>
      </c>
      <c r="N83" s="168" t="e">
        <f>VLOOKUP(C83,#REF!,4)</f>
        <v>#REF!</v>
      </c>
    </row>
    <row r="84" spans="1:14">
      <c r="A84" s="145" t="s">
        <v>14</v>
      </c>
      <c r="B84" s="146" t="s">
        <v>481</v>
      </c>
      <c r="C84" s="146" t="s">
        <v>482</v>
      </c>
      <c r="D84" s="145" t="s">
        <v>483</v>
      </c>
      <c r="E84" s="146" t="s">
        <v>484</v>
      </c>
      <c r="F84" s="145" t="s">
        <v>190</v>
      </c>
      <c r="G84" s="146" t="s">
        <v>20</v>
      </c>
      <c r="H84" s="146">
        <v>201605</v>
      </c>
      <c r="I84" s="147">
        <v>-1394</v>
      </c>
      <c r="J84" s="144">
        <f t="shared" si="5"/>
        <v>6</v>
      </c>
      <c r="K84" s="148">
        <v>2.23333E-3</v>
      </c>
      <c r="L84" s="147">
        <f t="shared" si="3"/>
        <v>-18.68</v>
      </c>
      <c r="M84" s="147">
        <f t="shared" si="4"/>
        <v>-37.36</v>
      </c>
      <c r="N84" s="168" t="e">
        <f>VLOOKUP(C84,#REF!,4)</f>
        <v>#REF!</v>
      </c>
    </row>
    <row r="85" spans="1:14">
      <c r="A85" s="145" t="s">
        <v>14</v>
      </c>
      <c r="B85" s="146" t="s">
        <v>481</v>
      </c>
      <c r="C85" s="146" t="s">
        <v>482</v>
      </c>
      <c r="D85" s="145" t="s">
        <v>483</v>
      </c>
      <c r="E85" s="146" t="s">
        <v>484</v>
      </c>
      <c r="F85" s="145" t="s">
        <v>190</v>
      </c>
      <c r="G85" s="146" t="s">
        <v>20</v>
      </c>
      <c r="H85" s="146">
        <v>201606</v>
      </c>
      <c r="I85" s="147">
        <v>-28.28</v>
      </c>
      <c r="J85" s="144">
        <f t="shared" si="5"/>
        <v>5</v>
      </c>
      <c r="K85" s="148">
        <v>2.23333E-3</v>
      </c>
      <c r="L85" s="147">
        <f t="shared" si="3"/>
        <v>-0.32</v>
      </c>
      <c r="M85" s="147">
        <f t="shared" si="4"/>
        <v>-0.76</v>
      </c>
      <c r="N85" s="168" t="e">
        <f>VLOOKUP(C85,#REF!,4)</f>
        <v>#REF!</v>
      </c>
    </row>
    <row r="86" spans="1:14">
      <c r="A86" s="145" t="s">
        <v>990</v>
      </c>
      <c r="B86" s="146" t="s">
        <v>1010</v>
      </c>
      <c r="C86" s="146" t="s">
        <v>1011</v>
      </c>
      <c r="D86" s="145" t="s">
        <v>1012</v>
      </c>
      <c r="E86" s="146" t="s">
        <v>1013</v>
      </c>
      <c r="F86" s="145" t="s">
        <v>995</v>
      </c>
      <c r="G86" s="146" t="s">
        <v>20</v>
      </c>
      <c r="H86" s="146">
        <v>201603</v>
      </c>
      <c r="I86" s="147">
        <v>2229.89</v>
      </c>
      <c r="J86" s="144">
        <f t="shared" si="5"/>
        <v>8</v>
      </c>
      <c r="K86" s="148">
        <v>2.3833299999999999E-3</v>
      </c>
      <c r="L86" s="147">
        <f t="shared" si="3"/>
        <v>42.52</v>
      </c>
      <c r="M86" s="147">
        <f t="shared" si="4"/>
        <v>63.77</v>
      </c>
      <c r="N86" s="168" t="e">
        <f>VLOOKUP(C86,#REF!,4)</f>
        <v>#REF!</v>
      </c>
    </row>
    <row r="87" spans="1:14">
      <c r="A87" s="145" t="s">
        <v>990</v>
      </c>
      <c r="B87" s="146" t="s">
        <v>1010</v>
      </c>
      <c r="C87" s="146" t="s">
        <v>1011</v>
      </c>
      <c r="D87" s="145" t="s">
        <v>1012</v>
      </c>
      <c r="E87" s="146" t="s">
        <v>1013</v>
      </c>
      <c r="F87" s="145" t="s">
        <v>995</v>
      </c>
      <c r="G87" s="146" t="s">
        <v>20</v>
      </c>
      <c r="H87" s="146">
        <v>201604</v>
      </c>
      <c r="I87" s="147">
        <v>3195.5</v>
      </c>
      <c r="J87" s="144">
        <f t="shared" si="5"/>
        <v>7</v>
      </c>
      <c r="K87" s="148">
        <v>2.3833299999999999E-3</v>
      </c>
      <c r="L87" s="147">
        <f t="shared" si="3"/>
        <v>53.31</v>
      </c>
      <c r="M87" s="147">
        <f t="shared" si="4"/>
        <v>91.39</v>
      </c>
      <c r="N87" s="168" t="e">
        <f>VLOOKUP(C87,#REF!,4)</f>
        <v>#REF!</v>
      </c>
    </row>
    <row r="88" spans="1:14">
      <c r="A88" s="145" t="s">
        <v>990</v>
      </c>
      <c r="B88" s="146" t="s">
        <v>1010</v>
      </c>
      <c r="C88" s="146" t="s">
        <v>1011</v>
      </c>
      <c r="D88" s="145" t="s">
        <v>1012</v>
      </c>
      <c r="E88" s="146" t="s">
        <v>1013</v>
      </c>
      <c r="F88" s="145" t="s">
        <v>995</v>
      </c>
      <c r="G88" s="146" t="s">
        <v>20</v>
      </c>
      <c r="H88" s="146">
        <v>201605</v>
      </c>
      <c r="I88" s="147">
        <v>4131.16</v>
      </c>
      <c r="J88" s="144">
        <f t="shared" si="5"/>
        <v>6</v>
      </c>
      <c r="K88" s="148">
        <v>2.3833299999999999E-3</v>
      </c>
      <c r="L88" s="147">
        <f t="shared" si="3"/>
        <v>59.08</v>
      </c>
      <c r="M88" s="147">
        <f t="shared" si="4"/>
        <v>118.15</v>
      </c>
      <c r="N88" s="168" t="e">
        <f>VLOOKUP(C88,#REF!,4)</f>
        <v>#REF!</v>
      </c>
    </row>
    <row r="89" spans="1:14">
      <c r="A89" s="145" t="s">
        <v>990</v>
      </c>
      <c r="B89" s="146" t="s">
        <v>1010</v>
      </c>
      <c r="C89" s="146" t="s">
        <v>1011</v>
      </c>
      <c r="D89" s="145" t="s">
        <v>1012</v>
      </c>
      <c r="E89" s="146" t="s">
        <v>1013</v>
      </c>
      <c r="F89" s="145" t="s">
        <v>995</v>
      </c>
      <c r="G89" s="146" t="s">
        <v>20</v>
      </c>
      <c r="H89" s="146">
        <v>201606</v>
      </c>
      <c r="I89" s="147">
        <v>1553.35</v>
      </c>
      <c r="J89" s="144">
        <f t="shared" si="5"/>
        <v>5</v>
      </c>
      <c r="K89" s="148">
        <v>2.3833299999999999E-3</v>
      </c>
      <c r="L89" s="147">
        <f t="shared" si="3"/>
        <v>18.510000000000002</v>
      </c>
      <c r="M89" s="147">
        <f t="shared" si="4"/>
        <v>44.43</v>
      </c>
      <c r="N89" s="168" t="e">
        <f>VLOOKUP(C89,#REF!,4)</f>
        <v>#REF!</v>
      </c>
    </row>
    <row r="90" spans="1:14">
      <c r="A90" s="145" t="s">
        <v>21</v>
      </c>
      <c r="B90" s="146" t="s">
        <v>485</v>
      </c>
      <c r="C90" s="146" t="s">
        <v>486</v>
      </c>
      <c r="D90" s="145" t="s">
        <v>487</v>
      </c>
      <c r="E90" s="146" t="s">
        <v>75</v>
      </c>
      <c r="F90" s="145" t="s">
        <v>1602</v>
      </c>
      <c r="G90" s="146" t="s">
        <v>20</v>
      </c>
      <c r="H90" s="146">
        <v>201603</v>
      </c>
      <c r="I90" s="147">
        <v>-0.33</v>
      </c>
      <c r="J90" s="144">
        <f t="shared" si="5"/>
        <v>8</v>
      </c>
      <c r="K90" s="148">
        <v>1.4833299999999999E-3</v>
      </c>
      <c r="L90" s="147">
        <f t="shared" si="3"/>
        <v>0</v>
      </c>
      <c r="M90" s="147">
        <f t="shared" si="4"/>
        <v>-0.01</v>
      </c>
      <c r="N90" s="168" t="e">
        <f>VLOOKUP(C90,#REF!,4)</f>
        <v>#REF!</v>
      </c>
    </row>
    <row r="91" spans="1:14">
      <c r="A91" s="145" t="s">
        <v>21</v>
      </c>
      <c r="B91" s="146" t="s">
        <v>485</v>
      </c>
      <c r="C91" s="146" t="s">
        <v>486</v>
      </c>
      <c r="D91" s="145" t="s">
        <v>487</v>
      </c>
      <c r="E91" s="146" t="s">
        <v>75</v>
      </c>
      <c r="F91" s="145" t="s">
        <v>1602</v>
      </c>
      <c r="G91" s="146" t="s">
        <v>20</v>
      </c>
      <c r="H91" s="146">
        <v>201604</v>
      </c>
      <c r="I91" s="147">
        <v>3.89</v>
      </c>
      <c r="J91" s="144">
        <f t="shared" si="5"/>
        <v>7</v>
      </c>
      <c r="K91" s="148">
        <v>1.4833299999999999E-3</v>
      </c>
      <c r="L91" s="147">
        <f t="shared" si="3"/>
        <v>0.04</v>
      </c>
      <c r="M91" s="147">
        <f t="shared" si="4"/>
        <v>7.0000000000000007E-2</v>
      </c>
      <c r="N91" s="168" t="e">
        <f>VLOOKUP(C91,#REF!,4)</f>
        <v>#REF!</v>
      </c>
    </row>
    <row r="92" spans="1:14">
      <c r="A92" s="145" t="s">
        <v>21</v>
      </c>
      <c r="B92" s="146" t="s">
        <v>485</v>
      </c>
      <c r="C92" s="146" t="s">
        <v>486</v>
      </c>
      <c r="D92" s="145" t="s">
        <v>487</v>
      </c>
      <c r="E92" s="146" t="s">
        <v>75</v>
      </c>
      <c r="F92" s="145" t="s">
        <v>1602</v>
      </c>
      <c r="G92" s="146" t="s">
        <v>20</v>
      </c>
      <c r="H92" s="146">
        <v>201605</v>
      </c>
      <c r="I92" s="147">
        <v>2.85</v>
      </c>
      <c r="J92" s="144">
        <f t="shared" si="5"/>
        <v>6</v>
      </c>
      <c r="K92" s="148">
        <v>1.4833299999999999E-3</v>
      </c>
      <c r="L92" s="147">
        <f t="shared" si="3"/>
        <v>0.03</v>
      </c>
      <c r="M92" s="147">
        <f t="shared" si="4"/>
        <v>0.05</v>
      </c>
      <c r="N92" s="168" t="e">
        <f>VLOOKUP(C92,#REF!,4)</f>
        <v>#REF!</v>
      </c>
    </row>
    <row r="93" spans="1:14">
      <c r="A93" s="145" t="s">
        <v>21</v>
      </c>
      <c r="B93" s="146" t="s">
        <v>485</v>
      </c>
      <c r="C93" s="146" t="s">
        <v>486</v>
      </c>
      <c r="D93" s="145" t="s">
        <v>487</v>
      </c>
      <c r="E93" s="146" t="s">
        <v>75</v>
      </c>
      <c r="F93" s="145" t="s">
        <v>1602</v>
      </c>
      <c r="G93" s="146" t="s">
        <v>20</v>
      </c>
      <c r="H93" s="146">
        <v>201606</v>
      </c>
      <c r="I93" s="147">
        <v>1.71</v>
      </c>
      <c r="J93" s="144">
        <f t="shared" si="5"/>
        <v>5</v>
      </c>
      <c r="K93" s="148">
        <v>1.4833299999999999E-3</v>
      </c>
      <c r="L93" s="147">
        <f t="shared" si="3"/>
        <v>0.01</v>
      </c>
      <c r="M93" s="147">
        <f t="shared" si="4"/>
        <v>0.03</v>
      </c>
      <c r="N93" s="168" t="e">
        <f>VLOOKUP(C93,#REF!,4)</f>
        <v>#REF!</v>
      </c>
    </row>
    <row r="94" spans="1:14">
      <c r="A94" s="145" t="s">
        <v>14</v>
      </c>
      <c r="B94" s="146" t="s">
        <v>236</v>
      </c>
      <c r="C94" s="146" t="s">
        <v>237</v>
      </c>
      <c r="D94" s="145" t="s">
        <v>188</v>
      </c>
      <c r="E94" s="146" t="s">
        <v>238</v>
      </c>
      <c r="F94" s="145" t="s">
        <v>190</v>
      </c>
      <c r="G94" s="146" t="s">
        <v>20</v>
      </c>
      <c r="H94" s="146">
        <v>201603</v>
      </c>
      <c r="I94" s="147">
        <v>65601.179999999993</v>
      </c>
      <c r="J94" s="144">
        <f t="shared" si="5"/>
        <v>8</v>
      </c>
      <c r="K94" s="148">
        <v>2.23333E-3</v>
      </c>
      <c r="L94" s="147">
        <f t="shared" si="3"/>
        <v>1172.07</v>
      </c>
      <c r="M94" s="147">
        <f t="shared" si="4"/>
        <v>1758.11</v>
      </c>
      <c r="N94" s="168" t="e">
        <f>VLOOKUP(C94,#REF!,4)</f>
        <v>#REF!</v>
      </c>
    </row>
    <row r="95" spans="1:14">
      <c r="A95" s="145" t="s">
        <v>14</v>
      </c>
      <c r="B95" s="146" t="s">
        <v>236</v>
      </c>
      <c r="C95" s="146" t="s">
        <v>237</v>
      </c>
      <c r="D95" s="145" t="s">
        <v>188</v>
      </c>
      <c r="E95" s="146" t="s">
        <v>238</v>
      </c>
      <c r="F95" s="145" t="s">
        <v>190</v>
      </c>
      <c r="G95" s="146" t="s">
        <v>20</v>
      </c>
      <c r="H95" s="146">
        <v>201604</v>
      </c>
      <c r="I95" s="147">
        <v>67018.759999999995</v>
      </c>
      <c r="J95" s="144">
        <f t="shared" si="5"/>
        <v>7</v>
      </c>
      <c r="K95" s="148">
        <v>2.23333E-3</v>
      </c>
      <c r="L95" s="147">
        <f t="shared" si="3"/>
        <v>1047.73</v>
      </c>
      <c r="M95" s="147">
        <f t="shared" si="4"/>
        <v>1796.1</v>
      </c>
      <c r="N95" s="168" t="e">
        <f>VLOOKUP(C95,#REF!,4)</f>
        <v>#REF!</v>
      </c>
    </row>
    <row r="96" spans="1:14">
      <c r="A96" s="145" t="s">
        <v>14</v>
      </c>
      <c r="B96" s="146" t="s">
        <v>236</v>
      </c>
      <c r="C96" s="146" t="s">
        <v>237</v>
      </c>
      <c r="D96" s="145" t="s">
        <v>188</v>
      </c>
      <c r="E96" s="146" t="s">
        <v>238</v>
      </c>
      <c r="F96" s="145" t="s">
        <v>190</v>
      </c>
      <c r="G96" s="146" t="s">
        <v>20</v>
      </c>
      <c r="H96" s="146">
        <v>201605</v>
      </c>
      <c r="I96" s="147">
        <v>82683.45</v>
      </c>
      <c r="J96" s="144">
        <f t="shared" si="5"/>
        <v>6</v>
      </c>
      <c r="K96" s="148">
        <v>2.23333E-3</v>
      </c>
      <c r="L96" s="147">
        <f t="shared" si="3"/>
        <v>1107.96</v>
      </c>
      <c r="M96" s="147">
        <f t="shared" si="4"/>
        <v>2215.91</v>
      </c>
      <c r="N96" s="168" t="e">
        <f>VLOOKUP(C96,#REF!,4)</f>
        <v>#REF!</v>
      </c>
    </row>
    <row r="97" spans="1:14">
      <c r="A97" s="145" t="s">
        <v>14</v>
      </c>
      <c r="B97" s="146" t="s">
        <v>236</v>
      </c>
      <c r="C97" s="146" t="s">
        <v>237</v>
      </c>
      <c r="D97" s="145" t="s">
        <v>188</v>
      </c>
      <c r="E97" s="146" t="s">
        <v>238</v>
      </c>
      <c r="F97" s="145" t="s">
        <v>190</v>
      </c>
      <c r="G97" s="146" t="s">
        <v>20</v>
      </c>
      <c r="H97" s="146">
        <v>201606</v>
      </c>
      <c r="I97" s="147">
        <v>103837.23</v>
      </c>
      <c r="J97" s="144">
        <f t="shared" si="5"/>
        <v>5</v>
      </c>
      <c r="K97" s="148">
        <v>2.23333E-3</v>
      </c>
      <c r="L97" s="147">
        <f t="shared" si="3"/>
        <v>1159.51</v>
      </c>
      <c r="M97" s="147">
        <f t="shared" si="4"/>
        <v>2782.83</v>
      </c>
      <c r="N97" s="168" t="e">
        <f>VLOOKUP(C97,#REF!,4)</f>
        <v>#REF!</v>
      </c>
    </row>
    <row r="98" spans="1:14">
      <c r="A98" s="145" t="s">
        <v>14</v>
      </c>
      <c r="B98" s="146" t="s">
        <v>239</v>
      </c>
      <c r="C98" s="146" t="s">
        <v>240</v>
      </c>
      <c r="D98" s="145" t="s">
        <v>197</v>
      </c>
      <c r="E98" s="146" t="s">
        <v>241</v>
      </c>
      <c r="F98" s="145" t="s">
        <v>199</v>
      </c>
      <c r="G98" s="146" t="s">
        <v>20</v>
      </c>
      <c r="H98" s="146">
        <v>201603</v>
      </c>
      <c r="I98" s="147">
        <v>12.75</v>
      </c>
      <c r="J98" s="144">
        <f t="shared" si="5"/>
        <v>8</v>
      </c>
      <c r="K98" s="148">
        <v>2.23333E-3</v>
      </c>
      <c r="L98" s="147">
        <f t="shared" si="3"/>
        <v>0.23</v>
      </c>
      <c r="M98" s="147">
        <f t="shared" si="4"/>
        <v>0.34</v>
      </c>
      <c r="N98" s="168" t="e">
        <f>VLOOKUP(C98,#REF!,4)</f>
        <v>#REF!</v>
      </c>
    </row>
    <row r="99" spans="1:14">
      <c r="A99" s="145" t="s">
        <v>14</v>
      </c>
      <c r="B99" s="146" t="s">
        <v>239</v>
      </c>
      <c r="C99" s="146" t="s">
        <v>240</v>
      </c>
      <c r="D99" s="145" t="s">
        <v>197</v>
      </c>
      <c r="E99" s="146" t="s">
        <v>241</v>
      </c>
      <c r="F99" s="145" t="s">
        <v>199</v>
      </c>
      <c r="G99" s="146" t="s">
        <v>20</v>
      </c>
      <c r="H99" s="146">
        <v>201604</v>
      </c>
      <c r="I99" s="147">
        <v>-21.18</v>
      </c>
      <c r="J99" s="144">
        <f t="shared" si="5"/>
        <v>7</v>
      </c>
      <c r="K99" s="148">
        <v>2.23333E-3</v>
      </c>
      <c r="L99" s="147">
        <f t="shared" si="3"/>
        <v>-0.33</v>
      </c>
      <c r="M99" s="147">
        <f t="shared" si="4"/>
        <v>-0.56999999999999995</v>
      </c>
      <c r="N99" s="168" t="e">
        <f>VLOOKUP(C99,#REF!,4)</f>
        <v>#REF!</v>
      </c>
    </row>
    <row r="100" spans="1:14">
      <c r="A100" s="145" t="s">
        <v>14</v>
      </c>
      <c r="B100" s="146" t="s">
        <v>239</v>
      </c>
      <c r="C100" s="146" t="s">
        <v>240</v>
      </c>
      <c r="D100" s="145" t="s">
        <v>197</v>
      </c>
      <c r="E100" s="146" t="s">
        <v>241</v>
      </c>
      <c r="F100" s="145" t="s">
        <v>199</v>
      </c>
      <c r="G100" s="146" t="s">
        <v>20</v>
      </c>
      <c r="H100" s="146">
        <v>201605</v>
      </c>
      <c r="I100" s="147">
        <v>-16.04</v>
      </c>
      <c r="J100" s="144">
        <f t="shared" si="5"/>
        <v>6</v>
      </c>
      <c r="K100" s="148">
        <v>2.23333E-3</v>
      </c>
      <c r="L100" s="147">
        <f t="shared" si="3"/>
        <v>-0.21</v>
      </c>
      <c r="M100" s="147">
        <f t="shared" si="4"/>
        <v>-0.43</v>
      </c>
      <c r="N100" s="168" t="e">
        <f>VLOOKUP(C100,#REF!,4)</f>
        <v>#REF!</v>
      </c>
    </row>
    <row r="101" spans="1:14">
      <c r="A101" s="145" t="s">
        <v>14</v>
      </c>
      <c r="B101" s="146" t="s">
        <v>239</v>
      </c>
      <c r="C101" s="146" t="s">
        <v>240</v>
      </c>
      <c r="D101" s="145" t="s">
        <v>197</v>
      </c>
      <c r="E101" s="146" t="s">
        <v>241</v>
      </c>
      <c r="F101" s="145" t="s">
        <v>199</v>
      </c>
      <c r="G101" s="146" t="s">
        <v>20</v>
      </c>
      <c r="H101" s="146">
        <v>201606</v>
      </c>
      <c r="I101" s="147">
        <v>-11.95</v>
      </c>
      <c r="J101" s="144">
        <f t="shared" si="5"/>
        <v>5</v>
      </c>
      <c r="K101" s="148">
        <v>2.23333E-3</v>
      </c>
      <c r="L101" s="147">
        <f t="shared" si="3"/>
        <v>-0.13</v>
      </c>
      <c r="M101" s="147">
        <f t="shared" si="4"/>
        <v>-0.32</v>
      </c>
      <c r="N101" s="168" t="e">
        <f>VLOOKUP(C101,#REF!,4)</f>
        <v>#REF!</v>
      </c>
    </row>
    <row r="102" spans="1:14">
      <c r="A102" s="145" t="s">
        <v>127</v>
      </c>
      <c r="B102" s="146" t="s">
        <v>1032</v>
      </c>
      <c r="C102" s="146" t="s">
        <v>1033</v>
      </c>
      <c r="D102" s="145" t="s">
        <v>1034</v>
      </c>
      <c r="E102" s="146" t="s">
        <v>209</v>
      </c>
      <c r="F102" s="145" t="s">
        <v>1612</v>
      </c>
      <c r="G102" s="146" t="s">
        <v>20</v>
      </c>
      <c r="H102" s="146">
        <v>201603</v>
      </c>
      <c r="I102" s="147">
        <v>4107.96</v>
      </c>
      <c r="J102" s="144">
        <f t="shared" si="5"/>
        <v>8</v>
      </c>
      <c r="K102" s="148">
        <v>2.3833299999999999E-3</v>
      </c>
      <c r="L102" s="147">
        <f t="shared" si="3"/>
        <v>78.319999999999993</v>
      </c>
      <c r="M102" s="147">
        <f t="shared" si="4"/>
        <v>117.49</v>
      </c>
      <c r="N102" s="168" t="e">
        <f>VLOOKUP(C102,#REF!,4)</f>
        <v>#REF!</v>
      </c>
    </row>
    <row r="103" spans="1:14">
      <c r="A103" s="145" t="s">
        <v>127</v>
      </c>
      <c r="B103" s="146" t="s">
        <v>1032</v>
      </c>
      <c r="C103" s="146" t="s">
        <v>1033</v>
      </c>
      <c r="D103" s="145" t="s">
        <v>1034</v>
      </c>
      <c r="E103" s="146" t="s">
        <v>209</v>
      </c>
      <c r="F103" s="145" t="s">
        <v>1612</v>
      </c>
      <c r="G103" s="146" t="s">
        <v>20</v>
      </c>
      <c r="H103" s="146">
        <v>201604</v>
      </c>
      <c r="I103" s="147">
        <v>1093.03</v>
      </c>
      <c r="J103" s="144">
        <f t="shared" si="5"/>
        <v>7</v>
      </c>
      <c r="K103" s="148">
        <v>2.3833299999999999E-3</v>
      </c>
      <c r="L103" s="147">
        <f t="shared" si="3"/>
        <v>18.239999999999998</v>
      </c>
      <c r="M103" s="147">
        <f t="shared" si="4"/>
        <v>31.26</v>
      </c>
      <c r="N103" s="168" t="e">
        <f>VLOOKUP(C103,#REF!,4)</f>
        <v>#REF!</v>
      </c>
    </row>
    <row r="104" spans="1:14">
      <c r="A104" s="145" t="s">
        <v>127</v>
      </c>
      <c r="B104" s="146" t="s">
        <v>1032</v>
      </c>
      <c r="C104" s="146" t="s">
        <v>1033</v>
      </c>
      <c r="D104" s="145" t="s">
        <v>1034</v>
      </c>
      <c r="E104" s="146" t="s">
        <v>209</v>
      </c>
      <c r="F104" s="145" t="s">
        <v>1612</v>
      </c>
      <c r="G104" s="146" t="s">
        <v>20</v>
      </c>
      <c r="H104" s="146">
        <v>201605</v>
      </c>
      <c r="I104" s="147">
        <v>196.51</v>
      </c>
      <c r="J104" s="144">
        <f t="shared" si="5"/>
        <v>6</v>
      </c>
      <c r="K104" s="148">
        <v>2.3833299999999999E-3</v>
      </c>
      <c r="L104" s="147">
        <f t="shared" si="3"/>
        <v>2.81</v>
      </c>
      <c r="M104" s="147">
        <f t="shared" si="4"/>
        <v>5.62</v>
      </c>
      <c r="N104" s="168" t="e">
        <f>VLOOKUP(C104,#REF!,4)</f>
        <v>#REF!</v>
      </c>
    </row>
    <row r="105" spans="1:14">
      <c r="A105" s="145" t="s">
        <v>127</v>
      </c>
      <c r="B105" s="146" t="s">
        <v>1032</v>
      </c>
      <c r="C105" s="146" t="s">
        <v>1033</v>
      </c>
      <c r="D105" s="145" t="s">
        <v>1034</v>
      </c>
      <c r="E105" s="146" t="s">
        <v>209</v>
      </c>
      <c r="F105" s="145" t="s">
        <v>1612</v>
      </c>
      <c r="G105" s="146" t="s">
        <v>20</v>
      </c>
      <c r="H105" s="146">
        <v>201606</v>
      </c>
      <c r="I105" s="147">
        <v>120.14</v>
      </c>
      <c r="J105" s="144">
        <f t="shared" si="5"/>
        <v>5</v>
      </c>
      <c r="K105" s="148">
        <v>2.3833299999999999E-3</v>
      </c>
      <c r="L105" s="147">
        <f t="shared" si="3"/>
        <v>1.43</v>
      </c>
      <c r="M105" s="147">
        <f t="shared" si="4"/>
        <v>3.44</v>
      </c>
      <c r="N105" s="168" t="e">
        <f>VLOOKUP(C105,#REF!,4)</f>
        <v>#REF!</v>
      </c>
    </row>
    <row r="106" spans="1:14">
      <c r="A106" s="145" t="s">
        <v>14</v>
      </c>
      <c r="B106" s="146" t="s">
        <v>706</v>
      </c>
      <c r="C106" s="146" t="s">
        <v>707</v>
      </c>
      <c r="D106" s="145" t="s">
        <v>708</v>
      </c>
      <c r="E106" s="146" t="s">
        <v>709</v>
      </c>
      <c r="F106" s="145" t="s">
        <v>710</v>
      </c>
      <c r="G106" s="146" t="s">
        <v>20</v>
      </c>
      <c r="H106" s="146">
        <v>201603</v>
      </c>
      <c r="I106" s="147">
        <v>14.75</v>
      </c>
      <c r="J106" s="144">
        <f t="shared" si="5"/>
        <v>8</v>
      </c>
      <c r="K106" s="148">
        <v>2.23333E-3</v>
      </c>
      <c r="L106" s="147">
        <f t="shared" si="3"/>
        <v>0.26</v>
      </c>
      <c r="M106" s="147">
        <f t="shared" si="4"/>
        <v>0.4</v>
      </c>
      <c r="N106" s="168" t="e">
        <f>VLOOKUP(C106,#REF!,4)</f>
        <v>#REF!</v>
      </c>
    </row>
    <row r="107" spans="1:14">
      <c r="A107" s="145" t="s">
        <v>14</v>
      </c>
      <c r="B107" s="146" t="s">
        <v>706</v>
      </c>
      <c r="C107" s="146" t="s">
        <v>707</v>
      </c>
      <c r="D107" s="145" t="s">
        <v>708</v>
      </c>
      <c r="E107" s="146" t="s">
        <v>709</v>
      </c>
      <c r="F107" s="145" t="s">
        <v>710</v>
      </c>
      <c r="G107" s="146" t="s">
        <v>20</v>
      </c>
      <c r="H107" s="146">
        <v>201604</v>
      </c>
      <c r="I107" s="147">
        <v>-33.71</v>
      </c>
      <c r="J107" s="144">
        <f t="shared" si="5"/>
        <v>7</v>
      </c>
      <c r="K107" s="148">
        <v>2.23333E-3</v>
      </c>
      <c r="L107" s="147">
        <f t="shared" si="3"/>
        <v>-0.53</v>
      </c>
      <c r="M107" s="147">
        <f t="shared" si="4"/>
        <v>-0.9</v>
      </c>
      <c r="N107" s="168" t="e">
        <f>VLOOKUP(C107,#REF!,4)</f>
        <v>#REF!</v>
      </c>
    </row>
    <row r="108" spans="1:14">
      <c r="A108" s="145" t="s">
        <v>14</v>
      </c>
      <c r="B108" s="146" t="s">
        <v>706</v>
      </c>
      <c r="C108" s="146" t="s">
        <v>707</v>
      </c>
      <c r="D108" s="145" t="s">
        <v>708</v>
      </c>
      <c r="E108" s="146" t="s">
        <v>709</v>
      </c>
      <c r="F108" s="145" t="s">
        <v>710</v>
      </c>
      <c r="G108" s="146" t="s">
        <v>20</v>
      </c>
      <c r="H108" s="146">
        <v>201605</v>
      </c>
      <c r="I108" s="147">
        <v>-25.11</v>
      </c>
      <c r="J108" s="144">
        <f t="shared" si="5"/>
        <v>6</v>
      </c>
      <c r="K108" s="148">
        <v>2.23333E-3</v>
      </c>
      <c r="L108" s="147">
        <f t="shared" si="3"/>
        <v>-0.34</v>
      </c>
      <c r="M108" s="147">
        <f t="shared" si="4"/>
        <v>-0.67</v>
      </c>
      <c r="N108" s="168" t="e">
        <f>VLOOKUP(C108,#REF!,4)</f>
        <v>#REF!</v>
      </c>
    </row>
    <row r="109" spans="1:14">
      <c r="A109" s="145" t="s">
        <v>14</v>
      </c>
      <c r="B109" s="146" t="s">
        <v>706</v>
      </c>
      <c r="C109" s="146" t="s">
        <v>707</v>
      </c>
      <c r="D109" s="145" t="s">
        <v>708</v>
      </c>
      <c r="E109" s="146" t="s">
        <v>709</v>
      </c>
      <c r="F109" s="145" t="s">
        <v>710</v>
      </c>
      <c r="G109" s="146" t="s">
        <v>20</v>
      </c>
      <c r="H109" s="146">
        <v>201606</v>
      </c>
      <c r="I109" s="147">
        <v>-17.690000000000001</v>
      </c>
      <c r="J109" s="144">
        <f t="shared" si="5"/>
        <v>5</v>
      </c>
      <c r="K109" s="148">
        <v>2.23333E-3</v>
      </c>
      <c r="L109" s="147">
        <f t="shared" si="3"/>
        <v>-0.2</v>
      </c>
      <c r="M109" s="147">
        <f t="shared" si="4"/>
        <v>-0.47</v>
      </c>
      <c r="N109" s="168" t="e">
        <f>VLOOKUP(C109,#REF!,4)</f>
        <v>#REF!</v>
      </c>
    </row>
    <row r="110" spans="1:14">
      <c r="A110" s="145" t="s">
        <v>14</v>
      </c>
      <c r="B110" s="146" t="s">
        <v>267</v>
      </c>
      <c r="C110" s="146" t="s">
        <v>268</v>
      </c>
      <c r="D110" s="145" t="s">
        <v>269</v>
      </c>
      <c r="E110" s="146" t="s">
        <v>270</v>
      </c>
      <c r="F110" s="145" t="s">
        <v>115</v>
      </c>
      <c r="G110" s="146" t="s">
        <v>20</v>
      </c>
      <c r="H110" s="146">
        <v>201603</v>
      </c>
      <c r="I110" s="147">
        <v>-131.93</v>
      </c>
      <c r="J110" s="144">
        <f t="shared" si="5"/>
        <v>8</v>
      </c>
      <c r="K110" s="148">
        <v>2.23333E-3</v>
      </c>
      <c r="L110" s="147">
        <f t="shared" si="3"/>
        <v>-2.36</v>
      </c>
      <c r="M110" s="147">
        <f t="shared" si="4"/>
        <v>-3.54</v>
      </c>
      <c r="N110" s="168" t="e">
        <f>VLOOKUP(C110,#REF!,4)</f>
        <v>#REF!</v>
      </c>
    </row>
    <row r="111" spans="1:14">
      <c r="A111" s="145" t="s">
        <v>14</v>
      </c>
      <c r="B111" s="146" t="s">
        <v>267</v>
      </c>
      <c r="C111" s="146" t="s">
        <v>268</v>
      </c>
      <c r="D111" s="145" t="s">
        <v>269</v>
      </c>
      <c r="E111" s="146" t="s">
        <v>270</v>
      </c>
      <c r="F111" s="145" t="s">
        <v>115</v>
      </c>
      <c r="G111" s="146" t="s">
        <v>20</v>
      </c>
      <c r="H111" s="146">
        <v>201604</v>
      </c>
      <c r="I111" s="147">
        <v>7090.08</v>
      </c>
      <c r="J111" s="144">
        <f t="shared" si="5"/>
        <v>7</v>
      </c>
      <c r="K111" s="148">
        <v>2.23333E-3</v>
      </c>
      <c r="L111" s="147">
        <f t="shared" si="3"/>
        <v>110.84</v>
      </c>
      <c r="M111" s="147">
        <f t="shared" si="4"/>
        <v>190.01</v>
      </c>
      <c r="N111" s="168" t="e">
        <f>VLOOKUP(C111,#REF!,4)</f>
        <v>#REF!</v>
      </c>
    </row>
    <row r="112" spans="1:14">
      <c r="A112" s="145" t="s">
        <v>14</v>
      </c>
      <c r="B112" s="146" t="s">
        <v>267</v>
      </c>
      <c r="C112" s="146" t="s">
        <v>268</v>
      </c>
      <c r="D112" s="145" t="s">
        <v>269</v>
      </c>
      <c r="E112" s="146" t="s">
        <v>270</v>
      </c>
      <c r="F112" s="145" t="s">
        <v>115</v>
      </c>
      <c r="G112" s="146" t="s">
        <v>20</v>
      </c>
      <c r="H112" s="146">
        <v>201605</v>
      </c>
      <c r="I112" s="147">
        <v>-4209.45</v>
      </c>
      <c r="J112" s="144">
        <f t="shared" si="5"/>
        <v>6</v>
      </c>
      <c r="K112" s="148">
        <v>2.23333E-3</v>
      </c>
      <c r="L112" s="147">
        <f t="shared" si="3"/>
        <v>-56.41</v>
      </c>
      <c r="M112" s="147">
        <f t="shared" si="4"/>
        <v>-112.81</v>
      </c>
      <c r="N112" s="168" t="e">
        <f>VLOOKUP(C112,#REF!,4)</f>
        <v>#REF!</v>
      </c>
    </row>
    <row r="113" spans="1:14">
      <c r="A113" s="145" t="s">
        <v>14</v>
      </c>
      <c r="B113" s="146" t="s">
        <v>267</v>
      </c>
      <c r="C113" s="146" t="s">
        <v>268</v>
      </c>
      <c r="D113" s="145" t="s">
        <v>269</v>
      </c>
      <c r="E113" s="146" t="s">
        <v>270</v>
      </c>
      <c r="F113" s="145" t="s">
        <v>115</v>
      </c>
      <c r="G113" s="146" t="s">
        <v>20</v>
      </c>
      <c r="H113" s="146">
        <v>201606</v>
      </c>
      <c r="I113" s="147">
        <v>729.4</v>
      </c>
      <c r="J113" s="144">
        <f t="shared" si="5"/>
        <v>5</v>
      </c>
      <c r="K113" s="148">
        <v>2.23333E-3</v>
      </c>
      <c r="L113" s="147">
        <f t="shared" si="3"/>
        <v>8.14</v>
      </c>
      <c r="M113" s="147">
        <f t="shared" si="4"/>
        <v>19.55</v>
      </c>
      <c r="N113" s="168" t="e">
        <f>VLOOKUP(C113,#REF!,4)</f>
        <v>#REF!</v>
      </c>
    </row>
    <row r="114" spans="1:14">
      <c r="A114" s="145" t="s">
        <v>14</v>
      </c>
      <c r="B114" s="146" t="s">
        <v>271</v>
      </c>
      <c r="C114" s="146" t="s">
        <v>272</v>
      </c>
      <c r="D114" s="145" t="s">
        <v>197</v>
      </c>
      <c r="E114" s="146" t="s">
        <v>273</v>
      </c>
      <c r="F114" s="145" t="s">
        <v>199</v>
      </c>
      <c r="G114" s="146" t="s">
        <v>20</v>
      </c>
      <c r="H114" s="146">
        <v>201603</v>
      </c>
      <c r="I114" s="147">
        <v>0.86</v>
      </c>
      <c r="J114" s="144">
        <f t="shared" si="5"/>
        <v>8</v>
      </c>
      <c r="K114" s="148">
        <v>2.23333E-3</v>
      </c>
      <c r="L114" s="147">
        <f t="shared" si="3"/>
        <v>0.02</v>
      </c>
      <c r="M114" s="147">
        <f t="shared" si="4"/>
        <v>0.02</v>
      </c>
      <c r="N114" s="168" t="e">
        <f>VLOOKUP(C114,#REF!,4)</f>
        <v>#REF!</v>
      </c>
    </row>
    <row r="115" spans="1:14">
      <c r="A115" s="145" t="s">
        <v>14</v>
      </c>
      <c r="B115" s="146" t="s">
        <v>271</v>
      </c>
      <c r="C115" s="146" t="s">
        <v>272</v>
      </c>
      <c r="D115" s="145" t="s">
        <v>197</v>
      </c>
      <c r="E115" s="146" t="s">
        <v>273</v>
      </c>
      <c r="F115" s="145" t="s">
        <v>199</v>
      </c>
      <c r="G115" s="146" t="s">
        <v>20</v>
      </c>
      <c r="H115" s="146">
        <v>201604</v>
      </c>
      <c r="I115" s="147">
        <v>0.62</v>
      </c>
      <c r="J115" s="144">
        <f t="shared" si="5"/>
        <v>7</v>
      </c>
      <c r="K115" s="148">
        <v>2.23333E-3</v>
      </c>
      <c r="L115" s="147">
        <f t="shared" si="3"/>
        <v>0.01</v>
      </c>
      <c r="M115" s="147">
        <f t="shared" si="4"/>
        <v>0.02</v>
      </c>
      <c r="N115" s="168" t="e">
        <f>VLOOKUP(C115,#REF!,4)</f>
        <v>#REF!</v>
      </c>
    </row>
    <row r="116" spans="1:14">
      <c r="A116" s="145" t="s">
        <v>14</v>
      </c>
      <c r="B116" s="146" t="s">
        <v>271</v>
      </c>
      <c r="C116" s="146" t="s">
        <v>272</v>
      </c>
      <c r="D116" s="145" t="s">
        <v>197</v>
      </c>
      <c r="E116" s="146" t="s">
        <v>273</v>
      </c>
      <c r="F116" s="145" t="s">
        <v>199</v>
      </c>
      <c r="G116" s="146" t="s">
        <v>20</v>
      </c>
      <c r="H116" s="146">
        <v>201605</v>
      </c>
      <c r="I116" s="147">
        <v>0.36</v>
      </c>
      <c r="J116" s="144">
        <f t="shared" si="5"/>
        <v>6</v>
      </c>
      <c r="K116" s="148">
        <v>2.23333E-3</v>
      </c>
      <c r="L116" s="147">
        <f t="shared" si="3"/>
        <v>0</v>
      </c>
      <c r="M116" s="147">
        <f t="shared" si="4"/>
        <v>0.01</v>
      </c>
      <c r="N116" s="168" t="e">
        <f>VLOOKUP(C116,#REF!,4)</f>
        <v>#REF!</v>
      </c>
    </row>
    <row r="117" spans="1:14">
      <c r="A117" s="145" t="s">
        <v>14</v>
      </c>
      <c r="B117" s="146" t="s">
        <v>271</v>
      </c>
      <c r="C117" s="146" t="s">
        <v>272</v>
      </c>
      <c r="D117" s="145" t="s">
        <v>197</v>
      </c>
      <c r="E117" s="146" t="s">
        <v>273</v>
      </c>
      <c r="F117" s="145" t="s">
        <v>199</v>
      </c>
      <c r="G117" s="146" t="s">
        <v>20</v>
      </c>
      <c r="H117" s="146">
        <v>201606</v>
      </c>
      <c r="I117" s="147">
        <v>0.03</v>
      </c>
      <c r="J117" s="144">
        <f t="shared" si="5"/>
        <v>5</v>
      </c>
      <c r="K117" s="148">
        <v>2.23333E-3</v>
      </c>
      <c r="L117" s="147">
        <f t="shared" si="3"/>
        <v>0</v>
      </c>
      <c r="M117" s="147">
        <f t="shared" si="4"/>
        <v>0</v>
      </c>
      <c r="N117" s="168" t="e">
        <f>VLOOKUP(C117,#REF!,4)</f>
        <v>#REF!</v>
      </c>
    </row>
    <row r="118" spans="1:14">
      <c r="A118" s="145" t="s">
        <v>626</v>
      </c>
      <c r="B118" s="146" t="s">
        <v>1250</v>
      </c>
      <c r="C118" s="146" t="s">
        <v>1251</v>
      </c>
      <c r="D118" s="145" t="s">
        <v>1252</v>
      </c>
      <c r="E118" s="146" t="s">
        <v>260</v>
      </c>
      <c r="F118" s="145" t="s">
        <v>1608</v>
      </c>
      <c r="G118" s="146" t="s">
        <v>20</v>
      </c>
      <c r="H118" s="146">
        <v>201603</v>
      </c>
      <c r="I118" s="147">
        <v>-23.95</v>
      </c>
      <c r="J118" s="144">
        <f t="shared" si="5"/>
        <v>8</v>
      </c>
      <c r="K118" s="148">
        <v>1.4833299999999999E-3</v>
      </c>
      <c r="L118" s="147">
        <f t="shared" si="3"/>
        <v>-0.28000000000000003</v>
      </c>
      <c r="M118" s="147">
        <f t="shared" si="4"/>
        <v>-0.43</v>
      </c>
      <c r="N118" s="168" t="e">
        <f>VLOOKUP(C118,#REF!,4)</f>
        <v>#REF!</v>
      </c>
    </row>
    <row r="119" spans="1:14">
      <c r="A119" s="145" t="s">
        <v>626</v>
      </c>
      <c r="B119" s="146" t="s">
        <v>1250</v>
      </c>
      <c r="C119" s="146" t="s">
        <v>1251</v>
      </c>
      <c r="D119" s="145" t="s">
        <v>1252</v>
      </c>
      <c r="E119" s="146" t="s">
        <v>260</v>
      </c>
      <c r="F119" s="145" t="s">
        <v>1608</v>
      </c>
      <c r="G119" s="146" t="s">
        <v>20</v>
      </c>
      <c r="H119" s="146">
        <v>201604</v>
      </c>
      <c r="I119" s="147">
        <v>284.12</v>
      </c>
      <c r="J119" s="144">
        <f t="shared" si="5"/>
        <v>7</v>
      </c>
      <c r="K119" s="148">
        <v>1.4833299999999999E-3</v>
      </c>
      <c r="L119" s="147">
        <f t="shared" si="3"/>
        <v>2.95</v>
      </c>
      <c r="M119" s="147">
        <f t="shared" si="4"/>
        <v>5.0599999999999996</v>
      </c>
      <c r="N119" s="168" t="e">
        <f>VLOOKUP(C119,#REF!,4)</f>
        <v>#REF!</v>
      </c>
    </row>
    <row r="120" spans="1:14">
      <c r="A120" s="145" t="s">
        <v>626</v>
      </c>
      <c r="B120" s="146" t="s">
        <v>1250</v>
      </c>
      <c r="C120" s="146" t="s">
        <v>1251</v>
      </c>
      <c r="D120" s="145" t="s">
        <v>1252</v>
      </c>
      <c r="E120" s="146" t="s">
        <v>260</v>
      </c>
      <c r="F120" s="145" t="s">
        <v>1608</v>
      </c>
      <c r="G120" s="146" t="s">
        <v>20</v>
      </c>
      <c r="H120" s="146">
        <v>201605</v>
      </c>
      <c r="I120" s="147">
        <v>203.86</v>
      </c>
      <c r="J120" s="144">
        <f t="shared" si="5"/>
        <v>6</v>
      </c>
      <c r="K120" s="148">
        <v>1.4833299999999999E-3</v>
      </c>
      <c r="L120" s="147">
        <f t="shared" si="3"/>
        <v>1.81</v>
      </c>
      <c r="M120" s="147">
        <f t="shared" si="4"/>
        <v>3.63</v>
      </c>
      <c r="N120" s="168" t="e">
        <f>VLOOKUP(C120,#REF!,4)</f>
        <v>#REF!</v>
      </c>
    </row>
    <row r="121" spans="1:14">
      <c r="A121" s="145" t="s">
        <v>626</v>
      </c>
      <c r="B121" s="146" t="s">
        <v>1250</v>
      </c>
      <c r="C121" s="146" t="s">
        <v>1251</v>
      </c>
      <c r="D121" s="145" t="s">
        <v>1252</v>
      </c>
      <c r="E121" s="146" t="s">
        <v>260</v>
      </c>
      <c r="F121" s="145" t="s">
        <v>1608</v>
      </c>
      <c r="G121" s="146" t="s">
        <v>20</v>
      </c>
      <c r="H121" s="146">
        <v>201606</v>
      </c>
      <c r="I121" s="147">
        <v>125.34</v>
      </c>
      <c r="J121" s="144">
        <f t="shared" si="5"/>
        <v>5</v>
      </c>
      <c r="K121" s="148">
        <v>1.4833299999999999E-3</v>
      </c>
      <c r="L121" s="147">
        <f t="shared" si="3"/>
        <v>0.93</v>
      </c>
      <c r="M121" s="147">
        <f t="shared" si="4"/>
        <v>2.23</v>
      </c>
      <c r="N121" s="168" t="e">
        <f>VLOOKUP(C121,#REF!,4)</f>
        <v>#REF!</v>
      </c>
    </row>
    <row r="122" spans="1:14">
      <c r="A122" s="145" t="s">
        <v>14</v>
      </c>
      <c r="B122" s="146" t="s">
        <v>1676</v>
      </c>
      <c r="C122" s="146" t="s">
        <v>1677</v>
      </c>
      <c r="D122" s="145" t="s">
        <v>50</v>
      </c>
      <c r="E122" s="146" t="s">
        <v>1678</v>
      </c>
      <c r="F122" s="145" t="s">
        <v>52</v>
      </c>
      <c r="G122" s="146" t="s">
        <v>20</v>
      </c>
      <c r="H122" s="146">
        <v>201603</v>
      </c>
      <c r="I122" s="147">
        <v>-2.34</v>
      </c>
      <c r="J122" s="144">
        <f t="shared" si="5"/>
        <v>8</v>
      </c>
      <c r="K122" s="148">
        <v>2.23333E-3</v>
      </c>
      <c r="L122" s="147">
        <f t="shared" si="3"/>
        <v>-0.04</v>
      </c>
      <c r="M122" s="147">
        <f t="shared" si="4"/>
        <v>-0.06</v>
      </c>
      <c r="N122" s="168" t="e">
        <f>VLOOKUP(C122,#REF!,4)</f>
        <v>#REF!</v>
      </c>
    </row>
    <row r="123" spans="1:14">
      <c r="A123" s="145" t="s">
        <v>14</v>
      </c>
      <c r="B123" s="146" t="s">
        <v>1676</v>
      </c>
      <c r="C123" s="146" t="s">
        <v>1677</v>
      </c>
      <c r="D123" s="145" t="s">
        <v>50</v>
      </c>
      <c r="E123" s="146" t="s">
        <v>1678</v>
      </c>
      <c r="F123" s="145" t="s">
        <v>52</v>
      </c>
      <c r="G123" s="146" t="s">
        <v>20</v>
      </c>
      <c r="H123" s="146">
        <v>201604</v>
      </c>
      <c r="I123" s="147">
        <v>27.71</v>
      </c>
      <c r="J123" s="144">
        <f t="shared" si="5"/>
        <v>7</v>
      </c>
      <c r="K123" s="148">
        <v>2.23333E-3</v>
      </c>
      <c r="L123" s="147">
        <f t="shared" si="3"/>
        <v>0.43</v>
      </c>
      <c r="M123" s="147">
        <f t="shared" si="4"/>
        <v>0.74</v>
      </c>
      <c r="N123" s="168" t="e">
        <f>VLOOKUP(C123,#REF!,4)</f>
        <v>#REF!</v>
      </c>
    </row>
    <row r="124" spans="1:14">
      <c r="A124" s="145" t="s">
        <v>14</v>
      </c>
      <c r="B124" s="146" t="s">
        <v>1676</v>
      </c>
      <c r="C124" s="146" t="s">
        <v>1677</v>
      </c>
      <c r="D124" s="145" t="s">
        <v>50</v>
      </c>
      <c r="E124" s="146" t="s">
        <v>1678</v>
      </c>
      <c r="F124" s="145" t="s">
        <v>52</v>
      </c>
      <c r="G124" s="146" t="s">
        <v>20</v>
      </c>
      <c r="H124" s="146">
        <v>201605</v>
      </c>
      <c r="I124" s="147">
        <v>19.91</v>
      </c>
      <c r="J124" s="144">
        <f t="shared" si="5"/>
        <v>6</v>
      </c>
      <c r="K124" s="148">
        <v>2.23333E-3</v>
      </c>
      <c r="L124" s="147">
        <f t="shared" si="3"/>
        <v>0.27</v>
      </c>
      <c r="M124" s="147">
        <f t="shared" si="4"/>
        <v>0.53</v>
      </c>
      <c r="N124" s="168" t="e">
        <f>VLOOKUP(C124,#REF!,4)</f>
        <v>#REF!</v>
      </c>
    </row>
    <row r="125" spans="1:14">
      <c r="A125" s="145" t="s">
        <v>14</v>
      </c>
      <c r="B125" s="146" t="s">
        <v>1676</v>
      </c>
      <c r="C125" s="146" t="s">
        <v>1677</v>
      </c>
      <c r="D125" s="145" t="s">
        <v>50</v>
      </c>
      <c r="E125" s="146" t="s">
        <v>1678</v>
      </c>
      <c r="F125" s="145" t="s">
        <v>52</v>
      </c>
      <c r="G125" s="146" t="s">
        <v>20</v>
      </c>
      <c r="H125" s="146">
        <v>201606</v>
      </c>
      <c r="I125" s="147">
        <v>12.2</v>
      </c>
      <c r="J125" s="144">
        <f t="shared" si="5"/>
        <v>5</v>
      </c>
      <c r="K125" s="148">
        <v>2.23333E-3</v>
      </c>
      <c r="L125" s="147">
        <f t="shared" si="3"/>
        <v>0.14000000000000001</v>
      </c>
      <c r="M125" s="147">
        <f t="shared" si="4"/>
        <v>0.33</v>
      </c>
      <c r="N125" s="168" t="e">
        <f>VLOOKUP(C125,#REF!,4)</f>
        <v>#REF!</v>
      </c>
    </row>
    <row r="126" spans="1:14">
      <c r="A126" s="145" t="s">
        <v>990</v>
      </c>
      <c r="B126" s="146" t="s">
        <v>1017</v>
      </c>
      <c r="C126" s="146" t="s">
        <v>1018</v>
      </c>
      <c r="D126" s="145" t="s">
        <v>993</v>
      </c>
      <c r="E126" s="146" t="s">
        <v>1019</v>
      </c>
      <c r="F126" s="145" t="s">
        <v>995</v>
      </c>
      <c r="G126" s="146" t="s">
        <v>20</v>
      </c>
      <c r="H126" s="146">
        <v>201603</v>
      </c>
      <c r="I126" s="147">
        <v>366.21</v>
      </c>
      <c r="J126" s="144">
        <f t="shared" si="5"/>
        <v>8</v>
      </c>
      <c r="K126" s="148">
        <v>2.3833299999999999E-3</v>
      </c>
      <c r="L126" s="147">
        <f t="shared" si="3"/>
        <v>6.98</v>
      </c>
      <c r="M126" s="147">
        <f t="shared" si="4"/>
        <v>10.47</v>
      </c>
      <c r="N126" s="168" t="e">
        <f>VLOOKUP(C126,#REF!,4)</f>
        <v>#REF!</v>
      </c>
    </row>
    <row r="127" spans="1:14">
      <c r="A127" s="145" t="s">
        <v>990</v>
      </c>
      <c r="B127" s="146" t="s">
        <v>1017</v>
      </c>
      <c r="C127" s="146" t="s">
        <v>1018</v>
      </c>
      <c r="D127" s="145" t="s">
        <v>993</v>
      </c>
      <c r="E127" s="146" t="s">
        <v>1019</v>
      </c>
      <c r="F127" s="145" t="s">
        <v>995</v>
      </c>
      <c r="G127" s="146" t="s">
        <v>20</v>
      </c>
      <c r="H127" s="146">
        <v>201604</v>
      </c>
      <c r="I127" s="147">
        <v>28.18</v>
      </c>
      <c r="J127" s="144">
        <f t="shared" si="5"/>
        <v>7</v>
      </c>
      <c r="K127" s="148">
        <v>2.3833299999999999E-3</v>
      </c>
      <c r="L127" s="147">
        <f t="shared" si="3"/>
        <v>0.47</v>
      </c>
      <c r="M127" s="147">
        <f t="shared" si="4"/>
        <v>0.81</v>
      </c>
      <c r="N127" s="168" t="e">
        <f>VLOOKUP(C127,#REF!,4)</f>
        <v>#REF!</v>
      </c>
    </row>
    <row r="128" spans="1:14">
      <c r="A128" s="145" t="s">
        <v>990</v>
      </c>
      <c r="B128" s="146" t="s">
        <v>1017</v>
      </c>
      <c r="C128" s="146" t="s">
        <v>1018</v>
      </c>
      <c r="D128" s="145" t="s">
        <v>993</v>
      </c>
      <c r="E128" s="146" t="s">
        <v>1019</v>
      </c>
      <c r="F128" s="145" t="s">
        <v>995</v>
      </c>
      <c r="G128" s="146" t="s">
        <v>20</v>
      </c>
      <c r="H128" s="146">
        <v>201605</v>
      </c>
      <c r="I128" s="147">
        <v>19.97</v>
      </c>
      <c r="J128" s="144">
        <f t="shared" si="5"/>
        <v>6</v>
      </c>
      <c r="K128" s="148">
        <v>2.3833299999999999E-3</v>
      </c>
      <c r="L128" s="147">
        <f t="shared" si="3"/>
        <v>0.28999999999999998</v>
      </c>
      <c r="M128" s="147">
        <f t="shared" si="4"/>
        <v>0.56999999999999995</v>
      </c>
      <c r="N128" s="168" t="e">
        <f>VLOOKUP(C128,#REF!,4)</f>
        <v>#REF!</v>
      </c>
    </row>
    <row r="129" spans="1:14">
      <c r="A129" s="145" t="s">
        <v>990</v>
      </c>
      <c r="B129" s="146" t="s">
        <v>1017</v>
      </c>
      <c r="C129" s="146" t="s">
        <v>1018</v>
      </c>
      <c r="D129" s="145" t="s">
        <v>993</v>
      </c>
      <c r="E129" s="146" t="s">
        <v>1019</v>
      </c>
      <c r="F129" s="145" t="s">
        <v>995</v>
      </c>
      <c r="G129" s="146" t="s">
        <v>20</v>
      </c>
      <c r="H129" s="146">
        <v>201606</v>
      </c>
      <c r="I129" s="147">
        <v>12.25</v>
      </c>
      <c r="J129" s="144">
        <f t="shared" si="5"/>
        <v>5</v>
      </c>
      <c r="K129" s="148">
        <v>2.3833299999999999E-3</v>
      </c>
      <c r="L129" s="147">
        <f t="shared" si="3"/>
        <v>0.15</v>
      </c>
      <c r="M129" s="147">
        <f t="shared" si="4"/>
        <v>0.35</v>
      </c>
      <c r="N129" s="168" t="e">
        <f>VLOOKUP(C129,#REF!,4)</f>
        <v>#REF!</v>
      </c>
    </row>
    <row r="130" spans="1:14">
      <c r="A130" s="145" t="s">
        <v>14</v>
      </c>
      <c r="B130" s="146" t="s">
        <v>292</v>
      </c>
      <c r="C130" s="146" t="s">
        <v>293</v>
      </c>
      <c r="D130" s="145" t="s">
        <v>1679</v>
      </c>
      <c r="E130" s="146" t="s">
        <v>294</v>
      </c>
      <c r="F130" s="145" t="s">
        <v>1613</v>
      </c>
      <c r="G130" s="146" t="s">
        <v>20</v>
      </c>
      <c r="H130" s="146">
        <v>201603</v>
      </c>
      <c r="I130" s="147">
        <v>64836</v>
      </c>
      <c r="J130" s="144">
        <f t="shared" si="5"/>
        <v>8</v>
      </c>
      <c r="K130" s="148">
        <v>2.23333E-3</v>
      </c>
      <c r="L130" s="147">
        <f t="shared" si="3"/>
        <v>1158.4000000000001</v>
      </c>
      <c r="M130" s="147">
        <f t="shared" si="4"/>
        <v>1737.6</v>
      </c>
      <c r="N130" s="168" t="e">
        <f>VLOOKUP(C130,#REF!,4)</f>
        <v>#REF!</v>
      </c>
    </row>
    <row r="131" spans="1:14">
      <c r="A131" s="145" t="s">
        <v>14</v>
      </c>
      <c r="B131" s="146" t="s">
        <v>292</v>
      </c>
      <c r="C131" s="146" t="s">
        <v>293</v>
      </c>
      <c r="D131" s="145" t="s">
        <v>1679</v>
      </c>
      <c r="E131" s="146" t="s">
        <v>294</v>
      </c>
      <c r="F131" s="145" t="s">
        <v>1613</v>
      </c>
      <c r="G131" s="146" t="s">
        <v>20</v>
      </c>
      <c r="H131" s="146">
        <v>201604</v>
      </c>
      <c r="I131" s="147">
        <v>64703.11</v>
      </c>
      <c r="J131" s="144">
        <f t="shared" si="5"/>
        <v>7</v>
      </c>
      <c r="K131" s="148">
        <v>2.23333E-3</v>
      </c>
      <c r="L131" s="147">
        <f t="shared" si="3"/>
        <v>1011.52</v>
      </c>
      <c r="M131" s="147">
        <f t="shared" si="4"/>
        <v>1734.04</v>
      </c>
      <c r="N131" s="168" t="e">
        <f>VLOOKUP(C131,#REF!,4)</f>
        <v>#REF!</v>
      </c>
    </row>
    <row r="132" spans="1:14">
      <c r="A132" s="145" t="s">
        <v>14</v>
      </c>
      <c r="B132" s="146" t="s">
        <v>292</v>
      </c>
      <c r="C132" s="146" t="s">
        <v>293</v>
      </c>
      <c r="D132" s="145" t="s">
        <v>1679</v>
      </c>
      <c r="E132" s="146" t="s">
        <v>294</v>
      </c>
      <c r="F132" s="145" t="s">
        <v>1613</v>
      </c>
      <c r="G132" s="146" t="s">
        <v>20</v>
      </c>
      <c r="H132" s="146">
        <v>201605</v>
      </c>
      <c r="I132" s="147">
        <v>105796.79</v>
      </c>
      <c r="J132" s="144">
        <f t="shared" si="5"/>
        <v>6</v>
      </c>
      <c r="K132" s="148">
        <v>2.23333E-3</v>
      </c>
      <c r="L132" s="147">
        <f t="shared" si="3"/>
        <v>1417.67</v>
      </c>
      <c r="M132" s="147">
        <f t="shared" si="4"/>
        <v>2835.35</v>
      </c>
      <c r="N132" s="168" t="e">
        <f>VLOOKUP(C132,#REF!,4)</f>
        <v>#REF!</v>
      </c>
    </row>
    <row r="133" spans="1:14">
      <c r="A133" s="145" t="s">
        <v>14</v>
      </c>
      <c r="B133" s="146" t="s">
        <v>292</v>
      </c>
      <c r="C133" s="146" t="s">
        <v>293</v>
      </c>
      <c r="D133" s="145" t="s">
        <v>1679</v>
      </c>
      <c r="E133" s="146" t="s">
        <v>294</v>
      </c>
      <c r="F133" s="145" t="s">
        <v>1613</v>
      </c>
      <c r="G133" s="146" t="s">
        <v>20</v>
      </c>
      <c r="H133" s="146">
        <v>201606</v>
      </c>
      <c r="I133" s="147">
        <v>63862.07</v>
      </c>
      <c r="J133" s="144">
        <f t="shared" si="5"/>
        <v>5</v>
      </c>
      <c r="K133" s="148">
        <v>2.23333E-3</v>
      </c>
      <c r="L133" s="147">
        <f t="shared" ref="L133:L196" si="6">ROUND(I133*J133*K133,2)</f>
        <v>713.13</v>
      </c>
      <c r="M133" s="147">
        <f t="shared" ref="M133:M196" si="7">ROUND(I133*K133*12,2)</f>
        <v>1711.5</v>
      </c>
      <c r="N133" s="168" t="e">
        <f>VLOOKUP(C133,#REF!,4)</f>
        <v>#REF!</v>
      </c>
    </row>
    <row r="134" spans="1:14">
      <c r="A134" s="145" t="s">
        <v>14</v>
      </c>
      <c r="B134" s="146" t="s">
        <v>419</v>
      </c>
      <c r="C134" s="146" t="s">
        <v>420</v>
      </c>
      <c r="D134" s="145" t="s">
        <v>50</v>
      </c>
      <c r="E134" s="146" t="s">
        <v>421</v>
      </c>
      <c r="F134" s="145" t="s">
        <v>52</v>
      </c>
      <c r="G134" s="146" t="s">
        <v>20</v>
      </c>
      <c r="H134" s="146">
        <v>201603</v>
      </c>
      <c r="I134" s="147">
        <v>3118.93</v>
      </c>
      <c r="J134" s="144">
        <f t="shared" ref="J134:J197" si="8">VLOOKUP(H134,$P$5:$Q$14,2)</f>
        <v>8</v>
      </c>
      <c r="K134" s="148">
        <v>2.23333E-3</v>
      </c>
      <c r="L134" s="147">
        <f t="shared" si="6"/>
        <v>55.72</v>
      </c>
      <c r="M134" s="147">
        <f t="shared" si="7"/>
        <v>83.59</v>
      </c>
      <c r="N134" s="168" t="e">
        <f>VLOOKUP(C134,#REF!,4)</f>
        <v>#REF!</v>
      </c>
    </row>
    <row r="135" spans="1:14">
      <c r="A135" s="145" t="s">
        <v>14</v>
      </c>
      <c r="B135" s="146" t="s">
        <v>419</v>
      </c>
      <c r="C135" s="146" t="s">
        <v>420</v>
      </c>
      <c r="D135" s="145" t="s">
        <v>50</v>
      </c>
      <c r="E135" s="146" t="s">
        <v>421</v>
      </c>
      <c r="F135" s="145" t="s">
        <v>52</v>
      </c>
      <c r="G135" s="146" t="s">
        <v>20</v>
      </c>
      <c r="H135" s="146">
        <v>201604</v>
      </c>
      <c r="I135" s="147">
        <v>1277.6099999999999</v>
      </c>
      <c r="J135" s="144">
        <f t="shared" si="8"/>
        <v>7</v>
      </c>
      <c r="K135" s="148">
        <v>2.23333E-3</v>
      </c>
      <c r="L135" s="147">
        <f t="shared" si="6"/>
        <v>19.97</v>
      </c>
      <c r="M135" s="147">
        <f t="shared" si="7"/>
        <v>34.24</v>
      </c>
      <c r="N135" s="168" t="e">
        <f>VLOOKUP(C135,#REF!,4)</f>
        <v>#REF!</v>
      </c>
    </row>
    <row r="136" spans="1:14">
      <c r="A136" s="145" t="s">
        <v>14</v>
      </c>
      <c r="B136" s="146" t="s">
        <v>419</v>
      </c>
      <c r="C136" s="146" t="s">
        <v>420</v>
      </c>
      <c r="D136" s="145" t="s">
        <v>50</v>
      </c>
      <c r="E136" s="146" t="s">
        <v>421</v>
      </c>
      <c r="F136" s="145" t="s">
        <v>52</v>
      </c>
      <c r="G136" s="146" t="s">
        <v>20</v>
      </c>
      <c r="H136" s="146">
        <v>201605</v>
      </c>
      <c r="I136" s="147">
        <v>888.11</v>
      </c>
      <c r="J136" s="144">
        <f t="shared" si="8"/>
        <v>6</v>
      </c>
      <c r="K136" s="148">
        <v>2.23333E-3</v>
      </c>
      <c r="L136" s="147">
        <f t="shared" si="6"/>
        <v>11.9</v>
      </c>
      <c r="M136" s="147">
        <f t="shared" si="7"/>
        <v>23.8</v>
      </c>
      <c r="N136" s="168" t="e">
        <f>VLOOKUP(C136,#REF!,4)</f>
        <v>#REF!</v>
      </c>
    </row>
    <row r="137" spans="1:14">
      <c r="A137" s="145" t="s">
        <v>14</v>
      </c>
      <c r="B137" s="146" t="s">
        <v>419</v>
      </c>
      <c r="C137" s="146" t="s">
        <v>420</v>
      </c>
      <c r="D137" s="145" t="s">
        <v>50</v>
      </c>
      <c r="E137" s="146" t="s">
        <v>421</v>
      </c>
      <c r="F137" s="145" t="s">
        <v>52</v>
      </c>
      <c r="G137" s="146" t="s">
        <v>20</v>
      </c>
      <c r="H137" s="146">
        <v>201606</v>
      </c>
      <c r="I137" s="147">
        <v>1779.86</v>
      </c>
      <c r="J137" s="144">
        <f t="shared" si="8"/>
        <v>5</v>
      </c>
      <c r="K137" s="148">
        <v>2.23333E-3</v>
      </c>
      <c r="L137" s="147">
        <f t="shared" si="6"/>
        <v>19.88</v>
      </c>
      <c r="M137" s="147">
        <f t="shared" si="7"/>
        <v>47.7</v>
      </c>
      <c r="N137" s="168" t="e">
        <f>VLOOKUP(C137,#REF!,4)</f>
        <v>#REF!</v>
      </c>
    </row>
    <row r="138" spans="1:14">
      <c r="A138" s="145" t="s">
        <v>14</v>
      </c>
      <c r="B138" s="146" t="s">
        <v>839</v>
      </c>
      <c r="C138" s="146" t="s">
        <v>840</v>
      </c>
      <c r="D138" s="145" t="s">
        <v>50</v>
      </c>
      <c r="E138" s="146" t="s">
        <v>841</v>
      </c>
      <c r="F138" s="145" t="s">
        <v>52</v>
      </c>
      <c r="G138" s="146" t="s">
        <v>20</v>
      </c>
      <c r="H138" s="146">
        <v>201605</v>
      </c>
      <c r="I138" s="147">
        <v>1019.88</v>
      </c>
      <c r="J138" s="144">
        <f t="shared" si="8"/>
        <v>6</v>
      </c>
      <c r="K138" s="148">
        <v>2.23333E-3</v>
      </c>
      <c r="L138" s="147">
        <f t="shared" si="6"/>
        <v>13.67</v>
      </c>
      <c r="M138" s="147">
        <f t="shared" si="7"/>
        <v>27.33</v>
      </c>
      <c r="N138" s="168" t="e">
        <f>VLOOKUP(C138,#REF!,4)</f>
        <v>#REF!</v>
      </c>
    </row>
    <row r="139" spans="1:14">
      <c r="A139" s="145" t="s">
        <v>14</v>
      </c>
      <c r="B139" s="146" t="s">
        <v>839</v>
      </c>
      <c r="C139" s="146" t="s">
        <v>840</v>
      </c>
      <c r="D139" s="145" t="s">
        <v>50</v>
      </c>
      <c r="E139" s="146" t="s">
        <v>841</v>
      </c>
      <c r="F139" s="145" t="s">
        <v>52</v>
      </c>
      <c r="G139" s="146" t="s">
        <v>20</v>
      </c>
      <c r="H139" s="146">
        <v>201606</v>
      </c>
      <c r="I139" s="147">
        <v>10.35</v>
      </c>
      <c r="J139" s="144">
        <f t="shared" si="8"/>
        <v>5</v>
      </c>
      <c r="K139" s="148">
        <v>2.23333E-3</v>
      </c>
      <c r="L139" s="147">
        <f t="shared" si="6"/>
        <v>0.12</v>
      </c>
      <c r="M139" s="147">
        <f t="shared" si="7"/>
        <v>0.28000000000000003</v>
      </c>
      <c r="N139" s="168" t="e">
        <f>VLOOKUP(C139,#REF!,4)</f>
        <v>#REF!</v>
      </c>
    </row>
    <row r="140" spans="1:14">
      <c r="A140" s="145" t="s">
        <v>990</v>
      </c>
      <c r="B140" s="146" t="s">
        <v>1020</v>
      </c>
      <c r="C140" s="146" t="s">
        <v>1021</v>
      </c>
      <c r="D140" s="145" t="s">
        <v>1680</v>
      </c>
      <c r="E140" s="146" t="s">
        <v>1022</v>
      </c>
      <c r="F140" s="145" t="s">
        <v>1614</v>
      </c>
      <c r="G140" s="146" t="s">
        <v>20</v>
      </c>
      <c r="H140" s="146">
        <v>201603</v>
      </c>
      <c r="I140" s="147">
        <v>-3463.02</v>
      </c>
      <c r="J140" s="144">
        <f t="shared" si="8"/>
        <v>8</v>
      </c>
      <c r="K140" s="148">
        <v>2.3833299999999999E-3</v>
      </c>
      <c r="L140" s="147">
        <f t="shared" si="6"/>
        <v>-66.03</v>
      </c>
      <c r="M140" s="147">
        <f t="shared" si="7"/>
        <v>-99.04</v>
      </c>
      <c r="N140" s="168" t="e">
        <f>VLOOKUP(C140,#REF!,4)</f>
        <v>#REF!</v>
      </c>
    </row>
    <row r="141" spans="1:14">
      <c r="A141" s="145" t="s">
        <v>990</v>
      </c>
      <c r="B141" s="146" t="s">
        <v>1020</v>
      </c>
      <c r="C141" s="146" t="s">
        <v>1021</v>
      </c>
      <c r="D141" s="145" t="s">
        <v>1680</v>
      </c>
      <c r="E141" s="146" t="s">
        <v>1022</v>
      </c>
      <c r="F141" s="145" t="s">
        <v>1614</v>
      </c>
      <c r="G141" s="146" t="s">
        <v>20</v>
      </c>
      <c r="H141" s="146">
        <v>201604</v>
      </c>
      <c r="I141" s="147">
        <v>8535.56</v>
      </c>
      <c r="J141" s="144">
        <f t="shared" si="8"/>
        <v>7</v>
      </c>
      <c r="K141" s="148">
        <v>2.3833299999999999E-3</v>
      </c>
      <c r="L141" s="147">
        <f t="shared" si="6"/>
        <v>142.4</v>
      </c>
      <c r="M141" s="147">
        <f t="shared" si="7"/>
        <v>244.12</v>
      </c>
      <c r="N141" s="168" t="e">
        <f>VLOOKUP(C141,#REF!,4)</f>
        <v>#REF!</v>
      </c>
    </row>
    <row r="142" spans="1:14">
      <c r="A142" s="145" t="s">
        <v>990</v>
      </c>
      <c r="B142" s="146" t="s">
        <v>1020</v>
      </c>
      <c r="C142" s="146" t="s">
        <v>1021</v>
      </c>
      <c r="D142" s="145" t="s">
        <v>1680</v>
      </c>
      <c r="E142" s="146" t="s">
        <v>1022</v>
      </c>
      <c r="F142" s="145" t="s">
        <v>1614</v>
      </c>
      <c r="G142" s="146" t="s">
        <v>20</v>
      </c>
      <c r="H142" s="146">
        <v>201605</v>
      </c>
      <c r="I142" s="147">
        <v>8395.52</v>
      </c>
      <c r="J142" s="144">
        <f t="shared" si="8"/>
        <v>6</v>
      </c>
      <c r="K142" s="148">
        <v>2.3833299999999999E-3</v>
      </c>
      <c r="L142" s="147">
        <f t="shared" si="6"/>
        <v>120.06</v>
      </c>
      <c r="M142" s="147">
        <f t="shared" si="7"/>
        <v>240.11</v>
      </c>
      <c r="N142" s="168" t="e">
        <f>VLOOKUP(C142,#REF!,4)</f>
        <v>#REF!</v>
      </c>
    </row>
    <row r="143" spans="1:14">
      <c r="A143" s="145" t="s">
        <v>990</v>
      </c>
      <c r="B143" s="146" t="s">
        <v>1020</v>
      </c>
      <c r="C143" s="146" t="s">
        <v>1021</v>
      </c>
      <c r="D143" s="145" t="s">
        <v>1680</v>
      </c>
      <c r="E143" s="146" t="s">
        <v>1022</v>
      </c>
      <c r="F143" s="145" t="s">
        <v>1614</v>
      </c>
      <c r="G143" s="146" t="s">
        <v>20</v>
      </c>
      <c r="H143" s="146">
        <v>201606</v>
      </c>
      <c r="I143" s="147">
        <v>4727.6099999999997</v>
      </c>
      <c r="J143" s="144">
        <f t="shared" si="8"/>
        <v>5</v>
      </c>
      <c r="K143" s="148">
        <v>2.3833299999999999E-3</v>
      </c>
      <c r="L143" s="147">
        <f t="shared" si="6"/>
        <v>56.34</v>
      </c>
      <c r="M143" s="147">
        <f t="shared" si="7"/>
        <v>135.21</v>
      </c>
      <c r="N143" s="168" t="e">
        <f>VLOOKUP(C143,#REF!,4)</f>
        <v>#REF!</v>
      </c>
    </row>
    <row r="144" spans="1:14">
      <c r="A144" s="145" t="s">
        <v>14</v>
      </c>
      <c r="B144" s="146" t="s">
        <v>325</v>
      </c>
      <c r="C144" s="146" t="s">
        <v>326</v>
      </c>
      <c r="D144" s="145" t="s">
        <v>327</v>
      </c>
      <c r="E144" s="146" t="s">
        <v>328</v>
      </c>
      <c r="F144" s="145" t="s">
        <v>58</v>
      </c>
      <c r="G144" s="146" t="s">
        <v>20</v>
      </c>
      <c r="H144" s="146">
        <v>201603</v>
      </c>
      <c r="I144" s="147">
        <v>2574.58</v>
      </c>
      <c r="J144" s="144">
        <f t="shared" si="8"/>
        <v>8</v>
      </c>
      <c r="K144" s="148">
        <v>2.23333E-3</v>
      </c>
      <c r="L144" s="147">
        <f t="shared" si="6"/>
        <v>46</v>
      </c>
      <c r="M144" s="147">
        <f t="shared" si="7"/>
        <v>69</v>
      </c>
      <c r="N144" s="168" t="e">
        <f>VLOOKUP(C144,#REF!,4)</f>
        <v>#REF!</v>
      </c>
    </row>
    <row r="145" spans="1:14">
      <c r="A145" s="145" t="s">
        <v>14</v>
      </c>
      <c r="B145" s="146" t="s">
        <v>325</v>
      </c>
      <c r="C145" s="146" t="s">
        <v>326</v>
      </c>
      <c r="D145" s="145" t="s">
        <v>327</v>
      </c>
      <c r="E145" s="146" t="s">
        <v>328</v>
      </c>
      <c r="F145" s="145" t="s">
        <v>58</v>
      </c>
      <c r="G145" s="146" t="s">
        <v>20</v>
      </c>
      <c r="H145" s="146">
        <v>201604</v>
      </c>
      <c r="I145" s="147">
        <v>2880.19</v>
      </c>
      <c r="J145" s="144">
        <f t="shared" si="8"/>
        <v>7</v>
      </c>
      <c r="K145" s="148">
        <v>2.23333E-3</v>
      </c>
      <c r="L145" s="147">
        <f t="shared" si="6"/>
        <v>45.03</v>
      </c>
      <c r="M145" s="147">
        <f t="shared" si="7"/>
        <v>77.19</v>
      </c>
      <c r="N145" s="168" t="e">
        <f>VLOOKUP(C145,#REF!,4)</f>
        <v>#REF!</v>
      </c>
    </row>
    <row r="146" spans="1:14">
      <c r="A146" s="145" t="s">
        <v>14</v>
      </c>
      <c r="B146" s="146" t="s">
        <v>325</v>
      </c>
      <c r="C146" s="146" t="s">
        <v>326</v>
      </c>
      <c r="D146" s="145" t="s">
        <v>327</v>
      </c>
      <c r="E146" s="146" t="s">
        <v>328</v>
      </c>
      <c r="F146" s="145" t="s">
        <v>58</v>
      </c>
      <c r="G146" s="146" t="s">
        <v>20</v>
      </c>
      <c r="H146" s="146">
        <v>201605</v>
      </c>
      <c r="I146" s="147">
        <v>428.66</v>
      </c>
      <c r="J146" s="144">
        <f t="shared" si="8"/>
        <v>6</v>
      </c>
      <c r="K146" s="148">
        <v>2.23333E-3</v>
      </c>
      <c r="L146" s="147">
        <f t="shared" si="6"/>
        <v>5.74</v>
      </c>
      <c r="M146" s="147">
        <f t="shared" si="7"/>
        <v>11.49</v>
      </c>
      <c r="N146" s="168" t="e">
        <f>VLOOKUP(C146,#REF!,4)</f>
        <v>#REF!</v>
      </c>
    </row>
    <row r="147" spans="1:14">
      <c r="A147" s="145" t="s">
        <v>14</v>
      </c>
      <c r="B147" s="146" t="s">
        <v>325</v>
      </c>
      <c r="C147" s="146" t="s">
        <v>326</v>
      </c>
      <c r="D147" s="145" t="s">
        <v>327</v>
      </c>
      <c r="E147" s="146" t="s">
        <v>328</v>
      </c>
      <c r="F147" s="145" t="s">
        <v>58</v>
      </c>
      <c r="G147" s="146" t="s">
        <v>20</v>
      </c>
      <c r="H147" s="146">
        <v>201606</v>
      </c>
      <c r="I147" s="147">
        <v>152.69</v>
      </c>
      <c r="J147" s="144">
        <f t="shared" si="8"/>
        <v>5</v>
      </c>
      <c r="K147" s="148">
        <v>2.23333E-3</v>
      </c>
      <c r="L147" s="147">
        <f t="shared" si="6"/>
        <v>1.71</v>
      </c>
      <c r="M147" s="147">
        <f t="shared" si="7"/>
        <v>4.09</v>
      </c>
      <c r="N147" s="168" t="e">
        <f>VLOOKUP(C147,#REF!,4)</f>
        <v>#REF!</v>
      </c>
    </row>
    <row r="148" spans="1:14">
      <c r="A148" s="145" t="s">
        <v>626</v>
      </c>
      <c r="B148" s="146" t="s">
        <v>1823</v>
      </c>
      <c r="C148" s="146" t="s">
        <v>1824</v>
      </c>
      <c r="D148" s="145" t="s">
        <v>1825</v>
      </c>
      <c r="E148" s="146" t="s">
        <v>260</v>
      </c>
      <c r="F148" s="145" t="s">
        <v>1608</v>
      </c>
      <c r="G148" s="146" t="s">
        <v>20</v>
      </c>
      <c r="H148" s="146">
        <v>201603</v>
      </c>
      <c r="I148" s="147">
        <v>-32.840000000000003</v>
      </c>
      <c r="J148" s="144">
        <f t="shared" si="8"/>
        <v>8</v>
      </c>
      <c r="K148" s="148">
        <v>1.4833299999999999E-3</v>
      </c>
      <c r="L148" s="147">
        <f t="shared" si="6"/>
        <v>-0.39</v>
      </c>
      <c r="M148" s="147">
        <f t="shared" si="7"/>
        <v>-0.57999999999999996</v>
      </c>
      <c r="N148" s="168" t="e">
        <f>VLOOKUP(C148,#REF!,4)</f>
        <v>#REF!</v>
      </c>
    </row>
    <row r="149" spans="1:14">
      <c r="A149" s="145" t="s">
        <v>626</v>
      </c>
      <c r="B149" s="146" t="s">
        <v>1823</v>
      </c>
      <c r="C149" s="146" t="s">
        <v>1824</v>
      </c>
      <c r="D149" s="145" t="s">
        <v>1825</v>
      </c>
      <c r="E149" s="146" t="s">
        <v>260</v>
      </c>
      <c r="F149" s="145" t="s">
        <v>1608</v>
      </c>
      <c r="G149" s="146" t="s">
        <v>20</v>
      </c>
      <c r="H149" s="146">
        <v>201604</v>
      </c>
      <c r="I149" s="147">
        <v>-33739.65</v>
      </c>
      <c r="J149" s="144">
        <f t="shared" si="8"/>
        <v>7</v>
      </c>
      <c r="K149" s="148">
        <v>1.4833299999999999E-3</v>
      </c>
      <c r="L149" s="147">
        <f t="shared" si="6"/>
        <v>-350.33</v>
      </c>
      <c r="M149" s="147">
        <f t="shared" si="7"/>
        <v>-600.55999999999995</v>
      </c>
      <c r="N149" s="168" t="e">
        <f>VLOOKUP(C149,#REF!,4)</f>
        <v>#REF!</v>
      </c>
    </row>
    <row r="150" spans="1:14">
      <c r="A150" s="145" t="s">
        <v>21</v>
      </c>
      <c r="B150" s="146" t="s">
        <v>1823</v>
      </c>
      <c r="C150" s="146" t="s">
        <v>1824</v>
      </c>
      <c r="D150" s="145" t="s">
        <v>1825</v>
      </c>
      <c r="E150" s="146" t="s">
        <v>260</v>
      </c>
      <c r="F150" s="145" t="s">
        <v>1608</v>
      </c>
      <c r="G150" s="146" t="s">
        <v>20</v>
      </c>
      <c r="H150" s="146">
        <v>201604</v>
      </c>
      <c r="I150" s="147">
        <v>34251.43</v>
      </c>
      <c r="J150" s="144">
        <f t="shared" si="8"/>
        <v>7</v>
      </c>
      <c r="K150" s="148">
        <v>1.4833299999999999E-3</v>
      </c>
      <c r="L150" s="147">
        <f t="shared" si="6"/>
        <v>355.64</v>
      </c>
      <c r="M150" s="147">
        <f t="shared" si="7"/>
        <v>609.66999999999996</v>
      </c>
      <c r="N150" s="168" t="e">
        <f>VLOOKUP(C150,#REF!,4)</f>
        <v>#REF!</v>
      </c>
    </row>
    <row r="151" spans="1:14">
      <c r="A151" s="145" t="s">
        <v>21</v>
      </c>
      <c r="B151" s="146" t="s">
        <v>1823</v>
      </c>
      <c r="C151" s="146" t="s">
        <v>1824</v>
      </c>
      <c r="D151" s="145" t="s">
        <v>1825</v>
      </c>
      <c r="E151" s="146" t="s">
        <v>260</v>
      </c>
      <c r="F151" s="145" t="s">
        <v>1608</v>
      </c>
      <c r="G151" s="146" t="s">
        <v>20</v>
      </c>
      <c r="H151" s="146">
        <v>201605</v>
      </c>
      <c r="I151" s="147">
        <v>48.04</v>
      </c>
      <c r="J151" s="144">
        <f t="shared" si="8"/>
        <v>6</v>
      </c>
      <c r="K151" s="148">
        <v>1.4833299999999999E-3</v>
      </c>
      <c r="L151" s="147">
        <f t="shared" si="6"/>
        <v>0.43</v>
      </c>
      <c r="M151" s="147">
        <f t="shared" si="7"/>
        <v>0.86</v>
      </c>
      <c r="N151" s="168" t="e">
        <f>VLOOKUP(C151,#REF!,4)</f>
        <v>#REF!</v>
      </c>
    </row>
    <row r="152" spans="1:14">
      <c r="A152" s="145" t="s">
        <v>626</v>
      </c>
      <c r="B152" s="146" t="s">
        <v>1823</v>
      </c>
      <c r="C152" s="146" t="s">
        <v>1824</v>
      </c>
      <c r="D152" s="145" t="s">
        <v>1825</v>
      </c>
      <c r="E152" s="146" t="s">
        <v>260</v>
      </c>
      <c r="F152" s="145" t="s">
        <v>1608</v>
      </c>
      <c r="G152" s="146" t="s">
        <v>20</v>
      </c>
      <c r="H152" s="146">
        <v>201605</v>
      </c>
      <c r="I152" s="147">
        <v>386.55</v>
      </c>
      <c r="J152" s="144">
        <f t="shared" si="8"/>
        <v>6</v>
      </c>
      <c r="K152" s="148">
        <v>1.4833299999999999E-3</v>
      </c>
      <c r="L152" s="147">
        <f t="shared" si="6"/>
        <v>3.44</v>
      </c>
      <c r="M152" s="147">
        <f t="shared" si="7"/>
        <v>6.88</v>
      </c>
      <c r="N152" s="168" t="e">
        <f>VLOOKUP(C152,#REF!,4)</f>
        <v>#REF!</v>
      </c>
    </row>
    <row r="153" spans="1:14">
      <c r="A153" s="145" t="s">
        <v>21</v>
      </c>
      <c r="B153" s="146" t="s">
        <v>1823</v>
      </c>
      <c r="C153" s="146" t="s">
        <v>1824</v>
      </c>
      <c r="D153" s="145" t="s">
        <v>1825</v>
      </c>
      <c r="E153" s="146" t="s">
        <v>260</v>
      </c>
      <c r="F153" s="145" t="s">
        <v>1608</v>
      </c>
      <c r="G153" s="146" t="s">
        <v>20</v>
      </c>
      <c r="H153" s="146">
        <v>201606</v>
      </c>
      <c r="I153" s="147">
        <v>21.45</v>
      </c>
      <c r="J153" s="144">
        <f t="shared" si="8"/>
        <v>5</v>
      </c>
      <c r="K153" s="148">
        <v>1.4833299999999999E-3</v>
      </c>
      <c r="L153" s="147">
        <f t="shared" si="6"/>
        <v>0.16</v>
      </c>
      <c r="M153" s="147">
        <f t="shared" si="7"/>
        <v>0.38</v>
      </c>
      <c r="N153" s="168" t="e">
        <f>VLOOKUP(C153,#REF!,4)</f>
        <v>#REF!</v>
      </c>
    </row>
    <row r="154" spans="1:14">
      <c r="A154" s="145" t="s">
        <v>626</v>
      </c>
      <c r="B154" s="146" t="s">
        <v>1823</v>
      </c>
      <c r="C154" s="146" t="s">
        <v>1824</v>
      </c>
      <c r="D154" s="145" t="s">
        <v>1825</v>
      </c>
      <c r="E154" s="146" t="s">
        <v>260</v>
      </c>
      <c r="F154" s="145" t="s">
        <v>1608</v>
      </c>
      <c r="G154" s="146" t="s">
        <v>20</v>
      </c>
      <c r="H154" s="146">
        <v>201606</v>
      </c>
      <c r="I154" s="147">
        <v>201.67</v>
      </c>
      <c r="J154" s="144">
        <f t="shared" si="8"/>
        <v>5</v>
      </c>
      <c r="K154" s="148">
        <v>1.4833299999999999E-3</v>
      </c>
      <c r="L154" s="147">
        <f t="shared" si="6"/>
        <v>1.5</v>
      </c>
      <c r="M154" s="147">
        <f t="shared" si="7"/>
        <v>3.59</v>
      </c>
      <c r="N154" s="168" t="e">
        <f>VLOOKUP(C154,#REF!,4)</f>
        <v>#REF!</v>
      </c>
    </row>
    <row r="155" spans="1:14">
      <c r="A155" s="145" t="s">
        <v>127</v>
      </c>
      <c r="B155" s="146" t="s">
        <v>1130</v>
      </c>
      <c r="C155" s="146" t="s">
        <v>1131</v>
      </c>
      <c r="D155" s="145" t="s">
        <v>1132</v>
      </c>
      <c r="E155" s="146" t="s">
        <v>131</v>
      </c>
      <c r="F155" s="145" t="s">
        <v>1607</v>
      </c>
      <c r="G155" s="146" t="s">
        <v>20</v>
      </c>
      <c r="H155" s="146">
        <v>201604</v>
      </c>
      <c r="I155" s="147">
        <v>11544.71</v>
      </c>
      <c r="J155" s="144">
        <f t="shared" si="8"/>
        <v>7</v>
      </c>
      <c r="K155" s="148">
        <v>2.3833299999999999E-3</v>
      </c>
      <c r="L155" s="147">
        <f t="shared" si="6"/>
        <v>192.6</v>
      </c>
      <c r="M155" s="147">
        <f t="shared" si="7"/>
        <v>330.18</v>
      </c>
      <c r="N155" s="168" t="e">
        <f>VLOOKUP(C155,#REF!,4)</f>
        <v>#REF!</v>
      </c>
    </row>
    <row r="156" spans="1:14">
      <c r="A156" s="145" t="s">
        <v>127</v>
      </c>
      <c r="B156" s="146" t="s">
        <v>1130</v>
      </c>
      <c r="C156" s="146" t="s">
        <v>1131</v>
      </c>
      <c r="D156" s="145" t="s">
        <v>1132</v>
      </c>
      <c r="E156" s="146" t="s">
        <v>131</v>
      </c>
      <c r="F156" s="145" t="s">
        <v>1607</v>
      </c>
      <c r="G156" s="146" t="s">
        <v>20</v>
      </c>
      <c r="H156" s="146">
        <v>201605</v>
      </c>
      <c r="I156" s="147">
        <v>7.0000000000000007E-2</v>
      </c>
      <c r="J156" s="144">
        <f t="shared" si="8"/>
        <v>6</v>
      </c>
      <c r="K156" s="148">
        <v>2.3833299999999999E-3</v>
      </c>
      <c r="L156" s="147">
        <f t="shared" si="6"/>
        <v>0</v>
      </c>
      <c r="M156" s="147">
        <f t="shared" si="7"/>
        <v>0</v>
      </c>
      <c r="N156" s="168" t="e">
        <f>VLOOKUP(C156,#REF!,4)</f>
        <v>#REF!</v>
      </c>
    </row>
    <row r="157" spans="1:14">
      <c r="A157" s="145" t="s">
        <v>127</v>
      </c>
      <c r="B157" s="146" t="s">
        <v>1130</v>
      </c>
      <c r="C157" s="146" t="s">
        <v>1131</v>
      </c>
      <c r="D157" s="145" t="s">
        <v>1132</v>
      </c>
      <c r="E157" s="146" t="s">
        <v>131</v>
      </c>
      <c r="F157" s="145" t="s">
        <v>1607</v>
      </c>
      <c r="G157" s="146" t="s">
        <v>20</v>
      </c>
      <c r="H157" s="146">
        <v>201606</v>
      </c>
      <c r="I157" s="147">
        <v>0.04</v>
      </c>
      <c r="J157" s="144">
        <f t="shared" si="8"/>
        <v>5</v>
      </c>
      <c r="K157" s="148">
        <v>2.3833299999999999E-3</v>
      </c>
      <c r="L157" s="147">
        <f t="shared" si="6"/>
        <v>0</v>
      </c>
      <c r="M157" s="147">
        <f t="shared" si="7"/>
        <v>0</v>
      </c>
      <c r="N157" s="168" t="e">
        <f>VLOOKUP(C157,#REF!,4)</f>
        <v>#REF!</v>
      </c>
    </row>
    <row r="158" spans="1:14">
      <c r="A158" s="145" t="s">
        <v>626</v>
      </c>
      <c r="B158" s="146" t="s">
        <v>1136</v>
      </c>
      <c r="C158" s="146" t="s">
        <v>1137</v>
      </c>
      <c r="D158" s="145" t="s">
        <v>1138</v>
      </c>
      <c r="E158" s="146" t="s">
        <v>962</v>
      </c>
      <c r="F158" s="145" t="s">
        <v>88</v>
      </c>
      <c r="G158" s="146" t="s">
        <v>20</v>
      </c>
      <c r="H158" s="146">
        <v>201604</v>
      </c>
      <c r="I158" s="147">
        <v>6070.61</v>
      </c>
      <c r="J158" s="144">
        <f t="shared" si="8"/>
        <v>7</v>
      </c>
      <c r="K158" s="148">
        <v>1.4833299999999999E-3</v>
      </c>
      <c r="L158" s="147">
        <f t="shared" si="6"/>
        <v>63.03</v>
      </c>
      <c r="M158" s="147">
        <f t="shared" si="7"/>
        <v>108.06</v>
      </c>
      <c r="N158" s="168" t="e">
        <f>VLOOKUP(C158,#REF!,4)</f>
        <v>#REF!</v>
      </c>
    </row>
    <row r="159" spans="1:14">
      <c r="A159" s="145" t="s">
        <v>626</v>
      </c>
      <c r="B159" s="146" t="s">
        <v>1136</v>
      </c>
      <c r="C159" s="146" t="s">
        <v>1137</v>
      </c>
      <c r="D159" s="145" t="s">
        <v>1138</v>
      </c>
      <c r="E159" s="146" t="s">
        <v>962</v>
      </c>
      <c r="F159" s="145" t="s">
        <v>88</v>
      </c>
      <c r="G159" s="146" t="s">
        <v>20</v>
      </c>
      <c r="H159" s="146">
        <v>201605</v>
      </c>
      <c r="I159" s="147">
        <v>13.43</v>
      </c>
      <c r="J159" s="144">
        <f t="shared" si="8"/>
        <v>6</v>
      </c>
      <c r="K159" s="148">
        <v>1.4833299999999999E-3</v>
      </c>
      <c r="L159" s="147">
        <f t="shared" si="6"/>
        <v>0.12</v>
      </c>
      <c r="M159" s="147">
        <f t="shared" si="7"/>
        <v>0.24</v>
      </c>
      <c r="N159" s="168" t="e">
        <f>VLOOKUP(C159,#REF!,4)</f>
        <v>#REF!</v>
      </c>
    </row>
    <row r="160" spans="1:14">
      <c r="A160" s="145" t="s">
        <v>626</v>
      </c>
      <c r="B160" s="146" t="s">
        <v>1136</v>
      </c>
      <c r="C160" s="146" t="s">
        <v>1137</v>
      </c>
      <c r="D160" s="145" t="s">
        <v>1138</v>
      </c>
      <c r="E160" s="146" t="s">
        <v>962</v>
      </c>
      <c r="F160" s="145" t="s">
        <v>88</v>
      </c>
      <c r="G160" s="146" t="s">
        <v>20</v>
      </c>
      <c r="H160" s="146">
        <v>201606</v>
      </c>
      <c r="I160" s="147">
        <v>48.78</v>
      </c>
      <c r="J160" s="144">
        <f t="shared" si="8"/>
        <v>5</v>
      </c>
      <c r="K160" s="148">
        <v>1.4833299999999999E-3</v>
      </c>
      <c r="L160" s="147">
        <f t="shared" si="6"/>
        <v>0.36</v>
      </c>
      <c r="M160" s="147">
        <f t="shared" si="7"/>
        <v>0.87</v>
      </c>
      <c r="N160" s="168" t="e">
        <f>VLOOKUP(C160,#REF!,4)</f>
        <v>#REF!</v>
      </c>
    </row>
    <row r="161" spans="1:14">
      <c r="A161" s="145" t="s">
        <v>626</v>
      </c>
      <c r="B161" s="146" t="s">
        <v>1826</v>
      </c>
      <c r="C161" s="146" t="s">
        <v>1827</v>
      </c>
      <c r="D161" s="145" t="s">
        <v>1828</v>
      </c>
      <c r="E161" s="146" t="s">
        <v>25</v>
      </c>
      <c r="F161" s="145" t="s">
        <v>26</v>
      </c>
      <c r="G161" s="146" t="s">
        <v>20</v>
      </c>
      <c r="H161" s="146">
        <v>201603</v>
      </c>
      <c r="I161" s="147">
        <v>5965.78</v>
      </c>
      <c r="J161" s="144">
        <f t="shared" si="8"/>
        <v>8</v>
      </c>
      <c r="K161" s="148">
        <v>1.4833299999999999E-3</v>
      </c>
      <c r="L161" s="147">
        <f t="shared" si="6"/>
        <v>70.790000000000006</v>
      </c>
      <c r="M161" s="147">
        <f t="shared" si="7"/>
        <v>106.19</v>
      </c>
      <c r="N161" s="168" t="e">
        <f>VLOOKUP(C161,#REF!,4)</f>
        <v>#REF!</v>
      </c>
    </row>
    <row r="162" spans="1:14">
      <c r="A162" s="145" t="s">
        <v>626</v>
      </c>
      <c r="B162" s="146" t="s">
        <v>1826</v>
      </c>
      <c r="C162" s="146" t="s">
        <v>1827</v>
      </c>
      <c r="D162" s="145" t="s">
        <v>1828</v>
      </c>
      <c r="E162" s="146" t="s">
        <v>25</v>
      </c>
      <c r="F162" s="145" t="s">
        <v>26</v>
      </c>
      <c r="G162" s="146" t="s">
        <v>20</v>
      </c>
      <c r="H162" s="146">
        <v>201604</v>
      </c>
      <c r="I162" s="147">
        <v>13112.69</v>
      </c>
      <c r="J162" s="144">
        <f t="shared" si="8"/>
        <v>7</v>
      </c>
      <c r="K162" s="148">
        <v>1.4833299999999999E-3</v>
      </c>
      <c r="L162" s="147">
        <f t="shared" si="6"/>
        <v>136.15</v>
      </c>
      <c r="M162" s="147">
        <f t="shared" si="7"/>
        <v>233.41</v>
      </c>
      <c r="N162" s="168" t="e">
        <f>VLOOKUP(C162,#REF!,4)</f>
        <v>#REF!</v>
      </c>
    </row>
    <row r="163" spans="1:14">
      <c r="A163" s="145" t="s">
        <v>626</v>
      </c>
      <c r="B163" s="146" t="s">
        <v>1826</v>
      </c>
      <c r="C163" s="146" t="s">
        <v>1827</v>
      </c>
      <c r="D163" s="145" t="s">
        <v>1828</v>
      </c>
      <c r="E163" s="146" t="s">
        <v>25</v>
      </c>
      <c r="F163" s="145" t="s">
        <v>26</v>
      </c>
      <c r="G163" s="146" t="s">
        <v>20</v>
      </c>
      <c r="H163" s="146">
        <v>201605</v>
      </c>
      <c r="I163" s="147">
        <v>-119998.69</v>
      </c>
      <c r="J163" s="144">
        <f t="shared" si="8"/>
        <v>6</v>
      </c>
      <c r="K163" s="148">
        <v>1.4833299999999999E-3</v>
      </c>
      <c r="L163" s="147">
        <f t="shared" si="6"/>
        <v>-1067.99</v>
      </c>
      <c r="M163" s="147">
        <f t="shared" si="7"/>
        <v>-2135.9699999999998</v>
      </c>
      <c r="N163" s="168" t="e">
        <f>VLOOKUP(C163,#REF!,4)</f>
        <v>#REF!</v>
      </c>
    </row>
    <row r="164" spans="1:14">
      <c r="A164" s="145" t="s">
        <v>21</v>
      </c>
      <c r="B164" s="146" t="s">
        <v>1826</v>
      </c>
      <c r="C164" s="146" t="s">
        <v>1827</v>
      </c>
      <c r="D164" s="145" t="s">
        <v>1828</v>
      </c>
      <c r="E164" s="146" t="s">
        <v>25</v>
      </c>
      <c r="F164" s="145" t="s">
        <v>26</v>
      </c>
      <c r="G164" s="146" t="s">
        <v>20</v>
      </c>
      <c r="H164" s="146">
        <v>201605</v>
      </c>
      <c r="I164" s="147">
        <v>125497.77</v>
      </c>
      <c r="J164" s="144">
        <f t="shared" si="8"/>
        <v>6</v>
      </c>
      <c r="K164" s="148">
        <v>1.4833299999999999E-3</v>
      </c>
      <c r="L164" s="147">
        <f t="shared" si="6"/>
        <v>1116.93</v>
      </c>
      <c r="M164" s="147">
        <f t="shared" si="7"/>
        <v>2233.86</v>
      </c>
      <c r="N164" s="168" t="e">
        <f>VLOOKUP(C164,#REF!,4)</f>
        <v>#REF!</v>
      </c>
    </row>
    <row r="165" spans="1:14">
      <c r="A165" s="145" t="s">
        <v>626</v>
      </c>
      <c r="B165" s="146" t="s">
        <v>1826</v>
      </c>
      <c r="C165" s="146" t="s">
        <v>1827</v>
      </c>
      <c r="D165" s="145" t="s">
        <v>1828</v>
      </c>
      <c r="E165" s="146" t="s">
        <v>25</v>
      </c>
      <c r="F165" s="145" t="s">
        <v>26</v>
      </c>
      <c r="G165" s="146" t="s">
        <v>20</v>
      </c>
      <c r="H165" s="146">
        <v>201606</v>
      </c>
      <c r="I165" s="147">
        <v>658.84</v>
      </c>
      <c r="J165" s="144">
        <f t="shared" si="8"/>
        <v>5</v>
      </c>
      <c r="K165" s="148">
        <v>1.4833299999999999E-3</v>
      </c>
      <c r="L165" s="147">
        <f t="shared" si="6"/>
        <v>4.8899999999999997</v>
      </c>
      <c r="M165" s="147">
        <f t="shared" si="7"/>
        <v>11.73</v>
      </c>
      <c r="N165" s="168" t="e">
        <f>VLOOKUP(C165,#REF!,4)</f>
        <v>#REF!</v>
      </c>
    </row>
    <row r="166" spans="1:14">
      <c r="A166" s="145" t="s">
        <v>21</v>
      </c>
      <c r="B166" s="146" t="s">
        <v>1826</v>
      </c>
      <c r="C166" s="146" t="s">
        <v>1827</v>
      </c>
      <c r="D166" s="145" t="s">
        <v>1828</v>
      </c>
      <c r="E166" s="146" t="s">
        <v>25</v>
      </c>
      <c r="F166" s="145" t="s">
        <v>26</v>
      </c>
      <c r="G166" s="146" t="s">
        <v>20</v>
      </c>
      <c r="H166" s="146">
        <v>201606</v>
      </c>
      <c r="I166" s="147">
        <v>1895.35</v>
      </c>
      <c r="J166" s="144">
        <f t="shared" si="8"/>
        <v>5</v>
      </c>
      <c r="K166" s="148">
        <v>1.4833299999999999E-3</v>
      </c>
      <c r="L166" s="147">
        <f t="shared" si="6"/>
        <v>14.06</v>
      </c>
      <c r="M166" s="147">
        <f t="shared" si="7"/>
        <v>33.74</v>
      </c>
      <c r="N166" s="168" t="e">
        <f>VLOOKUP(C166,#REF!,4)</f>
        <v>#REF!</v>
      </c>
    </row>
    <row r="167" spans="1:14">
      <c r="A167" s="145" t="s">
        <v>626</v>
      </c>
      <c r="B167" s="146" t="s">
        <v>1139</v>
      </c>
      <c r="C167" s="146" t="s">
        <v>1140</v>
      </c>
      <c r="D167" s="145" t="s">
        <v>1141</v>
      </c>
      <c r="E167" s="146" t="s">
        <v>280</v>
      </c>
      <c r="F167" s="145" t="s">
        <v>26</v>
      </c>
      <c r="G167" s="146" t="s">
        <v>20</v>
      </c>
      <c r="H167" s="146">
        <v>201604</v>
      </c>
      <c r="I167" s="147">
        <v>1430.21</v>
      </c>
      <c r="J167" s="144">
        <f t="shared" si="8"/>
        <v>7</v>
      </c>
      <c r="K167" s="148">
        <v>1.4833299999999999E-3</v>
      </c>
      <c r="L167" s="147">
        <f t="shared" si="6"/>
        <v>14.85</v>
      </c>
      <c r="M167" s="147">
        <f t="shared" si="7"/>
        <v>25.46</v>
      </c>
      <c r="N167" s="168" t="e">
        <f>VLOOKUP(C167,#REF!,4)</f>
        <v>#REF!</v>
      </c>
    </row>
    <row r="168" spans="1:14">
      <c r="A168" s="145" t="s">
        <v>626</v>
      </c>
      <c r="B168" s="146" t="s">
        <v>1139</v>
      </c>
      <c r="C168" s="146" t="s">
        <v>1140</v>
      </c>
      <c r="D168" s="145" t="s">
        <v>1141</v>
      </c>
      <c r="E168" s="146" t="s">
        <v>280</v>
      </c>
      <c r="F168" s="145" t="s">
        <v>26</v>
      </c>
      <c r="G168" s="146" t="s">
        <v>20</v>
      </c>
      <c r="H168" s="146">
        <v>201605</v>
      </c>
      <c r="I168" s="147">
        <v>3.13</v>
      </c>
      <c r="J168" s="144">
        <f t="shared" si="8"/>
        <v>6</v>
      </c>
      <c r="K168" s="148">
        <v>1.4833299999999999E-3</v>
      </c>
      <c r="L168" s="147">
        <f t="shared" si="6"/>
        <v>0.03</v>
      </c>
      <c r="M168" s="147">
        <f t="shared" si="7"/>
        <v>0.06</v>
      </c>
      <c r="N168" s="168" t="e">
        <f>VLOOKUP(C168,#REF!,4)</f>
        <v>#REF!</v>
      </c>
    </row>
    <row r="169" spans="1:14">
      <c r="A169" s="145" t="s">
        <v>626</v>
      </c>
      <c r="B169" s="146" t="s">
        <v>1139</v>
      </c>
      <c r="C169" s="146" t="s">
        <v>1140</v>
      </c>
      <c r="D169" s="145" t="s">
        <v>1141</v>
      </c>
      <c r="E169" s="146" t="s">
        <v>280</v>
      </c>
      <c r="F169" s="145" t="s">
        <v>26</v>
      </c>
      <c r="G169" s="146" t="s">
        <v>20</v>
      </c>
      <c r="H169" s="146">
        <v>201606</v>
      </c>
      <c r="I169" s="147">
        <v>11.53</v>
      </c>
      <c r="J169" s="144">
        <f t="shared" si="8"/>
        <v>5</v>
      </c>
      <c r="K169" s="148">
        <v>1.4833299999999999E-3</v>
      </c>
      <c r="L169" s="147">
        <f t="shared" si="6"/>
        <v>0.09</v>
      </c>
      <c r="M169" s="147">
        <f t="shared" si="7"/>
        <v>0.21</v>
      </c>
      <c r="N169" s="168" t="e">
        <f>VLOOKUP(C169,#REF!,4)</f>
        <v>#REF!</v>
      </c>
    </row>
    <row r="170" spans="1:14">
      <c r="A170" s="145" t="s">
        <v>626</v>
      </c>
      <c r="B170" s="146" t="s">
        <v>1142</v>
      </c>
      <c r="C170" s="146" t="s">
        <v>1143</v>
      </c>
      <c r="D170" s="145" t="s">
        <v>1144</v>
      </c>
      <c r="E170" s="146" t="s">
        <v>164</v>
      </c>
      <c r="F170" s="145" t="s">
        <v>1600</v>
      </c>
      <c r="G170" s="146" t="s">
        <v>20</v>
      </c>
      <c r="H170" s="146">
        <v>201604</v>
      </c>
      <c r="I170" s="147">
        <v>579.16999999999996</v>
      </c>
      <c r="J170" s="144">
        <f t="shared" si="8"/>
        <v>7</v>
      </c>
      <c r="K170" s="148">
        <v>1.4833299999999999E-3</v>
      </c>
      <c r="L170" s="147">
        <f t="shared" si="6"/>
        <v>6.01</v>
      </c>
      <c r="M170" s="147">
        <f t="shared" si="7"/>
        <v>10.31</v>
      </c>
      <c r="N170" s="168" t="e">
        <f>VLOOKUP(C170,#REF!,4)</f>
        <v>#REF!</v>
      </c>
    </row>
    <row r="171" spans="1:14">
      <c r="A171" s="145" t="s">
        <v>626</v>
      </c>
      <c r="B171" s="146" t="s">
        <v>1142</v>
      </c>
      <c r="C171" s="146" t="s">
        <v>1143</v>
      </c>
      <c r="D171" s="145" t="s">
        <v>1144</v>
      </c>
      <c r="E171" s="146" t="s">
        <v>164</v>
      </c>
      <c r="F171" s="145" t="s">
        <v>1600</v>
      </c>
      <c r="G171" s="146" t="s">
        <v>20</v>
      </c>
      <c r="H171" s="146">
        <v>201605</v>
      </c>
      <c r="I171" s="147">
        <v>1.31</v>
      </c>
      <c r="J171" s="144">
        <f t="shared" si="8"/>
        <v>6</v>
      </c>
      <c r="K171" s="148">
        <v>1.4833299999999999E-3</v>
      </c>
      <c r="L171" s="147">
        <f t="shared" si="6"/>
        <v>0.01</v>
      </c>
      <c r="M171" s="147">
        <f t="shared" si="7"/>
        <v>0.02</v>
      </c>
      <c r="N171" s="168" t="e">
        <f>VLOOKUP(C171,#REF!,4)</f>
        <v>#REF!</v>
      </c>
    </row>
    <row r="172" spans="1:14">
      <c r="A172" s="145" t="s">
        <v>626</v>
      </c>
      <c r="B172" s="146" t="s">
        <v>1142</v>
      </c>
      <c r="C172" s="146" t="s">
        <v>1143</v>
      </c>
      <c r="D172" s="145" t="s">
        <v>1144</v>
      </c>
      <c r="E172" s="146" t="s">
        <v>164</v>
      </c>
      <c r="F172" s="145" t="s">
        <v>1600</v>
      </c>
      <c r="G172" s="146" t="s">
        <v>20</v>
      </c>
      <c r="H172" s="146">
        <v>201606</v>
      </c>
      <c r="I172" s="147">
        <v>4.6100000000000003</v>
      </c>
      <c r="J172" s="144">
        <f t="shared" si="8"/>
        <v>5</v>
      </c>
      <c r="K172" s="148">
        <v>1.4833299999999999E-3</v>
      </c>
      <c r="L172" s="147">
        <f t="shared" si="6"/>
        <v>0.03</v>
      </c>
      <c r="M172" s="147">
        <f t="shared" si="7"/>
        <v>0.08</v>
      </c>
      <c r="N172" s="168" t="e">
        <f>VLOOKUP(C172,#REF!,4)</f>
        <v>#REF!</v>
      </c>
    </row>
    <row r="173" spans="1:14">
      <c r="A173" s="145" t="s">
        <v>626</v>
      </c>
      <c r="B173" s="146" t="s">
        <v>1615</v>
      </c>
      <c r="C173" s="146" t="s">
        <v>1616</v>
      </c>
      <c r="D173" s="145" t="s">
        <v>1617</v>
      </c>
      <c r="E173" s="146" t="s">
        <v>497</v>
      </c>
      <c r="F173" s="145" t="s">
        <v>26</v>
      </c>
      <c r="G173" s="146" t="s">
        <v>20</v>
      </c>
      <c r="H173" s="146">
        <v>201603</v>
      </c>
      <c r="I173" s="147">
        <v>2.12</v>
      </c>
      <c r="J173" s="144">
        <f t="shared" si="8"/>
        <v>8</v>
      </c>
      <c r="K173" s="148">
        <v>1.4833299999999999E-3</v>
      </c>
      <c r="L173" s="147">
        <f t="shared" si="6"/>
        <v>0.03</v>
      </c>
      <c r="M173" s="147">
        <f t="shared" si="7"/>
        <v>0.04</v>
      </c>
      <c r="N173" s="168" t="e">
        <f>VLOOKUP(C173,#REF!,4)</f>
        <v>#REF!</v>
      </c>
    </row>
    <row r="174" spans="1:14">
      <c r="A174" s="145" t="s">
        <v>626</v>
      </c>
      <c r="B174" s="146" t="s">
        <v>1615</v>
      </c>
      <c r="C174" s="146" t="s">
        <v>1616</v>
      </c>
      <c r="D174" s="145" t="s">
        <v>1617</v>
      </c>
      <c r="E174" s="146" t="s">
        <v>497</v>
      </c>
      <c r="F174" s="145" t="s">
        <v>26</v>
      </c>
      <c r="G174" s="146" t="s">
        <v>20</v>
      </c>
      <c r="H174" s="146">
        <v>201604</v>
      </c>
      <c r="I174" s="147">
        <v>70764.38</v>
      </c>
      <c r="J174" s="144">
        <f t="shared" si="8"/>
        <v>7</v>
      </c>
      <c r="K174" s="148">
        <v>1.4833299999999999E-3</v>
      </c>
      <c r="L174" s="147">
        <f t="shared" si="6"/>
        <v>734.77</v>
      </c>
      <c r="M174" s="147">
        <f t="shared" si="7"/>
        <v>1259.5999999999999</v>
      </c>
      <c r="N174" s="168" t="e">
        <f>VLOOKUP(C174,#REF!,4)</f>
        <v>#REF!</v>
      </c>
    </row>
    <row r="175" spans="1:14">
      <c r="A175" s="145" t="s">
        <v>626</v>
      </c>
      <c r="B175" s="146" t="s">
        <v>1615</v>
      </c>
      <c r="C175" s="146" t="s">
        <v>1616</v>
      </c>
      <c r="D175" s="145" t="s">
        <v>1617</v>
      </c>
      <c r="E175" s="146" t="s">
        <v>497</v>
      </c>
      <c r="F175" s="145" t="s">
        <v>26</v>
      </c>
      <c r="G175" s="146" t="s">
        <v>20</v>
      </c>
      <c r="H175" s="146">
        <v>201605</v>
      </c>
      <c r="I175" s="147">
        <v>-379.57</v>
      </c>
      <c r="J175" s="144">
        <f t="shared" si="8"/>
        <v>6</v>
      </c>
      <c r="K175" s="148">
        <v>1.4833299999999999E-3</v>
      </c>
      <c r="L175" s="147">
        <f t="shared" si="6"/>
        <v>-3.38</v>
      </c>
      <c r="M175" s="147">
        <f t="shared" si="7"/>
        <v>-6.76</v>
      </c>
      <c r="N175" s="168" t="e">
        <f>VLOOKUP(C175,#REF!,4)</f>
        <v>#REF!</v>
      </c>
    </row>
    <row r="176" spans="1:14">
      <c r="A176" s="145" t="s">
        <v>626</v>
      </c>
      <c r="B176" s="146" t="s">
        <v>1615</v>
      </c>
      <c r="C176" s="146" t="s">
        <v>1616</v>
      </c>
      <c r="D176" s="145" t="s">
        <v>1617</v>
      </c>
      <c r="E176" s="146" t="s">
        <v>497</v>
      </c>
      <c r="F176" s="145" t="s">
        <v>26</v>
      </c>
      <c r="G176" s="146" t="s">
        <v>20</v>
      </c>
      <c r="H176" s="146">
        <v>201606</v>
      </c>
      <c r="I176" s="147">
        <v>-0.35</v>
      </c>
      <c r="J176" s="144">
        <f t="shared" si="8"/>
        <v>5</v>
      </c>
      <c r="K176" s="148">
        <v>1.4833299999999999E-3</v>
      </c>
      <c r="L176" s="147">
        <f t="shared" si="6"/>
        <v>0</v>
      </c>
      <c r="M176" s="147">
        <f t="shared" si="7"/>
        <v>-0.01</v>
      </c>
      <c r="N176" s="168" t="e">
        <f>VLOOKUP(C176,#REF!,4)</f>
        <v>#REF!</v>
      </c>
    </row>
    <row r="177" spans="1:14">
      <c r="A177" s="145" t="s">
        <v>626</v>
      </c>
      <c r="B177" s="146" t="s">
        <v>1148</v>
      </c>
      <c r="C177" s="146" t="s">
        <v>1149</v>
      </c>
      <c r="D177" s="145" t="s">
        <v>1150</v>
      </c>
      <c r="E177" s="146" t="s">
        <v>93</v>
      </c>
      <c r="F177" s="145" t="s">
        <v>1601</v>
      </c>
      <c r="G177" s="146" t="s">
        <v>20</v>
      </c>
      <c r="H177" s="146">
        <v>201603</v>
      </c>
      <c r="I177" s="147">
        <v>0.45</v>
      </c>
      <c r="J177" s="144">
        <f t="shared" si="8"/>
        <v>8</v>
      </c>
      <c r="K177" s="148">
        <v>1.4833299999999999E-3</v>
      </c>
      <c r="L177" s="147">
        <f t="shared" si="6"/>
        <v>0.01</v>
      </c>
      <c r="M177" s="147">
        <f t="shared" si="7"/>
        <v>0.01</v>
      </c>
      <c r="N177" s="168" t="e">
        <f>VLOOKUP(C177,#REF!,4)</f>
        <v>#REF!</v>
      </c>
    </row>
    <row r="178" spans="1:14">
      <c r="A178" s="145" t="s">
        <v>626</v>
      </c>
      <c r="B178" s="146" t="s">
        <v>1148</v>
      </c>
      <c r="C178" s="146" t="s">
        <v>1149</v>
      </c>
      <c r="D178" s="145" t="s">
        <v>1150</v>
      </c>
      <c r="E178" s="146" t="s">
        <v>93</v>
      </c>
      <c r="F178" s="145" t="s">
        <v>1601</v>
      </c>
      <c r="G178" s="146" t="s">
        <v>20</v>
      </c>
      <c r="H178" s="146">
        <v>201604</v>
      </c>
      <c r="I178" s="147">
        <v>-0.42</v>
      </c>
      <c r="J178" s="144">
        <f t="shared" si="8"/>
        <v>7</v>
      </c>
      <c r="K178" s="148">
        <v>1.4833299999999999E-3</v>
      </c>
      <c r="L178" s="147">
        <f t="shared" si="6"/>
        <v>0</v>
      </c>
      <c r="M178" s="147">
        <f t="shared" si="7"/>
        <v>-0.01</v>
      </c>
      <c r="N178" s="168" t="e">
        <f>VLOOKUP(C178,#REF!,4)</f>
        <v>#REF!</v>
      </c>
    </row>
    <row r="179" spans="1:14">
      <c r="A179" s="145" t="s">
        <v>626</v>
      </c>
      <c r="B179" s="146" t="s">
        <v>1148</v>
      </c>
      <c r="C179" s="146" t="s">
        <v>1149</v>
      </c>
      <c r="D179" s="145" t="s">
        <v>1150</v>
      </c>
      <c r="E179" s="146" t="s">
        <v>93</v>
      </c>
      <c r="F179" s="145" t="s">
        <v>1601</v>
      </c>
      <c r="G179" s="146" t="s">
        <v>20</v>
      </c>
      <c r="H179" s="146">
        <v>201605</v>
      </c>
      <c r="I179" s="147">
        <v>-0.28000000000000003</v>
      </c>
      <c r="J179" s="144">
        <f t="shared" si="8"/>
        <v>6</v>
      </c>
      <c r="K179" s="148">
        <v>1.4833299999999999E-3</v>
      </c>
      <c r="L179" s="147">
        <f t="shared" si="6"/>
        <v>0</v>
      </c>
      <c r="M179" s="147">
        <f t="shared" si="7"/>
        <v>0</v>
      </c>
      <c r="N179" s="168" t="e">
        <f>VLOOKUP(C179,#REF!,4)</f>
        <v>#REF!</v>
      </c>
    </row>
    <row r="180" spans="1:14">
      <c r="A180" s="145" t="s">
        <v>626</v>
      </c>
      <c r="B180" s="146" t="s">
        <v>1148</v>
      </c>
      <c r="C180" s="146" t="s">
        <v>1149</v>
      </c>
      <c r="D180" s="145" t="s">
        <v>1150</v>
      </c>
      <c r="E180" s="146" t="s">
        <v>93</v>
      </c>
      <c r="F180" s="145" t="s">
        <v>1601</v>
      </c>
      <c r="G180" s="146" t="s">
        <v>20</v>
      </c>
      <c r="H180" s="146">
        <v>201606</v>
      </c>
      <c r="I180" s="147">
        <v>-0.2</v>
      </c>
      <c r="J180" s="144">
        <f t="shared" si="8"/>
        <v>5</v>
      </c>
      <c r="K180" s="148">
        <v>1.4833299999999999E-3</v>
      </c>
      <c r="L180" s="147">
        <f t="shared" si="6"/>
        <v>0</v>
      </c>
      <c r="M180" s="147">
        <f t="shared" si="7"/>
        <v>0</v>
      </c>
      <c r="N180" s="168" t="e">
        <f>VLOOKUP(C180,#REF!,4)</f>
        <v>#REF!</v>
      </c>
    </row>
    <row r="181" spans="1:14">
      <c r="A181" s="145" t="s">
        <v>21</v>
      </c>
      <c r="B181" s="146" t="s">
        <v>1502</v>
      </c>
      <c r="C181" s="146" t="s">
        <v>1503</v>
      </c>
      <c r="D181" s="145" t="s">
        <v>1504</v>
      </c>
      <c r="E181" s="146" t="s">
        <v>172</v>
      </c>
      <c r="F181" s="145" t="s">
        <v>1609</v>
      </c>
      <c r="G181" s="146" t="s">
        <v>20</v>
      </c>
      <c r="H181" s="146">
        <v>201603</v>
      </c>
      <c r="I181" s="147">
        <v>1.18</v>
      </c>
      <c r="J181" s="144">
        <f t="shared" si="8"/>
        <v>8</v>
      </c>
      <c r="K181" s="148">
        <v>1.4833299999999999E-3</v>
      </c>
      <c r="L181" s="147">
        <f t="shared" si="6"/>
        <v>0.01</v>
      </c>
      <c r="M181" s="147">
        <f t="shared" si="7"/>
        <v>0.02</v>
      </c>
      <c r="N181" s="168" t="e">
        <f>VLOOKUP(C181,#REF!,4)</f>
        <v>#REF!</v>
      </c>
    </row>
    <row r="182" spans="1:14">
      <c r="A182" s="145" t="s">
        <v>21</v>
      </c>
      <c r="B182" s="146" t="s">
        <v>1502</v>
      </c>
      <c r="C182" s="146" t="s">
        <v>1503</v>
      </c>
      <c r="D182" s="145" t="s">
        <v>1504</v>
      </c>
      <c r="E182" s="146" t="s">
        <v>172</v>
      </c>
      <c r="F182" s="145" t="s">
        <v>1609</v>
      </c>
      <c r="G182" s="146" t="s">
        <v>20</v>
      </c>
      <c r="H182" s="146">
        <v>201604</v>
      </c>
      <c r="I182" s="147">
        <v>-13.84</v>
      </c>
      <c r="J182" s="144">
        <f t="shared" si="8"/>
        <v>7</v>
      </c>
      <c r="K182" s="148">
        <v>1.4833299999999999E-3</v>
      </c>
      <c r="L182" s="147">
        <f t="shared" si="6"/>
        <v>-0.14000000000000001</v>
      </c>
      <c r="M182" s="147">
        <f t="shared" si="7"/>
        <v>-0.25</v>
      </c>
      <c r="N182" s="168" t="e">
        <f>VLOOKUP(C182,#REF!,4)</f>
        <v>#REF!</v>
      </c>
    </row>
    <row r="183" spans="1:14">
      <c r="A183" s="145" t="s">
        <v>21</v>
      </c>
      <c r="B183" s="146" t="s">
        <v>1502</v>
      </c>
      <c r="C183" s="146" t="s">
        <v>1503</v>
      </c>
      <c r="D183" s="145" t="s">
        <v>1504</v>
      </c>
      <c r="E183" s="146" t="s">
        <v>172</v>
      </c>
      <c r="F183" s="145" t="s">
        <v>1609</v>
      </c>
      <c r="G183" s="146" t="s">
        <v>20</v>
      </c>
      <c r="H183" s="146">
        <v>201605</v>
      </c>
      <c r="I183" s="147">
        <v>-9.9</v>
      </c>
      <c r="J183" s="144">
        <f t="shared" si="8"/>
        <v>6</v>
      </c>
      <c r="K183" s="148">
        <v>1.4833299999999999E-3</v>
      </c>
      <c r="L183" s="147">
        <f t="shared" si="6"/>
        <v>-0.09</v>
      </c>
      <c r="M183" s="147">
        <f t="shared" si="7"/>
        <v>-0.18</v>
      </c>
      <c r="N183" s="168" t="e">
        <f>VLOOKUP(C183,#REF!,4)</f>
        <v>#REF!</v>
      </c>
    </row>
    <row r="184" spans="1:14">
      <c r="A184" s="145" t="s">
        <v>21</v>
      </c>
      <c r="B184" s="146" t="s">
        <v>1502</v>
      </c>
      <c r="C184" s="146" t="s">
        <v>1503</v>
      </c>
      <c r="D184" s="145" t="s">
        <v>1504</v>
      </c>
      <c r="E184" s="146" t="s">
        <v>172</v>
      </c>
      <c r="F184" s="145" t="s">
        <v>1609</v>
      </c>
      <c r="G184" s="146" t="s">
        <v>20</v>
      </c>
      <c r="H184" s="146">
        <v>201606</v>
      </c>
      <c r="I184" s="147">
        <v>-6.13</v>
      </c>
      <c r="J184" s="144">
        <f t="shared" si="8"/>
        <v>5</v>
      </c>
      <c r="K184" s="148">
        <v>1.4833299999999999E-3</v>
      </c>
      <c r="L184" s="147">
        <f t="shared" si="6"/>
        <v>-0.05</v>
      </c>
      <c r="M184" s="147">
        <f t="shared" si="7"/>
        <v>-0.11</v>
      </c>
      <c r="N184" s="168" t="e">
        <f>VLOOKUP(C184,#REF!,4)</f>
        <v>#REF!</v>
      </c>
    </row>
    <row r="185" spans="1:14">
      <c r="A185" s="145" t="s">
        <v>21</v>
      </c>
      <c r="B185" s="146" t="s">
        <v>1948</v>
      </c>
      <c r="C185" s="146" t="s">
        <v>1949</v>
      </c>
      <c r="D185" s="145" t="s">
        <v>1950</v>
      </c>
      <c r="E185" s="146" t="s">
        <v>756</v>
      </c>
      <c r="F185" s="145" t="s">
        <v>757</v>
      </c>
      <c r="G185" s="146" t="s">
        <v>20</v>
      </c>
      <c r="H185" s="146">
        <v>201603</v>
      </c>
      <c r="I185" s="147">
        <v>-38.15</v>
      </c>
      <c r="J185" s="144">
        <f t="shared" si="8"/>
        <v>8</v>
      </c>
      <c r="K185" s="148">
        <v>1.4833299999999999E-3</v>
      </c>
      <c r="L185" s="147">
        <f t="shared" si="6"/>
        <v>-0.45</v>
      </c>
      <c r="M185" s="147">
        <f t="shared" si="7"/>
        <v>-0.68</v>
      </c>
      <c r="N185" s="168" t="e">
        <f>VLOOKUP(C185,#REF!,4)</f>
        <v>#REF!</v>
      </c>
    </row>
    <row r="186" spans="1:14">
      <c r="A186" s="145" t="s">
        <v>21</v>
      </c>
      <c r="B186" s="146" t="s">
        <v>1948</v>
      </c>
      <c r="C186" s="146" t="s">
        <v>1949</v>
      </c>
      <c r="D186" s="145" t="s">
        <v>1950</v>
      </c>
      <c r="E186" s="146" t="s">
        <v>756</v>
      </c>
      <c r="F186" s="145" t="s">
        <v>757</v>
      </c>
      <c r="G186" s="146" t="s">
        <v>20</v>
      </c>
      <c r="H186" s="146">
        <v>201604</v>
      </c>
      <c r="I186" s="147">
        <v>452.73</v>
      </c>
      <c r="J186" s="144">
        <f t="shared" si="8"/>
        <v>7</v>
      </c>
      <c r="K186" s="148">
        <v>1.4833299999999999E-3</v>
      </c>
      <c r="L186" s="147">
        <f t="shared" si="6"/>
        <v>4.7</v>
      </c>
      <c r="M186" s="147">
        <f t="shared" si="7"/>
        <v>8.06</v>
      </c>
      <c r="N186" s="168" t="e">
        <f>VLOOKUP(C186,#REF!,4)</f>
        <v>#REF!</v>
      </c>
    </row>
    <row r="187" spans="1:14">
      <c r="A187" s="145" t="s">
        <v>21</v>
      </c>
      <c r="B187" s="146" t="s">
        <v>1948</v>
      </c>
      <c r="C187" s="146" t="s">
        <v>1949</v>
      </c>
      <c r="D187" s="145" t="s">
        <v>1950</v>
      </c>
      <c r="E187" s="146" t="s">
        <v>756</v>
      </c>
      <c r="F187" s="145" t="s">
        <v>757</v>
      </c>
      <c r="G187" s="146" t="s">
        <v>20</v>
      </c>
      <c r="H187" s="146">
        <v>201605</v>
      </c>
      <c r="I187" s="147">
        <v>324.85000000000002</v>
      </c>
      <c r="J187" s="144">
        <f t="shared" si="8"/>
        <v>6</v>
      </c>
      <c r="K187" s="148">
        <v>1.4833299999999999E-3</v>
      </c>
      <c r="L187" s="147">
        <f t="shared" si="6"/>
        <v>2.89</v>
      </c>
      <c r="M187" s="147">
        <f t="shared" si="7"/>
        <v>5.78</v>
      </c>
      <c r="N187" s="168" t="e">
        <f>VLOOKUP(C187,#REF!,4)</f>
        <v>#REF!</v>
      </c>
    </row>
    <row r="188" spans="1:14">
      <c r="A188" s="145" t="s">
        <v>21</v>
      </c>
      <c r="B188" s="146" t="s">
        <v>1948</v>
      </c>
      <c r="C188" s="146" t="s">
        <v>1949</v>
      </c>
      <c r="D188" s="145" t="s">
        <v>1950</v>
      </c>
      <c r="E188" s="146" t="s">
        <v>756</v>
      </c>
      <c r="F188" s="145" t="s">
        <v>757</v>
      </c>
      <c r="G188" s="146" t="s">
        <v>20</v>
      </c>
      <c r="H188" s="146">
        <v>201606</v>
      </c>
      <c r="I188" s="147">
        <v>199.71</v>
      </c>
      <c r="J188" s="144">
        <f t="shared" si="8"/>
        <v>5</v>
      </c>
      <c r="K188" s="148">
        <v>1.4833299999999999E-3</v>
      </c>
      <c r="L188" s="147">
        <f t="shared" si="6"/>
        <v>1.48</v>
      </c>
      <c r="M188" s="147">
        <f t="shared" si="7"/>
        <v>3.55</v>
      </c>
      <c r="N188" s="168" t="e">
        <f>VLOOKUP(C188,#REF!,4)</f>
        <v>#REF!</v>
      </c>
    </row>
    <row r="189" spans="1:14">
      <c r="A189" s="145" t="s">
        <v>21</v>
      </c>
      <c r="B189" s="146" t="s">
        <v>1858</v>
      </c>
      <c r="C189" s="146" t="s">
        <v>1859</v>
      </c>
      <c r="D189" s="145" t="s">
        <v>1860</v>
      </c>
      <c r="E189" s="146" t="s">
        <v>70</v>
      </c>
      <c r="F189" s="145" t="s">
        <v>71</v>
      </c>
      <c r="G189" s="146" t="s">
        <v>20</v>
      </c>
      <c r="H189" s="146">
        <v>201603</v>
      </c>
      <c r="I189" s="147">
        <v>-4.7300000000000004</v>
      </c>
      <c r="J189" s="144">
        <f t="shared" si="8"/>
        <v>8</v>
      </c>
      <c r="K189" s="148">
        <v>1.4833299999999999E-3</v>
      </c>
      <c r="L189" s="147">
        <f t="shared" si="6"/>
        <v>-0.06</v>
      </c>
      <c r="M189" s="147">
        <f t="shared" si="7"/>
        <v>-0.08</v>
      </c>
      <c r="N189" s="168" t="e">
        <f>VLOOKUP(C189,#REF!,4)</f>
        <v>#REF!</v>
      </c>
    </row>
    <row r="190" spans="1:14">
      <c r="A190" s="145" t="s">
        <v>21</v>
      </c>
      <c r="B190" s="146" t="s">
        <v>1858</v>
      </c>
      <c r="C190" s="146" t="s">
        <v>1859</v>
      </c>
      <c r="D190" s="145" t="s">
        <v>1860</v>
      </c>
      <c r="E190" s="146" t="s">
        <v>70</v>
      </c>
      <c r="F190" s="145" t="s">
        <v>71</v>
      </c>
      <c r="G190" s="146" t="s">
        <v>20</v>
      </c>
      <c r="H190" s="146">
        <v>201604</v>
      </c>
      <c r="I190" s="147">
        <v>55.96</v>
      </c>
      <c r="J190" s="144">
        <f t="shared" si="8"/>
        <v>7</v>
      </c>
      <c r="K190" s="148">
        <v>1.4833299999999999E-3</v>
      </c>
      <c r="L190" s="147">
        <f t="shared" si="6"/>
        <v>0.57999999999999996</v>
      </c>
      <c r="M190" s="147">
        <f t="shared" si="7"/>
        <v>1</v>
      </c>
      <c r="N190" s="168" t="e">
        <f>VLOOKUP(C190,#REF!,4)</f>
        <v>#REF!</v>
      </c>
    </row>
    <row r="191" spans="1:14">
      <c r="A191" s="145" t="s">
        <v>21</v>
      </c>
      <c r="B191" s="146" t="s">
        <v>1858</v>
      </c>
      <c r="C191" s="146" t="s">
        <v>1859</v>
      </c>
      <c r="D191" s="145" t="s">
        <v>1860</v>
      </c>
      <c r="E191" s="146" t="s">
        <v>70</v>
      </c>
      <c r="F191" s="145" t="s">
        <v>71</v>
      </c>
      <c r="G191" s="146" t="s">
        <v>20</v>
      </c>
      <c r="H191" s="146">
        <v>201605</v>
      </c>
      <c r="I191" s="147">
        <v>40.130000000000003</v>
      </c>
      <c r="J191" s="144">
        <f t="shared" si="8"/>
        <v>6</v>
      </c>
      <c r="K191" s="148">
        <v>1.4833299999999999E-3</v>
      </c>
      <c r="L191" s="147">
        <f t="shared" si="6"/>
        <v>0.36</v>
      </c>
      <c r="M191" s="147">
        <f t="shared" si="7"/>
        <v>0.71</v>
      </c>
      <c r="N191" s="168" t="e">
        <f>VLOOKUP(C191,#REF!,4)</f>
        <v>#REF!</v>
      </c>
    </row>
    <row r="192" spans="1:14">
      <c r="A192" s="145" t="s">
        <v>21</v>
      </c>
      <c r="B192" s="146" t="s">
        <v>1858</v>
      </c>
      <c r="C192" s="146" t="s">
        <v>1859</v>
      </c>
      <c r="D192" s="145" t="s">
        <v>1860</v>
      </c>
      <c r="E192" s="146" t="s">
        <v>70</v>
      </c>
      <c r="F192" s="145" t="s">
        <v>71</v>
      </c>
      <c r="G192" s="146" t="s">
        <v>20</v>
      </c>
      <c r="H192" s="146">
        <v>201606</v>
      </c>
      <c r="I192" s="147">
        <v>24.67</v>
      </c>
      <c r="J192" s="144">
        <f t="shared" si="8"/>
        <v>5</v>
      </c>
      <c r="K192" s="148">
        <v>1.4833299999999999E-3</v>
      </c>
      <c r="L192" s="147">
        <f t="shared" si="6"/>
        <v>0.18</v>
      </c>
      <c r="M192" s="147">
        <f t="shared" si="7"/>
        <v>0.44</v>
      </c>
      <c r="N192" s="168" t="e">
        <f>VLOOKUP(C192,#REF!,4)</f>
        <v>#REF!</v>
      </c>
    </row>
    <row r="193" spans="1:14">
      <c r="A193" s="145" t="s">
        <v>626</v>
      </c>
      <c r="B193" s="146" t="s">
        <v>1169</v>
      </c>
      <c r="C193" s="146" t="s">
        <v>1170</v>
      </c>
      <c r="D193" s="145" t="s">
        <v>1171</v>
      </c>
      <c r="E193" s="146" t="s">
        <v>164</v>
      </c>
      <c r="F193" s="145" t="s">
        <v>1600</v>
      </c>
      <c r="G193" s="146" t="s">
        <v>20</v>
      </c>
      <c r="H193" s="146">
        <v>201604</v>
      </c>
      <c r="I193" s="147">
        <v>3924.77</v>
      </c>
      <c r="J193" s="144">
        <f t="shared" si="8"/>
        <v>7</v>
      </c>
      <c r="K193" s="148">
        <v>1.4833299999999999E-3</v>
      </c>
      <c r="L193" s="147">
        <f t="shared" si="6"/>
        <v>40.75</v>
      </c>
      <c r="M193" s="147">
        <f t="shared" si="7"/>
        <v>69.86</v>
      </c>
      <c r="N193" s="168" t="e">
        <f>VLOOKUP(C193,#REF!,4)</f>
        <v>#REF!</v>
      </c>
    </row>
    <row r="194" spans="1:14">
      <c r="A194" s="145" t="s">
        <v>626</v>
      </c>
      <c r="B194" s="146" t="s">
        <v>1169</v>
      </c>
      <c r="C194" s="146" t="s">
        <v>1170</v>
      </c>
      <c r="D194" s="145" t="s">
        <v>1171</v>
      </c>
      <c r="E194" s="146" t="s">
        <v>164</v>
      </c>
      <c r="F194" s="145" t="s">
        <v>1600</v>
      </c>
      <c r="G194" s="146" t="s">
        <v>20</v>
      </c>
      <c r="H194" s="146">
        <v>201605</v>
      </c>
      <c r="I194" s="147">
        <v>8.64</v>
      </c>
      <c r="J194" s="144">
        <f t="shared" si="8"/>
        <v>6</v>
      </c>
      <c r="K194" s="148">
        <v>1.4833299999999999E-3</v>
      </c>
      <c r="L194" s="147">
        <f t="shared" si="6"/>
        <v>0.08</v>
      </c>
      <c r="M194" s="147">
        <f t="shared" si="7"/>
        <v>0.15</v>
      </c>
      <c r="N194" s="168" t="e">
        <f>VLOOKUP(C194,#REF!,4)</f>
        <v>#REF!</v>
      </c>
    </row>
    <row r="195" spans="1:14">
      <c r="A195" s="145" t="s">
        <v>626</v>
      </c>
      <c r="B195" s="146" t="s">
        <v>1169</v>
      </c>
      <c r="C195" s="146" t="s">
        <v>1170</v>
      </c>
      <c r="D195" s="145" t="s">
        <v>1171</v>
      </c>
      <c r="E195" s="146" t="s">
        <v>164</v>
      </c>
      <c r="F195" s="145" t="s">
        <v>1600</v>
      </c>
      <c r="G195" s="146" t="s">
        <v>20</v>
      </c>
      <c r="H195" s="146">
        <v>201606</v>
      </c>
      <c r="I195" s="147">
        <v>31.54</v>
      </c>
      <c r="J195" s="144">
        <f t="shared" si="8"/>
        <v>5</v>
      </c>
      <c r="K195" s="148">
        <v>1.4833299999999999E-3</v>
      </c>
      <c r="L195" s="147">
        <f t="shared" si="6"/>
        <v>0.23</v>
      </c>
      <c r="M195" s="147">
        <f t="shared" si="7"/>
        <v>0.56000000000000005</v>
      </c>
      <c r="N195" s="168" t="e">
        <f>VLOOKUP(C195,#REF!,4)</f>
        <v>#REF!</v>
      </c>
    </row>
    <row r="196" spans="1:14">
      <c r="A196" s="145" t="s">
        <v>626</v>
      </c>
      <c r="B196" s="146" t="s">
        <v>1172</v>
      </c>
      <c r="C196" s="146" t="s">
        <v>1173</v>
      </c>
      <c r="D196" s="145" t="s">
        <v>1174</v>
      </c>
      <c r="E196" s="146" t="s">
        <v>156</v>
      </c>
      <c r="F196" s="145" t="s">
        <v>26</v>
      </c>
      <c r="G196" s="146" t="s">
        <v>20</v>
      </c>
      <c r="H196" s="146">
        <v>201604</v>
      </c>
      <c r="I196" s="147">
        <v>543.78</v>
      </c>
      <c r="J196" s="144">
        <f t="shared" si="8"/>
        <v>7</v>
      </c>
      <c r="K196" s="148">
        <v>1.4833299999999999E-3</v>
      </c>
      <c r="L196" s="147">
        <f t="shared" si="6"/>
        <v>5.65</v>
      </c>
      <c r="M196" s="147">
        <f t="shared" si="7"/>
        <v>9.68</v>
      </c>
      <c r="N196" s="168" t="e">
        <f>VLOOKUP(C196,#REF!,4)</f>
        <v>#REF!</v>
      </c>
    </row>
    <row r="197" spans="1:14">
      <c r="A197" s="145" t="s">
        <v>626</v>
      </c>
      <c r="B197" s="146" t="s">
        <v>1172</v>
      </c>
      <c r="C197" s="146" t="s">
        <v>1173</v>
      </c>
      <c r="D197" s="145" t="s">
        <v>1174</v>
      </c>
      <c r="E197" s="146" t="s">
        <v>156</v>
      </c>
      <c r="F197" s="145" t="s">
        <v>26</v>
      </c>
      <c r="G197" s="146" t="s">
        <v>20</v>
      </c>
      <c r="H197" s="146">
        <v>201605</v>
      </c>
      <c r="I197" s="147">
        <v>1.2</v>
      </c>
      <c r="J197" s="144">
        <f t="shared" si="8"/>
        <v>6</v>
      </c>
      <c r="K197" s="148">
        <v>1.4833299999999999E-3</v>
      </c>
      <c r="L197" s="147">
        <f t="shared" ref="L197:L260" si="9">ROUND(I197*J197*K197,2)</f>
        <v>0.01</v>
      </c>
      <c r="M197" s="147">
        <f t="shared" ref="M197:M260" si="10">ROUND(I197*K197*12,2)</f>
        <v>0.02</v>
      </c>
      <c r="N197" s="168" t="e">
        <f>VLOOKUP(C197,#REF!,4)</f>
        <v>#REF!</v>
      </c>
    </row>
    <row r="198" spans="1:14">
      <c r="A198" s="145" t="s">
        <v>626</v>
      </c>
      <c r="B198" s="146" t="s">
        <v>1172</v>
      </c>
      <c r="C198" s="146" t="s">
        <v>1173</v>
      </c>
      <c r="D198" s="145" t="s">
        <v>1174</v>
      </c>
      <c r="E198" s="146" t="s">
        <v>156</v>
      </c>
      <c r="F198" s="145" t="s">
        <v>26</v>
      </c>
      <c r="G198" s="146" t="s">
        <v>20</v>
      </c>
      <c r="H198" s="146">
        <v>201606</v>
      </c>
      <c r="I198" s="147">
        <v>4.3600000000000003</v>
      </c>
      <c r="J198" s="144">
        <f t="shared" ref="J198:J261" si="11">VLOOKUP(H198,$P$5:$Q$14,2)</f>
        <v>5</v>
      </c>
      <c r="K198" s="148">
        <v>1.4833299999999999E-3</v>
      </c>
      <c r="L198" s="147">
        <f t="shared" si="9"/>
        <v>0.03</v>
      </c>
      <c r="M198" s="147">
        <f t="shared" si="10"/>
        <v>0.08</v>
      </c>
      <c r="N198" s="168" t="e">
        <f>VLOOKUP(C198,#REF!,4)</f>
        <v>#REF!</v>
      </c>
    </row>
    <row r="199" spans="1:14">
      <c r="A199" s="145" t="s">
        <v>626</v>
      </c>
      <c r="B199" s="146" t="s">
        <v>1545</v>
      </c>
      <c r="C199" s="146" t="s">
        <v>1546</v>
      </c>
      <c r="D199" s="145" t="s">
        <v>1547</v>
      </c>
      <c r="E199" s="146" t="s">
        <v>164</v>
      </c>
      <c r="F199" s="145" t="s">
        <v>1600</v>
      </c>
      <c r="G199" s="146" t="s">
        <v>20</v>
      </c>
      <c r="H199" s="146">
        <v>201603</v>
      </c>
      <c r="I199" s="147">
        <v>0.41</v>
      </c>
      <c r="J199" s="144">
        <f t="shared" si="11"/>
        <v>8</v>
      </c>
      <c r="K199" s="148">
        <v>1.4833299999999999E-3</v>
      </c>
      <c r="L199" s="147">
        <f t="shared" si="9"/>
        <v>0</v>
      </c>
      <c r="M199" s="147">
        <f t="shared" si="10"/>
        <v>0.01</v>
      </c>
      <c r="N199" s="168" t="e">
        <f>VLOOKUP(C199,#REF!,4)</f>
        <v>#REF!</v>
      </c>
    </row>
    <row r="200" spans="1:14">
      <c r="A200" s="145" t="s">
        <v>626</v>
      </c>
      <c r="B200" s="146" t="s">
        <v>1545</v>
      </c>
      <c r="C200" s="146" t="s">
        <v>1546</v>
      </c>
      <c r="D200" s="145" t="s">
        <v>1547</v>
      </c>
      <c r="E200" s="146" t="s">
        <v>164</v>
      </c>
      <c r="F200" s="145" t="s">
        <v>1600</v>
      </c>
      <c r="G200" s="146" t="s">
        <v>20</v>
      </c>
      <c r="H200" s="146">
        <v>201604</v>
      </c>
      <c r="I200" s="147">
        <v>-5.46</v>
      </c>
      <c r="J200" s="144">
        <f t="shared" si="11"/>
        <v>7</v>
      </c>
      <c r="K200" s="148">
        <v>1.4833299999999999E-3</v>
      </c>
      <c r="L200" s="147">
        <f t="shared" si="9"/>
        <v>-0.06</v>
      </c>
      <c r="M200" s="147">
        <f t="shared" si="10"/>
        <v>-0.1</v>
      </c>
      <c r="N200" s="168" t="e">
        <f>VLOOKUP(C200,#REF!,4)</f>
        <v>#REF!</v>
      </c>
    </row>
    <row r="201" spans="1:14">
      <c r="A201" s="145" t="s">
        <v>626</v>
      </c>
      <c r="B201" s="146" t="s">
        <v>1545</v>
      </c>
      <c r="C201" s="146" t="s">
        <v>1546</v>
      </c>
      <c r="D201" s="145" t="s">
        <v>1547</v>
      </c>
      <c r="E201" s="146" t="s">
        <v>164</v>
      </c>
      <c r="F201" s="145" t="s">
        <v>1600</v>
      </c>
      <c r="G201" s="146" t="s">
        <v>20</v>
      </c>
      <c r="H201" s="146">
        <v>201605</v>
      </c>
      <c r="I201" s="147">
        <v>-5.68</v>
      </c>
      <c r="J201" s="144">
        <f t="shared" si="11"/>
        <v>6</v>
      </c>
      <c r="K201" s="148">
        <v>1.4833299999999999E-3</v>
      </c>
      <c r="L201" s="147">
        <f t="shared" si="9"/>
        <v>-0.05</v>
      </c>
      <c r="M201" s="147">
        <f t="shared" si="10"/>
        <v>-0.1</v>
      </c>
      <c r="N201" s="168" t="e">
        <f>VLOOKUP(C201,#REF!,4)</f>
        <v>#REF!</v>
      </c>
    </row>
    <row r="202" spans="1:14">
      <c r="A202" s="145" t="s">
        <v>626</v>
      </c>
      <c r="B202" s="146" t="s">
        <v>1545</v>
      </c>
      <c r="C202" s="146" t="s">
        <v>1546</v>
      </c>
      <c r="D202" s="145" t="s">
        <v>1547</v>
      </c>
      <c r="E202" s="146" t="s">
        <v>164</v>
      </c>
      <c r="F202" s="145" t="s">
        <v>1600</v>
      </c>
      <c r="G202" s="146" t="s">
        <v>20</v>
      </c>
      <c r="H202" s="146">
        <v>201606</v>
      </c>
      <c r="I202" s="147">
        <v>-2.38</v>
      </c>
      <c r="J202" s="144">
        <f t="shared" si="11"/>
        <v>5</v>
      </c>
      <c r="K202" s="148">
        <v>1.4833299999999999E-3</v>
      </c>
      <c r="L202" s="147">
        <f t="shared" si="9"/>
        <v>-0.02</v>
      </c>
      <c r="M202" s="147">
        <f t="shared" si="10"/>
        <v>-0.04</v>
      </c>
      <c r="N202" s="168" t="e">
        <f>VLOOKUP(C202,#REF!,4)</f>
        <v>#REF!</v>
      </c>
    </row>
    <row r="203" spans="1:14">
      <c r="A203" s="145" t="s">
        <v>626</v>
      </c>
      <c r="B203" s="146" t="s">
        <v>1420</v>
      </c>
      <c r="C203" s="146" t="s">
        <v>1421</v>
      </c>
      <c r="D203" s="145" t="s">
        <v>1422</v>
      </c>
      <c r="E203" s="146" t="s">
        <v>260</v>
      </c>
      <c r="F203" s="145" t="s">
        <v>1608</v>
      </c>
      <c r="G203" s="146" t="s">
        <v>20</v>
      </c>
      <c r="H203" s="146">
        <v>201603</v>
      </c>
      <c r="I203" s="147">
        <v>-0.32</v>
      </c>
      <c r="J203" s="144">
        <f t="shared" si="11"/>
        <v>8</v>
      </c>
      <c r="K203" s="148">
        <v>1.4833299999999999E-3</v>
      </c>
      <c r="L203" s="147">
        <f t="shared" si="9"/>
        <v>0</v>
      </c>
      <c r="M203" s="147">
        <f t="shared" si="10"/>
        <v>-0.01</v>
      </c>
      <c r="N203" s="168" t="e">
        <f>VLOOKUP(C203,#REF!,4)</f>
        <v>#REF!</v>
      </c>
    </row>
    <row r="204" spans="1:14">
      <c r="A204" s="145" t="s">
        <v>21</v>
      </c>
      <c r="B204" s="146" t="s">
        <v>1420</v>
      </c>
      <c r="C204" s="146" t="s">
        <v>1421</v>
      </c>
      <c r="D204" s="145" t="s">
        <v>1422</v>
      </c>
      <c r="E204" s="146" t="s">
        <v>260</v>
      </c>
      <c r="F204" s="145" t="s">
        <v>1608</v>
      </c>
      <c r="G204" s="146" t="s">
        <v>20</v>
      </c>
      <c r="H204" s="146">
        <v>201603</v>
      </c>
      <c r="I204" s="147">
        <v>-7.0000000000000007E-2</v>
      </c>
      <c r="J204" s="144">
        <f t="shared" si="11"/>
        <v>8</v>
      </c>
      <c r="K204" s="148">
        <v>1.4833299999999999E-3</v>
      </c>
      <c r="L204" s="147">
        <f t="shared" si="9"/>
        <v>0</v>
      </c>
      <c r="M204" s="147">
        <f t="shared" si="10"/>
        <v>0</v>
      </c>
      <c r="N204" s="168" t="e">
        <f>VLOOKUP(C204,#REF!,4)</f>
        <v>#REF!</v>
      </c>
    </row>
    <row r="205" spans="1:14">
      <c r="A205" s="145" t="s">
        <v>21</v>
      </c>
      <c r="B205" s="146" t="s">
        <v>1420</v>
      </c>
      <c r="C205" s="146" t="s">
        <v>1421</v>
      </c>
      <c r="D205" s="145" t="s">
        <v>1422</v>
      </c>
      <c r="E205" s="146" t="s">
        <v>260</v>
      </c>
      <c r="F205" s="145" t="s">
        <v>1608</v>
      </c>
      <c r="G205" s="146" t="s">
        <v>20</v>
      </c>
      <c r="H205" s="146">
        <v>201604</v>
      </c>
      <c r="I205" s="147">
        <v>12.89</v>
      </c>
      <c r="J205" s="144">
        <f t="shared" si="11"/>
        <v>7</v>
      </c>
      <c r="K205" s="148">
        <v>1.4833299999999999E-3</v>
      </c>
      <c r="L205" s="147">
        <f t="shared" si="9"/>
        <v>0.13</v>
      </c>
      <c r="M205" s="147">
        <f t="shared" si="10"/>
        <v>0.23</v>
      </c>
      <c r="N205" s="168" t="e">
        <f>VLOOKUP(C205,#REF!,4)</f>
        <v>#REF!</v>
      </c>
    </row>
    <row r="206" spans="1:14">
      <c r="A206" s="145" t="s">
        <v>626</v>
      </c>
      <c r="B206" s="146" t="s">
        <v>1420</v>
      </c>
      <c r="C206" s="146" t="s">
        <v>1421</v>
      </c>
      <c r="D206" s="145" t="s">
        <v>1422</v>
      </c>
      <c r="E206" s="146" t="s">
        <v>260</v>
      </c>
      <c r="F206" s="145" t="s">
        <v>1608</v>
      </c>
      <c r="G206" s="146" t="s">
        <v>20</v>
      </c>
      <c r="H206" s="146">
        <v>201604</v>
      </c>
      <c r="I206" s="147">
        <v>50.22</v>
      </c>
      <c r="J206" s="144">
        <f t="shared" si="11"/>
        <v>7</v>
      </c>
      <c r="K206" s="148">
        <v>1.4833299999999999E-3</v>
      </c>
      <c r="L206" s="147">
        <f t="shared" si="9"/>
        <v>0.52</v>
      </c>
      <c r="M206" s="147">
        <f t="shared" si="10"/>
        <v>0.89</v>
      </c>
      <c r="N206" s="168" t="e">
        <f>VLOOKUP(C206,#REF!,4)</f>
        <v>#REF!</v>
      </c>
    </row>
    <row r="207" spans="1:14">
      <c r="A207" s="145" t="s">
        <v>21</v>
      </c>
      <c r="B207" s="146" t="s">
        <v>1420</v>
      </c>
      <c r="C207" s="146" t="s">
        <v>1421</v>
      </c>
      <c r="D207" s="145" t="s">
        <v>1422</v>
      </c>
      <c r="E207" s="146" t="s">
        <v>260</v>
      </c>
      <c r="F207" s="145" t="s">
        <v>1608</v>
      </c>
      <c r="G207" s="146" t="s">
        <v>20</v>
      </c>
      <c r="H207" s="146">
        <v>201605</v>
      </c>
      <c r="I207" s="147">
        <v>9.2899999999999991</v>
      </c>
      <c r="J207" s="144">
        <f t="shared" si="11"/>
        <v>6</v>
      </c>
      <c r="K207" s="148">
        <v>1.4833299999999999E-3</v>
      </c>
      <c r="L207" s="147">
        <f t="shared" si="9"/>
        <v>0.08</v>
      </c>
      <c r="M207" s="147">
        <f t="shared" si="10"/>
        <v>0.17</v>
      </c>
      <c r="N207" s="168" t="e">
        <f>VLOOKUP(C207,#REF!,4)</f>
        <v>#REF!</v>
      </c>
    </row>
    <row r="208" spans="1:14">
      <c r="A208" s="145" t="s">
        <v>626</v>
      </c>
      <c r="B208" s="146" t="s">
        <v>1420</v>
      </c>
      <c r="C208" s="146" t="s">
        <v>1421</v>
      </c>
      <c r="D208" s="145" t="s">
        <v>1422</v>
      </c>
      <c r="E208" s="146" t="s">
        <v>260</v>
      </c>
      <c r="F208" s="145" t="s">
        <v>1608</v>
      </c>
      <c r="G208" s="146" t="s">
        <v>20</v>
      </c>
      <c r="H208" s="146">
        <v>201605</v>
      </c>
      <c r="I208" s="147">
        <v>36.15</v>
      </c>
      <c r="J208" s="144">
        <f t="shared" si="11"/>
        <v>6</v>
      </c>
      <c r="K208" s="148">
        <v>1.4833299999999999E-3</v>
      </c>
      <c r="L208" s="147">
        <f t="shared" si="9"/>
        <v>0.32</v>
      </c>
      <c r="M208" s="147">
        <f t="shared" si="10"/>
        <v>0.64</v>
      </c>
      <c r="N208" s="168" t="e">
        <f>VLOOKUP(C208,#REF!,4)</f>
        <v>#REF!</v>
      </c>
    </row>
    <row r="209" spans="1:14">
      <c r="A209" s="145" t="s">
        <v>21</v>
      </c>
      <c r="B209" s="146" t="s">
        <v>1420</v>
      </c>
      <c r="C209" s="146" t="s">
        <v>1421</v>
      </c>
      <c r="D209" s="145" t="s">
        <v>1422</v>
      </c>
      <c r="E209" s="146" t="s">
        <v>260</v>
      </c>
      <c r="F209" s="145" t="s">
        <v>1608</v>
      </c>
      <c r="G209" s="146" t="s">
        <v>20</v>
      </c>
      <c r="H209" s="146">
        <v>201606</v>
      </c>
      <c r="I209" s="147">
        <v>5.62</v>
      </c>
      <c r="J209" s="144">
        <f t="shared" si="11"/>
        <v>5</v>
      </c>
      <c r="K209" s="148">
        <v>1.4833299999999999E-3</v>
      </c>
      <c r="L209" s="147">
        <f t="shared" si="9"/>
        <v>0.04</v>
      </c>
      <c r="M209" s="147">
        <f t="shared" si="10"/>
        <v>0.1</v>
      </c>
      <c r="N209" s="168" t="e">
        <f>VLOOKUP(C209,#REF!,4)</f>
        <v>#REF!</v>
      </c>
    </row>
    <row r="210" spans="1:14">
      <c r="A210" s="145" t="s">
        <v>626</v>
      </c>
      <c r="B210" s="146" t="s">
        <v>1420</v>
      </c>
      <c r="C210" s="146" t="s">
        <v>1421</v>
      </c>
      <c r="D210" s="145" t="s">
        <v>1422</v>
      </c>
      <c r="E210" s="146" t="s">
        <v>260</v>
      </c>
      <c r="F210" s="145" t="s">
        <v>1608</v>
      </c>
      <c r="G210" s="146" t="s">
        <v>20</v>
      </c>
      <c r="H210" s="146">
        <v>201606</v>
      </c>
      <c r="I210" s="147">
        <v>21.97</v>
      </c>
      <c r="J210" s="144">
        <f t="shared" si="11"/>
        <v>5</v>
      </c>
      <c r="K210" s="148">
        <v>1.4833299999999999E-3</v>
      </c>
      <c r="L210" s="147">
        <f t="shared" si="9"/>
        <v>0.16</v>
      </c>
      <c r="M210" s="147">
        <f t="shared" si="10"/>
        <v>0.39</v>
      </c>
      <c r="N210" s="168" t="e">
        <f>VLOOKUP(C210,#REF!,4)</f>
        <v>#REF!</v>
      </c>
    </row>
    <row r="211" spans="1:14">
      <c r="A211" s="145" t="s">
        <v>626</v>
      </c>
      <c r="B211" s="146" t="s">
        <v>1268</v>
      </c>
      <c r="C211" s="146" t="s">
        <v>1269</v>
      </c>
      <c r="D211" s="145" t="s">
        <v>1270</v>
      </c>
      <c r="E211" s="146" t="s">
        <v>260</v>
      </c>
      <c r="F211" s="145" t="s">
        <v>1608</v>
      </c>
      <c r="G211" s="146" t="s">
        <v>20</v>
      </c>
      <c r="H211" s="146">
        <v>201603</v>
      </c>
      <c r="I211" s="147">
        <v>-15.01</v>
      </c>
      <c r="J211" s="144">
        <f t="shared" si="11"/>
        <v>8</v>
      </c>
      <c r="K211" s="148">
        <v>1.4833299999999999E-3</v>
      </c>
      <c r="L211" s="147">
        <f t="shared" si="9"/>
        <v>-0.18</v>
      </c>
      <c r="M211" s="147">
        <f t="shared" si="10"/>
        <v>-0.27</v>
      </c>
      <c r="N211" s="168" t="e">
        <f>VLOOKUP(C211,#REF!,4)</f>
        <v>#REF!</v>
      </c>
    </row>
    <row r="212" spans="1:14">
      <c r="A212" s="145" t="s">
        <v>626</v>
      </c>
      <c r="B212" s="146" t="s">
        <v>1268</v>
      </c>
      <c r="C212" s="146" t="s">
        <v>1269</v>
      </c>
      <c r="D212" s="145" t="s">
        <v>1270</v>
      </c>
      <c r="E212" s="146" t="s">
        <v>260</v>
      </c>
      <c r="F212" s="145" t="s">
        <v>1608</v>
      </c>
      <c r="G212" s="146" t="s">
        <v>20</v>
      </c>
      <c r="H212" s="146">
        <v>201604</v>
      </c>
      <c r="I212" s="147">
        <v>-0.31</v>
      </c>
      <c r="J212" s="144">
        <f t="shared" si="11"/>
        <v>7</v>
      </c>
      <c r="K212" s="148">
        <v>1.4833299999999999E-3</v>
      </c>
      <c r="L212" s="147">
        <f t="shared" si="9"/>
        <v>0</v>
      </c>
      <c r="M212" s="147">
        <f t="shared" si="10"/>
        <v>-0.01</v>
      </c>
      <c r="N212" s="168" t="e">
        <f>VLOOKUP(C212,#REF!,4)</f>
        <v>#REF!</v>
      </c>
    </row>
    <row r="213" spans="1:14">
      <c r="A213" s="145" t="s">
        <v>626</v>
      </c>
      <c r="B213" s="146" t="s">
        <v>1268</v>
      </c>
      <c r="C213" s="146" t="s">
        <v>1269</v>
      </c>
      <c r="D213" s="145" t="s">
        <v>1270</v>
      </c>
      <c r="E213" s="146" t="s">
        <v>260</v>
      </c>
      <c r="F213" s="145" t="s">
        <v>1608</v>
      </c>
      <c r="G213" s="146" t="s">
        <v>20</v>
      </c>
      <c r="H213" s="146">
        <v>201605</v>
      </c>
      <c r="I213" s="147">
        <v>-0.17</v>
      </c>
      <c r="J213" s="144">
        <f t="shared" si="11"/>
        <v>6</v>
      </c>
      <c r="K213" s="148">
        <v>1.4833299999999999E-3</v>
      </c>
      <c r="L213" s="147">
        <f t="shared" si="9"/>
        <v>0</v>
      </c>
      <c r="M213" s="147">
        <f t="shared" si="10"/>
        <v>0</v>
      </c>
      <c r="N213" s="168" t="e">
        <f>VLOOKUP(C213,#REF!,4)</f>
        <v>#REF!</v>
      </c>
    </row>
    <row r="214" spans="1:14">
      <c r="A214" s="145" t="s">
        <v>626</v>
      </c>
      <c r="B214" s="146" t="s">
        <v>1268</v>
      </c>
      <c r="C214" s="146" t="s">
        <v>1269</v>
      </c>
      <c r="D214" s="145" t="s">
        <v>1270</v>
      </c>
      <c r="E214" s="146" t="s">
        <v>260</v>
      </c>
      <c r="F214" s="145" t="s">
        <v>1608</v>
      </c>
      <c r="G214" s="146" t="s">
        <v>20</v>
      </c>
      <c r="H214" s="146">
        <v>201606</v>
      </c>
      <c r="I214" s="147">
        <v>-0.13</v>
      </c>
      <c r="J214" s="144">
        <f t="shared" si="11"/>
        <v>5</v>
      </c>
      <c r="K214" s="148">
        <v>1.4833299999999999E-3</v>
      </c>
      <c r="L214" s="147">
        <f t="shared" si="9"/>
        <v>0</v>
      </c>
      <c r="M214" s="147">
        <f t="shared" si="10"/>
        <v>0</v>
      </c>
      <c r="N214" s="168" t="e">
        <f>VLOOKUP(C214,#REF!,4)</f>
        <v>#REF!</v>
      </c>
    </row>
    <row r="215" spans="1:14">
      <c r="A215" s="145" t="s">
        <v>127</v>
      </c>
      <c r="B215" s="146" t="s">
        <v>1785</v>
      </c>
      <c r="C215" s="146" t="s">
        <v>1786</v>
      </c>
      <c r="D215" s="145" t="s">
        <v>1787</v>
      </c>
      <c r="E215" s="146" t="s">
        <v>1580</v>
      </c>
      <c r="F215" s="145" t="s">
        <v>217</v>
      </c>
      <c r="G215" s="146" t="s">
        <v>20</v>
      </c>
      <c r="H215" s="146">
        <v>201603</v>
      </c>
      <c r="I215" s="147">
        <v>-32.619999999999997</v>
      </c>
      <c r="J215" s="144">
        <f t="shared" si="11"/>
        <v>8</v>
      </c>
      <c r="K215" s="148">
        <v>2.3833299999999999E-3</v>
      </c>
      <c r="L215" s="147">
        <f t="shared" si="9"/>
        <v>-0.62</v>
      </c>
      <c r="M215" s="147">
        <f t="shared" si="10"/>
        <v>-0.93</v>
      </c>
      <c r="N215" s="168" t="e">
        <f>VLOOKUP(C215,#REF!,4)</f>
        <v>#REF!</v>
      </c>
    </row>
    <row r="216" spans="1:14">
      <c r="A216" s="145" t="s">
        <v>127</v>
      </c>
      <c r="B216" s="146" t="s">
        <v>1785</v>
      </c>
      <c r="C216" s="146" t="s">
        <v>1786</v>
      </c>
      <c r="D216" s="145" t="s">
        <v>1787</v>
      </c>
      <c r="E216" s="146" t="s">
        <v>1580</v>
      </c>
      <c r="F216" s="145" t="s">
        <v>217</v>
      </c>
      <c r="G216" s="146" t="s">
        <v>20</v>
      </c>
      <c r="H216" s="146">
        <v>201604</v>
      </c>
      <c r="I216" s="147">
        <v>105.33</v>
      </c>
      <c r="J216" s="144">
        <f t="shared" si="11"/>
        <v>7</v>
      </c>
      <c r="K216" s="148">
        <v>2.3833299999999999E-3</v>
      </c>
      <c r="L216" s="147">
        <f t="shared" si="9"/>
        <v>1.76</v>
      </c>
      <c r="M216" s="147">
        <f t="shared" si="10"/>
        <v>3.01</v>
      </c>
      <c r="N216" s="168" t="e">
        <f>VLOOKUP(C216,#REF!,4)</f>
        <v>#REF!</v>
      </c>
    </row>
    <row r="217" spans="1:14">
      <c r="A217" s="145" t="s">
        <v>127</v>
      </c>
      <c r="B217" s="146" t="s">
        <v>1785</v>
      </c>
      <c r="C217" s="146" t="s">
        <v>1786</v>
      </c>
      <c r="D217" s="145" t="s">
        <v>1787</v>
      </c>
      <c r="E217" s="146" t="s">
        <v>1580</v>
      </c>
      <c r="F217" s="145" t="s">
        <v>217</v>
      </c>
      <c r="G217" s="146" t="s">
        <v>20</v>
      </c>
      <c r="H217" s="146">
        <v>201605</v>
      </c>
      <c r="I217" s="147">
        <v>59.36</v>
      </c>
      <c r="J217" s="144">
        <f t="shared" si="11"/>
        <v>6</v>
      </c>
      <c r="K217" s="148">
        <v>2.3833299999999999E-3</v>
      </c>
      <c r="L217" s="147">
        <f t="shared" si="9"/>
        <v>0.85</v>
      </c>
      <c r="M217" s="147">
        <f t="shared" si="10"/>
        <v>1.7</v>
      </c>
      <c r="N217" s="168" t="e">
        <f>VLOOKUP(C217,#REF!,4)</f>
        <v>#REF!</v>
      </c>
    </row>
    <row r="218" spans="1:14">
      <c r="A218" s="145" t="s">
        <v>127</v>
      </c>
      <c r="B218" s="146" t="s">
        <v>1785</v>
      </c>
      <c r="C218" s="146" t="s">
        <v>1786</v>
      </c>
      <c r="D218" s="145" t="s">
        <v>1787</v>
      </c>
      <c r="E218" s="146" t="s">
        <v>1580</v>
      </c>
      <c r="F218" s="145" t="s">
        <v>217</v>
      </c>
      <c r="G218" s="146" t="s">
        <v>20</v>
      </c>
      <c r="H218" s="146">
        <v>201606</v>
      </c>
      <c r="I218" s="147">
        <v>38.68</v>
      </c>
      <c r="J218" s="144">
        <f t="shared" si="11"/>
        <v>5</v>
      </c>
      <c r="K218" s="148">
        <v>2.3833299999999999E-3</v>
      </c>
      <c r="L218" s="147">
        <f t="shared" si="9"/>
        <v>0.46</v>
      </c>
      <c r="M218" s="147">
        <f t="shared" si="10"/>
        <v>1.1100000000000001</v>
      </c>
      <c r="N218" s="168" t="e">
        <f>VLOOKUP(C218,#REF!,4)</f>
        <v>#REF!</v>
      </c>
    </row>
    <row r="219" spans="1:14">
      <c r="A219" s="145" t="s">
        <v>626</v>
      </c>
      <c r="B219" s="146" t="s">
        <v>1508</v>
      </c>
      <c r="C219" s="146" t="s">
        <v>1509</v>
      </c>
      <c r="D219" s="145" t="s">
        <v>1510</v>
      </c>
      <c r="E219" s="146" t="s">
        <v>75</v>
      </c>
      <c r="F219" s="145" t="s">
        <v>1602</v>
      </c>
      <c r="G219" s="146" t="s">
        <v>20</v>
      </c>
      <c r="H219" s="146">
        <v>201604</v>
      </c>
      <c r="I219" s="147">
        <v>1627.66</v>
      </c>
      <c r="J219" s="144">
        <f t="shared" si="11"/>
        <v>7</v>
      </c>
      <c r="K219" s="148">
        <v>1.4833299999999999E-3</v>
      </c>
      <c r="L219" s="147">
        <f t="shared" si="9"/>
        <v>16.899999999999999</v>
      </c>
      <c r="M219" s="147">
        <f t="shared" si="10"/>
        <v>28.97</v>
      </c>
      <c r="N219" s="168" t="e">
        <f>VLOOKUP(C219,#REF!,4)</f>
        <v>#REF!</v>
      </c>
    </row>
    <row r="220" spans="1:14">
      <c r="A220" s="145" t="s">
        <v>626</v>
      </c>
      <c r="B220" s="146" t="s">
        <v>1508</v>
      </c>
      <c r="C220" s="146" t="s">
        <v>1509</v>
      </c>
      <c r="D220" s="145" t="s">
        <v>1510</v>
      </c>
      <c r="E220" s="146" t="s">
        <v>75</v>
      </c>
      <c r="F220" s="145" t="s">
        <v>1602</v>
      </c>
      <c r="G220" s="146" t="s">
        <v>20</v>
      </c>
      <c r="H220" s="146">
        <v>201605</v>
      </c>
      <c r="I220" s="147">
        <v>26.15</v>
      </c>
      <c r="J220" s="144">
        <f t="shared" si="11"/>
        <v>6</v>
      </c>
      <c r="K220" s="148">
        <v>1.4833299999999999E-3</v>
      </c>
      <c r="L220" s="147">
        <f t="shared" si="9"/>
        <v>0.23</v>
      </c>
      <c r="M220" s="147">
        <f t="shared" si="10"/>
        <v>0.47</v>
      </c>
      <c r="N220" s="168" t="e">
        <f>VLOOKUP(C220,#REF!,4)</f>
        <v>#REF!</v>
      </c>
    </row>
    <row r="221" spans="1:14">
      <c r="A221" s="145" t="s">
        <v>626</v>
      </c>
      <c r="B221" s="146" t="s">
        <v>1508</v>
      </c>
      <c r="C221" s="146" t="s">
        <v>1509</v>
      </c>
      <c r="D221" s="145" t="s">
        <v>1510</v>
      </c>
      <c r="E221" s="146" t="s">
        <v>75</v>
      </c>
      <c r="F221" s="145" t="s">
        <v>1602</v>
      </c>
      <c r="G221" s="146" t="s">
        <v>20</v>
      </c>
      <c r="H221" s="146">
        <v>201606</v>
      </c>
      <c r="I221" s="147">
        <v>12.8</v>
      </c>
      <c r="J221" s="144">
        <f t="shared" si="11"/>
        <v>5</v>
      </c>
      <c r="K221" s="148">
        <v>1.4833299999999999E-3</v>
      </c>
      <c r="L221" s="147">
        <f t="shared" si="9"/>
        <v>0.09</v>
      </c>
      <c r="M221" s="147">
        <f t="shared" si="10"/>
        <v>0.23</v>
      </c>
      <c r="N221" s="168" t="e">
        <f>VLOOKUP(C221,#REF!,4)</f>
        <v>#REF!</v>
      </c>
    </row>
    <row r="222" spans="1:14">
      <c r="A222" s="145" t="s">
        <v>626</v>
      </c>
      <c r="B222" s="146" t="s">
        <v>1829</v>
      </c>
      <c r="C222" s="146" t="s">
        <v>1830</v>
      </c>
      <c r="D222" s="145" t="s">
        <v>1831</v>
      </c>
      <c r="E222" s="146" t="s">
        <v>497</v>
      </c>
      <c r="F222" s="145" t="s">
        <v>26</v>
      </c>
      <c r="G222" s="146" t="s">
        <v>20</v>
      </c>
      <c r="H222" s="146">
        <v>201603</v>
      </c>
      <c r="I222" s="147">
        <v>-2.4700000000000002</v>
      </c>
      <c r="J222" s="144">
        <f t="shared" si="11"/>
        <v>8</v>
      </c>
      <c r="K222" s="148">
        <v>1.4833299999999999E-3</v>
      </c>
      <c r="L222" s="147">
        <f t="shared" si="9"/>
        <v>-0.03</v>
      </c>
      <c r="M222" s="147">
        <f t="shared" si="10"/>
        <v>-0.04</v>
      </c>
      <c r="N222" s="168" t="e">
        <f>VLOOKUP(C222,#REF!,4)</f>
        <v>#REF!</v>
      </c>
    </row>
    <row r="223" spans="1:14">
      <c r="A223" s="145" t="s">
        <v>626</v>
      </c>
      <c r="B223" s="146" t="s">
        <v>1829</v>
      </c>
      <c r="C223" s="146" t="s">
        <v>1830</v>
      </c>
      <c r="D223" s="145" t="s">
        <v>1831</v>
      </c>
      <c r="E223" s="146" t="s">
        <v>497</v>
      </c>
      <c r="F223" s="145" t="s">
        <v>26</v>
      </c>
      <c r="G223" s="146" t="s">
        <v>20</v>
      </c>
      <c r="H223" s="146">
        <v>201604</v>
      </c>
      <c r="I223" s="147">
        <v>-4636.46</v>
      </c>
      <c r="J223" s="144">
        <f t="shared" si="11"/>
        <v>7</v>
      </c>
      <c r="K223" s="148">
        <v>1.4833299999999999E-3</v>
      </c>
      <c r="L223" s="147">
        <f t="shared" si="9"/>
        <v>-48.14</v>
      </c>
      <c r="M223" s="147">
        <f t="shared" si="10"/>
        <v>-82.53</v>
      </c>
      <c r="N223" s="168" t="e">
        <f>VLOOKUP(C223,#REF!,4)</f>
        <v>#REF!</v>
      </c>
    </row>
    <row r="224" spans="1:14">
      <c r="A224" s="145" t="s">
        <v>21</v>
      </c>
      <c r="B224" s="146" t="s">
        <v>1829</v>
      </c>
      <c r="C224" s="146" t="s">
        <v>1830</v>
      </c>
      <c r="D224" s="145" t="s">
        <v>1831</v>
      </c>
      <c r="E224" s="146" t="s">
        <v>497</v>
      </c>
      <c r="F224" s="145" t="s">
        <v>26</v>
      </c>
      <c r="G224" s="146" t="s">
        <v>20</v>
      </c>
      <c r="H224" s="146">
        <v>201604</v>
      </c>
      <c r="I224" s="147">
        <v>4671.67</v>
      </c>
      <c r="J224" s="144">
        <f t="shared" si="11"/>
        <v>7</v>
      </c>
      <c r="K224" s="148">
        <v>1.4833299999999999E-3</v>
      </c>
      <c r="L224" s="147">
        <f t="shared" si="9"/>
        <v>48.51</v>
      </c>
      <c r="M224" s="147">
        <f t="shared" si="10"/>
        <v>83.16</v>
      </c>
      <c r="N224" s="168" t="e">
        <f>VLOOKUP(C224,#REF!,4)</f>
        <v>#REF!</v>
      </c>
    </row>
    <row r="225" spans="1:14">
      <c r="A225" s="145" t="s">
        <v>21</v>
      </c>
      <c r="B225" s="146" t="s">
        <v>1829</v>
      </c>
      <c r="C225" s="146" t="s">
        <v>1830</v>
      </c>
      <c r="D225" s="145" t="s">
        <v>1831</v>
      </c>
      <c r="E225" s="146" t="s">
        <v>497</v>
      </c>
      <c r="F225" s="145" t="s">
        <v>26</v>
      </c>
      <c r="G225" s="146" t="s">
        <v>20</v>
      </c>
      <c r="H225" s="146">
        <v>201605</v>
      </c>
      <c r="I225" s="147">
        <v>3.95</v>
      </c>
      <c r="J225" s="144">
        <f t="shared" si="11"/>
        <v>6</v>
      </c>
      <c r="K225" s="148">
        <v>1.4833299999999999E-3</v>
      </c>
      <c r="L225" s="147">
        <f t="shared" si="9"/>
        <v>0.04</v>
      </c>
      <c r="M225" s="147">
        <f t="shared" si="10"/>
        <v>7.0000000000000007E-2</v>
      </c>
      <c r="N225" s="168" t="e">
        <f>VLOOKUP(C225,#REF!,4)</f>
        <v>#REF!</v>
      </c>
    </row>
    <row r="226" spans="1:14">
      <c r="A226" s="145" t="s">
        <v>626</v>
      </c>
      <c r="B226" s="146" t="s">
        <v>1829</v>
      </c>
      <c r="C226" s="146" t="s">
        <v>1830</v>
      </c>
      <c r="D226" s="145" t="s">
        <v>1831</v>
      </c>
      <c r="E226" s="146" t="s">
        <v>497</v>
      </c>
      <c r="F226" s="145" t="s">
        <v>26</v>
      </c>
      <c r="G226" s="146" t="s">
        <v>20</v>
      </c>
      <c r="H226" s="146">
        <v>201605</v>
      </c>
      <c r="I226" s="147">
        <v>26.87</v>
      </c>
      <c r="J226" s="144">
        <f t="shared" si="11"/>
        <v>6</v>
      </c>
      <c r="K226" s="148">
        <v>1.4833299999999999E-3</v>
      </c>
      <c r="L226" s="147">
        <f t="shared" si="9"/>
        <v>0.24</v>
      </c>
      <c r="M226" s="147">
        <f t="shared" si="10"/>
        <v>0.48</v>
      </c>
      <c r="N226" s="168" t="e">
        <f>VLOOKUP(C226,#REF!,4)</f>
        <v>#REF!</v>
      </c>
    </row>
    <row r="227" spans="1:14">
      <c r="A227" s="145" t="s">
        <v>21</v>
      </c>
      <c r="B227" s="146" t="s">
        <v>1829</v>
      </c>
      <c r="C227" s="146" t="s">
        <v>1830</v>
      </c>
      <c r="D227" s="145" t="s">
        <v>1831</v>
      </c>
      <c r="E227" s="146" t="s">
        <v>497</v>
      </c>
      <c r="F227" s="145" t="s">
        <v>26</v>
      </c>
      <c r="G227" s="146" t="s">
        <v>20</v>
      </c>
      <c r="H227" s="146">
        <v>201606</v>
      </c>
      <c r="I227" s="147">
        <v>1.98</v>
      </c>
      <c r="J227" s="144">
        <f t="shared" si="11"/>
        <v>5</v>
      </c>
      <c r="K227" s="148">
        <v>1.4833299999999999E-3</v>
      </c>
      <c r="L227" s="147">
        <f t="shared" si="9"/>
        <v>0.01</v>
      </c>
      <c r="M227" s="147">
        <f t="shared" si="10"/>
        <v>0.04</v>
      </c>
      <c r="N227" s="168" t="e">
        <f>VLOOKUP(C227,#REF!,4)</f>
        <v>#REF!</v>
      </c>
    </row>
    <row r="228" spans="1:14">
      <c r="A228" s="145" t="s">
        <v>626</v>
      </c>
      <c r="B228" s="146" t="s">
        <v>1829</v>
      </c>
      <c r="C228" s="146" t="s">
        <v>1830</v>
      </c>
      <c r="D228" s="145" t="s">
        <v>1831</v>
      </c>
      <c r="E228" s="146" t="s">
        <v>497</v>
      </c>
      <c r="F228" s="145" t="s">
        <v>26</v>
      </c>
      <c r="G228" s="146" t="s">
        <v>20</v>
      </c>
      <c r="H228" s="146">
        <v>201606</v>
      </c>
      <c r="I228" s="147">
        <v>13.39</v>
      </c>
      <c r="J228" s="144">
        <f t="shared" si="11"/>
        <v>5</v>
      </c>
      <c r="K228" s="148">
        <v>1.4833299999999999E-3</v>
      </c>
      <c r="L228" s="147">
        <f t="shared" si="9"/>
        <v>0.1</v>
      </c>
      <c r="M228" s="147">
        <f t="shared" si="10"/>
        <v>0.24</v>
      </c>
      <c r="N228" s="168" t="e">
        <f>VLOOKUP(C228,#REF!,4)</f>
        <v>#REF!</v>
      </c>
    </row>
    <row r="229" spans="1:14">
      <c r="A229" s="145" t="s">
        <v>626</v>
      </c>
      <c r="B229" s="146" t="s">
        <v>1709</v>
      </c>
      <c r="C229" s="146" t="s">
        <v>1710</v>
      </c>
      <c r="D229" s="145" t="s">
        <v>1711</v>
      </c>
      <c r="E229" s="146" t="s">
        <v>497</v>
      </c>
      <c r="F229" s="145" t="s">
        <v>26</v>
      </c>
      <c r="G229" s="146" t="s">
        <v>20</v>
      </c>
      <c r="H229" s="146">
        <v>201603</v>
      </c>
      <c r="I229" s="147">
        <v>-0.3</v>
      </c>
      <c r="J229" s="144">
        <f t="shared" si="11"/>
        <v>8</v>
      </c>
      <c r="K229" s="148">
        <v>1.4833299999999999E-3</v>
      </c>
      <c r="L229" s="147">
        <f t="shared" si="9"/>
        <v>0</v>
      </c>
      <c r="M229" s="147">
        <f t="shared" si="10"/>
        <v>-0.01</v>
      </c>
      <c r="N229" s="168" t="e">
        <f>VLOOKUP(C229,#REF!,4)</f>
        <v>#REF!</v>
      </c>
    </row>
    <row r="230" spans="1:14">
      <c r="A230" s="145" t="s">
        <v>626</v>
      </c>
      <c r="B230" s="146" t="s">
        <v>1709</v>
      </c>
      <c r="C230" s="146" t="s">
        <v>1710</v>
      </c>
      <c r="D230" s="145" t="s">
        <v>1711</v>
      </c>
      <c r="E230" s="146" t="s">
        <v>497</v>
      </c>
      <c r="F230" s="145" t="s">
        <v>26</v>
      </c>
      <c r="G230" s="146" t="s">
        <v>20</v>
      </c>
      <c r="H230" s="146">
        <v>201604</v>
      </c>
      <c r="I230" s="147">
        <v>5.1100000000000003</v>
      </c>
      <c r="J230" s="144">
        <f t="shared" si="11"/>
        <v>7</v>
      </c>
      <c r="K230" s="148">
        <v>1.4833299999999999E-3</v>
      </c>
      <c r="L230" s="147">
        <f t="shared" si="9"/>
        <v>0.05</v>
      </c>
      <c r="M230" s="147">
        <f t="shared" si="10"/>
        <v>0.09</v>
      </c>
      <c r="N230" s="168" t="e">
        <f>VLOOKUP(C230,#REF!,4)</f>
        <v>#REF!</v>
      </c>
    </row>
    <row r="231" spans="1:14">
      <c r="A231" s="145" t="s">
        <v>626</v>
      </c>
      <c r="B231" s="146" t="s">
        <v>1709</v>
      </c>
      <c r="C231" s="146" t="s">
        <v>1710</v>
      </c>
      <c r="D231" s="145" t="s">
        <v>1711</v>
      </c>
      <c r="E231" s="146" t="s">
        <v>497</v>
      </c>
      <c r="F231" s="145" t="s">
        <v>26</v>
      </c>
      <c r="G231" s="146" t="s">
        <v>20</v>
      </c>
      <c r="H231" s="146">
        <v>201605</v>
      </c>
      <c r="I231" s="147">
        <v>5.28</v>
      </c>
      <c r="J231" s="144">
        <f t="shared" si="11"/>
        <v>6</v>
      </c>
      <c r="K231" s="148">
        <v>1.4833299999999999E-3</v>
      </c>
      <c r="L231" s="147">
        <f t="shared" si="9"/>
        <v>0.05</v>
      </c>
      <c r="M231" s="147">
        <f t="shared" si="10"/>
        <v>0.09</v>
      </c>
      <c r="N231" s="168" t="e">
        <f>VLOOKUP(C231,#REF!,4)</f>
        <v>#REF!</v>
      </c>
    </row>
    <row r="232" spans="1:14">
      <c r="A232" s="145" t="s">
        <v>626</v>
      </c>
      <c r="B232" s="146" t="s">
        <v>1709</v>
      </c>
      <c r="C232" s="146" t="s">
        <v>1710</v>
      </c>
      <c r="D232" s="145" t="s">
        <v>1711</v>
      </c>
      <c r="E232" s="146" t="s">
        <v>497</v>
      </c>
      <c r="F232" s="145" t="s">
        <v>26</v>
      </c>
      <c r="G232" s="146" t="s">
        <v>20</v>
      </c>
      <c r="H232" s="146">
        <v>201606</v>
      </c>
      <c r="I232" s="147">
        <v>2.2200000000000002</v>
      </c>
      <c r="J232" s="144">
        <f t="shared" si="11"/>
        <v>5</v>
      </c>
      <c r="K232" s="148">
        <v>1.4833299999999999E-3</v>
      </c>
      <c r="L232" s="147">
        <f t="shared" si="9"/>
        <v>0.02</v>
      </c>
      <c r="M232" s="147">
        <f t="shared" si="10"/>
        <v>0.04</v>
      </c>
      <c r="N232" s="168" t="e">
        <f>VLOOKUP(C232,#REF!,4)</f>
        <v>#REF!</v>
      </c>
    </row>
    <row r="233" spans="1:14">
      <c r="A233" s="145" t="s">
        <v>626</v>
      </c>
      <c r="B233" s="146" t="s">
        <v>1861</v>
      </c>
      <c r="C233" s="146" t="s">
        <v>1862</v>
      </c>
      <c r="D233" s="145" t="s">
        <v>1863</v>
      </c>
      <c r="E233" s="146" t="s">
        <v>75</v>
      </c>
      <c r="F233" s="145" t="s">
        <v>1602</v>
      </c>
      <c r="G233" s="146" t="s">
        <v>20</v>
      </c>
      <c r="H233" s="146">
        <v>201603</v>
      </c>
      <c r="I233" s="147">
        <v>-251.67</v>
      </c>
      <c r="J233" s="144">
        <f t="shared" si="11"/>
        <v>8</v>
      </c>
      <c r="K233" s="148">
        <v>1.4833299999999999E-3</v>
      </c>
      <c r="L233" s="147">
        <f t="shared" si="9"/>
        <v>-2.99</v>
      </c>
      <c r="M233" s="147">
        <f t="shared" si="10"/>
        <v>-4.4800000000000004</v>
      </c>
      <c r="N233" s="168" t="e">
        <f>VLOOKUP(C233,#REF!,4)</f>
        <v>#REF!</v>
      </c>
    </row>
    <row r="234" spans="1:14">
      <c r="A234" s="145" t="s">
        <v>626</v>
      </c>
      <c r="B234" s="146" t="s">
        <v>1861</v>
      </c>
      <c r="C234" s="146" t="s">
        <v>1862</v>
      </c>
      <c r="D234" s="145" t="s">
        <v>1863</v>
      </c>
      <c r="E234" s="146" t="s">
        <v>75</v>
      </c>
      <c r="F234" s="145" t="s">
        <v>1602</v>
      </c>
      <c r="G234" s="146" t="s">
        <v>20</v>
      </c>
      <c r="H234" s="146">
        <v>201604</v>
      </c>
      <c r="I234" s="147">
        <v>587.9</v>
      </c>
      <c r="J234" s="144">
        <f t="shared" si="11"/>
        <v>7</v>
      </c>
      <c r="K234" s="148">
        <v>1.4833299999999999E-3</v>
      </c>
      <c r="L234" s="147">
        <f t="shared" si="9"/>
        <v>6.1</v>
      </c>
      <c r="M234" s="147">
        <f t="shared" si="10"/>
        <v>10.46</v>
      </c>
      <c r="N234" s="168" t="e">
        <f>VLOOKUP(C234,#REF!,4)</f>
        <v>#REF!</v>
      </c>
    </row>
    <row r="235" spans="1:14">
      <c r="A235" s="145" t="s">
        <v>626</v>
      </c>
      <c r="B235" s="146" t="s">
        <v>1861</v>
      </c>
      <c r="C235" s="146" t="s">
        <v>1862</v>
      </c>
      <c r="D235" s="145" t="s">
        <v>1863</v>
      </c>
      <c r="E235" s="146" t="s">
        <v>75</v>
      </c>
      <c r="F235" s="145" t="s">
        <v>1602</v>
      </c>
      <c r="G235" s="146" t="s">
        <v>20</v>
      </c>
      <c r="H235" s="146">
        <v>201605</v>
      </c>
      <c r="I235" s="147">
        <v>576.08000000000004</v>
      </c>
      <c r="J235" s="144">
        <f t="shared" si="11"/>
        <v>6</v>
      </c>
      <c r="K235" s="148">
        <v>1.4833299999999999E-3</v>
      </c>
      <c r="L235" s="147">
        <f t="shared" si="9"/>
        <v>5.13</v>
      </c>
      <c r="M235" s="147">
        <f t="shared" si="10"/>
        <v>10.25</v>
      </c>
      <c r="N235" s="168" t="e">
        <f>VLOOKUP(C235,#REF!,4)</f>
        <v>#REF!</v>
      </c>
    </row>
    <row r="236" spans="1:14">
      <c r="A236" s="145" t="s">
        <v>626</v>
      </c>
      <c r="B236" s="146" t="s">
        <v>1861</v>
      </c>
      <c r="C236" s="146" t="s">
        <v>1862</v>
      </c>
      <c r="D236" s="145" t="s">
        <v>1863</v>
      </c>
      <c r="E236" s="146" t="s">
        <v>75</v>
      </c>
      <c r="F236" s="145" t="s">
        <v>1602</v>
      </c>
      <c r="G236" s="146" t="s">
        <v>20</v>
      </c>
      <c r="H236" s="146">
        <v>201606</v>
      </c>
      <c r="I236" s="147">
        <v>290.42</v>
      </c>
      <c r="J236" s="144">
        <f t="shared" si="11"/>
        <v>5</v>
      </c>
      <c r="K236" s="148">
        <v>1.4833299999999999E-3</v>
      </c>
      <c r="L236" s="147">
        <f t="shared" si="9"/>
        <v>2.15</v>
      </c>
      <c r="M236" s="147">
        <f t="shared" si="10"/>
        <v>5.17</v>
      </c>
      <c r="N236" s="168" t="e">
        <f>VLOOKUP(C236,#REF!,4)</f>
        <v>#REF!</v>
      </c>
    </row>
    <row r="237" spans="1:14">
      <c r="A237" s="145" t="s">
        <v>626</v>
      </c>
      <c r="B237" s="146" t="s">
        <v>1511</v>
      </c>
      <c r="C237" s="146" t="s">
        <v>1512</v>
      </c>
      <c r="D237" s="145" t="s">
        <v>1513</v>
      </c>
      <c r="E237" s="146" t="s">
        <v>260</v>
      </c>
      <c r="F237" s="145" t="s">
        <v>1608</v>
      </c>
      <c r="G237" s="146" t="s">
        <v>20</v>
      </c>
      <c r="H237" s="146">
        <v>201603</v>
      </c>
      <c r="I237" s="147">
        <v>-1.08</v>
      </c>
      <c r="J237" s="144">
        <f t="shared" si="11"/>
        <v>8</v>
      </c>
      <c r="K237" s="148">
        <v>1.4833299999999999E-3</v>
      </c>
      <c r="L237" s="147">
        <f t="shared" si="9"/>
        <v>-0.01</v>
      </c>
      <c r="M237" s="147">
        <f t="shared" si="10"/>
        <v>-0.02</v>
      </c>
      <c r="N237" s="168" t="e">
        <f>VLOOKUP(C237,#REF!,4)</f>
        <v>#REF!</v>
      </c>
    </row>
    <row r="238" spans="1:14">
      <c r="A238" s="145" t="s">
        <v>626</v>
      </c>
      <c r="B238" s="146" t="s">
        <v>1511</v>
      </c>
      <c r="C238" s="146" t="s">
        <v>1512</v>
      </c>
      <c r="D238" s="145" t="s">
        <v>1513</v>
      </c>
      <c r="E238" s="146" t="s">
        <v>260</v>
      </c>
      <c r="F238" s="145" t="s">
        <v>1608</v>
      </c>
      <c r="G238" s="146" t="s">
        <v>20</v>
      </c>
      <c r="H238" s="146">
        <v>201604</v>
      </c>
      <c r="I238" s="147">
        <v>15.96</v>
      </c>
      <c r="J238" s="144">
        <f t="shared" si="11"/>
        <v>7</v>
      </c>
      <c r="K238" s="148">
        <v>1.4833299999999999E-3</v>
      </c>
      <c r="L238" s="147">
        <f t="shared" si="9"/>
        <v>0.17</v>
      </c>
      <c r="M238" s="147">
        <f t="shared" si="10"/>
        <v>0.28000000000000003</v>
      </c>
      <c r="N238" s="168" t="e">
        <f>VLOOKUP(C238,#REF!,4)</f>
        <v>#REF!</v>
      </c>
    </row>
    <row r="239" spans="1:14">
      <c r="A239" s="145" t="s">
        <v>626</v>
      </c>
      <c r="B239" s="146" t="s">
        <v>1511</v>
      </c>
      <c r="C239" s="146" t="s">
        <v>1512</v>
      </c>
      <c r="D239" s="145" t="s">
        <v>1513</v>
      </c>
      <c r="E239" s="146" t="s">
        <v>260</v>
      </c>
      <c r="F239" s="145" t="s">
        <v>1608</v>
      </c>
      <c r="G239" s="146" t="s">
        <v>20</v>
      </c>
      <c r="H239" s="146">
        <v>201605</v>
      </c>
      <c r="I239" s="147">
        <v>16.850000000000001</v>
      </c>
      <c r="J239" s="144">
        <f t="shared" si="11"/>
        <v>6</v>
      </c>
      <c r="K239" s="148">
        <v>1.4833299999999999E-3</v>
      </c>
      <c r="L239" s="147">
        <f t="shared" si="9"/>
        <v>0.15</v>
      </c>
      <c r="M239" s="147">
        <f t="shared" si="10"/>
        <v>0.3</v>
      </c>
      <c r="N239" s="168" t="e">
        <f>VLOOKUP(C239,#REF!,4)</f>
        <v>#REF!</v>
      </c>
    </row>
    <row r="240" spans="1:14">
      <c r="A240" s="145" t="s">
        <v>626</v>
      </c>
      <c r="B240" s="146" t="s">
        <v>1511</v>
      </c>
      <c r="C240" s="146" t="s">
        <v>1512</v>
      </c>
      <c r="D240" s="145" t="s">
        <v>1513</v>
      </c>
      <c r="E240" s="146" t="s">
        <v>260</v>
      </c>
      <c r="F240" s="145" t="s">
        <v>1608</v>
      </c>
      <c r="G240" s="146" t="s">
        <v>20</v>
      </c>
      <c r="H240" s="146">
        <v>201606</v>
      </c>
      <c r="I240" s="147">
        <v>7</v>
      </c>
      <c r="J240" s="144">
        <f t="shared" si="11"/>
        <v>5</v>
      </c>
      <c r="K240" s="148">
        <v>1.4833299999999999E-3</v>
      </c>
      <c r="L240" s="147">
        <f t="shared" si="9"/>
        <v>0.05</v>
      </c>
      <c r="M240" s="147">
        <f t="shared" si="10"/>
        <v>0.12</v>
      </c>
      <c r="N240" s="168" t="e">
        <f>VLOOKUP(C240,#REF!,4)</f>
        <v>#REF!</v>
      </c>
    </row>
    <row r="241" spans="1:14">
      <c r="A241" s="145" t="s">
        <v>626</v>
      </c>
      <c r="B241" s="146" t="s">
        <v>1864</v>
      </c>
      <c r="C241" s="146" t="s">
        <v>1865</v>
      </c>
      <c r="D241" s="145" t="s">
        <v>1866</v>
      </c>
      <c r="E241" s="146" t="s">
        <v>75</v>
      </c>
      <c r="F241" s="145" t="s">
        <v>1602</v>
      </c>
      <c r="G241" s="146" t="s">
        <v>20</v>
      </c>
      <c r="H241" s="146">
        <v>201603</v>
      </c>
      <c r="I241" s="147">
        <v>-668.37</v>
      </c>
      <c r="J241" s="144">
        <f t="shared" si="11"/>
        <v>8</v>
      </c>
      <c r="K241" s="148">
        <v>1.4833299999999999E-3</v>
      </c>
      <c r="L241" s="147">
        <f t="shared" si="9"/>
        <v>-7.93</v>
      </c>
      <c r="M241" s="147">
        <f t="shared" si="10"/>
        <v>-11.9</v>
      </c>
      <c r="N241" s="168" t="e">
        <f>VLOOKUP(C241,#REF!,4)</f>
        <v>#REF!</v>
      </c>
    </row>
    <row r="242" spans="1:14">
      <c r="A242" s="145" t="s">
        <v>626</v>
      </c>
      <c r="B242" s="146" t="s">
        <v>1864</v>
      </c>
      <c r="C242" s="146" t="s">
        <v>1865</v>
      </c>
      <c r="D242" s="145" t="s">
        <v>1866</v>
      </c>
      <c r="E242" s="146" t="s">
        <v>75</v>
      </c>
      <c r="F242" s="145" t="s">
        <v>1602</v>
      </c>
      <c r="G242" s="146" t="s">
        <v>20</v>
      </c>
      <c r="H242" s="146">
        <v>201604</v>
      </c>
      <c r="I242" s="147">
        <v>-4635.05</v>
      </c>
      <c r="J242" s="144">
        <f t="shared" si="11"/>
        <v>7</v>
      </c>
      <c r="K242" s="148">
        <v>1.4833299999999999E-3</v>
      </c>
      <c r="L242" s="147">
        <f t="shared" si="9"/>
        <v>-48.13</v>
      </c>
      <c r="M242" s="147">
        <f t="shared" si="10"/>
        <v>-82.5</v>
      </c>
      <c r="N242" s="168" t="e">
        <f>VLOOKUP(C242,#REF!,4)</f>
        <v>#REF!</v>
      </c>
    </row>
    <row r="243" spans="1:14">
      <c r="A243" s="145" t="s">
        <v>626</v>
      </c>
      <c r="B243" s="146" t="s">
        <v>1864</v>
      </c>
      <c r="C243" s="146" t="s">
        <v>1865</v>
      </c>
      <c r="D243" s="145" t="s">
        <v>1866</v>
      </c>
      <c r="E243" s="146" t="s">
        <v>75</v>
      </c>
      <c r="F243" s="145" t="s">
        <v>1602</v>
      </c>
      <c r="G243" s="146" t="s">
        <v>20</v>
      </c>
      <c r="H243" s="146">
        <v>201605</v>
      </c>
      <c r="I243" s="147">
        <v>3610.55</v>
      </c>
      <c r="J243" s="144">
        <f t="shared" si="11"/>
        <v>6</v>
      </c>
      <c r="K243" s="148">
        <v>1.4833299999999999E-3</v>
      </c>
      <c r="L243" s="147">
        <f t="shared" si="9"/>
        <v>32.130000000000003</v>
      </c>
      <c r="M243" s="147">
        <f t="shared" si="10"/>
        <v>64.27</v>
      </c>
      <c r="N243" s="168" t="e">
        <f>VLOOKUP(C243,#REF!,4)</f>
        <v>#REF!</v>
      </c>
    </row>
    <row r="244" spans="1:14">
      <c r="A244" s="145" t="s">
        <v>626</v>
      </c>
      <c r="B244" s="146" t="s">
        <v>1864</v>
      </c>
      <c r="C244" s="146" t="s">
        <v>1865</v>
      </c>
      <c r="D244" s="145" t="s">
        <v>1866</v>
      </c>
      <c r="E244" s="146" t="s">
        <v>75</v>
      </c>
      <c r="F244" s="145" t="s">
        <v>1602</v>
      </c>
      <c r="G244" s="146" t="s">
        <v>20</v>
      </c>
      <c r="H244" s="146">
        <v>201606</v>
      </c>
      <c r="I244" s="147">
        <v>1079.1199999999999</v>
      </c>
      <c r="J244" s="144">
        <f t="shared" si="11"/>
        <v>5</v>
      </c>
      <c r="K244" s="148">
        <v>1.4833299999999999E-3</v>
      </c>
      <c r="L244" s="147">
        <f t="shared" si="9"/>
        <v>8</v>
      </c>
      <c r="M244" s="147">
        <f t="shared" si="10"/>
        <v>19.21</v>
      </c>
      <c r="N244" s="168" t="e">
        <f>VLOOKUP(C244,#REF!,4)</f>
        <v>#REF!</v>
      </c>
    </row>
    <row r="245" spans="1:14">
      <c r="A245" s="145" t="s">
        <v>626</v>
      </c>
      <c r="B245" s="146" t="s">
        <v>1867</v>
      </c>
      <c r="C245" s="146" t="s">
        <v>1868</v>
      </c>
      <c r="D245" s="145" t="s">
        <v>1869</v>
      </c>
      <c r="E245" s="146" t="s">
        <v>75</v>
      </c>
      <c r="F245" s="145" t="s">
        <v>1602</v>
      </c>
      <c r="G245" s="146" t="s">
        <v>20</v>
      </c>
      <c r="H245" s="146">
        <v>201603</v>
      </c>
      <c r="I245" s="147">
        <v>-105.97</v>
      </c>
      <c r="J245" s="144">
        <f t="shared" si="11"/>
        <v>8</v>
      </c>
      <c r="K245" s="148">
        <v>1.4833299999999999E-3</v>
      </c>
      <c r="L245" s="147">
        <f t="shared" si="9"/>
        <v>-1.26</v>
      </c>
      <c r="M245" s="147">
        <f t="shared" si="10"/>
        <v>-1.89</v>
      </c>
      <c r="N245" s="168" t="e">
        <f>VLOOKUP(C245,#REF!,4)</f>
        <v>#REF!</v>
      </c>
    </row>
    <row r="246" spans="1:14">
      <c r="A246" s="145" t="s">
        <v>626</v>
      </c>
      <c r="B246" s="146" t="s">
        <v>1867</v>
      </c>
      <c r="C246" s="146" t="s">
        <v>1868</v>
      </c>
      <c r="D246" s="145" t="s">
        <v>1869</v>
      </c>
      <c r="E246" s="146" t="s">
        <v>75</v>
      </c>
      <c r="F246" s="145" t="s">
        <v>1602</v>
      </c>
      <c r="G246" s="146" t="s">
        <v>20</v>
      </c>
      <c r="H246" s="146">
        <v>201604</v>
      </c>
      <c r="I246" s="147">
        <v>69.61</v>
      </c>
      <c r="J246" s="144">
        <f t="shared" si="11"/>
        <v>7</v>
      </c>
      <c r="K246" s="148">
        <v>1.4833299999999999E-3</v>
      </c>
      <c r="L246" s="147">
        <f t="shared" si="9"/>
        <v>0.72</v>
      </c>
      <c r="M246" s="147">
        <f t="shared" si="10"/>
        <v>1.24</v>
      </c>
      <c r="N246" s="168" t="e">
        <f>VLOOKUP(C246,#REF!,4)</f>
        <v>#REF!</v>
      </c>
    </row>
    <row r="247" spans="1:14">
      <c r="A247" s="145" t="s">
        <v>626</v>
      </c>
      <c r="B247" s="146" t="s">
        <v>1867</v>
      </c>
      <c r="C247" s="146" t="s">
        <v>1868</v>
      </c>
      <c r="D247" s="145" t="s">
        <v>1869</v>
      </c>
      <c r="E247" s="146" t="s">
        <v>75</v>
      </c>
      <c r="F247" s="145" t="s">
        <v>1602</v>
      </c>
      <c r="G247" s="146" t="s">
        <v>20</v>
      </c>
      <c r="H247" s="146">
        <v>201605</v>
      </c>
      <c r="I247" s="147">
        <v>63.05</v>
      </c>
      <c r="J247" s="144">
        <f t="shared" si="11"/>
        <v>6</v>
      </c>
      <c r="K247" s="148">
        <v>1.4833299999999999E-3</v>
      </c>
      <c r="L247" s="147">
        <f t="shared" si="9"/>
        <v>0.56000000000000005</v>
      </c>
      <c r="M247" s="147">
        <f t="shared" si="10"/>
        <v>1.1200000000000001</v>
      </c>
      <c r="N247" s="168" t="e">
        <f>VLOOKUP(C247,#REF!,4)</f>
        <v>#REF!</v>
      </c>
    </row>
    <row r="248" spans="1:14">
      <c r="A248" s="145" t="s">
        <v>626</v>
      </c>
      <c r="B248" s="146" t="s">
        <v>1867</v>
      </c>
      <c r="C248" s="146" t="s">
        <v>1868</v>
      </c>
      <c r="D248" s="145" t="s">
        <v>1869</v>
      </c>
      <c r="E248" s="146" t="s">
        <v>75</v>
      </c>
      <c r="F248" s="145" t="s">
        <v>1602</v>
      </c>
      <c r="G248" s="146" t="s">
        <v>20</v>
      </c>
      <c r="H248" s="146">
        <v>201606</v>
      </c>
      <c r="I248" s="147">
        <v>45.21</v>
      </c>
      <c r="J248" s="144">
        <f t="shared" si="11"/>
        <v>5</v>
      </c>
      <c r="K248" s="148">
        <v>1.4833299999999999E-3</v>
      </c>
      <c r="L248" s="147">
        <f t="shared" si="9"/>
        <v>0.34</v>
      </c>
      <c r="M248" s="147">
        <f t="shared" si="10"/>
        <v>0.8</v>
      </c>
      <c r="N248" s="168" t="e">
        <f>VLOOKUP(C248,#REF!,4)</f>
        <v>#REF!</v>
      </c>
    </row>
    <row r="249" spans="1:14">
      <c r="A249" s="145" t="s">
        <v>626</v>
      </c>
      <c r="B249" s="146" t="s">
        <v>1870</v>
      </c>
      <c r="C249" s="146" t="s">
        <v>1871</v>
      </c>
      <c r="D249" s="145" t="s">
        <v>1872</v>
      </c>
      <c r="E249" s="146" t="s">
        <v>75</v>
      </c>
      <c r="F249" s="145" t="s">
        <v>1602</v>
      </c>
      <c r="G249" s="146" t="s">
        <v>20</v>
      </c>
      <c r="H249" s="146">
        <v>201603</v>
      </c>
      <c r="I249" s="147">
        <v>-248.08</v>
      </c>
      <c r="J249" s="144">
        <f t="shared" si="11"/>
        <v>8</v>
      </c>
      <c r="K249" s="148">
        <v>1.4833299999999999E-3</v>
      </c>
      <c r="L249" s="147">
        <f t="shared" si="9"/>
        <v>-2.94</v>
      </c>
      <c r="M249" s="147">
        <f t="shared" si="10"/>
        <v>-4.42</v>
      </c>
      <c r="N249" s="168" t="e">
        <f>VLOOKUP(C249,#REF!,4)</f>
        <v>#REF!</v>
      </c>
    </row>
    <row r="250" spans="1:14">
      <c r="A250" s="145" t="s">
        <v>626</v>
      </c>
      <c r="B250" s="146" t="s">
        <v>1870</v>
      </c>
      <c r="C250" s="146" t="s">
        <v>1871</v>
      </c>
      <c r="D250" s="145" t="s">
        <v>1872</v>
      </c>
      <c r="E250" s="146" t="s">
        <v>75</v>
      </c>
      <c r="F250" s="145" t="s">
        <v>1602</v>
      </c>
      <c r="G250" s="146" t="s">
        <v>20</v>
      </c>
      <c r="H250" s="146">
        <v>201604</v>
      </c>
      <c r="I250" s="147">
        <v>2050.66</v>
      </c>
      <c r="J250" s="144">
        <f t="shared" si="11"/>
        <v>7</v>
      </c>
      <c r="K250" s="148">
        <v>1.4833299999999999E-3</v>
      </c>
      <c r="L250" s="147">
        <f t="shared" si="9"/>
        <v>21.29</v>
      </c>
      <c r="M250" s="147">
        <f t="shared" si="10"/>
        <v>36.5</v>
      </c>
      <c r="N250" s="168" t="e">
        <f>VLOOKUP(C250,#REF!,4)</f>
        <v>#REF!</v>
      </c>
    </row>
    <row r="251" spans="1:14">
      <c r="A251" s="145" t="s">
        <v>626</v>
      </c>
      <c r="B251" s="146" t="s">
        <v>1870</v>
      </c>
      <c r="C251" s="146" t="s">
        <v>1871</v>
      </c>
      <c r="D251" s="145" t="s">
        <v>1872</v>
      </c>
      <c r="E251" s="146" t="s">
        <v>75</v>
      </c>
      <c r="F251" s="145" t="s">
        <v>1602</v>
      </c>
      <c r="G251" s="146" t="s">
        <v>20</v>
      </c>
      <c r="H251" s="146">
        <v>201605</v>
      </c>
      <c r="I251" s="147">
        <v>-464.86</v>
      </c>
      <c r="J251" s="144">
        <f t="shared" si="11"/>
        <v>6</v>
      </c>
      <c r="K251" s="148">
        <v>1.4833299999999999E-3</v>
      </c>
      <c r="L251" s="147">
        <f t="shared" si="9"/>
        <v>-4.1399999999999997</v>
      </c>
      <c r="M251" s="147">
        <f t="shared" si="10"/>
        <v>-8.27</v>
      </c>
      <c r="N251" s="168" t="e">
        <f>VLOOKUP(C251,#REF!,4)</f>
        <v>#REF!</v>
      </c>
    </row>
    <row r="252" spans="1:14">
      <c r="A252" s="145" t="s">
        <v>626</v>
      </c>
      <c r="B252" s="146" t="s">
        <v>1870</v>
      </c>
      <c r="C252" s="146" t="s">
        <v>1871</v>
      </c>
      <c r="D252" s="145" t="s">
        <v>1872</v>
      </c>
      <c r="E252" s="146" t="s">
        <v>75</v>
      </c>
      <c r="F252" s="145" t="s">
        <v>1602</v>
      </c>
      <c r="G252" s="146" t="s">
        <v>20</v>
      </c>
      <c r="H252" s="146">
        <v>201606</v>
      </c>
      <c r="I252" s="147">
        <v>354.81</v>
      </c>
      <c r="J252" s="144">
        <f t="shared" si="11"/>
        <v>5</v>
      </c>
      <c r="K252" s="148">
        <v>1.4833299999999999E-3</v>
      </c>
      <c r="L252" s="147">
        <f t="shared" si="9"/>
        <v>2.63</v>
      </c>
      <c r="M252" s="147">
        <f t="shared" si="10"/>
        <v>6.32</v>
      </c>
      <c r="N252" s="168" t="e">
        <f>VLOOKUP(C252,#REF!,4)</f>
        <v>#REF!</v>
      </c>
    </row>
    <row r="253" spans="1:14">
      <c r="A253" s="145" t="s">
        <v>626</v>
      </c>
      <c r="B253" s="146" t="s">
        <v>1514</v>
      </c>
      <c r="C253" s="146" t="s">
        <v>1515</v>
      </c>
      <c r="D253" s="145" t="s">
        <v>1516</v>
      </c>
      <c r="E253" s="146" t="s">
        <v>809</v>
      </c>
      <c r="F253" s="145" t="s">
        <v>26</v>
      </c>
      <c r="G253" s="146" t="s">
        <v>20</v>
      </c>
      <c r="H253" s="146">
        <v>201603</v>
      </c>
      <c r="I253" s="147">
        <v>-1.24</v>
      </c>
      <c r="J253" s="144">
        <f t="shared" si="11"/>
        <v>8</v>
      </c>
      <c r="K253" s="148">
        <v>1.4833299999999999E-3</v>
      </c>
      <c r="L253" s="147">
        <f t="shared" si="9"/>
        <v>-0.01</v>
      </c>
      <c r="M253" s="147">
        <f t="shared" si="10"/>
        <v>-0.02</v>
      </c>
      <c r="N253" s="168" t="e">
        <f>VLOOKUP(C253,#REF!,4)</f>
        <v>#REF!</v>
      </c>
    </row>
    <row r="254" spans="1:14">
      <c r="A254" s="145" t="s">
        <v>626</v>
      </c>
      <c r="B254" s="146" t="s">
        <v>1514</v>
      </c>
      <c r="C254" s="146" t="s">
        <v>1515</v>
      </c>
      <c r="D254" s="145" t="s">
        <v>1516</v>
      </c>
      <c r="E254" s="146" t="s">
        <v>809</v>
      </c>
      <c r="F254" s="145" t="s">
        <v>26</v>
      </c>
      <c r="G254" s="146" t="s">
        <v>20</v>
      </c>
      <c r="H254" s="146">
        <v>201604</v>
      </c>
      <c r="I254" s="147">
        <v>19.57</v>
      </c>
      <c r="J254" s="144">
        <f t="shared" si="11"/>
        <v>7</v>
      </c>
      <c r="K254" s="148">
        <v>1.4833299999999999E-3</v>
      </c>
      <c r="L254" s="147">
        <f t="shared" si="9"/>
        <v>0.2</v>
      </c>
      <c r="M254" s="147">
        <f t="shared" si="10"/>
        <v>0.35</v>
      </c>
      <c r="N254" s="168" t="e">
        <f>VLOOKUP(C254,#REF!,4)</f>
        <v>#REF!</v>
      </c>
    </row>
    <row r="255" spans="1:14">
      <c r="A255" s="145" t="s">
        <v>626</v>
      </c>
      <c r="B255" s="146" t="s">
        <v>1514</v>
      </c>
      <c r="C255" s="146" t="s">
        <v>1515</v>
      </c>
      <c r="D255" s="145" t="s">
        <v>1516</v>
      </c>
      <c r="E255" s="146" t="s">
        <v>809</v>
      </c>
      <c r="F255" s="145" t="s">
        <v>26</v>
      </c>
      <c r="G255" s="146" t="s">
        <v>20</v>
      </c>
      <c r="H255" s="146">
        <v>201605</v>
      </c>
      <c r="I255" s="147">
        <v>20.36</v>
      </c>
      <c r="J255" s="144">
        <f t="shared" si="11"/>
        <v>6</v>
      </c>
      <c r="K255" s="148">
        <v>1.4833299999999999E-3</v>
      </c>
      <c r="L255" s="147">
        <f t="shared" si="9"/>
        <v>0.18</v>
      </c>
      <c r="M255" s="147">
        <f t="shared" si="10"/>
        <v>0.36</v>
      </c>
      <c r="N255" s="168" t="e">
        <f>VLOOKUP(C255,#REF!,4)</f>
        <v>#REF!</v>
      </c>
    </row>
    <row r="256" spans="1:14">
      <c r="A256" s="145" t="s">
        <v>626</v>
      </c>
      <c r="B256" s="146" t="s">
        <v>1514</v>
      </c>
      <c r="C256" s="146" t="s">
        <v>1515</v>
      </c>
      <c r="D256" s="145" t="s">
        <v>1516</v>
      </c>
      <c r="E256" s="146" t="s">
        <v>809</v>
      </c>
      <c r="F256" s="145" t="s">
        <v>26</v>
      </c>
      <c r="G256" s="146" t="s">
        <v>20</v>
      </c>
      <c r="H256" s="146">
        <v>201606</v>
      </c>
      <c r="I256" s="147">
        <v>8.5399999999999991</v>
      </c>
      <c r="J256" s="144">
        <f t="shared" si="11"/>
        <v>5</v>
      </c>
      <c r="K256" s="148">
        <v>1.4833299999999999E-3</v>
      </c>
      <c r="L256" s="147">
        <f t="shared" si="9"/>
        <v>0.06</v>
      </c>
      <c r="M256" s="147">
        <f t="shared" si="10"/>
        <v>0.15</v>
      </c>
      <c r="N256" s="168" t="e">
        <f>VLOOKUP(C256,#REF!,4)</f>
        <v>#REF!</v>
      </c>
    </row>
    <row r="257" spans="1:14">
      <c r="A257" s="145" t="s">
        <v>626</v>
      </c>
      <c r="B257" s="146" t="s">
        <v>1873</v>
      </c>
      <c r="C257" s="146" t="s">
        <v>1874</v>
      </c>
      <c r="D257" s="145" t="s">
        <v>1875</v>
      </c>
      <c r="E257" s="146" t="s">
        <v>75</v>
      </c>
      <c r="F257" s="145" t="s">
        <v>1602</v>
      </c>
      <c r="G257" s="146" t="s">
        <v>20</v>
      </c>
      <c r="H257" s="146">
        <v>201603</v>
      </c>
      <c r="I257" s="147">
        <v>-680.64</v>
      </c>
      <c r="J257" s="144">
        <f t="shared" si="11"/>
        <v>8</v>
      </c>
      <c r="K257" s="148">
        <v>1.4833299999999999E-3</v>
      </c>
      <c r="L257" s="147">
        <f t="shared" si="9"/>
        <v>-8.08</v>
      </c>
      <c r="M257" s="147">
        <f t="shared" si="10"/>
        <v>-12.12</v>
      </c>
      <c r="N257" s="168" t="e">
        <f>VLOOKUP(C257,#REF!,4)</f>
        <v>#REF!</v>
      </c>
    </row>
    <row r="258" spans="1:14">
      <c r="A258" s="145" t="s">
        <v>626</v>
      </c>
      <c r="B258" s="146" t="s">
        <v>1873</v>
      </c>
      <c r="C258" s="146" t="s">
        <v>1874</v>
      </c>
      <c r="D258" s="145" t="s">
        <v>1875</v>
      </c>
      <c r="E258" s="146" t="s">
        <v>75</v>
      </c>
      <c r="F258" s="145" t="s">
        <v>1602</v>
      </c>
      <c r="G258" s="146" t="s">
        <v>20</v>
      </c>
      <c r="H258" s="146">
        <v>201604</v>
      </c>
      <c r="I258" s="147">
        <v>3328.83</v>
      </c>
      <c r="J258" s="144">
        <f t="shared" si="11"/>
        <v>7</v>
      </c>
      <c r="K258" s="148">
        <v>1.4833299999999999E-3</v>
      </c>
      <c r="L258" s="147">
        <f t="shared" si="9"/>
        <v>34.56</v>
      </c>
      <c r="M258" s="147">
        <f t="shared" si="10"/>
        <v>59.25</v>
      </c>
      <c r="N258" s="168" t="e">
        <f>VLOOKUP(C258,#REF!,4)</f>
        <v>#REF!</v>
      </c>
    </row>
    <row r="259" spans="1:14">
      <c r="A259" s="145" t="s">
        <v>626</v>
      </c>
      <c r="B259" s="146" t="s">
        <v>1873</v>
      </c>
      <c r="C259" s="146" t="s">
        <v>1874</v>
      </c>
      <c r="D259" s="145" t="s">
        <v>1875</v>
      </c>
      <c r="E259" s="146" t="s">
        <v>75</v>
      </c>
      <c r="F259" s="145" t="s">
        <v>1602</v>
      </c>
      <c r="G259" s="146" t="s">
        <v>20</v>
      </c>
      <c r="H259" s="146">
        <v>201605</v>
      </c>
      <c r="I259" s="147">
        <v>3213.12</v>
      </c>
      <c r="J259" s="144">
        <f t="shared" si="11"/>
        <v>6</v>
      </c>
      <c r="K259" s="148">
        <v>1.4833299999999999E-3</v>
      </c>
      <c r="L259" s="147">
        <f t="shared" si="9"/>
        <v>28.6</v>
      </c>
      <c r="M259" s="147">
        <f t="shared" si="10"/>
        <v>57.19</v>
      </c>
      <c r="N259" s="168" t="e">
        <f>VLOOKUP(C259,#REF!,4)</f>
        <v>#REF!</v>
      </c>
    </row>
    <row r="260" spans="1:14">
      <c r="A260" s="145" t="s">
        <v>626</v>
      </c>
      <c r="B260" s="146" t="s">
        <v>1873</v>
      </c>
      <c r="C260" s="146" t="s">
        <v>1874</v>
      </c>
      <c r="D260" s="145" t="s">
        <v>1875</v>
      </c>
      <c r="E260" s="146" t="s">
        <v>75</v>
      </c>
      <c r="F260" s="145" t="s">
        <v>1602</v>
      </c>
      <c r="G260" s="146" t="s">
        <v>20</v>
      </c>
      <c r="H260" s="146">
        <v>201606</v>
      </c>
      <c r="I260" s="147">
        <v>1774.13</v>
      </c>
      <c r="J260" s="144">
        <f t="shared" si="11"/>
        <v>5</v>
      </c>
      <c r="K260" s="148">
        <v>1.4833299999999999E-3</v>
      </c>
      <c r="L260" s="147">
        <f t="shared" si="9"/>
        <v>13.16</v>
      </c>
      <c r="M260" s="147">
        <f t="shared" si="10"/>
        <v>31.58</v>
      </c>
      <c r="N260" s="168" t="e">
        <f>VLOOKUP(C260,#REF!,4)</f>
        <v>#REF!</v>
      </c>
    </row>
    <row r="261" spans="1:14">
      <c r="A261" s="145" t="s">
        <v>626</v>
      </c>
      <c r="B261" s="146" t="s">
        <v>1681</v>
      </c>
      <c r="C261" s="146" t="s">
        <v>1703</v>
      </c>
      <c r="D261" s="145" t="s">
        <v>1704</v>
      </c>
      <c r="E261" s="146" t="s">
        <v>164</v>
      </c>
      <c r="F261" s="145" t="s">
        <v>1600</v>
      </c>
      <c r="G261" s="146" t="s">
        <v>20</v>
      </c>
      <c r="H261" s="146">
        <v>201603</v>
      </c>
      <c r="I261" s="147">
        <v>693.01</v>
      </c>
      <c r="J261" s="144">
        <f t="shared" si="11"/>
        <v>8</v>
      </c>
      <c r="K261" s="148">
        <v>1.4833299999999999E-3</v>
      </c>
      <c r="L261" s="147">
        <f t="shared" ref="L261:L324" si="12">ROUND(I261*J261*K261,2)</f>
        <v>8.2200000000000006</v>
      </c>
      <c r="M261" s="147">
        <f t="shared" ref="M261:M324" si="13">ROUND(I261*K261*12,2)</f>
        <v>12.34</v>
      </c>
      <c r="N261" s="168" t="e">
        <f>VLOOKUP(C261,#REF!,4)</f>
        <v>#REF!</v>
      </c>
    </row>
    <row r="262" spans="1:14">
      <c r="A262" s="145" t="s">
        <v>626</v>
      </c>
      <c r="B262" s="146" t="s">
        <v>1681</v>
      </c>
      <c r="C262" s="146" t="s">
        <v>1703</v>
      </c>
      <c r="D262" s="145" t="s">
        <v>1704</v>
      </c>
      <c r="E262" s="146" t="s">
        <v>164</v>
      </c>
      <c r="F262" s="145" t="s">
        <v>1600</v>
      </c>
      <c r="G262" s="146" t="s">
        <v>20</v>
      </c>
      <c r="H262" s="146">
        <v>201604</v>
      </c>
      <c r="I262" s="147">
        <v>52953.26</v>
      </c>
      <c r="J262" s="144">
        <f t="shared" ref="J262:J325" si="14">VLOOKUP(H262,$P$5:$Q$14,2)</f>
        <v>7</v>
      </c>
      <c r="K262" s="148">
        <v>1.4833299999999999E-3</v>
      </c>
      <c r="L262" s="147">
        <f t="shared" si="12"/>
        <v>549.83000000000004</v>
      </c>
      <c r="M262" s="147">
        <f t="shared" si="13"/>
        <v>942.57</v>
      </c>
      <c r="N262" s="168" t="e">
        <f>VLOOKUP(C262,#REF!,4)</f>
        <v>#REF!</v>
      </c>
    </row>
    <row r="263" spans="1:14">
      <c r="A263" s="145" t="s">
        <v>626</v>
      </c>
      <c r="B263" s="146" t="s">
        <v>1681</v>
      </c>
      <c r="C263" s="146" t="s">
        <v>1703</v>
      </c>
      <c r="D263" s="145" t="s">
        <v>1704</v>
      </c>
      <c r="E263" s="146" t="s">
        <v>164</v>
      </c>
      <c r="F263" s="145" t="s">
        <v>1600</v>
      </c>
      <c r="G263" s="146" t="s">
        <v>20</v>
      </c>
      <c r="H263" s="146">
        <v>201605</v>
      </c>
      <c r="I263" s="147">
        <v>29261.37</v>
      </c>
      <c r="J263" s="144">
        <f t="shared" si="14"/>
        <v>6</v>
      </c>
      <c r="K263" s="148">
        <v>1.4833299999999999E-3</v>
      </c>
      <c r="L263" s="147">
        <f t="shared" si="12"/>
        <v>260.43</v>
      </c>
      <c r="M263" s="147">
        <f t="shared" si="13"/>
        <v>520.85</v>
      </c>
      <c r="N263" s="168" t="e">
        <f>VLOOKUP(C263,#REF!,4)</f>
        <v>#REF!</v>
      </c>
    </row>
    <row r="264" spans="1:14">
      <c r="A264" s="145" t="s">
        <v>626</v>
      </c>
      <c r="B264" s="146" t="s">
        <v>1681</v>
      </c>
      <c r="C264" s="146" t="s">
        <v>1703</v>
      </c>
      <c r="D264" s="145" t="s">
        <v>1704</v>
      </c>
      <c r="E264" s="146" t="s">
        <v>164</v>
      </c>
      <c r="F264" s="145" t="s">
        <v>1600</v>
      </c>
      <c r="G264" s="146" t="s">
        <v>20</v>
      </c>
      <c r="H264" s="146">
        <v>201606</v>
      </c>
      <c r="I264" s="147">
        <v>52462.63</v>
      </c>
      <c r="J264" s="144">
        <f t="shared" si="14"/>
        <v>5</v>
      </c>
      <c r="K264" s="148">
        <v>1.4833299999999999E-3</v>
      </c>
      <c r="L264" s="147">
        <f t="shared" si="12"/>
        <v>389.1</v>
      </c>
      <c r="M264" s="147">
        <f t="shared" si="13"/>
        <v>933.83</v>
      </c>
      <c r="N264" s="168" t="e">
        <f>VLOOKUP(C264,#REF!,4)</f>
        <v>#REF!</v>
      </c>
    </row>
    <row r="265" spans="1:14">
      <c r="A265" s="145" t="s">
        <v>626</v>
      </c>
      <c r="B265" s="146" t="s">
        <v>1681</v>
      </c>
      <c r="C265" s="146" t="s">
        <v>1705</v>
      </c>
      <c r="D265" s="145" t="s">
        <v>1706</v>
      </c>
      <c r="E265" s="146" t="s">
        <v>75</v>
      </c>
      <c r="F265" s="145" t="s">
        <v>1602</v>
      </c>
      <c r="G265" s="146" t="s">
        <v>20</v>
      </c>
      <c r="H265" s="146">
        <v>201603</v>
      </c>
      <c r="I265" s="147">
        <v>55791.61</v>
      </c>
      <c r="J265" s="144">
        <f t="shared" si="14"/>
        <v>8</v>
      </c>
      <c r="K265" s="148">
        <v>1.4833299999999999E-3</v>
      </c>
      <c r="L265" s="147">
        <f t="shared" si="12"/>
        <v>662.06</v>
      </c>
      <c r="M265" s="147">
        <f t="shared" si="13"/>
        <v>993.09</v>
      </c>
      <c r="N265" s="168" t="e">
        <f>VLOOKUP(C265,#REF!,4)</f>
        <v>#REF!</v>
      </c>
    </row>
    <row r="266" spans="1:14">
      <c r="A266" s="145" t="s">
        <v>626</v>
      </c>
      <c r="B266" s="146" t="s">
        <v>1681</v>
      </c>
      <c r="C266" s="146" t="s">
        <v>1705</v>
      </c>
      <c r="D266" s="145" t="s">
        <v>1706</v>
      </c>
      <c r="E266" s="146" t="s">
        <v>75</v>
      </c>
      <c r="F266" s="145" t="s">
        <v>1602</v>
      </c>
      <c r="G266" s="146" t="s">
        <v>20</v>
      </c>
      <c r="H266" s="146">
        <v>201604</v>
      </c>
      <c r="I266" s="147">
        <v>23340.87</v>
      </c>
      <c r="J266" s="144">
        <f t="shared" si="14"/>
        <v>7</v>
      </c>
      <c r="K266" s="148">
        <v>1.4833299999999999E-3</v>
      </c>
      <c r="L266" s="147">
        <f t="shared" si="12"/>
        <v>242.36</v>
      </c>
      <c r="M266" s="147">
        <f t="shared" si="13"/>
        <v>415.47</v>
      </c>
      <c r="N266" s="168" t="e">
        <f>VLOOKUP(C266,#REF!,4)</f>
        <v>#REF!</v>
      </c>
    </row>
    <row r="267" spans="1:14">
      <c r="A267" s="145" t="s">
        <v>626</v>
      </c>
      <c r="B267" s="146" t="s">
        <v>1681</v>
      </c>
      <c r="C267" s="146" t="s">
        <v>1705</v>
      </c>
      <c r="D267" s="145" t="s">
        <v>1706</v>
      </c>
      <c r="E267" s="146" t="s">
        <v>75</v>
      </c>
      <c r="F267" s="145" t="s">
        <v>1602</v>
      </c>
      <c r="G267" s="146" t="s">
        <v>20</v>
      </c>
      <c r="H267" s="146">
        <v>201605</v>
      </c>
      <c r="I267" s="147">
        <v>4795.1899999999996</v>
      </c>
      <c r="J267" s="144">
        <f t="shared" si="14"/>
        <v>6</v>
      </c>
      <c r="K267" s="148">
        <v>1.4833299999999999E-3</v>
      </c>
      <c r="L267" s="147">
        <f t="shared" si="12"/>
        <v>42.68</v>
      </c>
      <c r="M267" s="147">
        <f t="shared" si="13"/>
        <v>85.35</v>
      </c>
      <c r="N267" s="168" t="e">
        <f>VLOOKUP(C267,#REF!,4)</f>
        <v>#REF!</v>
      </c>
    </row>
    <row r="268" spans="1:14">
      <c r="A268" s="145" t="s">
        <v>626</v>
      </c>
      <c r="B268" s="146" t="s">
        <v>1681</v>
      </c>
      <c r="C268" s="146" t="s">
        <v>1705</v>
      </c>
      <c r="D268" s="145" t="s">
        <v>1706</v>
      </c>
      <c r="E268" s="146" t="s">
        <v>75</v>
      </c>
      <c r="F268" s="145" t="s">
        <v>1602</v>
      </c>
      <c r="G268" s="146" t="s">
        <v>20</v>
      </c>
      <c r="H268" s="146">
        <v>201606</v>
      </c>
      <c r="I268" s="147">
        <v>12937.58</v>
      </c>
      <c r="J268" s="144">
        <f t="shared" si="14"/>
        <v>5</v>
      </c>
      <c r="K268" s="148">
        <v>1.4833299999999999E-3</v>
      </c>
      <c r="L268" s="147">
        <f t="shared" si="12"/>
        <v>95.95</v>
      </c>
      <c r="M268" s="147">
        <f t="shared" si="13"/>
        <v>230.29</v>
      </c>
      <c r="N268" s="168" t="e">
        <f>VLOOKUP(C268,#REF!,4)</f>
        <v>#REF!</v>
      </c>
    </row>
    <row r="269" spans="1:14">
      <c r="A269" s="145" t="s">
        <v>626</v>
      </c>
      <c r="B269" s="146" t="s">
        <v>1681</v>
      </c>
      <c r="C269" s="146" t="s">
        <v>1707</v>
      </c>
      <c r="D269" s="145" t="s">
        <v>1708</v>
      </c>
      <c r="E269" s="146" t="s">
        <v>75</v>
      </c>
      <c r="F269" s="145" t="s">
        <v>1602</v>
      </c>
      <c r="G269" s="146" t="s">
        <v>20</v>
      </c>
      <c r="H269" s="146">
        <v>201603</v>
      </c>
      <c r="I269" s="147">
        <v>-581.25</v>
      </c>
      <c r="J269" s="144">
        <f t="shared" si="14"/>
        <v>8</v>
      </c>
      <c r="K269" s="148">
        <v>1.4833299999999999E-3</v>
      </c>
      <c r="L269" s="147">
        <f t="shared" si="12"/>
        <v>-6.9</v>
      </c>
      <c r="M269" s="147">
        <f t="shared" si="13"/>
        <v>-10.35</v>
      </c>
      <c r="N269" s="168" t="e">
        <f>VLOOKUP(C269,#REF!,4)</f>
        <v>#REF!</v>
      </c>
    </row>
    <row r="270" spans="1:14">
      <c r="A270" s="145" t="s">
        <v>626</v>
      </c>
      <c r="B270" s="146" t="s">
        <v>1681</v>
      </c>
      <c r="C270" s="146" t="s">
        <v>1707</v>
      </c>
      <c r="D270" s="145" t="s">
        <v>1708</v>
      </c>
      <c r="E270" s="146" t="s">
        <v>75</v>
      </c>
      <c r="F270" s="145" t="s">
        <v>1602</v>
      </c>
      <c r="G270" s="146" t="s">
        <v>20</v>
      </c>
      <c r="H270" s="146">
        <v>201604</v>
      </c>
      <c r="I270" s="147">
        <v>408.31</v>
      </c>
      <c r="J270" s="144">
        <f t="shared" si="14"/>
        <v>7</v>
      </c>
      <c r="K270" s="148">
        <v>1.4833299999999999E-3</v>
      </c>
      <c r="L270" s="147">
        <f t="shared" si="12"/>
        <v>4.24</v>
      </c>
      <c r="M270" s="147">
        <f t="shared" si="13"/>
        <v>7.27</v>
      </c>
      <c r="N270" s="168" t="e">
        <f>VLOOKUP(C270,#REF!,4)</f>
        <v>#REF!</v>
      </c>
    </row>
    <row r="271" spans="1:14">
      <c r="A271" s="145" t="s">
        <v>626</v>
      </c>
      <c r="B271" s="146" t="s">
        <v>1681</v>
      </c>
      <c r="C271" s="146" t="s">
        <v>1707</v>
      </c>
      <c r="D271" s="145" t="s">
        <v>1708</v>
      </c>
      <c r="E271" s="146" t="s">
        <v>75</v>
      </c>
      <c r="F271" s="145" t="s">
        <v>1602</v>
      </c>
      <c r="G271" s="146" t="s">
        <v>20</v>
      </c>
      <c r="H271" s="146">
        <v>201605</v>
      </c>
      <c r="I271" s="147">
        <v>353.94</v>
      </c>
      <c r="J271" s="144">
        <f t="shared" si="14"/>
        <v>6</v>
      </c>
      <c r="K271" s="148">
        <v>1.4833299999999999E-3</v>
      </c>
      <c r="L271" s="147">
        <f t="shared" si="12"/>
        <v>3.15</v>
      </c>
      <c r="M271" s="147">
        <f t="shared" si="13"/>
        <v>6.3</v>
      </c>
      <c r="N271" s="168" t="e">
        <f>VLOOKUP(C271,#REF!,4)</f>
        <v>#REF!</v>
      </c>
    </row>
    <row r="272" spans="1:14">
      <c r="A272" s="145" t="s">
        <v>626</v>
      </c>
      <c r="B272" s="146" t="s">
        <v>1681</v>
      </c>
      <c r="C272" s="146" t="s">
        <v>1707</v>
      </c>
      <c r="D272" s="145" t="s">
        <v>1708</v>
      </c>
      <c r="E272" s="146" t="s">
        <v>75</v>
      </c>
      <c r="F272" s="145" t="s">
        <v>1602</v>
      </c>
      <c r="G272" s="146" t="s">
        <v>20</v>
      </c>
      <c r="H272" s="146">
        <v>201606</v>
      </c>
      <c r="I272" s="147">
        <v>59436.53</v>
      </c>
      <c r="J272" s="144">
        <f t="shared" si="14"/>
        <v>5</v>
      </c>
      <c r="K272" s="148">
        <v>1.4833299999999999E-3</v>
      </c>
      <c r="L272" s="147">
        <f t="shared" si="12"/>
        <v>440.82</v>
      </c>
      <c r="M272" s="147">
        <f t="shared" si="13"/>
        <v>1057.97</v>
      </c>
      <c r="N272" s="168" t="e">
        <f>VLOOKUP(C272,#REF!,4)</f>
        <v>#REF!</v>
      </c>
    </row>
    <row r="273" spans="1:14">
      <c r="A273" s="145" t="s">
        <v>626</v>
      </c>
      <c r="B273" s="146" t="s">
        <v>1832</v>
      </c>
      <c r="C273" s="146" t="s">
        <v>1833</v>
      </c>
      <c r="D273" s="145" t="s">
        <v>1834</v>
      </c>
      <c r="E273" s="146" t="s">
        <v>497</v>
      </c>
      <c r="F273" s="145" t="s">
        <v>26</v>
      </c>
      <c r="G273" s="146" t="s">
        <v>20</v>
      </c>
      <c r="H273" s="146">
        <v>201603</v>
      </c>
      <c r="I273" s="147">
        <v>-150.94999999999999</v>
      </c>
      <c r="J273" s="144">
        <f t="shared" si="14"/>
        <v>8</v>
      </c>
      <c r="K273" s="148">
        <v>1.4833299999999999E-3</v>
      </c>
      <c r="L273" s="147">
        <f t="shared" si="12"/>
        <v>-1.79</v>
      </c>
      <c r="M273" s="147">
        <f t="shared" si="13"/>
        <v>-2.69</v>
      </c>
      <c r="N273" s="168" t="e">
        <f>VLOOKUP(C273,#REF!,4)</f>
        <v>#REF!</v>
      </c>
    </row>
    <row r="274" spans="1:14">
      <c r="A274" s="145" t="s">
        <v>626</v>
      </c>
      <c r="B274" s="146" t="s">
        <v>1832</v>
      </c>
      <c r="C274" s="146" t="s">
        <v>1833</v>
      </c>
      <c r="D274" s="145" t="s">
        <v>1834</v>
      </c>
      <c r="E274" s="146" t="s">
        <v>497</v>
      </c>
      <c r="F274" s="145" t="s">
        <v>26</v>
      </c>
      <c r="G274" s="146" t="s">
        <v>20</v>
      </c>
      <c r="H274" s="146">
        <v>201604</v>
      </c>
      <c r="I274" s="147">
        <v>129.38999999999999</v>
      </c>
      <c r="J274" s="144">
        <f t="shared" si="14"/>
        <v>7</v>
      </c>
      <c r="K274" s="148">
        <v>1.4833299999999999E-3</v>
      </c>
      <c r="L274" s="147">
        <f t="shared" si="12"/>
        <v>1.34</v>
      </c>
      <c r="M274" s="147">
        <f t="shared" si="13"/>
        <v>2.2999999999999998</v>
      </c>
      <c r="N274" s="168" t="e">
        <f>VLOOKUP(C274,#REF!,4)</f>
        <v>#REF!</v>
      </c>
    </row>
    <row r="275" spans="1:14">
      <c r="A275" s="145" t="s">
        <v>626</v>
      </c>
      <c r="B275" s="146" t="s">
        <v>1832</v>
      </c>
      <c r="C275" s="146" t="s">
        <v>1833</v>
      </c>
      <c r="D275" s="145" t="s">
        <v>1834</v>
      </c>
      <c r="E275" s="146" t="s">
        <v>497</v>
      </c>
      <c r="F275" s="145" t="s">
        <v>26</v>
      </c>
      <c r="G275" s="146" t="s">
        <v>20</v>
      </c>
      <c r="H275" s="146">
        <v>201605</v>
      </c>
      <c r="I275" s="147">
        <v>124.41</v>
      </c>
      <c r="J275" s="144">
        <f t="shared" si="14"/>
        <v>6</v>
      </c>
      <c r="K275" s="148">
        <v>1.4833299999999999E-3</v>
      </c>
      <c r="L275" s="147">
        <f t="shared" si="12"/>
        <v>1.1100000000000001</v>
      </c>
      <c r="M275" s="147">
        <f t="shared" si="13"/>
        <v>2.21</v>
      </c>
      <c r="N275" s="168" t="e">
        <f>VLOOKUP(C275,#REF!,4)</f>
        <v>#REF!</v>
      </c>
    </row>
    <row r="276" spans="1:14">
      <c r="A276" s="145" t="s">
        <v>626</v>
      </c>
      <c r="B276" s="146" t="s">
        <v>1832</v>
      </c>
      <c r="C276" s="146" t="s">
        <v>1833</v>
      </c>
      <c r="D276" s="145" t="s">
        <v>1834</v>
      </c>
      <c r="E276" s="146" t="s">
        <v>497</v>
      </c>
      <c r="F276" s="145" t="s">
        <v>26</v>
      </c>
      <c r="G276" s="146" t="s">
        <v>20</v>
      </c>
      <c r="H276" s="146">
        <v>201606</v>
      </c>
      <c r="I276" s="147">
        <v>76.95</v>
      </c>
      <c r="J276" s="144">
        <f t="shared" si="14"/>
        <v>5</v>
      </c>
      <c r="K276" s="148">
        <v>1.4833299999999999E-3</v>
      </c>
      <c r="L276" s="147">
        <f t="shared" si="12"/>
        <v>0.56999999999999995</v>
      </c>
      <c r="M276" s="147">
        <f t="shared" si="13"/>
        <v>1.37</v>
      </c>
      <c r="N276" s="168" t="e">
        <f>VLOOKUP(C276,#REF!,4)</f>
        <v>#REF!</v>
      </c>
    </row>
    <row r="277" spans="1:14">
      <c r="A277" s="145" t="s">
        <v>626</v>
      </c>
      <c r="B277" s="146" t="s">
        <v>1712</v>
      </c>
      <c r="C277" s="146" t="s">
        <v>1713</v>
      </c>
      <c r="D277" s="145" t="s">
        <v>1714</v>
      </c>
      <c r="E277" s="146" t="s">
        <v>497</v>
      </c>
      <c r="F277" s="145" t="s">
        <v>26</v>
      </c>
      <c r="G277" s="146" t="s">
        <v>20</v>
      </c>
      <c r="H277" s="146">
        <v>201603</v>
      </c>
      <c r="I277" s="147">
        <v>-19</v>
      </c>
      <c r="J277" s="144">
        <f t="shared" si="14"/>
        <v>8</v>
      </c>
      <c r="K277" s="148">
        <v>1.4833299999999999E-3</v>
      </c>
      <c r="L277" s="147">
        <f t="shared" si="12"/>
        <v>-0.23</v>
      </c>
      <c r="M277" s="147">
        <f t="shared" si="13"/>
        <v>-0.34</v>
      </c>
      <c r="N277" s="168" t="e">
        <f>VLOOKUP(C277,#REF!,4)</f>
        <v>#REF!</v>
      </c>
    </row>
    <row r="278" spans="1:14">
      <c r="A278" s="145" t="s">
        <v>626</v>
      </c>
      <c r="B278" s="146" t="s">
        <v>1712</v>
      </c>
      <c r="C278" s="146" t="s">
        <v>1713</v>
      </c>
      <c r="D278" s="145" t="s">
        <v>1714</v>
      </c>
      <c r="E278" s="146" t="s">
        <v>497</v>
      </c>
      <c r="F278" s="145" t="s">
        <v>26</v>
      </c>
      <c r="G278" s="146" t="s">
        <v>20</v>
      </c>
      <c r="H278" s="146">
        <v>201604</v>
      </c>
      <c r="I278" s="147">
        <v>15.71</v>
      </c>
      <c r="J278" s="144">
        <f t="shared" si="14"/>
        <v>7</v>
      </c>
      <c r="K278" s="148">
        <v>1.4833299999999999E-3</v>
      </c>
      <c r="L278" s="147">
        <f t="shared" si="12"/>
        <v>0.16</v>
      </c>
      <c r="M278" s="147">
        <f t="shared" si="13"/>
        <v>0.28000000000000003</v>
      </c>
      <c r="N278" s="168" t="e">
        <f>VLOOKUP(C278,#REF!,4)</f>
        <v>#REF!</v>
      </c>
    </row>
    <row r="279" spans="1:14">
      <c r="A279" s="145" t="s">
        <v>626</v>
      </c>
      <c r="B279" s="146" t="s">
        <v>1712</v>
      </c>
      <c r="C279" s="146" t="s">
        <v>1713</v>
      </c>
      <c r="D279" s="145" t="s">
        <v>1714</v>
      </c>
      <c r="E279" s="146" t="s">
        <v>497</v>
      </c>
      <c r="F279" s="145" t="s">
        <v>26</v>
      </c>
      <c r="G279" s="146" t="s">
        <v>20</v>
      </c>
      <c r="H279" s="146">
        <v>201605</v>
      </c>
      <c r="I279" s="147">
        <v>15.64</v>
      </c>
      <c r="J279" s="144">
        <f t="shared" si="14"/>
        <v>6</v>
      </c>
      <c r="K279" s="148">
        <v>1.4833299999999999E-3</v>
      </c>
      <c r="L279" s="147">
        <f t="shared" si="12"/>
        <v>0.14000000000000001</v>
      </c>
      <c r="M279" s="147">
        <f t="shared" si="13"/>
        <v>0.28000000000000003</v>
      </c>
      <c r="N279" s="168" t="e">
        <f>VLOOKUP(C279,#REF!,4)</f>
        <v>#REF!</v>
      </c>
    </row>
    <row r="280" spans="1:14">
      <c r="A280" s="145" t="s">
        <v>626</v>
      </c>
      <c r="B280" s="146" t="s">
        <v>1712</v>
      </c>
      <c r="C280" s="146" t="s">
        <v>1713</v>
      </c>
      <c r="D280" s="145" t="s">
        <v>1714</v>
      </c>
      <c r="E280" s="146" t="s">
        <v>497</v>
      </c>
      <c r="F280" s="145" t="s">
        <v>26</v>
      </c>
      <c r="G280" s="146" t="s">
        <v>20</v>
      </c>
      <c r="H280" s="146">
        <v>201606</v>
      </c>
      <c r="I280" s="147">
        <v>9.4499999999999993</v>
      </c>
      <c r="J280" s="144">
        <f t="shared" si="14"/>
        <v>5</v>
      </c>
      <c r="K280" s="148">
        <v>1.4833299999999999E-3</v>
      </c>
      <c r="L280" s="147">
        <f t="shared" si="12"/>
        <v>7.0000000000000007E-2</v>
      </c>
      <c r="M280" s="147">
        <f t="shared" si="13"/>
        <v>0.17</v>
      </c>
      <c r="N280" s="168" t="e">
        <f>VLOOKUP(C280,#REF!,4)</f>
        <v>#REF!</v>
      </c>
    </row>
    <row r="281" spans="1:14">
      <c r="A281" s="145" t="s">
        <v>626</v>
      </c>
      <c r="B281" s="146" t="s">
        <v>2030</v>
      </c>
      <c r="C281" s="146" t="s">
        <v>2031</v>
      </c>
      <c r="D281" s="145" t="s">
        <v>2032</v>
      </c>
      <c r="E281" s="146" t="s">
        <v>497</v>
      </c>
      <c r="F281" s="145" t="s">
        <v>26</v>
      </c>
      <c r="G281" s="146" t="s">
        <v>20</v>
      </c>
      <c r="H281" s="146">
        <v>201604</v>
      </c>
      <c r="I281" s="147">
        <v>3086.38</v>
      </c>
      <c r="J281" s="144">
        <f t="shared" si="14"/>
        <v>7</v>
      </c>
      <c r="K281" s="148">
        <v>1.4833299999999999E-3</v>
      </c>
      <c r="L281" s="147">
        <f t="shared" si="12"/>
        <v>32.049999999999997</v>
      </c>
      <c r="M281" s="147">
        <f t="shared" si="13"/>
        <v>54.94</v>
      </c>
      <c r="N281" s="168" t="e">
        <f>VLOOKUP(C281,#REF!,4)</f>
        <v>#REF!</v>
      </c>
    </row>
    <row r="282" spans="1:14">
      <c r="A282" s="145" t="s">
        <v>626</v>
      </c>
      <c r="B282" s="146" t="s">
        <v>2030</v>
      </c>
      <c r="C282" s="146" t="s">
        <v>2031</v>
      </c>
      <c r="D282" s="145" t="s">
        <v>2032</v>
      </c>
      <c r="E282" s="146" t="s">
        <v>497</v>
      </c>
      <c r="F282" s="145" t="s">
        <v>26</v>
      </c>
      <c r="G282" s="146" t="s">
        <v>20</v>
      </c>
      <c r="H282" s="146">
        <v>201605</v>
      </c>
      <c r="I282" s="147">
        <v>18523.46</v>
      </c>
      <c r="J282" s="144">
        <f t="shared" si="14"/>
        <v>6</v>
      </c>
      <c r="K282" s="148">
        <v>1.4833299999999999E-3</v>
      </c>
      <c r="L282" s="147">
        <f t="shared" si="12"/>
        <v>164.86</v>
      </c>
      <c r="M282" s="147">
        <f t="shared" si="13"/>
        <v>329.72</v>
      </c>
      <c r="N282" s="168" t="e">
        <f>VLOOKUP(C282,#REF!,4)</f>
        <v>#REF!</v>
      </c>
    </row>
    <row r="283" spans="1:14">
      <c r="A283" s="145" t="s">
        <v>626</v>
      </c>
      <c r="B283" s="146" t="s">
        <v>2030</v>
      </c>
      <c r="C283" s="146" t="s">
        <v>2031</v>
      </c>
      <c r="D283" s="145" t="s">
        <v>2032</v>
      </c>
      <c r="E283" s="146" t="s">
        <v>497</v>
      </c>
      <c r="F283" s="145" t="s">
        <v>26</v>
      </c>
      <c r="G283" s="146" t="s">
        <v>20</v>
      </c>
      <c r="H283" s="146">
        <v>201606</v>
      </c>
      <c r="I283" s="147">
        <v>3363.68</v>
      </c>
      <c r="J283" s="144">
        <f t="shared" si="14"/>
        <v>5</v>
      </c>
      <c r="K283" s="148">
        <v>1.4833299999999999E-3</v>
      </c>
      <c r="L283" s="147">
        <f t="shared" si="12"/>
        <v>24.95</v>
      </c>
      <c r="M283" s="147">
        <f t="shared" si="13"/>
        <v>59.87</v>
      </c>
      <c r="N283" s="168" t="e">
        <f>VLOOKUP(C283,#REF!,4)</f>
        <v>#REF!</v>
      </c>
    </row>
    <row r="284" spans="1:14">
      <c r="A284" s="145" t="s">
        <v>626</v>
      </c>
      <c r="B284" s="146" t="s">
        <v>1715</v>
      </c>
      <c r="C284" s="146" t="s">
        <v>1716</v>
      </c>
      <c r="D284" s="145" t="s">
        <v>1717</v>
      </c>
      <c r="E284" s="146" t="s">
        <v>497</v>
      </c>
      <c r="F284" s="145" t="s">
        <v>26</v>
      </c>
      <c r="G284" s="146" t="s">
        <v>20</v>
      </c>
      <c r="H284" s="146">
        <v>201603</v>
      </c>
      <c r="I284" s="147">
        <v>9.25</v>
      </c>
      <c r="J284" s="144">
        <f t="shared" si="14"/>
        <v>8</v>
      </c>
      <c r="K284" s="148">
        <v>1.4833299999999999E-3</v>
      </c>
      <c r="L284" s="147">
        <f t="shared" si="12"/>
        <v>0.11</v>
      </c>
      <c r="M284" s="147">
        <f t="shared" si="13"/>
        <v>0.16</v>
      </c>
      <c r="N284" s="168" t="e">
        <f>VLOOKUP(C284,#REF!,4)</f>
        <v>#REF!</v>
      </c>
    </row>
    <row r="285" spans="1:14">
      <c r="A285" s="145" t="s">
        <v>626</v>
      </c>
      <c r="B285" s="146" t="s">
        <v>1715</v>
      </c>
      <c r="C285" s="146" t="s">
        <v>1716</v>
      </c>
      <c r="D285" s="145" t="s">
        <v>1717</v>
      </c>
      <c r="E285" s="146" t="s">
        <v>497</v>
      </c>
      <c r="F285" s="145" t="s">
        <v>26</v>
      </c>
      <c r="G285" s="146" t="s">
        <v>20</v>
      </c>
      <c r="H285" s="146">
        <v>201604</v>
      </c>
      <c r="I285" s="147">
        <v>-8.44</v>
      </c>
      <c r="J285" s="144">
        <f t="shared" si="14"/>
        <v>7</v>
      </c>
      <c r="K285" s="148">
        <v>1.4833299999999999E-3</v>
      </c>
      <c r="L285" s="147">
        <f t="shared" si="12"/>
        <v>-0.09</v>
      </c>
      <c r="M285" s="147">
        <f t="shared" si="13"/>
        <v>-0.15</v>
      </c>
      <c r="N285" s="168" t="e">
        <f>VLOOKUP(C285,#REF!,4)</f>
        <v>#REF!</v>
      </c>
    </row>
    <row r="286" spans="1:14">
      <c r="A286" s="145" t="s">
        <v>626</v>
      </c>
      <c r="B286" s="146" t="s">
        <v>1715</v>
      </c>
      <c r="C286" s="146" t="s">
        <v>1716</v>
      </c>
      <c r="D286" s="145" t="s">
        <v>1717</v>
      </c>
      <c r="E286" s="146" t="s">
        <v>497</v>
      </c>
      <c r="F286" s="145" t="s">
        <v>26</v>
      </c>
      <c r="G286" s="146" t="s">
        <v>20</v>
      </c>
      <c r="H286" s="146">
        <v>201605</v>
      </c>
      <c r="I286" s="147">
        <v>-1.99</v>
      </c>
      <c r="J286" s="144">
        <f t="shared" si="14"/>
        <v>6</v>
      </c>
      <c r="K286" s="148">
        <v>1.4833299999999999E-3</v>
      </c>
      <c r="L286" s="147">
        <f t="shared" si="12"/>
        <v>-0.02</v>
      </c>
      <c r="M286" s="147">
        <f t="shared" si="13"/>
        <v>-0.04</v>
      </c>
      <c r="N286" s="168" t="e">
        <f>VLOOKUP(C286,#REF!,4)</f>
        <v>#REF!</v>
      </c>
    </row>
    <row r="287" spans="1:14">
      <c r="A287" s="145" t="s">
        <v>626</v>
      </c>
      <c r="B287" s="146" t="s">
        <v>1715</v>
      </c>
      <c r="C287" s="146" t="s">
        <v>1716</v>
      </c>
      <c r="D287" s="145" t="s">
        <v>1717</v>
      </c>
      <c r="E287" s="146" t="s">
        <v>497</v>
      </c>
      <c r="F287" s="145" t="s">
        <v>26</v>
      </c>
      <c r="G287" s="146" t="s">
        <v>20</v>
      </c>
      <c r="H287" s="146">
        <v>201606</v>
      </c>
      <c r="I287" s="147">
        <v>-5.73</v>
      </c>
      <c r="J287" s="144">
        <f t="shared" si="14"/>
        <v>5</v>
      </c>
      <c r="K287" s="148">
        <v>1.4833299999999999E-3</v>
      </c>
      <c r="L287" s="147">
        <f t="shared" si="12"/>
        <v>-0.04</v>
      </c>
      <c r="M287" s="147">
        <f t="shared" si="13"/>
        <v>-0.1</v>
      </c>
      <c r="N287" s="168" t="e">
        <f>VLOOKUP(C287,#REF!,4)</f>
        <v>#REF!</v>
      </c>
    </row>
    <row r="288" spans="1:14">
      <c r="A288" s="145" t="s">
        <v>626</v>
      </c>
      <c r="B288" s="146" t="s">
        <v>1951</v>
      </c>
      <c r="C288" s="146" t="s">
        <v>1952</v>
      </c>
      <c r="D288" s="145" t="s">
        <v>1759</v>
      </c>
      <c r="E288" s="146" t="s">
        <v>75</v>
      </c>
      <c r="F288" s="145" t="s">
        <v>1602</v>
      </c>
      <c r="G288" s="146" t="s">
        <v>20</v>
      </c>
      <c r="H288" s="146">
        <v>201603</v>
      </c>
      <c r="I288" s="147">
        <v>-1314.19</v>
      </c>
      <c r="J288" s="144">
        <f t="shared" si="14"/>
        <v>8</v>
      </c>
      <c r="K288" s="148">
        <v>1.4833299999999999E-3</v>
      </c>
      <c r="L288" s="147">
        <f t="shared" si="12"/>
        <v>-15.6</v>
      </c>
      <c r="M288" s="147">
        <f t="shared" si="13"/>
        <v>-23.39</v>
      </c>
      <c r="N288" s="168" t="e">
        <f>VLOOKUP(C288,#REF!,4)</f>
        <v>#REF!</v>
      </c>
    </row>
    <row r="289" spans="1:14">
      <c r="A289" s="145" t="s">
        <v>626</v>
      </c>
      <c r="B289" s="146" t="s">
        <v>1951</v>
      </c>
      <c r="C289" s="146" t="s">
        <v>1952</v>
      </c>
      <c r="D289" s="145" t="s">
        <v>1759</v>
      </c>
      <c r="E289" s="146" t="s">
        <v>75</v>
      </c>
      <c r="F289" s="145" t="s">
        <v>1602</v>
      </c>
      <c r="G289" s="146" t="s">
        <v>20</v>
      </c>
      <c r="H289" s="146">
        <v>201604</v>
      </c>
      <c r="I289" s="147">
        <v>1557.28</v>
      </c>
      <c r="J289" s="144">
        <f t="shared" si="14"/>
        <v>7</v>
      </c>
      <c r="K289" s="148">
        <v>1.4833299999999999E-3</v>
      </c>
      <c r="L289" s="147">
        <f t="shared" si="12"/>
        <v>16.170000000000002</v>
      </c>
      <c r="M289" s="147">
        <f t="shared" si="13"/>
        <v>27.72</v>
      </c>
      <c r="N289" s="168" t="e">
        <f>VLOOKUP(C289,#REF!,4)</f>
        <v>#REF!</v>
      </c>
    </row>
    <row r="290" spans="1:14">
      <c r="A290" s="145" t="s">
        <v>626</v>
      </c>
      <c r="B290" s="146" t="s">
        <v>1951</v>
      </c>
      <c r="C290" s="146" t="s">
        <v>1952</v>
      </c>
      <c r="D290" s="145" t="s">
        <v>1759</v>
      </c>
      <c r="E290" s="146" t="s">
        <v>75</v>
      </c>
      <c r="F290" s="145" t="s">
        <v>1602</v>
      </c>
      <c r="G290" s="146" t="s">
        <v>20</v>
      </c>
      <c r="H290" s="146">
        <v>201605</v>
      </c>
      <c r="I290" s="147">
        <v>-340.54</v>
      </c>
      <c r="J290" s="144">
        <f t="shared" si="14"/>
        <v>6</v>
      </c>
      <c r="K290" s="148">
        <v>1.4833299999999999E-3</v>
      </c>
      <c r="L290" s="147">
        <f t="shared" si="12"/>
        <v>-3.03</v>
      </c>
      <c r="M290" s="147">
        <f t="shared" si="13"/>
        <v>-6.06</v>
      </c>
      <c r="N290" s="168" t="e">
        <f>VLOOKUP(C290,#REF!,4)</f>
        <v>#REF!</v>
      </c>
    </row>
    <row r="291" spans="1:14">
      <c r="A291" s="145" t="s">
        <v>626</v>
      </c>
      <c r="B291" s="146" t="s">
        <v>1951</v>
      </c>
      <c r="C291" s="146" t="s">
        <v>1952</v>
      </c>
      <c r="D291" s="145" t="s">
        <v>1759</v>
      </c>
      <c r="E291" s="146" t="s">
        <v>75</v>
      </c>
      <c r="F291" s="145" t="s">
        <v>1602</v>
      </c>
      <c r="G291" s="146" t="s">
        <v>20</v>
      </c>
      <c r="H291" s="146">
        <v>201606</v>
      </c>
      <c r="I291" s="147">
        <v>845.22</v>
      </c>
      <c r="J291" s="144">
        <f t="shared" si="14"/>
        <v>5</v>
      </c>
      <c r="K291" s="148">
        <v>1.4833299999999999E-3</v>
      </c>
      <c r="L291" s="147">
        <f t="shared" si="12"/>
        <v>6.27</v>
      </c>
      <c r="M291" s="147">
        <f t="shared" si="13"/>
        <v>15.04</v>
      </c>
      <c r="N291" s="168" t="e">
        <f>VLOOKUP(C291,#REF!,4)</f>
        <v>#REF!</v>
      </c>
    </row>
    <row r="292" spans="1:14">
      <c r="A292" s="145" t="s">
        <v>626</v>
      </c>
      <c r="B292" s="146" t="s">
        <v>1835</v>
      </c>
      <c r="C292" s="146" t="s">
        <v>1836</v>
      </c>
      <c r="D292" s="145" t="s">
        <v>1837</v>
      </c>
      <c r="E292" s="146" t="s">
        <v>497</v>
      </c>
      <c r="F292" s="145" t="s">
        <v>26</v>
      </c>
      <c r="G292" s="146" t="s">
        <v>20</v>
      </c>
      <c r="H292" s="146">
        <v>201603</v>
      </c>
      <c r="I292" s="147">
        <v>-18.079999999999998</v>
      </c>
      <c r="J292" s="144">
        <f t="shared" si="14"/>
        <v>8</v>
      </c>
      <c r="K292" s="148">
        <v>1.4833299999999999E-3</v>
      </c>
      <c r="L292" s="147">
        <f t="shared" si="12"/>
        <v>-0.21</v>
      </c>
      <c r="M292" s="147">
        <f t="shared" si="13"/>
        <v>-0.32</v>
      </c>
      <c r="N292" s="168" t="e">
        <f>VLOOKUP(C292,#REF!,4)</f>
        <v>#REF!</v>
      </c>
    </row>
    <row r="293" spans="1:14">
      <c r="A293" s="145" t="s">
        <v>626</v>
      </c>
      <c r="B293" s="146" t="s">
        <v>1835</v>
      </c>
      <c r="C293" s="146" t="s">
        <v>1836</v>
      </c>
      <c r="D293" s="145" t="s">
        <v>1837</v>
      </c>
      <c r="E293" s="146" t="s">
        <v>497</v>
      </c>
      <c r="F293" s="145" t="s">
        <v>26</v>
      </c>
      <c r="G293" s="146" t="s">
        <v>20</v>
      </c>
      <c r="H293" s="146">
        <v>201604</v>
      </c>
      <c r="I293" s="147">
        <v>247.08</v>
      </c>
      <c r="J293" s="144">
        <f t="shared" si="14"/>
        <v>7</v>
      </c>
      <c r="K293" s="148">
        <v>1.4833299999999999E-3</v>
      </c>
      <c r="L293" s="147">
        <f t="shared" si="12"/>
        <v>2.57</v>
      </c>
      <c r="M293" s="147">
        <f t="shared" si="13"/>
        <v>4.4000000000000004</v>
      </c>
      <c r="N293" s="168" t="e">
        <f>VLOOKUP(C293,#REF!,4)</f>
        <v>#REF!</v>
      </c>
    </row>
    <row r="294" spans="1:14">
      <c r="A294" s="145" t="s">
        <v>626</v>
      </c>
      <c r="B294" s="146" t="s">
        <v>1835</v>
      </c>
      <c r="C294" s="146" t="s">
        <v>1836</v>
      </c>
      <c r="D294" s="145" t="s">
        <v>1837</v>
      </c>
      <c r="E294" s="146" t="s">
        <v>497</v>
      </c>
      <c r="F294" s="145" t="s">
        <v>26</v>
      </c>
      <c r="G294" s="146" t="s">
        <v>20</v>
      </c>
      <c r="H294" s="146">
        <v>201605</v>
      </c>
      <c r="I294" s="147">
        <v>222.81</v>
      </c>
      <c r="J294" s="144">
        <f t="shared" si="14"/>
        <v>6</v>
      </c>
      <c r="K294" s="148">
        <v>1.4833299999999999E-3</v>
      </c>
      <c r="L294" s="147">
        <f t="shared" si="12"/>
        <v>1.98</v>
      </c>
      <c r="M294" s="147">
        <f t="shared" si="13"/>
        <v>3.97</v>
      </c>
      <c r="N294" s="168" t="e">
        <f>VLOOKUP(C294,#REF!,4)</f>
        <v>#REF!</v>
      </c>
    </row>
    <row r="295" spans="1:14">
      <c r="A295" s="145" t="s">
        <v>626</v>
      </c>
      <c r="B295" s="146" t="s">
        <v>1835</v>
      </c>
      <c r="C295" s="146" t="s">
        <v>1836</v>
      </c>
      <c r="D295" s="145" t="s">
        <v>1837</v>
      </c>
      <c r="E295" s="146" t="s">
        <v>497</v>
      </c>
      <c r="F295" s="145" t="s">
        <v>26</v>
      </c>
      <c r="G295" s="146" t="s">
        <v>20</v>
      </c>
      <c r="H295" s="146">
        <v>201606</v>
      </c>
      <c r="I295" s="147">
        <v>107.01</v>
      </c>
      <c r="J295" s="144">
        <f t="shared" si="14"/>
        <v>5</v>
      </c>
      <c r="K295" s="148">
        <v>1.4833299999999999E-3</v>
      </c>
      <c r="L295" s="147">
        <f t="shared" si="12"/>
        <v>0.79</v>
      </c>
      <c r="M295" s="147">
        <f t="shared" si="13"/>
        <v>1.9</v>
      </c>
      <c r="N295" s="168" t="e">
        <f>VLOOKUP(C295,#REF!,4)</f>
        <v>#REF!</v>
      </c>
    </row>
    <row r="296" spans="1:14">
      <c r="A296" s="145" t="s">
        <v>626</v>
      </c>
      <c r="B296" s="146" t="s">
        <v>1718</v>
      </c>
      <c r="C296" s="146" t="s">
        <v>1719</v>
      </c>
      <c r="D296" s="145" t="s">
        <v>1720</v>
      </c>
      <c r="E296" s="146" t="s">
        <v>497</v>
      </c>
      <c r="F296" s="145" t="s">
        <v>26</v>
      </c>
      <c r="G296" s="146" t="s">
        <v>20</v>
      </c>
      <c r="H296" s="146">
        <v>201603</v>
      </c>
      <c r="I296" s="147">
        <v>-4.58</v>
      </c>
      <c r="J296" s="144">
        <f t="shared" si="14"/>
        <v>8</v>
      </c>
      <c r="K296" s="148">
        <v>1.4833299999999999E-3</v>
      </c>
      <c r="L296" s="147">
        <f t="shared" si="12"/>
        <v>-0.05</v>
      </c>
      <c r="M296" s="147">
        <f t="shared" si="13"/>
        <v>-0.08</v>
      </c>
      <c r="N296" s="168" t="e">
        <f>VLOOKUP(C296,#REF!,4)</f>
        <v>#REF!</v>
      </c>
    </row>
    <row r="297" spans="1:14">
      <c r="A297" s="145" t="s">
        <v>626</v>
      </c>
      <c r="B297" s="146" t="s">
        <v>1718</v>
      </c>
      <c r="C297" s="146" t="s">
        <v>1719</v>
      </c>
      <c r="D297" s="145" t="s">
        <v>1720</v>
      </c>
      <c r="E297" s="146" t="s">
        <v>497</v>
      </c>
      <c r="F297" s="145" t="s">
        <v>26</v>
      </c>
      <c r="G297" s="146" t="s">
        <v>20</v>
      </c>
      <c r="H297" s="146">
        <v>201604</v>
      </c>
      <c r="I297" s="147">
        <v>70.48</v>
      </c>
      <c r="J297" s="144">
        <f t="shared" si="14"/>
        <v>7</v>
      </c>
      <c r="K297" s="148">
        <v>1.4833299999999999E-3</v>
      </c>
      <c r="L297" s="147">
        <f t="shared" si="12"/>
        <v>0.73</v>
      </c>
      <c r="M297" s="147">
        <f t="shared" si="13"/>
        <v>1.25</v>
      </c>
      <c r="N297" s="168" t="e">
        <f>VLOOKUP(C297,#REF!,4)</f>
        <v>#REF!</v>
      </c>
    </row>
    <row r="298" spans="1:14">
      <c r="A298" s="145" t="s">
        <v>626</v>
      </c>
      <c r="B298" s="146" t="s">
        <v>1718</v>
      </c>
      <c r="C298" s="146" t="s">
        <v>1719</v>
      </c>
      <c r="D298" s="145" t="s">
        <v>1720</v>
      </c>
      <c r="E298" s="146" t="s">
        <v>497</v>
      </c>
      <c r="F298" s="145" t="s">
        <v>26</v>
      </c>
      <c r="G298" s="146" t="s">
        <v>20</v>
      </c>
      <c r="H298" s="146">
        <v>201605</v>
      </c>
      <c r="I298" s="147">
        <v>50.72</v>
      </c>
      <c r="J298" s="144">
        <f t="shared" si="14"/>
        <v>6</v>
      </c>
      <c r="K298" s="148">
        <v>1.4833299999999999E-3</v>
      </c>
      <c r="L298" s="147">
        <f t="shared" si="12"/>
        <v>0.45</v>
      </c>
      <c r="M298" s="147">
        <f t="shared" si="13"/>
        <v>0.9</v>
      </c>
      <c r="N298" s="168" t="e">
        <f>VLOOKUP(C298,#REF!,4)</f>
        <v>#REF!</v>
      </c>
    </row>
    <row r="299" spans="1:14">
      <c r="A299" s="145" t="s">
        <v>626</v>
      </c>
      <c r="B299" s="146" t="s">
        <v>1718</v>
      </c>
      <c r="C299" s="146" t="s">
        <v>1719</v>
      </c>
      <c r="D299" s="145" t="s">
        <v>1720</v>
      </c>
      <c r="E299" s="146" t="s">
        <v>497</v>
      </c>
      <c r="F299" s="145" t="s">
        <v>26</v>
      </c>
      <c r="G299" s="146" t="s">
        <v>20</v>
      </c>
      <c r="H299" s="146">
        <v>201606</v>
      </c>
      <c r="I299" s="147">
        <v>30.75</v>
      </c>
      <c r="J299" s="144">
        <f t="shared" si="14"/>
        <v>5</v>
      </c>
      <c r="K299" s="148">
        <v>1.4833299999999999E-3</v>
      </c>
      <c r="L299" s="147">
        <f t="shared" si="12"/>
        <v>0.23</v>
      </c>
      <c r="M299" s="147">
        <f t="shared" si="13"/>
        <v>0.55000000000000004</v>
      </c>
      <c r="N299" s="168" t="e">
        <f>VLOOKUP(C299,#REF!,4)</f>
        <v>#REF!</v>
      </c>
    </row>
    <row r="300" spans="1:14">
      <c r="A300" s="145" t="s">
        <v>626</v>
      </c>
      <c r="B300" s="146" t="s">
        <v>2033</v>
      </c>
      <c r="C300" s="146" t="s">
        <v>2034</v>
      </c>
      <c r="D300" s="145" t="s">
        <v>2035</v>
      </c>
      <c r="E300" s="146" t="s">
        <v>497</v>
      </c>
      <c r="F300" s="145" t="s">
        <v>26</v>
      </c>
      <c r="G300" s="146" t="s">
        <v>20</v>
      </c>
      <c r="H300" s="146">
        <v>201606</v>
      </c>
      <c r="I300" s="147">
        <v>130479.56</v>
      </c>
      <c r="J300" s="144">
        <f t="shared" si="14"/>
        <v>5</v>
      </c>
      <c r="K300" s="148">
        <v>1.4833299999999999E-3</v>
      </c>
      <c r="L300" s="147">
        <f t="shared" si="12"/>
        <v>967.72</v>
      </c>
      <c r="M300" s="147">
        <f t="shared" si="13"/>
        <v>2322.5300000000002</v>
      </c>
      <c r="N300" s="168" t="e">
        <f>VLOOKUP(C300,#REF!,4)</f>
        <v>#REF!</v>
      </c>
    </row>
    <row r="301" spans="1:14">
      <c r="A301" s="145" t="s">
        <v>626</v>
      </c>
      <c r="B301" s="146" t="s">
        <v>1620</v>
      </c>
      <c r="C301" s="146" t="s">
        <v>1621</v>
      </c>
      <c r="D301" s="145" t="s">
        <v>1622</v>
      </c>
      <c r="E301" s="146" t="s">
        <v>497</v>
      </c>
      <c r="F301" s="145" t="s">
        <v>26</v>
      </c>
      <c r="G301" s="146" t="s">
        <v>20</v>
      </c>
      <c r="H301" s="146">
        <v>201603</v>
      </c>
      <c r="I301" s="147">
        <v>-57.02</v>
      </c>
      <c r="J301" s="144">
        <f t="shared" si="14"/>
        <v>8</v>
      </c>
      <c r="K301" s="148">
        <v>1.4833299999999999E-3</v>
      </c>
      <c r="L301" s="147">
        <f t="shared" si="12"/>
        <v>-0.68</v>
      </c>
      <c r="M301" s="147">
        <f t="shared" si="13"/>
        <v>-1.01</v>
      </c>
      <c r="N301" s="168" t="e">
        <f>VLOOKUP(C301,#REF!,4)</f>
        <v>#REF!</v>
      </c>
    </row>
    <row r="302" spans="1:14">
      <c r="A302" s="145" t="s">
        <v>626</v>
      </c>
      <c r="B302" s="146" t="s">
        <v>1620</v>
      </c>
      <c r="C302" s="146" t="s">
        <v>1621</v>
      </c>
      <c r="D302" s="145" t="s">
        <v>1622</v>
      </c>
      <c r="E302" s="146" t="s">
        <v>497</v>
      </c>
      <c r="F302" s="145" t="s">
        <v>26</v>
      </c>
      <c r="G302" s="146" t="s">
        <v>20</v>
      </c>
      <c r="H302" s="146">
        <v>201604</v>
      </c>
      <c r="I302" s="147">
        <v>8404.01</v>
      </c>
      <c r="J302" s="144">
        <f t="shared" si="14"/>
        <v>7</v>
      </c>
      <c r="K302" s="148">
        <v>1.4833299999999999E-3</v>
      </c>
      <c r="L302" s="147">
        <f t="shared" si="12"/>
        <v>87.26</v>
      </c>
      <c r="M302" s="147">
        <f t="shared" si="13"/>
        <v>149.59</v>
      </c>
      <c r="N302" s="168" t="e">
        <f>VLOOKUP(C302,#REF!,4)</f>
        <v>#REF!</v>
      </c>
    </row>
    <row r="303" spans="1:14">
      <c r="A303" s="145" t="s">
        <v>626</v>
      </c>
      <c r="B303" s="146" t="s">
        <v>1620</v>
      </c>
      <c r="C303" s="146" t="s">
        <v>1621</v>
      </c>
      <c r="D303" s="145" t="s">
        <v>1622</v>
      </c>
      <c r="E303" s="146" t="s">
        <v>497</v>
      </c>
      <c r="F303" s="145" t="s">
        <v>26</v>
      </c>
      <c r="G303" s="146" t="s">
        <v>20</v>
      </c>
      <c r="H303" s="146">
        <v>201605</v>
      </c>
      <c r="I303" s="147">
        <v>159.38999999999999</v>
      </c>
      <c r="J303" s="144">
        <f t="shared" si="14"/>
        <v>6</v>
      </c>
      <c r="K303" s="148">
        <v>1.4833299999999999E-3</v>
      </c>
      <c r="L303" s="147">
        <f t="shared" si="12"/>
        <v>1.42</v>
      </c>
      <c r="M303" s="147">
        <f t="shared" si="13"/>
        <v>2.84</v>
      </c>
      <c r="N303" s="168" t="e">
        <f>VLOOKUP(C303,#REF!,4)</f>
        <v>#REF!</v>
      </c>
    </row>
    <row r="304" spans="1:14">
      <c r="A304" s="145" t="s">
        <v>626</v>
      </c>
      <c r="B304" s="146" t="s">
        <v>1620</v>
      </c>
      <c r="C304" s="146" t="s">
        <v>1621</v>
      </c>
      <c r="D304" s="145" t="s">
        <v>1622</v>
      </c>
      <c r="E304" s="146" t="s">
        <v>497</v>
      </c>
      <c r="F304" s="145" t="s">
        <v>26</v>
      </c>
      <c r="G304" s="146" t="s">
        <v>20</v>
      </c>
      <c r="H304" s="146">
        <v>201606</v>
      </c>
      <c r="I304" s="147">
        <v>185.52</v>
      </c>
      <c r="J304" s="144">
        <f t="shared" si="14"/>
        <v>5</v>
      </c>
      <c r="K304" s="148">
        <v>1.4833299999999999E-3</v>
      </c>
      <c r="L304" s="147">
        <f t="shared" si="12"/>
        <v>1.38</v>
      </c>
      <c r="M304" s="147">
        <f t="shared" si="13"/>
        <v>3.3</v>
      </c>
      <c r="N304" s="168" t="e">
        <f>VLOOKUP(C304,#REF!,4)</f>
        <v>#REF!</v>
      </c>
    </row>
    <row r="305" spans="1:14">
      <c r="A305" s="145" t="s">
        <v>626</v>
      </c>
      <c r="B305" s="146" t="s">
        <v>2036</v>
      </c>
      <c r="C305" s="146" t="s">
        <v>2037</v>
      </c>
      <c r="D305" s="145" t="s">
        <v>2038</v>
      </c>
      <c r="E305" s="146" t="s">
        <v>160</v>
      </c>
      <c r="F305" s="145" t="s">
        <v>19</v>
      </c>
      <c r="G305" s="146" t="s">
        <v>20</v>
      </c>
      <c r="H305" s="146">
        <v>201604</v>
      </c>
      <c r="I305" s="147">
        <v>119473.49</v>
      </c>
      <c r="J305" s="144">
        <f t="shared" si="14"/>
        <v>7</v>
      </c>
      <c r="K305" s="148">
        <v>1.4833299999999999E-3</v>
      </c>
      <c r="L305" s="147">
        <f t="shared" si="12"/>
        <v>1240.53</v>
      </c>
      <c r="M305" s="147">
        <f t="shared" si="13"/>
        <v>2126.62</v>
      </c>
      <c r="N305" s="168" t="e">
        <f>VLOOKUP(C305,#REF!,4)</f>
        <v>#REF!</v>
      </c>
    </row>
    <row r="306" spans="1:14">
      <c r="A306" s="145" t="s">
        <v>626</v>
      </c>
      <c r="B306" s="146" t="s">
        <v>2036</v>
      </c>
      <c r="C306" s="146" t="s">
        <v>2037</v>
      </c>
      <c r="D306" s="145" t="s">
        <v>2038</v>
      </c>
      <c r="E306" s="146" t="s">
        <v>160</v>
      </c>
      <c r="F306" s="145" t="s">
        <v>19</v>
      </c>
      <c r="G306" s="146" t="s">
        <v>20</v>
      </c>
      <c r="H306" s="146">
        <v>201605</v>
      </c>
      <c r="I306" s="147">
        <v>1408.9</v>
      </c>
      <c r="J306" s="144">
        <f t="shared" si="14"/>
        <v>6</v>
      </c>
      <c r="K306" s="148">
        <v>1.4833299999999999E-3</v>
      </c>
      <c r="L306" s="147">
        <f t="shared" si="12"/>
        <v>12.54</v>
      </c>
      <c r="M306" s="147">
        <f t="shared" si="13"/>
        <v>25.08</v>
      </c>
      <c r="N306" s="168" t="e">
        <f>VLOOKUP(C306,#REF!,4)</f>
        <v>#REF!</v>
      </c>
    </row>
    <row r="307" spans="1:14">
      <c r="A307" s="145" t="s">
        <v>626</v>
      </c>
      <c r="B307" s="146" t="s">
        <v>2036</v>
      </c>
      <c r="C307" s="146" t="s">
        <v>2037</v>
      </c>
      <c r="D307" s="145" t="s">
        <v>2038</v>
      </c>
      <c r="E307" s="146" t="s">
        <v>160</v>
      </c>
      <c r="F307" s="145" t="s">
        <v>19</v>
      </c>
      <c r="G307" s="146" t="s">
        <v>20</v>
      </c>
      <c r="H307" s="146">
        <v>201606</v>
      </c>
      <c r="I307" s="147">
        <v>1013.65</v>
      </c>
      <c r="J307" s="144">
        <f t="shared" si="14"/>
        <v>5</v>
      </c>
      <c r="K307" s="148">
        <v>1.4833299999999999E-3</v>
      </c>
      <c r="L307" s="147">
        <f t="shared" si="12"/>
        <v>7.52</v>
      </c>
      <c r="M307" s="147">
        <f t="shared" si="13"/>
        <v>18.04</v>
      </c>
      <c r="N307" s="168" t="e">
        <f>VLOOKUP(C307,#REF!,4)</f>
        <v>#REF!</v>
      </c>
    </row>
    <row r="308" spans="1:14">
      <c r="A308" s="145" t="s">
        <v>626</v>
      </c>
      <c r="B308" s="146" t="s">
        <v>1770</v>
      </c>
      <c r="C308" s="146" t="s">
        <v>1771</v>
      </c>
      <c r="D308" s="145" t="s">
        <v>1772</v>
      </c>
      <c r="E308" s="146" t="s">
        <v>93</v>
      </c>
      <c r="F308" s="145" t="s">
        <v>1601</v>
      </c>
      <c r="G308" s="146" t="s">
        <v>20</v>
      </c>
      <c r="H308" s="146">
        <v>201603</v>
      </c>
      <c r="I308" s="147">
        <v>-1.58</v>
      </c>
      <c r="J308" s="144">
        <f t="shared" si="14"/>
        <v>8</v>
      </c>
      <c r="K308" s="148">
        <v>1.4833299999999999E-3</v>
      </c>
      <c r="L308" s="147">
        <f t="shared" si="12"/>
        <v>-0.02</v>
      </c>
      <c r="M308" s="147">
        <f t="shared" si="13"/>
        <v>-0.03</v>
      </c>
      <c r="N308" s="168" t="e">
        <f>VLOOKUP(C308,#REF!,4)</f>
        <v>#REF!</v>
      </c>
    </row>
    <row r="309" spans="1:14">
      <c r="A309" s="145" t="s">
        <v>626</v>
      </c>
      <c r="B309" s="146" t="s">
        <v>1770</v>
      </c>
      <c r="C309" s="146" t="s">
        <v>1771</v>
      </c>
      <c r="D309" s="145" t="s">
        <v>1772</v>
      </c>
      <c r="E309" s="146" t="s">
        <v>93</v>
      </c>
      <c r="F309" s="145" t="s">
        <v>1601</v>
      </c>
      <c r="G309" s="146" t="s">
        <v>20</v>
      </c>
      <c r="H309" s="146">
        <v>201604</v>
      </c>
      <c r="I309" s="147">
        <v>23.85</v>
      </c>
      <c r="J309" s="144">
        <f t="shared" si="14"/>
        <v>7</v>
      </c>
      <c r="K309" s="148">
        <v>1.4833299999999999E-3</v>
      </c>
      <c r="L309" s="147">
        <f t="shared" si="12"/>
        <v>0.25</v>
      </c>
      <c r="M309" s="147">
        <f t="shared" si="13"/>
        <v>0.42</v>
      </c>
      <c r="N309" s="168" t="e">
        <f>VLOOKUP(C309,#REF!,4)</f>
        <v>#REF!</v>
      </c>
    </row>
    <row r="310" spans="1:14">
      <c r="A310" s="145" t="s">
        <v>626</v>
      </c>
      <c r="B310" s="146" t="s">
        <v>1770</v>
      </c>
      <c r="C310" s="146" t="s">
        <v>1771</v>
      </c>
      <c r="D310" s="145" t="s">
        <v>1772</v>
      </c>
      <c r="E310" s="146" t="s">
        <v>93</v>
      </c>
      <c r="F310" s="145" t="s">
        <v>1601</v>
      </c>
      <c r="G310" s="146" t="s">
        <v>20</v>
      </c>
      <c r="H310" s="146">
        <v>201605</v>
      </c>
      <c r="I310" s="147">
        <v>28.46</v>
      </c>
      <c r="J310" s="144">
        <f t="shared" si="14"/>
        <v>6</v>
      </c>
      <c r="K310" s="148">
        <v>1.4833299999999999E-3</v>
      </c>
      <c r="L310" s="147">
        <f t="shared" si="12"/>
        <v>0.25</v>
      </c>
      <c r="M310" s="147">
        <f t="shared" si="13"/>
        <v>0.51</v>
      </c>
      <c r="N310" s="168" t="e">
        <f>VLOOKUP(C310,#REF!,4)</f>
        <v>#REF!</v>
      </c>
    </row>
    <row r="311" spans="1:14">
      <c r="A311" s="145" t="s">
        <v>626</v>
      </c>
      <c r="B311" s="146" t="s">
        <v>1770</v>
      </c>
      <c r="C311" s="146" t="s">
        <v>1771</v>
      </c>
      <c r="D311" s="145" t="s">
        <v>1772</v>
      </c>
      <c r="E311" s="146" t="s">
        <v>93</v>
      </c>
      <c r="F311" s="145" t="s">
        <v>1601</v>
      </c>
      <c r="G311" s="146" t="s">
        <v>20</v>
      </c>
      <c r="H311" s="146">
        <v>201606</v>
      </c>
      <c r="I311" s="147">
        <v>10.41</v>
      </c>
      <c r="J311" s="144">
        <f t="shared" si="14"/>
        <v>5</v>
      </c>
      <c r="K311" s="148">
        <v>1.4833299999999999E-3</v>
      </c>
      <c r="L311" s="147">
        <f t="shared" si="12"/>
        <v>0.08</v>
      </c>
      <c r="M311" s="147">
        <f t="shared" si="13"/>
        <v>0.19</v>
      </c>
      <c r="N311" s="168" t="e">
        <f>VLOOKUP(C311,#REF!,4)</f>
        <v>#REF!</v>
      </c>
    </row>
    <row r="312" spans="1:14">
      <c r="A312" s="145" t="s">
        <v>626</v>
      </c>
      <c r="B312" s="146" t="s">
        <v>1721</v>
      </c>
      <c r="C312" s="146" t="s">
        <v>1722</v>
      </c>
      <c r="D312" s="145" t="s">
        <v>1723</v>
      </c>
      <c r="E312" s="146" t="s">
        <v>75</v>
      </c>
      <c r="F312" s="145" t="s">
        <v>1602</v>
      </c>
      <c r="G312" s="146" t="s">
        <v>20</v>
      </c>
      <c r="H312" s="146">
        <v>201603</v>
      </c>
      <c r="I312" s="147">
        <v>-1.46</v>
      </c>
      <c r="J312" s="144">
        <f t="shared" si="14"/>
        <v>8</v>
      </c>
      <c r="K312" s="148">
        <v>1.4833299999999999E-3</v>
      </c>
      <c r="L312" s="147">
        <f t="shared" si="12"/>
        <v>-0.02</v>
      </c>
      <c r="M312" s="147">
        <f t="shared" si="13"/>
        <v>-0.03</v>
      </c>
      <c r="N312" s="168" t="e">
        <f>VLOOKUP(C312,#REF!,4)</f>
        <v>#REF!</v>
      </c>
    </row>
    <row r="313" spans="1:14">
      <c r="A313" s="145" t="s">
        <v>626</v>
      </c>
      <c r="B313" s="146" t="s">
        <v>1721</v>
      </c>
      <c r="C313" s="146" t="s">
        <v>1722</v>
      </c>
      <c r="D313" s="145" t="s">
        <v>1723</v>
      </c>
      <c r="E313" s="146" t="s">
        <v>75</v>
      </c>
      <c r="F313" s="145" t="s">
        <v>1602</v>
      </c>
      <c r="G313" s="146" t="s">
        <v>20</v>
      </c>
      <c r="H313" s="146">
        <v>201604</v>
      </c>
      <c r="I313" s="147">
        <v>21.09</v>
      </c>
      <c r="J313" s="144">
        <f t="shared" si="14"/>
        <v>7</v>
      </c>
      <c r="K313" s="148">
        <v>1.4833299999999999E-3</v>
      </c>
      <c r="L313" s="147">
        <f t="shared" si="12"/>
        <v>0.22</v>
      </c>
      <c r="M313" s="147">
        <f t="shared" si="13"/>
        <v>0.38</v>
      </c>
      <c r="N313" s="168" t="e">
        <f>VLOOKUP(C313,#REF!,4)</f>
        <v>#REF!</v>
      </c>
    </row>
    <row r="314" spans="1:14">
      <c r="A314" s="145" t="s">
        <v>626</v>
      </c>
      <c r="B314" s="146" t="s">
        <v>1721</v>
      </c>
      <c r="C314" s="146" t="s">
        <v>1722</v>
      </c>
      <c r="D314" s="145" t="s">
        <v>1723</v>
      </c>
      <c r="E314" s="146" t="s">
        <v>75</v>
      </c>
      <c r="F314" s="145" t="s">
        <v>1602</v>
      </c>
      <c r="G314" s="146" t="s">
        <v>20</v>
      </c>
      <c r="H314" s="146">
        <v>201605</v>
      </c>
      <c r="I314" s="147">
        <v>15.2</v>
      </c>
      <c r="J314" s="144">
        <f t="shared" si="14"/>
        <v>6</v>
      </c>
      <c r="K314" s="148">
        <v>1.4833299999999999E-3</v>
      </c>
      <c r="L314" s="147">
        <f t="shared" si="12"/>
        <v>0.14000000000000001</v>
      </c>
      <c r="M314" s="147">
        <f t="shared" si="13"/>
        <v>0.27</v>
      </c>
      <c r="N314" s="168" t="e">
        <f>VLOOKUP(C314,#REF!,4)</f>
        <v>#REF!</v>
      </c>
    </row>
    <row r="315" spans="1:14">
      <c r="A315" s="145" t="s">
        <v>626</v>
      </c>
      <c r="B315" s="146" t="s">
        <v>1721</v>
      </c>
      <c r="C315" s="146" t="s">
        <v>1722</v>
      </c>
      <c r="D315" s="145" t="s">
        <v>1723</v>
      </c>
      <c r="E315" s="146" t="s">
        <v>75</v>
      </c>
      <c r="F315" s="145" t="s">
        <v>1602</v>
      </c>
      <c r="G315" s="146" t="s">
        <v>20</v>
      </c>
      <c r="H315" s="146">
        <v>201606</v>
      </c>
      <c r="I315" s="147">
        <v>9.16</v>
      </c>
      <c r="J315" s="144">
        <f t="shared" si="14"/>
        <v>5</v>
      </c>
      <c r="K315" s="148">
        <v>1.4833299999999999E-3</v>
      </c>
      <c r="L315" s="147">
        <f t="shared" si="12"/>
        <v>7.0000000000000007E-2</v>
      </c>
      <c r="M315" s="147">
        <f t="shared" si="13"/>
        <v>0.16</v>
      </c>
      <c r="N315" s="168" t="e">
        <f>VLOOKUP(C315,#REF!,4)</f>
        <v>#REF!</v>
      </c>
    </row>
    <row r="316" spans="1:14">
      <c r="A316" s="145" t="s">
        <v>626</v>
      </c>
      <c r="B316" s="146" t="s">
        <v>1953</v>
      </c>
      <c r="C316" s="146" t="s">
        <v>1954</v>
      </c>
      <c r="D316" s="145" t="s">
        <v>1955</v>
      </c>
      <c r="E316" s="146" t="s">
        <v>75</v>
      </c>
      <c r="F316" s="145" t="s">
        <v>1602</v>
      </c>
      <c r="G316" s="146" t="s">
        <v>20</v>
      </c>
      <c r="H316" s="146">
        <v>201603</v>
      </c>
      <c r="I316" s="147">
        <v>-1.73</v>
      </c>
      <c r="J316" s="144">
        <f t="shared" si="14"/>
        <v>8</v>
      </c>
      <c r="K316" s="148">
        <v>1.4833299999999999E-3</v>
      </c>
      <c r="L316" s="147">
        <f t="shared" si="12"/>
        <v>-0.02</v>
      </c>
      <c r="M316" s="147">
        <f t="shared" si="13"/>
        <v>-0.03</v>
      </c>
      <c r="N316" s="168" t="e">
        <f>VLOOKUP(C316,#REF!,4)</f>
        <v>#REF!</v>
      </c>
    </row>
    <row r="317" spans="1:14">
      <c r="A317" s="145" t="s">
        <v>626</v>
      </c>
      <c r="B317" s="146" t="s">
        <v>1953</v>
      </c>
      <c r="C317" s="146" t="s">
        <v>1954</v>
      </c>
      <c r="D317" s="145" t="s">
        <v>1955</v>
      </c>
      <c r="E317" s="146" t="s">
        <v>75</v>
      </c>
      <c r="F317" s="145" t="s">
        <v>1602</v>
      </c>
      <c r="G317" s="146" t="s">
        <v>20</v>
      </c>
      <c r="H317" s="146">
        <v>201604</v>
      </c>
      <c r="I317" s="147">
        <v>50.75</v>
      </c>
      <c r="J317" s="144">
        <f t="shared" si="14"/>
        <v>7</v>
      </c>
      <c r="K317" s="148">
        <v>1.4833299999999999E-3</v>
      </c>
      <c r="L317" s="147">
        <f t="shared" si="12"/>
        <v>0.53</v>
      </c>
      <c r="M317" s="147">
        <f t="shared" si="13"/>
        <v>0.9</v>
      </c>
      <c r="N317" s="168" t="e">
        <f>VLOOKUP(C317,#REF!,4)</f>
        <v>#REF!</v>
      </c>
    </row>
    <row r="318" spans="1:14">
      <c r="A318" s="145" t="s">
        <v>626</v>
      </c>
      <c r="B318" s="146" t="s">
        <v>1953</v>
      </c>
      <c r="C318" s="146" t="s">
        <v>1954</v>
      </c>
      <c r="D318" s="145" t="s">
        <v>1955</v>
      </c>
      <c r="E318" s="146" t="s">
        <v>75</v>
      </c>
      <c r="F318" s="145" t="s">
        <v>1602</v>
      </c>
      <c r="G318" s="146" t="s">
        <v>20</v>
      </c>
      <c r="H318" s="146">
        <v>201605</v>
      </c>
      <c r="I318" s="147">
        <v>18.29</v>
      </c>
      <c r="J318" s="144">
        <f t="shared" si="14"/>
        <v>6</v>
      </c>
      <c r="K318" s="148">
        <v>1.4833299999999999E-3</v>
      </c>
      <c r="L318" s="147">
        <f t="shared" si="12"/>
        <v>0.16</v>
      </c>
      <c r="M318" s="147">
        <f t="shared" si="13"/>
        <v>0.33</v>
      </c>
      <c r="N318" s="168" t="e">
        <f>VLOOKUP(C318,#REF!,4)</f>
        <v>#REF!</v>
      </c>
    </row>
    <row r="319" spans="1:14">
      <c r="A319" s="145" t="s">
        <v>626</v>
      </c>
      <c r="B319" s="146" t="s">
        <v>1953</v>
      </c>
      <c r="C319" s="146" t="s">
        <v>1954</v>
      </c>
      <c r="D319" s="145" t="s">
        <v>1955</v>
      </c>
      <c r="E319" s="146" t="s">
        <v>75</v>
      </c>
      <c r="F319" s="145" t="s">
        <v>1602</v>
      </c>
      <c r="G319" s="146" t="s">
        <v>20</v>
      </c>
      <c r="H319" s="146">
        <v>201606</v>
      </c>
      <c r="I319" s="147">
        <v>11.15</v>
      </c>
      <c r="J319" s="144">
        <f t="shared" si="14"/>
        <v>5</v>
      </c>
      <c r="K319" s="148">
        <v>1.4833299999999999E-3</v>
      </c>
      <c r="L319" s="147">
        <f t="shared" si="12"/>
        <v>0.08</v>
      </c>
      <c r="M319" s="147">
        <f t="shared" si="13"/>
        <v>0.2</v>
      </c>
      <c r="N319" s="168" t="e">
        <f>VLOOKUP(C319,#REF!,4)</f>
        <v>#REF!</v>
      </c>
    </row>
    <row r="320" spans="1:14">
      <c r="A320" s="145" t="s">
        <v>626</v>
      </c>
      <c r="B320" s="146" t="s">
        <v>1548</v>
      </c>
      <c r="C320" s="146" t="s">
        <v>1549</v>
      </c>
      <c r="D320" s="145" t="s">
        <v>1550</v>
      </c>
      <c r="E320" s="146" t="s">
        <v>164</v>
      </c>
      <c r="F320" s="145" t="s">
        <v>1600</v>
      </c>
      <c r="G320" s="146" t="s">
        <v>20</v>
      </c>
      <c r="H320" s="146">
        <v>201603</v>
      </c>
      <c r="I320" s="147">
        <v>-0.5</v>
      </c>
      <c r="J320" s="144">
        <f t="shared" si="14"/>
        <v>8</v>
      </c>
      <c r="K320" s="148">
        <v>1.4833299999999999E-3</v>
      </c>
      <c r="L320" s="147">
        <f t="shared" si="12"/>
        <v>-0.01</v>
      </c>
      <c r="M320" s="147">
        <f t="shared" si="13"/>
        <v>-0.01</v>
      </c>
      <c r="N320" s="168" t="e">
        <f>VLOOKUP(C320,#REF!,4)</f>
        <v>#REF!</v>
      </c>
    </row>
    <row r="321" spans="1:14">
      <c r="A321" s="145" t="s">
        <v>626</v>
      </c>
      <c r="B321" s="146" t="s">
        <v>1548</v>
      </c>
      <c r="C321" s="146" t="s">
        <v>1549</v>
      </c>
      <c r="D321" s="145" t="s">
        <v>1550</v>
      </c>
      <c r="E321" s="146" t="s">
        <v>164</v>
      </c>
      <c r="F321" s="145" t="s">
        <v>1600</v>
      </c>
      <c r="G321" s="146" t="s">
        <v>20</v>
      </c>
      <c r="H321" s="146">
        <v>201604</v>
      </c>
      <c r="I321" s="147">
        <v>26.66</v>
      </c>
      <c r="J321" s="144">
        <f t="shared" si="14"/>
        <v>7</v>
      </c>
      <c r="K321" s="148">
        <v>1.4833299999999999E-3</v>
      </c>
      <c r="L321" s="147">
        <f t="shared" si="12"/>
        <v>0.28000000000000003</v>
      </c>
      <c r="M321" s="147">
        <f t="shared" si="13"/>
        <v>0.47</v>
      </c>
      <c r="N321" s="168" t="e">
        <f>VLOOKUP(C321,#REF!,4)</f>
        <v>#REF!</v>
      </c>
    </row>
    <row r="322" spans="1:14">
      <c r="A322" s="145" t="s">
        <v>626</v>
      </c>
      <c r="B322" s="146" t="s">
        <v>1548</v>
      </c>
      <c r="C322" s="146" t="s">
        <v>1549</v>
      </c>
      <c r="D322" s="145" t="s">
        <v>1550</v>
      </c>
      <c r="E322" s="146" t="s">
        <v>164</v>
      </c>
      <c r="F322" s="145" t="s">
        <v>1600</v>
      </c>
      <c r="G322" s="146" t="s">
        <v>20</v>
      </c>
      <c r="H322" s="146">
        <v>201605</v>
      </c>
      <c r="I322" s="147">
        <v>142.09</v>
      </c>
      <c r="J322" s="144">
        <f t="shared" si="14"/>
        <v>6</v>
      </c>
      <c r="K322" s="148">
        <v>1.4833299999999999E-3</v>
      </c>
      <c r="L322" s="147">
        <f t="shared" si="12"/>
        <v>1.26</v>
      </c>
      <c r="M322" s="147">
        <f t="shared" si="13"/>
        <v>2.5299999999999998</v>
      </c>
      <c r="N322" s="168" t="e">
        <f>VLOOKUP(C322,#REF!,4)</f>
        <v>#REF!</v>
      </c>
    </row>
    <row r="323" spans="1:14">
      <c r="A323" s="145" t="s">
        <v>626</v>
      </c>
      <c r="B323" s="146" t="s">
        <v>1548</v>
      </c>
      <c r="C323" s="146" t="s">
        <v>1549</v>
      </c>
      <c r="D323" s="145" t="s">
        <v>1550</v>
      </c>
      <c r="E323" s="146" t="s">
        <v>164</v>
      </c>
      <c r="F323" s="145" t="s">
        <v>1600</v>
      </c>
      <c r="G323" s="146" t="s">
        <v>20</v>
      </c>
      <c r="H323" s="146">
        <v>201606</v>
      </c>
      <c r="I323" s="147">
        <v>4.74</v>
      </c>
      <c r="J323" s="144">
        <f t="shared" si="14"/>
        <v>5</v>
      </c>
      <c r="K323" s="148">
        <v>1.4833299999999999E-3</v>
      </c>
      <c r="L323" s="147">
        <f t="shared" si="12"/>
        <v>0.04</v>
      </c>
      <c r="M323" s="147">
        <f t="shared" si="13"/>
        <v>0.08</v>
      </c>
      <c r="N323" s="168" t="e">
        <f>VLOOKUP(C323,#REF!,4)</f>
        <v>#REF!</v>
      </c>
    </row>
    <row r="324" spans="1:14">
      <c r="A324" s="145" t="s">
        <v>626</v>
      </c>
      <c r="B324" s="146" t="s">
        <v>1724</v>
      </c>
      <c r="C324" s="146" t="s">
        <v>1725</v>
      </c>
      <c r="D324" s="145" t="s">
        <v>1726</v>
      </c>
      <c r="E324" s="146" t="s">
        <v>75</v>
      </c>
      <c r="F324" s="145" t="s">
        <v>1602</v>
      </c>
      <c r="G324" s="146" t="s">
        <v>20</v>
      </c>
      <c r="H324" s="146">
        <v>201603</v>
      </c>
      <c r="I324" s="147">
        <v>13.84</v>
      </c>
      <c r="J324" s="144">
        <f t="shared" si="14"/>
        <v>8</v>
      </c>
      <c r="K324" s="148">
        <v>1.4833299999999999E-3</v>
      </c>
      <c r="L324" s="147">
        <f t="shared" si="12"/>
        <v>0.16</v>
      </c>
      <c r="M324" s="147">
        <f t="shared" si="13"/>
        <v>0.25</v>
      </c>
      <c r="N324" s="168" t="e">
        <f>VLOOKUP(C324,#REF!,4)</f>
        <v>#REF!</v>
      </c>
    </row>
    <row r="325" spans="1:14">
      <c r="A325" s="145" t="s">
        <v>626</v>
      </c>
      <c r="B325" s="146" t="s">
        <v>1724</v>
      </c>
      <c r="C325" s="146" t="s">
        <v>1725</v>
      </c>
      <c r="D325" s="145" t="s">
        <v>1726</v>
      </c>
      <c r="E325" s="146" t="s">
        <v>75</v>
      </c>
      <c r="F325" s="145" t="s">
        <v>1602</v>
      </c>
      <c r="G325" s="146" t="s">
        <v>20</v>
      </c>
      <c r="H325" s="146">
        <v>201604</v>
      </c>
      <c r="I325" s="147">
        <v>-18.47</v>
      </c>
      <c r="J325" s="144">
        <f t="shared" si="14"/>
        <v>7</v>
      </c>
      <c r="K325" s="148">
        <v>1.4833299999999999E-3</v>
      </c>
      <c r="L325" s="147">
        <f t="shared" ref="L325:L388" si="15">ROUND(I325*J325*K325,2)</f>
        <v>-0.19</v>
      </c>
      <c r="M325" s="147">
        <f t="shared" ref="M325:M388" si="16">ROUND(I325*K325*12,2)</f>
        <v>-0.33</v>
      </c>
      <c r="N325" s="168" t="e">
        <f>VLOOKUP(C325,#REF!,4)</f>
        <v>#REF!</v>
      </c>
    </row>
    <row r="326" spans="1:14">
      <c r="A326" s="145" t="s">
        <v>626</v>
      </c>
      <c r="B326" s="146" t="s">
        <v>1724</v>
      </c>
      <c r="C326" s="146" t="s">
        <v>1725</v>
      </c>
      <c r="D326" s="145" t="s">
        <v>1726</v>
      </c>
      <c r="E326" s="146" t="s">
        <v>75</v>
      </c>
      <c r="F326" s="145" t="s">
        <v>1602</v>
      </c>
      <c r="G326" s="146" t="s">
        <v>20</v>
      </c>
      <c r="H326" s="146">
        <v>201605</v>
      </c>
      <c r="I326" s="147">
        <v>-14.2</v>
      </c>
      <c r="J326" s="144">
        <f t="shared" ref="J326:J389" si="17">VLOOKUP(H326,$P$5:$Q$14,2)</f>
        <v>6</v>
      </c>
      <c r="K326" s="148">
        <v>1.4833299999999999E-3</v>
      </c>
      <c r="L326" s="147">
        <f t="shared" si="15"/>
        <v>-0.13</v>
      </c>
      <c r="M326" s="147">
        <f t="shared" si="16"/>
        <v>-0.25</v>
      </c>
      <c r="N326" s="168" t="e">
        <f>VLOOKUP(C326,#REF!,4)</f>
        <v>#REF!</v>
      </c>
    </row>
    <row r="327" spans="1:14">
      <c r="A327" s="145" t="s">
        <v>626</v>
      </c>
      <c r="B327" s="146" t="s">
        <v>1724</v>
      </c>
      <c r="C327" s="146" t="s">
        <v>1725</v>
      </c>
      <c r="D327" s="145" t="s">
        <v>1726</v>
      </c>
      <c r="E327" s="146" t="s">
        <v>75</v>
      </c>
      <c r="F327" s="145" t="s">
        <v>1602</v>
      </c>
      <c r="G327" s="146" t="s">
        <v>20</v>
      </c>
      <c r="H327" s="146">
        <v>201606</v>
      </c>
      <c r="I327" s="147">
        <v>-11.06</v>
      </c>
      <c r="J327" s="144">
        <f t="shared" si="17"/>
        <v>5</v>
      </c>
      <c r="K327" s="148">
        <v>1.4833299999999999E-3</v>
      </c>
      <c r="L327" s="147">
        <f t="shared" si="15"/>
        <v>-0.08</v>
      </c>
      <c r="M327" s="147">
        <f t="shared" si="16"/>
        <v>-0.2</v>
      </c>
      <c r="N327" s="168" t="e">
        <f>VLOOKUP(C327,#REF!,4)</f>
        <v>#REF!</v>
      </c>
    </row>
    <row r="328" spans="1:14">
      <c r="A328" s="145" t="s">
        <v>626</v>
      </c>
      <c r="B328" s="146" t="s">
        <v>1375</v>
      </c>
      <c r="C328" s="146" t="s">
        <v>1376</v>
      </c>
      <c r="D328" s="145" t="s">
        <v>1374</v>
      </c>
      <c r="E328" s="146" t="s">
        <v>497</v>
      </c>
      <c r="F328" s="145" t="s">
        <v>26</v>
      </c>
      <c r="G328" s="146" t="s">
        <v>20</v>
      </c>
      <c r="H328" s="146">
        <v>201603</v>
      </c>
      <c r="I328" s="147">
        <v>-18.86</v>
      </c>
      <c r="J328" s="144">
        <f t="shared" si="17"/>
        <v>8</v>
      </c>
      <c r="K328" s="148">
        <v>1.4833299999999999E-3</v>
      </c>
      <c r="L328" s="147">
        <f t="shared" si="15"/>
        <v>-0.22</v>
      </c>
      <c r="M328" s="147">
        <f t="shared" si="16"/>
        <v>-0.34</v>
      </c>
      <c r="N328" s="168" t="e">
        <f>VLOOKUP(C328,#REF!,4)</f>
        <v>#REF!</v>
      </c>
    </row>
    <row r="329" spans="1:14">
      <c r="A329" s="145" t="s">
        <v>626</v>
      </c>
      <c r="B329" s="146" t="s">
        <v>1375</v>
      </c>
      <c r="C329" s="146" t="s">
        <v>1376</v>
      </c>
      <c r="D329" s="145" t="s">
        <v>1374</v>
      </c>
      <c r="E329" s="146" t="s">
        <v>497</v>
      </c>
      <c r="F329" s="145" t="s">
        <v>26</v>
      </c>
      <c r="G329" s="146" t="s">
        <v>20</v>
      </c>
      <c r="H329" s="146">
        <v>201604</v>
      </c>
      <c r="I329" s="147">
        <v>264.76</v>
      </c>
      <c r="J329" s="144">
        <f t="shared" si="17"/>
        <v>7</v>
      </c>
      <c r="K329" s="148">
        <v>1.4833299999999999E-3</v>
      </c>
      <c r="L329" s="147">
        <f t="shared" si="15"/>
        <v>2.75</v>
      </c>
      <c r="M329" s="147">
        <f t="shared" si="16"/>
        <v>4.71</v>
      </c>
      <c r="N329" s="168" t="e">
        <f>VLOOKUP(C329,#REF!,4)</f>
        <v>#REF!</v>
      </c>
    </row>
    <row r="330" spans="1:14">
      <c r="A330" s="145" t="s">
        <v>626</v>
      </c>
      <c r="B330" s="146" t="s">
        <v>1375</v>
      </c>
      <c r="C330" s="146" t="s">
        <v>1376</v>
      </c>
      <c r="D330" s="145" t="s">
        <v>1374</v>
      </c>
      <c r="E330" s="146" t="s">
        <v>497</v>
      </c>
      <c r="F330" s="145" t="s">
        <v>26</v>
      </c>
      <c r="G330" s="146" t="s">
        <v>20</v>
      </c>
      <c r="H330" s="146">
        <v>201605</v>
      </c>
      <c r="I330" s="147">
        <v>190.46</v>
      </c>
      <c r="J330" s="144">
        <f t="shared" si="17"/>
        <v>6</v>
      </c>
      <c r="K330" s="148">
        <v>1.4833299999999999E-3</v>
      </c>
      <c r="L330" s="147">
        <f t="shared" si="15"/>
        <v>1.7</v>
      </c>
      <c r="M330" s="147">
        <f t="shared" si="16"/>
        <v>3.39</v>
      </c>
      <c r="N330" s="168" t="e">
        <f>VLOOKUP(C330,#REF!,4)</f>
        <v>#REF!</v>
      </c>
    </row>
    <row r="331" spans="1:14">
      <c r="A331" s="145" t="s">
        <v>626</v>
      </c>
      <c r="B331" s="146" t="s">
        <v>1375</v>
      </c>
      <c r="C331" s="146" t="s">
        <v>1376</v>
      </c>
      <c r="D331" s="145" t="s">
        <v>1374</v>
      </c>
      <c r="E331" s="146" t="s">
        <v>497</v>
      </c>
      <c r="F331" s="145" t="s">
        <v>26</v>
      </c>
      <c r="G331" s="146" t="s">
        <v>20</v>
      </c>
      <c r="H331" s="146">
        <v>201606</v>
      </c>
      <c r="I331" s="147">
        <v>116.09</v>
      </c>
      <c r="J331" s="144">
        <f t="shared" si="17"/>
        <v>5</v>
      </c>
      <c r="K331" s="148">
        <v>1.4833299999999999E-3</v>
      </c>
      <c r="L331" s="147">
        <f t="shared" si="15"/>
        <v>0.86</v>
      </c>
      <c r="M331" s="147">
        <f t="shared" si="16"/>
        <v>2.0699999999999998</v>
      </c>
      <c r="N331" s="168" t="e">
        <f>VLOOKUP(C331,#REF!,4)</f>
        <v>#REF!</v>
      </c>
    </row>
    <row r="332" spans="1:14">
      <c r="A332" s="145" t="s">
        <v>626</v>
      </c>
      <c r="B332" s="146" t="s">
        <v>1444</v>
      </c>
      <c r="C332" s="146" t="s">
        <v>1445</v>
      </c>
      <c r="D332" s="145" t="s">
        <v>1282</v>
      </c>
      <c r="E332" s="146" t="s">
        <v>164</v>
      </c>
      <c r="F332" s="145" t="s">
        <v>1600</v>
      </c>
      <c r="G332" s="146" t="s">
        <v>20</v>
      </c>
      <c r="H332" s="146">
        <v>201603</v>
      </c>
      <c r="I332" s="147">
        <v>13.17</v>
      </c>
      <c r="J332" s="144">
        <f t="shared" si="17"/>
        <v>8</v>
      </c>
      <c r="K332" s="148">
        <v>1.4833299999999999E-3</v>
      </c>
      <c r="L332" s="147">
        <f t="shared" si="15"/>
        <v>0.16</v>
      </c>
      <c r="M332" s="147">
        <f t="shared" si="16"/>
        <v>0.23</v>
      </c>
      <c r="N332" s="168" t="e">
        <f>VLOOKUP(C332,#REF!,4)</f>
        <v>#REF!</v>
      </c>
    </row>
    <row r="333" spans="1:14">
      <c r="A333" s="145" t="s">
        <v>626</v>
      </c>
      <c r="B333" s="146" t="s">
        <v>1444</v>
      </c>
      <c r="C333" s="146" t="s">
        <v>1445</v>
      </c>
      <c r="D333" s="145" t="s">
        <v>1282</v>
      </c>
      <c r="E333" s="146" t="s">
        <v>164</v>
      </c>
      <c r="F333" s="145" t="s">
        <v>1600</v>
      </c>
      <c r="G333" s="146" t="s">
        <v>20</v>
      </c>
      <c r="H333" s="146">
        <v>201604</v>
      </c>
      <c r="I333" s="147">
        <v>-191.97</v>
      </c>
      <c r="J333" s="144">
        <f t="shared" si="17"/>
        <v>7</v>
      </c>
      <c r="K333" s="148">
        <v>1.4833299999999999E-3</v>
      </c>
      <c r="L333" s="147">
        <f t="shared" si="15"/>
        <v>-1.99</v>
      </c>
      <c r="M333" s="147">
        <f t="shared" si="16"/>
        <v>-3.42</v>
      </c>
      <c r="N333" s="168" t="e">
        <f>VLOOKUP(C333,#REF!,4)</f>
        <v>#REF!</v>
      </c>
    </row>
    <row r="334" spans="1:14">
      <c r="A334" s="145" t="s">
        <v>626</v>
      </c>
      <c r="B334" s="146" t="s">
        <v>1444</v>
      </c>
      <c r="C334" s="146" t="s">
        <v>1445</v>
      </c>
      <c r="D334" s="145" t="s">
        <v>1282</v>
      </c>
      <c r="E334" s="146" t="s">
        <v>164</v>
      </c>
      <c r="F334" s="145" t="s">
        <v>1600</v>
      </c>
      <c r="G334" s="146" t="s">
        <v>20</v>
      </c>
      <c r="H334" s="146">
        <v>201605</v>
      </c>
      <c r="I334" s="147">
        <v>-138.22</v>
      </c>
      <c r="J334" s="144">
        <f t="shared" si="17"/>
        <v>6</v>
      </c>
      <c r="K334" s="148">
        <v>1.4833299999999999E-3</v>
      </c>
      <c r="L334" s="147">
        <f t="shared" si="15"/>
        <v>-1.23</v>
      </c>
      <c r="M334" s="147">
        <f t="shared" si="16"/>
        <v>-2.46</v>
      </c>
      <c r="N334" s="168" t="e">
        <f>VLOOKUP(C334,#REF!,4)</f>
        <v>#REF!</v>
      </c>
    </row>
    <row r="335" spans="1:14">
      <c r="A335" s="145" t="s">
        <v>626</v>
      </c>
      <c r="B335" s="146" t="s">
        <v>1444</v>
      </c>
      <c r="C335" s="146" t="s">
        <v>1445</v>
      </c>
      <c r="D335" s="145" t="s">
        <v>1282</v>
      </c>
      <c r="E335" s="146" t="s">
        <v>164</v>
      </c>
      <c r="F335" s="145" t="s">
        <v>1600</v>
      </c>
      <c r="G335" s="146" t="s">
        <v>20</v>
      </c>
      <c r="H335" s="146">
        <v>201606</v>
      </c>
      <c r="I335" s="147">
        <v>-84.02</v>
      </c>
      <c r="J335" s="144">
        <f t="shared" si="17"/>
        <v>5</v>
      </c>
      <c r="K335" s="148">
        <v>1.4833299999999999E-3</v>
      </c>
      <c r="L335" s="147">
        <f t="shared" si="15"/>
        <v>-0.62</v>
      </c>
      <c r="M335" s="147">
        <f t="shared" si="16"/>
        <v>-1.5</v>
      </c>
      <c r="N335" s="168" t="e">
        <f>VLOOKUP(C335,#REF!,4)</f>
        <v>#REF!</v>
      </c>
    </row>
    <row r="336" spans="1:14">
      <c r="A336" s="145" t="s">
        <v>626</v>
      </c>
      <c r="B336" s="146" t="s">
        <v>1788</v>
      </c>
      <c r="C336" s="146" t="s">
        <v>1789</v>
      </c>
      <c r="D336" s="145" t="s">
        <v>1790</v>
      </c>
      <c r="E336" s="146" t="s">
        <v>25</v>
      </c>
      <c r="F336" s="145" t="s">
        <v>26</v>
      </c>
      <c r="G336" s="146" t="s">
        <v>20</v>
      </c>
      <c r="H336" s="146">
        <v>201603</v>
      </c>
      <c r="I336" s="147">
        <v>379.8</v>
      </c>
      <c r="J336" s="144">
        <f t="shared" si="17"/>
        <v>8</v>
      </c>
      <c r="K336" s="148">
        <v>1.4833299999999999E-3</v>
      </c>
      <c r="L336" s="147">
        <f t="shared" si="15"/>
        <v>4.51</v>
      </c>
      <c r="M336" s="147">
        <f t="shared" si="16"/>
        <v>6.76</v>
      </c>
      <c r="N336" s="168" t="e">
        <f>VLOOKUP(C336,#REF!,4)</f>
        <v>#REF!</v>
      </c>
    </row>
    <row r="337" spans="1:14">
      <c r="A337" s="145" t="s">
        <v>626</v>
      </c>
      <c r="B337" s="146" t="s">
        <v>1788</v>
      </c>
      <c r="C337" s="146" t="s">
        <v>1789</v>
      </c>
      <c r="D337" s="145" t="s">
        <v>1790</v>
      </c>
      <c r="E337" s="146" t="s">
        <v>25</v>
      </c>
      <c r="F337" s="145" t="s">
        <v>26</v>
      </c>
      <c r="G337" s="146" t="s">
        <v>20</v>
      </c>
      <c r="H337" s="146">
        <v>201604</v>
      </c>
      <c r="I337" s="147">
        <v>84.94</v>
      </c>
      <c r="J337" s="144">
        <f t="shared" si="17"/>
        <v>7</v>
      </c>
      <c r="K337" s="148">
        <v>1.4833299999999999E-3</v>
      </c>
      <c r="L337" s="147">
        <f t="shared" si="15"/>
        <v>0.88</v>
      </c>
      <c r="M337" s="147">
        <f t="shared" si="16"/>
        <v>1.51</v>
      </c>
      <c r="N337" s="168" t="e">
        <f>VLOOKUP(C337,#REF!,4)</f>
        <v>#REF!</v>
      </c>
    </row>
    <row r="338" spans="1:14">
      <c r="A338" s="145" t="s">
        <v>626</v>
      </c>
      <c r="B338" s="146" t="s">
        <v>1788</v>
      </c>
      <c r="C338" s="146" t="s">
        <v>1789</v>
      </c>
      <c r="D338" s="145" t="s">
        <v>1790</v>
      </c>
      <c r="E338" s="146" t="s">
        <v>25</v>
      </c>
      <c r="F338" s="145" t="s">
        <v>26</v>
      </c>
      <c r="G338" s="146" t="s">
        <v>20</v>
      </c>
      <c r="H338" s="146">
        <v>201605</v>
      </c>
      <c r="I338" s="147">
        <v>209.73</v>
      </c>
      <c r="J338" s="144">
        <f t="shared" si="17"/>
        <v>6</v>
      </c>
      <c r="K338" s="148">
        <v>1.4833299999999999E-3</v>
      </c>
      <c r="L338" s="147">
        <f t="shared" si="15"/>
        <v>1.87</v>
      </c>
      <c r="M338" s="147">
        <f t="shared" si="16"/>
        <v>3.73</v>
      </c>
      <c r="N338" s="168" t="e">
        <f>VLOOKUP(C338,#REF!,4)</f>
        <v>#REF!</v>
      </c>
    </row>
    <row r="339" spans="1:14">
      <c r="A339" s="145" t="s">
        <v>626</v>
      </c>
      <c r="B339" s="146" t="s">
        <v>1788</v>
      </c>
      <c r="C339" s="146" t="s">
        <v>1789</v>
      </c>
      <c r="D339" s="145" t="s">
        <v>1790</v>
      </c>
      <c r="E339" s="146" t="s">
        <v>25</v>
      </c>
      <c r="F339" s="145" t="s">
        <v>26</v>
      </c>
      <c r="G339" s="146" t="s">
        <v>20</v>
      </c>
      <c r="H339" s="146">
        <v>201606</v>
      </c>
      <c r="I339" s="147">
        <v>43.98</v>
      </c>
      <c r="J339" s="144">
        <f t="shared" si="17"/>
        <v>5</v>
      </c>
      <c r="K339" s="148">
        <v>1.4833299999999999E-3</v>
      </c>
      <c r="L339" s="147">
        <f t="shared" si="15"/>
        <v>0.33</v>
      </c>
      <c r="M339" s="147">
        <f t="shared" si="16"/>
        <v>0.78</v>
      </c>
      <c r="N339" s="168" t="e">
        <f>VLOOKUP(C339,#REF!,4)</f>
        <v>#REF!</v>
      </c>
    </row>
    <row r="340" spans="1:14">
      <c r="A340" s="145" t="s">
        <v>626</v>
      </c>
      <c r="B340" s="146" t="s">
        <v>1791</v>
      </c>
      <c r="C340" s="146" t="s">
        <v>1792</v>
      </c>
      <c r="D340" s="145" t="s">
        <v>1793</v>
      </c>
      <c r="E340" s="146" t="s">
        <v>75</v>
      </c>
      <c r="F340" s="145" t="s">
        <v>1602</v>
      </c>
      <c r="G340" s="146" t="s">
        <v>20</v>
      </c>
      <c r="H340" s="146">
        <v>201603</v>
      </c>
      <c r="I340" s="147">
        <v>2388.21</v>
      </c>
      <c r="J340" s="144">
        <f t="shared" si="17"/>
        <v>8</v>
      </c>
      <c r="K340" s="148">
        <v>1.4833299999999999E-3</v>
      </c>
      <c r="L340" s="147">
        <f t="shared" si="15"/>
        <v>28.34</v>
      </c>
      <c r="M340" s="147">
        <f t="shared" si="16"/>
        <v>42.51</v>
      </c>
      <c r="N340" s="168" t="e">
        <f>VLOOKUP(C340,#REF!,4)</f>
        <v>#REF!</v>
      </c>
    </row>
    <row r="341" spans="1:14">
      <c r="A341" s="145" t="s">
        <v>626</v>
      </c>
      <c r="B341" s="146" t="s">
        <v>1791</v>
      </c>
      <c r="C341" s="146" t="s">
        <v>1792</v>
      </c>
      <c r="D341" s="145" t="s">
        <v>1793</v>
      </c>
      <c r="E341" s="146" t="s">
        <v>75</v>
      </c>
      <c r="F341" s="145" t="s">
        <v>1602</v>
      </c>
      <c r="G341" s="146" t="s">
        <v>20</v>
      </c>
      <c r="H341" s="146">
        <v>201604</v>
      </c>
      <c r="I341" s="147">
        <v>6075.28</v>
      </c>
      <c r="J341" s="144">
        <f t="shared" si="17"/>
        <v>7</v>
      </c>
      <c r="K341" s="148">
        <v>1.4833299999999999E-3</v>
      </c>
      <c r="L341" s="147">
        <f t="shared" si="15"/>
        <v>63.08</v>
      </c>
      <c r="M341" s="147">
        <f t="shared" si="16"/>
        <v>108.14</v>
      </c>
      <c r="N341" s="168" t="e">
        <f>VLOOKUP(C341,#REF!,4)</f>
        <v>#REF!</v>
      </c>
    </row>
    <row r="342" spans="1:14">
      <c r="A342" s="145" t="s">
        <v>626</v>
      </c>
      <c r="B342" s="146" t="s">
        <v>1791</v>
      </c>
      <c r="C342" s="146" t="s">
        <v>1792</v>
      </c>
      <c r="D342" s="145" t="s">
        <v>1793</v>
      </c>
      <c r="E342" s="146" t="s">
        <v>75</v>
      </c>
      <c r="F342" s="145" t="s">
        <v>1602</v>
      </c>
      <c r="G342" s="146" t="s">
        <v>20</v>
      </c>
      <c r="H342" s="146">
        <v>201605</v>
      </c>
      <c r="I342" s="147">
        <v>1800.78</v>
      </c>
      <c r="J342" s="144">
        <f t="shared" si="17"/>
        <v>6</v>
      </c>
      <c r="K342" s="148">
        <v>1.4833299999999999E-3</v>
      </c>
      <c r="L342" s="147">
        <f t="shared" si="15"/>
        <v>16.03</v>
      </c>
      <c r="M342" s="147">
        <f t="shared" si="16"/>
        <v>32.049999999999997</v>
      </c>
      <c r="N342" s="168" t="e">
        <f>VLOOKUP(C342,#REF!,4)</f>
        <v>#REF!</v>
      </c>
    </row>
    <row r="343" spans="1:14">
      <c r="A343" s="145" t="s">
        <v>626</v>
      </c>
      <c r="B343" s="146" t="s">
        <v>1791</v>
      </c>
      <c r="C343" s="146" t="s">
        <v>1792</v>
      </c>
      <c r="D343" s="145" t="s">
        <v>1793</v>
      </c>
      <c r="E343" s="146" t="s">
        <v>75</v>
      </c>
      <c r="F343" s="145" t="s">
        <v>1602</v>
      </c>
      <c r="G343" s="146" t="s">
        <v>20</v>
      </c>
      <c r="H343" s="146">
        <v>201606</v>
      </c>
      <c r="I343" s="147">
        <v>852.37</v>
      </c>
      <c r="J343" s="144">
        <f t="shared" si="17"/>
        <v>5</v>
      </c>
      <c r="K343" s="148">
        <v>1.4833299999999999E-3</v>
      </c>
      <c r="L343" s="147">
        <f t="shared" si="15"/>
        <v>6.32</v>
      </c>
      <c r="M343" s="147">
        <f t="shared" si="16"/>
        <v>15.17</v>
      </c>
      <c r="N343" s="168" t="e">
        <f>VLOOKUP(C343,#REF!,4)</f>
        <v>#REF!</v>
      </c>
    </row>
    <row r="344" spans="1:14">
      <c r="A344" s="145" t="s">
        <v>626</v>
      </c>
      <c r="B344" s="146" t="s">
        <v>1838</v>
      </c>
      <c r="C344" s="146" t="s">
        <v>1839</v>
      </c>
      <c r="D344" s="145" t="s">
        <v>1840</v>
      </c>
      <c r="E344" s="146" t="s">
        <v>260</v>
      </c>
      <c r="F344" s="145" t="s">
        <v>1608</v>
      </c>
      <c r="G344" s="146" t="s">
        <v>20</v>
      </c>
      <c r="H344" s="146">
        <v>201603</v>
      </c>
      <c r="I344" s="147">
        <v>-2759.31</v>
      </c>
      <c r="J344" s="144">
        <f t="shared" si="17"/>
        <v>8</v>
      </c>
      <c r="K344" s="148">
        <v>1.4833299999999999E-3</v>
      </c>
      <c r="L344" s="147">
        <f t="shared" si="15"/>
        <v>-32.74</v>
      </c>
      <c r="M344" s="147">
        <f t="shared" si="16"/>
        <v>-49.12</v>
      </c>
      <c r="N344" s="168" t="e">
        <f>VLOOKUP(C344,#REF!,4)</f>
        <v>#REF!</v>
      </c>
    </row>
    <row r="345" spans="1:14">
      <c r="A345" s="145" t="s">
        <v>626</v>
      </c>
      <c r="B345" s="146" t="s">
        <v>1838</v>
      </c>
      <c r="C345" s="146" t="s">
        <v>1839</v>
      </c>
      <c r="D345" s="145" t="s">
        <v>1840</v>
      </c>
      <c r="E345" s="146" t="s">
        <v>260</v>
      </c>
      <c r="F345" s="145" t="s">
        <v>1608</v>
      </c>
      <c r="G345" s="146" t="s">
        <v>20</v>
      </c>
      <c r="H345" s="146">
        <v>201604</v>
      </c>
      <c r="I345" s="147">
        <v>8794.4699999999993</v>
      </c>
      <c r="J345" s="144">
        <f t="shared" si="17"/>
        <v>7</v>
      </c>
      <c r="K345" s="148">
        <v>1.4833299999999999E-3</v>
      </c>
      <c r="L345" s="147">
        <f t="shared" si="15"/>
        <v>91.32</v>
      </c>
      <c r="M345" s="147">
        <f t="shared" si="16"/>
        <v>156.54</v>
      </c>
      <c r="N345" s="168" t="e">
        <f>VLOOKUP(C345,#REF!,4)</f>
        <v>#REF!</v>
      </c>
    </row>
    <row r="346" spans="1:14">
      <c r="A346" s="145" t="s">
        <v>626</v>
      </c>
      <c r="B346" s="146" t="s">
        <v>1838</v>
      </c>
      <c r="C346" s="146" t="s">
        <v>1839</v>
      </c>
      <c r="D346" s="145" t="s">
        <v>1840</v>
      </c>
      <c r="E346" s="146" t="s">
        <v>260</v>
      </c>
      <c r="F346" s="145" t="s">
        <v>1608</v>
      </c>
      <c r="G346" s="146" t="s">
        <v>20</v>
      </c>
      <c r="H346" s="146">
        <v>201605</v>
      </c>
      <c r="I346" s="147">
        <v>4906.59</v>
      </c>
      <c r="J346" s="144">
        <f t="shared" si="17"/>
        <v>6</v>
      </c>
      <c r="K346" s="148">
        <v>1.4833299999999999E-3</v>
      </c>
      <c r="L346" s="147">
        <f t="shared" si="15"/>
        <v>43.67</v>
      </c>
      <c r="M346" s="147">
        <f t="shared" si="16"/>
        <v>87.34</v>
      </c>
      <c r="N346" s="168" t="e">
        <f>VLOOKUP(C346,#REF!,4)</f>
        <v>#REF!</v>
      </c>
    </row>
    <row r="347" spans="1:14">
      <c r="A347" s="145" t="s">
        <v>626</v>
      </c>
      <c r="B347" s="146" t="s">
        <v>1838</v>
      </c>
      <c r="C347" s="146" t="s">
        <v>1839</v>
      </c>
      <c r="D347" s="145" t="s">
        <v>1840</v>
      </c>
      <c r="E347" s="146" t="s">
        <v>260</v>
      </c>
      <c r="F347" s="145" t="s">
        <v>1608</v>
      </c>
      <c r="G347" s="146" t="s">
        <v>20</v>
      </c>
      <c r="H347" s="146">
        <v>201606</v>
      </c>
      <c r="I347" s="147">
        <v>1851.07</v>
      </c>
      <c r="J347" s="144">
        <f t="shared" si="17"/>
        <v>5</v>
      </c>
      <c r="K347" s="148">
        <v>1.4833299999999999E-3</v>
      </c>
      <c r="L347" s="147">
        <f t="shared" si="15"/>
        <v>13.73</v>
      </c>
      <c r="M347" s="147">
        <f t="shared" si="16"/>
        <v>32.950000000000003</v>
      </c>
      <c r="N347" s="168" t="e">
        <f>VLOOKUP(C347,#REF!,4)</f>
        <v>#REF!</v>
      </c>
    </row>
    <row r="348" spans="1:14">
      <c r="A348" s="145" t="s">
        <v>133</v>
      </c>
      <c r="B348" s="146" t="s">
        <v>1876</v>
      </c>
      <c r="C348" s="146" t="s">
        <v>1877</v>
      </c>
      <c r="D348" s="145" t="s">
        <v>1878</v>
      </c>
      <c r="E348" s="146" t="s">
        <v>75</v>
      </c>
      <c r="F348" s="145" t="s">
        <v>1602</v>
      </c>
      <c r="G348" s="146" t="s">
        <v>20</v>
      </c>
      <c r="H348" s="146">
        <v>201603</v>
      </c>
      <c r="I348" s="147">
        <v>-10153.36</v>
      </c>
      <c r="J348" s="144">
        <f t="shared" si="17"/>
        <v>8</v>
      </c>
      <c r="K348" s="148">
        <v>1.4833299999999999E-3</v>
      </c>
      <c r="L348" s="147">
        <f t="shared" si="15"/>
        <v>-120.49</v>
      </c>
      <c r="M348" s="147">
        <f t="shared" si="16"/>
        <v>-180.73</v>
      </c>
      <c r="N348" s="168" t="e">
        <f>VLOOKUP(C348,#REF!,4)</f>
        <v>#REF!</v>
      </c>
    </row>
    <row r="349" spans="1:14">
      <c r="A349" s="145" t="s">
        <v>133</v>
      </c>
      <c r="B349" s="146" t="s">
        <v>1876</v>
      </c>
      <c r="C349" s="146" t="s">
        <v>1877</v>
      </c>
      <c r="D349" s="145" t="s">
        <v>1878</v>
      </c>
      <c r="E349" s="146" t="s">
        <v>75</v>
      </c>
      <c r="F349" s="145" t="s">
        <v>1602</v>
      </c>
      <c r="G349" s="146" t="s">
        <v>20</v>
      </c>
      <c r="H349" s="146">
        <v>201604</v>
      </c>
      <c r="I349" s="147">
        <v>1629</v>
      </c>
      <c r="J349" s="144">
        <f t="shared" si="17"/>
        <v>7</v>
      </c>
      <c r="K349" s="148">
        <v>1.4833299999999999E-3</v>
      </c>
      <c r="L349" s="147">
        <f t="shared" si="15"/>
        <v>16.91</v>
      </c>
      <c r="M349" s="147">
        <f t="shared" si="16"/>
        <v>29</v>
      </c>
      <c r="N349" s="168" t="e">
        <f>VLOOKUP(C349,#REF!,4)</f>
        <v>#REF!</v>
      </c>
    </row>
    <row r="350" spans="1:14">
      <c r="A350" s="145" t="s">
        <v>133</v>
      </c>
      <c r="B350" s="146" t="s">
        <v>1876</v>
      </c>
      <c r="C350" s="146" t="s">
        <v>1877</v>
      </c>
      <c r="D350" s="145" t="s">
        <v>1878</v>
      </c>
      <c r="E350" s="146" t="s">
        <v>75</v>
      </c>
      <c r="F350" s="145" t="s">
        <v>1602</v>
      </c>
      <c r="G350" s="146" t="s">
        <v>20</v>
      </c>
      <c r="H350" s="146">
        <v>201605</v>
      </c>
      <c r="I350" s="147">
        <v>1324.25</v>
      </c>
      <c r="J350" s="144">
        <f t="shared" si="17"/>
        <v>6</v>
      </c>
      <c r="K350" s="148">
        <v>1.4833299999999999E-3</v>
      </c>
      <c r="L350" s="147">
        <f t="shared" si="15"/>
        <v>11.79</v>
      </c>
      <c r="M350" s="147">
        <f t="shared" si="16"/>
        <v>23.57</v>
      </c>
      <c r="N350" s="168" t="e">
        <f>VLOOKUP(C350,#REF!,4)</f>
        <v>#REF!</v>
      </c>
    </row>
    <row r="351" spans="1:14">
      <c r="A351" s="145" t="s">
        <v>133</v>
      </c>
      <c r="B351" s="146" t="s">
        <v>1876</v>
      </c>
      <c r="C351" s="146" t="s">
        <v>1877</v>
      </c>
      <c r="D351" s="145" t="s">
        <v>1878</v>
      </c>
      <c r="E351" s="146" t="s">
        <v>75</v>
      </c>
      <c r="F351" s="145" t="s">
        <v>1602</v>
      </c>
      <c r="G351" s="146" t="s">
        <v>20</v>
      </c>
      <c r="H351" s="146">
        <v>201606</v>
      </c>
      <c r="I351" s="147">
        <v>877.26</v>
      </c>
      <c r="J351" s="144">
        <f t="shared" si="17"/>
        <v>5</v>
      </c>
      <c r="K351" s="148">
        <v>1.4833299999999999E-3</v>
      </c>
      <c r="L351" s="147">
        <f t="shared" si="15"/>
        <v>6.51</v>
      </c>
      <c r="M351" s="147">
        <f t="shared" si="16"/>
        <v>15.62</v>
      </c>
      <c r="N351" s="168" t="e">
        <f>VLOOKUP(C351,#REF!,4)</f>
        <v>#REF!</v>
      </c>
    </row>
    <row r="352" spans="1:14">
      <c r="A352" s="145" t="s">
        <v>626</v>
      </c>
      <c r="B352" s="146" t="s">
        <v>2039</v>
      </c>
      <c r="C352" s="146" t="s">
        <v>2040</v>
      </c>
      <c r="D352" s="145" t="s">
        <v>2041</v>
      </c>
      <c r="E352" s="146" t="s">
        <v>497</v>
      </c>
      <c r="F352" s="145" t="s">
        <v>26</v>
      </c>
      <c r="G352" s="146" t="s">
        <v>20</v>
      </c>
      <c r="H352" s="146">
        <v>201604</v>
      </c>
      <c r="I352" s="147">
        <v>90026.14</v>
      </c>
      <c r="J352" s="144">
        <f t="shared" si="17"/>
        <v>7</v>
      </c>
      <c r="K352" s="148">
        <v>1.4833299999999999E-3</v>
      </c>
      <c r="L352" s="147">
        <f t="shared" si="15"/>
        <v>934.77</v>
      </c>
      <c r="M352" s="147">
        <f t="shared" si="16"/>
        <v>1602.46</v>
      </c>
      <c r="N352" s="168" t="e">
        <f>VLOOKUP(C352,#REF!,4)</f>
        <v>#REF!</v>
      </c>
    </row>
    <row r="353" spans="1:14">
      <c r="A353" s="145" t="s">
        <v>626</v>
      </c>
      <c r="B353" s="146" t="s">
        <v>2039</v>
      </c>
      <c r="C353" s="146" t="s">
        <v>2040</v>
      </c>
      <c r="D353" s="145" t="s">
        <v>2041</v>
      </c>
      <c r="E353" s="146" t="s">
        <v>497</v>
      </c>
      <c r="F353" s="145" t="s">
        <v>26</v>
      </c>
      <c r="G353" s="146" t="s">
        <v>20</v>
      </c>
      <c r="H353" s="146">
        <v>201605</v>
      </c>
      <c r="I353" s="147">
        <v>7136.76</v>
      </c>
      <c r="J353" s="144">
        <f t="shared" si="17"/>
        <v>6</v>
      </c>
      <c r="K353" s="148">
        <v>1.4833299999999999E-3</v>
      </c>
      <c r="L353" s="147">
        <f t="shared" si="15"/>
        <v>63.52</v>
      </c>
      <c r="M353" s="147">
        <f t="shared" si="16"/>
        <v>127.03</v>
      </c>
      <c r="N353" s="168" t="e">
        <f>VLOOKUP(C353,#REF!,4)</f>
        <v>#REF!</v>
      </c>
    </row>
    <row r="354" spans="1:14">
      <c r="A354" s="145" t="s">
        <v>626</v>
      </c>
      <c r="B354" s="146" t="s">
        <v>2039</v>
      </c>
      <c r="C354" s="146" t="s">
        <v>2040</v>
      </c>
      <c r="D354" s="145" t="s">
        <v>2041</v>
      </c>
      <c r="E354" s="146" t="s">
        <v>497</v>
      </c>
      <c r="F354" s="145" t="s">
        <v>26</v>
      </c>
      <c r="G354" s="146" t="s">
        <v>20</v>
      </c>
      <c r="H354" s="146">
        <v>201606</v>
      </c>
      <c r="I354" s="147">
        <v>1954.38</v>
      </c>
      <c r="J354" s="144">
        <f t="shared" si="17"/>
        <v>5</v>
      </c>
      <c r="K354" s="148">
        <v>1.4833299999999999E-3</v>
      </c>
      <c r="L354" s="147">
        <f t="shared" si="15"/>
        <v>14.49</v>
      </c>
      <c r="M354" s="147">
        <f t="shared" si="16"/>
        <v>34.79</v>
      </c>
      <c r="N354" s="168" t="e">
        <f>VLOOKUP(C354,#REF!,4)</f>
        <v>#REF!</v>
      </c>
    </row>
    <row r="355" spans="1:14">
      <c r="A355" s="145" t="s">
        <v>626</v>
      </c>
      <c r="B355" s="146" t="s">
        <v>1879</v>
      </c>
      <c r="C355" s="146" t="s">
        <v>1880</v>
      </c>
      <c r="D355" s="145" t="s">
        <v>1273</v>
      </c>
      <c r="E355" s="146" t="s">
        <v>75</v>
      </c>
      <c r="F355" s="145" t="s">
        <v>1602</v>
      </c>
      <c r="G355" s="146" t="s">
        <v>20</v>
      </c>
      <c r="H355" s="146">
        <v>201603</v>
      </c>
      <c r="I355" s="147">
        <v>-315.85000000000002</v>
      </c>
      <c r="J355" s="144">
        <f t="shared" si="17"/>
        <v>8</v>
      </c>
      <c r="K355" s="148">
        <v>1.4833299999999999E-3</v>
      </c>
      <c r="L355" s="147">
        <f t="shared" si="15"/>
        <v>-3.75</v>
      </c>
      <c r="M355" s="147">
        <f t="shared" si="16"/>
        <v>-5.62</v>
      </c>
      <c r="N355" s="168" t="e">
        <f>VLOOKUP(C355,#REF!,4)</f>
        <v>#REF!</v>
      </c>
    </row>
    <row r="356" spans="1:14">
      <c r="A356" s="145" t="s">
        <v>626</v>
      </c>
      <c r="B356" s="146" t="s">
        <v>1879</v>
      </c>
      <c r="C356" s="146" t="s">
        <v>1880</v>
      </c>
      <c r="D356" s="145" t="s">
        <v>1273</v>
      </c>
      <c r="E356" s="146" t="s">
        <v>75</v>
      </c>
      <c r="F356" s="145" t="s">
        <v>1602</v>
      </c>
      <c r="G356" s="146" t="s">
        <v>20</v>
      </c>
      <c r="H356" s="146">
        <v>201604</v>
      </c>
      <c r="I356" s="147">
        <v>260.91000000000003</v>
      </c>
      <c r="J356" s="144">
        <f t="shared" si="17"/>
        <v>7</v>
      </c>
      <c r="K356" s="148">
        <v>1.4833299999999999E-3</v>
      </c>
      <c r="L356" s="147">
        <f t="shared" si="15"/>
        <v>2.71</v>
      </c>
      <c r="M356" s="147">
        <f t="shared" si="16"/>
        <v>4.6399999999999997</v>
      </c>
      <c r="N356" s="168" t="e">
        <f>VLOOKUP(C356,#REF!,4)</f>
        <v>#REF!</v>
      </c>
    </row>
    <row r="357" spans="1:14">
      <c r="A357" s="145" t="s">
        <v>626</v>
      </c>
      <c r="B357" s="146" t="s">
        <v>1879</v>
      </c>
      <c r="C357" s="146" t="s">
        <v>1880</v>
      </c>
      <c r="D357" s="145" t="s">
        <v>1273</v>
      </c>
      <c r="E357" s="146" t="s">
        <v>75</v>
      </c>
      <c r="F357" s="145" t="s">
        <v>1602</v>
      </c>
      <c r="G357" s="146" t="s">
        <v>20</v>
      </c>
      <c r="H357" s="146">
        <v>201605</v>
      </c>
      <c r="I357" s="147">
        <v>244.94</v>
      </c>
      <c r="J357" s="144">
        <f t="shared" si="17"/>
        <v>6</v>
      </c>
      <c r="K357" s="148">
        <v>1.4833299999999999E-3</v>
      </c>
      <c r="L357" s="147">
        <f t="shared" si="15"/>
        <v>2.1800000000000002</v>
      </c>
      <c r="M357" s="147">
        <f t="shared" si="16"/>
        <v>4.3600000000000003</v>
      </c>
      <c r="N357" s="168" t="e">
        <f>VLOOKUP(C357,#REF!,4)</f>
        <v>#REF!</v>
      </c>
    </row>
    <row r="358" spans="1:14">
      <c r="A358" s="145" t="s">
        <v>626</v>
      </c>
      <c r="B358" s="146" t="s">
        <v>1879</v>
      </c>
      <c r="C358" s="146" t="s">
        <v>1880</v>
      </c>
      <c r="D358" s="145" t="s">
        <v>1273</v>
      </c>
      <c r="E358" s="146" t="s">
        <v>75</v>
      </c>
      <c r="F358" s="145" t="s">
        <v>1602</v>
      </c>
      <c r="G358" s="146" t="s">
        <v>20</v>
      </c>
      <c r="H358" s="146">
        <v>201606</v>
      </c>
      <c r="I358" s="147">
        <v>157.65</v>
      </c>
      <c r="J358" s="144">
        <f t="shared" si="17"/>
        <v>5</v>
      </c>
      <c r="K358" s="148">
        <v>1.4833299999999999E-3</v>
      </c>
      <c r="L358" s="147">
        <f t="shared" si="15"/>
        <v>1.17</v>
      </c>
      <c r="M358" s="147">
        <f t="shared" si="16"/>
        <v>2.81</v>
      </c>
      <c r="N358" s="168" t="e">
        <f>VLOOKUP(C358,#REF!,4)</f>
        <v>#REF!</v>
      </c>
    </row>
    <row r="359" spans="1:14">
      <c r="A359" s="145" t="s">
        <v>626</v>
      </c>
      <c r="B359" s="146" t="s">
        <v>2042</v>
      </c>
      <c r="C359" s="146" t="s">
        <v>2043</v>
      </c>
      <c r="D359" s="145" t="s">
        <v>2044</v>
      </c>
      <c r="E359" s="146" t="s">
        <v>497</v>
      </c>
      <c r="F359" s="145" t="s">
        <v>26</v>
      </c>
      <c r="G359" s="146" t="s">
        <v>20</v>
      </c>
      <c r="H359" s="146">
        <v>201605</v>
      </c>
      <c r="I359" s="147">
        <v>160421.72</v>
      </c>
      <c r="J359" s="144">
        <f t="shared" si="17"/>
        <v>6</v>
      </c>
      <c r="K359" s="148">
        <v>1.4833299999999999E-3</v>
      </c>
      <c r="L359" s="147">
        <f t="shared" si="15"/>
        <v>1427.75</v>
      </c>
      <c r="M359" s="147">
        <f t="shared" si="16"/>
        <v>2855.5</v>
      </c>
      <c r="N359" s="168" t="e">
        <f>VLOOKUP(C359,#REF!,4)</f>
        <v>#REF!</v>
      </c>
    </row>
    <row r="360" spans="1:14">
      <c r="A360" s="145" t="s">
        <v>626</v>
      </c>
      <c r="B360" s="146" t="s">
        <v>2042</v>
      </c>
      <c r="C360" s="146" t="s">
        <v>2043</v>
      </c>
      <c r="D360" s="145" t="s">
        <v>2044</v>
      </c>
      <c r="E360" s="146" t="s">
        <v>497</v>
      </c>
      <c r="F360" s="145" t="s">
        <v>26</v>
      </c>
      <c r="G360" s="146" t="s">
        <v>20</v>
      </c>
      <c r="H360" s="146">
        <v>201606</v>
      </c>
      <c r="I360" s="147">
        <v>3923.03</v>
      </c>
      <c r="J360" s="144">
        <f t="shared" si="17"/>
        <v>5</v>
      </c>
      <c r="K360" s="148">
        <v>1.4833299999999999E-3</v>
      </c>
      <c r="L360" s="147">
        <f t="shared" si="15"/>
        <v>29.1</v>
      </c>
      <c r="M360" s="147">
        <f t="shared" si="16"/>
        <v>69.83</v>
      </c>
      <c r="N360" s="168" t="e">
        <f>VLOOKUP(C360,#REF!,4)</f>
        <v>#REF!</v>
      </c>
    </row>
    <row r="361" spans="1:14">
      <c r="A361" s="145" t="s">
        <v>626</v>
      </c>
      <c r="B361" s="146" t="s">
        <v>1794</v>
      </c>
      <c r="C361" s="146" t="s">
        <v>1795</v>
      </c>
      <c r="D361" s="145" t="s">
        <v>1796</v>
      </c>
      <c r="E361" s="146" t="s">
        <v>809</v>
      </c>
      <c r="F361" s="145" t="s">
        <v>26</v>
      </c>
      <c r="G361" s="146" t="s">
        <v>20</v>
      </c>
      <c r="H361" s="146">
        <v>201603</v>
      </c>
      <c r="I361" s="147">
        <v>-1379.62</v>
      </c>
      <c r="J361" s="144">
        <f t="shared" si="17"/>
        <v>8</v>
      </c>
      <c r="K361" s="148">
        <v>1.4833299999999999E-3</v>
      </c>
      <c r="L361" s="147">
        <f t="shared" si="15"/>
        <v>-16.37</v>
      </c>
      <c r="M361" s="147">
        <f t="shared" si="16"/>
        <v>-24.56</v>
      </c>
      <c r="N361" s="168" t="e">
        <f>VLOOKUP(C361,#REF!,4)</f>
        <v>#REF!</v>
      </c>
    </row>
    <row r="362" spans="1:14">
      <c r="A362" s="145" t="s">
        <v>626</v>
      </c>
      <c r="B362" s="146" t="s">
        <v>1794</v>
      </c>
      <c r="C362" s="146" t="s">
        <v>1795</v>
      </c>
      <c r="D362" s="145" t="s">
        <v>1796</v>
      </c>
      <c r="E362" s="146" t="s">
        <v>809</v>
      </c>
      <c r="F362" s="145" t="s">
        <v>26</v>
      </c>
      <c r="G362" s="146" t="s">
        <v>20</v>
      </c>
      <c r="H362" s="146">
        <v>201604</v>
      </c>
      <c r="I362" s="147">
        <v>870.7</v>
      </c>
      <c r="J362" s="144">
        <f t="shared" si="17"/>
        <v>7</v>
      </c>
      <c r="K362" s="148">
        <v>1.4833299999999999E-3</v>
      </c>
      <c r="L362" s="147">
        <f t="shared" si="15"/>
        <v>9.0399999999999991</v>
      </c>
      <c r="M362" s="147">
        <f t="shared" si="16"/>
        <v>15.5</v>
      </c>
      <c r="N362" s="168" t="e">
        <f>VLOOKUP(C362,#REF!,4)</f>
        <v>#REF!</v>
      </c>
    </row>
    <row r="363" spans="1:14">
      <c r="A363" s="145" t="s">
        <v>626</v>
      </c>
      <c r="B363" s="146" t="s">
        <v>1794</v>
      </c>
      <c r="C363" s="146" t="s">
        <v>1795</v>
      </c>
      <c r="D363" s="145" t="s">
        <v>1796</v>
      </c>
      <c r="E363" s="146" t="s">
        <v>809</v>
      </c>
      <c r="F363" s="145" t="s">
        <v>26</v>
      </c>
      <c r="G363" s="146" t="s">
        <v>20</v>
      </c>
      <c r="H363" s="146">
        <v>201605</v>
      </c>
      <c r="I363" s="147">
        <v>798.45</v>
      </c>
      <c r="J363" s="144">
        <f t="shared" si="17"/>
        <v>6</v>
      </c>
      <c r="K363" s="148">
        <v>1.4833299999999999E-3</v>
      </c>
      <c r="L363" s="147">
        <f t="shared" si="15"/>
        <v>7.11</v>
      </c>
      <c r="M363" s="147">
        <f t="shared" si="16"/>
        <v>14.21</v>
      </c>
      <c r="N363" s="168" t="e">
        <f>VLOOKUP(C363,#REF!,4)</f>
        <v>#REF!</v>
      </c>
    </row>
    <row r="364" spans="1:14">
      <c r="A364" s="145" t="s">
        <v>626</v>
      </c>
      <c r="B364" s="146" t="s">
        <v>1794</v>
      </c>
      <c r="C364" s="146" t="s">
        <v>1795</v>
      </c>
      <c r="D364" s="145" t="s">
        <v>1796</v>
      </c>
      <c r="E364" s="146" t="s">
        <v>809</v>
      </c>
      <c r="F364" s="145" t="s">
        <v>26</v>
      </c>
      <c r="G364" s="146" t="s">
        <v>20</v>
      </c>
      <c r="H364" s="146">
        <v>201606</v>
      </c>
      <c r="I364" s="147">
        <v>603.17999999999995</v>
      </c>
      <c r="J364" s="144">
        <f t="shared" si="17"/>
        <v>5</v>
      </c>
      <c r="K364" s="148">
        <v>1.4833299999999999E-3</v>
      </c>
      <c r="L364" s="147">
        <f t="shared" si="15"/>
        <v>4.47</v>
      </c>
      <c r="M364" s="147">
        <f t="shared" si="16"/>
        <v>10.74</v>
      </c>
      <c r="N364" s="168" t="e">
        <f>VLOOKUP(C364,#REF!,4)</f>
        <v>#REF!</v>
      </c>
    </row>
    <row r="365" spans="1:14">
      <c r="A365" s="145" t="s">
        <v>626</v>
      </c>
      <c r="B365" s="146" t="s">
        <v>1844</v>
      </c>
      <c r="C365" s="146" t="s">
        <v>1845</v>
      </c>
      <c r="D365" s="145" t="s">
        <v>1846</v>
      </c>
      <c r="E365" s="146" t="s">
        <v>160</v>
      </c>
      <c r="F365" s="145" t="s">
        <v>19</v>
      </c>
      <c r="G365" s="146" t="s">
        <v>20</v>
      </c>
      <c r="H365" s="146">
        <v>201603</v>
      </c>
      <c r="I365" s="147">
        <v>-290.64999999999998</v>
      </c>
      <c r="J365" s="144">
        <f t="shared" si="17"/>
        <v>8</v>
      </c>
      <c r="K365" s="148">
        <v>1.4833299999999999E-3</v>
      </c>
      <c r="L365" s="147">
        <f t="shared" si="15"/>
        <v>-3.45</v>
      </c>
      <c r="M365" s="147">
        <f t="shared" si="16"/>
        <v>-5.17</v>
      </c>
      <c r="N365" s="168" t="e">
        <f>VLOOKUP(C365,#REF!,4)</f>
        <v>#REF!</v>
      </c>
    </row>
    <row r="366" spans="1:14">
      <c r="A366" s="145" t="s">
        <v>626</v>
      </c>
      <c r="B366" s="146" t="s">
        <v>1844</v>
      </c>
      <c r="C366" s="146" t="s">
        <v>1845</v>
      </c>
      <c r="D366" s="145" t="s">
        <v>1846</v>
      </c>
      <c r="E366" s="146" t="s">
        <v>160</v>
      </c>
      <c r="F366" s="145" t="s">
        <v>19</v>
      </c>
      <c r="G366" s="146" t="s">
        <v>20</v>
      </c>
      <c r="H366" s="146">
        <v>201604</v>
      </c>
      <c r="I366" s="147">
        <v>977.5</v>
      </c>
      <c r="J366" s="144">
        <f t="shared" si="17"/>
        <v>7</v>
      </c>
      <c r="K366" s="148">
        <v>1.4833299999999999E-3</v>
      </c>
      <c r="L366" s="147">
        <f t="shared" si="15"/>
        <v>10.15</v>
      </c>
      <c r="M366" s="147">
        <f t="shared" si="16"/>
        <v>17.399999999999999</v>
      </c>
      <c r="N366" s="168" t="e">
        <f>VLOOKUP(C366,#REF!,4)</f>
        <v>#REF!</v>
      </c>
    </row>
    <row r="367" spans="1:14">
      <c r="A367" s="145" t="s">
        <v>626</v>
      </c>
      <c r="B367" s="146" t="s">
        <v>1844</v>
      </c>
      <c r="C367" s="146" t="s">
        <v>1845</v>
      </c>
      <c r="D367" s="145" t="s">
        <v>1846</v>
      </c>
      <c r="E367" s="146" t="s">
        <v>160</v>
      </c>
      <c r="F367" s="145" t="s">
        <v>19</v>
      </c>
      <c r="G367" s="146" t="s">
        <v>20</v>
      </c>
      <c r="H367" s="146">
        <v>201605</v>
      </c>
      <c r="I367" s="147">
        <v>903.77</v>
      </c>
      <c r="J367" s="144">
        <f t="shared" si="17"/>
        <v>6</v>
      </c>
      <c r="K367" s="148">
        <v>1.4833299999999999E-3</v>
      </c>
      <c r="L367" s="147">
        <f t="shared" si="15"/>
        <v>8.0399999999999991</v>
      </c>
      <c r="M367" s="147">
        <f t="shared" si="16"/>
        <v>16.09</v>
      </c>
      <c r="N367" s="168" t="e">
        <f>VLOOKUP(C367,#REF!,4)</f>
        <v>#REF!</v>
      </c>
    </row>
    <row r="368" spans="1:14">
      <c r="A368" s="145" t="s">
        <v>626</v>
      </c>
      <c r="B368" s="146" t="s">
        <v>1844</v>
      </c>
      <c r="C368" s="146" t="s">
        <v>1845</v>
      </c>
      <c r="D368" s="145" t="s">
        <v>1846</v>
      </c>
      <c r="E368" s="146" t="s">
        <v>160</v>
      </c>
      <c r="F368" s="145" t="s">
        <v>19</v>
      </c>
      <c r="G368" s="146" t="s">
        <v>20</v>
      </c>
      <c r="H368" s="146">
        <v>201606</v>
      </c>
      <c r="I368" s="147">
        <v>460.67</v>
      </c>
      <c r="J368" s="144">
        <f t="shared" si="17"/>
        <v>5</v>
      </c>
      <c r="K368" s="148">
        <v>1.4833299999999999E-3</v>
      </c>
      <c r="L368" s="147">
        <f t="shared" si="15"/>
        <v>3.42</v>
      </c>
      <c r="M368" s="147">
        <f t="shared" si="16"/>
        <v>8.1999999999999993</v>
      </c>
      <c r="N368" s="168" t="e">
        <f>VLOOKUP(C368,#REF!,4)</f>
        <v>#REF!</v>
      </c>
    </row>
    <row r="369" spans="1:14">
      <c r="A369" s="145" t="s">
        <v>21</v>
      </c>
      <c r="B369" s="146" t="s">
        <v>1727</v>
      </c>
      <c r="C369" s="146" t="s">
        <v>1728</v>
      </c>
      <c r="D369" s="145" t="s">
        <v>1729</v>
      </c>
      <c r="E369" s="146" t="s">
        <v>75</v>
      </c>
      <c r="F369" s="145" t="s">
        <v>1602</v>
      </c>
      <c r="G369" s="146" t="s">
        <v>20</v>
      </c>
      <c r="H369" s="146">
        <v>201603</v>
      </c>
      <c r="I369" s="147">
        <v>-1840.12</v>
      </c>
      <c r="J369" s="144">
        <f t="shared" si="17"/>
        <v>8</v>
      </c>
      <c r="K369" s="148">
        <v>1.4833299999999999E-3</v>
      </c>
      <c r="L369" s="147">
        <f t="shared" si="15"/>
        <v>-21.84</v>
      </c>
      <c r="M369" s="147">
        <f t="shared" si="16"/>
        <v>-32.75</v>
      </c>
      <c r="N369" s="168" t="e">
        <f>VLOOKUP(C369,#REF!,4)</f>
        <v>#REF!</v>
      </c>
    </row>
    <row r="370" spans="1:14">
      <c r="A370" s="145" t="s">
        <v>21</v>
      </c>
      <c r="B370" s="146" t="s">
        <v>1727</v>
      </c>
      <c r="C370" s="146" t="s">
        <v>1728</v>
      </c>
      <c r="D370" s="145" t="s">
        <v>1729</v>
      </c>
      <c r="E370" s="146" t="s">
        <v>75</v>
      </c>
      <c r="F370" s="145" t="s">
        <v>1602</v>
      </c>
      <c r="G370" s="146" t="s">
        <v>20</v>
      </c>
      <c r="H370" s="146">
        <v>201604</v>
      </c>
      <c r="I370" s="147">
        <v>308.83999999999997</v>
      </c>
      <c r="J370" s="144">
        <f t="shared" si="17"/>
        <v>7</v>
      </c>
      <c r="K370" s="148">
        <v>1.4833299999999999E-3</v>
      </c>
      <c r="L370" s="147">
        <f t="shared" si="15"/>
        <v>3.21</v>
      </c>
      <c r="M370" s="147">
        <f t="shared" si="16"/>
        <v>5.5</v>
      </c>
      <c r="N370" s="168" t="e">
        <f>VLOOKUP(C370,#REF!,4)</f>
        <v>#REF!</v>
      </c>
    </row>
    <row r="371" spans="1:14">
      <c r="A371" s="145" t="s">
        <v>21</v>
      </c>
      <c r="B371" s="146" t="s">
        <v>1727</v>
      </c>
      <c r="C371" s="146" t="s">
        <v>1728</v>
      </c>
      <c r="D371" s="145" t="s">
        <v>1729</v>
      </c>
      <c r="E371" s="146" t="s">
        <v>75</v>
      </c>
      <c r="F371" s="145" t="s">
        <v>1602</v>
      </c>
      <c r="G371" s="146" t="s">
        <v>20</v>
      </c>
      <c r="H371" s="146">
        <v>201605</v>
      </c>
      <c r="I371" s="147">
        <v>161.82</v>
      </c>
      <c r="J371" s="144">
        <f t="shared" si="17"/>
        <v>6</v>
      </c>
      <c r="K371" s="148">
        <v>1.4833299999999999E-3</v>
      </c>
      <c r="L371" s="147">
        <f t="shared" si="15"/>
        <v>1.44</v>
      </c>
      <c r="M371" s="147">
        <f t="shared" si="16"/>
        <v>2.88</v>
      </c>
      <c r="N371" s="168" t="e">
        <f>VLOOKUP(C371,#REF!,4)</f>
        <v>#REF!</v>
      </c>
    </row>
    <row r="372" spans="1:14">
      <c r="A372" s="145" t="s">
        <v>21</v>
      </c>
      <c r="B372" s="146" t="s">
        <v>1727</v>
      </c>
      <c r="C372" s="146" t="s">
        <v>1728</v>
      </c>
      <c r="D372" s="145" t="s">
        <v>1729</v>
      </c>
      <c r="E372" s="146" t="s">
        <v>75</v>
      </c>
      <c r="F372" s="145" t="s">
        <v>1602</v>
      </c>
      <c r="G372" s="146" t="s">
        <v>20</v>
      </c>
      <c r="H372" s="146">
        <v>201606</v>
      </c>
      <c r="I372" s="147">
        <v>100.59</v>
      </c>
      <c r="J372" s="144">
        <f t="shared" si="17"/>
        <v>5</v>
      </c>
      <c r="K372" s="148">
        <v>1.4833299999999999E-3</v>
      </c>
      <c r="L372" s="147">
        <f t="shared" si="15"/>
        <v>0.75</v>
      </c>
      <c r="M372" s="147">
        <f t="shared" si="16"/>
        <v>1.79</v>
      </c>
      <c r="N372" s="168" t="e">
        <f>VLOOKUP(C372,#REF!,4)</f>
        <v>#REF!</v>
      </c>
    </row>
    <row r="373" spans="1:14">
      <c r="A373" s="145" t="s">
        <v>990</v>
      </c>
      <c r="B373" s="146" t="s">
        <v>1581</v>
      </c>
      <c r="C373" s="146" t="s">
        <v>1584</v>
      </c>
      <c r="D373" s="145" t="s">
        <v>1583</v>
      </c>
      <c r="E373" s="146" t="s">
        <v>216</v>
      </c>
      <c r="F373" s="145" t="s">
        <v>217</v>
      </c>
      <c r="G373" s="146" t="s">
        <v>20</v>
      </c>
      <c r="H373" s="146">
        <v>201603</v>
      </c>
      <c r="I373" s="147">
        <v>-13.19</v>
      </c>
      <c r="J373" s="144">
        <f t="shared" si="17"/>
        <v>8</v>
      </c>
      <c r="K373" s="148">
        <v>2.3833299999999999E-3</v>
      </c>
      <c r="L373" s="147">
        <f t="shared" si="15"/>
        <v>-0.25</v>
      </c>
      <c r="M373" s="147">
        <f t="shared" si="16"/>
        <v>-0.38</v>
      </c>
      <c r="N373" s="168" t="e">
        <f>VLOOKUP(C373,#REF!,4)</f>
        <v>#REF!</v>
      </c>
    </row>
    <row r="374" spans="1:14">
      <c r="A374" s="145" t="s">
        <v>127</v>
      </c>
      <c r="B374" s="146" t="s">
        <v>1581</v>
      </c>
      <c r="C374" s="146" t="s">
        <v>1584</v>
      </c>
      <c r="D374" s="145" t="s">
        <v>1583</v>
      </c>
      <c r="E374" s="146" t="s">
        <v>216</v>
      </c>
      <c r="F374" s="145" t="s">
        <v>217</v>
      </c>
      <c r="G374" s="146" t="s">
        <v>20</v>
      </c>
      <c r="H374" s="146">
        <v>201603</v>
      </c>
      <c r="I374" s="147">
        <v>13.19</v>
      </c>
      <c r="J374" s="144">
        <f t="shared" si="17"/>
        <v>8</v>
      </c>
      <c r="K374" s="148">
        <v>2.3833299999999999E-3</v>
      </c>
      <c r="L374" s="147">
        <f t="shared" si="15"/>
        <v>0.25</v>
      </c>
      <c r="M374" s="147">
        <f t="shared" si="16"/>
        <v>0.38</v>
      </c>
      <c r="N374" s="168" t="e">
        <f>VLOOKUP(C374,#REF!,4)</f>
        <v>#REF!</v>
      </c>
    </row>
    <row r="375" spans="1:14">
      <c r="A375" s="145" t="s">
        <v>990</v>
      </c>
      <c r="B375" s="146" t="s">
        <v>1581</v>
      </c>
      <c r="C375" s="146" t="s">
        <v>1584</v>
      </c>
      <c r="D375" s="145" t="s">
        <v>1583</v>
      </c>
      <c r="E375" s="146" t="s">
        <v>216</v>
      </c>
      <c r="F375" s="145" t="s">
        <v>217</v>
      </c>
      <c r="G375" s="146" t="s">
        <v>20</v>
      </c>
      <c r="H375" s="146">
        <v>201604</v>
      </c>
      <c r="I375" s="147">
        <v>13.19</v>
      </c>
      <c r="J375" s="144">
        <f t="shared" si="17"/>
        <v>7</v>
      </c>
      <c r="K375" s="148">
        <v>2.3833299999999999E-3</v>
      </c>
      <c r="L375" s="147">
        <f t="shared" si="15"/>
        <v>0.22</v>
      </c>
      <c r="M375" s="147">
        <f t="shared" si="16"/>
        <v>0.38</v>
      </c>
      <c r="N375" s="168" t="e">
        <f>VLOOKUP(C375,#REF!,4)</f>
        <v>#REF!</v>
      </c>
    </row>
    <row r="376" spans="1:14">
      <c r="A376" s="145" t="s">
        <v>990</v>
      </c>
      <c r="B376" s="146" t="s">
        <v>1730</v>
      </c>
      <c r="C376" s="146" t="s">
        <v>1731</v>
      </c>
      <c r="D376" s="145" t="s">
        <v>1732</v>
      </c>
      <c r="E376" s="146" t="s">
        <v>1688</v>
      </c>
      <c r="F376" s="145" t="s">
        <v>1689</v>
      </c>
      <c r="G376" s="146" t="s">
        <v>20</v>
      </c>
      <c r="H376" s="146">
        <v>201603</v>
      </c>
      <c r="I376" s="147">
        <v>1.36</v>
      </c>
      <c r="J376" s="144">
        <f t="shared" si="17"/>
        <v>8</v>
      </c>
      <c r="K376" s="148">
        <v>2.3833299999999999E-3</v>
      </c>
      <c r="L376" s="147">
        <f t="shared" si="15"/>
        <v>0.03</v>
      </c>
      <c r="M376" s="147">
        <f t="shared" si="16"/>
        <v>0.04</v>
      </c>
      <c r="N376" s="168" t="e">
        <f>VLOOKUP(C376,#REF!,4)</f>
        <v>#REF!</v>
      </c>
    </row>
    <row r="377" spans="1:14">
      <c r="A377" s="145" t="s">
        <v>990</v>
      </c>
      <c r="B377" s="146" t="s">
        <v>1730</v>
      </c>
      <c r="C377" s="146" t="s">
        <v>1731</v>
      </c>
      <c r="D377" s="145" t="s">
        <v>1732</v>
      </c>
      <c r="E377" s="146" t="s">
        <v>1688</v>
      </c>
      <c r="F377" s="145" t="s">
        <v>1689</v>
      </c>
      <c r="G377" s="146" t="s">
        <v>20</v>
      </c>
      <c r="H377" s="146">
        <v>201604</v>
      </c>
      <c r="I377" s="147">
        <v>-3.09</v>
      </c>
      <c r="J377" s="144">
        <f t="shared" si="17"/>
        <v>7</v>
      </c>
      <c r="K377" s="148">
        <v>2.3833299999999999E-3</v>
      </c>
      <c r="L377" s="147">
        <f t="shared" si="15"/>
        <v>-0.05</v>
      </c>
      <c r="M377" s="147">
        <f t="shared" si="16"/>
        <v>-0.09</v>
      </c>
      <c r="N377" s="168" t="e">
        <f>VLOOKUP(C377,#REF!,4)</f>
        <v>#REF!</v>
      </c>
    </row>
    <row r="378" spans="1:14">
      <c r="A378" s="145" t="s">
        <v>990</v>
      </c>
      <c r="B378" s="146" t="s">
        <v>1730</v>
      </c>
      <c r="C378" s="146" t="s">
        <v>1731</v>
      </c>
      <c r="D378" s="145" t="s">
        <v>1732</v>
      </c>
      <c r="E378" s="146" t="s">
        <v>1688</v>
      </c>
      <c r="F378" s="145" t="s">
        <v>1689</v>
      </c>
      <c r="G378" s="146" t="s">
        <v>20</v>
      </c>
      <c r="H378" s="146">
        <v>201605</v>
      </c>
      <c r="I378" s="147">
        <v>-2.31</v>
      </c>
      <c r="J378" s="144">
        <f t="shared" si="17"/>
        <v>6</v>
      </c>
      <c r="K378" s="148">
        <v>2.3833299999999999E-3</v>
      </c>
      <c r="L378" s="147">
        <f t="shared" si="15"/>
        <v>-0.03</v>
      </c>
      <c r="M378" s="147">
        <f t="shared" si="16"/>
        <v>-7.0000000000000007E-2</v>
      </c>
      <c r="N378" s="168" t="e">
        <f>VLOOKUP(C378,#REF!,4)</f>
        <v>#REF!</v>
      </c>
    </row>
    <row r="379" spans="1:14">
      <c r="A379" s="145" t="s">
        <v>990</v>
      </c>
      <c r="B379" s="146" t="s">
        <v>1730</v>
      </c>
      <c r="C379" s="146" t="s">
        <v>1731</v>
      </c>
      <c r="D379" s="145" t="s">
        <v>1732</v>
      </c>
      <c r="E379" s="146" t="s">
        <v>1688</v>
      </c>
      <c r="F379" s="145" t="s">
        <v>1689</v>
      </c>
      <c r="G379" s="146" t="s">
        <v>20</v>
      </c>
      <c r="H379" s="146">
        <v>201606</v>
      </c>
      <c r="I379" s="147">
        <v>-1.61</v>
      </c>
      <c r="J379" s="144">
        <f t="shared" si="17"/>
        <v>5</v>
      </c>
      <c r="K379" s="148">
        <v>2.3833299999999999E-3</v>
      </c>
      <c r="L379" s="147">
        <f t="shared" si="15"/>
        <v>-0.02</v>
      </c>
      <c r="M379" s="147">
        <f t="shared" si="16"/>
        <v>-0.05</v>
      </c>
      <c r="N379" s="168" t="e">
        <f>VLOOKUP(C379,#REF!,4)</f>
        <v>#REF!</v>
      </c>
    </row>
    <row r="380" spans="1:14">
      <c r="A380" s="145" t="s">
        <v>990</v>
      </c>
      <c r="B380" s="146" t="s">
        <v>1733</v>
      </c>
      <c r="C380" s="146" t="s">
        <v>1734</v>
      </c>
      <c r="D380" s="145" t="s">
        <v>1735</v>
      </c>
      <c r="E380" s="146" t="s">
        <v>1688</v>
      </c>
      <c r="F380" s="145" t="s">
        <v>1689</v>
      </c>
      <c r="G380" s="146" t="s">
        <v>20</v>
      </c>
      <c r="H380" s="146">
        <v>201603</v>
      </c>
      <c r="I380" s="147">
        <v>-6.19</v>
      </c>
      <c r="J380" s="144">
        <f t="shared" si="17"/>
        <v>8</v>
      </c>
      <c r="K380" s="148">
        <v>2.3833299999999999E-3</v>
      </c>
      <c r="L380" s="147">
        <f t="shared" si="15"/>
        <v>-0.12</v>
      </c>
      <c r="M380" s="147">
        <f t="shared" si="16"/>
        <v>-0.18</v>
      </c>
      <c r="N380" s="168" t="e">
        <f>VLOOKUP(C380,#REF!,4)</f>
        <v>#REF!</v>
      </c>
    </row>
    <row r="381" spans="1:14">
      <c r="A381" s="145" t="s">
        <v>990</v>
      </c>
      <c r="B381" s="146" t="s">
        <v>1733</v>
      </c>
      <c r="C381" s="146" t="s">
        <v>1734</v>
      </c>
      <c r="D381" s="145" t="s">
        <v>1735</v>
      </c>
      <c r="E381" s="146" t="s">
        <v>1688</v>
      </c>
      <c r="F381" s="145" t="s">
        <v>1689</v>
      </c>
      <c r="G381" s="146" t="s">
        <v>20</v>
      </c>
      <c r="H381" s="146">
        <v>201604</v>
      </c>
      <c r="I381" s="147">
        <v>13.73</v>
      </c>
      <c r="J381" s="144">
        <f t="shared" si="17"/>
        <v>7</v>
      </c>
      <c r="K381" s="148">
        <v>2.3833299999999999E-3</v>
      </c>
      <c r="L381" s="147">
        <f t="shared" si="15"/>
        <v>0.23</v>
      </c>
      <c r="M381" s="147">
        <f t="shared" si="16"/>
        <v>0.39</v>
      </c>
      <c r="N381" s="168" t="e">
        <f>VLOOKUP(C381,#REF!,4)</f>
        <v>#REF!</v>
      </c>
    </row>
    <row r="382" spans="1:14">
      <c r="A382" s="145" t="s">
        <v>990</v>
      </c>
      <c r="B382" s="146" t="s">
        <v>1733</v>
      </c>
      <c r="C382" s="146" t="s">
        <v>1734</v>
      </c>
      <c r="D382" s="145" t="s">
        <v>1735</v>
      </c>
      <c r="E382" s="146" t="s">
        <v>1688</v>
      </c>
      <c r="F382" s="145" t="s">
        <v>1689</v>
      </c>
      <c r="G382" s="146" t="s">
        <v>20</v>
      </c>
      <c r="H382" s="146">
        <v>201605</v>
      </c>
      <c r="I382" s="147">
        <v>11.21</v>
      </c>
      <c r="J382" s="144">
        <f t="shared" si="17"/>
        <v>6</v>
      </c>
      <c r="K382" s="148">
        <v>2.3833299999999999E-3</v>
      </c>
      <c r="L382" s="147">
        <f t="shared" si="15"/>
        <v>0.16</v>
      </c>
      <c r="M382" s="147">
        <f t="shared" si="16"/>
        <v>0.32</v>
      </c>
      <c r="N382" s="168" t="e">
        <f>VLOOKUP(C382,#REF!,4)</f>
        <v>#REF!</v>
      </c>
    </row>
    <row r="383" spans="1:14">
      <c r="A383" s="145" t="s">
        <v>990</v>
      </c>
      <c r="B383" s="146" t="s">
        <v>1733</v>
      </c>
      <c r="C383" s="146" t="s">
        <v>1734</v>
      </c>
      <c r="D383" s="145" t="s">
        <v>1735</v>
      </c>
      <c r="E383" s="146" t="s">
        <v>1688</v>
      </c>
      <c r="F383" s="145" t="s">
        <v>1689</v>
      </c>
      <c r="G383" s="146" t="s">
        <v>20</v>
      </c>
      <c r="H383" s="146">
        <v>201606</v>
      </c>
      <c r="I383" s="147">
        <v>7.32</v>
      </c>
      <c r="J383" s="144">
        <f t="shared" si="17"/>
        <v>5</v>
      </c>
      <c r="K383" s="148">
        <v>2.3833299999999999E-3</v>
      </c>
      <c r="L383" s="147">
        <f t="shared" si="15"/>
        <v>0.09</v>
      </c>
      <c r="M383" s="147">
        <f t="shared" si="16"/>
        <v>0.21</v>
      </c>
      <c r="N383" s="168" t="e">
        <f>VLOOKUP(C383,#REF!,4)</f>
        <v>#REF!</v>
      </c>
    </row>
    <row r="384" spans="1:14">
      <c r="A384" s="145" t="s">
        <v>626</v>
      </c>
      <c r="B384" s="146" t="s">
        <v>1881</v>
      </c>
      <c r="C384" s="146" t="s">
        <v>1882</v>
      </c>
      <c r="D384" s="145" t="s">
        <v>1883</v>
      </c>
      <c r="E384" s="146" t="s">
        <v>75</v>
      </c>
      <c r="F384" s="145" t="s">
        <v>1602</v>
      </c>
      <c r="G384" s="146" t="s">
        <v>20</v>
      </c>
      <c r="H384" s="146">
        <v>201603</v>
      </c>
      <c r="I384" s="147">
        <v>-193.43</v>
      </c>
      <c r="J384" s="144">
        <f t="shared" si="17"/>
        <v>8</v>
      </c>
      <c r="K384" s="148">
        <v>1.4833299999999999E-3</v>
      </c>
      <c r="L384" s="147">
        <f t="shared" si="15"/>
        <v>-2.2999999999999998</v>
      </c>
      <c r="M384" s="147">
        <f t="shared" si="16"/>
        <v>-3.44</v>
      </c>
      <c r="N384" s="168" t="e">
        <f>VLOOKUP(C384,#REF!,4)</f>
        <v>#REF!</v>
      </c>
    </row>
    <row r="385" spans="1:14">
      <c r="A385" s="145" t="s">
        <v>626</v>
      </c>
      <c r="B385" s="146" t="s">
        <v>1881</v>
      </c>
      <c r="C385" s="146" t="s">
        <v>1882</v>
      </c>
      <c r="D385" s="145" t="s">
        <v>1883</v>
      </c>
      <c r="E385" s="146" t="s">
        <v>75</v>
      </c>
      <c r="F385" s="145" t="s">
        <v>1602</v>
      </c>
      <c r="G385" s="146" t="s">
        <v>20</v>
      </c>
      <c r="H385" s="146">
        <v>201604</v>
      </c>
      <c r="I385" s="147">
        <v>272.52</v>
      </c>
      <c r="J385" s="144">
        <f t="shared" si="17"/>
        <v>7</v>
      </c>
      <c r="K385" s="148">
        <v>1.4833299999999999E-3</v>
      </c>
      <c r="L385" s="147">
        <f t="shared" si="15"/>
        <v>2.83</v>
      </c>
      <c r="M385" s="147">
        <f t="shared" si="16"/>
        <v>4.8499999999999996</v>
      </c>
      <c r="N385" s="168" t="e">
        <f>VLOOKUP(C385,#REF!,4)</f>
        <v>#REF!</v>
      </c>
    </row>
    <row r="386" spans="1:14">
      <c r="A386" s="145" t="s">
        <v>626</v>
      </c>
      <c r="B386" s="146" t="s">
        <v>1881</v>
      </c>
      <c r="C386" s="146" t="s">
        <v>1882</v>
      </c>
      <c r="D386" s="145" t="s">
        <v>1883</v>
      </c>
      <c r="E386" s="146" t="s">
        <v>75</v>
      </c>
      <c r="F386" s="145" t="s">
        <v>1602</v>
      </c>
      <c r="G386" s="146" t="s">
        <v>20</v>
      </c>
      <c r="H386" s="146">
        <v>201605</v>
      </c>
      <c r="I386" s="147">
        <v>-1545.21</v>
      </c>
      <c r="J386" s="144">
        <f t="shared" si="17"/>
        <v>6</v>
      </c>
      <c r="K386" s="148">
        <v>1.4833299999999999E-3</v>
      </c>
      <c r="L386" s="147">
        <f t="shared" si="15"/>
        <v>-13.75</v>
      </c>
      <c r="M386" s="147">
        <f t="shared" si="16"/>
        <v>-27.5</v>
      </c>
      <c r="N386" s="168" t="e">
        <f>VLOOKUP(C386,#REF!,4)</f>
        <v>#REF!</v>
      </c>
    </row>
    <row r="387" spans="1:14">
      <c r="A387" s="145" t="s">
        <v>626</v>
      </c>
      <c r="B387" s="146" t="s">
        <v>1881</v>
      </c>
      <c r="C387" s="146" t="s">
        <v>1882</v>
      </c>
      <c r="D387" s="145" t="s">
        <v>1883</v>
      </c>
      <c r="E387" s="146" t="s">
        <v>75</v>
      </c>
      <c r="F387" s="145" t="s">
        <v>1602</v>
      </c>
      <c r="G387" s="146" t="s">
        <v>20</v>
      </c>
      <c r="H387" s="146">
        <v>201606</v>
      </c>
      <c r="I387" s="147">
        <v>131.46</v>
      </c>
      <c r="J387" s="144">
        <f t="shared" si="17"/>
        <v>5</v>
      </c>
      <c r="K387" s="148">
        <v>1.4833299999999999E-3</v>
      </c>
      <c r="L387" s="147">
        <f t="shared" si="15"/>
        <v>0.97</v>
      </c>
      <c r="M387" s="147">
        <f t="shared" si="16"/>
        <v>2.34</v>
      </c>
      <c r="N387" s="168" t="e">
        <f>VLOOKUP(C387,#REF!,4)</f>
        <v>#REF!</v>
      </c>
    </row>
    <row r="388" spans="1:14">
      <c r="A388" s="145" t="s">
        <v>626</v>
      </c>
      <c r="B388" s="146" t="s">
        <v>1496</v>
      </c>
      <c r="C388" s="146" t="s">
        <v>1497</v>
      </c>
      <c r="D388" s="145" t="s">
        <v>1498</v>
      </c>
      <c r="E388" s="146" t="s">
        <v>164</v>
      </c>
      <c r="F388" s="145" t="s">
        <v>1600</v>
      </c>
      <c r="G388" s="146" t="s">
        <v>20</v>
      </c>
      <c r="H388" s="146">
        <v>201603</v>
      </c>
      <c r="I388" s="147">
        <v>2.02</v>
      </c>
      <c r="J388" s="144">
        <f t="shared" si="17"/>
        <v>8</v>
      </c>
      <c r="K388" s="148">
        <v>1.4833299999999999E-3</v>
      </c>
      <c r="L388" s="147">
        <f t="shared" si="15"/>
        <v>0.02</v>
      </c>
      <c r="M388" s="147">
        <f t="shared" si="16"/>
        <v>0.04</v>
      </c>
      <c r="N388" s="168" t="e">
        <f>VLOOKUP(C388,#REF!,4)</f>
        <v>#REF!</v>
      </c>
    </row>
    <row r="389" spans="1:14">
      <c r="A389" s="145" t="s">
        <v>626</v>
      </c>
      <c r="B389" s="146" t="s">
        <v>1496</v>
      </c>
      <c r="C389" s="146" t="s">
        <v>1497</v>
      </c>
      <c r="D389" s="145" t="s">
        <v>1498</v>
      </c>
      <c r="E389" s="146" t="s">
        <v>164</v>
      </c>
      <c r="F389" s="145" t="s">
        <v>1600</v>
      </c>
      <c r="G389" s="146" t="s">
        <v>20</v>
      </c>
      <c r="H389" s="146">
        <v>201604</v>
      </c>
      <c r="I389" s="147">
        <v>-28.02</v>
      </c>
      <c r="J389" s="144">
        <f t="shared" si="17"/>
        <v>7</v>
      </c>
      <c r="K389" s="148">
        <v>1.4833299999999999E-3</v>
      </c>
      <c r="L389" s="147">
        <f t="shared" ref="L389:L452" si="18">ROUND(I389*J389*K389,2)</f>
        <v>-0.28999999999999998</v>
      </c>
      <c r="M389" s="147">
        <f t="shared" ref="M389:M452" si="19">ROUND(I389*K389*12,2)</f>
        <v>-0.5</v>
      </c>
      <c r="N389" s="168" t="e">
        <f>VLOOKUP(C389,#REF!,4)</f>
        <v>#REF!</v>
      </c>
    </row>
    <row r="390" spans="1:14">
      <c r="A390" s="145" t="s">
        <v>626</v>
      </c>
      <c r="B390" s="146" t="s">
        <v>1496</v>
      </c>
      <c r="C390" s="146" t="s">
        <v>1497</v>
      </c>
      <c r="D390" s="145" t="s">
        <v>1498</v>
      </c>
      <c r="E390" s="146" t="s">
        <v>164</v>
      </c>
      <c r="F390" s="145" t="s">
        <v>1600</v>
      </c>
      <c r="G390" s="146" t="s">
        <v>20</v>
      </c>
      <c r="H390" s="146">
        <v>201605</v>
      </c>
      <c r="I390" s="147">
        <v>-20.14</v>
      </c>
      <c r="J390" s="144">
        <f t="shared" ref="J390:J453" si="20">VLOOKUP(H390,$P$5:$Q$14,2)</f>
        <v>6</v>
      </c>
      <c r="K390" s="148">
        <v>1.4833299999999999E-3</v>
      </c>
      <c r="L390" s="147">
        <f t="shared" si="18"/>
        <v>-0.18</v>
      </c>
      <c r="M390" s="147">
        <f t="shared" si="19"/>
        <v>-0.36</v>
      </c>
      <c r="N390" s="168" t="e">
        <f>VLOOKUP(C390,#REF!,4)</f>
        <v>#REF!</v>
      </c>
    </row>
    <row r="391" spans="1:14">
      <c r="A391" s="145" t="s">
        <v>626</v>
      </c>
      <c r="B391" s="146" t="s">
        <v>1496</v>
      </c>
      <c r="C391" s="146" t="s">
        <v>1497</v>
      </c>
      <c r="D391" s="145" t="s">
        <v>1498</v>
      </c>
      <c r="E391" s="146" t="s">
        <v>164</v>
      </c>
      <c r="F391" s="145" t="s">
        <v>1600</v>
      </c>
      <c r="G391" s="146" t="s">
        <v>20</v>
      </c>
      <c r="H391" s="146">
        <v>201606</v>
      </c>
      <c r="I391" s="147">
        <v>-12.33</v>
      </c>
      <c r="J391" s="144">
        <f t="shared" si="20"/>
        <v>5</v>
      </c>
      <c r="K391" s="148">
        <v>1.4833299999999999E-3</v>
      </c>
      <c r="L391" s="147">
        <f t="shared" si="18"/>
        <v>-0.09</v>
      </c>
      <c r="M391" s="147">
        <f t="shared" si="19"/>
        <v>-0.22</v>
      </c>
      <c r="N391" s="168" t="e">
        <f>VLOOKUP(C391,#REF!,4)</f>
        <v>#REF!</v>
      </c>
    </row>
    <row r="392" spans="1:14">
      <c r="A392" s="145" t="s">
        <v>626</v>
      </c>
      <c r="B392" s="146" t="s">
        <v>1884</v>
      </c>
      <c r="C392" s="146" t="s">
        <v>1885</v>
      </c>
      <c r="D392" s="145" t="s">
        <v>1886</v>
      </c>
      <c r="E392" s="146" t="s">
        <v>75</v>
      </c>
      <c r="F392" s="145" t="s">
        <v>1602</v>
      </c>
      <c r="G392" s="146" t="s">
        <v>20</v>
      </c>
      <c r="H392" s="146">
        <v>201603</v>
      </c>
      <c r="I392" s="147">
        <v>-78.06</v>
      </c>
      <c r="J392" s="144">
        <f t="shared" si="20"/>
        <v>8</v>
      </c>
      <c r="K392" s="148">
        <v>1.4833299999999999E-3</v>
      </c>
      <c r="L392" s="147">
        <f t="shared" si="18"/>
        <v>-0.93</v>
      </c>
      <c r="M392" s="147">
        <f t="shared" si="19"/>
        <v>-1.39</v>
      </c>
      <c r="N392" s="168" t="e">
        <f>VLOOKUP(C392,#REF!,4)</f>
        <v>#REF!</v>
      </c>
    </row>
    <row r="393" spans="1:14">
      <c r="A393" s="145" t="s">
        <v>626</v>
      </c>
      <c r="B393" s="146" t="s">
        <v>1884</v>
      </c>
      <c r="C393" s="146" t="s">
        <v>1885</v>
      </c>
      <c r="D393" s="145" t="s">
        <v>1886</v>
      </c>
      <c r="E393" s="146" t="s">
        <v>75</v>
      </c>
      <c r="F393" s="145" t="s">
        <v>1602</v>
      </c>
      <c r="G393" s="146" t="s">
        <v>20</v>
      </c>
      <c r="H393" s="146">
        <v>201604</v>
      </c>
      <c r="I393" s="147">
        <v>146.33000000000001</v>
      </c>
      <c r="J393" s="144">
        <f t="shared" si="20"/>
        <v>7</v>
      </c>
      <c r="K393" s="148">
        <v>1.4833299999999999E-3</v>
      </c>
      <c r="L393" s="147">
        <f t="shared" si="18"/>
        <v>1.52</v>
      </c>
      <c r="M393" s="147">
        <f t="shared" si="19"/>
        <v>2.6</v>
      </c>
      <c r="N393" s="168" t="e">
        <f>VLOOKUP(C393,#REF!,4)</f>
        <v>#REF!</v>
      </c>
    </row>
    <row r="394" spans="1:14">
      <c r="A394" s="145" t="s">
        <v>626</v>
      </c>
      <c r="B394" s="146" t="s">
        <v>1884</v>
      </c>
      <c r="C394" s="146" t="s">
        <v>1885</v>
      </c>
      <c r="D394" s="145" t="s">
        <v>1886</v>
      </c>
      <c r="E394" s="146" t="s">
        <v>75</v>
      </c>
      <c r="F394" s="145" t="s">
        <v>1602</v>
      </c>
      <c r="G394" s="146" t="s">
        <v>20</v>
      </c>
      <c r="H394" s="146">
        <v>201605</v>
      </c>
      <c r="I394" s="147">
        <v>112.23</v>
      </c>
      <c r="J394" s="144">
        <f t="shared" si="20"/>
        <v>6</v>
      </c>
      <c r="K394" s="148">
        <v>1.4833299999999999E-3</v>
      </c>
      <c r="L394" s="147">
        <f t="shared" si="18"/>
        <v>1</v>
      </c>
      <c r="M394" s="147">
        <f t="shared" si="19"/>
        <v>2</v>
      </c>
      <c r="N394" s="168" t="e">
        <f>VLOOKUP(C394,#REF!,4)</f>
        <v>#REF!</v>
      </c>
    </row>
    <row r="395" spans="1:14">
      <c r="A395" s="145" t="s">
        <v>626</v>
      </c>
      <c r="B395" s="146" t="s">
        <v>1884</v>
      </c>
      <c r="C395" s="146" t="s">
        <v>1885</v>
      </c>
      <c r="D395" s="145" t="s">
        <v>1886</v>
      </c>
      <c r="E395" s="146" t="s">
        <v>75</v>
      </c>
      <c r="F395" s="145" t="s">
        <v>1602</v>
      </c>
      <c r="G395" s="146" t="s">
        <v>20</v>
      </c>
      <c r="H395" s="146">
        <v>201606</v>
      </c>
      <c r="I395" s="147">
        <v>73.94</v>
      </c>
      <c r="J395" s="144">
        <f t="shared" si="20"/>
        <v>5</v>
      </c>
      <c r="K395" s="148">
        <v>1.4833299999999999E-3</v>
      </c>
      <c r="L395" s="147">
        <f t="shared" si="18"/>
        <v>0.55000000000000004</v>
      </c>
      <c r="M395" s="147">
        <f t="shared" si="19"/>
        <v>1.32</v>
      </c>
      <c r="N395" s="168" t="e">
        <f>VLOOKUP(C395,#REF!,4)</f>
        <v>#REF!</v>
      </c>
    </row>
    <row r="396" spans="1:14">
      <c r="A396" s="145" t="s">
        <v>626</v>
      </c>
      <c r="B396" s="146" t="s">
        <v>1736</v>
      </c>
      <c r="C396" s="146" t="s">
        <v>1737</v>
      </c>
      <c r="D396" s="145" t="s">
        <v>1738</v>
      </c>
      <c r="E396" s="146" t="s">
        <v>164</v>
      </c>
      <c r="F396" s="145" t="s">
        <v>1600</v>
      </c>
      <c r="G396" s="146" t="s">
        <v>20</v>
      </c>
      <c r="H396" s="146">
        <v>201603</v>
      </c>
      <c r="I396" s="147">
        <v>-220.8</v>
      </c>
      <c r="J396" s="144">
        <f t="shared" si="20"/>
        <v>8</v>
      </c>
      <c r="K396" s="148">
        <v>1.4833299999999999E-3</v>
      </c>
      <c r="L396" s="147">
        <f t="shared" si="18"/>
        <v>-2.62</v>
      </c>
      <c r="M396" s="147">
        <f t="shared" si="19"/>
        <v>-3.93</v>
      </c>
      <c r="N396" s="168" t="e">
        <f>VLOOKUP(C396,#REF!,4)</f>
        <v>#REF!</v>
      </c>
    </row>
    <row r="397" spans="1:14">
      <c r="A397" s="145" t="s">
        <v>626</v>
      </c>
      <c r="B397" s="146" t="s">
        <v>1736</v>
      </c>
      <c r="C397" s="146" t="s">
        <v>1737</v>
      </c>
      <c r="D397" s="145" t="s">
        <v>1738</v>
      </c>
      <c r="E397" s="146" t="s">
        <v>164</v>
      </c>
      <c r="F397" s="145" t="s">
        <v>1600</v>
      </c>
      <c r="G397" s="146" t="s">
        <v>20</v>
      </c>
      <c r="H397" s="146">
        <v>201604</v>
      </c>
      <c r="I397" s="147">
        <v>759.49</v>
      </c>
      <c r="J397" s="144">
        <f t="shared" si="20"/>
        <v>7</v>
      </c>
      <c r="K397" s="148">
        <v>1.4833299999999999E-3</v>
      </c>
      <c r="L397" s="147">
        <f t="shared" si="18"/>
        <v>7.89</v>
      </c>
      <c r="M397" s="147">
        <f t="shared" si="19"/>
        <v>13.52</v>
      </c>
      <c r="N397" s="168" t="e">
        <f>VLOOKUP(C397,#REF!,4)</f>
        <v>#REF!</v>
      </c>
    </row>
    <row r="398" spans="1:14">
      <c r="A398" s="145" t="s">
        <v>626</v>
      </c>
      <c r="B398" s="146" t="s">
        <v>1736</v>
      </c>
      <c r="C398" s="146" t="s">
        <v>1737</v>
      </c>
      <c r="D398" s="145" t="s">
        <v>1738</v>
      </c>
      <c r="E398" s="146" t="s">
        <v>164</v>
      </c>
      <c r="F398" s="145" t="s">
        <v>1600</v>
      </c>
      <c r="G398" s="146" t="s">
        <v>20</v>
      </c>
      <c r="H398" s="146">
        <v>201605</v>
      </c>
      <c r="I398" s="147">
        <v>603.33000000000004</v>
      </c>
      <c r="J398" s="144">
        <f t="shared" si="20"/>
        <v>6</v>
      </c>
      <c r="K398" s="148">
        <v>1.4833299999999999E-3</v>
      </c>
      <c r="L398" s="147">
        <f t="shared" si="18"/>
        <v>5.37</v>
      </c>
      <c r="M398" s="147">
        <f t="shared" si="19"/>
        <v>10.74</v>
      </c>
      <c r="N398" s="168" t="e">
        <f>VLOOKUP(C398,#REF!,4)</f>
        <v>#REF!</v>
      </c>
    </row>
    <row r="399" spans="1:14">
      <c r="A399" s="145" t="s">
        <v>626</v>
      </c>
      <c r="B399" s="146" t="s">
        <v>1736</v>
      </c>
      <c r="C399" s="146" t="s">
        <v>1737</v>
      </c>
      <c r="D399" s="145" t="s">
        <v>1738</v>
      </c>
      <c r="E399" s="146" t="s">
        <v>164</v>
      </c>
      <c r="F399" s="145" t="s">
        <v>1600</v>
      </c>
      <c r="G399" s="146" t="s">
        <v>20</v>
      </c>
      <c r="H399" s="146">
        <v>201606</v>
      </c>
      <c r="I399" s="147">
        <v>443.16</v>
      </c>
      <c r="J399" s="144">
        <f t="shared" si="20"/>
        <v>5</v>
      </c>
      <c r="K399" s="148">
        <v>1.4833299999999999E-3</v>
      </c>
      <c r="L399" s="147">
        <f t="shared" si="18"/>
        <v>3.29</v>
      </c>
      <c r="M399" s="147">
        <f t="shared" si="19"/>
        <v>7.89</v>
      </c>
      <c r="N399" s="168" t="e">
        <f>VLOOKUP(C399,#REF!,4)</f>
        <v>#REF!</v>
      </c>
    </row>
    <row r="400" spans="1:14">
      <c r="A400" s="145" t="s">
        <v>626</v>
      </c>
      <c r="B400" s="146" t="s">
        <v>1847</v>
      </c>
      <c r="C400" s="146" t="s">
        <v>1848</v>
      </c>
      <c r="D400" s="145" t="s">
        <v>1849</v>
      </c>
      <c r="E400" s="146" t="s">
        <v>63</v>
      </c>
      <c r="F400" s="145" t="s">
        <v>19</v>
      </c>
      <c r="G400" s="146" t="s">
        <v>20</v>
      </c>
      <c r="H400" s="146">
        <v>201603</v>
      </c>
      <c r="I400" s="147">
        <v>-0.44</v>
      </c>
      <c r="J400" s="144">
        <f t="shared" si="20"/>
        <v>8</v>
      </c>
      <c r="K400" s="148">
        <v>1.4833299999999999E-3</v>
      </c>
      <c r="L400" s="147">
        <f t="shared" si="18"/>
        <v>-0.01</v>
      </c>
      <c r="M400" s="147">
        <f t="shared" si="19"/>
        <v>-0.01</v>
      </c>
      <c r="N400" s="168" t="e">
        <f>VLOOKUP(C400,#REF!,4)</f>
        <v>#REF!</v>
      </c>
    </row>
    <row r="401" spans="1:14">
      <c r="A401" s="145" t="s">
        <v>626</v>
      </c>
      <c r="B401" s="146" t="s">
        <v>1847</v>
      </c>
      <c r="C401" s="146" t="s">
        <v>1848</v>
      </c>
      <c r="D401" s="145" t="s">
        <v>1849</v>
      </c>
      <c r="E401" s="146" t="s">
        <v>63</v>
      </c>
      <c r="F401" s="145" t="s">
        <v>19</v>
      </c>
      <c r="G401" s="146" t="s">
        <v>20</v>
      </c>
      <c r="H401" s="146">
        <v>201604</v>
      </c>
      <c r="I401" s="147">
        <v>6.73</v>
      </c>
      <c r="J401" s="144">
        <f t="shared" si="20"/>
        <v>7</v>
      </c>
      <c r="K401" s="148">
        <v>1.4833299999999999E-3</v>
      </c>
      <c r="L401" s="147">
        <f t="shared" si="18"/>
        <v>7.0000000000000007E-2</v>
      </c>
      <c r="M401" s="147">
        <f t="shared" si="19"/>
        <v>0.12</v>
      </c>
      <c r="N401" s="168" t="e">
        <f>VLOOKUP(C401,#REF!,4)</f>
        <v>#REF!</v>
      </c>
    </row>
    <row r="402" spans="1:14">
      <c r="A402" s="145" t="s">
        <v>626</v>
      </c>
      <c r="B402" s="146" t="s">
        <v>1847</v>
      </c>
      <c r="C402" s="146" t="s">
        <v>1848</v>
      </c>
      <c r="D402" s="145" t="s">
        <v>1849</v>
      </c>
      <c r="E402" s="146" t="s">
        <v>63</v>
      </c>
      <c r="F402" s="145" t="s">
        <v>19</v>
      </c>
      <c r="G402" s="146" t="s">
        <v>20</v>
      </c>
      <c r="H402" s="146">
        <v>201605</v>
      </c>
      <c r="I402" s="147">
        <v>6.23</v>
      </c>
      <c r="J402" s="144">
        <f t="shared" si="20"/>
        <v>6</v>
      </c>
      <c r="K402" s="148">
        <v>1.4833299999999999E-3</v>
      </c>
      <c r="L402" s="147">
        <f t="shared" si="18"/>
        <v>0.06</v>
      </c>
      <c r="M402" s="147">
        <f t="shared" si="19"/>
        <v>0.11</v>
      </c>
      <c r="N402" s="168" t="e">
        <f>VLOOKUP(C402,#REF!,4)</f>
        <v>#REF!</v>
      </c>
    </row>
    <row r="403" spans="1:14">
      <c r="A403" s="145" t="s">
        <v>626</v>
      </c>
      <c r="B403" s="146" t="s">
        <v>1847</v>
      </c>
      <c r="C403" s="146" t="s">
        <v>1848</v>
      </c>
      <c r="D403" s="145" t="s">
        <v>1849</v>
      </c>
      <c r="E403" s="146" t="s">
        <v>63</v>
      </c>
      <c r="F403" s="145" t="s">
        <v>19</v>
      </c>
      <c r="G403" s="146" t="s">
        <v>20</v>
      </c>
      <c r="H403" s="146">
        <v>201606</v>
      </c>
      <c r="I403" s="147">
        <v>2.94</v>
      </c>
      <c r="J403" s="144">
        <f t="shared" si="20"/>
        <v>5</v>
      </c>
      <c r="K403" s="148">
        <v>1.4833299999999999E-3</v>
      </c>
      <c r="L403" s="147">
        <f t="shared" si="18"/>
        <v>0.02</v>
      </c>
      <c r="M403" s="147">
        <f t="shared" si="19"/>
        <v>0.05</v>
      </c>
      <c r="N403" s="168" t="e">
        <f>VLOOKUP(C403,#REF!,4)</f>
        <v>#REF!</v>
      </c>
    </row>
    <row r="404" spans="1:14">
      <c r="A404" s="145" t="s">
        <v>626</v>
      </c>
      <c r="B404" s="146" t="s">
        <v>1594</v>
      </c>
      <c r="C404" s="146" t="s">
        <v>1595</v>
      </c>
      <c r="D404" s="145" t="s">
        <v>1596</v>
      </c>
      <c r="E404" s="146" t="s">
        <v>87</v>
      </c>
      <c r="F404" s="145" t="s">
        <v>1603</v>
      </c>
      <c r="G404" s="146" t="s">
        <v>20</v>
      </c>
      <c r="H404" s="146">
        <v>201603</v>
      </c>
      <c r="I404" s="147">
        <v>-0.49</v>
      </c>
      <c r="J404" s="144">
        <f t="shared" si="20"/>
        <v>8</v>
      </c>
      <c r="K404" s="148">
        <v>1.4833299999999999E-3</v>
      </c>
      <c r="L404" s="147">
        <f t="shared" si="18"/>
        <v>-0.01</v>
      </c>
      <c r="M404" s="147">
        <f t="shared" si="19"/>
        <v>-0.01</v>
      </c>
      <c r="N404" s="168" t="e">
        <f>VLOOKUP(C404,#REF!,4)</f>
        <v>#REF!</v>
      </c>
    </row>
    <row r="405" spans="1:14">
      <c r="A405" s="145" t="s">
        <v>626</v>
      </c>
      <c r="B405" s="146" t="s">
        <v>1594</v>
      </c>
      <c r="C405" s="146" t="s">
        <v>1595</v>
      </c>
      <c r="D405" s="145" t="s">
        <v>1596</v>
      </c>
      <c r="E405" s="146" t="s">
        <v>87</v>
      </c>
      <c r="F405" s="145" t="s">
        <v>1603</v>
      </c>
      <c r="G405" s="146" t="s">
        <v>20</v>
      </c>
      <c r="H405" s="146">
        <v>201604</v>
      </c>
      <c r="I405" s="147">
        <v>8.61</v>
      </c>
      <c r="J405" s="144">
        <f t="shared" si="20"/>
        <v>7</v>
      </c>
      <c r="K405" s="148">
        <v>1.4833299999999999E-3</v>
      </c>
      <c r="L405" s="147">
        <f t="shared" si="18"/>
        <v>0.09</v>
      </c>
      <c r="M405" s="147">
        <f t="shared" si="19"/>
        <v>0.15</v>
      </c>
      <c r="N405" s="168" t="e">
        <f>VLOOKUP(C405,#REF!,4)</f>
        <v>#REF!</v>
      </c>
    </row>
    <row r="406" spans="1:14">
      <c r="A406" s="145" t="s">
        <v>626</v>
      </c>
      <c r="B406" s="146" t="s">
        <v>1594</v>
      </c>
      <c r="C406" s="146" t="s">
        <v>1595</v>
      </c>
      <c r="D406" s="145" t="s">
        <v>1596</v>
      </c>
      <c r="E406" s="146" t="s">
        <v>87</v>
      </c>
      <c r="F406" s="145" t="s">
        <v>1603</v>
      </c>
      <c r="G406" s="146" t="s">
        <v>20</v>
      </c>
      <c r="H406" s="146">
        <v>201605</v>
      </c>
      <c r="I406" s="147">
        <v>4.5599999999999996</v>
      </c>
      <c r="J406" s="144">
        <f t="shared" si="20"/>
        <v>6</v>
      </c>
      <c r="K406" s="148">
        <v>1.4833299999999999E-3</v>
      </c>
      <c r="L406" s="147">
        <f t="shared" si="18"/>
        <v>0.04</v>
      </c>
      <c r="M406" s="147">
        <f t="shared" si="19"/>
        <v>0.08</v>
      </c>
      <c r="N406" s="168" t="e">
        <f>VLOOKUP(C406,#REF!,4)</f>
        <v>#REF!</v>
      </c>
    </row>
    <row r="407" spans="1:14">
      <c r="A407" s="145" t="s">
        <v>626</v>
      </c>
      <c r="B407" s="146" t="s">
        <v>1594</v>
      </c>
      <c r="C407" s="146" t="s">
        <v>1595</v>
      </c>
      <c r="D407" s="145" t="s">
        <v>1596</v>
      </c>
      <c r="E407" s="146" t="s">
        <v>87</v>
      </c>
      <c r="F407" s="145" t="s">
        <v>1603</v>
      </c>
      <c r="G407" s="146" t="s">
        <v>20</v>
      </c>
      <c r="H407" s="146">
        <v>201606</v>
      </c>
      <c r="I407" s="147">
        <v>2.81</v>
      </c>
      <c r="J407" s="144">
        <f t="shared" si="20"/>
        <v>5</v>
      </c>
      <c r="K407" s="148">
        <v>1.4833299999999999E-3</v>
      </c>
      <c r="L407" s="147">
        <f t="shared" si="18"/>
        <v>0.02</v>
      </c>
      <c r="M407" s="147">
        <f t="shared" si="19"/>
        <v>0.05</v>
      </c>
      <c r="N407" s="168" t="e">
        <f>VLOOKUP(C407,#REF!,4)</f>
        <v>#REF!</v>
      </c>
    </row>
    <row r="408" spans="1:14">
      <c r="A408" s="145" t="s">
        <v>127</v>
      </c>
      <c r="B408" s="146" t="s">
        <v>1773</v>
      </c>
      <c r="C408" s="146" t="s">
        <v>1774</v>
      </c>
      <c r="D408" s="145" t="s">
        <v>1775</v>
      </c>
      <c r="E408" s="146" t="s">
        <v>209</v>
      </c>
      <c r="F408" s="145" t="s">
        <v>1612</v>
      </c>
      <c r="G408" s="146" t="s">
        <v>20</v>
      </c>
      <c r="H408" s="146">
        <v>201604</v>
      </c>
      <c r="I408" s="147">
        <v>13826.22</v>
      </c>
      <c r="J408" s="144">
        <f t="shared" si="20"/>
        <v>7</v>
      </c>
      <c r="K408" s="148">
        <v>2.3833299999999999E-3</v>
      </c>
      <c r="L408" s="147">
        <f t="shared" si="18"/>
        <v>230.67</v>
      </c>
      <c r="M408" s="147">
        <f t="shared" si="19"/>
        <v>395.43</v>
      </c>
      <c r="N408" s="168" t="e">
        <f>VLOOKUP(C408,#REF!,4)</f>
        <v>#REF!</v>
      </c>
    </row>
    <row r="409" spans="1:14">
      <c r="A409" s="145" t="s">
        <v>127</v>
      </c>
      <c r="B409" s="146" t="s">
        <v>1773</v>
      </c>
      <c r="C409" s="146" t="s">
        <v>1774</v>
      </c>
      <c r="D409" s="145" t="s">
        <v>1775</v>
      </c>
      <c r="E409" s="146" t="s">
        <v>209</v>
      </c>
      <c r="F409" s="145" t="s">
        <v>1612</v>
      </c>
      <c r="G409" s="146" t="s">
        <v>20</v>
      </c>
      <c r="H409" s="146">
        <v>201605</v>
      </c>
      <c r="I409" s="147">
        <v>-24.53</v>
      </c>
      <c r="J409" s="144">
        <f t="shared" si="20"/>
        <v>6</v>
      </c>
      <c r="K409" s="148">
        <v>2.3833299999999999E-3</v>
      </c>
      <c r="L409" s="147">
        <f t="shared" si="18"/>
        <v>-0.35</v>
      </c>
      <c r="M409" s="147">
        <f t="shared" si="19"/>
        <v>-0.7</v>
      </c>
      <c r="N409" s="168" t="e">
        <f>VLOOKUP(C409,#REF!,4)</f>
        <v>#REF!</v>
      </c>
    </row>
    <row r="410" spans="1:14">
      <c r="A410" s="145" t="s">
        <v>127</v>
      </c>
      <c r="B410" s="146" t="s">
        <v>1773</v>
      </c>
      <c r="C410" s="146" t="s">
        <v>1774</v>
      </c>
      <c r="D410" s="145" t="s">
        <v>1775</v>
      </c>
      <c r="E410" s="146" t="s">
        <v>209</v>
      </c>
      <c r="F410" s="145" t="s">
        <v>1612</v>
      </c>
      <c r="G410" s="146" t="s">
        <v>20</v>
      </c>
      <c r="H410" s="146">
        <v>201606</v>
      </c>
      <c r="I410" s="147">
        <v>-18.079999999999998</v>
      </c>
      <c r="J410" s="144">
        <f t="shared" si="20"/>
        <v>5</v>
      </c>
      <c r="K410" s="148">
        <v>2.3833299999999999E-3</v>
      </c>
      <c r="L410" s="147">
        <f t="shared" si="18"/>
        <v>-0.22</v>
      </c>
      <c r="M410" s="147">
        <f t="shared" si="19"/>
        <v>-0.52</v>
      </c>
      <c r="N410" s="168" t="e">
        <f>VLOOKUP(C410,#REF!,4)</f>
        <v>#REF!</v>
      </c>
    </row>
    <row r="411" spans="1:14">
      <c r="A411" s="145" t="s">
        <v>626</v>
      </c>
      <c r="B411" s="146" t="s">
        <v>1739</v>
      </c>
      <c r="C411" s="146" t="s">
        <v>1740</v>
      </c>
      <c r="D411" s="145" t="s">
        <v>1741</v>
      </c>
      <c r="E411" s="146" t="s">
        <v>164</v>
      </c>
      <c r="F411" s="145" t="s">
        <v>1600</v>
      </c>
      <c r="G411" s="146" t="s">
        <v>20</v>
      </c>
      <c r="H411" s="146">
        <v>201603</v>
      </c>
      <c r="I411" s="147">
        <v>2855.04</v>
      </c>
      <c r="J411" s="144">
        <f t="shared" si="20"/>
        <v>8</v>
      </c>
      <c r="K411" s="148">
        <v>1.4833299999999999E-3</v>
      </c>
      <c r="L411" s="147">
        <f t="shared" si="18"/>
        <v>33.880000000000003</v>
      </c>
      <c r="M411" s="147">
        <f t="shared" si="19"/>
        <v>50.82</v>
      </c>
      <c r="N411" s="168" t="e">
        <f>VLOOKUP(C411,#REF!,4)</f>
        <v>#REF!</v>
      </c>
    </row>
    <row r="412" spans="1:14">
      <c r="A412" s="145" t="s">
        <v>626</v>
      </c>
      <c r="B412" s="146" t="s">
        <v>1739</v>
      </c>
      <c r="C412" s="146" t="s">
        <v>1740</v>
      </c>
      <c r="D412" s="145" t="s">
        <v>1741</v>
      </c>
      <c r="E412" s="146" t="s">
        <v>164</v>
      </c>
      <c r="F412" s="145" t="s">
        <v>1600</v>
      </c>
      <c r="G412" s="146" t="s">
        <v>20</v>
      </c>
      <c r="H412" s="146">
        <v>201604</v>
      </c>
      <c r="I412" s="147">
        <v>2396.35</v>
      </c>
      <c r="J412" s="144">
        <f t="shared" si="20"/>
        <v>7</v>
      </c>
      <c r="K412" s="148">
        <v>1.4833299999999999E-3</v>
      </c>
      <c r="L412" s="147">
        <f t="shared" si="18"/>
        <v>24.88</v>
      </c>
      <c r="M412" s="147">
        <f t="shared" si="19"/>
        <v>42.65</v>
      </c>
      <c r="N412" s="168" t="e">
        <f>VLOOKUP(C412,#REF!,4)</f>
        <v>#REF!</v>
      </c>
    </row>
    <row r="413" spans="1:14">
      <c r="A413" s="145" t="s">
        <v>626</v>
      </c>
      <c r="B413" s="146" t="s">
        <v>1739</v>
      </c>
      <c r="C413" s="146" t="s">
        <v>1740</v>
      </c>
      <c r="D413" s="145" t="s">
        <v>1741</v>
      </c>
      <c r="E413" s="146" t="s">
        <v>164</v>
      </c>
      <c r="F413" s="145" t="s">
        <v>1600</v>
      </c>
      <c r="G413" s="146" t="s">
        <v>20</v>
      </c>
      <c r="H413" s="146">
        <v>201605</v>
      </c>
      <c r="I413" s="147">
        <v>2560.29</v>
      </c>
      <c r="J413" s="144">
        <f t="shared" si="20"/>
        <v>6</v>
      </c>
      <c r="K413" s="148">
        <v>1.4833299999999999E-3</v>
      </c>
      <c r="L413" s="147">
        <f t="shared" si="18"/>
        <v>22.79</v>
      </c>
      <c r="M413" s="147">
        <f t="shared" si="19"/>
        <v>45.57</v>
      </c>
      <c r="N413" s="168" t="e">
        <f>VLOOKUP(C413,#REF!,4)</f>
        <v>#REF!</v>
      </c>
    </row>
    <row r="414" spans="1:14">
      <c r="A414" s="145" t="s">
        <v>626</v>
      </c>
      <c r="B414" s="146" t="s">
        <v>1739</v>
      </c>
      <c r="C414" s="146" t="s">
        <v>1740</v>
      </c>
      <c r="D414" s="145" t="s">
        <v>1741</v>
      </c>
      <c r="E414" s="146" t="s">
        <v>164</v>
      </c>
      <c r="F414" s="145" t="s">
        <v>1600</v>
      </c>
      <c r="G414" s="146" t="s">
        <v>20</v>
      </c>
      <c r="H414" s="146">
        <v>201606</v>
      </c>
      <c r="I414" s="147">
        <v>1057.04</v>
      </c>
      <c r="J414" s="144">
        <f t="shared" si="20"/>
        <v>5</v>
      </c>
      <c r="K414" s="148">
        <v>1.4833299999999999E-3</v>
      </c>
      <c r="L414" s="147">
        <f t="shared" si="18"/>
        <v>7.84</v>
      </c>
      <c r="M414" s="147">
        <f t="shared" si="19"/>
        <v>18.82</v>
      </c>
      <c r="N414" s="168" t="e">
        <f>VLOOKUP(C414,#REF!,4)</f>
        <v>#REF!</v>
      </c>
    </row>
    <row r="415" spans="1:14">
      <c r="A415" s="145" t="s">
        <v>626</v>
      </c>
      <c r="B415" s="146" t="s">
        <v>1632</v>
      </c>
      <c r="C415" s="146" t="s">
        <v>1633</v>
      </c>
      <c r="D415" s="145" t="s">
        <v>1634</v>
      </c>
      <c r="E415" s="146" t="s">
        <v>471</v>
      </c>
      <c r="F415" s="145" t="s">
        <v>165</v>
      </c>
      <c r="G415" s="146" t="s">
        <v>20</v>
      </c>
      <c r="H415" s="146">
        <v>201603</v>
      </c>
      <c r="I415" s="147">
        <v>-2.31</v>
      </c>
      <c r="J415" s="144">
        <f t="shared" si="20"/>
        <v>8</v>
      </c>
      <c r="K415" s="148">
        <v>1.4833299999999999E-3</v>
      </c>
      <c r="L415" s="147">
        <f t="shared" si="18"/>
        <v>-0.03</v>
      </c>
      <c r="M415" s="147">
        <f t="shared" si="19"/>
        <v>-0.04</v>
      </c>
      <c r="N415" s="168" t="e">
        <f>VLOOKUP(C415,#REF!,4)</f>
        <v>#REF!</v>
      </c>
    </row>
    <row r="416" spans="1:14">
      <c r="A416" s="145" t="s">
        <v>626</v>
      </c>
      <c r="B416" s="146" t="s">
        <v>1632</v>
      </c>
      <c r="C416" s="146" t="s">
        <v>1633</v>
      </c>
      <c r="D416" s="145" t="s">
        <v>1634</v>
      </c>
      <c r="E416" s="146" t="s">
        <v>471</v>
      </c>
      <c r="F416" s="145" t="s">
        <v>165</v>
      </c>
      <c r="G416" s="146" t="s">
        <v>20</v>
      </c>
      <c r="H416" s="146">
        <v>201604</v>
      </c>
      <c r="I416" s="147">
        <v>29.17</v>
      </c>
      <c r="J416" s="144">
        <f t="shared" si="20"/>
        <v>7</v>
      </c>
      <c r="K416" s="148">
        <v>1.4833299999999999E-3</v>
      </c>
      <c r="L416" s="147">
        <f t="shared" si="18"/>
        <v>0.3</v>
      </c>
      <c r="M416" s="147">
        <f t="shared" si="19"/>
        <v>0.52</v>
      </c>
      <c r="N416" s="168" t="e">
        <f>VLOOKUP(C416,#REF!,4)</f>
        <v>#REF!</v>
      </c>
    </row>
    <row r="417" spans="1:14">
      <c r="A417" s="145" t="s">
        <v>626</v>
      </c>
      <c r="B417" s="146" t="s">
        <v>1632</v>
      </c>
      <c r="C417" s="146" t="s">
        <v>1633</v>
      </c>
      <c r="D417" s="145" t="s">
        <v>1634</v>
      </c>
      <c r="E417" s="146" t="s">
        <v>471</v>
      </c>
      <c r="F417" s="145" t="s">
        <v>165</v>
      </c>
      <c r="G417" s="146" t="s">
        <v>20</v>
      </c>
      <c r="H417" s="146">
        <v>201605</v>
      </c>
      <c r="I417" s="147">
        <v>26.48</v>
      </c>
      <c r="J417" s="144">
        <f t="shared" si="20"/>
        <v>6</v>
      </c>
      <c r="K417" s="148">
        <v>1.4833299999999999E-3</v>
      </c>
      <c r="L417" s="147">
        <f t="shared" si="18"/>
        <v>0.24</v>
      </c>
      <c r="M417" s="147">
        <f t="shared" si="19"/>
        <v>0.47</v>
      </c>
      <c r="N417" s="168" t="e">
        <f>VLOOKUP(C417,#REF!,4)</f>
        <v>#REF!</v>
      </c>
    </row>
    <row r="418" spans="1:14">
      <c r="A418" s="145" t="s">
        <v>626</v>
      </c>
      <c r="B418" s="146" t="s">
        <v>1632</v>
      </c>
      <c r="C418" s="146" t="s">
        <v>1633</v>
      </c>
      <c r="D418" s="145" t="s">
        <v>1634</v>
      </c>
      <c r="E418" s="146" t="s">
        <v>471</v>
      </c>
      <c r="F418" s="145" t="s">
        <v>165</v>
      </c>
      <c r="G418" s="146" t="s">
        <v>20</v>
      </c>
      <c r="H418" s="146">
        <v>201606</v>
      </c>
      <c r="I418" s="147">
        <v>14.32</v>
      </c>
      <c r="J418" s="144">
        <f t="shared" si="20"/>
        <v>5</v>
      </c>
      <c r="K418" s="148">
        <v>1.4833299999999999E-3</v>
      </c>
      <c r="L418" s="147">
        <f t="shared" si="18"/>
        <v>0.11</v>
      </c>
      <c r="M418" s="147">
        <f t="shared" si="19"/>
        <v>0.25</v>
      </c>
      <c r="N418" s="168" t="e">
        <f>VLOOKUP(C418,#REF!,4)</f>
        <v>#REF!</v>
      </c>
    </row>
    <row r="419" spans="1:14">
      <c r="A419" s="145" t="s">
        <v>21</v>
      </c>
      <c r="B419" s="146" t="s">
        <v>1635</v>
      </c>
      <c r="C419" s="146" t="s">
        <v>1636</v>
      </c>
      <c r="D419" s="145" t="s">
        <v>1637</v>
      </c>
      <c r="E419" s="146" t="s">
        <v>360</v>
      </c>
      <c r="F419" s="145" t="s">
        <v>19</v>
      </c>
      <c r="G419" s="146" t="s">
        <v>20</v>
      </c>
      <c r="H419" s="146">
        <v>201603</v>
      </c>
      <c r="I419" s="147">
        <v>-1</v>
      </c>
      <c r="J419" s="144">
        <f t="shared" si="20"/>
        <v>8</v>
      </c>
      <c r="K419" s="148">
        <v>1.4833299999999999E-3</v>
      </c>
      <c r="L419" s="147">
        <f t="shared" si="18"/>
        <v>-0.01</v>
      </c>
      <c r="M419" s="147">
        <f t="shared" si="19"/>
        <v>-0.02</v>
      </c>
      <c r="N419" s="168" t="e">
        <f>VLOOKUP(C419,#REF!,4)</f>
        <v>#REF!</v>
      </c>
    </row>
    <row r="420" spans="1:14">
      <c r="A420" s="145" t="s">
        <v>21</v>
      </c>
      <c r="B420" s="146" t="s">
        <v>1635</v>
      </c>
      <c r="C420" s="146" t="s">
        <v>1636</v>
      </c>
      <c r="D420" s="145" t="s">
        <v>1637</v>
      </c>
      <c r="E420" s="146" t="s">
        <v>360</v>
      </c>
      <c r="F420" s="145" t="s">
        <v>19</v>
      </c>
      <c r="G420" s="146" t="s">
        <v>20</v>
      </c>
      <c r="H420" s="146">
        <v>201604</v>
      </c>
      <c r="I420" s="147">
        <v>13.82</v>
      </c>
      <c r="J420" s="144">
        <f t="shared" si="20"/>
        <v>7</v>
      </c>
      <c r="K420" s="148">
        <v>1.4833299999999999E-3</v>
      </c>
      <c r="L420" s="147">
        <f t="shared" si="18"/>
        <v>0.14000000000000001</v>
      </c>
      <c r="M420" s="147">
        <f t="shared" si="19"/>
        <v>0.25</v>
      </c>
      <c r="N420" s="168" t="e">
        <f>VLOOKUP(C420,#REF!,4)</f>
        <v>#REF!</v>
      </c>
    </row>
    <row r="421" spans="1:14">
      <c r="A421" s="145" t="s">
        <v>21</v>
      </c>
      <c r="B421" s="146" t="s">
        <v>1635</v>
      </c>
      <c r="C421" s="146" t="s">
        <v>1636</v>
      </c>
      <c r="D421" s="145" t="s">
        <v>1637</v>
      </c>
      <c r="E421" s="146" t="s">
        <v>360</v>
      </c>
      <c r="F421" s="145" t="s">
        <v>19</v>
      </c>
      <c r="G421" s="146" t="s">
        <v>20</v>
      </c>
      <c r="H421" s="146">
        <v>201605</v>
      </c>
      <c r="I421" s="147">
        <v>9.98</v>
      </c>
      <c r="J421" s="144">
        <f t="shared" si="20"/>
        <v>6</v>
      </c>
      <c r="K421" s="148">
        <v>1.4833299999999999E-3</v>
      </c>
      <c r="L421" s="147">
        <f t="shared" si="18"/>
        <v>0.09</v>
      </c>
      <c r="M421" s="147">
        <f t="shared" si="19"/>
        <v>0.18</v>
      </c>
      <c r="N421" s="168" t="e">
        <f>VLOOKUP(C421,#REF!,4)</f>
        <v>#REF!</v>
      </c>
    </row>
    <row r="422" spans="1:14">
      <c r="A422" s="145" t="s">
        <v>21</v>
      </c>
      <c r="B422" s="146" t="s">
        <v>1635</v>
      </c>
      <c r="C422" s="146" t="s">
        <v>1636</v>
      </c>
      <c r="D422" s="145" t="s">
        <v>1637</v>
      </c>
      <c r="E422" s="146" t="s">
        <v>360</v>
      </c>
      <c r="F422" s="145" t="s">
        <v>19</v>
      </c>
      <c r="G422" s="146" t="s">
        <v>20</v>
      </c>
      <c r="H422" s="146">
        <v>201606</v>
      </c>
      <c r="I422" s="147">
        <v>6.07</v>
      </c>
      <c r="J422" s="144">
        <f t="shared" si="20"/>
        <v>5</v>
      </c>
      <c r="K422" s="148">
        <v>1.4833299999999999E-3</v>
      </c>
      <c r="L422" s="147">
        <f t="shared" si="18"/>
        <v>0.05</v>
      </c>
      <c r="M422" s="147">
        <f t="shared" si="19"/>
        <v>0.11</v>
      </c>
      <c r="N422" s="168" t="e">
        <f>VLOOKUP(C422,#REF!,4)</f>
        <v>#REF!</v>
      </c>
    </row>
    <row r="423" spans="1:14">
      <c r="A423" s="145" t="s">
        <v>626</v>
      </c>
      <c r="B423" s="146" t="s">
        <v>1797</v>
      </c>
      <c r="C423" s="146" t="s">
        <v>1798</v>
      </c>
      <c r="D423" s="145" t="s">
        <v>1799</v>
      </c>
      <c r="E423" s="146" t="s">
        <v>164</v>
      </c>
      <c r="F423" s="145" t="s">
        <v>1600</v>
      </c>
      <c r="G423" s="146" t="s">
        <v>20</v>
      </c>
      <c r="H423" s="146">
        <v>201603</v>
      </c>
      <c r="I423" s="147">
        <v>-1778.96</v>
      </c>
      <c r="J423" s="144">
        <f t="shared" si="20"/>
        <v>8</v>
      </c>
      <c r="K423" s="148">
        <v>1.4833299999999999E-3</v>
      </c>
      <c r="L423" s="147">
        <f t="shared" si="18"/>
        <v>-21.11</v>
      </c>
      <c r="M423" s="147">
        <f t="shared" si="19"/>
        <v>-31.67</v>
      </c>
      <c r="N423" s="168" t="e">
        <f>VLOOKUP(C423,#REF!,4)</f>
        <v>#REF!</v>
      </c>
    </row>
    <row r="424" spans="1:14">
      <c r="A424" s="145" t="s">
        <v>626</v>
      </c>
      <c r="B424" s="146" t="s">
        <v>1797</v>
      </c>
      <c r="C424" s="146" t="s">
        <v>1798</v>
      </c>
      <c r="D424" s="145" t="s">
        <v>1799</v>
      </c>
      <c r="E424" s="146" t="s">
        <v>164</v>
      </c>
      <c r="F424" s="145" t="s">
        <v>1600</v>
      </c>
      <c r="G424" s="146" t="s">
        <v>20</v>
      </c>
      <c r="H424" s="146">
        <v>201604</v>
      </c>
      <c r="I424" s="147">
        <v>6203.25</v>
      </c>
      <c r="J424" s="144">
        <f t="shared" si="20"/>
        <v>7</v>
      </c>
      <c r="K424" s="148">
        <v>1.4833299999999999E-3</v>
      </c>
      <c r="L424" s="147">
        <f t="shared" si="18"/>
        <v>64.41</v>
      </c>
      <c r="M424" s="147">
        <f t="shared" si="19"/>
        <v>110.42</v>
      </c>
      <c r="N424" s="168" t="e">
        <f>VLOOKUP(C424,#REF!,4)</f>
        <v>#REF!</v>
      </c>
    </row>
    <row r="425" spans="1:14">
      <c r="A425" s="145" t="s">
        <v>626</v>
      </c>
      <c r="B425" s="146" t="s">
        <v>1797</v>
      </c>
      <c r="C425" s="146" t="s">
        <v>1798</v>
      </c>
      <c r="D425" s="145" t="s">
        <v>1799</v>
      </c>
      <c r="E425" s="146" t="s">
        <v>164</v>
      </c>
      <c r="F425" s="145" t="s">
        <v>1600</v>
      </c>
      <c r="G425" s="146" t="s">
        <v>20</v>
      </c>
      <c r="H425" s="146">
        <v>201605</v>
      </c>
      <c r="I425" s="147">
        <v>13983.13</v>
      </c>
      <c r="J425" s="144">
        <f t="shared" si="20"/>
        <v>6</v>
      </c>
      <c r="K425" s="148">
        <v>1.4833299999999999E-3</v>
      </c>
      <c r="L425" s="147">
        <f t="shared" si="18"/>
        <v>124.45</v>
      </c>
      <c r="M425" s="147">
        <f t="shared" si="19"/>
        <v>248.9</v>
      </c>
      <c r="N425" s="168" t="e">
        <f>VLOOKUP(C425,#REF!,4)</f>
        <v>#REF!</v>
      </c>
    </row>
    <row r="426" spans="1:14">
      <c r="A426" s="145" t="s">
        <v>626</v>
      </c>
      <c r="B426" s="146" t="s">
        <v>1797</v>
      </c>
      <c r="C426" s="146" t="s">
        <v>1798</v>
      </c>
      <c r="D426" s="145" t="s">
        <v>1799</v>
      </c>
      <c r="E426" s="146" t="s">
        <v>164</v>
      </c>
      <c r="F426" s="145" t="s">
        <v>1600</v>
      </c>
      <c r="G426" s="146" t="s">
        <v>20</v>
      </c>
      <c r="H426" s="146">
        <v>201606</v>
      </c>
      <c r="I426" s="147">
        <v>2968.47</v>
      </c>
      <c r="J426" s="144">
        <f t="shared" si="20"/>
        <v>5</v>
      </c>
      <c r="K426" s="148">
        <v>1.4833299999999999E-3</v>
      </c>
      <c r="L426" s="147">
        <f t="shared" si="18"/>
        <v>22.02</v>
      </c>
      <c r="M426" s="147">
        <f t="shared" si="19"/>
        <v>52.84</v>
      </c>
      <c r="N426" s="168" t="e">
        <f>VLOOKUP(C426,#REF!,4)</f>
        <v>#REF!</v>
      </c>
    </row>
    <row r="427" spans="1:14">
      <c r="A427" s="145" t="s">
        <v>21</v>
      </c>
      <c r="B427" s="146" t="s">
        <v>1470</v>
      </c>
      <c r="C427" s="146" t="s">
        <v>1471</v>
      </c>
      <c r="D427" s="145" t="s">
        <v>1472</v>
      </c>
      <c r="E427" s="146" t="s">
        <v>497</v>
      </c>
      <c r="F427" s="145" t="s">
        <v>26</v>
      </c>
      <c r="G427" s="146" t="s">
        <v>20</v>
      </c>
      <c r="H427" s="146">
        <v>201605</v>
      </c>
      <c r="I427" s="147">
        <v>-7.18</v>
      </c>
      <c r="J427" s="144">
        <f t="shared" si="20"/>
        <v>6</v>
      </c>
      <c r="K427" s="148">
        <v>1.4833299999999999E-3</v>
      </c>
      <c r="L427" s="147">
        <f t="shared" si="18"/>
        <v>-0.06</v>
      </c>
      <c r="M427" s="147">
        <f t="shared" si="19"/>
        <v>-0.13</v>
      </c>
      <c r="N427" s="168" t="e">
        <f>VLOOKUP(C427,#REF!,4)</f>
        <v>#REF!</v>
      </c>
    </row>
    <row r="428" spans="1:14">
      <c r="A428" s="145" t="s">
        <v>626</v>
      </c>
      <c r="B428" s="146" t="s">
        <v>1890</v>
      </c>
      <c r="C428" s="146" t="s">
        <v>1891</v>
      </c>
      <c r="D428" s="145" t="s">
        <v>1495</v>
      </c>
      <c r="E428" s="146" t="s">
        <v>75</v>
      </c>
      <c r="F428" s="145" t="s">
        <v>1602</v>
      </c>
      <c r="G428" s="146" t="s">
        <v>20</v>
      </c>
      <c r="H428" s="146">
        <v>201603</v>
      </c>
      <c r="I428" s="147">
        <v>-238.48</v>
      </c>
      <c r="J428" s="144">
        <f t="shared" si="20"/>
        <v>8</v>
      </c>
      <c r="K428" s="148">
        <v>1.4833299999999999E-3</v>
      </c>
      <c r="L428" s="147">
        <f t="shared" si="18"/>
        <v>-2.83</v>
      </c>
      <c r="M428" s="147">
        <f t="shared" si="19"/>
        <v>-4.24</v>
      </c>
      <c r="N428" s="168" t="e">
        <f>VLOOKUP(C428,#REF!,4)</f>
        <v>#REF!</v>
      </c>
    </row>
    <row r="429" spans="1:14">
      <c r="A429" s="145" t="s">
        <v>626</v>
      </c>
      <c r="B429" s="146" t="s">
        <v>1890</v>
      </c>
      <c r="C429" s="146" t="s">
        <v>1891</v>
      </c>
      <c r="D429" s="145" t="s">
        <v>1495</v>
      </c>
      <c r="E429" s="146" t="s">
        <v>75</v>
      </c>
      <c r="F429" s="145" t="s">
        <v>1602</v>
      </c>
      <c r="G429" s="146" t="s">
        <v>20</v>
      </c>
      <c r="H429" s="146">
        <v>201604</v>
      </c>
      <c r="I429" s="147">
        <v>849.85</v>
      </c>
      <c r="J429" s="144">
        <f t="shared" si="20"/>
        <v>7</v>
      </c>
      <c r="K429" s="148">
        <v>1.4833299999999999E-3</v>
      </c>
      <c r="L429" s="147">
        <f t="shared" si="18"/>
        <v>8.82</v>
      </c>
      <c r="M429" s="147">
        <f t="shared" si="19"/>
        <v>15.13</v>
      </c>
      <c r="N429" s="168" t="e">
        <f>VLOOKUP(C429,#REF!,4)</f>
        <v>#REF!</v>
      </c>
    </row>
    <row r="430" spans="1:14">
      <c r="A430" s="145" t="s">
        <v>626</v>
      </c>
      <c r="B430" s="146" t="s">
        <v>1890</v>
      </c>
      <c r="C430" s="146" t="s">
        <v>1891</v>
      </c>
      <c r="D430" s="145" t="s">
        <v>1495</v>
      </c>
      <c r="E430" s="146" t="s">
        <v>75</v>
      </c>
      <c r="F430" s="145" t="s">
        <v>1602</v>
      </c>
      <c r="G430" s="146" t="s">
        <v>20</v>
      </c>
      <c r="H430" s="146">
        <v>201605</v>
      </c>
      <c r="I430" s="147">
        <v>785.01</v>
      </c>
      <c r="J430" s="144">
        <f t="shared" si="20"/>
        <v>6</v>
      </c>
      <c r="K430" s="148">
        <v>1.4833299999999999E-3</v>
      </c>
      <c r="L430" s="147">
        <f t="shared" si="18"/>
        <v>6.99</v>
      </c>
      <c r="M430" s="147">
        <f t="shared" si="19"/>
        <v>13.97</v>
      </c>
      <c r="N430" s="168" t="e">
        <f>VLOOKUP(C430,#REF!,4)</f>
        <v>#REF!</v>
      </c>
    </row>
    <row r="431" spans="1:14">
      <c r="A431" s="145" t="s">
        <v>626</v>
      </c>
      <c r="B431" s="146" t="s">
        <v>1890</v>
      </c>
      <c r="C431" s="146" t="s">
        <v>1891</v>
      </c>
      <c r="D431" s="145" t="s">
        <v>1495</v>
      </c>
      <c r="E431" s="146" t="s">
        <v>75</v>
      </c>
      <c r="F431" s="145" t="s">
        <v>1602</v>
      </c>
      <c r="G431" s="146" t="s">
        <v>20</v>
      </c>
      <c r="H431" s="146">
        <v>201606</v>
      </c>
      <c r="I431" s="147">
        <v>398.43</v>
      </c>
      <c r="J431" s="144">
        <f t="shared" si="20"/>
        <v>5</v>
      </c>
      <c r="K431" s="148">
        <v>1.4833299999999999E-3</v>
      </c>
      <c r="L431" s="147">
        <f t="shared" si="18"/>
        <v>2.96</v>
      </c>
      <c r="M431" s="147">
        <f t="shared" si="19"/>
        <v>7.09</v>
      </c>
      <c r="N431" s="168" t="e">
        <f>VLOOKUP(C431,#REF!,4)</f>
        <v>#REF!</v>
      </c>
    </row>
    <row r="432" spans="1:14">
      <c r="A432" s="145" t="s">
        <v>21</v>
      </c>
      <c r="B432" s="146" t="s">
        <v>1956</v>
      </c>
      <c r="C432" s="146" t="s">
        <v>1957</v>
      </c>
      <c r="D432" s="145" t="s">
        <v>1958</v>
      </c>
      <c r="E432" s="146" t="s">
        <v>75</v>
      </c>
      <c r="F432" s="145" t="s">
        <v>1602</v>
      </c>
      <c r="G432" s="146" t="s">
        <v>20</v>
      </c>
      <c r="H432" s="146">
        <v>201603</v>
      </c>
      <c r="I432" s="147">
        <v>19374.82</v>
      </c>
      <c r="J432" s="144">
        <f t="shared" si="20"/>
        <v>8</v>
      </c>
      <c r="K432" s="148">
        <v>1.4833299999999999E-3</v>
      </c>
      <c r="L432" s="147">
        <f t="shared" si="18"/>
        <v>229.91</v>
      </c>
      <c r="M432" s="147">
        <f t="shared" si="19"/>
        <v>344.87</v>
      </c>
      <c r="N432" s="168" t="e">
        <f>VLOOKUP(C432,#REF!,4)</f>
        <v>#REF!</v>
      </c>
    </row>
    <row r="433" spans="1:14">
      <c r="A433" s="145" t="s">
        <v>21</v>
      </c>
      <c r="B433" s="146" t="s">
        <v>1956</v>
      </c>
      <c r="C433" s="146" t="s">
        <v>1957</v>
      </c>
      <c r="D433" s="145" t="s">
        <v>1958</v>
      </c>
      <c r="E433" s="146" t="s">
        <v>75</v>
      </c>
      <c r="F433" s="145" t="s">
        <v>1602</v>
      </c>
      <c r="G433" s="146" t="s">
        <v>20</v>
      </c>
      <c r="H433" s="146">
        <v>201604</v>
      </c>
      <c r="I433" s="147">
        <v>32043.040000000001</v>
      </c>
      <c r="J433" s="144">
        <f t="shared" si="20"/>
        <v>7</v>
      </c>
      <c r="K433" s="148">
        <v>1.4833299999999999E-3</v>
      </c>
      <c r="L433" s="147">
        <f t="shared" si="18"/>
        <v>332.71</v>
      </c>
      <c r="M433" s="147">
        <f t="shared" si="19"/>
        <v>570.36</v>
      </c>
      <c r="N433" s="168" t="e">
        <f>VLOOKUP(C433,#REF!,4)</f>
        <v>#REF!</v>
      </c>
    </row>
    <row r="434" spans="1:14">
      <c r="A434" s="145" t="s">
        <v>21</v>
      </c>
      <c r="B434" s="146" t="s">
        <v>1956</v>
      </c>
      <c r="C434" s="146" t="s">
        <v>1957</v>
      </c>
      <c r="D434" s="145" t="s">
        <v>1958</v>
      </c>
      <c r="E434" s="146" t="s">
        <v>75</v>
      </c>
      <c r="F434" s="145" t="s">
        <v>1602</v>
      </c>
      <c r="G434" s="146" t="s">
        <v>20</v>
      </c>
      <c r="H434" s="146">
        <v>201605</v>
      </c>
      <c r="I434" s="147">
        <v>50672.2</v>
      </c>
      <c r="J434" s="144">
        <f t="shared" si="20"/>
        <v>6</v>
      </c>
      <c r="K434" s="148">
        <v>1.4833299999999999E-3</v>
      </c>
      <c r="L434" s="147">
        <f t="shared" si="18"/>
        <v>450.98</v>
      </c>
      <c r="M434" s="147">
        <f t="shared" si="19"/>
        <v>901.96</v>
      </c>
      <c r="N434" s="168" t="e">
        <f>VLOOKUP(C434,#REF!,4)</f>
        <v>#REF!</v>
      </c>
    </row>
    <row r="435" spans="1:14">
      <c r="A435" s="145" t="s">
        <v>21</v>
      </c>
      <c r="B435" s="146" t="s">
        <v>1956</v>
      </c>
      <c r="C435" s="146" t="s">
        <v>1957</v>
      </c>
      <c r="D435" s="145" t="s">
        <v>1958</v>
      </c>
      <c r="E435" s="146" t="s">
        <v>75</v>
      </c>
      <c r="F435" s="145" t="s">
        <v>1602</v>
      </c>
      <c r="G435" s="146" t="s">
        <v>20</v>
      </c>
      <c r="H435" s="146">
        <v>201606</v>
      </c>
      <c r="I435" s="147">
        <v>13418.58</v>
      </c>
      <c r="J435" s="144">
        <f t="shared" si="20"/>
        <v>5</v>
      </c>
      <c r="K435" s="148">
        <v>1.4833299999999999E-3</v>
      </c>
      <c r="L435" s="147">
        <f t="shared" si="18"/>
        <v>99.52</v>
      </c>
      <c r="M435" s="147">
        <f t="shared" si="19"/>
        <v>238.85</v>
      </c>
      <c r="N435" s="168" t="e">
        <f>VLOOKUP(C435,#REF!,4)</f>
        <v>#REF!</v>
      </c>
    </row>
    <row r="436" spans="1:14">
      <c r="A436" s="145" t="s">
        <v>626</v>
      </c>
      <c r="B436" s="146" t="s">
        <v>1892</v>
      </c>
      <c r="C436" s="146" t="s">
        <v>1893</v>
      </c>
      <c r="D436" s="145" t="s">
        <v>1894</v>
      </c>
      <c r="E436" s="146" t="s">
        <v>75</v>
      </c>
      <c r="F436" s="145" t="s">
        <v>1602</v>
      </c>
      <c r="G436" s="146" t="s">
        <v>20</v>
      </c>
      <c r="H436" s="146">
        <v>201603</v>
      </c>
      <c r="I436" s="147">
        <v>1000.61</v>
      </c>
      <c r="J436" s="144">
        <f t="shared" si="20"/>
        <v>8</v>
      </c>
      <c r="K436" s="148">
        <v>1.4833299999999999E-3</v>
      </c>
      <c r="L436" s="147">
        <f t="shared" si="18"/>
        <v>11.87</v>
      </c>
      <c r="M436" s="147">
        <f t="shared" si="19"/>
        <v>17.809999999999999</v>
      </c>
      <c r="N436" s="168" t="e">
        <f>VLOOKUP(C436,#REF!,4)</f>
        <v>#REF!</v>
      </c>
    </row>
    <row r="437" spans="1:14">
      <c r="A437" s="145" t="s">
        <v>626</v>
      </c>
      <c r="B437" s="146" t="s">
        <v>1892</v>
      </c>
      <c r="C437" s="146" t="s">
        <v>1893</v>
      </c>
      <c r="D437" s="145" t="s">
        <v>1894</v>
      </c>
      <c r="E437" s="146" t="s">
        <v>75</v>
      </c>
      <c r="F437" s="145" t="s">
        <v>1602</v>
      </c>
      <c r="G437" s="146" t="s">
        <v>20</v>
      </c>
      <c r="H437" s="146">
        <v>201604</v>
      </c>
      <c r="I437" s="147">
        <v>1865.73</v>
      </c>
      <c r="J437" s="144">
        <f t="shared" si="20"/>
        <v>7</v>
      </c>
      <c r="K437" s="148">
        <v>1.4833299999999999E-3</v>
      </c>
      <c r="L437" s="147">
        <f t="shared" si="18"/>
        <v>19.37</v>
      </c>
      <c r="M437" s="147">
        <f t="shared" si="19"/>
        <v>33.21</v>
      </c>
      <c r="N437" s="168" t="e">
        <f>VLOOKUP(C437,#REF!,4)</f>
        <v>#REF!</v>
      </c>
    </row>
    <row r="438" spans="1:14">
      <c r="A438" s="145" t="s">
        <v>626</v>
      </c>
      <c r="B438" s="146" t="s">
        <v>1892</v>
      </c>
      <c r="C438" s="146" t="s">
        <v>1893</v>
      </c>
      <c r="D438" s="145" t="s">
        <v>1894</v>
      </c>
      <c r="E438" s="146" t="s">
        <v>75</v>
      </c>
      <c r="F438" s="145" t="s">
        <v>1602</v>
      </c>
      <c r="G438" s="146" t="s">
        <v>20</v>
      </c>
      <c r="H438" s="146">
        <v>201605</v>
      </c>
      <c r="I438" s="147">
        <v>1781.39</v>
      </c>
      <c r="J438" s="144">
        <f t="shared" si="20"/>
        <v>6</v>
      </c>
      <c r="K438" s="148">
        <v>1.4833299999999999E-3</v>
      </c>
      <c r="L438" s="147">
        <f t="shared" si="18"/>
        <v>15.85</v>
      </c>
      <c r="M438" s="147">
        <f t="shared" si="19"/>
        <v>31.71</v>
      </c>
      <c r="N438" s="168" t="e">
        <f>VLOOKUP(C438,#REF!,4)</f>
        <v>#REF!</v>
      </c>
    </row>
    <row r="439" spans="1:14">
      <c r="A439" s="145" t="s">
        <v>626</v>
      </c>
      <c r="B439" s="146" t="s">
        <v>1892</v>
      </c>
      <c r="C439" s="146" t="s">
        <v>1893</v>
      </c>
      <c r="D439" s="145" t="s">
        <v>1894</v>
      </c>
      <c r="E439" s="146" t="s">
        <v>75</v>
      </c>
      <c r="F439" s="145" t="s">
        <v>1602</v>
      </c>
      <c r="G439" s="146" t="s">
        <v>20</v>
      </c>
      <c r="H439" s="146">
        <v>201606</v>
      </c>
      <c r="I439" s="147">
        <v>844.76</v>
      </c>
      <c r="J439" s="144">
        <f t="shared" si="20"/>
        <v>5</v>
      </c>
      <c r="K439" s="148">
        <v>1.4833299999999999E-3</v>
      </c>
      <c r="L439" s="147">
        <f t="shared" si="18"/>
        <v>6.27</v>
      </c>
      <c r="M439" s="147">
        <f t="shared" si="19"/>
        <v>15.04</v>
      </c>
      <c r="N439" s="168" t="e">
        <f>VLOOKUP(C439,#REF!,4)</f>
        <v>#REF!</v>
      </c>
    </row>
    <row r="440" spans="1:14">
      <c r="A440" s="145" t="s">
        <v>626</v>
      </c>
      <c r="B440" s="146" t="s">
        <v>1895</v>
      </c>
      <c r="C440" s="146" t="s">
        <v>1896</v>
      </c>
      <c r="D440" s="145" t="s">
        <v>1897</v>
      </c>
      <c r="E440" s="146" t="s">
        <v>79</v>
      </c>
      <c r="F440" s="145" t="s">
        <v>26</v>
      </c>
      <c r="G440" s="146" t="s">
        <v>20</v>
      </c>
      <c r="H440" s="146">
        <v>201604</v>
      </c>
      <c r="I440" s="147">
        <v>236.39</v>
      </c>
      <c r="J440" s="144">
        <f t="shared" si="20"/>
        <v>7</v>
      </c>
      <c r="K440" s="148">
        <v>1.4833299999999999E-3</v>
      </c>
      <c r="L440" s="147">
        <f t="shared" si="18"/>
        <v>2.4500000000000002</v>
      </c>
      <c r="M440" s="147">
        <f t="shared" si="19"/>
        <v>4.21</v>
      </c>
      <c r="N440" s="168" t="e">
        <f>VLOOKUP(C440,#REF!,4)</f>
        <v>#REF!</v>
      </c>
    </row>
    <row r="441" spans="1:14">
      <c r="A441" s="145" t="s">
        <v>626</v>
      </c>
      <c r="B441" s="146" t="s">
        <v>1959</v>
      </c>
      <c r="C441" s="146" t="s">
        <v>1960</v>
      </c>
      <c r="D441" s="145" t="s">
        <v>1495</v>
      </c>
      <c r="E441" s="146" t="s">
        <v>75</v>
      </c>
      <c r="F441" s="145" t="s">
        <v>1602</v>
      </c>
      <c r="G441" s="146" t="s">
        <v>20</v>
      </c>
      <c r="H441" s="146">
        <v>201603</v>
      </c>
      <c r="I441" s="147">
        <v>-2.4700000000000002</v>
      </c>
      <c r="J441" s="144">
        <f t="shared" si="20"/>
        <v>8</v>
      </c>
      <c r="K441" s="148">
        <v>1.4833299999999999E-3</v>
      </c>
      <c r="L441" s="147">
        <f t="shared" si="18"/>
        <v>-0.03</v>
      </c>
      <c r="M441" s="147">
        <f t="shared" si="19"/>
        <v>-0.04</v>
      </c>
      <c r="N441" s="168" t="e">
        <f>VLOOKUP(C441,#REF!,4)</f>
        <v>#REF!</v>
      </c>
    </row>
    <row r="442" spans="1:14">
      <c r="A442" s="145" t="s">
        <v>626</v>
      </c>
      <c r="B442" s="146" t="s">
        <v>1959</v>
      </c>
      <c r="C442" s="146" t="s">
        <v>1960</v>
      </c>
      <c r="D442" s="145" t="s">
        <v>1495</v>
      </c>
      <c r="E442" s="146" t="s">
        <v>75</v>
      </c>
      <c r="F442" s="145" t="s">
        <v>1602</v>
      </c>
      <c r="G442" s="146" t="s">
        <v>20</v>
      </c>
      <c r="H442" s="146">
        <v>201604</v>
      </c>
      <c r="I442" s="147">
        <v>34.590000000000003</v>
      </c>
      <c r="J442" s="144">
        <f t="shared" si="20"/>
        <v>7</v>
      </c>
      <c r="K442" s="148">
        <v>1.4833299999999999E-3</v>
      </c>
      <c r="L442" s="147">
        <f t="shared" si="18"/>
        <v>0.36</v>
      </c>
      <c r="M442" s="147">
        <f t="shared" si="19"/>
        <v>0.62</v>
      </c>
      <c r="N442" s="168" t="e">
        <f>VLOOKUP(C442,#REF!,4)</f>
        <v>#REF!</v>
      </c>
    </row>
    <row r="443" spans="1:14">
      <c r="A443" s="145" t="s">
        <v>626</v>
      </c>
      <c r="B443" s="146" t="s">
        <v>1959</v>
      </c>
      <c r="C443" s="146" t="s">
        <v>1960</v>
      </c>
      <c r="D443" s="145" t="s">
        <v>1495</v>
      </c>
      <c r="E443" s="146" t="s">
        <v>75</v>
      </c>
      <c r="F443" s="145" t="s">
        <v>1602</v>
      </c>
      <c r="G443" s="146" t="s">
        <v>20</v>
      </c>
      <c r="H443" s="146">
        <v>201605</v>
      </c>
      <c r="I443" s="147">
        <v>-123.99</v>
      </c>
      <c r="J443" s="144">
        <f t="shared" si="20"/>
        <v>6</v>
      </c>
      <c r="K443" s="148">
        <v>1.4833299999999999E-3</v>
      </c>
      <c r="L443" s="147">
        <f t="shared" si="18"/>
        <v>-1.1000000000000001</v>
      </c>
      <c r="M443" s="147">
        <f t="shared" si="19"/>
        <v>-2.21</v>
      </c>
      <c r="N443" s="168" t="e">
        <f>VLOOKUP(C443,#REF!,4)</f>
        <v>#REF!</v>
      </c>
    </row>
    <row r="444" spans="1:14">
      <c r="A444" s="145" t="s">
        <v>626</v>
      </c>
      <c r="B444" s="146" t="s">
        <v>1959</v>
      </c>
      <c r="C444" s="146" t="s">
        <v>1960</v>
      </c>
      <c r="D444" s="145" t="s">
        <v>1495</v>
      </c>
      <c r="E444" s="146" t="s">
        <v>75</v>
      </c>
      <c r="F444" s="145" t="s">
        <v>1602</v>
      </c>
      <c r="G444" s="146" t="s">
        <v>20</v>
      </c>
      <c r="H444" s="146">
        <v>201606</v>
      </c>
      <c r="I444" s="147">
        <v>14.04</v>
      </c>
      <c r="J444" s="144">
        <f t="shared" si="20"/>
        <v>5</v>
      </c>
      <c r="K444" s="148">
        <v>1.4833299999999999E-3</v>
      </c>
      <c r="L444" s="147">
        <f t="shared" si="18"/>
        <v>0.1</v>
      </c>
      <c r="M444" s="147">
        <f t="shared" si="19"/>
        <v>0.25</v>
      </c>
      <c r="N444" s="168" t="e">
        <f>VLOOKUP(C444,#REF!,4)</f>
        <v>#REF!</v>
      </c>
    </row>
    <row r="445" spans="1:14">
      <c r="A445" s="145" t="s">
        <v>626</v>
      </c>
      <c r="B445" s="146" t="s">
        <v>1898</v>
      </c>
      <c r="C445" s="146" t="s">
        <v>1899</v>
      </c>
      <c r="D445" s="145" t="s">
        <v>1900</v>
      </c>
      <c r="E445" s="146" t="s">
        <v>75</v>
      </c>
      <c r="F445" s="145" t="s">
        <v>1602</v>
      </c>
      <c r="G445" s="146" t="s">
        <v>20</v>
      </c>
      <c r="H445" s="146">
        <v>201603</v>
      </c>
      <c r="I445" s="147">
        <v>-333.69</v>
      </c>
      <c r="J445" s="144">
        <f t="shared" si="20"/>
        <v>8</v>
      </c>
      <c r="K445" s="148">
        <v>1.4833299999999999E-3</v>
      </c>
      <c r="L445" s="147">
        <f t="shared" si="18"/>
        <v>-3.96</v>
      </c>
      <c r="M445" s="147">
        <f t="shared" si="19"/>
        <v>-5.94</v>
      </c>
      <c r="N445" s="168" t="e">
        <f>VLOOKUP(C445,#REF!,4)</f>
        <v>#REF!</v>
      </c>
    </row>
    <row r="446" spans="1:14">
      <c r="A446" s="145" t="s">
        <v>626</v>
      </c>
      <c r="B446" s="146" t="s">
        <v>1898</v>
      </c>
      <c r="C446" s="146" t="s">
        <v>1899</v>
      </c>
      <c r="D446" s="145" t="s">
        <v>1900</v>
      </c>
      <c r="E446" s="146" t="s">
        <v>75</v>
      </c>
      <c r="F446" s="145" t="s">
        <v>1602</v>
      </c>
      <c r="G446" s="146" t="s">
        <v>20</v>
      </c>
      <c r="H446" s="146">
        <v>201604</v>
      </c>
      <c r="I446" s="147">
        <v>823.68</v>
      </c>
      <c r="J446" s="144">
        <f t="shared" si="20"/>
        <v>7</v>
      </c>
      <c r="K446" s="148">
        <v>1.4833299999999999E-3</v>
      </c>
      <c r="L446" s="147">
        <f t="shared" si="18"/>
        <v>8.5500000000000007</v>
      </c>
      <c r="M446" s="147">
        <f t="shared" si="19"/>
        <v>14.66</v>
      </c>
      <c r="N446" s="168" t="e">
        <f>VLOOKUP(C446,#REF!,4)</f>
        <v>#REF!</v>
      </c>
    </row>
    <row r="447" spans="1:14">
      <c r="A447" s="145" t="s">
        <v>626</v>
      </c>
      <c r="B447" s="146" t="s">
        <v>1898</v>
      </c>
      <c r="C447" s="146" t="s">
        <v>1899</v>
      </c>
      <c r="D447" s="145" t="s">
        <v>1900</v>
      </c>
      <c r="E447" s="146" t="s">
        <v>75</v>
      </c>
      <c r="F447" s="145" t="s">
        <v>1602</v>
      </c>
      <c r="G447" s="146" t="s">
        <v>20</v>
      </c>
      <c r="H447" s="146">
        <v>201605</v>
      </c>
      <c r="I447" s="147">
        <v>837.04</v>
      </c>
      <c r="J447" s="144">
        <f t="shared" si="20"/>
        <v>6</v>
      </c>
      <c r="K447" s="148">
        <v>1.4833299999999999E-3</v>
      </c>
      <c r="L447" s="147">
        <f t="shared" si="18"/>
        <v>7.45</v>
      </c>
      <c r="M447" s="147">
        <f t="shared" si="19"/>
        <v>14.9</v>
      </c>
      <c r="N447" s="168" t="e">
        <f>VLOOKUP(C447,#REF!,4)</f>
        <v>#REF!</v>
      </c>
    </row>
    <row r="448" spans="1:14">
      <c r="A448" s="145" t="s">
        <v>626</v>
      </c>
      <c r="B448" s="146" t="s">
        <v>1898</v>
      </c>
      <c r="C448" s="146" t="s">
        <v>1899</v>
      </c>
      <c r="D448" s="145" t="s">
        <v>1900</v>
      </c>
      <c r="E448" s="146" t="s">
        <v>75</v>
      </c>
      <c r="F448" s="145" t="s">
        <v>1602</v>
      </c>
      <c r="G448" s="146" t="s">
        <v>20</v>
      </c>
      <c r="H448" s="146">
        <v>201606</v>
      </c>
      <c r="I448" s="147">
        <v>473.32</v>
      </c>
      <c r="J448" s="144">
        <f t="shared" si="20"/>
        <v>5</v>
      </c>
      <c r="K448" s="148">
        <v>1.4833299999999999E-3</v>
      </c>
      <c r="L448" s="147">
        <f t="shared" si="18"/>
        <v>3.51</v>
      </c>
      <c r="M448" s="147">
        <f t="shared" si="19"/>
        <v>8.43</v>
      </c>
      <c r="N448" s="168" t="e">
        <f>VLOOKUP(C448,#REF!,4)</f>
        <v>#REF!</v>
      </c>
    </row>
    <row r="449" spans="1:14">
      <c r="A449" s="145" t="s">
        <v>626</v>
      </c>
      <c r="B449" s="146" t="s">
        <v>1901</v>
      </c>
      <c r="C449" s="146" t="s">
        <v>1902</v>
      </c>
      <c r="D449" s="145" t="s">
        <v>1903</v>
      </c>
      <c r="E449" s="146" t="s">
        <v>75</v>
      </c>
      <c r="F449" s="145" t="s">
        <v>1602</v>
      </c>
      <c r="G449" s="146" t="s">
        <v>20</v>
      </c>
      <c r="H449" s="146">
        <v>201603</v>
      </c>
      <c r="I449" s="147">
        <v>1311.11</v>
      </c>
      <c r="J449" s="144">
        <f t="shared" si="20"/>
        <v>8</v>
      </c>
      <c r="K449" s="148">
        <v>1.4833299999999999E-3</v>
      </c>
      <c r="L449" s="147">
        <f t="shared" si="18"/>
        <v>15.56</v>
      </c>
      <c r="M449" s="147">
        <f t="shared" si="19"/>
        <v>23.34</v>
      </c>
      <c r="N449" s="168" t="e">
        <f>VLOOKUP(C449,#REF!,4)</f>
        <v>#REF!</v>
      </c>
    </row>
    <row r="450" spans="1:14">
      <c r="A450" s="145" t="s">
        <v>626</v>
      </c>
      <c r="B450" s="146" t="s">
        <v>1901</v>
      </c>
      <c r="C450" s="146" t="s">
        <v>1902</v>
      </c>
      <c r="D450" s="145" t="s">
        <v>1903</v>
      </c>
      <c r="E450" s="146" t="s">
        <v>75</v>
      </c>
      <c r="F450" s="145" t="s">
        <v>1602</v>
      </c>
      <c r="G450" s="146" t="s">
        <v>20</v>
      </c>
      <c r="H450" s="146">
        <v>201604</v>
      </c>
      <c r="I450" s="147">
        <v>5549.6</v>
      </c>
      <c r="J450" s="144">
        <f t="shared" si="20"/>
        <v>7</v>
      </c>
      <c r="K450" s="148">
        <v>1.4833299999999999E-3</v>
      </c>
      <c r="L450" s="147">
        <f t="shared" si="18"/>
        <v>57.62</v>
      </c>
      <c r="M450" s="147">
        <f t="shared" si="19"/>
        <v>98.78</v>
      </c>
      <c r="N450" s="168" t="e">
        <f>VLOOKUP(C450,#REF!,4)</f>
        <v>#REF!</v>
      </c>
    </row>
    <row r="451" spans="1:14">
      <c r="A451" s="145" t="s">
        <v>626</v>
      </c>
      <c r="B451" s="146" t="s">
        <v>1901</v>
      </c>
      <c r="C451" s="146" t="s">
        <v>1902</v>
      </c>
      <c r="D451" s="145" t="s">
        <v>1903</v>
      </c>
      <c r="E451" s="146" t="s">
        <v>75</v>
      </c>
      <c r="F451" s="145" t="s">
        <v>1602</v>
      </c>
      <c r="G451" s="146" t="s">
        <v>20</v>
      </c>
      <c r="H451" s="146">
        <v>201605</v>
      </c>
      <c r="I451" s="147">
        <v>5071.58</v>
      </c>
      <c r="J451" s="144">
        <f t="shared" si="20"/>
        <v>6</v>
      </c>
      <c r="K451" s="148">
        <v>1.4833299999999999E-3</v>
      </c>
      <c r="L451" s="147">
        <f t="shared" si="18"/>
        <v>45.14</v>
      </c>
      <c r="M451" s="147">
        <f t="shared" si="19"/>
        <v>90.27</v>
      </c>
      <c r="N451" s="168" t="e">
        <f>VLOOKUP(C451,#REF!,4)</f>
        <v>#REF!</v>
      </c>
    </row>
    <row r="452" spans="1:14">
      <c r="A452" s="145" t="s">
        <v>626</v>
      </c>
      <c r="B452" s="146" t="s">
        <v>1901</v>
      </c>
      <c r="C452" s="146" t="s">
        <v>1902</v>
      </c>
      <c r="D452" s="145" t="s">
        <v>1903</v>
      </c>
      <c r="E452" s="146" t="s">
        <v>75</v>
      </c>
      <c r="F452" s="145" t="s">
        <v>1602</v>
      </c>
      <c r="G452" s="146" t="s">
        <v>20</v>
      </c>
      <c r="H452" s="146">
        <v>201606</v>
      </c>
      <c r="I452" s="147">
        <v>2421.64</v>
      </c>
      <c r="J452" s="144">
        <f t="shared" si="20"/>
        <v>5</v>
      </c>
      <c r="K452" s="148">
        <v>1.4833299999999999E-3</v>
      </c>
      <c r="L452" s="147">
        <f t="shared" si="18"/>
        <v>17.96</v>
      </c>
      <c r="M452" s="147">
        <f t="shared" si="19"/>
        <v>43.11</v>
      </c>
      <c r="N452" s="168" t="e">
        <f>VLOOKUP(C452,#REF!,4)</f>
        <v>#REF!</v>
      </c>
    </row>
    <row r="453" spans="1:14">
      <c r="A453" s="145" t="s">
        <v>626</v>
      </c>
      <c r="B453" s="146" t="s">
        <v>1693</v>
      </c>
      <c r="C453" s="146" t="s">
        <v>1694</v>
      </c>
      <c r="D453" s="145" t="s">
        <v>1695</v>
      </c>
      <c r="E453" s="146" t="s">
        <v>809</v>
      </c>
      <c r="F453" s="145" t="s">
        <v>26</v>
      </c>
      <c r="G453" s="146" t="s">
        <v>20</v>
      </c>
      <c r="H453" s="146">
        <v>201603</v>
      </c>
      <c r="I453" s="147">
        <v>-64.540000000000006</v>
      </c>
      <c r="J453" s="144">
        <f t="shared" si="20"/>
        <v>8</v>
      </c>
      <c r="K453" s="148">
        <v>1.4833299999999999E-3</v>
      </c>
      <c r="L453" s="147">
        <f t="shared" ref="L453:L516" si="21">ROUND(I453*J453*K453,2)</f>
        <v>-0.77</v>
      </c>
      <c r="M453" s="147">
        <f t="shared" ref="M453:M516" si="22">ROUND(I453*K453*12,2)</f>
        <v>-1.1499999999999999</v>
      </c>
      <c r="N453" s="168" t="e">
        <f>VLOOKUP(C453,#REF!,4)</f>
        <v>#REF!</v>
      </c>
    </row>
    <row r="454" spans="1:14">
      <c r="A454" s="145" t="s">
        <v>626</v>
      </c>
      <c r="B454" s="146" t="s">
        <v>1693</v>
      </c>
      <c r="C454" s="146" t="s">
        <v>1694</v>
      </c>
      <c r="D454" s="145" t="s">
        <v>1695</v>
      </c>
      <c r="E454" s="146" t="s">
        <v>809</v>
      </c>
      <c r="F454" s="145" t="s">
        <v>26</v>
      </c>
      <c r="G454" s="146" t="s">
        <v>20</v>
      </c>
      <c r="H454" s="146">
        <v>201604</v>
      </c>
      <c r="I454" s="147">
        <v>183.34</v>
      </c>
      <c r="J454" s="144">
        <f t="shared" ref="J454:J517" si="23">VLOOKUP(H454,$P$5:$Q$14,2)</f>
        <v>7</v>
      </c>
      <c r="K454" s="148">
        <v>1.4833299999999999E-3</v>
      </c>
      <c r="L454" s="147">
        <f t="shared" si="21"/>
        <v>1.9</v>
      </c>
      <c r="M454" s="147">
        <f t="shared" si="22"/>
        <v>3.26</v>
      </c>
      <c r="N454" s="168" t="e">
        <f>VLOOKUP(C454,#REF!,4)</f>
        <v>#REF!</v>
      </c>
    </row>
    <row r="455" spans="1:14">
      <c r="A455" s="145" t="s">
        <v>626</v>
      </c>
      <c r="B455" s="146" t="s">
        <v>1693</v>
      </c>
      <c r="C455" s="146" t="s">
        <v>1694</v>
      </c>
      <c r="D455" s="145" t="s">
        <v>1695</v>
      </c>
      <c r="E455" s="146" t="s">
        <v>809</v>
      </c>
      <c r="F455" s="145" t="s">
        <v>26</v>
      </c>
      <c r="G455" s="146" t="s">
        <v>20</v>
      </c>
      <c r="H455" s="146">
        <v>201605</v>
      </c>
      <c r="I455" s="147">
        <v>4759.37</v>
      </c>
      <c r="J455" s="144">
        <f t="shared" si="23"/>
        <v>6</v>
      </c>
      <c r="K455" s="148">
        <v>1.4833299999999999E-3</v>
      </c>
      <c r="L455" s="147">
        <f t="shared" si="21"/>
        <v>42.36</v>
      </c>
      <c r="M455" s="147">
        <f t="shared" si="22"/>
        <v>84.72</v>
      </c>
      <c r="N455" s="168" t="e">
        <f>VLOOKUP(C455,#REF!,4)</f>
        <v>#REF!</v>
      </c>
    </row>
    <row r="456" spans="1:14">
      <c r="A456" s="145" t="s">
        <v>626</v>
      </c>
      <c r="B456" s="146" t="s">
        <v>1693</v>
      </c>
      <c r="C456" s="146" t="s">
        <v>1694</v>
      </c>
      <c r="D456" s="145" t="s">
        <v>1695</v>
      </c>
      <c r="E456" s="146" t="s">
        <v>809</v>
      </c>
      <c r="F456" s="145" t="s">
        <v>26</v>
      </c>
      <c r="G456" s="146" t="s">
        <v>20</v>
      </c>
      <c r="H456" s="146">
        <v>201606</v>
      </c>
      <c r="I456" s="147">
        <v>3460.14</v>
      </c>
      <c r="J456" s="144">
        <f t="shared" si="23"/>
        <v>5</v>
      </c>
      <c r="K456" s="148">
        <v>1.4833299999999999E-3</v>
      </c>
      <c r="L456" s="147">
        <f t="shared" si="21"/>
        <v>25.66</v>
      </c>
      <c r="M456" s="147">
        <f t="shared" si="22"/>
        <v>61.59</v>
      </c>
      <c r="N456" s="168" t="e">
        <f>VLOOKUP(C456,#REF!,4)</f>
        <v>#REF!</v>
      </c>
    </row>
    <row r="457" spans="1:14">
      <c r="A457" s="145" t="s">
        <v>626</v>
      </c>
      <c r="B457" s="146" t="s">
        <v>1638</v>
      </c>
      <c r="C457" s="146" t="s">
        <v>1639</v>
      </c>
      <c r="D457" s="145" t="s">
        <v>1640</v>
      </c>
      <c r="E457" s="146" t="s">
        <v>164</v>
      </c>
      <c r="F457" s="145" t="s">
        <v>1600</v>
      </c>
      <c r="G457" s="146" t="s">
        <v>20</v>
      </c>
      <c r="H457" s="146">
        <v>201603</v>
      </c>
      <c r="I457" s="147">
        <v>-0.64</v>
      </c>
      <c r="J457" s="144">
        <f t="shared" si="23"/>
        <v>8</v>
      </c>
      <c r="K457" s="148">
        <v>1.4833299999999999E-3</v>
      </c>
      <c r="L457" s="147">
        <f t="shared" si="21"/>
        <v>-0.01</v>
      </c>
      <c r="M457" s="147">
        <f t="shared" si="22"/>
        <v>-0.01</v>
      </c>
      <c r="N457" s="168" t="e">
        <f>VLOOKUP(C457,#REF!,4)</f>
        <v>#REF!</v>
      </c>
    </row>
    <row r="458" spans="1:14">
      <c r="A458" s="145" t="s">
        <v>626</v>
      </c>
      <c r="B458" s="146" t="s">
        <v>1638</v>
      </c>
      <c r="C458" s="146" t="s">
        <v>1639</v>
      </c>
      <c r="D458" s="145" t="s">
        <v>1640</v>
      </c>
      <c r="E458" s="146" t="s">
        <v>164</v>
      </c>
      <c r="F458" s="145" t="s">
        <v>1600</v>
      </c>
      <c r="G458" s="146" t="s">
        <v>20</v>
      </c>
      <c r="H458" s="146">
        <v>201604</v>
      </c>
      <c r="I458" s="147">
        <v>19.84</v>
      </c>
      <c r="J458" s="144">
        <f t="shared" si="23"/>
        <v>7</v>
      </c>
      <c r="K458" s="148">
        <v>1.4833299999999999E-3</v>
      </c>
      <c r="L458" s="147">
        <f t="shared" si="21"/>
        <v>0.21</v>
      </c>
      <c r="M458" s="147">
        <f t="shared" si="22"/>
        <v>0.35</v>
      </c>
      <c r="N458" s="168" t="e">
        <f>VLOOKUP(C458,#REF!,4)</f>
        <v>#REF!</v>
      </c>
    </row>
    <row r="459" spans="1:14">
      <c r="A459" s="145" t="s">
        <v>626</v>
      </c>
      <c r="B459" s="146" t="s">
        <v>1638</v>
      </c>
      <c r="C459" s="146" t="s">
        <v>1639</v>
      </c>
      <c r="D459" s="145" t="s">
        <v>1640</v>
      </c>
      <c r="E459" s="146" t="s">
        <v>164</v>
      </c>
      <c r="F459" s="145" t="s">
        <v>1600</v>
      </c>
      <c r="G459" s="146" t="s">
        <v>20</v>
      </c>
      <c r="H459" s="146">
        <v>201605</v>
      </c>
      <c r="I459" s="147">
        <v>8.06</v>
      </c>
      <c r="J459" s="144">
        <f t="shared" si="23"/>
        <v>6</v>
      </c>
      <c r="K459" s="148">
        <v>1.4833299999999999E-3</v>
      </c>
      <c r="L459" s="147">
        <f t="shared" si="21"/>
        <v>7.0000000000000007E-2</v>
      </c>
      <c r="M459" s="147">
        <f t="shared" si="22"/>
        <v>0.14000000000000001</v>
      </c>
      <c r="N459" s="168" t="e">
        <f>VLOOKUP(C459,#REF!,4)</f>
        <v>#REF!</v>
      </c>
    </row>
    <row r="460" spans="1:14">
      <c r="A460" s="145" t="s">
        <v>626</v>
      </c>
      <c r="B460" s="146" t="s">
        <v>1638</v>
      </c>
      <c r="C460" s="146" t="s">
        <v>1639</v>
      </c>
      <c r="D460" s="145" t="s">
        <v>1640</v>
      </c>
      <c r="E460" s="146" t="s">
        <v>164</v>
      </c>
      <c r="F460" s="145" t="s">
        <v>1600</v>
      </c>
      <c r="G460" s="146" t="s">
        <v>20</v>
      </c>
      <c r="H460" s="146">
        <v>201606</v>
      </c>
      <c r="I460" s="147">
        <v>4.8499999999999996</v>
      </c>
      <c r="J460" s="144">
        <f t="shared" si="23"/>
        <v>5</v>
      </c>
      <c r="K460" s="148">
        <v>1.4833299999999999E-3</v>
      </c>
      <c r="L460" s="147">
        <f t="shared" si="21"/>
        <v>0.04</v>
      </c>
      <c r="M460" s="147">
        <f t="shared" si="22"/>
        <v>0.09</v>
      </c>
      <c r="N460" s="168" t="e">
        <f>VLOOKUP(C460,#REF!,4)</f>
        <v>#REF!</v>
      </c>
    </row>
    <row r="461" spans="1:14">
      <c r="A461" s="145" t="s">
        <v>626</v>
      </c>
      <c r="B461" s="146" t="s">
        <v>1904</v>
      </c>
      <c r="C461" s="146" t="s">
        <v>1905</v>
      </c>
      <c r="D461" s="145" t="s">
        <v>1906</v>
      </c>
      <c r="E461" s="146" t="s">
        <v>75</v>
      </c>
      <c r="F461" s="145" t="s">
        <v>1602</v>
      </c>
      <c r="G461" s="146" t="s">
        <v>20</v>
      </c>
      <c r="H461" s="146">
        <v>201603</v>
      </c>
      <c r="I461" s="147">
        <v>-122.41</v>
      </c>
      <c r="J461" s="144">
        <f t="shared" si="23"/>
        <v>8</v>
      </c>
      <c r="K461" s="148">
        <v>1.4833299999999999E-3</v>
      </c>
      <c r="L461" s="147">
        <f t="shared" si="21"/>
        <v>-1.45</v>
      </c>
      <c r="M461" s="147">
        <f t="shared" si="22"/>
        <v>-2.1800000000000002</v>
      </c>
      <c r="N461" s="168" t="e">
        <f>VLOOKUP(C461,#REF!,4)</f>
        <v>#REF!</v>
      </c>
    </row>
    <row r="462" spans="1:14">
      <c r="A462" s="145" t="s">
        <v>626</v>
      </c>
      <c r="B462" s="146" t="s">
        <v>1904</v>
      </c>
      <c r="C462" s="146" t="s">
        <v>1905</v>
      </c>
      <c r="D462" s="145" t="s">
        <v>1906</v>
      </c>
      <c r="E462" s="146" t="s">
        <v>75</v>
      </c>
      <c r="F462" s="145" t="s">
        <v>1602</v>
      </c>
      <c r="G462" s="146" t="s">
        <v>20</v>
      </c>
      <c r="H462" s="146">
        <v>201604</v>
      </c>
      <c r="I462" s="147">
        <v>748.05</v>
      </c>
      <c r="J462" s="144">
        <f t="shared" si="23"/>
        <v>7</v>
      </c>
      <c r="K462" s="148">
        <v>1.4833299999999999E-3</v>
      </c>
      <c r="L462" s="147">
        <f t="shared" si="21"/>
        <v>7.77</v>
      </c>
      <c r="M462" s="147">
        <f t="shared" si="22"/>
        <v>13.32</v>
      </c>
      <c r="N462" s="168" t="e">
        <f>VLOOKUP(C462,#REF!,4)</f>
        <v>#REF!</v>
      </c>
    </row>
    <row r="463" spans="1:14">
      <c r="A463" s="145" t="s">
        <v>626</v>
      </c>
      <c r="B463" s="146" t="s">
        <v>1904</v>
      </c>
      <c r="C463" s="146" t="s">
        <v>1905</v>
      </c>
      <c r="D463" s="145" t="s">
        <v>1906</v>
      </c>
      <c r="E463" s="146" t="s">
        <v>75</v>
      </c>
      <c r="F463" s="145" t="s">
        <v>1602</v>
      </c>
      <c r="G463" s="146" t="s">
        <v>20</v>
      </c>
      <c r="H463" s="146">
        <v>201605</v>
      </c>
      <c r="I463" s="147">
        <v>545.24</v>
      </c>
      <c r="J463" s="144">
        <f t="shared" si="23"/>
        <v>6</v>
      </c>
      <c r="K463" s="148">
        <v>1.4833299999999999E-3</v>
      </c>
      <c r="L463" s="147">
        <f t="shared" si="21"/>
        <v>4.8499999999999996</v>
      </c>
      <c r="M463" s="147">
        <f t="shared" si="22"/>
        <v>9.7100000000000009</v>
      </c>
      <c r="N463" s="168" t="e">
        <f>VLOOKUP(C463,#REF!,4)</f>
        <v>#REF!</v>
      </c>
    </row>
    <row r="464" spans="1:14">
      <c r="A464" s="145" t="s">
        <v>626</v>
      </c>
      <c r="B464" s="146" t="s">
        <v>1904</v>
      </c>
      <c r="C464" s="146" t="s">
        <v>1905</v>
      </c>
      <c r="D464" s="145" t="s">
        <v>1906</v>
      </c>
      <c r="E464" s="146" t="s">
        <v>75</v>
      </c>
      <c r="F464" s="145" t="s">
        <v>1602</v>
      </c>
      <c r="G464" s="146" t="s">
        <v>20</v>
      </c>
      <c r="H464" s="146">
        <v>201606</v>
      </c>
      <c r="I464" s="147">
        <v>337.77</v>
      </c>
      <c r="J464" s="144">
        <f t="shared" si="23"/>
        <v>5</v>
      </c>
      <c r="K464" s="148">
        <v>1.4833299999999999E-3</v>
      </c>
      <c r="L464" s="147">
        <f t="shared" si="21"/>
        <v>2.5099999999999998</v>
      </c>
      <c r="M464" s="147">
        <f t="shared" si="22"/>
        <v>6.01</v>
      </c>
      <c r="N464" s="168" t="e">
        <f>VLOOKUP(C464,#REF!,4)</f>
        <v>#REF!</v>
      </c>
    </row>
    <row r="465" spans="1:14">
      <c r="A465" s="145" t="s">
        <v>626</v>
      </c>
      <c r="B465" s="146" t="s">
        <v>1742</v>
      </c>
      <c r="C465" s="146" t="s">
        <v>1743</v>
      </c>
      <c r="D465" s="145" t="s">
        <v>1744</v>
      </c>
      <c r="E465" s="146" t="s">
        <v>497</v>
      </c>
      <c r="F465" s="145" t="s">
        <v>26</v>
      </c>
      <c r="G465" s="146" t="s">
        <v>20</v>
      </c>
      <c r="H465" s="146">
        <v>201603</v>
      </c>
      <c r="I465" s="147">
        <v>-94.37</v>
      </c>
      <c r="J465" s="144">
        <f t="shared" si="23"/>
        <v>8</v>
      </c>
      <c r="K465" s="148">
        <v>1.4833299999999999E-3</v>
      </c>
      <c r="L465" s="147">
        <f t="shared" si="21"/>
        <v>-1.1200000000000001</v>
      </c>
      <c r="M465" s="147">
        <f t="shared" si="22"/>
        <v>-1.68</v>
      </c>
      <c r="N465" s="168" t="e">
        <f>VLOOKUP(C465,#REF!,4)</f>
        <v>#REF!</v>
      </c>
    </row>
    <row r="466" spans="1:14">
      <c r="A466" s="145" t="s">
        <v>626</v>
      </c>
      <c r="B466" s="146" t="s">
        <v>1742</v>
      </c>
      <c r="C466" s="146" t="s">
        <v>1743</v>
      </c>
      <c r="D466" s="145" t="s">
        <v>1744</v>
      </c>
      <c r="E466" s="146" t="s">
        <v>497</v>
      </c>
      <c r="F466" s="145" t="s">
        <v>26</v>
      </c>
      <c r="G466" s="146" t="s">
        <v>20</v>
      </c>
      <c r="H466" s="146">
        <v>201604</v>
      </c>
      <c r="I466" s="147">
        <v>104.41</v>
      </c>
      <c r="J466" s="144">
        <f t="shared" si="23"/>
        <v>7</v>
      </c>
      <c r="K466" s="148">
        <v>1.4833299999999999E-3</v>
      </c>
      <c r="L466" s="147">
        <f t="shared" si="21"/>
        <v>1.08</v>
      </c>
      <c r="M466" s="147">
        <f t="shared" si="22"/>
        <v>1.86</v>
      </c>
      <c r="N466" s="168" t="e">
        <f>VLOOKUP(C466,#REF!,4)</f>
        <v>#REF!</v>
      </c>
    </row>
    <row r="467" spans="1:14">
      <c r="A467" s="145" t="s">
        <v>626</v>
      </c>
      <c r="B467" s="146" t="s">
        <v>1742</v>
      </c>
      <c r="C467" s="146" t="s">
        <v>1743</v>
      </c>
      <c r="D467" s="145" t="s">
        <v>1744</v>
      </c>
      <c r="E467" s="146" t="s">
        <v>497</v>
      </c>
      <c r="F467" s="145" t="s">
        <v>26</v>
      </c>
      <c r="G467" s="146" t="s">
        <v>20</v>
      </c>
      <c r="H467" s="146">
        <v>201605</v>
      </c>
      <c r="I467" s="147">
        <v>96.39</v>
      </c>
      <c r="J467" s="144">
        <f t="shared" si="23"/>
        <v>6</v>
      </c>
      <c r="K467" s="148">
        <v>1.4833299999999999E-3</v>
      </c>
      <c r="L467" s="147">
        <f t="shared" si="21"/>
        <v>0.86</v>
      </c>
      <c r="M467" s="147">
        <f t="shared" si="22"/>
        <v>1.72</v>
      </c>
      <c r="N467" s="168" t="e">
        <f>VLOOKUP(C467,#REF!,4)</f>
        <v>#REF!</v>
      </c>
    </row>
    <row r="468" spans="1:14">
      <c r="A468" s="145" t="s">
        <v>626</v>
      </c>
      <c r="B468" s="146" t="s">
        <v>1742</v>
      </c>
      <c r="C468" s="146" t="s">
        <v>1743</v>
      </c>
      <c r="D468" s="145" t="s">
        <v>1744</v>
      </c>
      <c r="E468" s="146" t="s">
        <v>497</v>
      </c>
      <c r="F468" s="145" t="s">
        <v>26</v>
      </c>
      <c r="G468" s="146" t="s">
        <v>20</v>
      </c>
      <c r="H468" s="146">
        <v>201606</v>
      </c>
      <c r="I468" s="147">
        <v>58.47</v>
      </c>
      <c r="J468" s="144">
        <f t="shared" si="23"/>
        <v>5</v>
      </c>
      <c r="K468" s="148">
        <v>1.4833299999999999E-3</v>
      </c>
      <c r="L468" s="147">
        <f t="shared" si="21"/>
        <v>0.43</v>
      </c>
      <c r="M468" s="147">
        <f t="shared" si="22"/>
        <v>1.04</v>
      </c>
      <c r="N468" s="168" t="e">
        <f>VLOOKUP(C468,#REF!,4)</f>
        <v>#REF!</v>
      </c>
    </row>
    <row r="469" spans="1:14">
      <c r="A469" s="145" t="s">
        <v>626</v>
      </c>
      <c r="B469" s="146" t="s">
        <v>1745</v>
      </c>
      <c r="C469" s="146" t="s">
        <v>1746</v>
      </c>
      <c r="D469" s="145" t="s">
        <v>1747</v>
      </c>
      <c r="E469" s="146" t="s">
        <v>497</v>
      </c>
      <c r="F469" s="145" t="s">
        <v>26</v>
      </c>
      <c r="G469" s="146" t="s">
        <v>20</v>
      </c>
      <c r="H469" s="146">
        <v>201603</v>
      </c>
      <c r="I469" s="147">
        <v>1368.72</v>
      </c>
      <c r="J469" s="144">
        <f t="shared" si="23"/>
        <v>8</v>
      </c>
      <c r="K469" s="148">
        <v>1.4833299999999999E-3</v>
      </c>
      <c r="L469" s="147">
        <f t="shared" si="21"/>
        <v>16.239999999999998</v>
      </c>
      <c r="M469" s="147">
        <f t="shared" si="22"/>
        <v>24.36</v>
      </c>
      <c r="N469" s="168" t="e">
        <f>VLOOKUP(C469,#REF!,4)</f>
        <v>#REF!</v>
      </c>
    </row>
    <row r="470" spans="1:14">
      <c r="A470" s="145" t="s">
        <v>626</v>
      </c>
      <c r="B470" s="146" t="s">
        <v>1745</v>
      </c>
      <c r="C470" s="146" t="s">
        <v>1746</v>
      </c>
      <c r="D470" s="145" t="s">
        <v>1747</v>
      </c>
      <c r="E470" s="146" t="s">
        <v>497</v>
      </c>
      <c r="F470" s="145" t="s">
        <v>26</v>
      </c>
      <c r="G470" s="146" t="s">
        <v>20</v>
      </c>
      <c r="H470" s="146">
        <v>201604</v>
      </c>
      <c r="I470" s="147">
        <v>22934.91</v>
      </c>
      <c r="J470" s="144">
        <f t="shared" si="23"/>
        <v>7</v>
      </c>
      <c r="K470" s="148">
        <v>1.4833299999999999E-3</v>
      </c>
      <c r="L470" s="147">
        <f t="shared" si="21"/>
        <v>238.14</v>
      </c>
      <c r="M470" s="147">
        <f t="shared" si="22"/>
        <v>408.24</v>
      </c>
      <c r="N470" s="168" t="e">
        <f>VLOOKUP(C470,#REF!,4)</f>
        <v>#REF!</v>
      </c>
    </row>
    <row r="471" spans="1:14">
      <c r="A471" s="145" t="s">
        <v>626</v>
      </c>
      <c r="B471" s="146" t="s">
        <v>1745</v>
      </c>
      <c r="C471" s="146" t="s">
        <v>1746</v>
      </c>
      <c r="D471" s="145" t="s">
        <v>1747</v>
      </c>
      <c r="E471" s="146" t="s">
        <v>497</v>
      </c>
      <c r="F471" s="145" t="s">
        <v>26</v>
      </c>
      <c r="G471" s="146" t="s">
        <v>20</v>
      </c>
      <c r="H471" s="146">
        <v>201605</v>
      </c>
      <c r="I471" s="147">
        <v>-14341.88</v>
      </c>
      <c r="J471" s="144">
        <f t="shared" si="23"/>
        <v>6</v>
      </c>
      <c r="K471" s="148">
        <v>1.4833299999999999E-3</v>
      </c>
      <c r="L471" s="147">
        <f t="shared" si="21"/>
        <v>-127.64</v>
      </c>
      <c r="M471" s="147">
        <f t="shared" si="22"/>
        <v>-255.28</v>
      </c>
      <c r="N471" s="168" t="e">
        <f>VLOOKUP(C471,#REF!,4)</f>
        <v>#REF!</v>
      </c>
    </row>
    <row r="472" spans="1:14">
      <c r="A472" s="145" t="s">
        <v>21</v>
      </c>
      <c r="B472" s="146" t="s">
        <v>1745</v>
      </c>
      <c r="C472" s="146" t="s">
        <v>1746</v>
      </c>
      <c r="D472" s="145" t="s">
        <v>1747</v>
      </c>
      <c r="E472" s="146" t="s">
        <v>497</v>
      </c>
      <c r="F472" s="145" t="s">
        <v>26</v>
      </c>
      <c r="G472" s="146" t="s">
        <v>20</v>
      </c>
      <c r="H472" s="146">
        <v>201605</v>
      </c>
      <c r="I472" s="147">
        <v>14125.97</v>
      </c>
      <c r="J472" s="144">
        <f t="shared" si="23"/>
        <v>6</v>
      </c>
      <c r="K472" s="148">
        <v>1.4833299999999999E-3</v>
      </c>
      <c r="L472" s="147">
        <f t="shared" si="21"/>
        <v>125.72</v>
      </c>
      <c r="M472" s="147">
        <f t="shared" si="22"/>
        <v>251.44</v>
      </c>
      <c r="N472" s="168" t="e">
        <f>VLOOKUP(C472,#REF!,4)</f>
        <v>#REF!</v>
      </c>
    </row>
    <row r="473" spans="1:14">
      <c r="A473" s="145" t="s">
        <v>21</v>
      </c>
      <c r="B473" s="146" t="s">
        <v>1745</v>
      </c>
      <c r="C473" s="146" t="s">
        <v>1746</v>
      </c>
      <c r="D473" s="145" t="s">
        <v>1747</v>
      </c>
      <c r="E473" s="146" t="s">
        <v>497</v>
      </c>
      <c r="F473" s="145" t="s">
        <v>26</v>
      </c>
      <c r="G473" s="146" t="s">
        <v>20</v>
      </c>
      <c r="H473" s="146">
        <v>201606</v>
      </c>
      <c r="I473" s="147">
        <v>39.049999999999997</v>
      </c>
      <c r="J473" s="144">
        <f t="shared" si="23"/>
        <v>5</v>
      </c>
      <c r="K473" s="148">
        <v>1.4833299999999999E-3</v>
      </c>
      <c r="L473" s="147">
        <f t="shared" si="21"/>
        <v>0.28999999999999998</v>
      </c>
      <c r="M473" s="147">
        <f t="shared" si="22"/>
        <v>0.7</v>
      </c>
      <c r="N473" s="168" t="e">
        <f>VLOOKUP(C473,#REF!,4)</f>
        <v>#REF!</v>
      </c>
    </row>
    <row r="474" spans="1:14">
      <c r="A474" s="145" t="s">
        <v>626</v>
      </c>
      <c r="B474" s="146" t="s">
        <v>1745</v>
      </c>
      <c r="C474" s="146" t="s">
        <v>1746</v>
      </c>
      <c r="D474" s="145" t="s">
        <v>1747</v>
      </c>
      <c r="E474" s="146" t="s">
        <v>497</v>
      </c>
      <c r="F474" s="145" t="s">
        <v>26</v>
      </c>
      <c r="G474" s="146" t="s">
        <v>20</v>
      </c>
      <c r="H474" s="146">
        <v>201606</v>
      </c>
      <c r="I474" s="147">
        <v>474.05</v>
      </c>
      <c r="J474" s="144">
        <f t="shared" si="23"/>
        <v>5</v>
      </c>
      <c r="K474" s="148">
        <v>1.4833299999999999E-3</v>
      </c>
      <c r="L474" s="147">
        <f t="shared" si="21"/>
        <v>3.52</v>
      </c>
      <c r="M474" s="147">
        <f t="shared" si="22"/>
        <v>8.44</v>
      </c>
      <c r="N474" s="168" t="e">
        <f>VLOOKUP(C474,#REF!,4)</f>
        <v>#REF!</v>
      </c>
    </row>
    <row r="475" spans="1:14">
      <c r="A475" s="145" t="s">
        <v>626</v>
      </c>
      <c r="B475" s="146" t="s">
        <v>1800</v>
      </c>
      <c r="C475" s="146" t="s">
        <v>1801</v>
      </c>
      <c r="D475" s="145" t="s">
        <v>1802</v>
      </c>
      <c r="E475" s="146" t="s">
        <v>75</v>
      </c>
      <c r="F475" s="145" t="s">
        <v>1602</v>
      </c>
      <c r="G475" s="146" t="s">
        <v>20</v>
      </c>
      <c r="H475" s="146">
        <v>201603</v>
      </c>
      <c r="I475" s="147">
        <v>-12942.58</v>
      </c>
      <c r="J475" s="144">
        <f t="shared" si="23"/>
        <v>8</v>
      </c>
      <c r="K475" s="148">
        <v>1.4833299999999999E-3</v>
      </c>
      <c r="L475" s="147">
        <f t="shared" si="21"/>
        <v>-153.58000000000001</v>
      </c>
      <c r="M475" s="147">
        <f t="shared" si="22"/>
        <v>-230.38</v>
      </c>
      <c r="N475" s="168" t="e">
        <f>VLOOKUP(C475,#REF!,4)</f>
        <v>#REF!</v>
      </c>
    </row>
    <row r="476" spans="1:14">
      <c r="A476" s="145" t="s">
        <v>626</v>
      </c>
      <c r="B476" s="146" t="s">
        <v>1800</v>
      </c>
      <c r="C476" s="146" t="s">
        <v>1801</v>
      </c>
      <c r="D476" s="145" t="s">
        <v>1802</v>
      </c>
      <c r="E476" s="146" t="s">
        <v>75</v>
      </c>
      <c r="F476" s="145" t="s">
        <v>1602</v>
      </c>
      <c r="G476" s="146" t="s">
        <v>20</v>
      </c>
      <c r="H476" s="146">
        <v>201604</v>
      </c>
      <c r="I476" s="147">
        <v>9785.5400000000009</v>
      </c>
      <c r="J476" s="144">
        <f t="shared" si="23"/>
        <v>7</v>
      </c>
      <c r="K476" s="148">
        <v>1.4833299999999999E-3</v>
      </c>
      <c r="L476" s="147">
        <f t="shared" si="21"/>
        <v>101.61</v>
      </c>
      <c r="M476" s="147">
        <f t="shared" si="22"/>
        <v>174.18</v>
      </c>
      <c r="N476" s="168" t="e">
        <f>VLOOKUP(C476,#REF!,4)</f>
        <v>#REF!</v>
      </c>
    </row>
    <row r="477" spans="1:14">
      <c r="A477" s="145" t="s">
        <v>626</v>
      </c>
      <c r="B477" s="146" t="s">
        <v>1800</v>
      </c>
      <c r="C477" s="146" t="s">
        <v>1801</v>
      </c>
      <c r="D477" s="145" t="s">
        <v>1802</v>
      </c>
      <c r="E477" s="146" t="s">
        <v>75</v>
      </c>
      <c r="F477" s="145" t="s">
        <v>1602</v>
      </c>
      <c r="G477" s="146" t="s">
        <v>20</v>
      </c>
      <c r="H477" s="146">
        <v>201605</v>
      </c>
      <c r="I477" s="147">
        <v>9183.65</v>
      </c>
      <c r="J477" s="144">
        <f t="shared" si="23"/>
        <v>6</v>
      </c>
      <c r="K477" s="148">
        <v>1.4833299999999999E-3</v>
      </c>
      <c r="L477" s="147">
        <f t="shared" si="21"/>
        <v>81.73</v>
      </c>
      <c r="M477" s="147">
        <f t="shared" si="22"/>
        <v>163.47</v>
      </c>
      <c r="N477" s="168" t="e">
        <f>VLOOKUP(C477,#REF!,4)</f>
        <v>#REF!</v>
      </c>
    </row>
    <row r="478" spans="1:14">
      <c r="A478" s="145" t="s">
        <v>626</v>
      </c>
      <c r="B478" s="146" t="s">
        <v>1800</v>
      </c>
      <c r="C478" s="146" t="s">
        <v>1801</v>
      </c>
      <c r="D478" s="145" t="s">
        <v>1802</v>
      </c>
      <c r="E478" s="146" t="s">
        <v>75</v>
      </c>
      <c r="F478" s="145" t="s">
        <v>1602</v>
      </c>
      <c r="G478" s="146" t="s">
        <v>20</v>
      </c>
      <c r="H478" s="146">
        <v>201606</v>
      </c>
      <c r="I478" s="147">
        <v>6814.09</v>
      </c>
      <c r="J478" s="144">
        <f t="shared" si="23"/>
        <v>5</v>
      </c>
      <c r="K478" s="148">
        <v>1.4833299999999999E-3</v>
      </c>
      <c r="L478" s="147">
        <f t="shared" si="21"/>
        <v>50.54</v>
      </c>
      <c r="M478" s="147">
        <f t="shared" si="22"/>
        <v>121.29</v>
      </c>
      <c r="N478" s="168" t="e">
        <f>VLOOKUP(C478,#REF!,4)</f>
        <v>#REF!</v>
      </c>
    </row>
    <row r="479" spans="1:14">
      <c r="A479" s="145" t="s">
        <v>626</v>
      </c>
      <c r="B479" s="146" t="s">
        <v>2045</v>
      </c>
      <c r="C479" s="146" t="s">
        <v>2046</v>
      </c>
      <c r="D479" s="145" t="s">
        <v>2047</v>
      </c>
      <c r="E479" s="146" t="s">
        <v>75</v>
      </c>
      <c r="F479" s="145" t="s">
        <v>1602</v>
      </c>
      <c r="G479" s="146" t="s">
        <v>20</v>
      </c>
      <c r="H479" s="146">
        <v>201604</v>
      </c>
      <c r="I479" s="147">
        <v>323453.55</v>
      </c>
      <c r="J479" s="144">
        <f t="shared" si="23"/>
        <v>7</v>
      </c>
      <c r="K479" s="148">
        <v>1.4833299999999999E-3</v>
      </c>
      <c r="L479" s="147">
        <f t="shared" si="21"/>
        <v>3358.52</v>
      </c>
      <c r="M479" s="147">
        <f t="shared" si="22"/>
        <v>5757.46</v>
      </c>
      <c r="N479" s="168" t="e">
        <f>VLOOKUP(C479,#REF!,4)</f>
        <v>#REF!</v>
      </c>
    </row>
    <row r="480" spans="1:14">
      <c r="A480" s="145" t="s">
        <v>626</v>
      </c>
      <c r="B480" s="146" t="s">
        <v>2045</v>
      </c>
      <c r="C480" s="146" t="s">
        <v>2046</v>
      </c>
      <c r="D480" s="145" t="s">
        <v>2047</v>
      </c>
      <c r="E480" s="146" t="s">
        <v>75</v>
      </c>
      <c r="F480" s="145" t="s">
        <v>1602</v>
      </c>
      <c r="G480" s="146" t="s">
        <v>20</v>
      </c>
      <c r="H480" s="146">
        <v>201605</v>
      </c>
      <c r="I480" s="147">
        <v>4001.21</v>
      </c>
      <c r="J480" s="144">
        <f t="shared" si="23"/>
        <v>6</v>
      </c>
      <c r="K480" s="148">
        <v>1.4833299999999999E-3</v>
      </c>
      <c r="L480" s="147">
        <f t="shared" si="21"/>
        <v>35.61</v>
      </c>
      <c r="M480" s="147">
        <f t="shared" si="22"/>
        <v>71.22</v>
      </c>
      <c r="N480" s="168" t="e">
        <f>VLOOKUP(C480,#REF!,4)</f>
        <v>#REF!</v>
      </c>
    </row>
    <row r="481" spans="1:14">
      <c r="A481" s="145" t="s">
        <v>626</v>
      </c>
      <c r="B481" s="146" t="s">
        <v>2045</v>
      </c>
      <c r="C481" s="146" t="s">
        <v>2046</v>
      </c>
      <c r="D481" s="145" t="s">
        <v>2047</v>
      </c>
      <c r="E481" s="146" t="s">
        <v>75</v>
      </c>
      <c r="F481" s="145" t="s">
        <v>1602</v>
      </c>
      <c r="G481" s="146" t="s">
        <v>20</v>
      </c>
      <c r="H481" s="146">
        <v>201606</v>
      </c>
      <c r="I481" s="147">
        <v>2523.84</v>
      </c>
      <c r="J481" s="144">
        <f t="shared" si="23"/>
        <v>5</v>
      </c>
      <c r="K481" s="148">
        <v>1.4833299999999999E-3</v>
      </c>
      <c r="L481" s="147">
        <f t="shared" si="21"/>
        <v>18.72</v>
      </c>
      <c r="M481" s="147">
        <f t="shared" si="22"/>
        <v>44.92</v>
      </c>
      <c r="N481" s="168" t="e">
        <f>VLOOKUP(C481,#REF!,4)</f>
        <v>#REF!</v>
      </c>
    </row>
    <row r="482" spans="1:14">
      <c r="A482" s="145" t="s">
        <v>626</v>
      </c>
      <c r="B482" s="146" t="s">
        <v>1961</v>
      </c>
      <c r="C482" s="146" t="s">
        <v>1962</v>
      </c>
      <c r="D482" s="145" t="s">
        <v>1963</v>
      </c>
      <c r="E482" s="146" t="s">
        <v>75</v>
      </c>
      <c r="F482" s="145" t="s">
        <v>1602</v>
      </c>
      <c r="G482" s="146" t="s">
        <v>20</v>
      </c>
      <c r="H482" s="146">
        <v>201603</v>
      </c>
      <c r="I482" s="147">
        <v>-2714.3</v>
      </c>
      <c r="J482" s="144">
        <f t="shared" si="23"/>
        <v>8</v>
      </c>
      <c r="K482" s="148">
        <v>1.4833299999999999E-3</v>
      </c>
      <c r="L482" s="147">
        <f t="shared" si="21"/>
        <v>-32.21</v>
      </c>
      <c r="M482" s="147">
        <f t="shared" si="22"/>
        <v>-48.31</v>
      </c>
      <c r="N482" s="168" t="e">
        <f>VLOOKUP(C482,#REF!,4)</f>
        <v>#REF!</v>
      </c>
    </row>
    <row r="483" spans="1:14">
      <c r="A483" s="145" t="s">
        <v>626</v>
      </c>
      <c r="B483" s="146" t="s">
        <v>1961</v>
      </c>
      <c r="C483" s="146" t="s">
        <v>1962</v>
      </c>
      <c r="D483" s="145" t="s">
        <v>1963</v>
      </c>
      <c r="E483" s="146" t="s">
        <v>75</v>
      </c>
      <c r="F483" s="145" t="s">
        <v>1602</v>
      </c>
      <c r="G483" s="146" t="s">
        <v>20</v>
      </c>
      <c r="H483" s="146">
        <v>201604</v>
      </c>
      <c r="I483" s="147">
        <v>2214.38</v>
      </c>
      <c r="J483" s="144">
        <f t="shared" si="23"/>
        <v>7</v>
      </c>
      <c r="K483" s="148">
        <v>1.4833299999999999E-3</v>
      </c>
      <c r="L483" s="147">
        <f t="shared" si="21"/>
        <v>22.99</v>
      </c>
      <c r="M483" s="147">
        <f t="shared" si="22"/>
        <v>39.42</v>
      </c>
      <c r="N483" s="168" t="e">
        <f>VLOOKUP(C483,#REF!,4)</f>
        <v>#REF!</v>
      </c>
    </row>
    <row r="484" spans="1:14">
      <c r="A484" s="145" t="s">
        <v>626</v>
      </c>
      <c r="B484" s="146" t="s">
        <v>1961</v>
      </c>
      <c r="C484" s="146" t="s">
        <v>1962</v>
      </c>
      <c r="D484" s="145" t="s">
        <v>1963</v>
      </c>
      <c r="E484" s="146" t="s">
        <v>75</v>
      </c>
      <c r="F484" s="145" t="s">
        <v>1602</v>
      </c>
      <c r="G484" s="146" t="s">
        <v>20</v>
      </c>
      <c r="H484" s="146">
        <v>201605</v>
      </c>
      <c r="I484" s="147">
        <v>1852.88</v>
      </c>
      <c r="J484" s="144">
        <f t="shared" si="23"/>
        <v>6</v>
      </c>
      <c r="K484" s="148">
        <v>1.4833299999999999E-3</v>
      </c>
      <c r="L484" s="147">
        <f t="shared" si="21"/>
        <v>16.489999999999998</v>
      </c>
      <c r="M484" s="147">
        <f t="shared" si="22"/>
        <v>32.979999999999997</v>
      </c>
      <c r="N484" s="168" t="e">
        <f>VLOOKUP(C484,#REF!,4)</f>
        <v>#REF!</v>
      </c>
    </row>
    <row r="485" spans="1:14">
      <c r="A485" s="145" t="s">
        <v>626</v>
      </c>
      <c r="B485" s="146" t="s">
        <v>1961</v>
      </c>
      <c r="C485" s="146" t="s">
        <v>1962</v>
      </c>
      <c r="D485" s="145" t="s">
        <v>1963</v>
      </c>
      <c r="E485" s="146" t="s">
        <v>75</v>
      </c>
      <c r="F485" s="145" t="s">
        <v>1602</v>
      </c>
      <c r="G485" s="146" t="s">
        <v>20</v>
      </c>
      <c r="H485" s="146">
        <v>201606</v>
      </c>
      <c r="I485" s="147">
        <v>1345.69</v>
      </c>
      <c r="J485" s="144">
        <f t="shared" si="23"/>
        <v>5</v>
      </c>
      <c r="K485" s="148">
        <v>1.4833299999999999E-3</v>
      </c>
      <c r="L485" s="147">
        <f t="shared" si="21"/>
        <v>9.98</v>
      </c>
      <c r="M485" s="147">
        <f t="shared" si="22"/>
        <v>23.95</v>
      </c>
      <c r="N485" s="168" t="e">
        <f>VLOOKUP(C485,#REF!,4)</f>
        <v>#REF!</v>
      </c>
    </row>
    <row r="486" spans="1:14">
      <c r="A486" s="145" t="s">
        <v>626</v>
      </c>
      <c r="B486" s="146" t="s">
        <v>1907</v>
      </c>
      <c r="C486" s="146" t="s">
        <v>1908</v>
      </c>
      <c r="D486" s="145" t="s">
        <v>1909</v>
      </c>
      <c r="E486" s="146" t="s">
        <v>75</v>
      </c>
      <c r="F486" s="145" t="s">
        <v>1602</v>
      </c>
      <c r="G486" s="146" t="s">
        <v>20</v>
      </c>
      <c r="H486" s="146">
        <v>201603</v>
      </c>
      <c r="I486" s="147">
        <v>-49140.34</v>
      </c>
      <c r="J486" s="144">
        <f t="shared" si="23"/>
        <v>8</v>
      </c>
      <c r="K486" s="148">
        <v>1.4833299999999999E-3</v>
      </c>
      <c r="L486" s="147">
        <f t="shared" si="21"/>
        <v>-583.13</v>
      </c>
      <c r="M486" s="147">
        <f t="shared" si="22"/>
        <v>-874.7</v>
      </c>
      <c r="N486" s="168" t="e">
        <f>VLOOKUP(C486,#REF!,4)</f>
        <v>#REF!</v>
      </c>
    </row>
    <row r="487" spans="1:14">
      <c r="A487" s="145" t="s">
        <v>626</v>
      </c>
      <c r="B487" s="146" t="s">
        <v>1907</v>
      </c>
      <c r="C487" s="146" t="s">
        <v>1908</v>
      </c>
      <c r="D487" s="145" t="s">
        <v>1909</v>
      </c>
      <c r="E487" s="146" t="s">
        <v>75</v>
      </c>
      <c r="F487" s="145" t="s">
        <v>1602</v>
      </c>
      <c r="G487" s="146" t="s">
        <v>20</v>
      </c>
      <c r="H487" s="146">
        <v>201604</v>
      </c>
      <c r="I487" s="147">
        <v>3857.9</v>
      </c>
      <c r="J487" s="144">
        <f t="shared" si="23"/>
        <v>7</v>
      </c>
      <c r="K487" s="148">
        <v>1.4833299999999999E-3</v>
      </c>
      <c r="L487" s="147">
        <f t="shared" si="21"/>
        <v>40.06</v>
      </c>
      <c r="M487" s="147">
        <f t="shared" si="22"/>
        <v>68.67</v>
      </c>
      <c r="N487" s="168" t="e">
        <f>VLOOKUP(C487,#REF!,4)</f>
        <v>#REF!</v>
      </c>
    </row>
    <row r="488" spans="1:14">
      <c r="A488" s="145" t="s">
        <v>626</v>
      </c>
      <c r="B488" s="146" t="s">
        <v>1907</v>
      </c>
      <c r="C488" s="146" t="s">
        <v>1908</v>
      </c>
      <c r="D488" s="145" t="s">
        <v>1909</v>
      </c>
      <c r="E488" s="146" t="s">
        <v>75</v>
      </c>
      <c r="F488" s="145" t="s">
        <v>1602</v>
      </c>
      <c r="G488" s="146" t="s">
        <v>20</v>
      </c>
      <c r="H488" s="146">
        <v>201605</v>
      </c>
      <c r="I488" s="147">
        <v>3000.02</v>
      </c>
      <c r="J488" s="144">
        <f t="shared" si="23"/>
        <v>6</v>
      </c>
      <c r="K488" s="148">
        <v>1.4833299999999999E-3</v>
      </c>
      <c r="L488" s="147">
        <f t="shared" si="21"/>
        <v>26.7</v>
      </c>
      <c r="M488" s="147">
        <f t="shared" si="22"/>
        <v>53.4</v>
      </c>
      <c r="N488" s="168" t="e">
        <f>VLOOKUP(C488,#REF!,4)</f>
        <v>#REF!</v>
      </c>
    </row>
    <row r="489" spans="1:14">
      <c r="A489" s="145" t="s">
        <v>626</v>
      </c>
      <c r="B489" s="146" t="s">
        <v>1907</v>
      </c>
      <c r="C489" s="146" t="s">
        <v>1908</v>
      </c>
      <c r="D489" s="145" t="s">
        <v>1909</v>
      </c>
      <c r="E489" s="146" t="s">
        <v>75</v>
      </c>
      <c r="F489" s="145" t="s">
        <v>1602</v>
      </c>
      <c r="G489" s="146" t="s">
        <v>20</v>
      </c>
      <c r="H489" s="146">
        <v>201606</v>
      </c>
      <c r="I489" s="147">
        <v>1612.47</v>
      </c>
      <c r="J489" s="144">
        <f t="shared" si="23"/>
        <v>5</v>
      </c>
      <c r="K489" s="148">
        <v>1.4833299999999999E-3</v>
      </c>
      <c r="L489" s="147">
        <f t="shared" si="21"/>
        <v>11.96</v>
      </c>
      <c r="M489" s="147">
        <f t="shared" si="22"/>
        <v>28.7</v>
      </c>
      <c r="N489" s="168" t="e">
        <f>VLOOKUP(C489,#REF!,4)</f>
        <v>#REF!</v>
      </c>
    </row>
    <row r="490" spans="1:14">
      <c r="A490" s="145" t="s">
        <v>626</v>
      </c>
      <c r="B490" s="146" t="s">
        <v>1803</v>
      </c>
      <c r="C490" s="146" t="s">
        <v>1804</v>
      </c>
      <c r="D490" s="145" t="s">
        <v>1805</v>
      </c>
      <c r="E490" s="146" t="s">
        <v>164</v>
      </c>
      <c r="F490" s="145" t="s">
        <v>1600</v>
      </c>
      <c r="G490" s="146" t="s">
        <v>20</v>
      </c>
      <c r="H490" s="146">
        <v>201603</v>
      </c>
      <c r="I490" s="147">
        <v>-1901.79</v>
      </c>
      <c r="J490" s="144">
        <f t="shared" si="23"/>
        <v>8</v>
      </c>
      <c r="K490" s="148">
        <v>1.4833299999999999E-3</v>
      </c>
      <c r="L490" s="147">
        <f t="shared" si="21"/>
        <v>-22.57</v>
      </c>
      <c r="M490" s="147">
        <f t="shared" si="22"/>
        <v>-33.85</v>
      </c>
      <c r="N490" s="168" t="e">
        <f>VLOOKUP(C490,#REF!,4)</f>
        <v>#REF!</v>
      </c>
    </row>
    <row r="491" spans="1:14">
      <c r="A491" s="145" t="s">
        <v>626</v>
      </c>
      <c r="B491" s="146" t="s">
        <v>1803</v>
      </c>
      <c r="C491" s="146" t="s">
        <v>1804</v>
      </c>
      <c r="D491" s="145" t="s">
        <v>1805</v>
      </c>
      <c r="E491" s="146" t="s">
        <v>164</v>
      </c>
      <c r="F491" s="145" t="s">
        <v>1600</v>
      </c>
      <c r="G491" s="146" t="s">
        <v>20</v>
      </c>
      <c r="H491" s="146">
        <v>201604</v>
      </c>
      <c r="I491" s="147">
        <v>6434.75</v>
      </c>
      <c r="J491" s="144">
        <f t="shared" si="23"/>
        <v>7</v>
      </c>
      <c r="K491" s="148">
        <v>1.4833299999999999E-3</v>
      </c>
      <c r="L491" s="147">
        <f t="shared" si="21"/>
        <v>66.81</v>
      </c>
      <c r="M491" s="147">
        <f t="shared" si="22"/>
        <v>114.54</v>
      </c>
      <c r="N491" s="168" t="e">
        <f>VLOOKUP(C491,#REF!,4)</f>
        <v>#REF!</v>
      </c>
    </row>
    <row r="492" spans="1:14">
      <c r="A492" s="145" t="s">
        <v>626</v>
      </c>
      <c r="B492" s="146" t="s">
        <v>1803</v>
      </c>
      <c r="C492" s="146" t="s">
        <v>1804</v>
      </c>
      <c r="D492" s="145" t="s">
        <v>1805</v>
      </c>
      <c r="E492" s="146" t="s">
        <v>164</v>
      </c>
      <c r="F492" s="145" t="s">
        <v>1600</v>
      </c>
      <c r="G492" s="146" t="s">
        <v>20</v>
      </c>
      <c r="H492" s="146">
        <v>201605</v>
      </c>
      <c r="I492" s="147">
        <v>7099.87</v>
      </c>
      <c r="J492" s="144">
        <f t="shared" si="23"/>
        <v>6</v>
      </c>
      <c r="K492" s="148">
        <v>1.4833299999999999E-3</v>
      </c>
      <c r="L492" s="147">
        <f t="shared" si="21"/>
        <v>63.19</v>
      </c>
      <c r="M492" s="147">
        <f t="shared" si="22"/>
        <v>126.38</v>
      </c>
      <c r="N492" s="168" t="e">
        <f>VLOOKUP(C492,#REF!,4)</f>
        <v>#REF!</v>
      </c>
    </row>
    <row r="493" spans="1:14">
      <c r="A493" s="145" t="s">
        <v>626</v>
      </c>
      <c r="B493" s="146" t="s">
        <v>1803</v>
      </c>
      <c r="C493" s="146" t="s">
        <v>1804</v>
      </c>
      <c r="D493" s="145" t="s">
        <v>1805</v>
      </c>
      <c r="E493" s="146" t="s">
        <v>164</v>
      </c>
      <c r="F493" s="145" t="s">
        <v>1600</v>
      </c>
      <c r="G493" s="146" t="s">
        <v>20</v>
      </c>
      <c r="H493" s="146">
        <v>201606</v>
      </c>
      <c r="I493" s="147">
        <v>3038.36</v>
      </c>
      <c r="J493" s="144">
        <f t="shared" si="23"/>
        <v>5</v>
      </c>
      <c r="K493" s="148">
        <v>1.4833299999999999E-3</v>
      </c>
      <c r="L493" s="147">
        <f t="shared" si="21"/>
        <v>22.53</v>
      </c>
      <c r="M493" s="147">
        <f t="shared" si="22"/>
        <v>54.08</v>
      </c>
      <c r="N493" s="168" t="e">
        <f>VLOOKUP(C493,#REF!,4)</f>
        <v>#REF!</v>
      </c>
    </row>
    <row r="494" spans="1:14">
      <c r="A494" s="145" t="s">
        <v>626</v>
      </c>
      <c r="B494" s="146" t="s">
        <v>1748</v>
      </c>
      <c r="C494" s="146" t="s">
        <v>1749</v>
      </c>
      <c r="D494" s="145" t="s">
        <v>1750</v>
      </c>
      <c r="E494" s="146" t="s">
        <v>75</v>
      </c>
      <c r="F494" s="145" t="s">
        <v>1602</v>
      </c>
      <c r="G494" s="146" t="s">
        <v>20</v>
      </c>
      <c r="H494" s="146">
        <v>201603</v>
      </c>
      <c r="I494" s="147">
        <v>-413.94</v>
      </c>
      <c r="J494" s="144">
        <f t="shared" si="23"/>
        <v>8</v>
      </c>
      <c r="K494" s="148">
        <v>1.4833299999999999E-3</v>
      </c>
      <c r="L494" s="147">
        <f t="shared" si="21"/>
        <v>-4.91</v>
      </c>
      <c r="M494" s="147">
        <f t="shared" si="22"/>
        <v>-7.37</v>
      </c>
      <c r="N494" s="168" t="e">
        <f>VLOOKUP(C494,#REF!,4)</f>
        <v>#REF!</v>
      </c>
    </row>
    <row r="495" spans="1:14">
      <c r="A495" s="145" t="s">
        <v>626</v>
      </c>
      <c r="B495" s="146" t="s">
        <v>1748</v>
      </c>
      <c r="C495" s="146" t="s">
        <v>1749</v>
      </c>
      <c r="D495" s="145" t="s">
        <v>1750</v>
      </c>
      <c r="E495" s="146" t="s">
        <v>75</v>
      </c>
      <c r="F495" s="145" t="s">
        <v>1602</v>
      </c>
      <c r="G495" s="146" t="s">
        <v>20</v>
      </c>
      <c r="H495" s="146">
        <v>201604</v>
      </c>
      <c r="I495" s="147">
        <v>4220.22</v>
      </c>
      <c r="J495" s="144">
        <f t="shared" si="23"/>
        <v>7</v>
      </c>
      <c r="K495" s="148">
        <v>1.4833299999999999E-3</v>
      </c>
      <c r="L495" s="147">
        <f t="shared" si="21"/>
        <v>43.82</v>
      </c>
      <c r="M495" s="147">
        <f t="shared" si="22"/>
        <v>75.12</v>
      </c>
      <c r="N495" s="168" t="e">
        <f>VLOOKUP(C495,#REF!,4)</f>
        <v>#REF!</v>
      </c>
    </row>
    <row r="496" spans="1:14">
      <c r="A496" s="145" t="s">
        <v>626</v>
      </c>
      <c r="B496" s="146" t="s">
        <v>1748</v>
      </c>
      <c r="C496" s="146" t="s">
        <v>1749</v>
      </c>
      <c r="D496" s="145" t="s">
        <v>1750</v>
      </c>
      <c r="E496" s="146" t="s">
        <v>75</v>
      </c>
      <c r="F496" s="145" t="s">
        <v>1602</v>
      </c>
      <c r="G496" s="146" t="s">
        <v>20</v>
      </c>
      <c r="H496" s="146">
        <v>201605</v>
      </c>
      <c r="I496" s="147">
        <v>4997.79</v>
      </c>
      <c r="J496" s="144">
        <f t="shared" si="23"/>
        <v>6</v>
      </c>
      <c r="K496" s="148">
        <v>1.4833299999999999E-3</v>
      </c>
      <c r="L496" s="147">
        <f t="shared" si="21"/>
        <v>44.48</v>
      </c>
      <c r="M496" s="147">
        <f t="shared" si="22"/>
        <v>88.96</v>
      </c>
      <c r="N496" s="168" t="e">
        <f>VLOOKUP(C496,#REF!,4)</f>
        <v>#REF!</v>
      </c>
    </row>
    <row r="497" spans="1:14">
      <c r="A497" s="145" t="s">
        <v>626</v>
      </c>
      <c r="B497" s="146" t="s">
        <v>1748</v>
      </c>
      <c r="C497" s="146" t="s">
        <v>1749</v>
      </c>
      <c r="D497" s="145" t="s">
        <v>1750</v>
      </c>
      <c r="E497" s="146" t="s">
        <v>75</v>
      </c>
      <c r="F497" s="145" t="s">
        <v>1602</v>
      </c>
      <c r="G497" s="146" t="s">
        <v>20</v>
      </c>
      <c r="H497" s="146">
        <v>201606</v>
      </c>
      <c r="I497" s="147">
        <v>2820.18</v>
      </c>
      <c r="J497" s="144">
        <f t="shared" si="23"/>
        <v>5</v>
      </c>
      <c r="K497" s="148">
        <v>1.4833299999999999E-3</v>
      </c>
      <c r="L497" s="147">
        <f t="shared" si="21"/>
        <v>20.92</v>
      </c>
      <c r="M497" s="147">
        <f t="shared" si="22"/>
        <v>50.2</v>
      </c>
      <c r="N497" s="168" t="e">
        <f>VLOOKUP(C497,#REF!,4)</f>
        <v>#REF!</v>
      </c>
    </row>
    <row r="498" spans="1:14">
      <c r="A498" s="145" t="s">
        <v>626</v>
      </c>
      <c r="B498" s="146" t="s">
        <v>1910</v>
      </c>
      <c r="C498" s="146" t="s">
        <v>1911</v>
      </c>
      <c r="D498" s="145" t="s">
        <v>1912</v>
      </c>
      <c r="E498" s="146" t="s">
        <v>75</v>
      </c>
      <c r="F498" s="145" t="s">
        <v>1602</v>
      </c>
      <c r="G498" s="146" t="s">
        <v>20</v>
      </c>
      <c r="H498" s="146">
        <v>201603</v>
      </c>
      <c r="I498" s="147">
        <v>2723</v>
      </c>
      <c r="J498" s="144">
        <f t="shared" si="23"/>
        <v>8</v>
      </c>
      <c r="K498" s="148">
        <v>1.4833299999999999E-3</v>
      </c>
      <c r="L498" s="147">
        <f t="shared" si="21"/>
        <v>32.31</v>
      </c>
      <c r="M498" s="147">
        <f t="shared" si="22"/>
        <v>48.47</v>
      </c>
      <c r="N498" s="168" t="e">
        <f>VLOOKUP(C498,#REF!,4)</f>
        <v>#REF!</v>
      </c>
    </row>
    <row r="499" spans="1:14">
      <c r="A499" s="145" t="s">
        <v>626</v>
      </c>
      <c r="B499" s="146" t="s">
        <v>1910</v>
      </c>
      <c r="C499" s="146" t="s">
        <v>1911</v>
      </c>
      <c r="D499" s="145" t="s">
        <v>1912</v>
      </c>
      <c r="E499" s="146" t="s">
        <v>75</v>
      </c>
      <c r="F499" s="145" t="s">
        <v>1602</v>
      </c>
      <c r="G499" s="146" t="s">
        <v>20</v>
      </c>
      <c r="H499" s="146">
        <v>201604</v>
      </c>
      <c r="I499" s="147">
        <v>4301.6099999999997</v>
      </c>
      <c r="J499" s="144">
        <f t="shared" si="23"/>
        <v>7</v>
      </c>
      <c r="K499" s="148">
        <v>1.4833299999999999E-3</v>
      </c>
      <c r="L499" s="147">
        <f t="shared" si="21"/>
        <v>44.66</v>
      </c>
      <c r="M499" s="147">
        <f t="shared" si="22"/>
        <v>76.569999999999993</v>
      </c>
      <c r="N499" s="168" t="e">
        <f>VLOOKUP(C499,#REF!,4)</f>
        <v>#REF!</v>
      </c>
    </row>
    <row r="500" spans="1:14">
      <c r="A500" s="145" t="s">
        <v>626</v>
      </c>
      <c r="B500" s="146" t="s">
        <v>1910</v>
      </c>
      <c r="C500" s="146" t="s">
        <v>1911</v>
      </c>
      <c r="D500" s="145" t="s">
        <v>1912</v>
      </c>
      <c r="E500" s="146" t="s">
        <v>75</v>
      </c>
      <c r="F500" s="145" t="s">
        <v>1602</v>
      </c>
      <c r="G500" s="146" t="s">
        <v>20</v>
      </c>
      <c r="H500" s="146">
        <v>201605</v>
      </c>
      <c r="I500" s="147">
        <v>1324.04</v>
      </c>
      <c r="J500" s="144">
        <f t="shared" si="23"/>
        <v>6</v>
      </c>
      <c r="K500" s="148">
        <v>1.4833299999999999E-3</v>
      </c>
      <c r="L500" s="147">
        <f t="shared" si="21"/>
        <v>11.78</v>
      </c>
      <c r="M500" s="147">
        <f t="shared" si="22"/>
        <v>23.57</v>
      </c>
      <c r="N500" s="168" t="e">
        <f>VLOOKUP(C500,#REF!,4)</f>
        <v>#REF!</v>
      </c>
    </row>
    <row r="501" spans="1:14">
      <c r="A501" s="145" t="s">
        <v>626</v>
      </c>
      <c r="B501" s="146" t="s">
        <v>1910</v>
      </c>
      <c r="C501" s="146" t="s">
        <v>1911</v>
      </c>
      <c r="D501" s="145" t="s">
        <v>1912</v>
      </c>
      <c r="E501" s="146" t="s">
        <v>75</v>
      </c>
      <c r="F501" s="145" t="s">
        <v>1602</v>
      </c>
      <c r="G501" s="146" t="s">
        <v>20</v>
      </c>
      <c r="H501" s="146">
        <v>201606</v>
      </c>
      <c r="I501" s="147">
        <v>1396.67</v>
      </c>
      <c r="J501" s="144">
        <f t="shared" si="23"/>
        <v>5</v>
      </c>
      <c r="K501" s="148">
        <v>1.4833299999999999E-3</v>
      </c>
      <c r="L501" s="147">
        <f t="shared" si="21"/>
        <v>10.36</v>
      </c>
      <c r="M501" s="147">
        <f t="shared" si="22"/>
        <v>24.86</v>
      </c>
      <c r="N501" s="168" t="e">
        <f>VLOOKUP(C501,#REF!,4)</f>
        <v>#REF!</v>
      </c>
    </row>
    <row r="502" spans="1:14">
      <c r="A502" s="145" t="s">
        <v>626</v>
      </c>
      <c r="B502" s="146" t="s">
        <v>1913</v>
      </c>
      <c r="C502" s="146" t="s">
        <v>1914</v>
      </c>
      <c r="D502" s="145" t="s">
        <v>1915</v>
      </c>
      <c r="E502" s="146" t="s">
        <v>75</v>
      </c>
      <c r="F502" s="145" t="s">
        <v>1602</v>
      </c>
      <c r="G502" s="146" t="s">
        <v>20</v>
      </c>
      <c r="H502" s="146">
        <v>201603</v>
      </c>
      <c r="I502" s="147">
        <v>-381.94</v>
      </c>
      <c r="J502" s="144">
        <f t="shared" si="23"/>
        <v>8</v>
      </c>
      <c r="K502" s="148">
        <v>1.4833299999999999E-3</v>
      </c>
      <c r="L502" s="147">
        <f t="shared" si="21"/>
        <v>-4.53</v>
      </c>
      <c r="M502" s="147">
        <f t="shared" si="22"/>
        <v>-6.8</v>
      </c>
      <c r="N502" s="168" t="e">
        <f>VLOOKUP(C502,#REF!,4)</f>
        <v>#REF!</v>
      </c>
    </row>
    <row r="503" spans="1:14">
      <c r="A503" s="145" t="s">
        <v>626</v>
      </c>
      <c r="B503" s="146" t="s">
        <v>1913</v>
      </c>
      <c r="C503" s="146" t="s">
        <v>1914</v>
      </c>
      <c r="D503" s="145" t="s">
        <v>1915</v>
      </c>
      <c r="E503" s="146" t="s">
        <v>75</v>
      </c>
      <c r="F503" s="145" t="s">
        <v>1602</v>
      </c>
      <c r="G503" s="146" t="s">
        <v>20</v>
      </c>
      <c r="H503" s="146">
        <v>201604</v>
      </c>
      <c r="I503" s="147">
        <v>350.52</v>
      </c>
      <c r="J503" s="144">
        <f t="shared" si="23"/>
        <v>7</v>
      </c>
      <c r="K503" s="148">
        <v>1.4833299999999999E-3</v>
      </c>
      <c r="L503" s="147">
        <f t="shared" si="21"/>
        <v>3.64</v>
      </c>
      <c r="M503" s="147">
        <f t="shared" si="22"/>
        <v>6.24</v>
      </c>
      <c r="N503" s="168" t="e">
        <f>VLOOKUP(C503,#REF!,4)</f>
        <v>#REF!</v>
      </c>
    </row>
    <row r="504" spans="1:14">
      <c r="A504" s="145" t="s">
        <v>626</v>
      </c>
      <c r="B504" s="146" t="s">
        <v>1913</v>
      </c>
      <c r="C504" s="146" t="s">
        <v>1914</v>
      </c>
      <c r="D504" s="145" t="s">
        <v>1915</v>
      </c>
      <c r="E504" s="146" t="s">
        <v>75</v>
      </c>
      <c r="F504" s="145" t="s">
        <v>1602</v>
      </c>
      <c r="G504" s="146" t="s">
        <v>20</v>
      </c>
      <c r="H504" s="146">
        <v>201605</v>
      </c>
      <c r="I504" s="147">
        <v>361.34</v>
      </c>
      <c r="J504" s="144">
        <f t="shared" si="23"/>
        <v>6</v>
      </c>
      <c r="K504" s="148">
        <v>1.4833299999999999E-3</v>
      </c>
      <c r="L504" s="147">
        <f t="shared" si="21"/>
        <v>3.22</v>
      </c>
      <c r="M504" s="147">
        <f t="shared" si="22"/>
        <v>6.43</v>
      </c>
      <c r="N504" s="168" t="e">
        <f>VLOOKUP(C504,#REF!,4)</f>
        <v>#REF!</v>
      </c>
    </row>
    <row r="505" spans="1:14">
      <c r="A505" s="145" t="s">
        <v>626</v>
      </c>
      <c r="B505" s="146" t="s">
        <v>1913</v>
      </c>
      <c r="C505" s="146" t="s">
        <v>1914</v>
      </c>
      <c r="D505" s="145" t="s">
        <v>1915</v>
      </c>
      <c r="E505" s="146" t="s">
        <v>75</v>
      </c>
      <c r="F505" s="145" t="s">
        <v>1602</v>
      </c>
      <c r="G505" s="146" t="s">
        <v>20</v>
      </c>
      <c r="H505" s="146">
        <v>201606</v>
      </c>
      <c r="I505" s="147">
        <v>213.12</v>
      </c>
      <c r="J505" s="144">
        <f t="shared" si="23"/>
        <v>5</v>
      </c>
      <c r="K505" s="148">
        <v>1.4833299999999999E-3</v>
      </c>
      <c r="L505" s="147">
        <f t="shared" si="21"/>
        <v>1.58</v>
      </c>
      <c r="M505" s="147">
        <f t="shared" si="22"/>
        <v>3.79</v>
      </c>
      <c r="N505" s="168" t="e">
        <f>VLOOKUP(C505,#REF!,4)</f>
        <v>#REF!</v>
      </c>
    </row>
    <row r="506" spans="1:14">
      <c r="A506" s="145" t="s">
        <v>626</v>
      </c>
      <c r="B506" s="146" t="s">
        <v>2048</v>
      </c>
      <c r="C506" s="146" t="s">
        <v>2049</v>
      </c>
      <c r="D506" s="145" t="s">
        <v>2050</v>
      </c>
      <c r="E506" s="146" t="s">
        <v>75</v>
      </c>
      <c r="F506" s="145" t="s">
        <v>1602</v>
      </c>
      <c r="G506" s="146" t="s">
        <v>20</v>
      </c>
      <c r="H506" s="146">
        <v>201606</v>
      </c>
      <c r="I506" s="147">
        <v>181517.93</v>
      </c>
      <c r="J506" s="144">
        <f t="shared" si="23"/>
        <v>5</v>
      </c>
      <c r="K506" s="148">
        <v>1.4833299999999999E-3</v>
      </c>
      <c r="L506" s="147">
        <f t="shared" si="21"/>
        <v>1346.25</v>
      </c>
      <c r="M506" s="147">
        <f t="shared" si="22"/>
        <v>3231.01</v>
      </c>
      <c r="N506" s="168" t="e">
        <f>VLOOKUP(C506,#REF!,4)</f>
        <v>#REF!</v>
      </c>
    </row>
    <row r="507" spans="1:14">
      <c r="A507" s="145" t="s">
        <v>626</v>
      </c>
      <c r="B507" s="146" t="s">
        <v>1916</v>
      </c>
      <c r="C507" s="146" t="s">
        <v>1917</v>
      </c>
      <c r="D507" s="145" t="s">
        <v>1273</v>
      </c>
      <c r="E507" s="146" t="s">
        <v>75</v>
      </c>
      <c r="F507" s="145" t="s">
        <v>1602</v>
      </c>
      <c r="G507" s="146" t="s">
        <v>20</v>
      </c>
      <c r="H507" s="146">
        <v>201603</v>
      </c>
      <c r="I507" s="147">
        <v>-622.54</v>
      </c>
      <c r="J507" s="144">
        <f t="shared" si="23"/>
        <v>8</v>
      </c>
      <c r="K507" s="148">
        <v>1.4833299999999999E-3</v>
      </c>
      <c r="L507" s="147">
        <f t="shared" si="21"/>
        <v>-7.39</v>
      </c>
      <c r="M507" s="147">
        <f t="shared" si="22"/>
        <v>-11.08</v>
      </c>
      <c r="N507" s="168" t="e">
        <f>VLOOKUP(C507,#REF!,4)</f>
        <v>#REF!</v>
      </c>
    </row>
    <row r="508" spans="1:14">
      <c r="A508" s="145" t="s">
        <v>626</v>
      </c>
      <c r="B508" s="146" t="s">
        <v>1916</v>
      </c>
      <c r="C508" s="146" t="s">
        <v>1917</v>
      </c>
      <c r="D508" s="145" t="s">
        <v>1273</v>
      </c>
      <c r="E508" s="146" t="s">
        <v>75</v>
      </c>
      <c r="F508" s="145" t="s">
        <v>1602</v>
      </c>
      <c r="G508" s="146" t="s">
        <v>20</v>
      </c>
      <c r="H508" s="146">
        <v>201604</v>
      </c>
      <c r="I508" s="147">
        <v>2765.92</v>
      </c>
      <c r="J508" s="144">
        <f t="shared" si="23"/>
        <v>7</v>
      </c>
      <c r="K508" s="148">
        <v>1.4833299999999999E-3</v>
      </c>
      <c r="L508" s="147">
        <f t="shared" si="21"/>
        <v>28.72</v>
      </c>
      <c r="M508" s="147">
        <f t="shared" si="22"/>
        <v>49.23</v>
      </c>
      <c r="N508" s="168" t="e">
        <f>VLOOKUP(C508,#REF!,4)</f>
        <v>#REF!</v>
      </c>
    </row>
    <row r="509" spans="1:14">
      <c r="A509" s="145" t="s">
        <v>626</v>
      </c>
      <c r="B509" s="146" t="s">
        <v>1916</v>
      </c>
      <c r="C509" s="146" t="s">
        <v>1917</v>
      </c>
      <c r="D509" s="145" t="s">
        <v>1273</v>
      </c>
      <c r="E509" s="146" t="s">
        <v>75</v>
      </c>
      <c r="F509" s="145" t="s">
        <v>1602</v>
      </c>
      <c r="G509" s="146" t="s">
        <v>20</v>
      </c>
      <c r="H509" s="146">
        <v>201605</v>
      </c>
      <c r="I509" s="147">
        <v>1047.83</v>
      </c>
      <c r="J509" s="144">
        <f t="shared" si="23"/>
        <v>6</v>
      </c>
      <c r="K509" s="148">
        <v>1.4833299999999999E-3</v>
      </c>
      <c r="L509" s="147">
        <f t="shared" si="21"/>
        <v>9.33</v>
      </c>
      <c r="M509" s="147">
        <f t="shared" si="22"/>
        <v>18.649999999999999</v>
      </c>
      <c r="N509" s="168" t="e">
        <f>VLOOKUP(C509,#REF!,4)</f>
        <v>#REF!</v>
      </c>
    </row>
    <row r="510" spans="1:14">
      <c r="A510" s="145" t="s">
        <v>626</v>
      </c>
      <c r="B510" s="146" t="s">
        <v>1916</v>
      </c>
      <c r="C510" s="146" t="s">
        <v>1917</v>
      </c>
      <c r="D510" s="145" t="s">
        <v>1273</v>
      </c>
      <c r="E510" s="146" t="s">
        <v>75</v>
      </c>
      <c r="F510" s="145" t="s">
        <v>1602</v>
      </c>
      <c r="G510" s="146" t="s">
        <v>20</v>
      </c>
      <c r="H510" s="146">
        <v>201606</v>
      </c>
      <c r="I510" s="147">
        <v>682.64</v>
      </c>
      <c r="J510" s="144">
        <f t="shared" si="23"/>
        <v>5</v>
      </c>
      <c r="K510" s="148">
        <v>1.4833299999999999E-3</v>
      </c>
      <c r="L510" s="147">
        <f t="shared" si="21"/>
        <v>5.0599999999999996</v>
      </c>
      <c r="M510" s="147">
        <f t="shared" si="22"/>
        <v>12.15</v>
      </c>
      <c r="N510" s="168" t="e">
        <f>VLOOKUP(C510,#REF!,4)</f>
        <v>#REF!</v>
      </c>
    </row>
    <row r="511" spans="1:14">
      <c r="A511" s="145" t="s">
        <v>626</v>
      </c>
      <c r="B511" s="146" t="s">
        <v>1776</v>
      </c>
      <c r="C511" s="146" t="s">
        <v>1777</v>
      </c>
      <c r="D511" s="145" t="s">
        <v>1778</v>
      </c>
      <c r="E511" s="146" t="s">
        <v>452</v>
      </c>
      <c r="F511" s="145" t="s">
        <v>398</v>
      </c>
      <c r="G511" s="146" t="s">
        <v>20</v>
      </c>
      <c r="H511" s="146">
        <v>201603</v>
      </c>
      <c r="I511" s="147">
        <v>-0.92</v>
      </c>
      <c r="J511" s="144">
        <f t="shared" si="23"/>
        <v>8</v>
      </c>
      <c r="K511" s="148">
        <v>1.4833299999999999E-3</v>
      </c>
      <c r="L511" s="147">
        <f t="shared" si="21"/>
        <v>-0.01</v>
      </c>
      <c r="M511" s="147">
        <f t="shared" si="22"/>
        <v>-0.02</v>
      </c>
      <c r="N511" s="168" t="e">
        <f>VLOOKUP(C511,#REF!,4)</f>
        <v>#REF!</v>
      </c>
    </row>
    <row r="512" spans="1:14">
      <c r="A512" s="145" t="s">
        <v>626</v>
      </c>
      <c r="B512" s="146" t="s">
        <v>1776</v>
      </c>
      <c r="C512" s="146" t="s">
        <v>1777</v>
      </c>
      <c r="D512" s="145" t="s">
        <v>1778</v>
      </c>
      <c r="E512" s="146" t="s">
        <v>452</v>
      </c>
      <c r="F512" s="145" t="s">
        <v>398</v>
      </c>
      <c r="G512" s="146" t="s">
        <v>20</v>
      </c>
      <c r="H512" s="146">
        <v>201604</v>
      </c>
      <c r="I512" s="147">
        <v>6413.47</v>
      </c>
      <c r="J512" s="144">
        <f t="shared" si="23"/>
        <v>7</v>
      </c>
      <c r="K512" s="148">
        <v>1.4833299999999999E-3</v>
      </c>
      <c r="L512" s="147">
        <f t="shared" si="21"/>
        <v>66.59</v>
      </c>
      <c r="M512" s="147">
        <f t="shared" si="22"/>
        <v>114.16</v>
      </c>
      <c r="N512" s="168" t="e">
        <f>VLOOKUP(C512,#REF!,4)</f>
        <v>#REF!</v>
      </c>
    </row>
    <row r="513" spans="1:14">
      <c r="A513" s="145" t="s">
        <v>626</v>
      </c>
      <c r="B513" s="146" t="s">
        <v>1776</v>
      </c>
      <c r="C513" s="146" t="s">
        <v>1777</v>
      </c>
      <c r="D513" s="145" t="s">
        <v>1778</v>
      </c>
      <c r="E513" s="146" t="s">
        <v>452</v>
      </c>
      <c r="F513" s="145" t="s">
        <v>398</v>
      </c>
      <c r="G513" s="146" t="s">
        <v>20</v>
      </c>
      <c r="H513" s="146">
        <v>201605</v>
      </c>
      <c r="I513" s="147">
        <v>229.73</v>
      </c>
      <c r="J513" s="144">
        <f t="shared" si="23"/>
        <v>6</v>
      </c>
      <c r="K513" s="148">
        <v>1.4833299999999999E-3</v>
      </c>
      <c r="L513" s="147">
        <f t="shared" si="21"/>
        <v>2.04</v>
      </c>
      <c r="M513" s="147">
        <f t="shared" si="22"/>
        <v>4.09</v>
      </c>
      <c r="N513" s="168" t="e">
        <f>VLOOKUP(C513,#REF!,4)</f>
        <v>#REF!</v>
      </c>
    </row>
    <row r="514" spans="1:14">
      <c r="A514" s="145" t="s">
        <v>626</v>
      </c>
      <c r="B514" s="146" t="s">
        <v>1776</v>
      </c>
      <c r="C514" s="146" t="s">
        <v>1777</v>
      </c>
      <c r="D514" s="145" t="s">
        <v>1778</v>
      </c>
      <c r="E514" s="146" t="s">
        <v>452</v>
      </c>
      <c r="F514" s="145" t="s">
        <v>398</v>
      </c>
      <c r="G514" s="146" t="s">
        <v>20</v>
      </c>
      <c r="H514" s="146">
        <v>201606</v>
      </c>
      <c r="I514" s="147">
        <v>98.64</v>
      </c>
      <c r="J514" s="144">
        <f t="shared" si="23"/>
        <v>5</v>
      </c>
      <c r="K514" s="148">
        <v>1.4833299999999999E-3</v>
      </c>
      <c r="L514" s="147">
        <f t="shared" si="21"/>
        <v>0.73</v>
      </c>
      <c r="M514" s="147">
        <f t="shared" si="22"/>
        <v>1.76</v>
      </c>
      <c r="N514" s="168" t="e">
        <f>VLOOKUP(C514,#REF!,4)</f>
        <v>#REF!</v>
      </c>
    </row>
    <row r="515" spans="1:14">
      <c r="A515" s="145" t="s">
        <v>626</v>
      </c>
      <c r="B515" s="146" t="s">
        <v>1806</v>
      </c>
      <c r="C515" s="146" t="s">
        <v>1807</v>
      </c>
      <c r="D515" s="145" t="s">
        <v>1808</v>
      </c>
      <c r="E515" s="146" t="s">
        <v>75</v>
      </c>
      <c r="F515" s="145" t="s">
        <v>1602</v>
      </c>
      <c r="G515" s="146" t="s">
        <v>20</v>
      </c>
      <c r="H515" s="146">
        <v>201603</v>
      </c>
      <c r="I515" s="147">
        <v>-137.9</v>
      </c>
      <c r="J515" s="144">
        <f t="shared" si="23"/>
        <v>8</v>
      </c>
      <c r="K515" s="148">
        <v>1.4833299999999999E-3</v>
      </c>
      <c r="L515" s="147">
        <f t="shared" si="21"/>
        <v>-1.64</v>
      </c>
      <c r="M515" s="147">
        <f t="shared" si="22"/>
        <v>-2.4500000000000002</v>
      </c>
      <c r="N515" s="168" t="e">
        <f>VLOOKUP(C515,#REF!,4)</f>
        <v>#REF!</v>
      </c>
    </row>
    <row r="516" spans="1:14">
      <c r="A516" s="145" t="s">
        <v>626</v>
      </c>
      <c r="B516" s="146" t="s">
        <v>1806</v>
      </c>
      <c r="C516" s="146" t="s">
        <v>1807</v>
      </c>
      <c r="D516" s="145" t="s">
        <v>1808</v>
      </c>
      <c r="E516" s="146" t="s">
        <v>75</v>
      </c>
      <c r="F516" s="145" t="s">
        <v>1602</v>
      </c>
      <c r="G516" s="146" t="s">
        <v>20</v>
      </c>
      <c r="H516" s="146">
        <v>201604</v>
      </c>
      <c r="I516" s="147">
        <v>366.1</v>
      </c>
      <c r="J516" s="144">
        <f t="shared" si="23"/>
        <v>7</v>
      </c>
      <c r="K516" s="148">
        <v>1.4833299999999999E-3</v>
      </c>
      <c r="L516" s="147">
        <f t="shared" si="21"/>
        <v>3.8</v>
      </c>
      <c r="M516" s="147">
        <f t="shared" si="22"/>
        <v>6.52</v>
      </c>
      <c r="N516" s="168" t="e">
        <f>VLOOKUP(C516,#REF!,4)</f>
        <v>#REF!</v>
      </c>
    </row>
    <row r="517" spans="1:14">
      <c r="A517" s="145" t="s">
        <v>626</v>
      </c>
      <c r="B517" s="146" t="s">
        <v>1806</v>
      </c>
      <c r="C517" s="146" t="s">
        <v>1807</v>
      </c>
      <c r="D517" s="145" t="s">
        <v>1808</v>
      </c>
      <c r="E517" s="146" t="s">
        <v>75</v>
      </c>
      <c r="F517" s="145" t="s">
        <v>1602</v>
      </c>
      <c r="G517" s="146" t="s">
        <v>20</v>
      </c>
      <c r="H517" s="146">
        <v>201605</v>
      </c>
      <c r="I517" s="147">
        <v>367.69</v>
      </c>
      <c r="J517" s="144">
        <f t="shared" si="23"/>
        <v>6</v>
      </c>
      <c r="K517" s="148">
        <v>1.4833299999999999E-3</v>
      </c>
      <c r="L517" s="147">
        <f t="shared" ref="L517:L580" si="24">ROUND(I517*J517*K517,2)</f>
        <v>3.27</v>
      </c>
      <c r="M517" s="147">
        <f t="shared" ref="M517:M580" si="25">ROUND(I517*K517*12,2)</f>
        <v>6.54</v>
      </c>
      <c r="N517" s="168" t="e">
        <f>VLOOKUP(C517,#REF!,4)</f>
        <v>#REF!</v>
      </c>
    </row>
    <row r="518" spans="1:14">
      <c r="A518" s="145" t="s">
        <v>626</v>
      </c>
      <c r="B518" s="146" t="s">
        <v>1806</v>
      </c>
      <c r="C518" s="146" t="s">
        <v>1807</v>
      </c>
      <c r="D518" s="145" t="s">
        <v>1808</v>
      </c>
      <c r="E518" s="146" t="s">
        <v>75</v>
      </c>
      <c r="F518" s="145" t="s">
        <v>1602</v>
      </c>
      <c r="G518" s="146" t="s">
        <v>20</v>
      </c>
      <c r="H518" s="146">
        <v>201606</v>
      </c>
      <c r="I518" s="147">
        <v>178.59</v>
      </c>
      <c r="J518" s="144">
        <f t="shared" ref="J518:J581" si="26">VLOOKUP(H518,$P$5:$Q$14,2)</f>
        <v>5</v>
      </c>
      <c r="K518" s="148">
        <v>1.4833299999999999E-3</v>
      </c>
      <c r="L518" s="147">
        <f t="shared" si="24"/>
        <v>1.32</v>
      </c>
      <c r="M518" s="147">
        <f t="shared" si="25"/>
        <v>3.18</v>
      </c>
      <c r="N518" s="168" t="e">
        <f>VLOOKUP(C518,#REF!,4)</f>
        <v>#REF!</v>
      </c>
    </row>
    <row r="519" spans="1:14">
      <c r="A519" s="145" t="s">
        <v>626</v>
      </c>
      <c r="B519" s="146" t="s">
        <v>1918</v>
      </c>
      <c r="C519" s="146" t="s">
        <v>1919</v>
      </c>
      <c r="D519" s="145" t="s">
        <v>1920</v>
      </c>
      <c r="E519" s="146" t="s">
        <v>75</v>
      </c>
      <c r="F519" s="145" t="s">
        <v>1602</v>
      </c>
      <c r="G519" s="146" t="s">
        <v>20</v>
      </c>
      <c r="H519" s="146">
        <v>201603</v>
      </c>
      <c r="I519" s="147">
        <v>-280.25</v>
      </c>
      <c r="J519" s="144">
        <f t="shared" si="26"/>
        <v>8</v>
      </c>
      <c r="K519" s="148">
        <v>1.4833299999999999E-3</v>
      </c>
      <c r="L519" s="147">
        <f t="shared" si="24"/>
        <v>-3.33</v>
      </c>
      <c r="M519" s="147">
        <f t="shared" si="25"/>
        <v>-4.99</v>
      </c>
      <c r="N519" s="168" t="e">
        <f>VLOOKUP(C519,#REF!,4)</f>
        <v>#REF!</v>
      </c>
    </row>
    <row r="520" spans="1:14">
      <c r="A520" s="145" t="s">
        <v>626</v>
      </c>
      <c r="B520" s="146" t="s">
        <v>1918</v>
      </c>
      <c r="C520" s="146" t="s">
        <v>1919</v>
      </c>
      <c r="D520" s="145" t="s">
        <v>1920</v>
      </c>
      <c r="E520" s="146" t="s">
        <v>75</v>
      </c>
      <c r="F520" s="145" t="s">
        <v>1602</v>
      </c>
      <c r="G520" s="146" t="s">
        <v>20</v>
      </c>
      <c r="H520" s="146">
        <v>201604</v>
      </c>
      <c r="I520" s="147">
        <v>259.12</v>
      </c>
      <c r="J520" s="144">
        <f t="shared" si="26"/>
        <v>7</v>
      </c>
      <c r="K520" s="148">
        <v>1.4833299999999999E-3</v>
      </c>
      <c r="L520" s="147">
        <f t="shared" si="24"/>
        <v>2.69</v>
      </c>
      <c r="M520" s="147">
        <f t="shared" si="25"/>
        <v>4.6100000000000003</v>
      </c>
      <c r="N520" s="168" t="e">
        <f>VLOOKUP(C520,#REF!,4)</f>
        <v>#REF!</v>
      </c>
    </row>
    <row r="521" spans="1:14">
      <c r="A521" s="145" t="s">
        <v>626</v>
      </c>
      <c r="B521" s="146" t="s">
        <v>1918</v>
      </c>
      <c r="C521" s="146" t="s">
        <v>1919</v>
      </c>
      <c r="D521" s="145" t="s">
        <v>1920</v>
      </c>
      <c r="E521" s="146" t="s">
        <v>75</v>
      </c>
      <c r="F521" s="145" t="s">
        <v>1602</v>
      </c>
      <c r="G521" s="146" t="s">
        <v>20</v>
      </c>
      <c r="H521" s="146">
        <v>201605</v>
      </c>
      <c r="I521" s="147">
        <v>212.91</v>
      </c>
      <c r="J521" s="144">
        <f t="shared" si="26"/>
        <v>6</v>
      </c>
      <c r="K521" s="148">
        <v>1.4833299999999999E-3</v>
      </c>
      <c r="L521" s="147">
        <f t="shared" si="24"/>
        <v>1.89</v>
      </c>
      <c r="M521" s="147">
        <f t="shared" si="25"/>
        <v>3.79</v>
      </c>
      <c r="N521" s="168" t="e">
        <f>VLOOKUP(C521,#REF!,4)</f>
        <v>#REF!</v>
      </c>
    </row>
    <row r="522" spans="1:14">
      <c r="A522" s="145" t="s">
        <v>626</v>
      </c>
      <c r="B522" s="146" t="s">
        <v>1918</v>
      </c>
      <c r="C522" s="146" t="s">
        <v>1919</v>
      </c>
      <c r="D522" s="145" t="s">
        <v>1920</v>
      </c>
      <c r="E522" s="146" t="s">
        <v>75</v>
      </c>
      <c r="F522" s="145" t="s">
        <v>1602</v>
      </c>
      <c r="G522" s="146" t="s">
        <v>20</v>
      </c>
      <c r="H522" s="146">
        <v>201606</v>
      </c>
      <c r="I522" s="147">
        <v>151.94999999999999</v>
      </c>
      <c r="J522" s="144">
        <f t="shared" si="26"/>
        <v>5</v>
      </c>
      <c r="K522" s="148">
        <v>1.4833299999999999E-3</v>
      </c>
      <c r="L522" s="147">
        <f t="shared" si="24"/>
        <v>1.1299999999999999</v>
      </c>
      <c r="M522" s="147">
        <f t="shared" si="25"/>
        <v>2.7</v>
      </c>
      <c r="N522" s="168" t="e">
        <f>VLOOKUP(C522,#REF!,4)</f>
        <v>#REF!</v>
      </c>
    </row>
    <row r="523" spans="1:14">
      <c r="A523" s="145" t="s">
        <v>626</v>
      </c>
      <c r="B523" s="146" t="s">
        <v>2051</v>
      </c>
      <c r="C523" s="146" t="s">
        <v>2052</v>
      </c>
      <c r="D523" s="145" t="s">
        <v>2053</v>
      </c>
      <c r="E523" s="146" t="s">
        <v>75</v>
      </c>
      <c r="F523" s="145" t="s">
        <v>1602</v>
      </c>
      <c r="G523" s="146" t="s">
        <v>20</v>
      </c>
      <c r="H523" s="146">
        <v>201606</v>
      </c>
      <c r="I523" s="147">
        <v>46134.87</v>
      </c>
      <c r="J523" s="144">
        <f t="shared" si="26"/>
        <v>5</v>
      </c>
      <c r="K523" s="148">
        <v>1.4833299999999999E-3</v>
      </c>
      <c r="L523" s="147">
        <f t="shared" si="24"/>
        <v>342.17</v>
      </c>
      <c r="M523" s="147">
        <f t="shared" si="25"/>
        <v>821.2</v>
      </c>
      <c r="N523" s="168" t="e">
        <f>VLOOKUP(C523,#REF!,4)</f>
        <v>#REF!</v>
      </c>
    </row>
    <row r="524" spans="1:14">
      <c r="A524" s="145" t="s">
        <v>626</v>
      </c>
      <c r="B524" s="146" t="s">
        <v>1658</v>
      </c>
      <c r="C524" s="146" t="s">
        <v>1659</v>
      </c>
      <c r="D524" s="145" t="s">
        <v>1660</v>
      </c>
      <c r="E524" s="146" t="s">
        <v>209</v>
      </c>
      <c r="F524" s="145" t="s">
        <v>1612</v>
      </c>
      <c r="G524" s="146" t="s">
        <v>20</v>
      </c>
      <c r="H524" s="146">
        <v>201604</v>
      </c>
      <c r="I524" s="147">
        <v>-10.64</v>
      </c>
      <c r="J524" s="144">
        <f t="shared" si="26"/>
        <v>7</v>
      </c>
      <c r="K524" s="148">
        <v>1.4833299999999999E-3</v>
      </c>
      <c r="L524" s="147">
        <f t="shared" si="24"/>
        <v>-0.11</v>
      </c>
      <c r="M524" s="147">
        <f t="shared" si="25"/>
        <v>-0.19</v>
      </c>
      <c r="N524" s="168" t="e">
        <f>VLOOKUP(C524,#REF!,4)</f>
        <v>#REF!</v>
      </c>
    </row>
    <row r="525" spans="1:14">
      <c r="A525" s="145" t="s">
        <v>626</v>
      </c>
      <c r="B525" s="146" t="s">
        <v>1921</v>
      </c>
      <c r="C525" s="146" t="s">
        <v>1922</v>
      </c>
      <c r="D525" s="145" t="s">
        <v>1923</v>
      </c>
      <c r="E525" s="146" t="s">
        <v>156</v>
      </c>
      <c r="F525" s="145" t="s">
        <v>26</v>
      </c>
      <c r="G525" s="146" t="s">
        <v>20</v>
      </c>
      <c r="H525" s="146">
        <v>201603</v>
      </c>
      <c r="I525" s="147">
        <v>-2391.35</v>
      </c>
      <c r="J525" s="144">
        <f t="shared" si="26"/>
        <v>8</v>
      </c>
      <c r="K525" s="148">
        <v>1.4833299999999999E-3</v>
      </c>
      <c r="L525" s="147">
        <f t="shared" si="24"/>
        <v>-28.38</v>
      </c>
      <c r="M525" s="147">
        <f t="shared" si="25"/>
        <v>-42.57</v>
      </c>
      <c r="N525" s="168" t="e">
        <f>VLOOKUP(C525,#REF!,4)</f>
        <v>#REF!</v>
      </c>
    </row>
    <row r="526" spans="1:14">
      <c r="A526" s="145" t="s">
        <v>626</v>
      </c>
      <c r="B526" s="146" t="s">
        <v>1921</v>
      </c>
      <c r="C526" s="146" t="s">
        <v>1922</v>
      </c>
      <c r="D526" s="145" t="s">
        <v>1923</v>
      </c>
      <c r="E526" s="146" t="s">
        <v>156</v>
      </c>
      <c r="F526" s="145" t="s">
        <v>26</v>
      </c>
      <c r="G526" s="146" t="s">
        <v>20</v>
      </c>
      <c r="H526" s="146">
        <v>201604</v>
      </c>
      <c r="I526" s="147">
        <v>1753.12</v>
      </c>
      <c r="J526" s="144">
        <f t="shared" si="26"/>
        <v>7</v>
      </c>
      <c r="K526" s="148">
        <v>1.4833299999999999E-3</v>
      </c>
      <c r="L526" s="147">
        <f t="shared" si="24"/>
        <v>18.2</v>
      </c>
      <c r="M526" s="147">
        <f t="shared" si="25"/>
        <v>31.21</v>
      </c>
      <c r="N526" s="168" t="e">
        <f>VLOOKUP(C526,#REF!,4)</f>
        <v>#REF!</v>
      </c>
    </row>
    <row r="527" spans="1:14">
      <c r="A527" s="145" t="s">
        <v>626</v>
      </c>
      <c r="B527" s="146" t="s">
        <v>1921</v>
      </c>
      <c r="C527" s="146" t="s">
        <v>1922</v>
      </c>
      <c r="D527" s="145" t="s">
        <v>1923</v>
      </c>
      <c r="E527" s="146" t="s">
        <v>156</v>
      </c>
      <c r="F527" s="145" t="s">
        <v>26</v>
      </c>
      <c r="G527" s="146" t="s">
        <v>20</v>
      </c>
      <c r="H527" s="146">
        <v>201605</v>
      </c>
      <c r="I527" s="147">
        <v>1645.2</v>
      </c>
      <c r="J527" s="144">
        <f t="shared" si="26"/>
        <v>6</v>
      </c>
      <c r="K527" s="148">
        <v>1.4833299999999999E-3</v>
      </c>
      <c r="L527" s="147">
        <f t="shared" si="24"/>
        <v>14.64</v>
      </c>
      <c r="M527" s="147">
        <f t="shared" si="25"/>
        <v>29.28</v>
      </c>
      <c r="N527" s="168" t="e">
        <f>VLOOKUP(C527,#REF!,4)</f>
        <v>#REF!</v>
      </c>
    </row>
    <row r="528" spans="1:14">
      <c r="A528" s="145" t="s">
        <v>626</v>
      </c>
      <c r="B528" s="146" t="s">
        <v>1921</v>
      </c>
      <c r="C528" s="146" t="s">
        <v>1922</v>
      </c>
      <c r="D528" s="145" t="s">
        <v>1923</v>
      </c>
      <c r="E528" s="146" t="s">
        <v>156</v>
      </c>
      <c r="F528" s="145" t="s">
        <v>26</v>
      </c>
      <c r="G528" s="146" t="s">
        <v>20</v>
      </c>
      <c r="H528" s="146">
        <v>201606</v>
      </c>
      <c r="I528" s="147">
        <v>1092.75</v>
      </c>
      <c r="J528" s="144">
        <f t="shared" si="26"/>
        <v>5</v>
      </c>
      <c r="K528" s="148">
        <v>1.4833299999999999E-3</v>
      </c>
      <c r="L528" s="147">
        <f t="shared" si="24"/>
        <v>8.1</v>
      </c>
      <c r="M528" s="147">
        <f t="shared" si="25"/>
        <v>19.45</v>
      </c>
      <c r="N528" s="168" t="e">
        <f>VLOOKUP(C528,#REF!,4)</f>
        <v>#REF!</v>
      </c>
    </row>
    <row r="529" spans="1:14">
      <c r="A529" s="145" t="s">
        <v>14</v>
      </c>
      <c r="B529" s="146" t="s">
        <v>1661</v>
      </c>
      <c r="C529" s="146" t="s">
        <v>1662</v>
      </c>
      <c r="D529" s="145" t="s">
        <v>1663</v>
      </c>
      <c r="E529" s="146" t="s">
        <v>284</v>
      </c>
      <c r="F529" s="145" t="s">
        <v>285</v>
      </c>
      <c r="G529" s="146" t="s">
        <v>20</v>
      </c>
      <c r="H529" s="146">
        <v>201603</v>
      </c>
      <c r="I529" s="147">
        <v>0.01</v>
      </c>
      <c r="J529" s="144">
        <f t="shared" si="26"/>
        <v>8</v>
      </c>
      <c r="K529" s="148">
        <v>2.23333E-3</v>
      </c>
      <c r="L529" s="147">
        <f t="shared" si="24"/>
        <v>0</v>
      </c>
      <c r="M529" s="147">
        <f t="shared" si="25"/>
        <v>0</v>
      </c>
      <c r="N529" s="168" t="e">
        <f>VLOOKUP(C529,#REF!,4)</f>
        <v>#REF!</v>
      </c>
    </row>
    <row r="530" spans="1:14">
      <c r="A530" s="145" t="s">
        <v>14</v>
      </c>
      <c r="B530" s="146" t="s">
        <v>1661</v>
      </c>
      <c r="C530" s="146" t="s">
        <v>1662</v>
      </c>
      <c r="D530" s="145" t="s">
        <v>1663</v>
      </c>
      <c r="E530" s="146" t="s">
        <v>284</v>
      </c>
      <c r="F530" s="145" t="s">
        <v>285</v>
      </c>
      <c r="G530" s="146" t="s">
        <v>20</v>
      </c>
      <c r="H530" s="146">
        <v>201604</v>
      </c>
      <c r="I530" s="147">
        <v>-0.01</v>
      </c>
      <c r="J530" s="144">
        <f t="shared" si="26"/>
        <v>7</v>
      </c>
      <c r="K530" s="148">
        <v>2.23333E-3</v>
      </c>
      <c r="L530" s="147">
        <f t="shared" si="24"/>
        <v>0</v>
      </c>
      <c r="M530" s="147">
        <f t="shared" si="25"/>
        <v>0</v>
      </c>
      <c r="N530" s="168" t="e">
        <f>VLOOKUP(C530,#REF!,4)</f>
        <v>#REF!</v>
      </c>
    </row>
    <row r="531" spans="1:14">
      <c r="A531" s="145" t="s">
        <v>21</v>
      </c>
      <c r="B531" s="146" t="s">
        <v>1664</v>
      </c>
      <c r="C531" s="146" t="s">
        <v>1665</v>
      </c>
      <c r="D531" s="145" t="s">
        <v>1666</v>
      </c>
      <c r="E531" s="146" t="s">
        <v>87</v>
      </c>
      <c r="F531" s="145" t="s">
        <v>1603</v>
      </c>
      <c r="G531" s="146" t="s">
        <v>20</v>
      </c>
      <c r="H531" s="146">
        <v>201603</v>
      </c>
      <c r="I531" s="147">
        <v>5.53</v>
      </c>
      <c r="J531" s="144">
        <f t="shared" si="26"/>
        <v>8</v>
      </c>
      <c r="K531" s="148">
        <v>1.4833299999999999E-3</v>
      </c>
      <c r="L531" s="147">
        <f t="shared" si="24"/>
        <v>7.0000000000000007E-2</v>
      </c>
      <c r="M531" s="147">
        <f t="shared" si="25"/>
        <v>0.1</v>
      </c>
      <c r="N531" s="168" t="e">
        <f>VLOOKUP(C531,#REF!,4)</f>
        <v>#REF!</v>
      </c>
    </row>
    <row r="532" spans="1:14">
      <c r="A532" s="145" t="s">
        <v>21</v>
      </c>
      <c r="B532" s="146" t="s">
        <v>1664</v>
      </c>
      <c r="C532" s="146" t="s">
        <v>1665</v>
      </c>
      <c r="D532" s="145" t="s">
        <v>1666</v>
      </c>
      <c r="E532" s="146" t="s">
        <v>87</v>
      </c>
      <c r="F532" s="145" t="s">
        <v>1603</v>
      </c>
      <c r="G532" s="146" t="s">
        <v>20</v>
      </c>
      <c r="H532" s="146">
        <v>201604</v>
      </c>
      <c r="I532" s="147">
        <v>-77.37</v>
      </c>
      <c r="J532" s="144">
        <f t="shared" si="26"/>
        <v>7</v>
      </c>
      <c r="K532" s="148">
        <v>1.4833299999999999E-3</v>
      </c>
      <c r="L532" s="147">
        <f t="shared" si="24"/>
        <v>-0.8</v>
      </c>
      <c r="M532" s="147">
        <f t="shared" si="25"/>
        <v>-1.38</v>
      </c>
      <c r="N532" s="168" t="e">
        <f>VLOOKUP(C532,#REF!,4)</f>
        <v>#REF!</v>
      </c>
    </row>
    <row r="533" spans="1:14">
      <c r="A533" s="145" t="s">
        <v>21</v>
      </c>
      <c r="B533" s="146" t="s">
        <v>1664</v>
      </c>
      <c r="C533" s="146" t="s">
        <v>1665</v>
      </c>
      <c r="D533" s="145" t="s">
        <v>1666</v>
      </c>
      <c r="E533" s="146" t="s">
        <v>87</v>
      </c>
      <c r="F533" s="145" t="s">
        <v>1603</v>
      </c>
      <c r="G533" s="146" t="s">
        <v>20</v>
      </c>
      <c r="H533" s="146">
        <v>201605</v>
      </c>
      <c r="I533" s="147">
        <v>484.7</v>
      </c>
      <c r="J533" s="144">
        <f t="shared" si="26"/>
        <v>6</v>
      </c>
      <c r="K533" s="148">
        <v>1.4833299999999999E-3</v>
      </c>
      <c r="L533" s="147">
        <f t="shared" si="24"/>
        <v>4.3099999999999996</v>
      </c>
      <c r="M533" s="147">
        <f t="shared" si="25"/>
        <v>8.6300000000000008</v>
      </c>
      <c r="N533" s="168" t="e">
        <f>VLOOKUP(C533,#REF!,4)</f>
        <v>#REF!</v>
      </c>
    </row>
    <row r="534" spans="1:14">
      <c r="A534" s="145" t="s">
        <v>21</v>
      </c>
      <c r="B534" s="146" t="s">
        <v>1664</v>
      </c>
      <c r="C534" s="146" t="s">
        <v>1665</v>
      </c>
      <c r="D534" s="145" t="s">
        <v>1666</v>
      </c>
      <c r="E534" s="146" t="s">
        <v>87</v>
      </c>
      <c r="F534" s="145" t="s">
        <v>1603</v>
      </c>
      <c r="G534" s="146" t="s">
        <v>20</v>
      </c>
      <c r="H534" s="146">
        <v>201606</v>
      </c>
      <c r="I534" s="147">
        <v>-38.57</v>
      </c>
      <c r="J534" s="144">
        <f t="shared" si="26"/>
        <v>5</v>
      </c>
      <c r="K534" s="148">
        <v>1.4833299999999999E-3</v>
      </c>
      <c r="L534" s="147">
        <f t="shared" si="24"/>
        <v>-0.28999999999999998</v>
      </c>
      <c r="M534" s="147">
        <f t="shared" si="25"/>
        <v>-0.69</v>
      </c>
      <c r="N534" s="168" t="e">
        <f>VLOOKUP(C534,#REF!,4)</f>
        <v>#REF!</v>
      </c>
    </row>
    <row r="535" spans="1:14">
      <c r="A535" s="145" t="s">
        <v>990</v>
      </c>
      <c r="B535" s="146" t="s">
        <v>1751</v>
      </c>
      <c r="C535" s="146" t="s">
        <v>1752</v>
      </c>
      <c r="D535" s="145" t="s">
        <v>1753</v>
      </c>
      <c r="E535" s="146" t="s">
        <v>1688</v>
      </c>
      <c r="F535" s="145" t="s">
        <v>1689</v>
      </c>
      <c r="G535" s="146" t="s">
        <v>20</v>
      </c>
      <c r="H535" s="146">
        <v>201603</v>
      </c>
      <c r="I535" s="147">
        <v>-6.19</v>
      </c>
      <c r="J535" s="144">
        <f t="shared" si="26"/>
        <v>8</v>
      </c>
      <c r="K535" s="148">
        <v>2.3833299999999999E-3</v>
      </c>
      <c r="L535" s="147">
        <f t="shared" si="24"/>
        <v>-0.12</v>
      </c>
      <c r="M535" s="147">
        <f t="shared" si="25"/>
        <v>-0.18</v>
      </c>
      <c r="N535" s="168" t="e">
        <f>VLOOKUP(C535,#REF!,4)</f>
        <v>#REF!</v>
      </c>
    </row>
    <row r="536" spans="1:14">
      <c r="A536" s="145" t="s">
        <v>990</v>
      </c>
      <c r="B536" s="146" t="s">
        <v>1751</v>
      </c>
      <c r="C536" s="146" t="s">
        <v>1752</v>
      </c>
      <c r="D536" s="145" t="s">
        <v>1753</v>
      </c>
      <c r="E536" s="146" t="s">
        <v>1688</v>
      </c>
      <c r="F536" s="145" t="s">
        <v>1689</v>
      </c>
      <c r="G536" s="146" t="s">
        <v>20</v>
      </c>
      <c r="H536" s="146">
        <v>201604</v>
      </c>
      <c r="I536" s="147">
        <v>13.73</v>
      </c>
      <c r="J536" s="144">
        <f t="shared" si="26"/>
        <v>7</v>
      </c>
      <c r="K536" s="148">
        <v>2.3833299999999999E-3</v>
      </c>
      <c r="L536" s="147">
        <f t="shared" si="24"/>
        <v>0.23</v>
      </c>
      <c r="M536" s="147">
        <f t="shared" si="25"/>
        <v>0.39</v>
      </c>
      <c r="N536" s="168" t="e">
        <f>VLOOKUP(C536,#REF!,4)</f>
        <v>#REF!</v>
      </c>
    </row>
    <row r="537" spans="1:14">
      <c r="A537" s="145" t="s">
        <v>990</v>
      </c>
      <c r="B537" s="146" t="s">
        <v>1751</v>
      </c>
      <c r="C537" s="146" t="s">
        <v>1752</v>
      </c>
      <c r="D537" s="145" t="s">
        <v>1753</v>
      </c>
      <c r="E537" s="146" t="s">
        <v>1688</v>
      </c>
      <c r="F537" s="145" t="s">
        <v>1689</v>
      </c>
      <c r="G537" s="146" t="s">
        <v>20</v>
      </c>
      <c r="H537" s="146">
        <v>201605</v>
      </c>
      <c r="I537" s="147">
        <v>11.21</v>
      </c>
      <c r="J537" s="144">
        <f t="shared" si="26"/>
        <v>6</v>
      </c>
      <c r="K537" s="148">
        <v>2.3833299999999999E-3</v>
      </c>
      <c r="L537" s="147">
        <f t="shared" si="24"/>
        <v>0.16</v>
      </c>
      <c r="M537" s="147">
        <f t="shared" si="25"/>
        <v>0.32</v>
      </c>
      <c r="N537" s="168" t="e">
        <f>VLOOKUP(C537,#REF!,4)</f>
        <v>#REF!</v>
      </c>
    </row>
    <row r="538" spans="1:14">
      <c r="A538" s="145" t="s">
        <v>990</v>
      </c>
      <c r="B538" s="146" t="s">
        <v>1751</v>
      </c>
      <c r="C538" s="146" t="s">
        <v>1752</v>
      </c>
      <c r="D538" s="145" t="s">
        <v>1753</v>
      </c>
      <c r="E538" s="146" t="s">
        <v>1688</v>
      </c>
      <c r="F538" s="145" t="s">
        <v>1689</v>
      </c>
      <c r="G538" s="146" t="s">
        <v>20</v>
      </c>
      <c r="H538" s="146">
        <v>201606</v>
      </c>
      <c r="I538" s="147">
        <v>7.32</v>
      </c>
      <c r="J538" s="144">
        <f t="shared" si="26"/>
        <v>5</v>
      </c>
      <c r="K538" s="148">
        <v>2.3833299999999999E-3</v>
      </c>
      <c r="L538" s="147">
        <f t="shared" si="24"/>
        <v>0.09</v>
      </c>
      <c r="M538" s="147">
        <f t="shared" si="25"/>
        <v>0.21</v>
      </c>
      <c r="N538" s="168" t="e">
        <f>VLOOKUP(C538,#REF!,4)</f>
        <v>#REF!</v>
      </c>
    </row>
    <row r="539" spans="1:14">
      <c r="A539" s="145" t="s">
        <v>990</v>
      </c>
      <c r="B539" s="146" t="s">
        <v>1754</v>
      </c>
      <c r="C539" s="146" t="s">
        <v>1755</v>
      </c>
      <c r="D539" s="145" t="s">
        <v>1756</v>
      </c>
      <c r="E539" s="146" t="s">
        <v>1688</v>
      </c>
      <c r="F539" s="145" t="s">
        <v>1689</v>
      </c>
      <c r="G539" s="146" t="s">
        <v>20</v>
      </c>
      <c r="H539" s="146">
        <v>201603</v>
      </c>
      <c r="I539" s="147">
        <v>-53.01</v>
      </c>
      <c r="J539" s="144">
        <f t="shared" si="26"/>
        <v>8</v>
      </c>
      <c r="K539" s="148">
        <v>2.3833299999999999E-3</v>
      </c>
      <c r="L539" s="147">
        <f t="shared" si="24"/>
        <v>-1.01</v>
      </c>
      <c r="M539" s="147">
        <f t="shared" si="25"/>
        <v>-1.52</v>
      </c>
      <c r="N539" s="168" t="e">
        <f>VLOOKUP(C539,#REF!,4)</f>
        <v>#REF!</v>
      </c>
    </row>
    <row r="540" spans="1:14">
      <c r="A540" s="145" t="s">
        <v>990</v>
      </c>
      <c r="B540" s="146" t="s">
        <v>1754</v>
      </c>
      <c r="C540" s="146" t="s">
        <v>1755</v>
      </c>
      <c r="D540" s="145" t="s">
        <v>1756</v>
      </c>
      <c r="E540" s="146" t="s">
        <v>1688</v>
      </c>
      <c r="F540" s="145" t="s">
        <v>1689</v>
      </c>
      <c r="G540" s="146" t="s">
        <v>20</v>
      </c>
      <c r="H540" s="146">
        <v>201604</v>
      </c>
      <c r="I540" s="147">
        <v>56.9</v>
      </c>
      <c r="J540" s="144">
        <f t="shared" si="26"/>
        <v>7</v>
      </c>
      <c r="K540" s="148">
        <v>2.3833299999999999E-3</v>
      </c>
      <c r="L540" s="147">
        <f t="shared" si="24"/>
        <v>0.95</v>
      </c>
      <c r="M540" s="147">
        <f t="shared" si="25"/>
        <v>1.63</v>
      </c>
      <c r="N540" s="168" t="e">
        <f>VLOOKUP(C540,#REF!,4)</f>
        <v>#REF!</v>
      </c>
    </row>
    <row r="541" spans="1:14">
      <c r="A541" s="145" t="s">
        <v>990</v>
      </c>
      <c r="B541" s="146" t="s">
        <v>1754</v>
      </c>
      <c r="C541" s="146" t="s">
        <v>1755</v>
      </c>
      <c r="D541" s="145" t="s">
        <v>1756</v>
      </c>
      <c r="E541" s="146" t="s">
        <v>1688</v>
      </c>
      <c r="F541" s="145" t="s">
        <v>1689</v>
      </c>
      <c r="G541" s="146" t="s">
        <v>20</v>
      </c>
      <c r="H541" s="146">
        <v>201605</v>
      </c>
      <c r="I541" s="147">
        <v>48.16</v>
      </c>
      <c r="J541" s="144">
        <f t="shared" si="26"/>
        <v>6</v>
      </c>
      <c r="K541" s="148">
        <v>2.3833299999999999E-3</v>
      </c>
      <c r="L541" s="147">
        <f t="shared" si="24"/>
        <v>0.69</v>
      </c>
      <c r="M541" s="147">
        <f t="shared" si="25"/>
        <v>1.38</v>
      </c>
      <c r="N541" s="168" t="e">
        <f>VLOOKUP(C541,#REF!,4)</f>
        <v>#REF!</v>
      </c>
    </row>
    <row r="542" spans="1:14">
      <c r="A542" s="145" t="s">
        <v>990</v>
      </c>
      <c r="B542" s="146" t="s">
        <v>1754</v>
      </c>
      <c r="C542" s="146" t="s">
        <v>1755</v>
      </c>
      <c r="D542" s="145" t="s">
        <v>1756</v>
      </c>
      <c r="E542" s="146" t="s">
        <v>1688</v>
      </c>
      <c r="F542" s="145" t="s">
        <v>1689</v>
      </c>
      <c r="G542" s="146" t="s">
        <v>20</v>
      </c>
      <c r="H542" s="146">
        <v>201606</v>
      </c>
      <c r="I542" s="147">
        <v>33.54</v>
      </c>
      <c r="J542" s="144">
        <f t="shared" si="26"/>
        <v>5</v>
      </c>
      <c r="K542" s="148">
        <v>2.3833299999999999E-3</v>
      </c>
      <c r="L542" s="147">
        <f t="shared" si="24"/>
        <v>0.4</v>
      </c>
      <c r="M542" s="147">
        <f t="shared" si="25"/>
        <v>0.96</v>
      </c>
      <c r="N542" s="168" t="e">
        <f>VLOOKUP(C542,#REF!,4)</f>
        <v>#REF!</v>
      </c>
    </row>
    <row r="543" spans="1:14">
      <c r="A543" s="145" t="s">
        <v>21</v>
      </c>
      <c r="B543" s="146" t="s">
        <v>1667</v>
      </c>
      <c r="C543" s="146" t="s">
        <v>1668</v>
      </c>
      <c r="D543" s="145" t="s">
        <v>1651</v>
      </c>
      <c r="E543" s="146" t="s">
        <v>209</v>
      </c>
      <c r="F543" s="145" t="s">
        <v>1612</v>
      </c>
      <c r="G543" s="146" t="s">
        <v>20</v>
      </c>
      <c r="H543" s="146">
        <v>201604</v>
      </c>
      <c r="I543" s="147">
        <v>2691.95</v>
      </c>
      <c r="J543" s="144">
        <f t="shared" si="26"/>
        <v>7</v>
      </c>
      <c r="K543" s="148">
        <v>1.4833299999999999E-3</v>
      </c>
      <c r="L543" s="147">
        <f t="shared" si="24"/>
        <v>27.95</v>
      </c>
      <c r="M543" s="147">
        <f t="shared" si="25"/>
        <v>47.92</v>
      </c>
      <c r="N543" s="168" t="e">
        <f>VLOOKUP(C543,#REF!,4)</f>
        <v>#REF!</v>
      </c>
    </row>
    <row r="544" spans="1:14">
      <c r="A544" s="145" t="s">
        <v>626</v>
      </c>
      <c r="B544" s="146" t="s">
        <v>1924</v>
      </c>
      <c r="C544" s="146" t="s">
        <v>1925</v>
      </c>
      <c r="D544" s="145" t="s">
        <v>1926</v>
      </c>
      <c r="E544" s="146" t="s">
        <v>75</v>
      </c>
      <c r="F544" s="145" t="s">
        <v>1602</v>
      </c>
      <c r="G544" s="146" t="s">
        <v>20</v>
      </c>
      <c r="H544" s="146">
        <v>201603</v>
      </c>
      <c r="I544" s="147">
        <v>-9.48</v>
      </c>
      <c r="J544" s="144">
        <f t="shared" si="26"/>
        <v>8</v>
      </c>
      <c r="K544" s="148">
        <v>1.4833299999999999E-3</v>
      </c>
      <c r="L544" s="147">
        <f t="shared" si="24"/>
        <v>-0.11</v>
      </c>
      <c r="M544" s="147">
        <f t="shared" si="25"/>
        <v>-0.17</v>
      </c>
      <c r="N544" s="168" t="e">
        <f>VLOOKUP(C544,#REF!,4)</f>
        <v>#REF!</v>
      </c>
    </row>
    <row r="545" spans="1:14">
      <c r="A545" s="145" t="s">
        <v>626</v>
      </c>
      <c r="B545" s="146" t="s">
        <v>1924</v>
      </c>
      <c r="C545" s="146" t="s">
        <v>1925</v>
      </c>
      <c r="D545" s="145" t="s">
        <v>1926</v>
      </c>
      <c r="E545" s="146" t="s">
        <v>75</v>
      </c>
      <c r="F545" s="145" t="s">
        <v>1602</v>
      </c>
      <c r="G545" s="146" t="s">
        <v>20</v>
      </c>
      <c r="H545" s="146">
        <v>201604</v>
      </c>
      <c r="I545" s="147">
        <v>130.28</v>
      </c>
      <c r="J545" s="144">
        <f t="shared" si="26"/>
        <v>7</v>
      </c>
      <c r="K545" s="148">
        <v>1.4833299999999999E-3</v>
      </c>
      <c r="L545" s="147">
        <f t="shared" si="24"/>
        <v>1.35</v>
      </c>
      <c r="M545" s="147">
        <f t="shared" si="25"/>
        <v>2.3199999999999998</v>
      </c>
      <c r="N545" s="168" t="e">
        <f>VLOOKUP(C545,#REF!,4)</f>
        <v>#REF!</v>
      </c>
    </row>
    <row r="546" spans="1:14">
      <c r="A546" s="145" t="s">
        <v>626</v>
      </c>
      <c r="B546" s="146" t="s">
        <v>1924</v>
      </c>
      <c r="C546" s="146" t="s">
        <v>1925</v>
      </c>
      <c r="D546" s="145" t="s">
        <v>1926</v>
      </c>
      <c r="E546" s="146" t="s">
        <v>75</v>
      </c>
      <c r="F546" s="145" t="s">
        <v>1602</v>
      </c>
      <c r="G546" s="146" t="s">
        <v>20</v>
      </c>
      <c r="H546" s="146">
        <v>201605</v>
      </c>
      <c r="I546" s="147">
        <v>126.04</v>
      </c>
      <c r="J546" s="144">
        <f t="shared" si="26"/>
        <v>6</v>
      </c>
      <c r="K546" s="148">
        <v>1.4833299999999999E-3</v>
      </c>
      <c r="L546" s="147">
        <f t="shared" si="24"/>
        <v>1.1200000000000001</v>
      </c>
      <c r="M546" s="147">
        <f t="shared" si="25"/>
        <v>2.2400000000000002</v>
      </c>
      <c r="N546" s="168" t="e">
        <f>VLOOKUP(C546,#REF!,4)</f>
        <v>#REF!</v>
      </c>
    </row>
    <row r="547" spans="1:14">
      <c r="A547" s="145" t="s">
        <v>626</v>
      </c>
      <c r="B547" s="146" t="s">
        <v>1924</v>
      </c>
      <c r="C547" s="146" t="s">
        <v>1925</v>
      </c>
      <c r="D547" s="145" t="s">
        <v>1926</v>
      </c>
      <c r="E547" s="146" t="s">
        <v>75</v>
      </c>
      <c r="F547" s="145" t="s">
        <v>1602</v>
      </c>
      <c r="G547" s="146" t="s">
        <v>20</v>
      </c>
      <c r="H547" s="146">
        <v>201606</v>
      </c>
      <c r="I547" s="147">
        <v>58.52</v>
      </c>
      <c r="J547" s="144">
        <f t="shared" si="26"/>
        <v>5</v>
      </c>
      <c r="K547" s="148">
        <v>1.4833299999999999E-3</v>
      </c>
      <c r="L547" s="147">
        <f t="shared" si="24"/>
        <v>0.43</v>
      </c>
      <c r="M547" s="147">
        <f t="shared" si="25"/>
        <v>1.04</v>
      </c>
      <c r="N547" s="168" t="e">
        <f>VLOOKUP(C547,#REF!,4)</f>
        <v>#REF!</v>
      </c>
    </row>
    <row r="548" spans="1:14">
      <c r="A548" s="145" t="s">
        <v>626</v>
      </c>
      <c r="B548" s="146" t="s">
        <v>1927</v>
      </c>
      <c r="C548" s="146" t="s">
        <v>1928</v>
      </c>
      <c r="D548" s="145" t="s">
        <v>1929</v>
      </c>
      <c r="E548" s="146" t="s">
        <v>75</v>
      </c>
      <c r="F548" s="145" t="s">
        <v>1602</v>
      </c>
      <c r="G548" s="146" t="s">
        <v>20</v>
      </c>
      <c r="H548" s="146">
        <v>201603</v>
      </c>
      <c r="I548" s="147">
        <v>-8.93</v>
      </c>
      <c r="J548" s="144">
        <f t="shared" si="26"/>
        <v>8</v>
      </c>
      <c r="K548" s="148">
        <v>1.4833299999999999E-3</v>
      </c>
      <c r="L548" s="147">
        <f t="shared" si="24"/>
        <v>-0.11</v>
      </c>
      <c r="M548" s="147">
        <f t="shared" si="25"/>
        <v>-0.16</v>
      </c>
      <c r="N548" s="168" t="e">
        <f>VLOOKUP(C548,#REF!,4)</f>
        <v>#REF!</v>
      </c>
    </row>
    <row r="549" spans="1:14">
      <c r="A549" s="145" t="s">
        <v>626</v>
      </c>
      <c r="B549" s="146" t="s">
        <v>1927</v>
      </c>
      <c r="C549" s="146" t="s">
        <v>1928</v>
      </c>
      <c r="D549" s="145" t="s">
        <v>1929</v>
      </c>
      <c r="E549" s="146" t="s">
        <v>75</v>
      </c>
      <c r="F549" s="145" t="s">
        <v>1602</v>
      </c>
      <c r="G549" s="146" t="s">
        <v>20</v>
      </c>
      <c r="H549" s="146">
        <v>201604</v>
      </c>
      <c r="I549" s="147">
        <v>125.24</v>
      </c>
      <c r="J549" s="144">
        <f t="shared" si="26"/>
        <v>7</v>
      </c>
      <c r="K549" s="148">
        <v>1.4833299999999999E-3</v>
      </c>
      <c r="L549" s="147">
        <f t="shared" si="24"/>
        <v>1.3</v>
      </c>
      <c r="M549" s="147">
        <f t="shared" si="25"/>
        <v>2.23</v>
      </c>
      <c r="N549" s="168" t="e">
        <f>VLOOKUP(C549,#REF!,4)</f>
        <v>#REF!</v>
      </c>
    </row>
    <row r="550" spans="1:14">
      <c r="A550" s="145" t="s">
        <v>626</v>
      </c>
      <c r="B550" s="146" t="s">
        <v>1927</v>
      </c>
      <c r="C550" s="146" t="s">
        <v>1928</v>
      </c>
      <c r="D550" s="145" t="s">
        <v>1929</v>
      </c>
      <c r="E550" s="146" t="s">
        <v>75</v>
      </c>
      <c r="F550" s="145" t="s">
        <v>1602</v>
      </c>
      <c r="G550" s="146" t="s">
        <v>20</v>
      </c>
      <c r="H550" s="146">
        <v>201605</v>
      </c>
      <c r="I550" s="147">
        <v>90.12</v>
      </c>
      <c r="J550" s="144">
        <f t="shared" si="26"/>
        <v>6</v>
      </c>
      <c r="K550" s="148">
        <v>1.4833299999999999E-3</v>
      </c>
      <c r="L550" s="147">
        <f t="shared" si="24"/>
        <v>0.8</v>
      </c>
      <c r="M550" s="147">
        <f t="shared" si="25"/>
        <v>1.6</v>
      </c>
      <c r="N550" s="168" t="e">
        <f>VLOOKUP(C550,#REF!,4)</f>
        <v>#REF!</v>
      </c>
    </row>
    <row r="551" spans="1:14">
      <c r="A551" s="145" t="s">
        <v>626</v>
      </c>
      <c r="B551" s="146" t="s">
        <v>1927</v>
      </c>
      <c r="C551" s="146" t="s">
        <v>1928</v>
      </c>
      <c r="D551" s="145" t="s">
        <v>1929</v>
      </c>
      <c r="E551" s="146" t="s">
        <v>75</v>
      </c>
      <c r="F551" s="145" t="s">
        <v>1602</v>
      </c>
      <c r="G551" s="146" t="s">
        <v>20</v>
      </c>
      <c r="H551" s="146">
        <v>201606</v>
      </c>
      <c r="I551" s="147">
        <v>54.88</v>
      </c>
      <c r="J551" s="144">
        <f t="shared" si="26"/>
        <v>5</v>
      </c>
      <c r="K551" s="148">
        <v>1.4833299999999999E-3</v>
      </c>
      <c r="L551" s="147">
        <f t="shared" si="24"/>
        <v>0.41</v>
      </c>
      <c r="M551" s="147">
        <f t="shared" si="25"/>
        <v>0.98</v>
      </c>
      <c r="N551" s="168" t="e">
        <f>VLOOKUP(C551,#REF!,4)</f>
        <v>#REF!</v>
      </c>
    </row>
    <row r="552" spans="1:14">
      <c r="A552" s="145" t="s">
        <v>21</v>
      </c>
      <c r="B552" s="146" t="s">
        <v>1820</v>
      </c>
      <c r="C552" s="146" t="s">
        <v>1821</v>
      </c>
      <c r="D552" s="145" t="s">
        <v>1822</v>
      </c>
      <c r="E552" s="146" t="s">
        <v>87</v>
      </c>
      <c r="F552" s="145" t="s">
        <v>1603</v>
      </c>
      <c r="G552" s="146" t="s">
        <v>20</v>
      </c>
      <c r="H552" s="146">
        <v>201603</v>
      </c>
      <c r="I552" s="147">
        <v>-435.23</v>
      </c>
      <c r="J552" s="144">
        <f t="shared" si="26"/>
        <v>8</v>
      </c>
      <c r="K552" s="148">
        <v>1.4833299999999999E-3</v>
      </c>
      <c r="L552" s="147">
        <f t="shared" si="24"/>
        <v>-5.16</v>
      </c>
      <c r="M552" s="147">
        <f t="shared" si="25"/>
        <v>-7.75</v>
      </c>
      <c r="N552" s="168" t="e">
        <f>VLOOKUP(C552,#REF!,4)</f>
        <v>#REF!</v>
      </c>
    </row>
    <row r="553" spans="1:14">
      <c r="A553" s="145" t="s">
        <v>21</v>
      </c>
      <c r="B553" s="146" t="s">
        <v>1820</v>
      </c>
      <c r="C553" s="146" t="s">
        <v>1821</v>
      </c>
      <c r="D553" s="145" t="s">
        <v>1822</v>
      </c>
      <c r="E553" s="146" t="s">
        <v>87</v>
      </c>
      <c r="F553" s="145" t="s">
        <v>1603</v>
      </c>
      <c r="G553" s="146" t="s">
        <v>20</v>
      </c>
      <c r="H553" s="146">
        <v>201604</v>
      </c>
      <c r="I553" s="147">
        <v>506.09</v>
      </c>
      <c r="J553" s="144">
        <f t="shared" si="26"/>
        <v>7</v>
      </c>
      <c r="K553" s="148">
        <v>1.4833299999999999E-3</v>
      </c>
      <c r="L553" s="147">
        <f t="shared" si="24"/>
        <v>5.25</v>
      </c>
      <c r="M553" s="147">
        <f t="shared" si="25"/>
        <v>9.01</v>
      </c>
      <c r="N553" s="168" t="e">
        <f>VLOOKUP(C553,#REF!,4)</f>
        <v>#REF!</v>
      </c>
    </row>
    <row r="554" spans="1:14">
      <c r="A554" s="145" t="s">
        <v>21</v>
      </c>
      <c r="B554" s="146" t="s">
        <v>1820</v>
      </c>
      <c r="C554" s="146" t="s">
        <v>1821</v>
      </c>
      <c r="D554" s="145" t="s">
        <v>1822</v>
      </c>
      <c r="E554" s="146" t="s">
        <v>87</v>
      </c>
      <c r="F554" s="145" t="s">
        <v>1603</v>
      </c>
      <c r="G554" s="146" t="s">
        <v>20</v>
      </c>
      <c r="H554" s="146">
        <v>201605</v>
      </c>
      <c r="I554" s="147">
        <v>404.43</v>
      </c>
      <c r="J554" s="144">
        <f t="shared" si="26"/>
        <v>6</v>
      </c>
      <c r="K554" s="148">
        <v>1.4833299999999999E-3</v>
      </c>
      <c r="L554" s="147">
        <f t="shared" si="24"/>
        <v>3.6</v>
      </c>
      <c r="M554" s="147">
        <f t="shared" si="25"/>
        <v>7.2</v>
      </c>
      <c r="N554" s="168" t="e">
        <f>VLOOKUP(C554,#REF!,4)</f>
        <v>#REF!</v>
      </c>
    </row>
    <row r="555" spans="1:14">
      <c r="A555" s="145" t="s">
        <v>21</v>
      </c>
      <c r="B555" s="146" t="s">
        <v>1820</v>
      </c>
      <c r="C555" s="146" t="s">
        <v>1821</v>
      </c>
      <c r="D555" s="145" t="s">
        <v>1822</v>
      </c>
      <c r="E555" s="146" t="s">
        <v>87</v>
      </c>
      <c r="F555" s="145" t="s">
        <v>1603</v>
      </c>
      <c r="G555" s="146" t="s">
        <v>20</v>
      </c>
      <c r="H555" s="146">
        <v>201606</v>
      </c>
      <c r="I555" s="147">
        <v>280.17</v>
      </c>
      <c r="J555" s="144">
        <f t="shared" si="26"/>
        <v>5</v>
      </c>
      <c r="K555" s="148">
        <v>1.4833299999999999E-3</v>
      </c>
      <c r="L555" s="147">
        <f t="shared" si="24"/>
        <v>2.08</v>
      </c>
      <c r="M555" s="147">
        <f t="shared" si="25"/>
        <v>4.99</v>
      </c>
      <c r="N555" s="168" t="e">
        <f>VLOOKUP(C555,#REF!,4)</f>
        <v>#REF!</v>
      </c>
    </row>
    <row r="556" spans="1:14">
      <c r="A556" s="145" t="s">
        <v>626</v>
      </c>
      <c r="B556" s="146" t="s">
        <v>1699</v>
      </c>
      <c r="C556" s="146" t="s">
        <v>1700</v>
      </c>
      <c r="D556" s="145" t="s">
        <v>1701</v>
      </c>
      <c r="E556" s="146" t="s">
        <v>544</v>
      </c>
      <c r="F556" s="145" t="s">
        <v>26</v>
      </c>
      <c r="G556" s="146" t="s">
        <v>20</v>
      </c>
      <c r="H556" s="146">
        <v>201603</v>
      </c>
      <c r="I556" s="147">
        <v>-381.21</v>
      </c>
      <c r="J556" s="144">
        <f t="shared" si="26"/>
        <v>8</v>
      </c>
      <c r="K556" s="148">
        <v>1.4833299999999999E-3</v>
      </c>
      <c r="L556" s="147">
        <f t="shared" si="24"/>
        <v>-4.5199999999999996</v>
      </c>
      <c r="M556" s="147">
        <f t="shared" si="25"/>
        <v>-6.79</v>
      </c>
      <c r="N556" s="168" t="e">
        <f>VLOOKUP(C556,#REF!,4)</f>
        <v>#REF!</v>
      </c>
    </row>
    <row r="557" spans="1:14">
      <c r="A557" s="145" t="s">
        <v>626</v>
      </c>
      <c r="B557" s="146" t="s">
        <v>1699</v>
      </c>
      <c r="C557" s="146" t="s">
        <v>1700</v>
      </c>
      <c r="D557" s="145" t="s">
        <v>1701</v>
      </c>
      <c r="E557" s="146" t="s">
        <v>544</v>
      </c>
      <c r="F557" s="145" t="s">
        <v>26</v>
      </c>
      <c r="G557" s="146" t="s">
        <v>20</v>
      </c>
      <c r="H557" s="146">
        <v>201604</v>
      </c>
      <c r="I557" s="147">
        <v>-74.400000000000006</v>
      </c>
      <c r="J557" s="144">
        <f t="shared" si="26"/>
        <v>7</v>
      </c>
      <c r="K557" s="148">
        <v>1.4833299999999999E-3</v>
      </c>
      <c r="L557" s="147">
        <f t="shared" si="24"/>
        <v>-0.77</v>
      </c>
      <c r="M557" s="147">
        <f t="shared" si="25"/>
        <v>-1.32</v>
      </c>
      <c r="N557" s="168" t="e">
        <f>VLOOKUP(C557,#REF!,4)</f>
        <v>#REF!</v>
      </c>
    </row>
    <row r="558" spans="1:14">
      <c r="A558" s="145" t="s">
        <v>626</v>
      </c>
      <c r="B558" s="146" t="s">
        <v>1699</v>
      </c>
      <c r="C558" s="146" t="s">
        <v>1700</v>
      </c>
      <c r="D558" s="145" t="s">
        <v>1701</v>
      </c>
      <c r="E558" s="146" t="s">
        <v>544</v>
      </c>
      <c r="F558" s="145" t="s">
        <v>26</v>
      </c>
      <c r="G558" s="146" t="s">
        <v>20</v>
      </c>
      <c r="H558" s="146">
        <v>201605</v>
      </c>
      <c r="I558" s="147">
        <v>-57.14</v>
      </c>
      <c r="J558" s="144">
        <f t="shared" si="26"/>
        <v>6</v>
      </c>
      <c r="K558" s="148">
        <v>1.4833299999999999E-3</v>
      </c>
      <c r="L558" s="147">
        <f t="shared" si="24"/>
        <v>-0.51</v>
      </c>
      <c r="M558" s="147">
        <f t="shared" si="25"/>
        <v>-1.02</v>
      </c>
      <c r="N558" s="168" t="e">
        <f>VLOOKUP(C558,#REF!,4)</f>
        <v>#REF!</v>
      </c>
    </row>
    <row r="559" spans="1:14">
      <c r="A559" s="145" t="s">
        <v>626</v>
      </c>
      <c r="B559" s="146" t="s">
        <v>1699</v>
      </c>
      <c r="C559" s="146" t="s">
        <v>1700</v>
      </c>
      <c r="D559" s="145" t="s">
        <v>1701</v>
      </c>
      <c r="E559" s="146" t="s">
        <v>544</v>
      </c>
      <c r="F559" s="145" t="s">
        <v>26</v>
      </c>
      <c r="G559" s="146" t="s">
        <v>20</v>
      </c>
      <c r="H559" s="146">
        <v>201606</v>
      </c>
      <c r="I559" s="147">
        <v>-46.15</v>
      </c>
      <c r="J559" s="144">
        <f t="shared" si="26"/>
        <v>5</v>
      </c>
      <c r="K559" s="148">
        <v>1.4833299999999999E-3</v>
      </c>
      <c r="L559" s="147">
        <f t="shared" si="24"/>
        <v>-0.34</v>
      </c>
      <c r="M559" s="147">
        <f t="shared" si="25"/>
        <v>-0.82</v>
      </c>
      <c r="N559" s="168" t="e">
        <f>VLOOKUP(C559,#REF!,4)</f>
        <v>#REF!</v>
      </c>
    </row>
    <row r="560" spans="1:14">
      <c r="A560" s="145" t="s">
        <v>127</v>
      </c>
      <c r="B560" s="146" t="s">
        <v>1964</v>
      </c>
      <c r="C560" s="146" t="s">
        <v>1965</v>
      </c>
      <c r="D560" s="145" t="s">
        <v>1966</v>
      </c>
      <c r="E560" s="146" t="s">
        <v>87</v>
      </c>
      <c r="F560" s="145" t="s">
        <v>1603</v>
      </c>
      <c r="G560" s="146" t="s">
        <v>20</v>
      </c>
      <c r="H560" s="146">
        <v>201603</v>
      </c>
      <c r="I560" s="147">
        <v>-160.38999999999999</v>
      </c>
      <c r="J560" s="144">
        <f t="shared" si="26"/>
        <v>8</v>
      </c>
      <c r="K560" s="148">
        <v>2.3833299999999999E-3</v>
      </c>
      <c r="L560" s="147">
        <f t="shared" si="24"/>
        <v>-3.06</v>
      </c>
      <c r="M560" s="147">
        <f t="shared" si="25"/>
        <v>-4.59</v>
      </c>
      <c r="N560" s="168" t="e">
        <f>VLOOKUP(C560,#REF!,4)</f>
        <v>#REF!</v>
      </c>
    </row>
    <row r="561" spans="1:14">
      <c r="A561" s="145" t="s">
        <v>127</v>
      </c>
      <c r="B561" s="146" t="s">
        <v>1964</v>
      </c>
      <c r="C561" s="146" t="s">
        <v>1965</v>
      </c>
      <c r="D561" s="145" t="s">
        <v>1966</v>
      </c>
      <c r="E561" s="146" t="s">
        <v>87</v>
      </c>
      <c r="F561" s="145" t="s">
        <v>1603</v>
      </c>
      <c r="G561" s="146" t="s">
        <v>20</v>
      </c>
      <c r="H561" s="146">
        <v>201604</v>
      </c>
      <c r="I561" s="147">
        <v>161.15</v>
      </c>
      <c r="J561" s="144">
        <f t="shared" si="26"/>
        <v>7</v>
      </c>
      <c r="K561" s="148">
        <v>2.3833299999999999E-3</v>
      </c>
      <c r="L561" s="147">
        <f t="shared" si="24"/>
        <v>2.69</v>
      </c>
      <c r="M561" s="147">
        <f t="shared" si="25"/>
        <v>4.6100000000000003</v>
      </c>
      <c r="N561" s="168" t="e">
        <f>VLOOKUP(C561,#REF!,4)</f>
        <v>#REF!</v>
      </c>
    </row>
    <row r="562" spans="1:14">
      <c r="A562" s="145" t="s">
        <v>127</v>
      </c>
      <c r="B562" s="146" t="s">
        <v>1964</v>
      </c>
      <c r="C562" s="146" t="s">
        <v>1965</v>
      </c>
      <c r="D562" s="145" t="s">
        <v>1966</v>
      </c>
      <c r="E562" s="146" t="s">
        <v>87</v>
      </c>
      <c r="F562" s="145" t="s">
        <v>1603</v>
      </c>
      <c r="G562" s="146" t="s">
        <v>20</v>
      </c>
      <c r="H562" s="146">
        <v>201605</v>
      </c>
      <c r="I562" s="147">
        <v>132.21</v>
      </c>
      <c r="J562" s="144">
        <f t="shared" si="26"/>
        <v>6</v>
      </c>
      <c r="K562" s="148">
        <v>2.3833299999999999E-3</v>
      </c>
      <c r="L562" s="147">
        <f t="shared" si="24"/>
        <v>1.89</v>
      </c>
      <c r="M562" s="147">
        <f t="shared" si="25"/>
        <v>3.78</v>
      </c>
      <c r="N562" s="168" t="e">
        <f>VLOOKUP(C562,#REF!,4)</f>
        <v>#REF!</v>
      </c>
    </row>
    <row r="563" spans="1:14">
      <c r="A563" s="145" t="s">
        <v>127</v>
      </c>
      <c r="B563" s="146" t="s">
        <v>1964</v>
      </c>
      <c r="C563" s="146" t="s">
        <v>1965</v>
      </c>
      <c r="D563" s="145" t="s">
        <v>1966</v>
      </c>
      <c r="E563" s="146" t="s">
        <v>87</v>
      </c>
      <c r="F563" s="145" t="s">
        <v>1603</v>
      </c>
      <c r="G563" s="146" t="s">
        <v>20</v>
      </c>
      <c r="H563" s="146">
        <v>201606</v>
      </c>
      <c r="I563" s="147">
        <v>93.91</v>
      </c>
      <c r="J563" s="144">
        <f t="shared" si="26"/>
        <v>5</v>
      </c>
      <c r="K563" s="148">
        <v>2.3833299999999999E-3</v>
      </c>
      <c r="L563" s="147">
        <f t="shared" si="24"/>
        <v>1.1200000000000001</v>
      </c>
      <c r="M563" s="147">
        <f t="shared" si="25"/>
        <v>2.69</v>
      </c>
      <c r="N563" s="168" t="e">
        <f>VLOOKUP(C563,#REF!,4)</f>
        <v>#REF!</v>
      </c>
    </row>
    <row r="564" spans="1:14">
      <c r="A564" s="145" t="s">
        <v>626</v>
      </c>
      <c r="B564" s="146" t="s">
        <v>1930</v>
      </c>
      <c r="C564" s="146" t="s">
        <v>1931</v>
      </c>
      <c r="D564" s="145" t="s">
        <v>1932</v>
      </c>
      <c r="E564" s="146" t="s">
        <v>75</v>
      </c>
      <c r="F564" s="145" t="s">
        <v>1602</v>
      </c>
      <c r="G564" s="146" t="s">
        <v>20</v>
      </c>
      <c r="H564" s="146">
        <v>201603</v>
      </c>
      <c r="I564" s="147">
        <v>-77.81</v>
      </c>
      <c r="J564" s="144">
        <f t="shared" si="26"/>
        <v>8</v>
      </c>
      <c r="K564" s="148">
        <v>1.4833299999999999E-3</v>
      </c>
      <c r="L564" s="147">
        <f t="shared" si="24"/>
        <v>-0.92</v>
      </c>
      <c r="M564" s="147">
        <f t="shared" si="25"/>
        <v>-1.39</v>
      </c>
      <c r="N564" s="168" t="e">
        <f>VLOOKUP(C564,#REF!,4)</f>
        <v>#REF!</v>
      </c>
    </row>
    <row r="565" spans="1:14">
      <c r="A565" s="145" t="s">
        <v>626</v>
      </c>
      <c r="B565" s="146" t="s">
        <v>1930</v>
      </c>
      <c r="C565" s="146" t="s">
        <v>1931</v>
      </c>
      <c r="D565" s="145" t="s">
        <v>1932</v>
      </c>
      <c r="E565" s="146" t="s">
        <v>75</v>
      </c>
      <c r="F565" s="145" t="s">
        <v>1602</v>
      </c>
      <c r="G565" s="146" t="s">
        <v>20</v>
      </c>
      <c r="H565" s="146">
        <v>201604</v>
      </c>
      <c r="I565" s="147">
        <v>428.99</v>
      </c>
      <c r="J565" s="144">
        <f t="shared" si="26"/>
        <v>7</v>
      </c>
      <c r="K565" s="148">
        <v>1.4833299999999999E-3</v>
      </c>
      <c r="L565" s="147">
        <f t="shared" si="24"/>
        <v>4.45</v>
      </c>
      <c r="M565" s="147">
        <f t="shared" si="25"/>
        <v>7.64</v>
      </c>
      <c r="N565" s="168" t="e">
        <f>VLOOKUP(C565,#REF!,4)</f>
        <v>#REF!</v>
      </c>
    </row>
    <row r="566" spans="1:14">
      <c r="A566" s="145" t="s">
        <v>626</v>
      </c>
      <c r="B566" s="146" t="s">
        <v>1930</v>
      </c>
      <c r="C566" s="146" t="s">
        <v>1931</v>
      </c>
      <c r="D566" s="145" t="s">
        <v>1932</v>
      </c>
      <c r="E566" s="146" t="s">
        <v>75</v>
      </c>
      <c r="F566" s="145" t="s">
        <v>1602</v>
      </c>
      <c r="G566" s="146" t="s">
        <v>20</v>
      </c>
      <c r="H566" s="146">
        <v>201605</v>
      </c>
      <c r="I566" s="147">
        <v>379.24</v>
      </c>
      <c r="J566" s="144">
        <f t="shared" si="26"/>
        <v>6</v>
      </c>
      <c r="K566" s="148">
        <v>1.4833299999999999E-3</v>
      </c>
      <c r="L566" s="147">
        <f t="shared" si="24"/>
        <v>3.38</v>
      </c>
      <c r="M566" s="147">
        <f t="shared" si="25"/>
        <v>6.75</v>
      </c>
      <c r="N566" s="168" t="e">
        <f>VLOOKUP(C566,#REF!,4)</f>
        <v>#REF!</v>
      </c>
    </row>
    <row r="567" spans="1:14">
      <c r="A567" s="145" t="s">
        <v>626</v>
      </c>
      <c r="B567" s="146" t="s">
        <v>1930</v>
      </c>
      <c r="C567" s="146" t="s">
        <v>1931</v>
      </c>
      <c r="D567" s="145" t="s">
        <v>1932</v>
      </c>
      <c r="E567" s="146" t="s">
        <v>75</v>
      </c>
      <c r="F567" s="145" t="s">
        <v>1602</v>
      </c>
      <c r="G567" s="146" t="s">
        <v>20</v>
      </c>
      <c r="H567" s="146">
        <v>201606</v>
      </c>
      <c r="I567" s="147">
        <v>236.04</v>
      </c>
      <c r="J567" s="144">
        <f t="shared" si="26"/>
        <v>5</v>
      </c>
      <c r="K567" s="148">
        <v>1.4833299999999999E-3</v>
      </c>
      <c r="L567" s="147">
        <f t="shared" si="24"/>
        <v>1.75</v>
      </c>
      <c r="M567" s="147">
        <f t="shared" si="25"/>
        <v>4.2</v>
      </c>
      <c r="N567" s="168" t="e">
        <f>VLOOKUP(C567,#REF!,4)</f>
        <v>#REF!</v>
      </c>
    </row>
    <row r="568" spans="1:14">
      <c r="A568" s="145" t="s">
        <v>626</v>
      </c>
      <c r="B568" s="146" t="s">
        <v>1782</v>
      </c>
      <c r="C568" s="146" t="s">
        <v>1783</v>
      </c>
      <c r="D568" s="145" t="s">
        <v>1784</v>
      </c>
      <c r="E568" s="146" t="s">
        <v>87</v>
      </c>
      <c r="F568" s="145" t="s">
        <v>1603</v>
      </c>
      <c r="G568" s="146" t="s">
        <v>20</v>
      </c>
      <c r="H568" s="146">
        <v>201603</v>
      </c>
      <c r="I568" s="147">
        <v>-33.72</v>
      </c>
      <c r="J568" s="144">
        <f t="shared" si="26"/>
        <v>8</v>
      </c>
      <c r="K568" s="148">
        <v>1.4833299999999999E-3</v>
      </c>
      <c r="L568" s="147">
        <f t="shared" si="24"/>
        <v>-0.4</v>
      </c>
      <c r="M568" s="147">
        <f t="shared" si="25"/>
        <v>-0.6</v>
      </c>
      <c r="N568" s="168" t="e">
        <f>VLOOKUP(C568,#REF!,4)</f>
        <v>#REF!</v>
      </c>
    </row>
    <row r="569" spans="1:14">
      <c r="A569" s="145" t="s">
        <v>626</v>
      </c>
      <c r="B569" s="146" t="s">
        <v>1782</v>
      </c>
      <c r="C569" s="146" t="s">
        <v>1783</v>
      </c>
      <c r="D569" s="145" t="s">
        <v>1784</v>
      </c>
      <c r="E569" s="146" t="s">
        <v>87</v>
      </c>
      <c r="F569" s="145" t="s">
        <v>1603</v>
      </c>
      <c r="G569" s="146" t="s">
        <v>20</v>
      </c>
      <c r="H569" s="146">
        <v>201604</v>
      </c>
      <c r="I569" s="147">
        <v>122.32</v>
      </c>
      <c r="J569" s="144">
        <f t="shared" si="26"/>
        <v>7</v>
      </c>
      <c r="K569" s="148">
        <v>1.4833299999999999E-3</v>
      </c>
      <c r="L569" s="147">
        <f t="shared" si="24"/>
        <v>1.27</v>
      </c>
      <c r="M569" s="147">
        <f t="shared" si="25"/>
        <v>2.1800000000000002</v>
      </c>
      <c r="N569" s="168" t="e">
        <f>VLOOKUP(C569,#REF!,4)</f>
        <v>#REF!</v>
      </c>
    </row>
    <row r="570" spans="1:14">
      <c r="A570" s="145" t="s">
        <v>626</v>
      </c>
      <c r="B570" s="146" t="s">
        <v>1782</v>
      </c>
      <c r="C570" s="146" t="s">
        <v>1783</v>
      </c>
      <c r="D570" s="145" t="s">
        <v>1784</v>
      </c>
      <c r="E570" s="146" t="s">
        <v>87</v>
      </c>
      <c r="F570" s="145" t="s">
        <v>1603</v>
      </c>
      <c r="G570" s="146" t="s">
        <v>20</v>
      </c>
      <c r="H570" s="146">
        <v>201605</v>
      </c>
      <c r="I570" s="147">
        <v>-49214.95</v>
      </c>
      <c r="J570" s="144">
        <f t="shared" si="26"/>
        <v>6</v>
      </c>
      <c r="K570" s="148">
        <v>1.4833299999999999E-3</v>
      </c>
      <c r="L570" s="147">
        <f t="shared" si="24"/>
        <v>-438.01</v>
      </c>
      <c r="M570" s="147">
        <f t="shared" si="25"/>
        <v>-876.02</v>
      </c>
      <c r="N570" s="168" t="e">
        <f>VLOOKUP(C570,#REF!,4)</f>
        <v>#REF!</v>
      </c>
    </row>
    <row r="571" spans="1:14">
      <c r="A571" s="145" t="s">
        <v>21</v>
      </c>
      <c r="B571" s="146" t="s">
        <v>1782</v>
      </c>
      <c r="C571" s="146" t="s">
        <v>1783</v>
      </c>
      <c r="D571" s="145" t="s">
        <v>1784</v>
      </c>
      <c r="E571" s="146" t="s">
        <v>87</v>
      </c>
      <c r="F571" s="145" t="s">
        <v>1603</v>
      </c>
      <c r="G571" s="146" t="s">
        <v>20</v>
      </c>
      <c r="H571" s="146">
        <v>201605</v>
      </c>
      <c r="I571" s="147">
        <v>58496.31</v>
      </c>
      <c r="J571" s="144">
        <f t="shared" si="26"/>
        <v>6</v>
      </c>
      <c r="K571" s="148">
        <v>1.4833299999999999E-3</v>
      </c>
      <c r="L571" s="147">
        <f t="shared" si="24"/>
        <v>520.62</v>
      </c>
      <c r="M571" s="147">
        <f t="shared" si="25"/>
        <v>1041.23</v>
      </c>
      <c r="N571" s="168" t="e">
        <f>VLOOKUP(C571,#REF!,4)</f>
        <v>#REF!</v>
      </c>
    </row>
    <row r="572" spans="1:14">
      <c r="A572" s="145" t="s">
        <v>626</v>
      </c>
      <c r="B572" s="146" t="s">
        <v>1782</v>
      </c>
      <c r="C572" s="146" t="s">
        <v>1783</v>
      </c>
      <c r="D572" s="145" t="s">
        <v>1784</v>
      </c>
      <c r="E572" s="146" t="s">
        <v>87</v>
      </c>
      <c r="F572" s="145" t="s">
        <v>1603</v>
      </c>
      <c r="G572" s="146" t="s">
        <v>20</v>
      </c>
      <c r="H572" s="146">
        <v>201606</v>
      </c>
      <c r="I572" s="147">
        <v>826.37</v>
      </c>
      <c r="J572" s="144">
        <f t="shared" si="26"/>
        <v>5</v>
      </c>
      <c r="K572" s="148">
        <v>1.4833299999999999E-3</v>
      </c>
      <c r="L572" s="147">
        <f t="shared" si="24"/>
        <v>6.13</v>
      </c>
      <c r="M572" s="147">
        <f t="shared" si="25"/>
        <v>14.71</v>
      </c>
      <c r="N572" s="168" t="e">
        <f>VLOOKUP(C572,#REF!,4)</f>
        <v>#REF!</v>
      </c>
    </row>
    <row r="573" spans="1:14">
      <c r="A573" s="145" t="s">
        <v>21</v>
      </c>
      <c r="B573" s="146" t="s">
        <v>1782</v>
      </c>
      <c r="C573" s="146" t="s">
        <v>1783</v>
      </c>
      <c r="D573" s="145" t="s">
        <v>1784</v>
      </c>
      <c r="E573" s="146" t="s">
        <v>87</v>
      </c>
      <c r="F573" s="145" t="s">
        <v>1603</v>
      </c>
      <c r="G573" s="146" t="s">
        <v>20</v>
      </c>
      <c r="H573" s="146">
        <v>201606</v>
      </c>
      <c r="I573" s="147">
        <v>833.84</v>
      </c>
      <c r="J573" s="144">
        <f t="shared" si="26"/>
        <v>5</v>
      </c>
      <c r="K573" s="148">
        <v>1.4833299999999999E-3</v>
      </c>
      <c r="L573" s="147">
        <f t="shared" si="24"/>
        <v>6.18</v>
      </c>
      <c r="M573" s="147">
        <f t="shared" si="25"/>
        <v>14.84</v>
      </c>
      <c r="N573" s="168" t="e">
        <f>VLOOKUP(C573,#REF!,4)</f>
        <v>#REF!</v>
      </c>
    </row>
    <row r="574" spans="1:14">
      <c r="A574" s="145" t="s">
        <v>626</v>
      </c>
      <c r="B574" s="146" t="s">
        <v>1933</v>
      </c>
      <c r="C574" s="146" t="s">
        <v>1934</v>
      </c>
      <c r="D574" s="145" t="s">
        <v>1935</v>
      </c>
      <c r="E574" s="146" t="s">
        <v>75</v>
      </c>
      <c r="F574" s="145" t="s">
        <v>1602</v>
      </c>
      <c r="G574" s="146" t="s">
        <v>20</v>
      </c>
      <c r="H574" s="146">
        <v>201603</v>
      </c>
      <c r="I574" s="147">
        <v>-375.96</v>
      </c>
      <c r="J574" s="144">
        <f t="shared" si="26"/>
        <v>8</v>
      </c>
      <c r="K574" s="148">
        <v>1.4833299999999999E-3</v>
      </c>
      <c r="L574" s="147">
        <f t="shared" si="24"/>
        <v>-4.46</v>
      </c>
      <c r="M574" s="147">
        <f t="shared" si="25"/>
        <v>-6.69</v>
      </c>
      <c r="N574" s="168" t="e">
        <f>VLOOKUP(C574,#REF!,4)</f>
        <v>#REF!</v>
      </c>
    </row>
    <row r="575" spans="1:14">
      <c r="A575" s="145" t="s">
        <v>626</v>
      </c>
      <c r="B575" s="146" t="s">
        <v>1933</v>
      </c>
      <c r="C575" s="146" t="s">
        <v>1934</v>
      </c>
      <c r="D575" s="145" t="s">
        <v>1935</v>
      </c>
      <c r="E575" s="146" t="s">
        <v>75</v>
      </c>
      <c r="F575" s="145" t="s">
        <v>1602</v>
      </c>
      <c r="G575" s="146" t="s">
        <v>20</v>
      </c>
      <c r="H575" s="146">
        <v>201604</v>
      </c>
      <c r="I575" s="147">
        <v>274.92</v>
      </c>
      <c r="J575" s="144">
        <f t="shared" si="26"/>
        <v>7</v>
      </c>
      <c r="K575" s="148">
        <v>1.4833299999999999E-3</v>
      </c>
      <c r="L575" s="147">
        <f t="shared" si="24"/>
        <v>2.85</v>
      </c>
      <c r="M575" s="147">
        <f t="shared" si="25"/>
        <v>4.8899999999999997</v>
      </c>
      <c r="N575" s="168" t="e">
        <f>VLOOKUP(C575,#REF!,4)</f>
        <v>#REF!</v>
      </c>
    </row>
    <row r="576" spans="1:14">
      <c r="A576" s="145" t="s">
        <v>626</v>
      </c>
      <c r="B576" s="146" t="s">
        <v>1933</v>
      </c>
      <c r="C576" s="146" t="s">
        <v>1934</v>
      </c>
      <c r="D576" s="145" t="s">
        <v>1935</v>
      </c>
      <c r="E576" s="146" t="s">
        <v>75</v>
      </c>
      <c r="F576" s="145" t="s">
        <v>1602</v>
      </c>
      <c r="G576" s="146" t="s">
        <v>20</v>
      </c>
      <c r="H576" s="146">
        <v>201605</v>
      </c>
      <c r="I576" s="147">
        <v>272.73</v>
      </c>
      <c r="J576" s="144">
        <f t="shared" si="26"/>
        <v>6</v>
      </c>
      <c r="K576" s="148">
        <v>1.4833299999999999E-3</v>
      </c>
      <c r="L576" s="147">
        <f t="shared" si="24"/>
        <v>2.4300000000000002</v>
      </c>
      <c r="M576" s="147">
        <f t="shared" si="25"/>
        <v>4.8499999999999996</v>
      </c>
      <c r="N576" s="168" t="e">
        <f>VLOOKUP(C576,#REF!,4)</f>
        <v>#REF!</v>
      </c>
    </row>
    <row r="577" spans="1:14">
      <c r="A577" s="145" t="s">
        <v>626</v>
      </c>
      <c r="B577" s="146" t="s">
        <v>1933</v>
      </c>
      <c r="C577" s="146" t="s">
        <v>1934</v>
      </c>
      <c r="D577" s="145" t="s">
        <v>1935</v>
      </c>
      <c r="E577" s="146" t="s">
        <v>75</v>
      </c>
      <c r="F577" s="145" t="s">
        <v>1602</v>
      </c>
      <c r="G577" s="146" t="s">
        <v>20</v>
      </c>
      <c r="H577" s="146">
        <v>201606</v>
      </c>
      <c r="I577" s="147">
        <v>171.28</v>
      </c>
      <c r="J577" s="144">
        <f t="shared" si="26"/>
        <v>5</v>
      </c>
      <c r="K577" s="148">
        <v>1.4833299999999999E-3</v>
      </c>
      <c r="L577" s="147">
        <f t="shared" si="24"/>
        <v>1.27</v>
      </c>
      <c r="M577" s="147">
        <f t="shared" si="25"/>
        <v>3.05</v>
      </c>
      <c r="N577" s="168" t="e">
        <f>VLOOKUP(C577,#REF!,4)</f>
        <v>#REF!</v>
      </c>
    </row>
    <row r="578" spans="1:14">
      <c r="A578" s="145" t="s">
        <v>626</v>
      </c>
      <c r="B578" s="146" t="s">
        <v>1967</v>
      </c>
      <c r="C578" s="146" t="s">
        <v>1968</v>
      </c>
      <c r="D578" s="145" t="s">
        <v>1969</v>
      </c>
      <c r="E578" s="146" t="s">
        <v>544</v>
      </c>
      <c r="F578" s="145" t="s">
        <v>26</v>
      </c>
      <c r="G578" s="146" t="s">
        <v>20</v>
      </c>
      <c r="H578" s="146">
        <v>201603</v>
      </c>
      <c r="I578" s="147">
        <v>49102.86</v>
      </c>
      <c r="J578" s="144">
        <f t="shared" si="26"/>
        <v>8</v>
      </c>
      <c r="K578" s="148">
        <v>1.4833299999999999E-3</v>
      </c>
      <c r="L578" s="147">
        <f t="shared" si="24"/>
        <v>582.69000000000005</v>
      </c>
      <c r="M578" s="147">
        <f t="shared" si="25"/>
        <v>874.03</v>
      </c>
      <c r="N578" s="168" t="e">
        <f>VLOOKUP(C578,#REF!,4)</f>
        <v>#REF!</v>
      </c>
    </row>
    <row r="579" spans="1:14">
      <c r="A579" s="145" t="s">
        <v>626</v>
      </c>
      <c r="B579" s="146" t="s">
        <v>1967</v>
      </c>
      <c r="C579" s="146" t="s">
        <v>1968</v>
      </c>
      <c r="D579" s="145" t="s">
        <v>1969</v>
      </c>
      <c r="E579" s="146" t="s">
        <v>544</v>
      </c>
      <c r="F579" s="145" t="s">
        <v>26</v>
      </c>
      <c r="G579" s="146" t="s">
        <v>20</v>
      </c>
      <c r="H579" s="146">
        <v>201604</v>
      </c>
      <c r="I579" s="147">
        <v>2595.21</v>
      </c>
      <c r="J579" s="144">
        <f t="shared" si="26"/>
        <v>7</v>
      </c>
      <c r="K579" s="148">
        <v>1.4833299999999999E-3</v>
      </c>
      <c r="L579" s="147">
        <f t="shared" si="24"/>
        <v>26.95</v>
      </c>
      <c r="M579" s="147">
        <f t="shared" si="25"/>
        <v>46.19</v>
      </c>
      <c r="N579" s="168" t="e">
        <f>VLOOKUP(C579,#REF!,4)</f>
        <v>#REF!</v>
      </c>
    </row>
    <row r="580" spans="1:14">
      <c r="A580" s="145" t="s">
        <v>626</v>
      </c>
      <c r="B580" s="146" t="s">
        <v>1967</v>
      </c>
      <c r="C580" s="146" t="s">
        <v>1968</v>
      </c>
      <c r="D580" s="145" t="s">
        <v>1969</v>
      </c>
      <c r="E580" s="146" t="s">
        <v>544</v>
      </c>
      <c r="F580" s="145" t="s">
        <v>26</v>
      </c>
      <c r="G580" s="146" t="s">
        <v>20</v>
      </c>
      <c r="H580" s="146">
        <v>201605</v>
      </c>
      <c r="I580" s="147">
        <v>2307.9</v>
      </c>
      <c r="J580" s="144">
        <f t="shared" si="26"/>
        <v>6</v>
      </c>
      <c r="K580" s="148">
        <v>1.4833299999999999E-3</v>
      </c>
      <c r="L580" s="147">
        <f t="shared" si="24"/>
        <v>20.54</v>
      </c>
      <c r="M580" s="147">
        <f t="shared" si="25"/>
        <v>41.08</v>
      </c>
      <c r="N580" s="168" t="e">
        <f>VLOOKUP(C580,#REF!,4)</f>
        <v>#REF!</v>
      </c>
    </row>
    <row r="581" spans="1:14">
      <c r="A581" s="145" t="s">
        <v>626</v>
      </c>
      <c r="B581" s="146" t="s">
        <v>1967</v>
      </c>
      <c r="C581" s="146" t="s">
        <v>1968</v>
      </c>
      <c r="D581" s="145" t="s">
        <v>1969</v>
      </c>
      <c r="E581" s="146" t="s">
        <v>544</v>
      </c>
      <c r="F581" s="145" t="s">
        <v>26</v>
      </c>
      <c r="G581" s="146" t="s">
        <v>20</v>
      </c>
      <c r="H581" s="146">
        <v>201606</v>
      </c>
      <c r="I581" s="147">
        <v>1714.54</v>
      </c>
      <c r="J581" s="144">
        <f t="shared" si="26"/>
        <v>5</v>
      </c>
      <c r="K581" s="148">
        <v>1.4833299999999999E-3</v>
      </c>
      <c r="L581" s="147">
        <f t="shared" ref="L581:L644" si="27">ROUND(I581*J581*K581,2)</f>
        <v>12.72</v>
      </c>
      <c r="M581" s="147">
        <f t="shared" ref="M581:M644" si="28">ROUND(I581*K581*12,2)</f>
        <v>30.52</v>
      </c>
      <c r="N581" s="168" t="e">
        <f>VLOOKUP(C581,#REF!,4)</f>
        <v>#REF!</v>
      </c>
    </row>
    <row r="582" spans="1:14">
      <c r="A582" s="145" t="s">
        <v>626</v>
      </c>
      <c r="B582" s="146" t="s">
        <v>1936</v>
      </c>
      <c r="C582" s="146" t="s">
        <v>1937</v>
      </c>
      <c r="D582" s="145" t="s">
        <v>1938</v>
      </c>
      <c r="E582" s="146" t="s">
        <v>75</v>
      </c>
      <c r="F582" s="145" t="s">
        <v>1602</v>
      </c>
      <c r="G582" s="146" t="s">
        <v>20</v>
      </c>
      <c r="H582" s="146">
        <v>201603</v>
      </c>
      <c r="I582" s="147">
        <v>-14.46</v>
      </c>
      <c r="J582" s="144">
        <f t="shared" ref="J582:J645" si="29">VLOOKUP(H582,$P$5:$Q$14,2)</f>
        <v>8</v>
      </c>
      <c r="K582" s="148">
        <v>1.4833299999999999E-3</v>
      </c>
      <c r="L582" s="147">
        <f t="shared" si="27"/>
        <v>-0.17</v>
      </c>
      <c r="M582" s="147">
        <f t="shared" si="28"/>
        <v>-0.26</v>
      </c>
      <c r="N582" s="168" t="e">
        <f>VLOOKUP(C582,#REF!,4)</f>
        <v>#REF!</v>
      </c>
    </row>
    <row r="583" spans="1:14">
      <c r="A583" s="145" t="s">
        <v>626</v>
      </c>
      <c r="B583" s="146" t="s">
        <v>1936</v>
      </c>
      <c r="C583" s="146" t="s">
        <v>1937</v>
      </c>
      <c r="D583" s="145" t="s">
        <v>1938</v>
      </c>
      <c r="E583" s="146" t="s">
        <v>75</v>
      </c>
      <c r="F583" s="145" t="s">
        <v>1602</v>
      </c>
      <c r="G583" s="146" t="s">
        <v>20</v>
      </c>
      <c r="H583" s="146">
        <v>201604</v>
      </c>
      <c r="I583" s="147">
        <v>254.42</v>
      </c>
      <c r="J583" s="144">
        <f t="shared" si="29"/>
        <v>7</v>
      </c>
      <c r="K583" s="148">
        <v>1.4833299999999999E-3</v>
      </c>
      <c r="L583" s="147">
        <f t="shared" si="27"/>
        <v>2.64</v>
      </c>
      <c r="M583" s="147">
        <f t="shared" si="28"/>
        <v>4.53</v>
      </c>
      <c r="N583" s="168" t="e">
        <f>VLOOKUP(C583,#REF!,4)</f>
        <v>#REF!</v>
      </c>
    </row>
    <row r="584" spans="1:14">
      <c r="A584" s="145" t="s">
        <v>626</v>
      </c>
      <c r="B584" s="146" t="s">
        <v>1936</v>
      </c>
      <c r="C584" s="146" t="s">
        <v>1937</v>
      </c>
      <c r="D584" s="145" t="s">
        <v>1938</v>
      </c>
      <c r="E584" s="146" t="s">
        <v>75</v>
      </c>
      <c r="F584" s="145" t="s">
        <v>1602</v>
      </c>
      <c r="G584" s="146" t="s">
        <v>20</v>
      </c>
      <c r="H584" s="146">
        <v>201605</v>
      </c>
      <c r="I584" s="147">
        <v>235.74</v>
      </c>
      <c r="J584" s="144">
        <f t="shared" si="29"/>
        <v>6</v>
      </c>
      <c r="K584" s="148">
        <v>1.4833299999999999E-3</v>
      </c>
      <c r="L584" s="147">
        <f t="shared" si="27"/>
        <v>2.1</v>
      </c>
      <c r="M584" s="147">
        <f t="shared" si="28"/>
        <v>4.2</v>
      </c>
      <c r="N584" s="168" t="e">
        <f>VLOOKUP(C584,#REF!,4)</f>
        <v>#REF!</v>
      </c>
    </row>
    <row r="585" spans="1:14">
      <c r="A585" s="145" t="s">
        <v>626</v>
      </c>
      <c r="B585" s="146" t="s">
        <v>1936</v>
      </c>
      <c r="C585" s="146" t="s">
        <v>1937</v>
      </c>
      <c r="D585" s="145" t="s">
        <v>1938</v>
      </c>
      <c r="E585" s="146" t="s">
        <v>75</v>
      </c>
      <c r="F585" s="145" t="s">
        <v>1602</v>
      </c>
      <c r="G585" s="146" t="s">
        <v>20</v>
      </c>
      <c r="H585" s="146">
        <v>201606</v>
      </c>
      <c r="I585" s="147">
        <v>110.67</v>
      </c>
      <c r="J585" s="144">
        <f t="shared" si="29"/>
        <v>5</v>
      </c>
      <c r="K585" s="148">
        <v>1.4833299999999999E-3</v>
      </c>
      <c r="L585" s="147">
        <f t="shared" si="27"/>
        <v>0.82</v>
      </c>
      <c r="M585" s="147">
        <f t="shared" si="28"/>
        <v>1.97</v>
      </c>
      <c r="N585" s="168" t="e">
        <f>VLOOKUP(C585,#REF!,4)</f>
        <v>#REF!</v>
      </c>
    </row>
    <row r="586" spans="1:14">
      <c r="A586" s="145" t="s">
        <v>626</v>
      </c>
      <c r="B586" s="146" t="s">
        <v>1970</v>
      </c>
      <c r="C586" s="146" t="s">
        <v>1971</v>
      </c>
      <c r="D586" s="145" t="s">
        <v>1972</v>
      </c>
      <c r="E586" s="146" t="s">
        <v>93</v>
      </c>
      <c r="F586" s="145" t="s">
        <v>1601</v>
      </c>
      <c r="G586" s="146" t="s">
        <v>20</v>
      </c>
      <c r="H586" s="146">
        <v>201603</v>
      </c>
      <c r="I586" s="147">
        <v>84314.26</v>
      </c>
      <c r="J586" s="144">
        <f t="shared" si="29"/>
        <v>8</v>
      </c>
      <c r="K586" s="148">
        <v>1.4833299999999999E-3</v>
      </c>
      <c r="L586" s="147">
        <f t="shared" si="27"/>
        <v>1000.53</v>
      </c>
      <c r="M586" s="147">
        <f t="shared" si="28"/>
        <v>1500.79</v>
      </c>
      <c r="N586" s="168" t="e">
        <f>VLOOKUP(C586,#REF!,4)</f>
        <v>#REF!</v>
      </c>
    </row>
    <row r="587" spans="1:14">
      <c r="A587" s="145" t="s">
        <v>626</v>
      </c>
      <c r="B587" s="146" t="s">
        <v>1970</v>
      </c>
      <c r="C587" s="146" t="s">
        <v>1971</v>
      </c>
      <c r="D587" s="145" t="s">
        <v>1972</v>
      </c>
      <c r="E587" s="146" t="s">
        <v>93</v>
      </c>
      <c r="F587" s="145" t="s">
        <v>1601</v>
      </c>
      <c r="G587" s="146" t="s">
        <v>20</v>
      </c>
      <c r="H587" s="146">
        <v>201604</v>
      </c>
      <c r="I587" s="147">
        <v>50007.199999999997</v>
      </c>
      <c r="J587" s="144">
        <f t="shared" si="29"/>
        <v>7</v>
      </c>
      <c r="K587" s="148">
        <v>1.4833299999999999E-3</v>
      </c>
      <c r="L587" s="147">
        <f t="shared" si="27"/>
        <v>519.24</v>
      </c>
      <c r="M587" s="147">
        <f t="shared" si="28"/>
        <v>890.13</v>
      </c>
      <c r="N587" s="168" t="e">
        <f>VLOOKUP(C587,#REF!,4)</f>
        <v>#REF!</v>
      </c>
    </row>
    <row r="588" spans="1:14">
      <c r="A588" s="145" t="s">
        <v>626</v>
      </c>
      <c r="B588" s="146" t="s">
        <v>1970</v>
      </c>
      <c r="C588" s="146" t="s">
        <v>1971</v>
      </c>
      <c r="D588" s="145" t="s">
        <v>1972</v>
      </c>
      <c r="E588" s="146" t="s">
        <v>93</v>
      </c>
      <c r="F588" s="145" t="s">
        <v>1601</v>
      </c>
      <c r="G588" s="146" t="s">
        <v>20</v>
      </c>
      <c r="H588" s="146">
        <v>201605</v>
      </c>
      <c r="I588" s="147">
        <v>14283.06</v>
      </c>
      <c r="J588" s="144">
        <f t="shared" si="29"/>
        <v>6</v>
      </c>
      <c r="K588" s="148">
        <v>1.4833299999999999E-3</v>
      </c>
      <c r="L588" s="147">
        <f t="shared" si="27"/>
        <v>127.12</v>
      </c>
      <c r="M588" s="147">
        <f t="shared" si="28"/>
        <v>254.24</v>
      </c>
      <c r="N588" s="168" t="e">
        <f>VLOOKUP(C588,#REF!,4)</f>
        <v>#REF!</v>
      </c>
    </row>
    <row r="589" spans="1:14">
      <c r="A589" s="145" t="s">
        <v>626</v>
      </c>
      <c r="B589" s="146" t="s">
        <v>1970</v>
      </c>
      <c r="C589" s="146" t="s">
        <v>1971</v>
      </c>
      <c r="D589" s="145" t="s">
        <v>1972</v>
      </c>
      <c r="E589" s="146" t="s">
        <v>93</v>
      </c>
      <c r="F589" s="145" t="s">
        <v>1601</v>
      </c>
      <c r="G589" s="146" t="s">
        <v>20</v>
      </c>
      <c r="H589" s="146">
        <v>201606</v>
      </c>
      <c r="I589" s="147">
        <v>10848.9</v>
      </c>
      <c r="J589" s="144">
        <f t="shared" si="29"/>
        <v>5</v>
      </c>
      <c r="K589" s="148">
        <v>1.4833299999999999E-3</v>
      </c>
      <c r="L589" s="147">
        <f t="shared" si="27"/>
        <v>80.459999999999994</v>
      </c>
      <c r="M589" s="147">
        <f t="shared" si="28"/>
        <v>193.11</v>
      </c>
      <c r="N589" s="168" t="e">
        <f>VLOOKUP(C589,#REF!,4)</f>
        <v>#REF!</v>
      </c>
    </row>
    <row r="590" spans="1:14">
      <c r="A590" s="145" t="s">
        <v>21</v>
      </c>
      <c r="B590" s="146" t="s">
        <v>1939</v>
      </c>
      <c r="C590" s="146" t="s">
        <v>1940</v>
      </c>
      <c r="D590" s="145" t="s">
        <v>1941</v>
      </c>
      <c r="E590" s="146" t="s">
        <v>87</v>
      </c>
      <c r="F590" s="145" t="s">
        <v>1603</v>
      </c>
      <c r="G590" s="146" t="s">
        <v>20</v>
      </c>
      <c r="H590" s="146">
        <v>201603</v>
      </c>
      <c r="I590" s="147">
        <v>5406.04</v>
      </c>
      <c r="J590" s="144">
        <f t="shared" si="29"/>
        <v>8</v>
      </c>
      <c r="K590" s="148">
        <v>1.4833299999999999E-3</v>
      </c>
      <c r="L590" s="147">
        <f t="shared" si="27"/>
        <v>64.150000000000006</v>
      </c>
      <c r="M590" s="147">
        <f t="shared" si="28"/>
        <v>96.23</v>
      </c>
      <c r="N590" s="168" t="e">
        <f>VLOOKUP(C590,#REF!,4)</f>
        <v>#REF!</v>
      </c>
    </row>
    <row r="591" spans="1:14">
      <c r="A591" s="145" t="s">
        <v>21</v>
      </c>
      <c r="B591" s="146" t="s">
        <v>1939</v>
      </c>
      <c r="C591" s="146" t="s">
        <v>1940</v>
      </c>
      <c r="D591" s="145" t="s">
        <v>1941</v>
      </c>
      <c r="E591" s="146" t="s">
        <v>87</v>
      </c>
      <c r="F591" s="145" t="s">
        <v>1603</v>
      </c>
      <c r="G591" s="146" t="s">
        <v>20</v>
      </c>
      <c r="H591" s="146">
        <v>201604</v>
      </c>
      <c r="I591" s="147">
        <v>2652.14</v>
      </c>
      <c r="J591" s="144">
        <f t="shared" si="29"/>
        <v>7</v>
      </c>
      <c r="K591" s="148">
        <v>1.4833299999999999E-3</v>
      </c>
      <c r="L591" s="147">
        <f t="shared" si="27"/>
        <v>27.54</v>
      </c>
      <c r="M591" s="147">
        <f t="shared" si="28"/>
        <v>47.21</v>
      </c>
      <c r="N591" s="168" t="e">
        <f>VLOOKUP(C591,#REF!,4)</f>
        <v>#REF!</v>
      </c>
    </row>
    <row r="592" spans="1:14">
      <c r="A592" s="145" t="s">
        <v>21</v>
      </c>
      <c r="B592" s="146" t="s">
        <v>1939</v>
      </c>
      <c r="C592" s="146" t="s">
        <v>1940</v>
      </c>
      <c r="D592" s="145" t="s">
        <v>1941</v>
      </c>
      <c r="E592" s="146" t="s">
        <v>87</v>
      </c>
      <c r="F592" s="145" t="s">
        <v>1603</v>
      </c>
      <c r="G592" s="146" t="s">
        <v>20</v>
      </c>
      <c r="H592" s="146">
        <v>201605</v>
      </c>
      <c r="I592" s="147">
        <v>3810.01</v>
      </c>
      <c r="J592" s="144">
        <f t="shared" si="29"/>
        <v>6</v>
      </c>
      <c r="K592" s="148">
        <v>1.4833299999999999E-3</v>
      </c>
      <c r="L592" s="147">
        <f t="shared" si="27"/>
        <v>33.909999999999997</v>
      </c>
      <c r="M592" s="147">
        <f t="shared" si="28"/>
        <v>67.819999999999993</v>
      </c>
      <c r="N592" s="168" t="e">
        <f>VLOOKUP(C592,#REF!,4)</f>
        <v>#REF!</v>
      </c>
    </row>
    <row r="593" spans="1:14">
      <c r="A593" s="145" t="s">
        <v>21</v>
      </c>
      <c r="B593" s="146" t="s">
        <v>1939</v>
      </c>
      <c r="C593" s="146" t="s">
        <v>1940</v>
      </c>
      <c r="D593" s="145" t="s">
        <v>1941</v>
      </c>
      <c r="E593" s="146" t="s">
        <v>87</v>
      </c>
      <c r="F593" s="145" t="s">
        <v>1603</v>
      </c>
      <c r="G593" s="146" t="s">
        <v>20</v>
      </c>
      <c r="H593" s="146">
        <v>201606</v>
      </c>
      <c r="I593" s="147">
        <v>1580.23</v>
      </c>
      <c r="J593" s="144">
        <f t="shared" si="29"/>
        <v>5</v>
      </c>
      <c r="K593" s="148">
        <v>1.4833299999999999E-3</v>
      </c>
      <c r="L593" s="147">
        <f t="shared" si="27"/>
        <v>11.72</v>
      </c>
      <c r="M593" s="147">
        <f t="shared" si="28"/>
        <v>28.13</v>
      </c>
      <c r="N593" s="168" t="e">
        <f>VLOOKUP(C593,#REF!,4)</f>
        <v>#REF!</v>
      </c>
    </row>
    <row r="594" spans="1:14">
      <c r="A594" s="145" t="s">
        <v>21</v>
      </c>
      <c r="B594" s="146" t="s">
        <v>1973</v>
      </c>
      <c r="C594" s="146" t="s">
        <v>1974</v>
      </c>
      <c r="D594" s="145" t="s">
        <v>1975</v>
      </c>
      <c r="E594" s="146" t="s">
        <v>87</v>
      </c>
      <c r="F594" s="145" t="s">
        <v>1603</v>
      </c>
      <c r="G594" s="146" t="s">
        <v>20</v>
      </c>
      <c r="H594" s="146">
        <v>201603</v>
      </c>
      <c r="I594" s="147">
        <v>2399.7399999999998</v>
      </c>
      <c r="J594" s="144">
        <f t="shared" si="29"/>
        <v>8</v>
      </c>
      <c r="K594" s="148">
        <v>1.4833299999999999E-3</v>
      </c>
      <c r="L594" s="147">
        <f t="shared" si="27"/>
        <v>28.48</v>
      </c>
      <c r="M594" s="147">
        <f t="shared" si="28"/>
        <v>42.72</v>
      </c>
      <c r="N594" s="168" t="e">
        <f>VLOOKUP(C594,#REF!,4)</f>
        <v>#REF!</v>
      </c>
    </row>
    <row r="595" spans="1:14">
      <c r="A595" s="145" t="s">
        <v>21</v>
      </c>
      <c r="B595" s="146" t="s">
        <v>1973</v>
      </c>
      <c r="C595" s="146" t="s">
        <v>1974</v>
      </c>
      <c r="D595" s="145" t="s">
        <v>1975</v>
      </c>
      <c r="E595" s="146" t="s">
        <v>87</v>
      </c>
      <c r="F595" s="145" t="s">
        <v>1603</v>
      </c>
      <c r="G595" s="146" t="s">
        <v>20</v>
      </c>
      <c r="H595" s="146">
        <v>201604</v>
      </c>
      <c r="I595" s="147">
        <v>2493.0500000000002</v>
      </c>
      <c r="J595" s="144">
        <f t="shared" si="29"/>
        <v>7</v>
      </c>
      <c r="K595" s="148">
        <v>1.4833299999999999E-3</v>
      </c>
      <c r="L595" s="147">
        <f t="shared" si="27"/>
        <v>25.89</v>
      </c>
      <c r="M595" s="147">
        <f t="shared" si="28"/>
        <v>44.38</v>
      </c>
      <c r="N595" s="168" t="e">
        <f>VLOOKUP(C595,#REF!,4)</f>
        <v>#REF!</v>
      </c>
    </row>
    <row r="596" spans="1:14">
      <c r="A596" s="145" t="s">
        <v>21</v>
      </c>
      <c r="B596" s="146" t="s">
        <v>1973</v>
      </c>
      <c r="C596" s="146" t="s">
        <v>1974</v>
      </c>
      <c r="D596" s="145" t="s">
        <v>1975</v>
      </c>
      <c r="E596" s="146" t="s">
        <v>87</v>
      </c>
      <c r="F596" s="145" t="s">
        <v>1603</v>
      </c>
      <c r="G596" s="146" t="s">
        <v>20</v>
      </c>
      <c r="H596" s="146">
        <v>201605</v>
      </c>
      <c r="I596" s="147">
        <v>1186.47</v>
      </c>
      <c r="J596" s="144">
        <f t="shared" si="29"/>
        <v>6</v>
      </c>
      <c r="K596" s="148">
        <v>1.4833299999999999E-3</v>
      </c>
      <c r="L596" s="147">
        <f t="shared" si="27"/>
        <v>10.56</v>
      </c>
      <c r="M596" s="147">
        <f t="shared" si="28"/>
        <v>21.12</v>
      </c>
      <c r="N596" s="168" t="e">
        <f>VLOOKUP(C596,#REF!,4)</f>
        <v>#REF!</v>
      </c>
    </row>
    <row r="597" spans="1:14">
      <c r="A597" s="145" t="s">
        <v>21</v>
      </c>
      <c r="B597" s="146" t="s">
        <v>1973</v>
      </c>
      <c r="C597" s="146" t="s">
        <v>1974</v>
      </c>
      <c r="D597" s="145" t="s">
        <v>1975</v>
      </c>
      <c r="E597" s="146" t="s">
        <v>87</v>
      </c>
      <c r="F597" s="145" t="s">
        <v>1603</v>
      </c>
      <c r="G597" s="146" t="s">
        <v>20</v>
      </c>
      <c r="H597" s="146">
        <v>201606</v>
      </c>
      <c r="I597" s="147">
        <v>787.45</v>
      </c>
      <c r="J597" s="144">
        <f t="shared" si="29"/>
        <v>5</v>
      </c>
      <c r="K597" s="148">
        <v>1.4833299999999999E-3</v>
      </c>
      <c r="L597" s="147">
        <f t="shared" si="27"/>
        <v>5.84</v>
      </c>
      <c r="M597" s="147">
        <f t="shared" si="28"/>
        <v>14.02</v>
      </c>
      <c r="N597" s="168" t="e">
        <f>VLOOKUP(C597,#REF!,4)</f>
        <v>#REF!</v>
      </c>
    </row>
    <row r="598" spans="1:14">
      <c r="A598" s="145" t="s">
        <v>626</v>
      </c>
      <c r="B598" s="146" t="s">
        <v>1809</v>
      </c>
      <c r="C598" s="146" t="s">
        <v>1810</v>
      </c>
      <c r="D598" s="145" t="s">
        <v>1323</v>
      </c>
      <c r="E598" s="146" t="s">
        <v>75</v>
      </c>
      <c r="F598" s="145" t="s">
        <v>1602</v>
      </c>
      <c r="G598" s="146" t="s">
        <v>20</v>
      </c>
      <c r="H598" s="146">
        <v>201604</v>
      </c>
      <c r="I598" s="147">
        <v>-0.48</v>
      </c>
      <c r="J598" s="144">
        <f t="shared" si="29"/>
        <v>7</v>
      </c>
      <c r="K598" s="148">
        <v>1.4833299999999999E-3</v>
      </c>
      <c r="L598" s="147">
        <f t="shared" si="27"/>
        <v>0</v>
      </c>
      <c r="M598" s="147">
        <f t="shared" si="28"/>
        <v>-0.01</v>
      </c>
      <c r="N598" s="168" t="e">
        <f>VLOOKUP(C598,#REF!,4)</f>
        <v>#REF!</v>
      </c>
    </row>
    <row r="599" spans="1:14">
      <c r="A599" s="145" t="s">
        <v>626</v>
      </c>
      <c r="B599" s="146" t="s">
        <v>1811</v>
      </c>
      <c r="C599" s="146" t="s">
        <v>1812</v>
      </c>
      <c r="D599" s="145" t="s">
        <v>1813</v>
      </c>
      <c r="E599" s="146" t="s">
        <v>25</v>
      </c>
      <c r="F599" s="145" t="s">
        <v>26</v>
      </c>
      <c r="G599" s="146" t="s">
        <v>20</v>
      </c>
      <c r="H599" s="146">
        <v>201603</v>
      </c>
      <c r="I599" s="147">
        <v>-525.41999999999996</v>
      </c>
      <c r="J599" s="144">
        <f t="shared" si="29"/>
        <v>8</v>
      </c>
      <c r="K599" s="148">
        <v>1.4833299999999999E-3</v>
      </c>
      <c r="L599" s="147">
        <f t="shared" si="27"/>
        <v>-6.23</v>
      </c>
      <c r="M599" s="147">
        <f t="shared" si="28"/>
        <v>-9.35</v>
      </c>
      <c r="N599" s="168" t="e">
        <f>VLOOKUP(C599,#REF!,4)</f>
        <v>#REF!</v>
      </c>
    </row>
    <row r="600" spans="1:14">
      <c r="A600" s="145" t="s">
        <v>626</v>
      </c>
      <c r="B600" s="146" t="s">
        <v>1811</v>
      </c>
      <c r="C600" s="146" t="s">
        <v>1812</v>
      </c>
      <c r="D600" s="145" t="s">
        <v>1813</v>
      </c>
      <c r="E600" s="146" t="s">
        <v>25</v>
      </c>
      <c r="F600" s="145" t="s">
        <v>26</v>
      </c>
      <c r="G600" s="146" t="s">
        <v>20</v>
      </c>
      <c r="H600" s="146">
        <v>201604</v>
      </c>
      <c r="I600" s="147">
        <v>465.78</v>
      </c>
      <c r="J600" s="144">
        <f t="shared" si="29"/>
        <v>7</v>
      </c>
      <c r="K600" s="148">
        <v>1.4833299999999999E-3</v>
      </c>
      <c r="L600" s="147">
        <f t="shared" si="27"/>
        <v>4.84</v>
      </c>
      <c r="M600" s="147">
        <f t="shared" si="28"/>
        <v>8.2899999999999991</v>
      </c>
      <c r="N600" s="168" t="e">
        <f>VLOOKUP(C600,#REF!,4)</f>
        <v>#REF!</v>
      </c>
    </row>
    <row r="601" spans="1:14">
      <c r="A601" s="145" t="s">
        <v>626</v>
      </c>
      <c r="B601" s="146" t="s">
        <v>1811</v>
      </c>
      <c r="C601" s="146" t="s">
        <v>1812</v>
      </c>
      <c r="D601" s="145" t="s">
        <v>1813</v>
      </c>
      <c r="E601" s="146" t="s">
        <v>25</v>
      </c>
      <c r="F601" s="145" t="s">
        <v>26</v>
      </c>
      <c r="G601" s="146" t="s">
        <v>20</v>
      </c>
      <c r="H601" s="146">
        <v>201605</v>
      </c>
      <c r="I601" s="147">
        <v>572.27</v>
      </c>
      <c r="J601" s="144">
        <f t="shared" si="29"/>
        <v>6</v>
      </c>
      <c r="K601" s="148">
        <v>1.4833299999999999E-3</v>
      </c>
      <c r="L601" s="147">
        <f t="shared" si="27"/>
        <v>5.09</v>
      </c>
      <c r="M601" s="147">
        <f t="shared" si="28"/>
        <v>10.19</v>
      </c>
      <c r="N601" s="168" t="e">
        <f>VLOOKUP(C601,#REF!,4)</f>
        <v>#REF!</v>
      </c>
    </row>
    <row r="602" spans="1:14">
      <c r="A602" s="145" t="s">
        <v>626</v>
      </c>
      <c r="B602" s="146" t="s">
        <v>1811</v>
      </c>
      <c r="C602" s="146" t="s">
        <v>1812</v>
      </c>
      <c r="D602" s="145" t="s">
        <v>1813</v>
      </c>
      <c r="E602" s="146" t="s">
        <v>25</v>
      </c>
      <c r="F602" s="145" t="s">
        <v>26</v>
      </c>
      <c r="G602" s="146" t="s">
        <v>20</v>
      </c>
      <c r="H602" s="146">
        <v>201606</v>
      </c>
      <c r="I602" s="147">
        <v>320.70999999999998</v>
      </c>
      <c r="J602" s="144">
        <f t="shared" si="29"/>
        <v>5</v>
      </c>
      <c r="K602" s="148">
        <v>1.4833299999999999E-3</v>
      </c>
      <c r="L602" s="147">
        <f t="shared" si="27"/>
        <v>2.38</v>
      </c>
      <c r="M602" s="147">
        <f t="shared" si="28"/>
        <v>5.71</v>
      </c>
      <c r="N602" s="168" t="e">
        <f>VLOOKUP(C602,#REF!,4)</f>
        <v>#REF!</v>
      </c>
    </row>
    <row r="603" spans="1:14">
      <c r="A603" s="145" t="s">
        <v>1942</v>
      </c>
      <c r="B603" s="146" t="s">
        <v>1681</v>
      </c>
      <c r="C603" s="146" t="s">
        <v>1682</v>
      </c>
      <c r="D603" s="145" t="s">
        <v>1683</v>
      </c>
      <c r="E603" s="146" t="s">
        <v>198</v>
      </c>
      <c r="F603" s="145" t="s">
        <v>1610</v>
      </c>
      <c r="G603" s="146" t="s">
        <v>20</v>
      </c>
      <c r="H603" s="146">
        <v>201603</v>
      </c>
      <c r="I603" s="147">
        <v>-5515.17</v>
      </c>
      <c r="J603" s="144">
        <f t="shared" si="29"/>
        <v>8</v>
      </c>
      <c r="K603" s="148">
        <v>2.23333E-3</v>
      </c>
      <c r="L603" s="147">
        <f t="shared" si="27"/>
        <v>-98.54</v>
      </c>
      <c r="M603" s="147">
        <f t="shared" si="28"/>
        <v>-147.81</v>
      </c>
      <c r="N603" s="168" t="e">
        <f>VLOOKUP(C603,#REF!,4)</f>
        <v>#REF!</v>
      </c>
    </row>
    <row r="604" spans="1:14">
      <c r="A604" s="145" t="s">
        <v>1942</v>
      </c>
      <c r="B604" s="146" t="s">
        <v>1681</v>
      </c>
      <c r="C604" s="146" t="s">
        <v>1682</v>
      </c>
      <c r="D604" s="145" t="s">
        <v>1683</v>
      </c>
      <c r="E604" s="146" t="s">
        <v>198</v>
      </c>
      <c r="F604" s="145" t="s">
        <v>1610</v>
      </c>
      <c r="G604" s="146" t="s">
        <v>20</v>
      </c>
      <c r="H604" s="146">
        <v>201604</v>
      </c>
      <c r="I604" s="147">
        <v>3074.58</v>
      </c>
      <c r="J604" s="144">
        <f t="shared" si="29"/>
        <v>7</v>
      </c>
      <c r="K604" s="148">
        <v>2.23333E-3</v>
      </c>
      <c r="L604" s="147">
        <f t="shared" si="27"/>
        <v>48.07</v>
      </c>
      <c r="M604" s="147">
        <f t="shared" si="28"/>
        <v>82.4</v>
      </c>
      <c r="N604" s="168" t="e">
        <f>VLOOKUP(C604,#REF!,4)</f>
        <v>#REF!</v>
      </c>
    </row>
    <row r="605" spans="1:14">
      <c r="A605" s="145" t="s">
        <v>1942</v>
      </c>
      <c r="B605" s="146" t="s">
        <v>1681</v>
      </c>
      <c r="C605" s="146" t="s">
        <v>1682</v>
      </c>
      <c r="D605" s="145" t="s">
        <v>1683</v>
      </c>
      <c r="E605" s="146" t="s">
        <v>198</v>
      </c>
      <c r="F605" s="145" t="s">
        <v>1610</v>
      </c>
      <c r="G605" s="146" t="s">
        <v>20</v>
      </c>
      <c r="H605" s="146">
        <v>201605</v>
      </c>
      <c r="I605" s="147">
        <v>2132.77</v>
      </c>
      <c r="J605" s="144">
        <f t="shared" si="29"/>
        <v>6</v>
      </c>
      <c r="K605" s="148">
        <v>2.23333E-3</v>
      </c>
      <c r="L605" s="147">
        <f t="shared" si="27"/>
        <v>28.58</v>
      </c>
      <c r="M605" s="147">
        <f t="shared" si="28"/>
        <v>57.16</v>
      </c>
      <c r="N605" s="168" t="e">
        <f>VLOOKUP(C605,#REF!,4)</f>
        <v>#REF!</v>
      </c>
    </row>
    <row r="606" spans="1:14">
      <c r="A606" s="145" t="s">
        <v>1942</v>
      </c>
      <c r="B606" s="146" t="s">
        <v>1681</v>
      </c>
      <c r="C606" s="146" t="s">
        <v>1682</v>
      </c>
      <c r="D606" s="145" t="s">
        <v>1683</v>
      </c>
      <c r="E606" s="146" t="s">
        <v>198</v>
      </c>
      <c r="F606" s="145" t="s">
        <v>1610</v>
      </c>
      <c r="G606" s="146" t="s">
        <v>20</v>
      </c>
      <c r="H606" s="146">
        <v>201606</v>
      </c>
      <c r="I606" s="147">
        <v>13452.51</v>
      </c>
      <c r="J606" s="144">
        <f t="shared" si="29"/>
        <v>5</v>
      </c>
      <c r="K606" s="148">
        <v>2.23333E-3</v>
      </c>
      <c r="L606" s="147">
        <f t="shared" si="27"/>
        <v>150.22</v>
      </c>
      <c r="M606" s="147">
        <f t="shared" si="28"/>
        <v>360.53</v>
      </c>
      <c r="N606" s="168" t="e">
        <f>VLOOKUP(C606,#REF!,4)</f>
        <v>#REF!</v>
      </c>
    </row>
    <row r="607" spans="1:14">
      <c r="A607" s="145" t="s">
        <v>1942</v>
      </c>
      <c r="B607" s="146" t="s">
        <v>1681</v>
      </c>
      <c r="C607" s="146" t="s">
        <v>1943</v>
      </c>
      <c r="D607" s="145" t="s">
        <v>1944</v>
      </c>
      <c r="E607" s="146" t="s">
        <v>202</v>
      </c>
      <c r="F607" s="145" t="s">
        <v>1611</v>
      </c>
      <c r="G607" s="146" t="s">
        <v>20</v>
      </c>
      <c r="H607" s="146">
        <v>201603</v>
      </c>
      <c r="I607" s="147">
        <v>9006.61</v>
      </c>
      <c r="J607" s="144">
        <f t="shared" si="29"/>
        <v>8</v>
      </c>
      <c r="K607" s="148">
        <v>2.23333E-3</v>
      </c>
      <c r="L607" s="147">
        <f t="shared" si="27"/>
        <v>160.91999999999999</v>
      </c>
      <c r="M607" s="147">
        <f t="shared" si="28"/>
        <v>241.38</v>
      </c>
      <c r="N607" s="168" t="e">
        <f>VLOOKUP(C607,#REF!,4)</f>
        <v>#REF!</v>
      </c>
    </row>
    <row r="608" spans="1:14">
      <c r="A608" s="145" t="s">
        <v>1942</v>
      </c>
      <c r="B608" s="146" t="s">
        <v>1681</v>
      </c>
      <c r="C608" s="146" t="s">
        <v>1943</v>
      </c>
      <c r="D608" s="145" t="s">
        <v>1944</v>
      </c>
      <c r="E608" s="146" t="s">
        <v>202</v>
      </c>
      <c r="F608" s="145" t="s">
        <v>1611</v>
      </c>
      <c r="G608" s="146" t="s">
        <v>20</v>
      </c>
      <c r="H608" s="146">
        <v>201604</v>
      </c>
      <c r="I608" s="147">
        <v>1011.31</v>
      </c>
      <c r="J608" s="144">
        <f t="shared" si="29"/>
        <v>7</v>
      </c>
      <c r="K608" s="148">
        <v>2.23333E-3</v>
      </c>
      <c r="L608" s="147">
        <f t="shared" si="27"/>
        <v>15.81</v>
      </c>
      <c r="M608" s="147">
        <f t="shared" si="28"/>
        <v>27.1</v>
      </c>
      <c r="N608" s="168" t="e">
        <f>VLOOKUP(C608,#REF!,4)</f>
        <v>#REF!</v>
      </c>
    </row>
    <row r="609" spans="1:14">
      <c r="A609" s="145" t="s">
        <v>1942</v>
      </c>
      <c r="B609" s="146" t="s">
        <v>1681</v>
      </c>
      <c r="C609" s="146" t="s">
        <v>1943</v>
      </c>
      <c r="D609" s="145" t="s">
        <v>1944</v>
      </c>
      <c r="E609" s="146" t="s">
        <v>202</v>
      </c>
      <c r="F609" s="145" t="s">
        <v>1611</v>
      </c>
      <c r="G609" s="146" t="s">
        <v>20</v>
      </c>
      <c r="H609" s="146">
        <v>201605</v>
      </c>
      <c r="I609" s="147">
        <v>469.82</v>
      </c>
      <c r="J609" s="144">
        <f t="shared" si="29"/>
        <v>6</v>
      </c>
      <c r="K609" s="148">
        <v>2.23333E-3</v>
      </c>
      <c r="L609" s="147">
        <f t="shared" si="27"/>
        <v>6.3</v>
      </c>
      <c r="M609" s="147">
        <f t="shared" si="28"/>
        <v>12.59</v>
      </c>
      <c r="N609" s="168" t="e">
        <f>VLOOKUP(C609,#REF!,4)</f>
        <v>#REF!</v>
      </c>
    </row>
    <row r="610" spans="1:14">
      <c r="A610" s="145" t="s">
        <v>1942</v>
      </c>
      <c r="B610" s="146" t="s">
        <v>1681</v>
      </c>
      <c r="C610" s="146" t="s">
        <v>1943</v>
      </c>
      <c r="D610" s="145" t="s">
        <v>1944</v>
      </c>
      <c r="E610" s="146" t="s">
        <v>202</v>
      </c>
      <c r="F610" s="145" t="s">
        <v>1611</v>
      </c>
      <c r="G610" s="146" t="s">
        <v>20</v>
      </c>
      <c r="H610" s="146">
        <v>201606</v>
      </c>
      <c r="I610" s="147">
        <v>4229.49</v>
      </c>
      <c r="J610" s="144">
        <f t="shared" si="29"/>
        <v>5</v>
      </c>
      <c r="K610" s="148">
        <v>2.23333E-3</v>
      </c>
      <c r="L610" s="147">
        <f t="shared" si="27"/>
        <v>47.23</v>
      </c>
      <c r="M610" s="147">
        <f t="shared" si="28"/>
        <v>113.35</v>
      </c>
      <c r="N610" s="168" t="e">
        <f>VLOOKUP(C610,#REF!,4)</f>
        <v>#REF!</v>
      </c>
    </row>
    <row r="611" spans="1:14">
      <c r="A611" s="145" t="s">
        <v>1942</v>
      </c>
      <c r="B611" s="146" t="s">
        <v>1681</v>
      </c>
      <c r="C611" s="146" t="s">
        <v>1976</v>
      </c>
      <c r="D611" s="145" t="s">
        <v>1977</v>
      </c>
      <c r="E611" s="146" t="s">
        <v>294</v>
      </c>
      <c r="F611" s="145" t="s">
        <v>1613</v>
      </c>
      <c r="G611" s="146" t="s">
        <v>20</v>
      </c>
      <c r="H611" s="146">
        <v>201603</v>
      </c>
      <c r="I611" s="147">
        <v>-1488.14</v>
      </c>
      <c r="J611" s="144">
        <f t="shared" si="29"/>
        <v>8</v>
      </c>
      <c r="K611" s="148">
        <v>2.23333E-3</v>
      </c>
      <c r="L611" s="147">
        <f t="shared" si="27"/>
        <v>-26.59</v>
      </c>
      <c r="M611" s="147">
        <f t="shared" si="28"/>
        <v>-39.880000000000003</v>
      </c>
      <c r="N611" s="168" t="e">
        <f>VLOOKUP(C611,#REF!,4)</f>
        <v>#REF!</v>
      </c>
    </row>
    <row r="612" spans="1:14">
      <c r="A612" s="145" t="s">
        <v>1942</v>
      </c>
      <c r="B612" s="146" t="s">
        <v>1681</v>
      </c>
      <c r="C612" s="146" t="s">
        <v>1976</v>
      </c>
      <c r="D612" s="145" t="s">
        <v>1977</v>
      </c>
      <c r="E612" s="146" t="s">
        <v>294</v>
      </c>
      <c r="F612" s="145" t="s">
        <v>1613</v>
      </c>
      <c r="G612" s="146" t="s">
        <v>20</v>
      </c>
      <c r="H612" s="146">
        <v>201604</v>
      </c>
      <c r="I612" s="147">
        <v>8911.31</v>
      </c>
      <c r="J612" s="144">
        <f t="shared" si="29"/>
        <v>7</v>
      </c>
      <c r="K612" s="148">
        <v>2.23333E-3</v>
      </c>
      <c r="L612" s="147">
        <f t="shared" si="27"/>
        <v>139.31</v>
      </c>
      <c r="M612" s="147">
        <f t="shared" si="28"/>
        <v>238.82</v>
      </c>
      <c r="N612" s="168" t="e">
        <f>VLOOKUP(C612,#REF!,4)</f>
        <v>#REF!</v>
      </c>
    </row>
    <row r="613" spans="1:14">
      <c r="A613" s="145" t="s">
        <v>1942</v>
      </c>
      <c r="B613" s="146" t="s">
        <v>1681</v>
      </c>
      <c r="C613" s="146" t="s">
        <v>1976</v>
      </c>
      <c r="D613" s="145" t="s">
        <v>1977</v>
      </c>
      <c r="E613" s="146" t="s">
        <v>294</v>
      </c>
      <c r="F613" s="145" t="s">
        <v>1613</v>
      </c>
      <c r="G613" s="146" t="s">
        <v>20</v>
      </c>
      <c r="H613" s="146">
        <v>201605</v>
      </c>
      <c r="I613" s="147">
        <v>13955.23</v>
      </c>
      <c r="J613" s="144">
        <f t="shared" si="29"/>
        <v>6</v>
      </c>
      <c r="K613" s="148">
        <v>2.23333E-3</v>
      </c>
      <c r="L613" s="147">
        <f t="shared" si="27"/>
        <v>187</v>
      </c>
      <c r="M613" s="147">
        <f t="shared" si="28"/>
        <v>374</v>
      </c>
      <c r="N613" s="168" t="e">
        <f>VLOOKUP(C613,#REF!,4)</f>
        <v>#REF!</v>
      </c>
    </row>
    <row r="614" spans="1:14">
      <c r="A614" s="145" t="s">
        <v>1942</v>
      </c>
      <c r="B614" s="146" t="s">
        <v>1681</v>
      </c>
      <c r="C614" s="146" t="s">
        <v>1976</v>
      </c>
      <c r="D614" s="145" t="s">
        <v>1977</v>
      </c>
      <c r="E614" s="146" t="s">
        <v>294</v>
      </c>
      <c r="F614" s="145" t="s">
        <v>1613</v>
      </c>
      <c r="G614" s="146" t="s">
        <v>20</v>
      </c>
      <c r="H614" s="146">
        <v>201606</v>
      </c>
      <c r="I614" s="147">
        <v>799.44</v>
      </c>
      <c r="J614" s="144">
        <f t="shared" si="29"/>
        <v>5</v>
      </c>
      <c r="K614" s="148">
        <v>2.23333E-3</v>
      </c>
      <c r="L614" s="147">
        <f t="shared" si="27"/>
        <v>8.93</v>
      </c>
      <c r="M614" s="147">
        <f t="shared" si="28"/>
        <v>21.42</v>
      </c>
      <c r="N614" s="168" t="e">
        <f>VLOOKUP(C614,#REF!,4)</f>
        <v>#REF!</v>
      </c>
    </row>
    <row r="615" spans="1:14">
      <c r="A615" s="145" t="s">
        <v>626</v>
      </c>
      <c r="B615" s="146" t="s">
        <v>1978</v>
      </c>
      <c r="C615" s="146" t="s">
        <v>1979</v>
      </c>
      <c r="D615" s="145" t="s">
        <v>1980</v>
      </c>
      <c r="E615" s="146" t="s">
        <v>75</v>
      </c>
      <c r="F615" s="145" t="s">
        <v>1602</v>
      </c>
      <c r="G615" s="146" t="s">
        <v>20</v>
      </c>
      <c r="H615" s="146">
        <v>201603</v>
      </c>
      <c r="I615" s="147">
        <v>21650.39</v>
      </c>
      <c r="J615" s="144">
        <f t="shared" si="29"/>
        <v>8</v>
      </c>
      <c r="K615" s="148">
        <v>1.4833299999999999E-3</v>
      </c>
      <c r="L615" s="147">
        <f t="shared" si="27"/>
        <v>256.92</v>
      </c>
      <c r="M615" s="147">
        <f t="shared" si="28"/>
        <v>385.38</v>
      </c>
      <c r="N615" s="168" t="e">
        <f>VLOOKUP(C615,#REF!,4)</f>
        <v>#REF!</v>
      </c>
    </row>
    <row r="616" spans="1:14">
      <c r="A616" s="145" t="s">
        <v>626</v>
      </c>
      <c r="B616" s="146" t="s">
        <v>1978</v>
      </c>
      <c r="C616" s="146" t="s">
        <v>1979</v>
      </c>
      <c r="D616" s="145" t="s">
        <v>1980</v>
      </c>
      <c r="E616" s="146" t="s">
        <v>75</v>
      </c>
      <c r="F616" s="145" t="s">
        <v>1602</v>
      </c>
      <c r="G616" s="146" t="s">
        <v>20</v>
      </c>
      <c r="H616" s="146">
        <v>201604</v>
      </c>
      <c r="I616" s="147">
        <v>39438.81</v>
      </c>
      <c r="J616" s="144">
        <f t="shared" si="29"/>
        <v>7</v>
      </c>
      <c r="K616" s="148">
        <v>1.4833299999999999E-3</v>
      </c>
      <c r="L616" s="147">
        <f t="shared" si="27"/>
        <v>409.51</v>
      </c>
      <c r="M616" s="147">
        <f t="shared" si="28"/>
        <v>702.01</v>
      </c>
      <c r="N616" s="168" t="e">
        <f>VLOOKUP(C616,#REF!,4)</f>
        <v>#REF!</v>
      </c>
    </row>
    <row r="617" spans="1:14">
      <c r="A617" s="145" t="s">
        <v>626</v>
      </c>
      <c r="B617" s="146" t="s">
        <v>1978</v>
      </c>
      <c r="C617" s="146" t="s">
        <v>1979</v>
      </c>
      <c r="D617" s="145" t="s">
        <v>1980</v>
      </c>
      <c r="E617" s="146" t="s">
        <v>75</v>
      </c>
      <c r="F617" s="145" t="s">
        <v>1602</v>
      </c>
      <c r="G617" s="146" t="s">
        <v>20</v>
      </c>
      <c r="H617" s="146">
        <v>201605</v>
      </c>
      <c r="I617" s="147">
        <v>4736.59</v>
      </c>
      <c r="J617" s="144">
        <f t="shared" si="29"/>
        <v>6</v>
      </c>
      <c r="K617" s="148">
        <v>1.4833299999999999E-3</v>
      </c>
      <c r="L617" s="147">
        <f t="shared" si="27"/>
        <v>42.16</v>
      </c>
      <c r="M617" s="147">
        <f t="shared" si="28"/>
        <v>84.31</v>
      </c>
      <c r="N617" s="168" t="e">
        <f>VLOOKUP(C617,#REF!,4)</f>
        <v>#REF!</v>
      </c>
    </row>
    <row r="618" spans="1:14">
      <c r="A618" s="145" t="s">
        <v>626</v>
      </c>
      <c r="B618" s="146" t="s">
        <v>1978</v>
      </c>
      <c r="C618" s="146" t="s">
        <v>1979</v>
      </c>
      <c r="D618" s="145" t="s">
        <v>1980</v>
      </c>
      <c r="E618" s="146" t="s">
        <v>75</v>
      </c>
      <c r="F618" s="145" t="s">
        <v>1602</v>
      </c>
      <c r="G618" s="146" t="s">
        <v>20</v>
      </c>
      <c r="H618" s="146">
        <v>201606</v>
      </c>
      <c r="I618" s="147">
        <v>3238.29</v>
      </c>
      <c r="J618" s="144">
        <f t="shared" si="29"/>
        <v>5</v>
      </c>
      <c r="K618" s="148">
        <v>1.4833299999999999E-3</v>
      </c>
      <c r="L618" s="147">
        <f t="shared" si="27"/>
        <v>24.02</v>
      </c>
      <c r="M618" s="147">
        <f t="shared" si="28"/>
        <v>57.64</v>
      </c>
      <c r="N618" s="168" t="e">
        <f>VLOOKUP(C618,#REF!,4)</f>
        <v>#REF!</v>
      </c>
    </row>
    <row r="619" spans="1:14">
      <c r="A619" s="145" t="s">
        <v>626</v>
      </c>
      <c r="B619" s="146" t="s">
        <v>1757</v>
      </c>
      <c r="C619" s="146" t="s">
        <v>1758</v>
      </c>
      <c r="D619" s="145" t="s">
        <v>1759</v>
      </c>
      <c r="E619" s="146" t="s">
        <v>75</v>
      </c>
      <c r="F619" s="145" t="s">
        <v>1602</v>
      </c>
      <c r="G619" s="146" t="s">
        <v>20</v>
      </c>
      <c r="H619" s="146">
        <v>201603</v>
      </c>
      <c r="I619" s="147">
        <v>-12.61</v>
      </c>
      <c r="J619" s="144">
        <f t="shared" si="29"/>
        <v>8</v>
      </c>
      <c r="K619" s="148">
        <v>1.4833299999999999E-3</v>
      </c>
      <c r="L619" s="147">
        <f t="shared" si="27"/>
        <v>-0.15</v>
      </c>
      <c r="M619" s="147">
        <f t="shared" si="28"/>
        <v>-0.22</v>
      </c>
      <c r="N619" s="168" t="e">
        <f>VLOOKUP(C619,#REF!,4)</f>
        <v>#REF!</v>
      </c>
    </row>
    <row r="620" spans="1:14">
      <c r="A620" s="145" t="s">
        <v>626</v>
      </c>
      <c r="B620" s="146" t="s">
        <v>1757</v>
      </c>
      <c r="C620" s="146" t="s">
        <v>1758</v>
      </c>
      <c r="D620" s="145" t="s">
        <v>1759</v>
      </c>
      <c r="E620" s="146" t="s">
        <v>75</v>
      </c>
      <c r="F620" s="145" t="s">
        <v>1602</v>
      </c>
      <c r="G620" s="146" t="s">
        <v>20</v>
      </c>
      <c r="H620" s="146">
        <v>201604</v>
      </c>
      <c r="I620" s="147">
        <v>206.07</v>
      </c>
      <c r="J620" s="144">
        <f t="shared" si="29"/>
        <v>7</v>
      </c>
      <c r="K620" s="148">
        <v>1.4833299999999999E-3</v>
      </c>
      <c r="L620" s="147">
        <f t="shared" si="27"/>
        <v>2.14</v>
      </c>
      <c r="M620" s="147">
        <f t="shared" si="28"/>
        <v>3.67</v>
      </c>
      <c r="N620" s="168" t="e">
        <f>VLOOKUP(C620,#REF!,4)</f>
        <v>#REF!</v>
      </c>
    </row>
    <row r="621" spans="1:14">
      <c r="A621" s="145" t="s">
        <v>626</v>
      </c>
      <c r="B621" s="146" t="s">
        <v>1757</v>
      </c>
      <c r="C621" s="146" t="s">
        <v>1758</v>
      </c>
      <c r="D621" s="145" t="s">
        <v>1759</v>
      </c>
      <c r="E621" s="146" t="s">
        <v>75</v>
      </c>
      <c r="F621" s="145" t="s">
        <v>1602</v>
      </c>
      <c r="G621" s="146" t="s">
        <v>20</v>
      </c>
      <c r="H621" s="146">
        <v>201605</v>
      </c>
      <c r="I621" s="147">
        <v>190.43</v>
      </c>
      <c r="J621" s="144">
        <f t="shared" si="29"/>
        <v>6</v>
      </c>
      <c r="K621" s="148">
        <v>1.4833299999999999E-3</v>
      </c>
      <c r="L621" s="147">
        <f t="shared" si="27"/>
        <v>1.69</v>
      </c>
      <c r="M621" s="147">
        <f t="shared" si="28"/>
        <v>3.39</v>
      </c>
      <c r="N621" s="168" t="e">
        <f>VLOOKUP(C621,#REF!,4)</f>
        <v>#REF!</v>
      </c>
    </row>
    <row r="622" spans="1:14">
      <c r="A622" s="145" t="s">
        <v>626</v>
      </c>
      <c r="B622" s="146" t="s">
        <v>1757</v>
      </c>
      <c r="C622" s="146" t="s">
        <v>1758</v>
      </c>
      <c r="D622" s="145" t="s">
        <v>1759</v>
      </c>
      <c r="E622" s="146" t="s">
        <v>75</v>
      </c>
      <c r="F622" s="145" t="s">
        <v>1602</v>
      </c>
      <c r="G622" s="146" t="s">
        <v>20</v>
      </c>
      <c r="H622" s="146">
        <v>201606</v>
      </c>
      <c r="I622" s="147">
        <v>89.83</v>
      </c>
      <c r="J622" s="144">
        <f t="shared" si="29"/>
        <v>5</v>
      </c>
      <c r="K622" s="148">
        <v>1.4833299999999999E-3</v>
      </c>
      <c r="L622" s="147">
        <f t="shared" si="27"/>
        <v>0.67</v>
      </c>
      <c r="M622" s="147">
        <f t="shared" si="28"/>
        <v>1.6</v>
      </c>
      <c r="N622" s="168" t="e">
        <f>VLOOKUP(C622,#REF!,4)</f>
        <v>#REF!</v>
      </c>
    </row>
    <row r="623" spans="1:14">
      <c r="A623" s="145" t="s">
        <v>626</v>
      </c>
      <c r="B623" s="146" t="s">
        <v>1981</v>
      </c>
      <c r="C623" s="146" t="s">
        <v>1982</v>
      </c>
      <c r="D623" s="145" t="s">
        <v>1983</v>
      </c>
      <c r="E623" s="146" t="s">
        <v>75</v>
      </c>
      <c r="F623" s="145" t="s">
        <v>1602</v>
      </c>
      <c r="G623" s="146" t="s">
        <v>20</v>
      </c>
      <c r="H623" s="146">
        <v>201603</v>
      </c>
      <c r="I623" s="147">
        <v>70333.570000000007</v>
      </c>
      <c r="J623" s="144">
        <f t="shared" si="29"/>
        <v>8</v>
      </c>
      <c r="K623" s="148">
        <v>1.4833299999999999E-3</v>
      </c>
      <c r="L623" s="147">
        <f t="shared" si="27"/>
        <v>834.62</v>
      </c>
      <c r="M623" s="147">
        <f t="shared" si="28"/>
        <v>1251.93</v>
      </c>
      <c r="N623" s="168" t="e">
        <f>VLOOKUP(C623,#REF!,4)</f>
        <v>#REF!</v>
      </c>
    </row>
    <row r="624" spans="1:14">
      <c r="A624" s="145" t="s">
        <v>626</v>
      </c>
      <c r="B624" s="146" t="s">
        <v>1981</v>
      </c>
      <c r="C624" s="146" t="s">
        <v>1982</v>
      </c>
      <c r="D624" s="145" t="s">
        <v>1983</v>
      </c>
      <c r="E624" s="146" t="s">
        <v>75</v>
      </c>
      <c r="F624" s="145" t="s">
        <v>1602</v>
      </c>
      <c r="G624" s="146" t="s">
        <v>20</v>
      </c>
      <c r="H624" s="146">
        <v>201604</v>
      </c>
      <c r="I624" s="147">
        <v>4616.5600000000004</v>
      </c>
      <c r="J624" s="144">
        <f t="shared" si="29"/>
        <v>7</v>
      </c>
      <c r="K624" s="148">
        <v>1.4833299999999999E-3</v>
      </c>
      <c r="L624" s="147">
        <f t="shared" si="27"/>
        <v>47.94</v>
      </c>
      <c r="M624" s="147">
        <f t="shared" si="28"/>
        <v>82.17</v>
      </c>
      <c r="N624" s="168" t="e">
        <f>VLOOKUP(C624,#REF!,4)</f>
        <v>#REF!</v>
      </c>
    </row>
    <row r="625" spans="1:14">
      <c r="A625" s="145" t="s">
        <v>626</v>
      </c>
      <c r="B625" s="146" t="s">
        <v>1981</v>
      </c>
      <c r="C625" s="146" t="s">
        <v>1982</v>
      </c>
      <c r="D625" s="145" t="s">
        <v>1983</v>
      </c>
      <c r="E625" s="146" t="s">
        <v>75</v>
      </c>
      <c r="F625" s="145" t="s">
        <v>1602</v>
      </c>
      <c r="G625" s="146" t="s">
        <v>20</v>
      </c>
      <c r="H625" s="146">
        <v>201605</v>
      </c>
      <c r="I625" s="147">
        <v>9020.93</v>
      </c>
      <c r="J625" s="144">
        <f t="shared" si="29"/>
        <v>6</v>
      </c>
      <c r="K625" s="148">
        <v>1.4833299999999999E-3</v>
      </c>
      <c r="L625" s="147">
        <f t="shared" si="27"/>
        <v>80.290000000000006</v>
      </c>
      <c r="M625" s="147">
        <f t="shared" si="28"/>
        <v>160.57</v>
      </c>
      <c r="N625" s="168" t="e">
        <f>VLOOKUP(C625,#REF!,4)</f>
        <v>#REF!</v>
      </c>
    </row>
    <row r="626" spans="1:14">
      <c r="A626" s="145" t="s">
        <v>626</v>
      </c>
      <c r="B626" s="146" t="s">
        <v>1981</v>
      </c>
      <c r="C626" s="146" t="s">
        <v>1982</v>
      </c>
      <c r="D626" s="145" t="s">
        <v>1983</v>
      </c>
      <c r="E626" s="146" t="s">
        <v>75</v>
      </c>
      <c r="F626" s="145" t="s">
        <v>1602</v>
      </c>
      <c r="G626" s="146" t="s">
        <v>20</v>
      </c>
      <c r="H626" s="146">
        <v>201606</v>
      </c>
      <c r="I626" s="147">
        <v>2416.5100000000002</v>
      </c>
      <c r="J626" s="144">
        <f t="shared" si="29"/>
        <v>5</v>
      </c>
      <c r="K626" s="148">
        <v>1.4833299999999999E-3</v>
      </c>
      <c r="L626" s="147">
        <f t="shared" si="27"/>
        <v>17.920000000000002</v>
      </c>
      <c r="M626" s="147">
        <f t="shared" si="28"/>
        <v>43.01</v>
      </c>
      <c r="N626" s="168" t="e">
        <f>VLOOKUP(C626,#REF!,4)</f>
        <v>#REF!</v>
      </c>
    </row>
    <row r="627" spans="1:14">
      <c r="A627" s="145" t="s">
        <v>626</v>
      </c>
      <c r="B627" s="146" t="s">
        <v>1984</v>
      </c>
      <c r="C627" s="146" t="s">
        <v>1985</v>
      </c>
      <c r="D627" s="145" t="s">
        <v>1986</v>
      </c>
      <c r="E627" s="146" t="s">
        <v>156</v>
      </c>
      <c r="F627" s="145" t="s">
        <v>26</v>
      </c>
      <c r="G627" s="146" t="s">
        <v>20</v>
      </c>
      <c r="H627" s="146">
        <v>201603</v>
      </c>
      <c r="I627" s="147">
        <v>27979.62</v>
      </c>
      <c r="J627" s="144">
        <f t="shared" si="29"/>
        <v>8</v>
      </c>
      <c r="K627" s="148">
        <v>1.4833299999999999E-3</v>
      </c>
      <c r="L627" s="147">
        <f t="shared" si="27"/>
        <v>332.02</v>
      </c>
      <c r="M627" s="147">
        <f t="shared" si="28"/>
        <v>498.04</v>
      </c>
      <c r="N627" s="168" t="e">
        <f>VLOOKUP(C627,#REF!,4)</f>
        <v>#REF!</v>
      </c>
    </row>
    <row r="628" spans="1:14">
      <c r="A628" s="145" t="s">
        <v>626</v>
      </c>
      <c r="B628" s="146" t="s">
        <v>1984</v>
      </c>
      <c r="C628" s="146" t="s">
        <v>1985</v>
      </c>
      <c r="D628" s="145" t="s">
        <v>1986</v>
      </c>
      <c r="E628" s="146" t="s">
        <v>156</v>
      </c>
      <c r="F628" s="145" t="s">
        <v>26</v>
      </c>
      <c r="G628" s="146" t="s">
        <v>20</v>
      </c>
      <c r="H628" s="146">
        <v>201604</v>
      </c>
      <c r="I628" s="147">
        <v>24879.89</v>
      </c>
      <c r="J628" s="144">
        <f t="shared" si="29"/>
        <v>7</v>
      </c>
      <c r="K628" s="148">
        <v>1.4833299999999999E-3</v>
      </c>
      <c r="L628" s="147">
        <f t="shared" si="27"/>
        <v>258.33999999999997</v>
      </c>
      <c r="M628" s="147">
        <f t="shared" si="28"/>
        <v>442.86</v>
      </c>
      <c r="N628" s="168" t="e">
        <f>VLOOKUP(C628,#REF!,4)</f>
        <v>#REF!</v>
      </c>
    </row>
    <row r="629" spans="1:14">
      <c r="A629" s="145" t="s">
        <v>626</v>
      </c>
      <c r="B629" s="146" t="s">
        <v>1984</v>
      </c>
      <c r="C629" s="146" t="s">
        <v>1985</v>
      </c>
      <c r="D629" s="145" t="s">
        <v>1986</v>
      </c>
      <c r="E629" s="146" t="s">
        <v>156</v>
      </c>
      <c r="F629" s="145" t="s">
        <v>26</v>
      </c>
      <c r="G629" s="146" t="s">
        <v>20</v>
      </c>
      <c r="H629" s="146">
        <v>201605</v>
      </c>
      <c r="I629" s="147">
        <v>12333.74</v>
      </c>
      <c r="J629" s="144">
        <f t="shared" si="29"/>
        <v>6</v>
      </c>
      <c r="K629" s="148">
        <v>1.4833299999999999E-3</v>
      </c>
      <c r="L629" s="147">
        <f t="shared" si="27"/>
        <v>109.77</v>
      </c>
      <c r="M629" s="147">
        <f t="shared" si="28"/>
        <v>219.54</v>
      </c>
      <c r="N629" s="168" t="e">
        <f>VLOOKUP(C629,#REF!,4)</f>
        <v>#REF!</v>
      </c>
    </row>
    <row r="630" spans="1:14">
      <c r="A630" s="145" t="s">
        <v>626</v>
      </c>
      <c r="B630" s="146" t="s">
        <v>1984</v>
      </c>
      <c r="C630" s="146" t="s">
        <v>1985</v>
      </c>
      <c r="D630" s="145" t="s">
        <v>1986</v>
      </c>
      <c r="E630" s="146" t="s">
        <v>156</v>
      </c>
      <c r="F630" s="145" t="s">
        <v>26</v>
      </c>
      <c r="G630" s="146" t="s">
        <v>20</v>
      </c>
      <c r="H630" s="146">
        <v>201606</v>
      </c>
      <c r="I630" s="147">
        <v>8272.9</v>
      </c>
      <c r="J630" s="144">
        <f t="shared" si="29"/>
        <v>5</v>
      </c>
      <c r="K630" s="148">
        <v>1.4833299999999999E-3</v>
      </c>
      <c r="L630" s="147">
        <f t="shared" si="27"/>
        <v>61.36</v>
      </c>
      <c r="M630" s="147">
        <f t="shared" si="28"/>
        <v>147.26</v>
      </c>
      <c r="N630" s="168" t="e">
        <f>VLOOKUP(C630,#REF!,4)</f>
        <v>#REF!</v>
      </c>
    </row>
    <row r="631" spans="1:14">
      <c r="A631" s="145" t="s">
        <v>626</v>
      </c>
      <c r="B631" s="146" t="s">
        <v>2054</v>
      </c>
      <c r="C631" s="146" t="s">
        <v>2055</v>
      </c>
      <c r="D631" s="145" t="s">
        <v>2056</v>
      </c>
      <c r="E631" s="146" t="s">
        <v>156</v>
      </c>
      <c r="F631" s="145" t="s">
        <v>26</v>
      </c>
      <c r="G631" s="146" t="s">
        <v>20</v>
      </c>
      <c r="H631" s="146">
        <v>201605</v>
      </c>
      <c r="I631" s="147">
        <v>577489.87</v>
      </c>
      <c r="J631" s="144">
        <f t="shared" si="29"/>
        <v>6</v>
      </c>
      <c r="K631" s="148">
        <v>1.4833299999999999E-3</v>
      </c>
      <c r="L631" s="147">
        <f t="shared" si="27"/>
        <v>5139.6499999999996</v>
      </c>
      <c r="M631" s="147">
        <f t="shared" si="28"/>
        <v>10279.299999999999</v>
      </c>
      <c r="N631" s="168" t="e">
        <f>VLOOKUP(C631,#REF!,4)</f>
        <v>#REF!</v>
      </c>
    </row>
    <row r="632" spans="1:14">
      <c r="A632" s="145" t="s">
        <v>626</v>
      </c>
      <c r="B632" s="146" t="s">
        <v>2054</v>
      </c>
      <c r="C632" s="146" t="s">
        <v>2055</v>
      </c>
      <c r="D632" s="145" t="s">
        <v>2056</v>
      </c>
      <c r="E632" s="146" t="s">
        <v>156</v>
      </c>
      <c r="F632" s="145" t="s">
        <v>26</v>
      </c>
      <c r="G632" s="146" t="s">
        <v>20</v>
      </c>
      <c r="H632" s="146">
        <v>201606</v>
      </c>
      <c r="I632" s="147">
        <v>23427.33</v>
      </c>
      <c r="J632" s="144">
        <f t="shared" si="29"/>
        <v>5</v>
      </c>
      <c r="K632" s="148">
        <v>1.4833299999999999E-3</v>
      </c>
      <c r="L632" s="147">
        <f t="shared" si="27"/>
        <v>173.75</v>
      </c>
      <c r="M632" s="147">
        <f t="shared" si="28"/>
        <v>417.01</v>
      </c>
      <c r="N632" s="168" t="e">
        <f>VLOOKUP(C632,#REF!,4)</f>
        <v>#REF!</v>
      </c>
    </row>
    <row r="633" spans="1:14">
      <c r="A633" s="145" t="s">
        <v>626</v>
      </c>
      <c r="B633" s="146" t="s">
        <v>1850</v>
      </c>
      <c r="C633" s="146" t="s">
        <v>1851</v>
      </c>
      <c r="D633" s="145" t="s">
        <v>1852</v>
      </c>
      <c r="E633" s="146" t="s">
        <v>260</v>
      </c>
      <c r="F633" s="145" t="s">
        <v>1608</v>
      </c>
      <c r="G633" s="146" t="s">
        <v>20</v>
      </c>
      <c r="H633" s="146">
        <v>201603</v>
      </c>
      <c r="I633" s="147">
        <v>-1392.06</v>
      </c>
      <c r="J633" s="144">
        <f t="shared" si="29"/>
        <v>8</v>
      </c>
      <c r="K633" s="148">
        <v>1.4833299999999999E-3</v>
      </c>
      <c r="L633" s="147">
        <f t="shared" si="27"/>
        <v>-16.52</v>
      </c>
      <c r="M633" s="147">
        <f t="shared" si="28"/>
        <v>-24.78</v>
      </c>
      <c r="N633" s="168" t="e">
        <f>VLOOKUP(C633,#REF!,4)</f>
        <v>#REF!</v>
      </c>
    </row>
    <row r="634" spans="1:14">
      <c r="A634" s="145" t="s">
        <v>626</v>
      </c>
      <c r="B634" s="146" t="s">
        <v>1850</v>
      </c>
      <c r="C634" s="146" t="s">
        <v>1851</v>
      </c>
      <c r="D634" s="145" t="s">
        <v>1852</v>
      </c>
      <c r="E634" s="146" t="s">
        <v>260</v>
      </c>
      <c r="F634" s="145" t="s">
        <v>1608</v>
      </c>
      <c r="G634" s="146" t="s">
        <v>20</v>
      </c>
      <c r="H634" s="146">
        <v>201604</v>
      </c>
      <c r="I634" s="147">
        <v>5153.46</v>
      </c>
      <c r="J634" s="144">
        <f t="shared" si="29"/>
        <v>7</v>
      </c>
      <c r="K634" s="148">
        <v>1.4833299999999999E-3</v>
      </c>
      <c r="L634" s="147">
        <f t="shared" si="27"/>
        <v>53.51</v>
      </c>
      <c r="M634" s="147">
        <f t="shared" si="28"/>
        <v>91.73</v>
      </c>
      <c r="N634" s="168" t="e">
        <f>VLOOKUP(C634,#REF!,4)</f>
        <v>#REF!</v>
      </c>
    </row>
    <row r="635" spans="1:14">
      <c r="A635" s="145" t="s">
        <v>626</v>
      </c>
      <c r="B635" s="146" t="s">
        <v>1850</v>
      </c>
      <c r="C635" s="146" t="s">
        <v>1851</v>
      </c>
      <c r="D635" s="145" t="s">
        <v>1852</v>
      </c>
      <c r="E635" s="146" t="s">
        <v>260</v>
      </c>
      <c r="F635" s="145" t="s">
        <v>1608</v>
      </c>
      <c r="G635" s="146" t="s">
        <v>20</v>
      </c>
      <c r="H635" s="146">
        <v>201605</v>
      </c>
      <c r="I635" s="147">
        <v>2449.9299999999998</v>
      </c>
      <c r="J635" s="144">
        <f t="shared" si="29"/>
        <v>6</v>
      </c>
      <c r="K635" s="148">
        <v>1.4833299999999999E-3</v>
      </c>
      <c r="L635" s="147">
        <f t="shared" si="27"/>
        <v>21.8</v>
      </c>
      <c r="M635" s="147">
        <f t="shared" si="28"/>
        <v>43.61</v>
      </c>
      <c r="N635" s="168" t="e">
        <f>VLOOKUP(C635,#REF!,4)</f>
        <v>#REF!</v>
      </c>
    </row>
    <row r="636" spans="1:14">
      <c r="A636" s="145" t="s">
        <v>626</v>
      </c>
      <c r="B636" s="146" t="s">
        <v>1850</v>
      </c>
      <c r="C636" s="146" t="s">
        <v>1851</v>
      </c>
      <c r="D636" s="145" t="s">
        <v>1852</v>
      </c>
      <c r="E636" s="146" t="s">
        <v>260</v>
      </c>
      <c r="F636" s="145" t="s">
        <v>1608</v>
      </c>
      <c r="G636" s="146" t="s">
        <v>20</v>
      </c>
      <c r="H636" s="146">
        <v>201606</v>
      </c>
      <c r="I636" s="147">
        <v>1606.75</v>
      </c>
      <c r="J636" s="144">
        <f t="shared" si="29"/>
        <v>5</v>
      </c>
      <c r="K636" s="148">
        <v>1.4833299999999999E-3</v>
      </c>
      <c r="L636" s="147">
        <f t="shared" si="27"/>
        <v>11.92</v>
      </c>
      <c r="M636" s="147">
        <f t="shared" si="28"/>
        <v>28.6</v>
      </c>
      <c r="N636" s="168" t="e">
        <f>VLOOKUP(C636,#REF!,4)</f>
        <v>#REF!</v>
      </c>
    </row>
    <row r="637" spans="1:14">
      <c r="A637" s="145" t="s">
        <v>626</v>
      </c>
      <c r="B637" s="146" t="s">
        <v>1814</v>
      </c>
      <c r="C637" s="146" t="s">
        <v>1815</v>
      </c>
      <c r="D637" s="145" t="s">
        <v>1816</v>
      </c>
      <c r="E637" s="146" t="s">
        <v>25</v>
      </c>
      <c r="F637" s="145" t="s">
        <v>26</v>
      </c>
      <c r="G637" s="146" t="s">
        <v>20</v>
      </c>
      <c r="H637" s="146">
        <v>201603</v>
      </c>
      <c r="I637" s="147">
        <v>-1677.88</v>
      </c>
      <c r="J637" s="144">
        <f t="shared" si="29"/>
        <v>8</v>
      </c>
      <c r="K637" s="148">
        <v>1.4833299999999999E-3</v>
      </c>
      <c r="L637" s="147">
        <f t="shared" si="27"/>
        <v>-19.91</v>
      </c>
      <c r="M637" s="147">
        <f t="shared" si="28"/>
        <v>-29.87</v>
      </c>
      <c r="N637" s="168" t="e">
        <f>VLOOKUP(C637,#REF!,4)</f>
        <v>#REF!</v>
      </c>
    </row>
    <row r="638" spans="1:14">
      <c r="A638" s="145" t="s">
        <v>626</v>
      </c>
      <c r="B638" s="146" t="s">
        <v>1814</v>
      </c>
      <c r="C638" s="146" t="s">
        <v>1815</v>
      </c>
      <c r="D638" s="145" t="s">
        <v>1816</v>
      </c>
      <c r="E638" s="146" t="s">
        <v>25</v>
      </c>
      <c r="F638" s="145" t="s">
        <v>26</v>
      </c>
      <c r="G638" s="146" t="s">
        <v>20</v>
      </c>
      <c r="H638" s="146">
        <v>201604</v>
      </c>
      <c r="I638" s="147">
        <v>1063.75</v>
      </c>
      <c r="J638" s="144">
        <f t="shared" si="29"/>
        <v>7</v>
      </c>
      <c r="K638" s="148">
        <v>1.4833299999999999E-3</v>
      </c>
      <c r="L638" s="147">
        <f t="shared" si="27"/>
        <v>11.05</v>
      </c>
      <c r="M638" s="147">
        <f t="shared" si="28"/>
        <v>18.93</v>
      </c>
      <c r="N638" s="168" t="e">
        <f>VLOOKUP(C638,#REF!,4)</f>
        <v>#REF!</v>
      </c>
    </row>
    <row r="639" spans="1:14">
      <c r="A639" s="145" t="s">
        <v>626</v>
      </c>
      <c r="B639" s="146" t="s">
        <v>1814</v>
      </c>
      <c r="C639" s="146" t="s">
        <v>1815</v>
      </c>
      <c r="D639" s="145" t="s">
        <v>1816</v>
      </c>
      <c r="E639" s="146" t="s">
        <v>25</v>
      </c>
      <c r="F639" s="145" t="s">
        <v>26</v>
      </c>
      <c r="G639" s="146" t="s">
        <v>20</v>
      </c>
      <c r="H639" s="146">
        <v>201605</v>
      </c>
      <c r="I639" s="147">
        <v>985.05</v>
      </c>
      <c r="J639" s="144">
        <f t="shared" si="29"/>
        <v>6</v>
      </c>
      <c r="K639" s="148">
        <v>1.4833299999999999E-3</v>
      </c>
      <c r="L639" s="147">
        <f t="shared" si="27"/>
        <v>8.77</v>
      </c>
      <c r="M639" s="147">
        <f t="shared" si="28"/>
        <v>17.53</v>
      </c>
      <c r="N639" s="168" t="e">
        <f>VLOOKUP(C639,#REF!,4)</f>
        <v>#REF!</v>
      </c>
    </row>
    <row r="640" spans="1:14">
      <c r="A640" s="145" t="s">
        <v>626</v>
      </c>
      <c r="B640" s="146" t="s">
        <v>1814</v>
      </c>
      <c r="C640" s="146" t="s">
        <v>1815</v>
      </c>
      <c r="D640" s="145" t="s">
        <v>1816</v>
      </c>
      <c r="E640" s="146" t="s">
        <v>25</v>
      </c>
      <c r="F640" s="145" t="s">
        <v>26</v>
      </c>
      <c r="G640" s="146" t="s">
        <v>20</v>
      </c>
      <c r="H640" s="146">
        <v>201606</v>
      </c>
      <c r="I640" s="147">
        <v>735.09</v>
      </c>
      <c r="J640" s="144">
        <f t="shared" si="29"/>
        <v>5</v>
      </c>
      <c r="K640" s="148">
        <v>1.4833299999999999E-3</v>
      </c>
      <c r="L640" s="147">
        <f t="shared" si="27"/>
        <v>5.45</v>
      </c>
      <c r="M640" s="147">
        <f t="shared" si="28"/>
        <v>13.08</v>
      </c>
      <c r="N640" s="168" t="e">
        <f>VLOOKUP(C640,#REF!,4)</f>
        <v>#REF!</v>
      </c>
    </row>
    <row r="641" spans="1:14">
      <c r="A641" s="145" t="s">
        <v>626</v>
      </c>
      <c r="B641" s="146" t="s">
        <v>2057</v>
      </c>
      <c r="C641" s="146" t="s">
        <v>2058</v>
      </c>
      <c r="D641" s="145" t="s">
        <v>2059</v>
      </c>
      <c r="E641" s="146" t="s">
        <v>156</v>
      </c>
      <c r="F641" s="145" t="s">
        <v>26</v>
      </c>
      <c r="G641" s="146" t="s">
        <v>20</v>
      </c>
      <c r="H641" s="146">
        <v>201605</v>
      </c>
      <c r="I641" s="147">
        <v>358022.1</v>
      </c>
      <c r="J641" s="144">
        <f t="shared" si="29"/>
        <v>6</v>
      </c>
      <c r="K641" s="148">
        <v>1.4833299999999999E-3</v>
      </c>
      <c r="L641" s="147">
        <f t="shared" si="27"/>
        <v>3186.39</v>
      </c>
      <c r="M641" s="147">
        <f t="shared" si="28"/>
        <v>6372.78</v>
      </c>
      <c r="N641" s="168" t="e">
        <f>VLOOKUP(C641,#REF!,4)</f>
        <v>#REF!</v>
      </c>
    </row>
    <row r="642" spans="1:14">
      <c r="A642" s="145" t="s">
        <v>626</v>
      </c>
      <c r="B642" s="146" t="s">
        <v>2057</v>
      </c>
      <c r="C642" s="146" t="s">
        <v>2058</v>
      </c>
      <c r="D642" s="145" t="s">
        <v>2059</v>
      </c>
      <c r="E642" s="146" t="s">
        <v>156</v>
      </c>
      <c r="F642" s="145" t="s">
        <v>26</v>
      </c>
      <c r="G642" s="146" t="s">
        <v>20</v>
      </c>
      <c r="H642" s="146">
        <v>201606</v>
      </c>
      <c r="I642" s="147">
        <v>30477.51</v>
      </c>
      <c r="J642" s="144">
        <f t="shared" si="29"/>
        <v>5</v>
      </c>
      <c r="K642" s="148">
        <v>1.4833299999999999E-3</v>
      </c>
      <c r="L642" s="147">
        <f t="shared" si="27"/>
        <v>226.04</v>
      </c>
      <c r="M642" s="147">
        <f t="shared" si="28"/>
        <v>542.5</v>
      </c>
      <c r="N642" s="168" t="e">
        <f>VLOOKUP(C642,#REF!,4)</f>
        <v>#REF!</v>
      </c>
    </row>
    <row r="643" spans="1:14">
      <c r="A643" s="145" t="s">
        <v>626</v>
      </c>
      <c r="B643" s="146" t="s">
        <v>2060</v>
      </c>
      <c r="C643" s="146" t="s">
        <v>2061</v>
      </c>
      <c r="D643" s="145" t="s">
        <v>2062</v>
      </c>
      <c r="E643" s="146" t="s">
        <v>156</v>
      </c>
      <c r="F643" s="145" t="s">
        <v>26</v>
      </c>
      <c r="G643" s="146" t="s">
        <v>20</v>
      </c>
      <c r="H643" s="146">
        <v>201605</v>
      </c>
      <c r="I643" s="147">
        <v>403217.41</v>
      </c>
      <c r="J643" s="144">
        <f t="shared" si="29"/>
        <v>6</v>
      </c>
      <c r="K643" s="148">
        <v>1.4833299999999999E-3</v>
      </c>
      <c r="L643" s="147">
        <f t="shared" si="27"/>
        <v>3588.63</v>
      </c>
      <c r="M643" s="147">
        <f t="shared" si="28"/>
        <v>7177.25</v>
      </c>
      <c r="N643" s="168" t="e">
        <f>VLOOKUP(C643,#REF!,4)</f>
        <v>#REF!</v>
      </c>
    </row>
    <row r="644" spans="1:14">
      <c r="A644" s="145" t="s">
        <v>626</v>
      </c>
      <c r="B644" s="146" t="s">
        <v>2060</v>
      </c>
      <c r="C644" s="146" t="s">
        <v>2061</v>
      </c>
      <c r="D644" s="145" t="s">
        <v>2062</v>
      </c>
      <c r="E644" s="146" t="s">
        <v>156</v>
      </c>
      <c r="F644" s="145" t="s">
        <v>26</v>
      </c>
      <c r="G644" s="146" t="s">
        <v>20</v>
      </c>
      <c r="H644" s="146">
        <v>201606</v>
      </c>
      <c r="I644" s="147">
        <v>14476.73</v>
      </c>
      <c r="J644" s="144">
        <f t="shared" si="29"/>
        <v>5</v>
      </c>
      <c r="K644" s="148">
        <v>1.4833299999999999E-3</v>
      </c>
      <c r="L644" s="147">
        <f t="shared" si="27"/>
        <v>107.37</v>
      </c>
      <c r="M644" s="147">
        <f t="shared" si="28"/>
        <v>257.69</v>
      </c>
      <c r="N644" s="168" t="e">
        <f>VLOOKUP(C644,#REF!,4)</f>
        <v>#REF!</v>
      </c>
    </row>
    <row r="645" spans="1:14">
      <c r="A645" s="145" t="s">
        <v>626</v>
      </c>
      <c r="B645" s="146" t="s">
        <v>1760</v>
      </c>
      <c r="C645" s="146" t="s">
        <v>1761</v>
      </c>
      <c r="D645" s="145" t="s">
        <v>1388</v>
      </c>
      <c r="E645" s="146" t="s">
        <v>164</v>
      </c>
      <c r="F645" s="145" t="s">
        <v>1600</v>
      </c>
      <c r="G645" s="146" t="s">
        <v>20</v>
      </c>
      <c r="H645" s="146">
        <v>201603</v>
      </c>
      <c r="I645" s="147">
        <v>-39.44</v>
      </c>
      <c r="J645" s="144">
        <f t="shared" si="29"/>
        <v>8</v>
      </c>
      <c r="K645" s="148">
        <v>1.4833299999999999E-3</v>
      </c>
      <c r="L645" s="147">
        <f t="shared" ref="L645:L708" si="30">ROUND(I645*J645*K645,2)</f>
        <v>-0.47</v>
      </c>
      <c r="M645" s="147">
        <f t="shared" ref="M645:M708" si="31">ROUND(I645*K645*12,2)</f>
        <v>-0.7</v>
      </c>
      <c r="N645" s="168" t="e">
        <f>VLOOKUP(C645,#REF!,4)</f>
        <v>#REF!</v>
      </c>
    </row>
    <row r="646" spans="1:14">
      <c r="A646" s="145" t="s">
        <v>21</v>
      </c>
      <c r="B646" s="146" t="s">
        <v>1760</v>
      </c>
      <c r="C646" s="146" t="s">
        <v>1761</v>
      </c>
      <c r="D646" s="145" t="s">
        <v>1388</v>
      </c>
      <c r="E646" s="146" t="s">
        <v>164</v>
      </c>
      <c r="F646" s="145" t="s">
        <v>1600</v>
      </c>
      <c r="G646" s="146" t="s">
        <v>20</v>
      </c>
      <c r="H646" s="146">
        <v>201603</v>
      </c>
      <c r="I646" s="147">
        <v>-0.9</v>
      </c>
      <c r="J646" s="144">
        <f t="shared" ref="J646:J709" si="32">VLOOKUP(H646,$P$5:$Q$14,2)</f>
        <v>8</v>
      </c>
      <c r="K646" s="148">
        <v>1.4833299999999999E-3</v>
      </c>
      <c r="L646" s="147">
        <f t="shared" si="30"/>
        <v>-0.01</v>
      </c>
      <c r="M646" s="147">
        <f t="shared" si="31"/>
        <v>-0.02</v>
      </c>
      <c r="N646" s="168" t="e">
        <f>VLOOKUP(C646,#REF!,4)</f>
        <v>#REF!</v>
      </c>
    </row>
    <row r="647" spans="1:14">
      <c r="A647" s="145" t="s">
        <v>21</v>
      </c>
      <c r="B647" s="146" t="s">
        <v>1760</v>
      </c>
      <c r="C647" s="146" t="s">
        <v>1761</v>
      </c>
      <c r="D647" s="145" t="s">
        <v>1388</v>
      </c>
      <c r="E647" s="146" t="s">
        <v>164</v>
      </c>
      <c r="F647" s="145" t="s">
        <v>1600</v>
      </c>
      <c r="G647" s="146" t="s">
        <v>20</v>
      </c>
      <c r="H647" s="146">
        <v>201604</v>
      </c>
      <c r="I647" s="147">
        <v>1.79</v>
      </c>
      <c r="J647" s="144">
        <f t="shared" si="32"/>
        <v>7</v>
      </c>
      <c r="K647" s="148">
        <v>1.4833299999999999E-3</v>
      </c>
      <c r="L647" s="147">
        <f t="shared" si="30"/>
        <v>0.02</v>
      </c>
      <c r="M647" s="147">
        <f t="shared" si="31"/>
        <v>0.03</v>
      </c>
      <c r="N647" s="168" t="e">
        <f>VLOOKUP(C647,#REF!,4)</f>
        <v>#REF!</v>
      </c>
    </row>
    <row r="648" spans="1:14">
      <c r="A648" s="145" t="s">
        <v>626</v>
      </c>
      <c r="B648" s="146" t="s">
        <v>1760</v>
      </c>
      <c r="C648" s="146" t="s">
        <v>1761</v>
      </c>
      <c r="D648" s="145" t="s">
        <v>1388</v>
      </c>
      <c r="E648" s="146" t="s">
        <v>164</v>
      </c>
      <c r="F648" s="145" t="s">
        <v>1600</v>
      </c>
      <c r="G648" s="146" t="s">
        <v>20</v>
      </c>
      <c r="H648" s="146">
        <v>201604</v>
      </c>
      <c r="I648" s="147">
        <v>76.92</v>
      </c>
      <c r="J648" s="144">
        <f t="shared" si="32"/>
        <v>7</v>
      </c>
      <c r="K648" s="148">
        <v>1.4833299999999999E-3</v>
      </c>
      <c r="L648" s="147">
        <f t="shared" si="30"/>
        <v>0.8</v>
      </c>
      <c r="M648" s="147">
        <f t="shared" si="31"/>
        <v>1.37</v>
      </c>
      <c r="N648" s="168" t="e">
        <f>VLOOKUP(C648,#REF!,4)</f>
        <v>#REF!</v>
      </c>
    </row>
    <row r="649" spans="1:14">
      <c r="A649" s="145" t="s">
        <v>21</v>
      </c>
      <c r="B649" s="146" t="s">
        <v>1760</v>
      </c>
      <c r="C649" s="146" t="s">
        <v>1761</v>
      </c>
      <c r="D649" s="145" t="s">
        <v>1388</v>
      </c>
      <c r="E649" s="146" t="s">
        <v>164</v>
      </c>
      <c r="F649" s="145" t="s">
        <v>1600</v>
      </c>
      <c r="G649" s="146" t="s">
        <v>20</v>
      </c>
      <c r="H649" s="146">
        <v>201605</v>
      </c>
      <c r="I649" s="147">
        <v>4.25</v>
      </c>
      <c r="J649" s="144">
        <f t="shared" si="32"/>
        <v>6</v>
      </c>
      <c r="K649" s="148">
        <v>1.4833299999999999E-3</v>
      </c>
      <c r="L649" s="147">
        <f t="shared" si="30"/>
        <v>0.04</v>
      </c>
      <c r="M649" s="147">
        <f t="shared" si="31"/>
        <v>0.08</v>
      </c>
      <c r="N649" s="168" t="e">
        <f>VLOOKUP(C649,#REF!,4)</f>
        <v>#REF!</v>
      </c>
    </row>
    <row r="650" spans="1:14">
      <c r="A650" s="145" t="s">
        <v>626</v>
      </c>
      <c r="B650" s="146" t="s">
        <v>1760</v>
      </c>
      <c r="C650" s="146" t="s">
        <v>1761</v>
      </c>
      <c r="D650" s="145" t="s">
        <v>1388</v>
      </c>
      <c r="E650" s="146" t="s">
        <v>164</v>
      </c>
      <c r="F650" s="145" t="s">
        <v>1600</v>
      </c>
      <c r="G650" s="146" t="s">
        <v>20</v>
      </c>
      <c r="H650" s="146">
        <v>201605</v>
      </c>
      <c r="I650" s="147">
        <v>183.25</v>
      </c>
      <c r="J650" s="144">
        <f t="shared" si="32"/>
        <v>6</v>
      </c>
      <c r="K650" s="148">
        <v>1.4833299999999999E-3</v>
      </c>
      <c r="L650" s="147">
        <f t="shared" si="30"/>
        <v>1.63</v>
      </c>
      <c r="M650" s="147">
        <f t="shared" si="31"/>
        <v>3.26</v>
      </c>
      <c r="N650" s="168" t="e">
        <f>VLOOKUP(C650,#REF!,4)</f>
        <v>#REF!</v>
      </c>
    </row>
    <row r="651" spans="1:14">
      <c r="A651" s="145" t="s">
        <v>21</v>
      </c>
      <c r="B651" s="146" t="s">
        <v>1760</v>
      </c>
      <c r="C651" s="146" t="s">
        <v>1761</v>
      </c>
      <c r="D651" s="145" t="s">
        <v>1388</v>
      </c>
      <c r="E651" s="146" t="s">
        <v>164</v>
      </c>
      <c r="F651" s="145" t="s">
        <v>1600</v>
      </c>
      <c r="G651" s="146" t="s">
        <v>20</v>
      </c>
      <c r="H651" s="146">
        <v>201606</v>
      </c>
      <c r="I651" s="147">
        <v>2.63</v>
      </c>
      <c r="J651" s="144">
        <f t="shared" si="32"/>
        <v>5</v>
      </c>
      <c r="K651" s="148">
        <v>1.4833299999999999E-3</v>
      </c>
      <c r="L651" s="147">
        <f t="shared" si="30"/>
        <v>0.02</v>
      </c>
      <c r="M651" s="147">
        <f t="shared" si="31"/>
        <v>0.05</v>
      </c>
      <c r="N651" s="168" t="e">
        <f>VLOOKUP(C651,#REF!,4)</f>
        <v>#REF!</v>
      </c>
    </row>
    <row r="652" spans="1:14">
      <c r="A652" s="145" t="s">
        <v>626</v>
      </c>
      <c r="B652" s="146" t="s">
        <v>1760</v>
      </c>
      <c r="C652" s="146" t="s">
        <v>1761</v>
      </c>
      <c r="D652" s="145" t="s">
        <v>1388</v>
      </c>
      <c r="E652" s="146" t="s">
        <v>164</v>
      </c>
      <c r="F652" s="145" t="s">
        <v>1600</v>
      </c>
      <c r="G652" s="146" t="s">
        <v>20</v>
      </c>
      <c r="H652" s="146">
        <v>201606</v>
      </c>
      <c r="I652" s="147">
        <v>113.9</v>
      </c>
      <c r="J652" s="144">
        <f t="shared" si="32"/>
        <v>5</v>
      </c>
      <c r="K652" s="148">
        <v>1.4833299999999999E-3</v>
      </c>
      <c r="L652" s="147">
        <f t="shared" si="30"/>
        <v>0.84</v>
      </c>
      <c r="M652" s="147">
        <f t="shared" si="31"/>
        <v>2.0299999999999998</v>
      </c>
      <c r="N652" s="168" t="e">
        <f>VLOOKUP(C652,#REF!,4)</f>
        <v>#REF!</v>
      </c>
    </row>
    <row r="653" spans="1:14">
      <c r="A653" s="145" t="s">
        <v>626</v>
      </c>
      <c r="B653" s="146" t="s">
        <v>1762</v>
      </c>
      <c r="C653" s="146" t="s">
        <v>1763</v>
      </c>
      <c r="D653" s="145" t="s">
        <v>1344</v>
      </c>
      <c r="E653" s="146" t="s">
        <v>164</v>
      </c>
      <c r="F653" s="145" t="s">
        <v>1600</v>
      </c>
      <c r="G653" s="146" t="s">
        <v>20</v>
      </c>
      <c r="H653" s="146">
        <v>201603</v>
      </c>
      <c r="I653" s="147">
        <v>-6.01</v>
      </c>
      <c r="J653" s="144">
        <f t="shared" si="32"/>
        <v>8</v>
      </c>
      <c r="K653" s="148">
        <v>1.4833299999999999E-3</v>
      </c>
      <c r="L653" s="147">
        <f t="shared" si="30"/>
        <v>-7.0000000000000007E-2</v>
      </c>
      <c r="M653" s="147">
        <f t="shared" si="31"/>
        <v>-0.11</v>
      </c>
      <c r="N653" s="168" t="e">
        <f>VLOOKUP(C653,#REF!,4)</f>
        <v>#REF!</v>
      </c>
    </row>
    <row r="654" spans="1:14">
      <c r="A654" s="145" t="s">
        <v>626</v>
      </c>
      <c r="B654" s="146" t="s">
        <v>1762</v>
      </c>
      <c r="C654" s="146" t="s">
        <v>1763</v>
      </c>
      <c r="D654" s="145" t="s">
        <v>1344</v>
      </c>
      <c r="E654" s="146" t="s">
        <v>164</v>
      </c>
      <c r="F654" s="145" t="s">
        <v>1600</v>
      </c>
      <c r="G654" s="146" t="s">
        <v>20</v>
      </c>
      <c r="H654" s="146">
        <v>201604</v>
      </c>
      <c r="I654" s="147">
        <v>-10435.74</v>
      </c>
      <c r="J654" s="144">
        <f t="shared" si="32"/>
        <v>7</v>
      </c>
      <c r="K654" s="148">
        <v>1.4833299999999999E-3</v>
      </c>
      <c r="L654" s="147">
        <f t="shared" si="30"/>
        <v>-108.36</v>
      </c>
      <c r="M654" s="147">
        <f t="shared" si="31"/>
        <v>-185.76</v>
      </c>
      <c r="N654" s="168" t="e">
        <f>VLOOKUP(C654,#REF!,4)</f>
        <v>#REF!</v>
      </c>
    </row>
    <row r="655" spans="1:14">
      <c r="A655" s="145" t="s">
        <v>626</v>
      </c>
      <c r="B655" s="146" t="s">
        <v>1987</v>
      </c>
      <c r="C655" s="146" t="s">
        <v>1988</v>
      </c>
      <c r="D655" s="145" t="s">
        <v>1338</v>
      </c>
      <c r="E655" s="146" t="s">
        <v>75</v>
      </c>
      <c r="F655" s="145" t="s">
        <v>1602</v>
      </c>
      <c r="G655" s="146" t="s">
        <v>20</v>
      </c>
      <c r="H655" s="146">
        <v>201603</v>
      </c>
      <c r="I655" s="147">
        <v>14336.54</v>
      </c>
      <c r="J655" s="144">
        <f t="shared" si="32"/>
        <v>8</v>
      </c>
      <c r="K655" s="148">
        <v>1.4833299999999999E-3</v>
      </c>
      <c r="L655" s="147">
        <f t="shared" si="30"/>
        <v>170.13</v>
      </c>
      <c r="M655" s="147">
        <f t="shared" si="31"/>
        <v>255.19</v>
      </c>
      <c r="N655" s="168" t="e">
        <f>VLOOKUP(C655,#REF!,4)</f>
        <v>#REF!</v>
      </c>
    </row>
    <row r="656" spans="1:14">
      <c r="A656" s="145" t="s">
        <v>626</v>
      </c>
      <c r="B656" s="146" t="s">
        <v>1987</v>
      </c>
      <c r="C656" s="146" t="s">
        <v>1988</v>
      </c>
      <c r="D656" s="145" t="s">
        <v>1338</v>
      </c>
      <c r="E656" s="146" t="s">
        <v>75</v>
      </c>
      <c r="F656" s="145" t="s">
        <v>1602</v>
      </c>
      <c r="G656" s="146" t="s">
        <v>20</v>
      </c>
      <c r="H656" s="146">
        <v>201604</v>
      </c>
      <c r="I656" s="147">
        <v>3770.56</v>
      </c>
      <c r="J656" s="144">
        <f t="shared" si="32"/>
        <v>7</v>
      </c>
      <c r="K656" s="148">
        <v>1.4833299999999999E-3</v>
      </c>
      <c r="L656" s="147">
        <f t="shared" si="30"/>
        <v>39.15</v>
      </c>
      <c r="M656" s="147">
        <f t="shared" si="31"/>
        <v>67.12</v>
      </c>
      <c r="N656" s="168" t="e">
        <f>VLOOKUP(C656,#REF!,4)</f>
        <v>#REF!</v>
      </c>
    </row>
    <row r="657" spans="1:14">
      <c r="A657" s="145" t="s">
        <v>626</v>
      </c>
      <c r="B657" s="146" t="s">
        <v>1987</v>
      </c>
      <c r="C657" s="146" t="s">
        <v>1988</v>
      </c>
      <c r="D657" s="145" t="s">
        <v>1338</v>
      </c>
      <c r="E657" s="146" t="s">
        <v>75</v>
      </c>
      <c r="F657" s="145" t="s">
        <v>1602</v>
      </c>
      <c r="G657" s="146" t="s">
        <v>20</v>
      </c>
      <c r="H657" s="146">
        <v>201605</v>
      </c>
      <c r="I657" s="147">
        <v>1596.18</v>
      </c>
      <c r="J657" s="144">
        <f t="shared" si="32"/>
        <v>6</v>
      </c>
      <c r="K657" s="148">
        <v>1.4833299999999999E-3</v>
      </c>
      <c r="L657" s="147">
        <f t="shared" si="30"/>
        <v>14.21</v>
      </c>
      <c r="M657" s="147">
        <f t="shared" si="31"/>
        <v>28.41</v>
      </c>
      <c r="N657" s="168" t="e">
        <f>VLOOKUP(C657,#REF!,4)</f>
        <v>#REF!</v>
      </c>
    </row>
    <row r="658" spans="1:14">
      <c r="A658" s="145" t="s">
        <v>626</v>
      </c>
      <c r="B658" s="146" t="s">
        <v>1987</v>
      </c>
      <c r="C658" s="146" t="s">
        <v>1988</v>
      </c>
      <c r="D658" s="145" t="s">
        <v>1338</v>
      </c>
      <c r="E658" s="146" t="s">
        <v>75</v>
      </c>
      <c r="F658" s="145" t="s">
        <v>1602</v>
      </c>
      <c r="G658" s="146" t="s">
        <v>20</v>
      </c>
      <c r="H658" s="146">
        <v>201606</v>
      </c>
      <c r="I658" s="147">
        <v>1092.1600000000001</v>
      </c>
      <c r="J658" s="144">
        <f t="shared" si="32"/>
        <v>5</v>
      </c>
      <c r="K658" s="148">
        <v>1.4833299999999999E-3</v>
      </c>
      <c r="L658" s="147">
        <f t="shared" si="30"/>
        <v>8.1</v>
      </c>
      <c r="M658" s="147">
        <f t="shared" si="31"/>
        <v>19.440000000000001</v>
      </c>
      <c r="N658" s="168" t="e">
        <f>VLOOKUP(C658,#REF!,4)</f>
        <v>#REF!</v>
      </c>
    </row>
    <row r="659" spans="1:14">
      <c r="A659" s="145" t="s">
        <v>133</v>
      </c>
      <c r="B659" s="146" t="s">
        <v>1817</v>
      </c>
      <c r="C659" s="146" t="s">
        <v>1818</v>
      </c>
      <c r="D659" s="145" t="s">
        <v>1819</v>
      </c>
      <c r="E659" s="146" t="s">
        <v>75</v>
      </c>
      <c r="F659" s="145" t="s">
        <v>1602</v>
      </c>
      <c r="G659" s="146" t="s">
        <v>20</v>
      </c>
      <c r="H659" s="146">
        <v>201603</v>
      </c>
      <c r="I659" s="147">
        <v>9769.93</v>
      </c>
      <c r="J659" s="144">
        <f t="shared" si="32"/>
        <v>8</v>
      </c>
      <c r="K659" s="148">
        <v>1.4833299999999999E-3</v>
      </c>
      <c r="L659" s="147">
        <f t="shared" si="30"/>
        <v>115.94</v>
      </c>
      <c r="M659" s="147">
        <f t="shared" si="31"/>
        <v>173.9</v>
      </c>
      <c r="N659" s="168" t="e">
        <f>VLOOKUP(C659,#REF!,4)</f>
        <v>#REF!</v>
      </c>
    </row>
    <row r="660" spans="1:14">
      <c r="A660" s="145" t="s">
        <v>133</v>
      </c>
      <c r="B660" s="146" t="s">
        <v>1817</v>
      </c>
      <c r="C660" s="146" t="s">
        <v>1818</v>
      </c>
      <c r="D660" s="145" t="s">
        <v>1819</v>
      </c>
      <c r="E660" s="146" t="s">
        <v>75</v>
      </c>
      <c r="F660" s="145" t="s">
        <v>1602</v>
      </c>
      <c r="G660" s="146" t="s">
        <v>20</v>
      </c>
      <c r="H660" s="146">
        <v>201604</v>
      </c>
      <c r="I660" s="147">
        <v>16127.3</v>
      </c>
      <c r="J660" s="144">
        <f t="shared" si="32"/>
        <v>7</v>
      </c>
      <c r="K660" s="148">
        <v>1.4833299999999999E-3</v>
      </c>
      <c r="L660" s="147">
        <f t="shared" si="30"/>
        <v>167.45</v>
      </c>
      <c r="M660" s="147">
        <f t="shared" si="31"/>
        <v>287.07</v>
      </c>
      <c r="N660" s="168" t="e">
        <f>VLOOKUP(C660,#REF!,4)</f>
        <v>#REF!</v>
      </c>
    </row>
    <row r="661" spans="1:14">
      <c r="A661" s="145" t="s">
        <v>133</v>
      </c>
      <c r="B661" s="146" t="s">
        <v>1817</v>
      </c>
      <c r="C661" s="146" t="s">
        <v>1818</v>
      </c>
      <c r="D661" s="145" t="s">
        <v>1819</v>
      </c>
      <c r="E661" s="146" t="s">
        <v>75</v>
      </c>
      <c r="F661" s="145" t="s">
        <v>1602</v>
      </c>
      <c r="G661" s="146" t="s">
        <v>20</v>
      </c>
      <c r="H661" s="146">
        <v>201605</v>
      </c>
      <c r="I661" s="147">
        <v>135290.82999999999</v>
      </c>
      <c r="J661" s="144">
        <f t="shared" si="32"/>
        <v>6</v>
      </c>
      <c r="K661" s="148">
        <v>1.4833299999999999E-3</v>
      </c>
      <c r="L661" s="147">
        <f t="shared" si="30"/>
        <v>1204.0899999999999</v>
      </c>
      <c r="M661" s="147">
        <f t="shared" si="31"/>
        <v>2408.17</v>
      </c>
      <c r="N661" s="168" t="e">
        <f>VLOOKUP(C661,#REF!,4)</f>
        <v>#REF!</v>
      </c>
    </row>
    <row r="662" spans="1:14">
      <c r="A662" s="145" t="s">
        <v>133</v>
      </c>
      <c r="B662" s="146" t="s">
        <v>1817</v>
      </c>
      <c r="C662" s="146" t="s">
        <v>1818</v>
      </c>
      <c r="D662" s="145" t="s">
        <v>1819</v>
      </c>
      <c r="E662" s="146" t="s">
        <v>75</v>
      </c>
      <c r="F662" s="145" t="s">
        <v>1602</v>
      </c>
      <c r="G662" s="146" t="s">
        <v>20</v>
      </c>
      <c r="H662" s="146">
        <v>201606</v>
      </c>
      <c r="I662" s="147">
        <v>7633.48</v>
      </c>
      <c r="J662" s="144">
        <f t="shared" si="32"/>
        <v>5</v>
      </c>
      <c r="K662" s="148">
        <v>1.4833299999999999E-3</v>
      </c>
      <c r="L662" s="147">
        <f t="shared" si="30"/>
        <v>56.61</v>
      </c>
      <c r="M662" s="147">
        <f t="shared" si="31"/>
        <v>135.88</v>
      </c>
      <c r="N662" s="168" t="e">
        <f>VLOOKUP(C662,#REF!,4)</f>
        <v>#REF!</v>
      </c>
    </row>
    <row r="663" spans="1:14">
      <c r="A663" s="145" t="s">
        <v>626</v>
      </c>
      <c r="B663" s="146" t="s">
        <v>1989</v>
      </c>
      <c r="C663" s="146" t="s">
        <v>1990</v>
      </c>
      <c r="D663" s="145" t="s">
        <v>1495</v>
      </c>
      <c r="E663" s="146" t="s">
        <v>75</v>
      </c>
      <c r="F663" s="145" t="s">
        <v>1602</v>
      </c>
      <c r="G663" s="146" t="s">
        <v>20</v>
      </c>
      <c r="H663" s="146">
        <v>201603</v>
      </c>
      <c r="I663" s="147">
        <v>-10336.94</v>
      </c>
      <c r="J663" s="144">
        <f t="shared" si="32"/>
        <v>8</v>
      </c>
      <c r="K663" s="148">
        <v>1.4833299999999999E-3</v>
      </c>
      <c r="L663" s="147">
        <f t="shared" si="30"/>
        <v>-122.66</v>
      </c>
      <c r="M663" s="147">
        <f t="shared" si="31"/>
        <v>-184</v>
      </c>
      <c r="N663" s="168" t="e">
        <f>VLOOKUP(C663,#REF!,4)</f>
        <v>#REF!</v>
      </c>
    </row>
    <row r="664" spans="1:14">
      <c r="A664" s="145" t="s">
        <v>626</v>
      </c>
      <c r="B664" s="146" t="s">
        <v>1989</v>
      </c>
      <c r="C664" s="146" t="s">
        <v>1990</v>
      </c>
      <c r="D664" s="145" t="s">
        <v>1495</v>
      </c>
      <c r="E664" s="146" t="s">
        <v>75</v>
      </c>
      <c r="F664" s="145" t="s">
        <v>1602</v>
      </c>
      <c r="G664" s="146" t="s">
        <v>20</v>
      </c>
      <c r="H664" s="146">
        <v>201604</v>
      </c>
      <c r="I664" s="147">
        <v>3762.85</v>
      </c>
      <c r="J664" s="144">
        <f t="shared" si="32"/>
        <v>7</v>
      </c>
      <c r="K664" s="148">
        <v>1.4833299999999999E-3</v>
      </c>
      <c r="L664" s="147">
        <f t="shared" si="30"/>
        <v>39.07</v>
      </c>
      <c r="M664" s="147">
        <f t="shared" si="31"/>
        <v>66.98</v>
      </c>
      <c r="N664" s="168" t="e">
        <f>VLOOKUP(C664,#REF!,4)</f>
        <v>#REF!</v>
      </c>
    </row>
    <row r="665" spans="1:14">
      <c r="A665" s="145" t="s">
        <v>626</v>
      </c>
      <c r="B665" s="146" t="s">
        <v>1989</v>
      </c>
      <c r="C665" s="146" t="s">
        <v>1990</v>
      </c>
      <c r="D665" s="145" t="s">
        <v>1495</v>
      </c>
      <c r="E665" s="146" t="s">
        <v>75</v>
      </c>
      <c r="F665" s="145" t="s">
        <v>1602</v>
      </c>
      <c r="G665" s="146" t="s">
        <v>20</v>
      </c>
      <c r="H665" s="146">
        <v>201605</v>
      </c>
      <c r="I665" s="147">
        <v>7760.52</v>
      </c>
      <c r="J665" s="144">
        <f t="shared" si="32"/>
        <v>6</v>
      </c>
      <c r="K665" s="148">
        <v>1.4833299999999999E-3</v>
      </c>
      <c r="L665" s="147">
        <f t="shared" si="30"/>
        <v>69.069999999999993</v>
      </c>
      <c r="M665" s="147">
        <f t="shared" si="31"/>
        <v>138.13999999999999</v>
      </c>
      <c r="N665" s="168" t="e">
        <f>VLOOKUP(C665,#REF!,4)</f>
        <v>#REF!</v>
      </c>
    </row>
    <row r="666" spans="1:14">
      <c r="A666" s="145" t="s">
        <v>626</v>
      </c>
      <c r="B666" s="146" t="s">
        <v>1989</v>
      </c>
      <c r="C666" s="146" t="s">
        <v>1990</v>
      </c>
      <c r="D666" s="145" t="s">
        <v>1495</v>
      </c>
      <c r="E666" s="146" t="s">
        <v>75</v>
      </c>
      <c r="F666" s="145" t="s">
        <v>1602</v>
      </c>
      <c r="G666" s="146" t="s">
        <v>20</v>
      </c>
      <c r="H666" s="146">
        <v>201606</v>
      </c>
      <c r="I666" s="147">
        <v>1846.23</v>
      </c>
      <c r="J666" s="144">
        <f t="shared" si="32"/>
        <v>5</v>
      </c>
      <c r="K666" s="148">
        <v>1.4833299999999999E-3</v>
      </c>
      <c r="L666" s="147">
        <f t="shared" si="30"/>
        <v>13.69</v>
      </c>
      <c r="M666" s="147">
        <f t="shared" si="31"/>
        <v>32.86</v>
      </c>
      <c r="N666" s="168" t="e">
        <f>VLOOKUP(C666,#REF!,4)</f>
        <v>#REF!</v>
      </c>
    </row>
    <row r="667" spans="1:14">
      <c r="A667" s="145" t="s">
        <v>626</v>
      </c>
      <c r="B667" s="146" t="s">
        <v>1764</v>
      </c>
      <c r="C667" s="146" t="s">
        <v>1765</v>
      </c>
      <c r="D667" s="145" t="s">
        <v>1766</v>
      </c>
      <c r="E667" s="146" t="s">
        <v>156</v>
      </c>
      <c r="F667" s="145" t="s">
        <v>26</v>
      </c>
      <c r="G667" s="146" t="s">
        <v>20</v>
      </c>
      <c r="H667" s="146">
        <v>201603</v>
      </c>
      <c r="I667" s="147">
        <v>-1374.12</v>
      </c>
      <c r="J667" s="144">
        <f t="shared" si="32"/>
        <v>8</v>
      </c>
      <c r="K667" s="148">
        <v>1.4833299999999999E-3</v>
      </c>
      <c r="L667" s="147">
        <f t="shared" si="30"/>
        <v>-16.309999999999999</v>
      </c>
      <c r="M667" s="147">
        <f t="shared" si="31"/>
        <v>-24.46</v>
      </c>
      <c r="N667" s="168" t="e">
        <f>VLOOKUP(C667,#REF!,4)</f>
        <v>#REF!</v>
      </c>
    </row>
    <row r="668" spans="1:14">
      <c r="A668" s="145" t="s">
        <v>626</v>
      </c>
      <c r="B668" s="146" t="s">
        <v>1764</v>
      </c>
      <c r="C668" s="146" t="s">
        <v>1765</v>
      </c>
      <c r="D668" s="145" t="s">
        <v>1766</v>
      </c>
      <c r="E668" s="146" t="s">
        <v>156</v>
      </c>
      <c r="F668" s="145" t="s">
        <v>26</v>
      </c>
      <c r="G668" s="146" t="s">
        <v>20</v>
      </c>
      <c r="H668" s="146">
        <v>201604</v>
      </c>
      <c r="I668" s="147">
        <v>1123.53</v>
      </c>
      <c r="J668" s="144">
        <f t="shared" si="32"/>
        <v>7</v>
      </c>
      <c r="K668" s="148">
        <v>1.4833299999999999E-3</v>
      </c>
      <c r="L668" s="147">
        <f t="shared" si="30"/>
        <v>11.67</v>
      </c>
      <c r="M668" s="147">
        <f t="shared" si="31"/>
        <v>20</v>
      </c>
      <c r="N668" s="168" t="e">
        <f>VLOOKUP(C668,#REF!,4)</f>
        <v>#REF!</v>
      </c>
    </row>
    <row r="669" spans="1:14">
      <c r="A669" s="145" t="s">
        <v>626</v>
      </c>
      <c r="B669" s="146" t="s">
        <v>1764</v>
      </c>
      <c r="C669" s="146" t="s">
        <v>1765</v>
      </c>
      <c r="D669" s="145" t="s">
        <v>1766</v>
      </c>
      <c r="E669" s="146" t="s">
        <v>156</v>
      </c>
      <c r="F669" s="145" t="s">
        <v>26</v>
      </c>
      <c r="G669" s="146" t="s">
        <v>20</v>
      </c>
      <c r="H669" s="146">
        <v>201605</v>
      </c>
      <c r="I669" s="147">
        <v>1135.29</v>
      </c>
      <c r="J669" s="144">
        <f t="shared" si="32"/>
        <v>6</v>
      </c>
      <c r="K669" s="148">
        <v>1.4833299999999999E-3</v>
      </c>
      <c r="L669" s="147">
        <f t="shared" si="30"/>
        <v>10.1</v>
      </c>
      <c r="M669" s="147">
        <f t="shared" si="31"/>
        <v>20.21</v>
      </c>
      <c r="N669" s="168" t="e">
        <f>VLOOKUP(C669,#REF!,4)</f>
        <v>#REF!</v>
      </c>
    </row>
    <row r="670" spans="1:14">
      <c r="A670" s="145" t="s">
        <v>626</v>
      </c>
      <c r="B670" s="146" t="s">
        <v>1764</v>
      </c>
      <c r="C670" s="146" t="s">
        <v>1765</v>
      </c>
      <c r="D670" s="145" t="s">
        <v>1766</v>
      </c>
      <c r="E670" s="146" t="s">
        <v>156</v>
      </c>
      <c r="F670" s="145" t="s">
        <v>26</v>
      </c>
      <c r="G670" s="146" t="s">
        <v>20</v>
      </c>
      <c r="H670" s="146">
        <v>201606</v>
      </c>
      <c r="I670" s="147">
        <v>808.09</v>
      </c>
      <c r="J670" s="144">
        <f t="shared" si="32"/>
        <v>5</v>
      </c>
      <c r="K670" s="148">
        <v>1.4833299999999999E-3</v>
      </c>
      <c r="L670" s="147">
        <f t="shared" si="30"/>
        <v>5.99</v>
      </c>
      <c r="M670" s="147">
        <f t="shared" si="31"/>
        <v>14.38</v>
      </c>
      <c r="N670" s="168" t="e">
        <f>VLOOKUP(C670,#REF!,4)</f>
        <v>#REF!</v>
      </c>
    </row>
    <row r="671" spans="1:14">
      <c r="A671" s="145" t="s">
        <v>626</v>
      </c>
      <c r="B671" s="146" t="s">
        <v>1945</v>
      </c>
      <c r="C671" s="146" t="s">
        <v>1946</v>
      </c>
      <c r="D671" s="145" t="s">
        <v>1947</v>
      </c>
      <c r="E671" s="146" t="s">
        <v>93</v>
      </c>
      <c r="F671" s="145" t="s">
        <v>1601</v>
      </c>
      <c r="G671" s="146" t="s">
        <v>20</v>
      </c>
      <c r="H671" s="146">
        <v>201603</v>
      </c>
      <c r="I671" s="147">
        <v>-244.6</v>
      </c>
      <c r="J671" s="144">
        <f t="shared" si="32"/>
        <v>8</v>
      </c>
      <c r="K671" s="148">
        <v>1.4833299999999999E-3</v>
      </c>
      <c r="L671" s="147">
        <f t="shared" si="30"/>
        <v>-2.9</v>
      </c>
      <c r="M671" s="147">
        <f t="shared" si="31"/>
        <v>-4.3499999999999996</v>
      </c>
      <c r="N671" s="168" t="e">
        <f>VLOOKUP(C671,#REF!,4)</f>
        <v>#REF!</v>
      </c>
    </row>
    <row r="672" spans="1:14">
      <c r="A672" s="145" t="s">
        <v>626</v>
      </c>
      <c r="B672" s="146" t="s">
        <v>1945</v>
      </c>
      <c r="C672" s="146" t="s">
        <v>1946</v>
      </c>
      <c r="D672" s="145" t="s">
        <v>1947</v>
      </c>
      <c r="E672" s="146" t="s">
        <v>93</v>
      </c>
      <c r="F672" s="145" t="s">
        <v>1601</v>
      </c>
      <c r="G672" s="146" t="s">
        <v>20</v>
      </c>
      <c r="H672" s="146">
        <v>201604</v>
      </c>
      <c r="I672" s="147">
        <v>5992.43</v>
      </c>
      <c r="J672" s="144">
        <f t="shared" si="32"/>
        <v>7</v>
      </c>
      <c r="K672" s="148">
        <v>1.4833299999999999E-3</v>
      </c>
      <c r="L672" s="147">
        <f t="shared" si="30"/>
        <v>62.22</v>
      </c>
      <c r="M672" s="147">
        <f t="shared" si="31"/>
        <v>106.67</v>
      </c>
      <c r="N672" s="168" t="e">
        <f>VLOOKUP(C672,#REF!,4)</f>
        <v>#REF!</v>
      </c>
    </row>
    <row r="673" spans="1:14">
      <c r="A673" s="145" t="s">
        <v>626</v>
      </c>
      <c r="B673" s="146" t="s">
        <v>1945</v>
      </c>
      <c r="C673" s="146" t="s">
        <v>1946</v>
      </c>
      <c r="D673" s="145" t="s">
        <v>1947</v>
      </c>
      <c r="E673" s="146" t="s">
        <v>93</v>
      </c>
      <c r="F673" s="145" t="s">
        <v>1601</v>
      </c>
      <c r="G673" s="146" t="s">
        <v>20</v>
      </c>
      <c r="H673" s="146">
        <v>201605</v>
      </c>
      <c r="I673" s="147">
        <v>6802.07</v>
      </c>
      <c r="J673" s="144">
        <f t="shared" si="32"/>
        <v>6</v>
      </c>
      <c r="K673" s="148">
        <v>1.4833299999999999E-3</v>
      </c>
      <c r="L673" s="147">
        <f t="shared" si="30"/>
        <v>60.54</v>
      </c>
      <c r="M673" s="147">
        <f t="shared" si="31"/>
        <v>121.08</v>
      </c>
      <c r="N673" s="168" t="e">
        <f>VLOOKUP(C673,#REF!,4)</f>
        <v>#REF!</v>
      </c>
    </row>
    <row r="674" spans="1:14">
      <c r="A674" s="145" t="s">
        <v>626</v>
      </c>
      <c r="B674" s="146" t="s">
        <v>1945</v>
      </c>
      <c r="C674" s="146" t="s">
        <v>1946</v>
      </c>
      <c r="D674" s="145" t="s">
        <v>1947</v>
      </c>
      <c r="E674" s="146" t="s">
        <v>93</v>
      </c>
      <c r="F674" s="145" t="s">
        <v>1601</v>
      </c>
      <c r="G674" s="146" t="s">
        <v>20</v>
      </c>
      <c r="H674" s="146">
        <v>201606</v>
      </c>
      <c r="I674" s="147">
        <v>1551.8</v>
      </c>
      <c r="J674" s="144">
        <f t="shared" si="32"/>
        <v>5</v>
      </c>
      <c r="K674" s="148">
        <v>1.4833299999999999E-3</v>
      </c>
      <c r="L674" s="147">
        <f t="shared" si="30"/>
        <v>11.51</v>
      </c>
      <c r="M674" s="147">
        <f t="shared" si="31"/>
        <v>27.62</v>
      </c>
      <c r="N674" s="168" t="e">
        <f>VLOOKUP(C674,#REF!,4)</f>
        <v>#REF!</v>
      </c>
    </row>
    <row r="675" spans="1:14">
      <c r="A675" s="145" t="s">
        <v>626</v>
      </c>
      <c r="B675" s="146" t="s">
        <v>1991</v>
      </c>
      <c r="C675" s="146" t="s">
        <v>1992</v>
      </c>
      <c r="D675" s="145" t="s">
        <v>1993</v>
      </c>
      <c r="E675" s="146" t="s">
        <v>497</v>
      </c>
      <c r="F675" s="145" t="s">
        <v>26</v>
      </c>
      <c r="G675" s="146" t="s">
        <v>20</v>
      </c>
      <c r="H675" s="146">
        <v>201603</v>
      </c>
      <c r="I675" s="147">
        <v>-311.73</v>
      </c>
      <c r="J675" s="144">
        <f t="shared" si="32"/>
        <v>8</v>
      </c>
      <c r="K675" s="148">
        <v>1.4833299999999999E-3</v>
      </c>
      <c r="L675" s="147">
        <f t="shared" si="30"/>
        <v>-3.7</v>
      </c>
      <c r="M675" s="147">
        <f t="shared" si="31"/>
        <v>-5.55</v>
      </c>
      <c r="N675" s="168" t="e">
        <f>VLOOKUP(C675,#REF!,4)</f>
        <v>#REF!</v>
      </c>
    </row>
    <row r="676" spans="1:14">
      <c r="A676" s="145" t="s">
        <v>626</v>
      </c>
      <c r="B676" s="146" t="s">
        <v>1991</v>
      </c>
      <c r="C676" s="146" t="s">
        <v>1992</v>
      </c>
      <c r="D676" s="145" t="s">
        <v>1993</v>
      </c>
      <c r="E676" s="146" t="s">
        <v>497</v>
      </c>
      <c r="F676" s="145" t="s">
        <v>26</v>
      </c>
      <c r="G676" s="146" t="s">
        <v>20</v>
      </c>
      <c r="H676" s="146">
        <v>201604</v>
      </c>
      <c r="I676" s="147">
        <v>2671.73</v>
      </c>
      <c r="J676" s="144">
        <f t="shared" si="32"/>
        <v>7</v>
      </c>
      <c r="K676" s="148">
        <v>1.4833299999999999E-3</v>
      </c>
      <c r="L676" s="147">
        <f t="shared" si="30"/>
        <v>27.74</v>
      </c>
      <c r="M676" s="147">
        <f t="shared" si="31"/>
        <v>47.56</v>
      </c>
      <c r="N676" s="168" t="e">
        <f>VLOOKUP(C676,#REF!,4)</f>
        <v>#REF!</v>
      </c>
    </row>
    <row r="677" spans="1:14">
      <c r="A677" s="145" t="s">
        <v>626</v>
      </c>
      <c r="B677" s="146" t="s">
        <v>1991</v>
      </c>
      <c r="C677" s="146" t="s">
        <v>1992</v>
      </c>
      <c r="D677" s="145" t="s">
        <v>1993</v>
      </c>
      <c r="E677" s="146" t="s">
        <v>497</v>
      </c>
      <c r="F677" s="145" t="s">
        <v>26</v>
      </c>
      <c r="G677" s="146" t="s">
        <v>20</v>
      </c>
      <c r="H677" s="146">
        <v>201605</v>
      </c>
      <c r="I677" s="147">
        <v>1003.01</v>
      </c>
      <c r="J677" s="144">
        <f t="shared" si="32"/>
        <v>6</v>
      </c>
      <c r="K677" s="148">
        <v>1.4833299999999999E-3</v>
      </c>
      <c r="L677" s="147">
        <f t="shared" si="30"/>
        <v>8.93</v>
      </c>
      <c r="M677" s="147">
        <f t="shared" si="31"/>
        <v>17.850000000000001</v>
      </c>
      <c r="N677" s="168" t="e">
        <f>VLOOKUP(C677,#REF!,4)</f>
        <v>#REF!</v>
      </c>
    </row>
    <row r="678" spans="1:14">
      <c r="A678" s="145" t="s">
        <v>626</v>
      </c>
      <c r="B678" s="146" t="s">
        <v>1991</v>
      </c>
      <c r="C678" s="146" t="s">
        <v>1992</v>
      </c>
      <c r="D678" s="145" t="s">
        <v>1993</v>
      </c>
      <c r="E678" s="146" t="s">
        <v>497</v>
      </c>
      <c r="F678" s="145" t="s">
        <v>26</v>
      </c>
      <c r="G678" s="146" t="s">
        <v>20</v>
      </c>
      <c r="H678" s="146">
        <v>201606</v>
      </c>
      <c r="I678" s="147">
        <v>634.9</v>
      </c>
      <c r="J678" s="144">
        <f t="shared" si="32"/>
        <v>5</v>
      </c>
      <c r="K678" s="148">
        <v>1.4833299999999999E-3</v>
      </c>
      <c r="L678" s="147">
        <f t="shared" si="30"/>
        <v>4.71</v>
      </c>
      <c r="M678" s="147">
        <f t="shared" si="31"/>
        <v>11.3</v>
      </c>
      <c r="N678" s="168" t="e">
        <f>VLOOKUP(C678,#REF!,4)</f>
        <v>#REF!</v>
      </c>
    </row>
    <row r="679" spans="1:14">
      <c r="A679" s="145" t="s">
        <v>127</v>
      </c>
      <c r="B679" s="146" t="s">
        <v>1994</v>
      </c>
      <c r="C679" s="146" t="s">
        <v>1995</v>
      </c>
      <c r="D679" s="145" t="s">
        <v>1996</v>
      </c>
      <c r="E679" s="146" t="s">
        <v>87</v>
      </c>
      <c r="F679" s="145" t="s">
        <v>1603</v>
      </c>
      <c r="G679" s="146" t="s">
        <v>20</v>
      </c>
      <c r="H679" s="146">
        <v>201603</v>
      </c>
      <c r="I679" s="147">
        <v>-70.099999999999994</v>
      </c>
      <c r="J679" s="144">
        <f t="shared" si="32"/>
        <v>8</v>
      </c>
      <c r="K679" s="148">
        <v>2.3833299999999999E-3</v>
      </c>
      <c r="L679" s="147">
        <f t="shared" si="30"/>
        <v>-1.34</v>
      </c>
      <c r="M679" s="147">
        <f t="shared" si="31"/>
        <v>-2</v>
      </c>
      <c r="N679" s="168" t="e">
        <f>VLOOKUP(C679,#REF!,4)</f>
        <v>#REF!</v>
      </c>
    </row>
    <row r="680" spans="1:14">
      <c r="A680" s="145" t="s">
        <v>127</v>
      </c>
      <c r="B680" s="146" t="s">
        <v>1994</v>
      </c>
      <c r="C680" s="146" t="s">
        <v>1995</v>
      </c>
      <c r="D680" s="145" t="s">
        <v>1996</v>
      </c>
      <c r="E680" s="146" t="s">
        <v>87</v>
      </c>
      <c r="F680" s="145" t="s">
        <v>1603</v>
      </c>
      <c r="G680" s="146" t="s">
        <v>20</v>
      </c>
      <c r="H680" s="146">
        <v>201604</v>
      </c>
      <c r="I680" s="147">
        <v>1163.43</v>
      </c>
      <c r="J680" s="144">
        <f t="shared" si="32"/>
        <v>7</v>
      </c>
      <c r="K680" s="148">
        <v>2.3833299999999999E-3</v>
      </c>
      <c r="L680" s="147">
        <f t="shared" si="30"/>
        <v>19.41</v>
      </c>
      <c r="M680" s="147">
        <f t="shared" si="31"/>
        <v>33.270000000000003</v>
      </c>
      <c r="N680" s="168" t="e">
        <f>VLOOKUP(C680,#REF!,4)</f>
        <v>#REF!</v>
      </c>
    </row>
    <row r="681" spans="1:14">
      <c r="A681" s="145" t="s">
        <v>127</v>
      </c>
      <c r="B681" s="146" t="s">
        <v>1994</v>
      </c>
      <c r="C681" s="146" t="s">
        <v>1995</v>
      </c>
      <c r="D681" s="145" t="s">
        <v>1996</v>
      </c>
      <c r="E681" s="146" t="s">
        <v>87</v>
      </c>
      <c r="F681" s="145" t="s">
        <v>1603</v>
      </c>
      <c r="G681" s="146" t="s">
        <v>20</v>
      </c>
      <c r="H681" s="146">
        <v>201605</v>
      </c>
      <c r="I681" s="147">
        <v>853.59</v>
      </c>
      <c r="J681" s="144">
        <f t="shared" si="32"/>
        <v>6</v>
      </c>
      <c r="K681" s="148">
        <v>2.3833299999999999E-3</v>
      </c>
      <c r="L681" s="147">
        <f t="shared" si="30"/>
        <v>12.21</v>
      </c>
      <c r="M681" s="147">
        <f t="shared" si="31"/>
        <v>24.41</v>
      </c>
      <c r="N681" s="168" t="e">
        <f>VLOOKUP(C681,#REF!,4)</f>
        <v>#REF!</v>
      </c>
    </row>
    <row r="682" spans="1:14">
      <c r="A682" s="145" t="s">
        <v>127</v>
      </c>
      <c r="B682" s="146" t="s">
        <v>1994</v>
      </c>
      <c r="C682" s="146" t="s">
        <v>1995</v>
      </c>
      <c r="D682" s="145" t="s">
        <v>1996</v>
      </c>
      <c r="E682" s="146" t="s">
        <v>87</v>
      </c>
      <c r="F682" s="145" t="s">
        <v>1603</v>
      </c>
      <c r="G682" s="146" t="s">
        <v>20</v>
      </c>
      <c r="H682" s="146">
        <v>201606</v>
      </c>
      <c r="I682" s="147">
        <v>539.20000000000005</v>
      </c>
      <c r="J682" s="144">
        <f t="shared" si="32"/>
        <v>5</v>
      </c>
      <c r="K682" s="148">
        <v>2.3833299999999999E-3</v>
      </c>
      <c r="L682" s="147">
        <f t="shared" si="30"/>
        <v>6.43</v>
      </c>
      <c r="M682" s="147">
        <f t="shared" si="31"/>
        <v>15.42</v>
      </c>
      <c r="N682" s="168" t="e">
        <f>VLOOKUP(C682,#REF!,4)</f>
        <v>#REF!</v>
      </c>
    </row>
    <row r="683" spans="1:14">
      <c r="A683" s="145" t="s">
        <v>990</v>
      </c>
      <c r="B683" s="146" t="s">
        <v>1681</v>
      </c>
      <c r="C683" s="146" t="s">
        <v>2063</v>
      </c>
      <c r="D683" s="145" t="s">
        <v>2064</v>
      </c>
      <c r="E683" s="146" t="s">
        <v>1688</v>
      </c>
      <c r="F683" s="145" t="s">
        <v>1689</v>
      </c>
      <c r="G683" s="146" t="s">
        <v>20</v>
      </c>
      <c r="H683" s="146">
        <v>201604</v>
      </c>
      <c r="I683" s="147">
        <v>2497.5500000000002</v>
      </c>
      <c r="J683" s="144">
        <f t="shared" si="32"/>
        <v>7</v>
      </c>
      <c r="K683" s="148">
        <v>2.3833299999999999E-3</v>
      </c>
      <c r="L683" s="147">
        <f t="shared" si="30"/>
        <v>41.67</v>
      </c>
      <c r="M683" s="147">
        <f t="shared" si="31"/>
        <v>71.430000000000007</v>
      </c>
      <c r="N683" s="168" t="e">
        <f>VLOOKUP(C683,#REF!,4)</f>
        <v>#REF!</v>
      </c>
    </row>
    <row r="684" spans="1:14">
      <c r="A684" s="145" t="s">
        <v>990</v>
      </c>
      <c r="B684" s="146" t="s">
        <v>1681</v>
      </c>
      <c r="C684" s="146" t="s">
        <v>2063</v>
      </c>
      <c r="D684" s="145" t="s">
        <v>2064</v>
      </c>
      <c r="E684" s="146" t="s">
        <v>1688</v>
      </c>
      <c r="F684" s="145" t="s">
        <v>1689</v>
      </c>
      <c r="G684" s="146" t="s">
        <v>20</v>
      </c>
      <c r="H684" s="146">
        <v>201605</v>
      </c>
      <c r="I684" s="147">
        <v>79.59</v>
      </c>
      <c r="J684" s="144">
        <f t="shared" si="32"/>
        <v>6</v>
      </c>
      <c r="K684" s="148">
        <v>2.3833299999999999E-3</v>
      </c>
      <c r="L684" s="147">
        <f t="shared" si="30"/>
        <v>1.1399999999999999</v>
      </c>
      <c r="M684" s="147">
        <f t="shared" si="31"/>
        <v>2.2799999999999998</v>
      </c>
      <c r="N684" s="168" t="e">
        <f>VLOOKUP(C684,#REF!,4)</f>
        <v>#REF!</v>
      </c>
    </row>
    <row r="685" spans="1:14">
      <c r="A685" s="145" t="s">
        <v>990</v>
      </c>
      <c r="B685" s="146" t="s">
        <v>1681</v>
      </c>
      <c r="C685" s="146" t="s">
        <v>2063</v>
      </c>
      <c r="D685" s="145" t="s">
        <v>2064</v>
      </c>
      <c r="E685" s="146" t="s">
        <v>1688</v>
      </c>
      <c r="F685" s="145" t="s">
        <v>1689</v>
      </c>
      <c r="G685" s="146" t="s">
        <v>20</v>
      </c>
      <c r="H685" s="146">
        <v>201606</v>
      </c>
      <c r="I685" s="147">
        <v>55.48</v>
      </c>
      <c r="J685" s="144">
        <f t="shared" si="32"/>
        <v>5</v>
      </c>
      <c r="K685" s="148">
        <v>2.3833299999999999E-3</v>
      </c>
      <c r="L685" s="147">
        <f t="shared" si="30"/>
        <v>0.66</v>
      </c>
      <c r="M685" s="147">
        <f t="shared" si="31"/>
        <v>1.59</v>
      </c>
      <c r="N685" s="168" t="e">
        <f>VLOOKUP(C685,#REF!,4)</f>
        <v>#REF!</v>
      </c>
    </row>
    <row r="686" spans="1:14">
      <c r="A686" s="145" t="s">
        <v>626</v>
      </c>
      <c r="B686" s="146" t="s">
        <v>1681</v>
      </c>
      <c r="C686" s="146" t="s">
        <v>1997</v>
      </c>
      <c r="D686" s="145" t="s">
        <v>1998</v>
      </c>
      <c r="E686" s="146" t="s">
        <v>164</v>
      </c>
      <c r="F686" s="145" t="s">
        <v>1600</v>
      </c>
      <c r="G686" s="146" t="s">
        <v>20</v>
      </c>
      <c r="H686" s="146">
        <v>201603</v>
      </c>
      <c r="I686" s="147">
        <v>-1072.26</v>
      </c>
      <c r="J686" s="144">
        <f t="shared" si="32"/>
        <v>8</v>
      </c>
      <c r="K686" s="148">
        <v>1.4833299999999999E-3</v>
      </c>
      <c r="L686" s="147">
        <f t="shared" si="30"/>
        <v>-12.72</v>
      </c>
      <c r="M686" s="147">
        <f t="shared" si="31"/>
        <v>-19.09</v>
      </c>
      <c r="N686" s="168" t="e">
        <f>VLOOKUP(C686,#REF!,4)</f>
        <v>#REF!</v>
      </c>
    </row>
    <row r="687" spans="1:14">
      <c r="A687" s="145" t="s">
        <v>1942</v>
      </c>
      <c r="B687" s="146" t="s">
        <v>1681</v>
      </c>
      <c r="C687" s="146" t="s">
        <v>1997</v>
      </c>
      <c r="D687" s="145" t="s">
        <v>1998</v>
      </c>
      <c r="E687" s="146" t="s">
        <v>164</v>
      </c>
      <c r="F687" s="145" t="s">
        <v>1600</v>
      </c>
      <c r="G687" s="146" t="s">
        <v>20</v>
      </c>
      <c r="H687" s="146">
        <v>201603</v>
      </c>
      <c r="I687" s="147">
        <v>-2.46</v>
      </c>
      <c r="J687" s="144">
        <f t="shared" si="32"/>
        <v>8</v>
      </c>
      <c r="K687" s="148">
        <v>2.23333E-3</v>
      </c>
      <c r="L687" s="147">
        <f t="shared" si="30"/>
        <v>-0.04</v>
      </c>
      <c r="M687" s="147">
        <f t="shared" si="31"/>
        <v>-7.0000000000000007E-2</v>
      </c>
      <c r="N687" s="168" t="e">
        <f>VLOOKUP(C687,#REF!,4)</f>
        <v>#REF!</v>
      </c>
    </row>
    <row r="688" spans="1:14">
      <c r="A688" s="145" t="s">
        <v>626</v>
      </c>
      <c r="B688" s="146" t="s">
        <v>1681</v>
      </c>
      <c r="C688" s="146" t="s">
        <v>1997</v>
      </c>
      <c r="D688" s="145" t="s">
        <v>1998</v>
      </c>
      <c r="E688" s="146" t="s">
        <v>164</v>
      </c>
      <c r="F688" s="145" t="s">
        <v>1600</v>
      </c>
      <c r="G688" s="146" t="s">
        <v>20</v>
      </c>
      <c r="H688" s="146">
        <v>201604</v>
      </c>
      <c r="I688" s="147">
        <v>-95.17</v>
      </c>
      <c r="J688" s="144">
        <f t="shared" si="32"/>
        <v>7</v>
      </c>
      <c r="K688" s="148">
        <v>1.4833299999999999E-3</v>
      </c>
      <c r="L688" s="147">
        <f t="shared" si="30"/>
        <v>-0.99</v>
      </c>
      <c r="M688" s="147">
        <f t="shared" si="31"/>
        <v>-1.69</v>
      </c>
      <c r="N688" s="168" t="e">
        <f>VLOOKUP(C688,#REF!,4)</f>
        <v>#REF!</v>
      </c>
    </row>
    <row r="689" spans="1:14">
      <c r="A689" s="145" t="s">
        <v>1942</v>
      </c>
      <c r="B689" s="146" t="s">
        <v>1681</v>
      </c>
      <c r="C689" s="146" t="s">
        <v>1997</v>
      </c>
      <c r="D689" s="145" t="s">
        <v>1998</v>
      </c>
      <c r="E689" s="146" t="s">
        <v>164</v>
      </c>
      <c r="F689" s="145" t="s">
        <v>1600</v>
      </c>
      <c r="G689" s="146" t="s">
        <v>20</v>
      </c>
      <c r="H689" s="146">
        <v>201604</v>
      </c>
      <c r="I689" s="147">
        <v>-0.22</v>
      </c>
      <c r="J689" s="144">
        <f t="shared" si="32"/>
        <v>7</v>
      </c>
      <c r="K689" s="148">
        <v>2.23333E-3</v>
      </c>
      <c r="L689" s="147">
        <f t="shared" si="30"/>
        <v>0</v>
      </c>
      <c r="M689" s="147">
        <f t="shared" si="31"/>
        <v>-0.01</v>
      </c>
      <c r="N689" s="168" t="e">
        <f>VLOOKUP(C689,#REF!,4)</f>
        <v>#REF!</v>
      </c>
    </row>
    <row r="690" spans="1:14">
      <c r="A690" s="145" t="s">
        <v>1942</v>
      </c>
      <c r="B690" s="146" t="s">
        <v>1681</v>
      </c>
      <c r="C690" s="146" t="s">
        <v>1997</v>
      </c>
      <c r="D690" s="145" t="s">
        <v>1998</v>
      </c>
      <c r="E690" s="146" t="s">
        <v>164</v>
      </c>
      <c r="F690" s="145" t="s">
        <v>1600</v>
      </c>
      <c r="G690" s="146" t="s">
        <v>20</v>
      </c>
      <c r="H690" s="146">
        <v>201605</v>
      </c>
      <c r="I690" s="147">
        <v>3.97</v>
      </c>
      <c r="J690" s="144">
        <f t="shared" si="32"/>
        <v>6</v>
      </c>
      <c r="K690" s="148">
        <v>2.23333E-3</v>
      </c>
      <c r="L690" s="147">
        <f t="shared" si="30"/>
        <v>0.05</v>
      </c>
      <c r="M690" s="147">
        <f t="shared" si="31"/>
        <v>0.11</v>
      </c>
      <c r="N690" s="168" t="e">
        <f>VLOOKUP(C690,#REF!,4)</f>
        <v>#REF!</v>
      </c>
    </row>
    <row r="691" spans="1:14">
      <c r="A691" s="145" t="s">
        <v>626</v>
      </c>
      <c r="B691" s="146" t="s">
        <v>1681</v>
      </c>
      <c r="C691" s="146" t="s">
        <v>1997</v>
      </c>
      <c r="D691" s="145" t="s">
        <v>1998</v>
      </c>
      <c r="E691" s="146" t="s">
        <v>164</v>
      </c>
      <c r="F691" s="145" t="s">
        <v>1600</v>
      </c>
      <c r="G691" s="146" t="s">
        <v>20</v>
      </c>
      <c r="H691" s="146">
        <v>201605</v>
      </c>
      <c r="I691" s="147">
        <v>1739.82</v>
      </c>
      <c r="J691" s="144">
        <f t="shared" si="32"/>
        <v>6</v>
      </c>
      <c r="K691" s="148">
        <v>1.4833299999999999E-3</v>
      </c>
      <c r="L691" s="147">
        <f t="shared" si="30"/>
        <v>15.48</v>
      </c>
      <c r="M691" s="147">
        <f t="shared" si="31"/>
        <v>30.97</v>
      </c>
      <c r="N691" s="168" t="e">
        <f>VLOOKUP(C691,#REF!,4)</f>
        <v>#REF!</v>
      </c>
    </row>
    <row r="692" spans="1:14">
      <c r="A692" s="145" t="s">
        <v>1942</v>
      </c>
      <c r="B692" s="146" t="s">
        <v>1681</v>
      </c>
      <c r="C692" s="146" t="s">
        <v>1997</v>
      </c>
      <c r="D692" s="145" t="s">
        <v>1998</v>
      </c>
      <c r="E692" s="146" t="s">
        <v>164</v>
      </c>
      <c r="F692" s="145" t="s">
        <v>1600</v>
      </c>
      <c r="G692" s="146" t="s">
        <v>20</v>
      </c>
      <c r="H692" s="146">
        <v>201606</v>
      </c>
      <c r="I692" s="147">
        <v>2.5099999999999998</v>
      </c>
      <c r="J692" s="144">
        <f t="shared" si="32"/>
        <v>5</v>
      </c>
      <c r="K692" s="148">
        <v>2.23333E-3</v>
      </c>
      <c r="L692" s="147">
        <f t="shared" si="30"/>
        <v>0.03</v>
      </c>
      <c r="M692" s="147">
        <f t="shared" si="31"/>
        <v>7.0000000000000007E-2</v>
      </c>
      <c r="N692" s="168" t="e">
        <f>VLOOKUP(C692,#REF!,4)</f>
        <v>#REF!</v>
      </c>
    </row>
    <row r="693" spans="1:14">
      <c r="A693" s="145" t="s">
        <v>626</v>
      </c>
      <c r="B693" s="146" t="s">
        <v>1681</v>
      </c>
      <c r="C693" s="146" t="s">
        <v>1997</v>
      </c>
      <c r="D693" s="145" t="s">
        <v>1998</v>
      </c>
      <c r="E693" s="146" t="s">
        <v>164</v>
      </c>
      <c r="F693" s="145" t="s">
        <v>1600</v>
      </c>
      <c r="G693" s="146" t="s">
        <v>20</v>
      </c>
      <c r="H693" s="146">
        <v>201606</v>
      </c>
      <c r="I693" s="147">
        <v>1103.1300000000001</v>
      </c>
      <c r="J693" s="144">
        <f t="shared" si="32"/>
        <v>5</v>
      </c>
      <c r="K693" s="148">
        <v>1.4833299999999999E-3</v>
      </c>
      <c r="L693" s="147">
        <f t="shared" si="30"/>
        <v>8.18</v>
      </c>
      <c r="M693" s="147">
        <f t="shared" si="31"/>
        <v>19.64</v>
      </c>
      <c r="N693" s="168" t="e">
        <f>VLOOKUP(C693,#REF!,4)</f>
        <v>#REF!</v>
      </c>
    </row>
    <row r="694" spans="1:14">
      <c r="A694" s="145" t="s">
        <v>626</v>
      </c>
      <c r="B694" s="146" t="s">
        <v>1681</v>
      </c>
      <c r="C694" s="146" t="s">
        <v>1999</v>
      </c>
      <c r="D694" s="145" t="s">
        <v>2000</v>
      </c>
      <c r="E694" s="146" t="s">
        <v>75</v>
      </c>
      <c r="F694" s="145" t="s">
        <v>1602</v>
      </c>
      <c r="G694" s="146" t="s">
        <v>20</v>
      </c>
      <c r="H694" s="146">
        <v>201603</v>
      </c>
      <c r="I694" s="147">
        <v>-1308.51</v>
      </c>
      <c r="J694" s="144">
        <f t="shared" si="32"/>
        <v>8</v>
      </c>
      <c r="K694" s="148">
        <v>1.4833299999999999E-3</v>
      </c>
      <c r="L694" s="147">
        <f t="shared" si="30"/>
        <v>-15.53</v>
      </c>
      <c r="M694" s="147">
        <f t="shared" si="31"/>
        <v>-23.29</v>
      </c>
      <c r="N694" s="168" t="e">
        <f>VLOOKUP(C694,#REF!,4)</f>
        <v>#REF!</v>
      </c>
    </row>
    <row r="695" spans="1:14">
      <c r="A695" s="145" t="s">
        <v>14</v>
      </c>
      <c r="B695" s="146" t="s">
        <v>1681</v>
      </c>
      <c r="C695" s="146" t="s">
        <v>1999</v>
      </c>
      <c r="D695" s="145" t="s">
        <v>2000</v>
      </c>
      <c r="E695" s="146" t="s">
        <v>75</v>
      </c>
      <c r="F695" s="145" t="s">
        <v>1602</v>
      </c>
      <c r="G695" s="146" t="s">
        <v>20</v>
      </c>
      <c r="H695" s="146">
        <v>201603</v>
      </c>
      <c r="I695" s="147">
        <v>-167.35</v>
      </c>
      <c r="J695" s="144">
        <f t="shared" si="32"/>
        <v>8</v>
      </c>
      <c r="K695" s="148">
        <v>2.23333E-3</v>
      </c>
      <c r="L695" s="147">
        <f t="shared" si="30"/>
        <v>-2.99</v>
      </c>
      <c r="M695" s="147">
        <f t="shared" si="31"/>
        <v>-4.4800000000000004</v>
      </c>
      <c r="N695" s="168" t="e">
        <f>VLOOKUP(C695,#REF!,4)</f>
        <v>#REF!</v>
      </c>
    </row>
    <row r="696" spans="1:14">
      <c r="A696" s="145" t="s">
        <v>1942</v>
      </c>
      <c r="B696" s="146" t="s">
        <v>1681</v>
      </c>
      <c r="C696" s="146" t="s">
        <v>1999</v>
      </c>
      <c r="D696" s="145" t="s">
        <v>2000</v>
      </c>
      <c r="E696" s="146" t="s">
        <v>75</v>
      </c>
      <c r="F696" s="145" t="s">
        <v>1602</v>
      </c>
      <c r="G696" s="146" t="s">
        <v>20</v>
      </c>
      <c r="H696" s="146">
        <v>201603</v>
      </c>
      <c r="I696" s="147">
        <v>-5.48</v>
      </c>
      <c r="J696" s="144">
        <f t="shared" si="32"/>
        <v>8</v>
      </c>
      <c r="K696" s="148">
        <v>2.23333E-3</v>
      </c>
      <c r="L696" s="147">
        <f t="shared" si="30"/>
        <v>-0.1</v>
      </c>
      <c r="M696" s="147">
        <f t="shared" si="31"/>
        <v>-0.15</v>
      </c>
      <c r="N696" s="168" t="e">
        <f>VLOOKUP(C696,#REF!,4)</f>
        <v>#REF!</v>
      </c>
    </row>
    <row r="697" spans="1:14">
      <c r="A697" s="145" t="s">
        <v>1942</v>
      </c>
      <c r="B697" s="146" t="s">
        <v>1681</v>
      </c>
      <c r="C697" s="146" t="s">
        <v>1999</v>
      </c>
      <c r="D697" s="145" t="s">
        <v>2000</v>
      </c>
      <c r="E697" s="146" t="s">
        <v>75</v>
      </c>
      <c r="F697" s="145" t="s">
        <v>1602</v>
      </c>
      <c r="G697" s="146" t="s">
        <v>20</v>
      </c>
      <c r="H697" s="146">
        <v>201604</v>
      </c>
      <c r="I697" s="147">
        <v>64.94</v>
      </c>
      <c r="J697" s="144">
        <f t="shared" si="32"/>
        <v>7</v>
      </c>
      <c r="K697" s="148">
        <v>2.23333E-3</v>
      </c>
      <c r="L697" s="147">
        <f t="shared" si="30"/>
        <v>1.02</v>
      </c>
      <c r="M697" s="147">
        <f t="shared" si="31"/>
        <v>1.74</v>
      </c>
      <c r="N697" s="168" t="e">
        <f>VLOOKUP(C697,#REF!,4)</f>
        <v>#REF!</v>
      </c>
    </row>
    <row r="698" spans="1:14">
      <c r="A698" s="145" t="s">
        <v>14</v>
      </c>
      <c r="B698" s="146" t="s">
        <v>1681</v>
      </c>
      <c r="C698" s="146" t="s">
        <v>1999</v>
      </c>
      <c r="D698" s="145" t="s">
        <v>2000</v>
      </c>
      <c r="E698" s="146" t="s">
        <v>75</v>
      </c>
      <c r="F698" s="145" t="s">
        <v>1602</v>
      </c>
      <c r="G698" s="146" t="s">
        <v>20</v>
      </c>
      <c r="H698" s="146">
        <v>201604</v>
      </c>
      <c r="I698" s="147">
        <v>1985.41</v>
      </c>
      <c r="J698" s="144">
        <f t="shared" si="32"/>
        <v>7</v>
      </c>
      <c r="K698" s="148">
        <v>2.23333E-3</v>
      </c>
      <c r="L698" s="147">
        <f t="shared" si="30"/>
        <v>31.04</v>
      </c>
      <c r="M698" s="147">
        <f t="shared" si="31"/>
        <v>53.21</v>
      </c>
      <c r="N698" s="168" t="e">
        <f>VLOOKUP(C698,#REF!,4)</f>
        <v>#REF!</v>
      </c>
    </row>
    <row r="699" spans="1:14">
      <c r="A699" s="145" t="s">
        <v>626</v>
      </c>
      <c r="B699" s="146" t="s">
        <v>1681</v>
      </c>
      <c r="C699" s="146" t="s">
        <v>1999</v>
      </c>
      <c r="D699" s="145" t="s">
        <v>2000</v>
      </c>
      <c r="E699" s="146" t="s">
        <v>75</v>
      </c>
      <c r="F699" s="145" t="s">
        <v>1602</v>
      </c>
      <c r="G699" s="146" t="s">
        <v>20</v>
      </c>
      <c r="H699" s="146">
        <v>201604</v>
      </c>
      <c r="I699" s="147">
        <v>15523.27</v>
      </c>
      <c r="J699" s="144">
        <f t="shared" si="32"/>
        <v>7</v>
      </c>
      <c r="K699" s="148">
        <v>1.4833299999999999E-3</v>
      </c>
      <c r="L699" s="147">
        <f t="shared" si="30"/>
        <v>161.18</v>
      </c>
      <c r="M699" s="147">
        <f t="shared" si="31"/>
        <v>276.31</v>
      </c>
      <c r="N699" s="168" t="e">
        <f>VLOOKUP(C699,#REF!,4)</f>
        <v>#REF!</v>
      </c>
    </row>
    <row r="700" spans="1:14">
      <c r="A700" s="145" t="s">
        <v>1942</v>
      </c>
      <c r="B700" s="146" t="s">
        <v>1681</v>
      </c>
      <c r="C700" s="146" t="s">
        <v>1999</v>
      </c>
      <c r="D700" s="145" t="s">
        <v>2000</v>
      </c>
      <c r="E700" s="146" t="s">
        <v>75</v>
      </c>
      <c r="F700" s="145" t="s">
        <v>1602</v>
      </c>
      <c r="G700" s="146" t="s">
        <v>20</v>
      </c>
      <c r="H700" s="146">
        <v>201605</v>
      </c>
      <c r="I700" s="147">
        <v>51.06</v>
      </c>
      <c r="J700" s="144">
        <f t="shared" si="32"/>
        <v>6</v>
      </c>
      <c r="K700" s="148">
        <v>2.23333E-3</v>
      </c>
      <c r="L700" s="147">
        <f t="shared" si="30"/>
        <v>0.68</v>
      </c>
      <c r="M700" s="147">
        <f t="shared" si="31"/>
        <v>1.37</v>
      </c>
      <c r="N700" s="168" t="e">
        <f>VLOOKUP(C700,#REF!,4)</f>
        <v>#REF!</v>
      </c>
    </row>
    <row r="701" spans="1:14">
      <c r="A701" s="145" t="s">
        <v>14</v>
      </c>
      <c r="B701" s="146" t="s">
        <v>1681</v>
      </c>
      <c r="C701" s="146" t="s">
        <v>1999</v>
      </c>
      <c r="D701" s="145" t="s">
        <v>2000</v>
      </c>
      <c r="E701" s="146" t="s">
        <v>75</v>
      </c>
      <c r="F701" s="145" t="s">
        <v>1602</v>
      </c>
      <c r="G701" s="146" t="s">
        <v>20</v>
      </c>
      <c r="H701" s="146">
        <v>201605</v>
      </c>
      <c r="I701" s="147">
        <v>1560.99</v>
      </c>
      <c r="J701" s="144">
        <f t="shared" si="32"/>
        <v>6</v>
      </c>
      <c r="K701" s="148">
        <v>2.23333E-3</v>
      </c>
      <c r="L701" s="147">
        <f t="shared" si="30"/>
        <v>20.92</v>
      </c>
      <c r="M701" s="147">
        <f t="shared" si="31"/>
        <v>41.83</v>
      </c>
      <c r="N701" s="168" t="e">
        <f>VLOOKUP(C701,#REF!,4)</f>
        <v>#REF!</v>
      </c>
    </row>
    <row r="702" spans="1:14">
      <c r="A702" s="145" t="s">
        <v>626</v>
      </c>
      <c r="B702" s="146" t="s">
        <v>1681</v>
      </c>
      <c r="C702" s="146" t="s">
        <v>1999</v>
      </c>
      <c r="D702" s="145" t="s">
        <v>2000</v>
      </c>
      <c r="E702" s="146" t="s">
        <v>75</v>
      </c>
      <c r="F702" s="145" t="s">
        <v>1602</v>
      </c>
      <c r="G702" s="146" t="s">
        <v>20</v>
      </c>
      <c r="H702" s="146">
        <v>201605</v>
      </c>
      <c r="I702" s="147">
        <v>12204.92</v>
      </c>
      <c r="J702" s="144">
        <f t="shared" si="32"/>
        <v>6</v>
      </c>
      <c r="K702" s="148">
        <v>1.4833299999999999E-3</v>
      </c>
      <c r="L702" s="147">
        <f t="shared" si="30"/>
        <v>108.62</v>
      </c>
      <c r="M702" s="147">
        <f t="shared" si="31"/>
        <v>217.25</v>
      </c>
      <c r="N702" s="168" t="e">
        <f>VLOOKUP(C702,#REF!,4)</f>
        <v>#REF!</v>
      </c>
    </row>
    <row r="703" spans="1:14">
      <c r="A703" s="145" t="s">
        <v>1942</v>
      </c>
      <c r="B703" s="146" t="s">
        <v>1681</v>
      </c>
      <c r="C703" s="146" t="s">
        <v>1999</v>
      </c>
      <c r="D703" s="145" t="s">
        <v>2000</v>
      </c>
      <c r="E703" s="146" t="s">
        <v>75</v>
      </c>
      <c r="F703" s="145" t="s">
        <v>1602</v>
      </c>
      <c r="G703" s="146" t="s">
        <v>20</v>
      </c>
      <c r="H703" s="146">
        <v>201606</v>
      </c>
      <c r="I703" s="147">
        <v>41.38</v>
      </c>
      <c r="J703" s="144">
        <f t="shared" si="32"/>
        <v>5</v>
      </c>
      <c r="K703" s="148">
        <v>2.23333E-3</v>
      </c>
      <c r="L703" s="147">
        <f t="shared" si="30"/>
        <v>0.46</v>
      </c>
      <c r="M703" s="147">
        <f t="shared" si="31"/>
        <v>1.1100000000000001</v>
      </c>
      <c r="N703" s="168" t="e">
        <f>VLOOKUP(C703,#REF!,4)</f>
        <v>#REF!</v>
      </c>
    </row>
    <row r="704" spans="1:14">
      <c r="A704" s="145" t="s">
        <v>14</v>
      </c>
      <c r="B704" s="146" t="s">
        <v>1681</v>
      </c>
      <c r="C704" s="146" t="s">
        <v>1999</v>
      </c>
      <c r="D704" s="145" t="s">
        <v>2000</v>
      </c>
      <c r="E704" s="146" t="s">
        <v>75</v>
      </c>
      <c r="F704" s="145" t="s">
        <v>1602</v>
      </c>
      <c r="G704" s="146" t="s">
        <v>20</v>
      </c>
      <c r="H704" s="146">
        <v>201606</v>
      </c>
      <c r="I704" s="147">
        <v>1264.6500000000001</v>
      </c>
      <c r="J704" s="144">
        <f t="shared" si="32"/>
        <v>5</v>
      </c>
      <c r="K704" s="148">
        <v>2.23333E-3</v>
      </c>
      <c r="L704" s="147">
        <f t="shared" si="30"/>
        <v>14.12</v>
      </c>
      <c r="M704" s="147">
        <f t="shared" si="31"/>
        <v>33.89</v>
      </c>
      <c r="N704" s="168" t="e">
        <f>VLOOKUP(C704,#REF!,4)</f>
        <v>#REF!</v>
      </c>
    </row>
    <row r="705" spans="1:14">
      <c r="A705" s="145" t="s">
        <v>626</v>
      </c>
      <c r="B705" s="146" t="s">
        <v>1681</v>
      </c>
      <c r="C705" s="146" t="s">
        <v>1999</v>
      </c>
      <c r="D705" s="145" t="s">
        <v>2000</v>
      </c>
      <c r="E705" s="146" t="s">
        <v>75</v>
      </c>
      <c r="F705" s="145" t="s">
        <v>1602</v>
      </c>
      <c r="G705" s="146" t="s">
        <v>20</v>
      </c>
      <c r="H705" s="146">
        <v>201606</v>
      </c>
      <c r="I705" s="147">
        <v>9888.0300000000007</v>
      </c>
      <c r="J705" s="144">
        <f t="shared" si="32"/>
        <v>5</v>
      </c>
      <c r="K705" s="148">
        <v>1.4833299999999999E-3</v>
      </c>
      <c r="L705" s="147">
        <f t="shared" si="30"/>
        <v>73.34</v>
      </c>
      <c r="M705" s="147">
        <f t="shared" si="31"/>
        <v>176.01</v>
      </c>
      <c r="N705" s="168" t="e">
        <f>VLOOKUP(C705,#REF!,4)</f>
        <v>#REF!</v>
      </c>
    </row>
    <row r="706" spans="1:14">
      <c r="A706" s="145" t="s">
        <v>626</v>
      </c>
      <c r="B706" s="146" t="s">
        <v>1681</v>
      </c>
      <c r="C706" s="146" t="s">
        <v>2001</v>
      </c>
      <c r="D706" s="145" t="s">
        <v>2002</v>
      </c>
      <c r="E706" s="146" t="s">
        <v>164</v>
      </c>
      <c r="F706" s="145" t="s">
        <v>1600</v>
      </c>
      <c r="G706" s="146" t="s">
        <v>20</v>
      </c>
      <c r="H706" s="146">
        <v>201603</v>
      </c>
      <c r="I706" s="147">
        <v>-113.5</v>
      </c>
      <c r="J706" s="144">
        <f t="shared" si="32"/>
        <v>8</v>
      </c>
      <c r="K706" s="148">
        <v>1.4833299999999999E-3</v>
      </c>
      <c r="L706" s="147">
        <f t="shared" si="30"/>
        <v>-1.35</v>
      </c>
      <c r="M706" s="147">
        <f t="shared" si="31"/>
        <v>-2.02</v>
      </c>
      <c r="N706" s="168" t="e">
        <f>VLOOKUP(C706,#REF!,4)</f>
        <v>#REF!</v>
      </c>
    </row>
    <row r="707" spans="1:14">
      <c r="A707" s="145" t="s">
        <v>14</v>
      </c>
      <c r="B707" s="146" t="s">
        <v>1681</v>
      </c>
      <c r="C707" s="146" t="s">
        <v>2001</v>
      </c>
      <c r="D707" s="145" t="s">
        <v>2002</v>
      </c>
      <c r="E707" s="146" t="s">
        <v>164</v>
      </c>
      <c r="F707" s="145" t="s">
        <v>1600</v>
      </c>
      <c r="G707" s="146" t="s">
        <v>20</v>
      </c>
      <c r="H707" s="146">
        <v>201603</v>
      </c>
      <c r="I707" s="147">
        <v>-0.16</v>
      </c>
      <c r="J707" s="144">
        <f t="shared" si="32"/>
        <v>8</v>
      </c>
      <c r="K707" s="148">
        <v>2.23333E-3</v>
      </c>
      <c r="L707" s="147">
        <f t="shared" si="30"/>
        <v>0</v>
      </c>
      <c r="M707" s="147">
        <f t="shared" si="31"/>
        <v>0</v>
      </c>
      <c r="N707" s="168" t="e">
        <f>VLOOKUP(C707,#REF!,4)</f>
        <v>#REF!</v>
      </c>
    </row>
    <row r="708" spans="1:14">
      <c r="A708" s="145" t="s">
        <v>14</v>
      </c>
      <c r="B708" s="146" t="s">
        <v>1681</v>
      </c>
      <c r="C708" s="146" t="s">
        <v>2001</v>
      </c>
      <c r="D708" s="145" t="s">
        <v>2002</v>
      </c>
      <c r="E708" s="146" t="s">
        <v>164</v>
      </c>
      <c r="F708" s="145" t="s">
        <v>1600</v>
      </c>
      <c r="G708" s="146" t="s">
        <v>20</v>
      </c>
      <c r="H708" s="146">
        <v>201604</v>
      </c>
      <c r="I708" s="147">
        <v>0.91</v>
      </c>
      <c r="J708" s="144">
        <f t="shared" si="32"/>
        <v>7</v>
      </c>
      <c r="K708" s="148">
        <v>2.23333E-3</v>
      </c>
      <c r="L708" s="147">
        <f t="shared" si="30"/>
        <v>0.01</v>
      </c>
      <c r="M708" s="147">
        <f t="shared" si="31"/>
        <v>0.02</v>
      </c>
      <c r="N708" s="168" t="e">
        <f>VLOOKUP(C708,#REF!,4)</f>
        <v>#REF!</v>
      </c>
    </row>
    <row r="709" spans="1:14">
      <c r="A709" s="145" t="s">
        <v>626</v>
      </c>
      <c r="B709" s="146" t="s">
        <v>1681</v>
      </c>
      <c r="C709" s="146" t="s">
        <v>2001</v>
      </c>
      <c r="D709" s="145" t="s">
        <v>2002</v>
      </c>
      <c r="E709" s="146" t="s">
        <v>164</v>
      </c>
      <c r="F709" s="145" t="s">
        <v>1600</v>
      </c>
      <c r="G709" s="146" t="s">
        <v>20</v>
      </c>
      <c r="H709" s="146">
        <v>201604</v>
      </c>
      <c r="I709" s="147">
        <v>661.94</v>
      </c>
      <c r="J709" s="144">
        <f t="shared" si="32"/>
        <v>7</v>
      </c>
      <c r="K709" s="148">
        <v>1.4833299999999999E-3</v>
      </c>
      <c r="L709" s="147">
        <f t="shared" ref="L709:L772" si="33">ROUND(I709*J709*K709,2)</f>
        <v>6.87</v>
      </c>
      <c r="M709" s="147">
        <f t="shared" ref="M709:M772" si="34">ROUND(I709*K709*12,2)</f>
        <v>11.78</v>
      </c>
      <c r="N709" s="168" t="e">
        <f>VLOOKUP(C709,#REF!,4)</f>
        <v>#REF!</v>
      </c>
    </row>
    <row r="710" spans="1:14">
      <c r="A710" s="145" t="s">
        <v>14</v>
      </c>
      <c r="B710" s="146" t="s">
        <v>1681</v>
      </c>
      <c r="C710" s="146" t="s">
        <v>2001</v>
      </c>
      <c r="D710" s="145" t="s">
        <v>2002</v>
      </c>
      <c r="E710" s="146" t="s">
        <v>164</v>
      </c>
      <c r="F710" s="145" t="s">
        <v>1600</v>
      </c>
      <c r="G710" s="146" t="s">
        <v>20</v>
      </c>
      <c r="H710" s="146">
        <v>201605</v>
      </c>
      <c r="I710" s="147">
        <v>21.13</v>
      </c>
      <c r="J710" s="144">
        <f t="shared" ref="J710:J773" si="35">VLOOKUP(H710,$P$5:$Q$14,2)</f>
        <v>6</v>
      </c>
      <c r="K710" s="148">
        <v>2.23333E-3</v>
      </c>
      <c r="L710" s="147">
        <f t="shared" si="33"/>
        <v>0.28000000000000003</v>
      </c>
      <c r="M710" s="147">
        <f t="shared" si="34"/>
        <v>0.56999999999999995</v>
      </c>
      <c r="N710" s="168" t="e">
        <f>VLOOKUP(C710,#REF!,4)</f>
        <v>#REF!</v>
      </c>
    </row>
    <row r="711" spans="1:14">
      <c r="A711" s="145" t="s">
        <v>626</v>
      </c>
      <c r="B711" s="146" t="s">
        <v>1681</v>
      </c>
      <c r="C711" s="146" t="s">
        <v>2001</v>
      </c>
      <c r="D711" s="145" t="s">
        <v>2002</v>
      </c>
      <c r="E711" s="146" t="s">
        <v>164</v>
      </c>
      <c r="F711" s="145" t="s">
        <v>1600</v>
      </c>
      <c r="G711" s="146" t="s">
        <v>20</v>
      </c>
      <c r="H711" s="146">
        <v>201605</v>
      </c>
      <c r="I711" s="147">
        <v>15465.93</v>
      </c>
      <c r="J711" s="144">
        <f t="shared" si="35"/>
        <v>6</v>
      </c>
      <c r="K711" s="148">
        <v>1.4833299999999999E-3</v>
      </c>
      <c r="L711" s="147">
        <f t="shared" si="33"/>
        <v>137.65</v>
      </c>
      <c r="M711" s="147">
        <f t="shared" si="34"/>
        <v>275.29000000000002</v>
      </c>
      <c r="N711" s="168" t="e">
        <f>VLOOKUP(C711,#REF!,4)</f>
        <v>#REF!</v>
      </c>
    </row>
    <row r="712" spans="1:14">
      <c r="A712" s="145" t="s">
        <v>14</v>
      </c>
      <c r="B712" s="146" t="s">
        <v>1681</v>
      </c>
      <c r="C712" s="146" t="s">
        <v>2001</v>
      </c>
      <c r="D712" s="145" t="s">
        <v>2002</v>
      </c>
      <c r="E712" s="146" t="s">
        <v>164</v>
      </c>
      <c r="F712" s="145" t="s">
        <v>1600</v>
      </c>
      <c r="G712" s="146" t="s">
        <v>20</v>
      </c>
      <c r="H712" s="146">
        <v>201606</v>
      </c>
      <c r="I712" s="147">
        <v>0.46</v>
      </c>
      <c r="J712" s="144">
        <f t="shared" si="35"/>
        <v>5</v>
      </c>
      <c r="K712" s="148">
        <v>2.23333E-3</v>
      </c>
      <c r="L712" s="147">
        <f t="shared" si="33"/>
        <v>0.01</v>
      </c>
      <c r="M712" s="147">
        <f t="shared" si="34"/>
        <v>0.01</v>
      </c>
      <c r="N712" s="168" t="e">
        <f>VLOOKUP(C712,#REF!,4)</f>
        <v>#REF!</v>
      </c>
    </row>
    <row r="713" spans="1:14">
      <c r="A713" s="145" t="s">
        <v>626</v>
      </c>
      <c r="B713" s="146" t="s">
        <v>1681</v>
      </c>
      <c r="C713" s="146" t="s">
        <v>2001</v>
      </c>
      <c r="D713" s="145" t="s">
        <v>2002</v>
      </c>
      <c r="E713" s="146" t="s">
        <v>164</v>
      </c>
      <c r="F713" s="145" t="s">
        <v>1600</v>
      </c>
      <c r="G713" s="146" t="s">
        <v>20</v>
      </c>
      <c r="H713" s="146">
        <v>201606</v>
      </c>
      <c r="I713" s="147">
        <v>342.5</v>
      </c>
      <c r="J713" s="144">
        <f t="shared" si="35"/>
        <v>5</v>
      </c>
      <c r="K713" s="148">
        <v>1.4833299999999999E-3</v>
      </c>
      <c r="L713" s="147">
        <f t="shared" si="33"/>
        <v>2.54</v>
      </c>
      <c r="M713" s="147">
        <f t="shared" si="34"/>
        <v>6.1</v>
      </c>
      <c r="N713" s="168" t="e">
        <f>VLOOKUP(C713,#REF!,4)</f>
        <v>#REF!</v>
      </c>
    </row>
    <row r="714" spans="1:14">
      <c r="A714" s="145" t="s">
        <v>14</v>
      </c>
      <c r="B714" s="146" t="s">
        <v>1681</v>
      </c>
      <c r="C714" s="146" t="s">
        <v>2003</v>
      </c>
      <c r="D714" s="145" t="s">
        <v>2004</v>
      </c>
      <c r="E714" s="146" t="s">
        <v>164</v>
      </c>
      <c r="F714" s="145" t="s">
        <v>1600</v>
      </c>
      <c r="G714" s="146" t="s">
        <v>20</v>
      </c>
      <c r="H714" s="146">
        <v>201603</v>
      </c>
      <c r="I714" s="147">
        <v>117.54</v>
      </c>
      <c r="J714" s="144">
        <f t="shared" si="35"/>
        <v>8</v>
      </c>
      <c r="K714" s="148">
        <v>2.23333E-3</v>
      </c>
      <c r="L714" s="147">
        <f t="shared" si="33"/>
        <v>2.1</v>
      </c>
      <c r="M714" s="147">
        <f t="shared" si="34"/>
        <v>3.15</v>
      </c>
      <c r="N714" s="168" t="e">
        <f>VLOOKUP(C714,#REF!,4)</f>
        <v>#REF!</v>
      </c>
    </row>
    <row r="715" spans="1:14">
      <c r="A715" s="145" t="s">
        <v>21</v>
      </c>
      <c r="B715" s="146" t="s">
        <v>1681</v>
      </c>
      <c r="C715" s="146" t="s">
        <v>2003</v>
      </c>
      <c r="D715" s="145" t="s">
        <v>2004</v>
      </c>
      <c r="E715" s="146" t="s">
        <v>164</v>
      </c>
      <c r="F715" s="145" t="s">
        <v>1600</v>
      </c>
      <c r="G715" s="146" t="s">
        <v>20</v>
      </c>
      <c r="H715" s="146">
        <v>201603</v>
      </c>
      <c r="I715" s="147">
        <v>118.57</v>
      </c>
      <c r="J715" s="144">
        <f t="shared" si="35"/>
        <v>8</v>
      </c>
      <c r="K715" s="148">
        <v>1.4833299999999999E-3</v>
      </c>
      <c r="L715" s="147">
        <f t="shared" si="33"/>
        <v>1.41</v>
      </c>
      <c r="M715" s="147">
        <f t="shared" si="34"/>
        <v>2.11</v>
      </c>
      <c r="N715" s="168" t="e">
        <f>VLOOKUP(C715,#REF!,4)</f>
        <v>#REF!</v>
      </c>
    </row>
    <row r="716" spans="1:14">
      <c r="A716" s="145" t="s">
        <v>626</v>
      </c>
      <c r="B716" s="146" t="s">
        <v>1681</v>
      </c>
      <c r="C716" s="146" t="s">
        <v>2003</v>
      </c>
      <c r="D716" s="145" t="s">
        <v>2004</v>
      </c>
      <c r="E716" s="146" t="s">
        <v>164</v>
      </c>
      <c r="F716" s="145" t="s">
        <v>1600</v>
      </c>
      <c r="G716" s="146" t="s">
        <v>20</v>
      </c>
      <c r="H716" s="146">
        <v>201603</v>
      </c>
      <c r="I716" s="147">
        <v>2441.14</v>
      </c>
      <c r="J716" s="144">
        <f t="shared" si="35"/>
        <v>8</v>
      </c>
      <c r="K716" s="148">
        <v>1.4833299999999999E-3</v>
      </c>
      <c r="L716" s="147">
        <f t="shared" si="33"/>
        <v>28.97</v>
      </c>
      <c r="M716" s="147">
        <f t="shared" si="34"/>
        <v>43.45</v>
      </c>
      <c r="N716" s="168" t="e">
        <f>VLOOKUP(C716,#REF!,4)</f>
        <v>#REF!</v>
      </c>
    </row>
    <row r="717" spans="1:14">
      <c r="A717" s="145" t="s">
        <v>626</v>
      </c>
      <c r="B717" s="146" t="s">
        <v>1681</v>
      </c>
      <c r="C717" s="146" t="s">
        <v>2003</v>
      </c>
      <c r="D717" s="145" t="s">
        <v>2004</v>
      </c>
      <c r="E717" s="146" t="s">
        <v>164</v>
      </c>
      <c r="F717" s="145" t="s">
        <v>1600</v>
      </c>
      <c r="G717" s="146" t="s">
        <v>20</v>
      </c>
      <c r="H717" s="146">
        <v>201604</v>
      </c>
      <c r="I717" s="147">
        <v>-65.8</v>
      </c>
      <c r="J717" s="144">
        <f t="shared" si="35"/>
        <v>7</v>
      </c>
      <c r="K717" s="148">
        <v>1.4833299999999999E-3</v>
      </c>
      <c r="L717" s="147">
        <f t="shared" si="33"/>
        <v>-0.68</v>
      </c>
      <c r="M717" s="147">
        <f t="shared" si="34"/>
        <v>-1.17</v>
      </c>
      <c r="N717" s="168" t="e">
        <f>VLOOKUP(C717,#REF!,4)</f>
        <v>#REF!</v>
      </c>
    </row>
    <row r="718" spans="1:14">
      <c r="A718" s="145" t="s">
        <v>21</v>
      </c>
      <c r="B718" s="146" t="s">
        <v>1681</v>
      </c>
      <c r="C718" s="146" t="s">
        <v>2003</v>
      </c>
      <c r="D718" s="145" t="s">
        <v>2004</v>
      </c>
      <c r="E718" s="146" t="s">
        <v>164</v>
      </c>
      <c r="F718" s="145" t="s">
        <v>1600</v>
      </c>
      <c r="G718" s="146" t="s">
        <v>20</v>
      </c>
      <c r="H718" s="146">
        <v>201604</v>
      </c>
      <c r="I718" s="147">
        <v>-3.2</v>
      </c>
      <c r="J718" s="144">
        <f t="shared" si="35"/>
        <v>7</v>
      </c>
      <c r="K718" s="148">
        <v>1.4833299999999999E-3</v>
      </c>
      <c r="L718" s="147">
        <f t="shared" si="33"/>
        <v>-0.03</v>
      </c>
      <c r="M718" s="147">
        <f t="shared" si="34"/>
        <v>-0.06</v>
      </c>
      <c r="N718" s="168" t="e">
        <f>VLOOKUP(C718,#REF!,4)</f>
        <v>#REF!</v>
      </c>
    </row>
    <row r="719" spans="1:14">
      <c r="A719" s="145" t="s">
        <v>14</v>
      </c>
      <c r="B719" s="146" t="s">
        <v>1681</v>
      </c>
      <c r="C719" s="146" t="s">
        <v>2003</v>
      </c>
      <c r="D719" s="145" t="s">
        <v>2004</v>
      </c>
      <c r="E719" s="146" t="s">
        <v>164</v>
      </c>
      <c r="F719" s="145" t="s">
        <v>1600</v>
      </c>
      <c r="G719" s="146" t="s">
        <v>20</v>
      </c>
      <c r="H719" s="146">
        <v>201604</v>
      </c>
      <c r="I719" s="147">
        <v>-3.16</v>
      </c>
      <c r="J719" s="144">
        <f t="shared" si="35"/>
        <v>7</v>
      </c>
      <c r="K719" s="148">
        <v>2.23333E-3</v>
      </c>
      <c r="L719" s="147">
        <f t="shared" si="33"/>
        <v>-0.05</v>
      </c>
      <c r="M719" s="147">
        <f t="shared" si="34"/>
        <v>-0.08</v>
      </c>
      <c r="N719" s="168" t="e">
        <f>VLOOKUP(C719,#REF!,4)</f>
        <v>#REF!</v>
      </c>
    </row>
    <row r="720" spans="1:14">
      <c r="A720" s="145" t="s">
        <v>14</v>
      </c>
      <c r="B720" s="146" t="s">
        <v>1681</v>
      </c>
      <c r="C720" s="146" t="s">
        <v>2003</v>
      </c>
      <c r="D720" s="145" t="s">
        <v>2004</v>
      </c>
      <c r="E720" s="146" t="s">
        <v>164</v>
      </c>
      <c r="F720" s="145" t="s">
        <v>1600</v>
      </c>
      <c r="G720" s="146" t="s">
        <v>20</v>
      </c>
      <c r="H720" s="146">
        <v>201605</v>
      </c>
      <c r="I720" s="147">
        <v>311.77999999999997</v>
      </c>
      <c r="J720" s="144">
        <f t="shared" si="35"/>
        <v>6</v>
      </c>
      <c r="K720" s="148">
        <v>2.23333E-3</v>
      </c>
      <c r="L720" s="147">
        <f t="shared" si="33"/>
        <v>4.18</v>
      </c>
      <c r="M720" s="147">
        <f t="shared" si="34"/>
        <v>8.36</v>
      </c>
      <c r="N720" s="168" t="e">
        <f>VLOOKUP(C720,#REF!,4)</f>
        <v>#REF!</v>
      </c>
    </row>
    <row r="721" spans="1:14">
      <c r="A721" s="145" t="s">
        <v>21</v>
      </c>
      <c r="B721" s="146" t="s">
        <v>1681</v>
      </c>
      <c r="C721" s="146" t="s">
        <v>2003</v>
      </c>
      <c r="D721" s="145" t="s">
        <v>2004</v>
      </c>
      <c r="E721" s="146" t="s">
        <v>164</v>
      </c>
      <c r="F721" s="145" t="s">
        <v>1600</v>
      </c>
      <c r="G721" s="146" t="s">
        <v>20</v>
      </c>
      <c r="H721" s="146">
        <v>201605</v>
      </c>
      <c r="I721" s="147">
        <v>314.57</v>
      </c>
      <c r="J721" s="144">
        <f t="shared" si="35"/>
        <v>6</v>
      </c>
      <c r="K721" s="148">
        <v>1.4833299999999999E-3</v>
      </c>
      <c r="L721" s="147">
        <f t="shared" si="33"/>
        <v>2.8</v>
      </c>
      <c r="M721" s="147">
        <f t="shared" si="34"/>
        <v>5.6</v>
      </c>
      <c r="N721" s="168" t="e">
        <f>VLOOKUP(C721,#REF!,4)</f>
        <v>#REF!</v>
      </c>
    </row>
    <row r="722" spans="1:14">
      <c r="A722" s="145" t="s">
        <v>626</v>
      </c>
      <c r="B722" s="146" t="s">
        <v>1681</v>
      </c>
      <c r="C722" s="146" t="s">
        <v>2003</v>
      </c>
      <c r="D722" s="145" t="s">
        <v>2004</v>
      </c>
      <c r="E722" s="146" t="s">
        <v>164</v>
      </c>
      <c r="F722" s="145" t="s">
        <v>1600</v>
      </c>
      <c r="G722" s="146" t="s">
        <v>20</v>
      </c>
      <c r="H722" s="146">
        <v>201605</v>
      </c>
      <c r="I722" s="147">
        <v>6476.27</v>
      </c>
      <c r="J722" s="144">
        <f t="shared" si="35"/>
        <v>6</v>
      </c>
      <c r="K722" s="148">
        <v>1.4833299999999999E-3</v>
      </c>
      <c r="L722" s="147">
        <f t="shared" si="33"/>
        <v>57.64</v>
      </c>
      <c r="M722" s="147">
        <f t="shared" si="34"/>
        <v>115.28</v>
      </c>
      <c r="N722" s="168" t="e">
        <f>VLOOKUP(C722,#REF!,4)</f>
        <v>#REF!</v>
      </c>
    </row>
    <row r="723" spans="1:14">
      <c r="A723" s="145" t="s">
        <v>14</v>
      </c>
      <c r="B723" s="146" t="s">
        <v>1681</v>
      </c>
      <c r="C723" s="146" t="s">
        <v>2003</v>
      </c>
      <c r="D723" s="145" t="s">
        <v>2004</v>
      </c>
      <c r="E723" s="146" t="s">
        <v>164</v>
      </c>
      <c r="F723" s="145" t="s">
        <v>1600</v>
      </c>
      <c r="G723" s="146" t="s">
        <v>20</v>
      </c>
      <c r="H723" s="146">
        <v>201606</v>
      </c>
      <c r="I723" s="147">
        <v>10.3</v>
      </c>
      <c r="J723" s="144">
        <f t="shared" si="35"/>
        <v>5</v>
      </c>
      <c r="K723" s="148">
        <v>2.23333E-3</v>
      </c>
      <c r="L723" s="147">
        <f t="shared" si="33"/>
        <v>0.12</v>
      </c>
      <c r="M723" s="147">
        <f t="shared" si="34"/>
        <v>0.28000000000000003</v>
      </c>
      <c r="N723" s="168" t="e">
        <f>VLOOKUP(C723,#REF!,4)</f>
        <v>#REF!</v>
      </c>
    </row>
    <row r="724" spans="1:14">
      <c r="A724" s="145" t="s">
        <v>21</v>
      </c>
      <c r="B724" s="146" t="s">
        <v>1681</v>
      </c>
      <c r="C724" s="146" t="s">
        <v>2003</v>
      </c>
      <c r="D724" s="145" t="s">
        <v>2004</v>
      </c>
      <c r="E724" s="146" t="s">
        <v>164</v>
      </c>
      <c r="F724" s="145" t="s">
        <v>1600</v>
      </c>
      <c r="G724" s="146" t="s">
        <v>20</v>
      </c>
      <c r="H724" s="146">
        <v>201606</v>
      </c>
      <c r="I724" s="147">
        <v>10.41</v>
      </c>
      <c r="J724" s="144">
        <f t="shared" si="35"/>
        <v>5</v>
      </c>
      <c r="K724" s="148">
        <v>1.4833299999999999E-3</v>
      </c>
      <c r="L724" s="147">
        <f t="shared" si="33"/>
        <v>0.08</v>
      </c>
      <c r="M724" s="147">
        <f t="shared" si="34"/>
        <v>0.19</v>
      </c>
      <c r="N724" s="168" t="e">
        <f>VLOOKUP(C724,#REF!,4)</f>
        <v>#REF!</v>
      </c>
    </row>
    <row r="725" spans="1:14">
      <c r="A725" s="145" t="s">
        <v>626</v>
      </c>
      <c r="B725" s="146" t="s">
        <v>1681</v>
      </c>
      <c r="C725" s="146" t="s">
        <v>2003</v>
      </c>
      <c r="D725" s="145" t="s">
        <v>2004</v>
      </c>
      <c r="E725" s="146" t="s">
        <v>164</v>
      </c>
      <c r="F725" s="145" t="s">
        <v>1600</v>
      </c>
      <c r="G725" s="146" t="s">
        <v>20</v>
      </c>
      <c r="H725" s="146">
        <v>201606</v>
      </c>
      <c r="I725" s="147">
        <v>214.19</v>
      </c>
      <c r="J725" s="144">
        <f t="shared" si="35"/>
        <v>5</v>
      </c>
      <c r="K725" s="148">
        <v>1.4833299999999999E-3</v>
      </c>
      <c r="L725" s="147">
        <f t="shared" si="33"/>
        <v>1.59</v>
      </c>
      <c r="M725" s="147">
        <f t="shared" si="34"/>
        <v>3.81</v>
      </c>
      <c r="N725" s="168" t="e">
        <f>VLOOKUP(C725,#REF!,4)</f>
        <v>#REF!</v>
      </c>
    </row>
    <row r="726" spans="1:14">
      <c r="A726" s="145" t="s">
        <v>626</v>
      </c>
      <c r="B726" s="146" t="s">
        <v>1681</v>
      </c>
      <c r="C726" s="146" t="s">
        <v>2005</v>
      </c>
      <c r="D726" s="145" t="s">
        <v>2006</v>
      </c>
      <c r="E726" s="146" t="s">
        <v>87</v>
      </c>
      <c r="F726" s="145" t="s">
        <v>1603</v>
      </c>
      <c r="G726" s="146" t="s">
        <v>20</v>
      </c>
      <c r="H726" s="146">
        <v>201603</v>
      </c>
      <c r="I726" s="147">
        <v>-199.96</v>
      </c>
      <c r="J726" s="144">
        <f t="shared" si="35"/>
        <v>8</v>
      </c>
      <c r="K726" s="148">
        <v>1.4833299999999999E-3</v>
      </c>
      <c r="L726" s="147">
        <f t="shared" si="33"/>
        <v>-2.37</v>
      </c>
      <c r="M726" s="147">
        <f t="shared" si="34"/>
        <v>-3.56</v>
      </c>
      <c r="N726" s="168" t="e">
        <f>VLOOKUP(C726,#REF!,4)</f>
        <v>#REF!</v>
      </c>
    </row>
    <row r="727" spans="1:14">
      <c r="A727" s="145" t="s">
        <v>14</v>
      </c>
      <c r="B727" s="146" t="s">
        <v>1681</v>
      </c>
      <c r="C727" s="146" t="s">
        <v>2005</v>
      </c>
      <c r="D727" s="145" t="s">
        <v>2006</v>
      </c>
      <c r="E727" s="146" t="s">
        <v>87</v>
      </c>
      <c r="F727" s="145" t="s">
        <v>1603</v>
      </c>
      <c r="G727" s="146" t="s">
        <v>20</v>
      </c>
      <c r="H727" s="146">
        <v>201603</v>
      </c>
      <c r="I727" s="147">
        <v>-0.66</v>
      </c>
      <c r="J727" s="144">
        <f t="shared" si="35"/>
        <v>8</v>
      </c>
      <c r="K727" s="148">
        <v>2.23333E-3</v>
      </c>
      <c r="L727" s="147">
        <f t="shared" si="33"/>
        <v>-0.01</v>
      </c>
      <c r="M727" s="147">
        <f t="shared" si="34"/>
        <v>-0.02</v>
      </c>
      <c r="N727" s="168" t="e">
        <f>VLOOKUP(C727,#REF!,4)</f>
        <v>#REF!</v>
      </c>
    </row>
    <row r="728" spans="1:14">
      <c r="A728" s="145" t="s">
        <v>14</v>
      </c>
      <c r="B728" s="146" t="s">
        <v>1681</v>
      </c>
      <c r="C728" s="146" t="s">
        <v>2005</v>
      </c>
      <c r="D728" s="145" t="s">
        <v>2006</v>
      </c>
      <c r="E728" s="146" t="s">
        <v>87</v>
      </c>
      <c r="F728" s="145" t="s">
        <v>1603</v>
      </c>
      <c r="G728" s="146" t="s">
        <v>20</v>
      </c>
      <c r="H728" s="146">
        <v>201604</v>
      </c>
      <c r="I728" s="147">
        <v>4.99</v>
      </c>
      <c r="J728" s="144">
        <f t="shared" si="35"/>
        <v>7</v>
      </c>
      <c r="K728" s="148">
        <v>2.23333E-3</v>
      </c>
      <c r="L728" s="147">
        <f t="shared" si="33"/>
        <v>0.08</v>
      </c>
      <c r="M728" s="147">
        <f t="shared" si="34"/>
        <v>0.13</v>
      </c>
      <c r="N728" s="168" t="e">
        <f>VLOOKUP(C728,#REF!,4)</f>
        <v>#REF!</v>
      </c>
    </row>
    <row r="729" spans="1:14">
      <c r="A729" s="145" t="s">
        <v>626</v>
      </c>
      <c r="B729" s="146" t="s">
        <v>1681</v>
      </c>
      <c r="C729" s="146" t="s">
        <v>2005</v>
      </c>
      <c r="D729" s="145" t="s">
        <v>2006</v>
      </c>
      <c r="E729" s="146" t="s">
        <v>87</v>
      </c>
      <c r="F729" s="145" t="s">
        <v>1603</v>
      </c>
      <c r="G729" s="146" t="s">
        <v>20</v>
      </c>
      <c r="H729" s="146">
        <v>201604</v>
      </c>
      <c r="I729" s="147">
        <v>1540.36</v>
      </c>
      <c r="J729" s="144">
        <f t="shared" si="35"/>
        <v>7</v>
      </c>
      <c r="K729" s="148">
        <v>1.4833299999999999E-3</v>
      </c>
      <c r="L729" s="147">
        <f t="shared" si="33"/>
        <v>15.99</v>
      </c>
      <c r="M729" s="147">
        <f t="shared" si="34"/>
        <v>27.42</v>
      </c>
      <c r="N729" s="168" t="e">
        <f>VLOOKUP(C729,#REF!,4)</f>
        <v>#REF!</v>
      </c>
    </row>
    <row r="730" spans="1:14">
      <c r="A730" s="145" t="s">
        <v>14</v>
      </c>
      <c r="B730" s="146" t="s">
        <v>1681</v>
      </c>
      <c r="C730" s="146" t="s">
        <v>2005</v>
      </c>
      <c r="D730" s="145" t="s">
        <v>2006</v>
      </c>
      <c r="E730" s="146" t="s">
        <v>87</v>
      </c>
      <c r="F730" s="145" t="s">
        <v>1603</v>
      </c>
      <c r="G730" s="146" t="s">
        <v>20</v>
      </c>
      <c r="H730" s="146">
        <v>201605</v>
      </c>
      <c r="I730" s="147">
        <v>3.81</v>
      </c>
      <c r="J730" s="144">
        <f t="shared" si="35"/>
        <v>6</v>
      </c>
      <c r="K730" s="148">
        <v>2.23333E-3</v>
      </c>
      <c r="L730" s="147">
        <f t="shared" si="33"/>
        <v>0.05</v>
      </c>
      <c r="M730" s="147">
        <f t="shared" si="34"/>
        <v>0.1</v>
      </c>
      <c r="N730" s="168" t="e">
        <f>VLOOKUP(C730,#REF!,4)</f>
        <v>#REF!</v>
      </c>
    </row>
    <row r="731" spans="1:14">
      <c r="A731" s="145" t="s">
        <v>626</v>
      </c>
      <c r="B731" s="146" t="s">
        <v>1681</v>
      </c>
      <c r="C731" s="146" t="s">
        <v>2005</v>
      </c>
      <c r="D731" s="145" t="s">
        <v>2006</v>
      </c>
      <c r="E731" s="146" t="s">
        <v>87</v>
      </c>
      <c r="F731" s="145" t="s">
        <v>1603</v>
      </c>
      <c r="G731" s="146" t="s">
        <v>20</v>
      </c>
      <c r="H731" s="146">
        <v>201605</v>
      </c>
      <c r="I731" s="147">
        <v>1174.97</v>
      </c>
      <c r="J731" s="144">
        <f t="shared" si="35"/>
        <v>6</v>
      </c>
      <c r="K731" s="148">
        <v>1.4833299999999999E-3</v>
      </c>
      <c r="L731" s="147">
        <f t="shared" si="33"/>
        <v>10.46</v>
      </c>
      <c r="M731" s="147">
        <f t="shared" si="34"/>
        <v>20.91</v>
      </c>
      <c r="N731" s="168" t="e">
        <f>VLOOKUP(C731,#REF!,4)</f>
        <v>#REF!</v>
      </c>
    </row>
    <row r="732" spans="1:14">
      <c r="A732" s="145" t="s">
        <v>14</v>
      </c>
      <c r="B732" s="146" t="s">
        <v>1681</v>
      </c>
      <c r="C732" s="146" t="s">
        <v>2005</v>
      </c>
      <c r="D732" s="145" t="s">
        <v>2006</v>
      </c>
      <c r="E732" s="146" t="s">
        <v>87</v>
      </c>
      <c r="F732" s="145" t="s">
        <v>1603</v>
      </c>
      <c r="G732" s="146" t="s">
        <v>20</v>
      </c>
      <c r="H732" s="146">
        <v>201606</v>
      </c>
      <c r="I732" s="147">
        <v>2.46</v>
      </c>
      <c r="J732" s="144">
        <f t="shared" si="35"/>
        <v>5</v>
      </c>
      <c r="K732" s="148">
        <v>2.23333E-3</v>
      </c>
      <c r="L732" s="147">
        <f t="shared" si="33"/>
        <v>0.03</v>
      </c>
      <c r="M732" s="147">
        <f t="shared" si="34"/>
        <v>7.0000000000000007E-2</v>
      </c>
      <c r="N732" s="168" t="e">
        <f>VLOOKUP(C732,#REF!,4)</f>
        <v>#REF!</v>
      </c>
    </row>
    <row r="733" spans="1:14">
      <c r="A733" s="145" t="s">
        <v>626</v>
      </c>
      <c r="B733" s="146" t="s">
        <v>1681</v>
      </c>
      <c r="C733" s="146" t="s">
        <v>2005</v>
      </c>
      <c r="D733" s="145" t="s">
        <v>2006</v>
      </c>
      <c r="E733" s="146" t="s">
        <v>87</v>
      </c>
      <c r="F733" s="145" t="s">
        <v>1603</v>
      </c>
      <c r="G733" s="146" t="s">
        <v>20</v>
      </c>
      <c r="H733" s="146">
        <v>201606</v>
      </c>
      <c r="I733" s="147">
        <v>761.88</v>
      </c>
      <c r="J733" s="144">
        <f t="shared" si="35"/>
        <v>5</v>
      </c>
      <c r="K733" s="148">
        <v>1.4833299999999999E-3</v>
      </c>
      <c r="L733" s="147">
        <f t="shared" si="33"/>
        <v>5.65</v>
      </c>
      <c r="M733" s="147">
        <f t="shared" si="34"/>
        <v>13.56</v>
      </c>
      <c r="N733" s="168" t="e">
        <f>VLOOKUP(C733,#REF!,4)</f>
        <v>#REF!</v>
      </c>
    </row>
    <row r="734" spans="1:14">
      <c r="A734" s="145" t="s">
        <v>626</v>
      </c>
      <c r="B734" s="146" t="s">
        <v>1681</v>
      </c>
      <c r="C734" s="146" t="s">
        <v>1853</v>
      </c>
      <c r="D734" s="145" t="s">
        <v>1854</v>
      </c>
      <c r="E734" s="146" t="s">
        <v>260</v>
      </c>
      <c r="F734" s="145" t="s">
        <v>1608</v>
      </c>
      <c r="G734" s="146" t="s">
        <v>20</v>
      </c>
      <c r="H734" s="146">
        <v>201603</v>
      </c>
      <c r="I734" s="147">
        <v>-506.32</v>
      </c>
      <c r="J734" s="144">
        <f t="shared" si="35"/>
        <v>8</v>
      </c>
      <c r="K734" s="148">
        <v>1.4833299999999999E-3</v>
      </c>
      <c r="L734" s="147">
        <f t="shared" si="33"/>
        <v>-6.01</v>
      </c>
      <c r="M734" s="147">
        <f t="shared" si="34"/>
        <v>-9.01</v>
      </c>
      <c r="N734" s="168" t="e">
        <f>VLOOKUP(C734,#REF!,4)</f>
        <v>#REF!</v>
      </c>
    </row>
    <row r="735" spans="1:14">
      <c r="A735" s="145" t="s">
        <v>626</v>
      </c>
      <c r="B735" s="146" t="s">
        <v>1681</v>
      </c>
      <c r="C735" s="146" t="s">
        <v>1853</v>
      </c>
      <c r="D735" s="145" t="s">
        <v>1854</v>
      </c>
      <c r="E735" s="146" t="s">
        <v>260</v>
      </c>
      <c r="F735" s="145" t="s">
        <v>1608</v>
      </c>
      <c r="G735" s="146" t="s">
        <v>20</v>
      </c>
      <c r="H735" s="146">
        <v>201604</v>
      </c>
      <c r="I735" s="147">
        <v>491.39</v>
      </c>
      <c r="J735" s="144">
        <f t="shared" si="35"/>
        <v>7</v>
      </c>
      <c r="K735" s="148">
        <v>1.4833299999999999E-3</v>
      </c>
      <c r="L735" s="147">
        <f t="shared" si="33"/>
        <v>5.0999999999999996</v>
      </c>
      <c r="M735" s="147">
        <f t="shared" si="34"/>
        <v>8.75</v>
      </c>
      <c r="N735" s="168" t="e">
        <f>VLOOKUP(C735,#REF!,4)</f>
        <v>#REF!</v>
      </c>
    </row>
    <row r="736" spans="1:14">
      <c r="A736" s="145" t="s">
        <v>626</v>
      </c>
      <c r="B736" s="146" t="s">
        <v>1681</v>
      </c>
      <c r="C736" s="146" t="s">
        <v>1853</v>
      </c>
      <c r="D736" s="145" t="s">
        <v>1854</v>
      </c>
      <c r="E736" s="146" t="s">
        <v>260</v>
      </c>
      <c r="F736" s="145" t="s">
        <v>1608</v>
      </c>
      <c r="G736" s="146" t="s">
        <v>20</v>
      </c>
      <c r="H736" s="146">
        <v>201605</v>
      </c>
      <c r="I736" s="147">
        <v>401.85</v>
      </c>
      <c r="J736" s="144">
        <f t="shared" si="35"/>
        <v>6</v>
      </c>
      <c r="K736" s="148">
        <v>1.4833299999999999E-3</v>
      </c>
      <c r="L736" s="147">
        <f t="shared" si="33"/>
        <v>3.58</v>
      </c>
      <c r="M736" s="147">
        <f t="shared" si="34"/>
        <v>7.15</v>
      </c>
      <c r="N736" s="168" t="e">
        <f>VLOOKUP(C736,#REF!,4)</f>
        <v>#REF!</v>
      </c>
    </row>
    <row r="737" spans="1:14">
      <c r="A737" s="145" t="s">
        <v>626</v>
      </c>
      <c r="B737" s="146" t="s">
        <v>1681</v>
      </c>
      <c r="C737" s="146" t="s">
        <v>1853</v>
      </c>
      <c r="D737" s="145" t="s">
        <v>1854</v>
      </c>
      <c r="E737" s="146" t="s">
        <v>260</v>
      </c>
      <c r="F737" s="145" t="s">
        <v>1608</v>
      </c>
      <c r="G737" s="146" t="s">
        <v>20</v>
      </c>
      <c r="H737" s="146">
        <v>201606</v>
      </c>
      <c r="I737" s="147">
        <v>285.36</v>
      </c>
      <c r="J737" s="144">
        <f t="shared" si="35"/>
        <v>5</v>
      </c>
      <c r="K737" s="148">
        <v>1.4833299999999999E-3</v>
      </c>
      <c r="L737" s="147">
        <f t="shared" si="33"/>
        <v>2.12</v>
      </c>
      <c r="M737" s="147">
        <f t="shared" si="34"/>
        <v>5.08</v>
      </c>
      <c r="N737" s="168" t="e">
        <f>VLOOKUP(C737,#REF!,4)</f>
        <v>#REF!</v>
      </c>
    </row>
    <row r="738" spans="1:14">
      <c r="A738" s="145" t="s">
        <v>626</v>
      </c>
      <c r="B738" s="146" t="s">
        <v>1681</v>
      </c>
      <c r="C738" s="146" t="s">
        <v>2065</v>
      </c>
      <c r="D738" s="145" t="s">
        <v>2066</v>
      </c>
      <c r="E738" s="146" t="s">
        <v>209</v>
      </c>
      <c r="F738" s="145" t="s">
        <v>1612</v>
      </c>
      <c r="G738" s="146" t="s">
        <v>20</v>
      </c>
      <c r="H738" s="146">
        <v>201604</v>
      </c>
      <c r="I738" s="147">
        <v>53122.34</v>
      </c>
      <c r="J738" s="144">
        <f t="shared" si="35"/>
        <v>7</v>
      </c>
      <c r="K738" s="148">
        <v>1.4833299999999999E-3</v>
      </c>
      <c r="L738" s="147">
        <f t="shared" si="33"/>
        <v>551.59</v>
      </c>
      <c r="M738" s="147">
        <f t="shared" si="34"/>
        <v>945.58</v>
      </c>
      <c r="N738" s="168" t="e">
        <f>VLOOKUP(C738,#REF!,4)</f>
        <v>#REF!</v>
      </c>
    </row>
    <row r="739" spans="1:14">
      <c r="A739" s="145" t="s">
        <v>626</v>
      </c>
      <c r="B739" s="146" t="s">
        <v>1681</v>
      </c>
      <c r="C739" s="146" t="s">
        <v>2065</v>
      </c>
      <c r="D739" s="145" t="s">
        <v>2066</v>
      </c>
      <c r="E739" s="146" t="s">
        <v>209</v>
      </c>
      <c r="F739" s="145" t="s">
        <v>1612</v>
      </c>
      <c r="G739" s="146" t="s">
        <v>20</v>
      </c>
      <c r="H739" s="146">
        <v>201605</v>
      </c>
      <c r="I739" s="147">
        <v>651.53</v>
      </c>
      <c r="J739" s="144">
        <f t="shared" si="35"/>
        <v>6</v>
      </c>
      <c r="K739" s="148">
        <v>1.4833299999999999E-3</v>
      </c>
      <c r="L739" s="147">
        <f t="shared" si="33"/>
        <v>5.8</v>
      </c>
      <c r="M739" s="147">
        <f t="shared" si="34"/>
        <v>11.6</v>
      </c>
      <c r="N739" s="168" t="e">
        <f>VLOOKUP(C739,#REF!,4)</f>
        <v>#REF!</v>
      </c>
    </row>
    <row r="740" spans="1:14">
      <c r="A740" s="145" t="s">
        <v>626</v>
      </c>
      <c r="B740" s="146" t="s">
        <v>1681</v>
      </c>
      <c r="C740" s="146" t="s">
        <v>2065</v>
      </c>
      <c r="D740" s="145" t="s">
        <v>2066</v>
      </c>
      <c r="E740" s="146" t="s">
        <v>209</v>
      </c>
      <c r="F740" s="145" t="s">
        <v>1612</v>
      </c>
      <c r="G740" s="146" t="s">
        <v>20</v>
      </c>
      <c r="H740" s="146">
        <v>201606</v>
      </c>
      <c r="I740" s="147">
        <v>398.43</v>
      </c>
      <c r="J740" s="144">
        <f t="shared" si="35"/>
        <v>5</v>
      </c>
      <c r="K740" s="148">
        <v>1.4833299999999999E-3</v>
      </c>
      <c r="L740" s="147">
        <f t="shared" si="33"/>
        <v>2.96</v>
      </c>
      <c r="M740" s="147">
        <f t="shared" si="34"/>
        <v>7.09</v>
      </c>
      <c r="N740" s="168" t="e">
        <f>VLOOKUP(C740,#REF!,4)</f>
        <v>#REF!</v>
      </c>
    </row>
    <row r="741" spans="1:14">
      <c r="A741" s="145" t="s">
        <v>626</v>
      </c>
      <c r="B741" s="146" t="s">
        <v>1681</v>
      </c>
      <c r="C741" s="146" t="s">
        <v>2067</v>
      </c>
      <c r="D741" s="145" t="s">
        <v>2068</v>
      </c>
      <c r="E741" s="146" t="s">
        <v>93</v>
      </c>
      <c r="F741" s="145" t="s">
        <v>1601</v>
      </c>
      <c r="G741" s="146" t="s">
        <v>20</v>
      </c>
      <c r="H741" s="146">
        <v>201604</v>
      </c>
      <c r="I741" s="147">
        <v>1104.58</v>
      </c>
      <c r="J741" s="144">
        <f t="shared" si="35"/>
        <v>7</v>
      </c>
      <c r="K741" s="148">
        <v>1.4833299999999999E-3</v>
      </c>
      <c r="L741" s="147">
        <f t="shared" si="33"/>
        <v>11.47</v>
      </c>
      <c r="M741" s="147">
        <f t="shared" si="34"/>
        <v>19.66</v>
      </c>
      <c r="N741" s="168" t="e">
        <f>VLOOKUP(C741,#REF!,4)</f>
        <v>#REF!</v>
      </c>
    </row>
    <row r="742" spans="1:14">
      <c r="A742" s="145" t="s">
        <v>626</v>
      </c>
      <c r="B742" s="146" t="s">
        <v>1681</v>
      </c>
      <c r="C742" s="146" t="s">
        <v>2067</v>
      </c>
      <c r="D742" s="145" t="s">
        <v>2068</v>
      </c>
      <c r="E742" s="146" t="s">
        <v>93</v>
      </c>
      <c r="F742" s="145" t="s">
        <v>1601</v>
      </c>
      <c r="G742" s="146" t="s">
        <v>20</v>
      </c>
      <c r="H742" s="146">
        <v>201605</v>
      </c>
      <c r="I742" s="147">
        <v>13.86</v>
      </c>
      <c r="J742" s="144">
        <f t="shared" si="35"/>
        <v>6</v>
      </c>
      <c r="K742" s="148">
        <v>1.4833299999999999E-3</v>
      </c>
      <c r="L742" s="147">
        <f t="shared" si="33"/>
        <v>0.12</v>
      </c>
      <c r="M742" s="147">
        <f t="shared" si="34"/>
        <v>0.25</v>
      </c>
      <c r="N742" s="168" t="e">
        <f>VLOOKUP(C742,#REF!,4)</f>
        <v>#REF!</v>
      </c>
    </row>
    <row r="743" spans="1:14">
      <c r="A743" s="145" t="s">
        <v>626</v>
      </c>
      <c r="B743" s="146" t="s">
        <v>1681</v>
      </c>
      <c r="C743" s="146" t="s">
        <v>2067</v>
      </c>
      <c r="D743" s="145" t="s">
        <v>2068</v>
      </c>
      <c r="E743" s="146" t="s">
        <v>93</v>
      </c>
      <c r="F743" s="145" t="s">
        <v>1601</v>
      </c>
      <c r="G743" s="146" t="s">
        <v>20</v>
      </c>
      <c r="H743" s="146">
        <v>201606</v>
      </c>
      <c r="I743" s="147">
        <v>8.48</v>
      </c>
      <c r="J743" s="144">
        <f t="shared" si="35"/>
        <v>5</v>
      </c>
      <c r="K743" s="148">
        <v>1.4833299999999999E-3</v>
      </c>
      <c r="L743" s="147">
        <f t="shared" si="33"/>
        <v>0.06</v>
      </c>
      <c r="M743" s="147">
        <f t="shared" si="34"/>
        <v>0.15</v>
      </c>
      <c r="N743" s="168" t="e">
        <f>VLOOKUP(C743,#REF!,4)</f>
        <v>#REF!</v>
      </c>
    </row>
    <row r="744" spans="1:14">
      <c r="A744" s="145" t="s">
        <v>626</v>
      </c>
      <c r="B744" s="146" t="s">
        <v>1681</v>
      </c>
      <c r="C744" s="146" t="s">
        <v>2007</v>
      </c>
      <c r="D744" s="145" t="s">
        <v>2008</v>
      </c>
      <c r="E744" s="146" t="s">
        <v>260</v>
      </c>
      <c r="F744" s="145" t="s">
        <v>1608</v>
      </c>
      <c r="G744" s="146" t="s">
        <v>20</v>
      </c>
      <c r="H744" s="146">
        <v>201603</v>
      </c>
      <c r="I744" s="147">
        <v>-922.23</v>
      </c>
      <c r="J744" s="144">
        <f t="shared" si="35"/>
        <v>8</v>
      </c>
      <c r="K744" s="148">
        <v>1.4833299999999999E-3</v>
      </c>
      <c r="L744" s="147">
        <f t="shared" si="33"/>
        <v>-10.94</v>
      </c>
      <c r="M744" s="147">
        <f t="shared" si="34"/>
        <v>-16.420000000000002</v>
      </c>
      <c r="N744" s="168" t="e">
        <f>VLOOKUP(C744,#REF!,4)</f>
        <v>#REF!</v>
      </c>
    </row>
    <row r="745" spans="1:14">
      <c r="A745" s="145" t="s">
        <v>626</v>
      </c>
      <c r="B745" s="146" t="s">
        <v>1681</v>
      </c>
      <c r="C745" s="146" t="s">
        <v>2007</v>
      </c>
      <c r="D745" s="145" t="s">
        <v>2008</v>
      </c>
      <c r="E745" s="146" t="s">
        <v>260</v>
      </c>
      <c r="F745" s="145" t="s">
        <v>1608</v>
      </c>
      <c r="G745" s="146" t="s">
        <v>20</v>
      </c>
      <c r="H745" s="146">
        <v>201604</v>
      </c>
      <c r="I745" s="147">
        <v>2746.88</v>
      </c>
      <c r="J745" s="144">
        <f t="shared" si="35"/>
        <v>7</v>
      </c>
      <c r="K745" s="148">
        <v>1.4833299999999999E-3</v>
      </c>
      <c r="L745" s="147">
        <f t="shared" si="33"/>
        <v>28.52</v>
      </c>
      <c r="M745" s="147">
        <f t="shared" si="34"/>
        <v>48.89</v>
      </c>
      <c r="N745" s="168" t="e">
        <f>VLOOKUP(C745,#REF!,4)</f>
        <v>#REF!</v>
      </c>
    </row>
    <row r="746" spans="1:14">
      <c r="A746" s="145" t="s">
        <v>626</v>
      </c>
      <c r="B746" s="146" t="s">
        <v>1681</v>
      </c>
      <c r="C746" s="146" t="s">
        <v>2007</v>
      </c>
      <c r="D746" s="145" t="s">
        <v>2008</v>
      </c>
      <c r="E746" s="146" t="s">
        <v>260</v>
      </c>
      <c r="F746" s="145" t="s">
        <v>1608</v>
      </c>
      <c r="G746" s="146" t="s">
        <v>20</v>
      </c>
      <c r="H746" s="146">
        <v>201605</v>
      </c>
      <c r="I746" s="147">
        <v>2055.65</v>
      </c>
      <c r="J746" s="144">
        <f t="shared" si="35"/>
        <v>6</v>
      </c>
      <c r="K746" s="148">
        <v>1.4833299999999999E-3</v>
      </c>
      <c r="L746" s="147">
        <f t="shared" si="33"/>
        <v>18.3</v>
      </c>
      <c r="M746" s="147">
        <f t="shared" si="34"/>
        <v>36.590000000000003</v>
      </c>
      <c r="N746" s="168" t="e">
        <f>VLOOKUP(C746,#REF!,4)</f>
        <v>#REF!</v>
      </c>
    </row>
    <row r="747" spans="1:14">
      <c r="A747" s="145" t="s">
        <v>626</v>
      </c>
      <c r="B747" s="146" t="s">
        <v>1681</v>
      </c>
      <c r="C747" s="146" t="s">
        <v>2007</v>
      </c>
      <c r="D747" s="145" t="s">
        <v>2008</v>
      </c>
      <c r="E747" s="146" t="s">
        <v>260</v>
      </c>
      <c r="F747" s="145" t="s">
        <v>1608</v>
      </c>
      <c r="G747" s="146" t="s">
        <v>20</v>
      </c>
      <c r="H747" s="146">
        <v>201606</v>
      </c>
      <c r="I747" s="147">
        <v>2603.39</v>
      </c>
      <c r="J747" s="144">
        <f t="shared" si="35"/>
        <v>5</v>
      </c>
      <c r="K747" s="148">
        <v>1.4833299999999999E-3</v>
      </c>
      <c r="L747" s="147">
        <f t="shared" si="33"/>
        <v>19.309999999999999</v>
      </c>
      <c r="M747" s="147">
        <f t="shared" si="34"/>
        <v>46.34</v>
      </c>
      <c r="N747" s="168" t="e">
        <f>VLOOKUP(C747,#REF!,4)</f>
        <v>#REF!</v>
      </c>
    </row>
    <row r="748" spans="1:14">
      <c r="A748" s="145" t="s">
        <v>14</v>
      </c>
      <c r="B748" s="146" t="s">
        <v>1681</v>
      </c>
      <c r="C748" s="146" t="s">
        <v>2009</v>
      </c>
      <c r="D748" s="145" t="s">
        <v>2010</v>
      </c>
      <c r="E748" s="146" t="s">
        <v>260</v>
      </c>
      <c r="F748" s="145" t="s">
        <v>1608</v>
      </c>
      <c r="G748" s="146" t="s">
        <v>20</v>
      </c>
      <c r="H748" s="146">
        <v>201603</v>
      </c>
      <c r="I748" s="147">
        <v>695.81</v>
      </c>
      <c r="J748" s="144">
        <f t="shared" si="35"/>
        <v>8</v>
      </c>
      <c r="K748" s="148">
        <v>2.23333E-3</v>
      </c>
      <c r="L748" s="147">
        <f t="shared" si="33"/>
        <v>12.43</v>
      </c>
      <c r="M748" s="147">
        <f t="shared" si="34"/>
        <v>18.649999999999999</v>
      </c>
      <c r="N748" s="168" t="e">
        <f>VLOOKUP(C748,#REF!,4)</f>
        <v>#REF!</v>
      </c>
    </row>
    <row r="749" spans="1:14">
      <c r="A749" s="145" t="s">
        <v>626</v>
      </c>
      <c r="B749" s="146" t="s">
        <v>1681</v>
      </c>
      <c r="C749" s="146" t="s">
        <v>2009</v>
      </c>
      <c r="D749" s="145" t="s">
        <v>2010</v>
      </c>
      <c r="E749" s="146" t="s">
        <v>260</v>
      </c>
      <c r="F749" s="145" t="s">
        <v>1608</v>
      </c>
      <c r="G749" s="146" t="s">
        <v>20</v>
      </c>
      <c r="H749" s="146">
        <v>201603</v>
      </c>
      <c r="I749" s="147">
        <v>36887.22</v>
      </c>
      <c r="J749" s="144">
        <f t="shared" si="35"/>
        <v>8</v>
      </c>
      <c r="K749" s="148">
        <v>1.4833299999999999E-3</v>
      </c>
      <c r="L749" s="147">
        <f t="shared" si="33"/>
        <v>437.73</v>
      </c>
      <c r="M749" s="147">
        <f t="shared" si="34"/>
        <v>656.59</v>
      </c>
      <c r="N749" s="168" t="e">
        <f>VLOOKUP(C749,#REF!,4)</f>
        <v>#REF!</v>
      </c>
    </row>
    <row r="750" spans="1:14">
      <c r="A750" s="145" t="s">
        <v>14</v>
      </c>
      <c r="B750" s="146" t="s">
        <v>1681</v>
      </c>
      <c r="C750" s="146" t="s">
        <v>2009</v>
      </c>
      <c r="D750" s="145" t="s">
        <v>2010</v>
      </c>
      <c r="E750" s="146" t="s">
        <v>260</v>
      </c>
      <c r="F750" s="145" t="s">
        <v>1608</v>
      </c>
      <c r="G750" s="146" t="s">
        <v>20</v>
      </c>
      <c r="H750" s="146">
        <v>201604</v>
      </c>
      <c r="I750" s="147">
        <v>1341.98</v>
      </c>
      <c r="J750" s="144">
        <f t="shared" si="35"/>
        <v>7</v>
      </c>
      <c r="K750" s="148">
        <v>2.23333E-3</v>
      </c>
      <c r="L750" s="147">
        <f t="shared" si="33"/>
        <v>20.98</v>
      </c>
      <c r="M750" s="147">
        <f t="shared" si="34"/>
        <v>35.97</v>
      </c>
      <c r="N750" s="168" t="e">
        <f>VLOOKUP(C750,#REF!,4)</f>
        <v>#REF!</v>
      </c>
    </row>
    <row r="751" spans="1:14">
      <c r="A751" s="145" t="s">
        <v>626</v>
      </c>
      <c r="B751" s="146" t="s">
        <v>1681</v>
      </c>
      <c r="C751" s="146" t="s">
        <v>2009</v>
      </c>
      <c r="D751" s="145" t="s">
        <v>2010</v>
      </c>
      <c r="E751" s="146" t="s">
        <v>260</v>
      </c>
      <c r="F751" s="145" t="s">
        <v>1608</v>
      </c>
      <c r="G751" s="146" t="s">
        <v>20</v>
      </c>
      <c r="H751" s="146">
        <v>201604</v>
      </c>
      <c r="I751" s="147">
        <v>71143.92</v>
      </c>
      <c r="J751" s="144">
        <f t="shared" si="35"/>
        <v>7</v>
      </c>
      <c r="K751" s="148">
        <v>1.4833299999999999E-3</v>
      </c>
      <c r="L751" s="147">
        <f t="shared" si="33"/>
        <v>738.71</v>
      </c>
      <c r="M751" s="147">
        <f t="shared" si="34"/>
        <v>1266.3599999999999</v>
      </c>
      <c r="N751" s="168" t="e">
        <f>VLOOKUP(C751,#REF!,4)</f>
        <v>#REF!</v>
      </c>
    </row>
    <row r="752" spans="1:14">
      <c r="A752" s="145" t="s">
        <v>14</v>
      </c>
      <c r="B752" s="146" t="s">
        <v>1681</v>
      </c>
      <c r="C752" s="146" t="s">
        <v>2009</v>
      </c>
      <c r="D752" s="145" t="s">
        <v>2010</v>
      </c>
      <c r="E752" s="146" t="s">
        <v>260</v>
      </c>
      <c r="F752" s="145" t="s">
        <v>1608</v>
      </c>
      <c r="G752" s="146" t="s">
        <v>20</v>
      </c>
      <c r="H752" s="146">
        <v>201605</v>
      </c>
      <c r="I752" s="147">
        <v>599.80999999999995</v>
      </c>
      <c r="J752" s="144">
        <f t="shared" si="35"/>
        <v>6</v>
      </c>
      <c r="K752" s="148">
        <v>2.23333E-3</v>
      </c>
      <c r="L752" s="147">
        <f t="shared" si="33"/>
        <v>8.0399999999999991</v>
      </c>
      <c r="M752" s="147">
        <f t="shared" si="34"/>
        <v>16.07</v>
      </c>
      <c r="N752" s="168" t="e">
        <f>VLOOKUP(C752,#REF!,4)</f>
        <v>#REF!</v>
      </c>
    </row>
    <row r="753" spans="1:14">
      <c r="A753" s="145" t="s">
        <v>626</v>
      </c>
      <c r="B753" s="146" t="s">
        <v>1681</v>
      </c>
      <c r="C753" s="146" t="s">
        <v>2009</v>
      </c>
      <c r="D753" s="145" t="s">
        <v>2010</v>
      </c>
      <c r="E753" s="146" t="s">
        <v>260</v>
      </c>
      <c r="F753" s="145" t="s">
        <v>1608</v>
      </c>
      <c r="G753" s="146" t="s">
        <v>20</v>
      </c>
      <c r="H753" s="146">
        <v>201605</v>
      </c>
      <c r="I753" s="147">
        <v>31798.37</v>
      </c>
      <c r="J753" s="144">
        <f t="shared" si="35"/>
        <v>6</v>
      </c>
      <c r="K753" s="148">
        <v>1.4833299999999999E-3</v>
      </c>
      <c r="L753" s="147">
        <f t="shared" si="33"/>
        <v>283</v>
      </c>
      <c r="M753" s="147">
        <f t="shared" si="34"/>
        <v>566.01</v>
      </c>
      <c r="N753" s="168" t="e">
        <f>VLOOKUP(C753,#REF!,4)</f>
        <v>#REF!</v>
      </c>
    </row>
    <row r="754" spans="1:14">
      <c r="A754" s="145" t="s">
        <v>14</v>
      </c>
      <c r="B754" s="146" t="s">
        <v>1681</v>
      </c>
      <c r="C754" s="146" t="s">
        <v>2009</v>
      </c>
      <c r="D754" s="145" t="s">
        <v>2010</v>
      </c>
      <c r="E754" s="146" t="s">
        <v>260</v>
      </c>
      <c r="F754" s="145" t="s">
        <v>1608</v>
      </c>
      <c r="G754" s="146" t="s">
        <v>20</v>
      </c>
      <c r="H754" s="146">
        <v>201606</v>
      </c>
      <c r="I754" s="147">
        <v>322.5</v>
      </c>
      <c r="J754" s="144">
        <f t="shared" si="35"/>
        <v>5</v>
      </c>
      <c r="K754" s="148">
        <v>2.23333E-3</v>
      </c>
      <c r="L754" s="147">
        <f t="shared" si="33"/>
        <v>3.6</v>
      </c>
      <c r="M754" s="147">
        <f t="shared" si="34"/>
        <v>8.64</v>
      </c>
      <c r="N754" s="168" t="e">
        <f>VLOOKUP(C754,#REF!,4)</f>
        <v>#REF!</v>
      </c>
    </row>
    <row r="755" spans="1:14">
      <c r="A755" s="145" t="s">
        <v>626</v>
      </c>
      <c r="B755" s="146" t="s">
        <v>1681</v>
      </c>
      <c r="C755" s="146" t="s">
        <v>2009</v>
      </c>
      <c r="D755" s="145" t="s">
        <v>2010</v>
      </c>
      <c r="E755" s="146" t="s">
        <v>260</v>
      </c>
      <c r="F755" s="145" t="s">
        <v>1608</v>
      </c>
      <c r="G755" s="146" t="s">
        <v>20</v>
      </c>
      <c r="H755" s="146">
        <v>201606</v>
      </c>
      <c r="I755" s="147">
        <v>17096.7</v>
      </c>
      <c r="J755" s="144">
        <f t="shared" si="35"/>
        <v>5</v>
      </c>
      <c r="K755" s="148">
        <v>1.4833299999999999E-3</v>
      </c>
      <c r="L755" s="147">
        <f t="shared" si="33"/>
        <v>126.8</v>
      </c>
      <c r="M755" s="147">
        <f t="shared" si="34"/>
        <v>304.32</v>
      </c>
      <c r="N755" s="168" t="e">
        <f>VLOOKUP(C755,#REF!,4)</f>
        <v>#REF!</v>
      </c>
    </row>
    <row r="756" spans="1:14">
      <c r="A756" s="145" t="s">
        <v>14</v>
      </c>
      <c r="B756" s="146" t="s">
        <v>1681</v>
      </c>
      <c r="C756" s="146" t="s">
        <v>2011</v>
      </c>
      <c r="D756" s="145" t="s">
        <v>2012</v>
      </c>
      <c r="E756" s="146" t="s">
        <v>260</v>
      </c>
      <c r="F756" s="145" t="s">
        <v>1608</v>
      </c>
      <c r="G756" s="146" t="s">
        <v>20</v>
      </c>
      <c r="H756" s="146">
        <v>201603</v>
      </c>
      <c r="I756" s="147">
        <v>1500.43</v>
      </c>
      <c r="J756" s="144">
        <f t="shared" si="35"/>
        <v>8</v>
      </c>
      <c r="K756" s="148">
        <v>2.23333E-3</v>
      </c>
      <c r="L756" s="147">
        <f t="shared" si="33"/>
        <v>26.81</v>
      </c>
      <c r="M756" s="147">
        <f t="shared" si="34"/>
        <v>40.21</v>
      </c>
      <c r="N756" s="168" t="e">
        <f>VLOOKUP(C756,#REF!,4)</f>
        <v>#REF!</v>
      </c>
    </row>
    <row r="757" spans="1:14">
      <c r="A757" s="145" t="s">
        <v>626</v>
      </c>
      <c r="B757" s="146" t="s">
        <v>1681</v>
      </c>
      <c r="C757" s="146" t="s">
        <v>2011</v>
      </c>
      <c r="D757" s="145" t="s">
        <v>2012</v>
      </c>
      <c r="E757" s="146" t="s">
        <v>260</v>
      </c>
      <c r="F757" s="145" t="s">
        <v>1608</v>
      </c>
      <c r="G757" s="146" t="s">
        <v>20</v>
      </c>
      <c r="H757" s="146">
        <v>201603</v>
      </c>
      <c r="I757" s="147">
        <v>67096.899999999994</v>
      </c>
      <c r="J757" s="144">
        <f t="shared" si="35"/>
        <v>8</v>
      </c>
      <c r="K757" s="148">
        <v>1.4833299999999999E-3</v>
      </c>
      <c r="L757" s="147">
        <f t="shared" si="33"/>
        <v>796.21</v>
      </c>
      <c r="M757" s="147">
        <f t="shared" si="34"/>
        <v>1194.32</v>
      </c>
      <c r="N757" s="168" t="e">
        <f>VLOOKUP(C757,#REF!,4)</f>
        <v>#REF!</v>
      </c>
    </row>
    <row r="758" spans="1:14">
      <c r="A758" s="145" t="s">
        <v>14</v>
      </c>
      <c r="B758" s="146" t="s">
        <v>1681</v>
      </c>
      <c r="C758" s="146" t="s">
        <v>2011</v>
      </c>
      <c r="D758" s="145" t="s">
        <v>2012</v>
      </c>
      <c r="E758" s="146" t="s">
        <v>260</v>
      </c>
      <c r="F758" s="145" t="s">
        <v>1608</v>
      </c>
      <c r="G758" s="146" t="s">
        <v>20</v>
      </c>
      <c r="H758" s="146">
        <v>201604</v>
      </c>
      <c r="I758" s="147">
        <v>816.69</v>
      </c>
      <c r="J758" s="144">
        <f t="shared" si="35"/>
        <v>7</v>
      </c>
      <c r="K758" s="148">
        <v>2.23333E-3</v>
      </c>
      <c r="L758" s="147">
        <f t="shared" si="33"/>
        <v>12.77</v>
      </c>
      <c r="M758" s="147">
        <f t="shared" si="34"/>
        <v>21.89</v>
      </c>
      <c r="N758" s="168" t="e">
        <f>VLOOKUP(C758,#REF!,4)</f>
        <v>#REF!</v>
      </c>
    </row>
    <row r="759" spans="1:14">
      <c r="A759" s="145" t="s">
        <v>626</v>
      </c>
      <c r="B759" s="146" t="s">
        <v>1681</v>
      </c>
      <c r="C759" s="146" t="s">
        <v>2011</v>
      </c>
      <c r="D759" s="145" t="s">
        <v>2012</v>
      </c>
      <c r="E759" s="146" t="s">
        <v>260</v>
      </c>
      <c r="F759" s="145" t="s">
        <v>1608</v>
      </c>
      <c r="G759" s="146" t="s">
        <v>20</v>
      </c>
      <c r="H759" s="146">
        <v>201604</v>
      </c>
      <c r="I759" s="147">
        <v>36520.93</v>
      </c>
      <c r="J759" s="144">
        <f t="shared" si="35"/>
        <v>7</v>
      </c>
      <c r="K759" s="148">
        <v>1.4833299999999999E-3</v>
      </c>
      <c r="L759" s="147">
        <f t="shared" si="33"/>
        <v>379.21</v>
      </c>
      <c r="M759" s="147">
        <f t="shared" si="34"/>
        <v>650.07000000000005</v>
      </c>
      <c r="N759" s="168" t="e">
        <f>VLOOKUP(C759,#REF!,4)</f>
        <v>#REF!</v>
      </c>
    </row>
    <row r="760" spans="1:14">
      <c r="A760" s="145" t="s">
        <v>14</v>
      </c>
      <c r="B760" s="146" t="s">
        <v>1681</v>
      </c>
      <c r="C760" s="146" t="s">
        <v>2011</v>
      </c>
      <c r="D760" s="145" t="s">
        <v>2012</v>
      </c>
      <c r="E760" s="146" t="s">
        <v>260</v>
      </c>
      <c r="F760" s="145" t="s">
        <v>1608</v>
      </c>
      <c r="G760" s="146" t="s">
        <v>20</v>
      </c>
      <c r="H760" s="146">
        <v>201605</v>
      </c>
      <c r="I760" s="147">
        <v>574.83000000000004</v>
      </c>
      <c r="J760" s="144">
        <f t="shared" si="35"/>
        <v>6</v>
      </c>
      <c r="K760" s="148">
        <v>2.23333E-3</v>
      </c>
      <c r="L760" s="147">
        <f t="shared" si="33"/>
        <v>7.7</v>
      </c>
      <c r="M760" s="147">
        <f t="shared" si="34"/>
        <v>15.41</v>
      </c>
      <c r="N760" s="168" t="e">
        <f>VLOOKUP(C760,#REF!,4)</f>
        <v>#REF!</v>
      </c>
    </row>
    <row r="761" spans="1:14">
      <c r="A761" s="145" t="s">
        <v>626</v>
      </c>
      <c r="B761" s="146" t="s">
        <v>1681</v>
      </c>
      <c r="C761" s="146" t="s">
        <v>2011</v>
      </c>
      <c r="D761" s="145" t="s">
        <v>2012</v>
      </c>
      <c r="E761" s="146" t="s">
        <v>260</v>
      </c>
      <c r="F761" s="145" t="s">
        <v>1608</v>
      </c>
      <c r="G761" s="146" t="s">
        <v>20</v>
      </c>
      <c r="H761" s="146">
        <v>201605</v>
      </c>
      <c r="I761" s="147">
        <v>25704.62</v>
      </c>
      <c r="J761" s="144">
        <f t="shared" si="35"/>
        <v>6</v>
      </c>
      <c r="K761" s="148">
        <v>1.4833299999999999E-3</v>
      </c>
      <c r="L761" s="147">
        <f t="shared" si="33"/>
        <v>228.77</v>
      </c>
      <c r="M761" s="147">
        <f t="shared" si="34"/>
        <v>457.54</v>
      </c>
      <c r="N761" s="168" t="e">
        <f>VLOOKUP(C761,#REF!,4)</f>
        <v>#REF!</v>
      </c>
    </row>
    <row r="762" spans="1:14">
      <c r="A762" s="145" t="s">
        <v>14</v>
      </c>
      <c r="B762" s="146" t="s">
        <v>1681</v>
      </c>
      <c r="C762" s="146" t="s">
        <v>2011</v>
      </c>
      <c r="D762" s="145" t="s">
        <v>2012</v>
      </c>
      <c r="E762" s="146" t="s">
        <v>260</v>
      </c>
      <c r="F762" s="145" t="s">
        <v>1608</v>
      </c>
      <c r="G762" s="146" t="s">
        <v>20</v>
      </c>
      <c r="H762" s="146">
        <v>201606</v>
      </c>
      <c r="I762" s="147">
        <v>723.54</v>
      </c>
      <c r="J762" s="144">
        <f t="shared" si="35"/>
        <v>5</v>
      </c>
      <c r="K762" s="148">
        <v>2.23333E-3</v>
      </c>
      <c r="L762" s="147">
        <f t="shared" si="33"/>
        <v>8.08</v>
      </c>
      <c r="M762" s="147">
        <f t="shared" si="34"/>
        <v>19.39</v>
      </c>
      <c r="N762" s="168" t="e">
        <f>VLOOKUP(C762,#REF!,4)</f>
        <v>#REF!</v>
      </c>
    </row>
    <row r="763" spans="1:14">
      <c r="A763" s="145" t="s">
        <v>626</v>
      </c>
      <c r="B763" s="146" t="s">
        <v>1681</v>
      </c>
      <c r="C763" s="146" t="s">
        <v>2011</v>
      </c>
      <c r="D763" s="145" t="s">
        <v>2012</v>
      </c>
      <c r="E763" s="146" t="s">
        <v>260</v>
      </c>
      <c r="F763" s="145" t="s">
        <v>1608</v>
      </c>
      <c r="G763" s="146" t="s">
        <v>20</v>
      </c>
      <c r="H763" s="146">
        <v>201606</v>
      </c>
      <c r="I763" s="147">
        <v>32355.05</v>
      </c>
      <c r="J763" s="144">
        <f t="shared" si="35"/>
        <v>5</v>
      </c>
      <c r="K763" s="148">
        <v>1.4833299999999999E-3</v>
      </c>
      <c r="L763" s="147">
        <f t="shared" si="33"/>
        <v>239.97</v>
      </c>
      <c r="M763" s="147">
        <f t="shared" si="34"/>
        <v>575.91999999999996</v>
      </c>
      <c r="N763" s="168" t="e">
        <f>VLOOKUP(C763,#REF!,4)</f>
        <v>#REF!</v>
      </c>
    </row>
    <row r="764" spans="1:14">
      <c r="A764" s="145" t="s">
        <v>14</v>
      </c>
      <c r="B764" s="146" t="s">
        <v>1681</v>
      </c>
      <c r="C764" s="146" t="s">
        <v>2069</v>
      </c>
      <c r="D764" s="145" t="s">
        <v>2070</v>
      </c>
      <c r="E764" s="146" t="s">
        <v>164</v>
      </c>
      <c r="F764" s="145" t="s">
        <v>1600</v>
      </c>
      <c r="G764" s="146" t="s">
        <v>20</v>
      </c>
      <c r="H764" s="146">
        <v>201604</v>
      </c>
      <c r="I764" s="147">
        <v>72815.7</v>
      </c>
      <c r="J764" s="144">
        <f t="shared" si="35"/>
        <v>7</v>
      </c>
      <c r="K764" s="148">
        <v>2.23333E-3</v>
      </c>
      <c r="L764" s="147">
        <f t="shared" si="33"/>
        <v>1138.3499999999999</v>
      </c>
      <c r="M764" s="147">
        <f t="shared" si="34"/>
        <v>1951.46</v>
      </c>
      <c r="N764" s="168" t="e">
        <f>VLOOKUP(C764,#REF!,4)</f>
        <v>#REF!</v>
      </c>
    </row>
    <row r="765" spans="1:14">
      <c r="A765" s="145" t="s">
        <v>626</v>
      </c>
      <c r="B765" s="146" t="s">
        <v>1681</v>
      </c>
      <c r="C765" s="146" t="s">
        <v>2069</v>
      </c>
      <c r="D765" s="145" t="s">
        <v>2070</v>
      </c>
      <c r="E765" s="146" t="s">
        <v>164</v>
      </c>
      <c r="F765" s="145" t="s">
        <v>1600</v>
      </c>
      <c r="G765" s="146" t="s">
        <v>20</v>
      </c>
      <c r="H765" s="146">
        <v>201604</v>
      </c>
      <c r="I765" s="147">
        <v>341258.33</v>
      </c>
      <c r="J765" s="144">
        <f t="shared" si="35"/>
        <v>7</v>
      </c>
      <c r="K765" s="148">
        <v>1.4833299999999999E-3</v>
      </c>
      <c r="L765" s="147">
        <f t="shared" si="33"/>
        <v>3543.39</v>
      </c>
      <c r="M765" s="147">
        <f t="shared" si="34"/>
        <v>6074.38</v>
      </c>
      <c r="N765" s="168" t="e">
        <f>VLOOKUP(C765,#REF!,4)</f>
        <v>#REF!</v>
      </c>
    </row>
    <row r="766" spans="1:14">
      <c r="A766" s="145" t="s">
        <v>14</v>
      </c>
      <c r="B766" s="146" t="s">
        <v>1681</v>
      </c>
      <c r="C766" s="146" t="s">
        <v>2069</v>
      </c>
      <c r="D766" s="145" t="s">
        <v>2070</v>
      </c>
      <c r="E766" s="146" t="s">
        <v>164</v>
      </c>
      <c r="F766" s="145" t="s">
        <v>1600</v>
      </c>
      <c r="G766" s="146" t="s">
        <v>20</v>
      </c>
      <c r="H766" s="146">
        <v>201605</v>
      </c>
      <c r="I766" s="147">
        <v>897.49</v>
      </c>
      <c r="J766" s="144">
        <f t="shared" si="35"/>
        <v>6</v>
      </c>
      <c r="K766" s="148">
        <v>2.23333E-3</v>
      </c>
      <c r="L766" s="147">
        <f t="shared" si="33"/>
        <v>12.03</v>
      </c>
      <c r="M766" s="147">
        <f t="shared" si="34"/>
        <v>24.05</v>
      </c>
      <c r="N766" s="168" t="e">
        <f>VLOOKUP(C766,#REF!,4)</f>
        <v>#REF!</v>
      </c>
    </row>
    <row r="767" spans="1:14">
      <c r="A767" s="145" t="s">
        <v>626</v>
      </c>
      <c r="B767" s="146" t="s">
        <v>1681</v>
      </c>
      <c r="C767" s="146" t="s">
        <v>2069</v>
      </c>
      <c r="D767" s="145" t="s">
        <v>2070</v>
      </c>
      <c r="E767" s="146" t="s">
        <v>164</v>
      </c>
      <c r="F767" s="145" t="s">
        <v>1600</v>
      </c>
      <c r="G767" s="146" t="s">
        <v>20</v>
      </c>
      <c r="H767" s="146">
        <v>201605</v>
      </c>
      <c r="I767" s="147">
        <v>4206.18</v>
      </c>
      <c r="J767" s="144">
        <f t="shared" si="35"/>
        <v>6</v>
      </c>
      <c r="K767" s="148">
        <v>1.4833299999999999E-3</v>
      </c>
      <c r="L767" s="147">
        <f t="shared" si="33"/>
        <v>37.43</v>
      </c>
      <c r="M767" s="147">
        <f t="shared" si="34"/>
        <v>74.87</v>
      </c>
      <c r="N767" s="168" t="e">
        <f>VLOOKUP(C767,#REF!,4)</f>
        <v>#REF!</v>
      </c>
    </row>
    <row r="768" spans="1:14">
      <c r="A768" s="145" t="s">
        <v>14</v>
      </c>
      <c r="B768" s="146" t="s">
        <v>1681</v>
      </c>
      <c r="C768" s="146" t="s">
        <v>2069</v>
      </c>
      <c r="D768" s="145" t="s">
        <v>2070</v>
      </c>
      <c r="E768" s="146" t="s">
        <v>164</v>
      </c>
      <c r="F768" s="145" t="s">
        <v>1600</v>
      </c>
      <c r="G768" s="146" t="s">
        <v>20</v>
      </c>
      <c r="H768" s="146">
        <v>201606</v>
      </c>
      <c r="I768" s="147">
        <v>590.48</v>
      </c>
      <c r="J768" s="144">
        <f t="shared" si="35"/>
        <v>5</v>
      </c>
      <c r="K768" s="148">
        <v>2.23333E-3</v>
      </c>
      <c r="L768" s="147">
        <f t="shared" si="33"/>
        <v>6.59</v>
      </c>
      <c r="M768" s="147">
        <f t="shared" si="34"/>
        <v>15.82</v>
      </c>
      <c r="N768" s="168" t="e">
        <f>VLOOKUP(C768,#REF!,4)</f>
        <v>#REF!</v>
      </c>
    </row>
    <row r="769" spans="1:14">
      <c r="A769" s="145" t="s">
        <v>626</v>
      </c>
      <c r="B769" s="146" t="s">
        <v>1681</v>
      </c>
      <c r="C769" s="146" t="s">
        <v>2069</v>
      </c>
      <c r="D769" s="145" t="s">
        <v>2070</v>
      </c>
      <c r="E769" s="146" t="s">
        <v>164</v>
      </c>
      <c r="F769" s="145" t="s">
        <v>1600</v>
      </c>
      <c r="G769" s="146" t="s">
        <v>20</v>
      </c>
      <c r="H769" s="146">
        <v>201606</v>
      </c>
      <c r="I769" s="147">
        <v>2767.37</v>
      </c>
      <c r="J769" s="144">
        <f t="shared" si="35"/>
        <v>5</v>
      </c>
      <c r="K769" s="148">
        <v>1.4833299999999999E-3</v>
      </c>
      <c r="L769" s="147">
        <f t="shared" si="33"/>
        <v>20.52</v>
      </c>
      <c r="M769" s="147">
        <f t="shared" si="34"/>
        <v>49.26</v>
      </c>
      <c r="N769" s="168" t="e">
        <f>VLOOKUP(C769,#REF!,4)</f>
        <v>#REF!</v>
      </c>
    </row>
    <row r="770" spans="1:14">
      <c r="A770" s="145" t="s">
        <v>626</v>
      </c>
      <c r="B770" s="146" t="s">
        <v>1681</v>
      </c>
      <c r="C770" s="146" t="s">
        <v>2071</v>
      </c>
      <c r="D770" s="145" t="s">
        <v>2072</v>
      </c>
      <c r="E770" s="146" t="s">
        <v>260</v>
      </c>
      <c r="F770" s="145" t="s">
        <v>1608</v>
      </c>
      <c r="G770" s="146" t="s">
        <v>20</v>
      </c>
      <c r="H770" s="146">
        <v>201606</v>
      </c>
      <c r="I770" s="147">
        <v>40886.730000000003</v>
      </c>
      <c r="J770" s="144">
        <f t="shared" si="35"/>
        <v>5</v>
      </c>
      <c r="K770" s="148">
        <v>1.4833299999999999E-3</v>
      </c>
      <c r="L770" s="147">
        <f t="shared" si="33"/>
        <v>303.24</v>
      </c>
      <c r="M770" s="147">
        <f t="shared" si="34"/>
        <v>727.78</v>
      </c>
      <c r="N770" s="168" t="e">
        <f>VLOOKUP(C770,#REF!,4)</f>
        <v>#REF!</v>
      </c>
    </row>
    <row r="771" spans="1:14">
      <c r="A771" s="145" t="s">
        <v>626</v>
      </c>
      <c r="B771" s="146" t="s">
        <v>1681</v>
      </c>
      <c r="C771" s="146" t="s">
        <v>2073</v>
      </c>
      <c r="D771" s="145" t="s">
        <v>2074</v>
      </c>
      <c r="E771" s="146" t="s">
        <v>164</v>
      </c>
      <c r="F771" s="145" t="s">
        <v>1600</v>
      </c>
      <c r="G771" s="146" t="s">
        <v>20</v>
      </c>
      <c r="H771" s="146">
        <v>201606</v>
      </c>
      <c r="I771" s="147">
        <v>35449.5</v>
      </c>
      <c r="J771" s="144">
        <f t="shared" si="35"/>
        <v>5</v>
      </c>
      <c r="K771" s="148">
        <v>1.4833299999999999E-3</v>
      </c>
      <c r="L771" s="147">
        <f t="shared" si="33"/>
        <v>262.92</v>
      </c>
      <c r="M771" s="147">
        <f t="shared" si="34"/>
        <v>631</v>
      </c>
      <c r="N771" s="168" t="e">
        <f>VLOOKUP(C771,#REF!,4)</f>
        <v>#REF!</v>
      </c>
    </row>
    <row r="772" spans="1:14">
      <c r="A772" s="145" t="s">
        <v>21</v>
      </c>
      <c r="B772" s="146" t="s">
        <v>1681</v>
      </c>
      <c r="C772" s="146" t="s">
        <v>2075</v>
      </c>
      <c r="D772" s="145" t="s">
        <v>2076</v>
      </c>
      <c r="E772" s="146" t="s">
        <v>75</v>
      </c>
      <c r="F772" s="145" t="s">
        <v>1602</v>
      </c>
      <c r="G772" s="146" t="s">
        <v>20</v>
      </c>
      <c r="H772" s="146">
        <v>201605</v>
      </c>
      <c r="I772" s="147">
        <v>125432.15</v>
      </c>
      <c r="J772" s="144">
        <f t="shared" si="35"/>
        <v>6</v>
      </c>
      <c r="K772" s="148">
        <v>1.4833299999999999E-3</v>
      </c>
      <c r="L772" s="147">
        <f t="shared" si="33"/>
        <v>1116.3399999999999</v>
      </c>
      <c r="M772" s="147">
        <f t="shared" si="34"/>
        <v>2232.69</v>
      </c>
      <c r="N772" s="168" t="e">
        <f>VLOOKUP(C772,#REF!,4)</f>
        <v>#REF!</v>
      </c>
    </row>
    <row r="773" spans="1:14">
      <c r="A773" s="145" t="s">
        <v>21</v>
      </c>
      <c r="B773" s="146" t="s">
        <v>1681</v>
      </c>
      <c r="C773" s="146" t="s">
        <v>2075</v>
      </c>
      <c r="D773" s="145" t="s">
        <v>2076</v>
      </c>
      <c r="E773" s="146" t="s">
        <v>75</v>
      </c>
      <c r="F773" s="145" t="s">
        <v>1602</v>
      </c>
      <c r="G773" s="146" t="s">
        <v>20</v>
      </c>
      <c r="H773" s="146">
        <v>201606</v>
      </c>
      <c r="I773" s="147">
        <v>1609.6</v>
      </c>
      <c r="J773" s="144">
        <f t="shared" si="35"/>
        <v>5</v>
      </c>
      <c r="K773" s="148">
        <v>1.4833299999999999E-3</v>
      </c>
      <c r="L773" s="147">
        <f t="shared" ref="L773:L836" si="36">ROUND(I773*J773*K773,2)</f>
        <v>11.94</v>
      </c>
      <c r="M773" s="147">
        <f t="shared" ref="M773:M836" si="37">ROUND(I773*K773*12,2)</f>
        <v>28.65</v>
      </c>
      <c r="N773" s="168" t="e">
        <f>VLOOKUP(C773,#REF!,4)</f>
        <v>#REF!</v>
      </c>
    </row>
    <row r="774" spans="1:14">
      <c r="A774" s="145" t="s">
        <v>14</v>
      </c>
      <c r="B774" s="146" t="s">
        <v>1681</v>
      </c>
      <c r="C774" s="146" t="s">
        <v>2013</v>
      </c>
      <c r="D774" s="145" t="s">
        <v>2014</v>
      </c>
      <c r="E774" s="146" t="s">
        <v>164</v>
      </c>
      <c r="F774" s="145" t="s">
        <v>1600</v>
      </c>
      <c r="G774" s="146" t="s">
        <v>20</v>
      </c>
      <c r="H774" s="146">
        <v>201603</v>
      </c>
      <c r="I774" s="147">
        <v>2874.26</v>
      </c>
      <c r="J774" s="144">
        <f t="shared" ref="J774:J837" si="38">VLOOKUP(H774,$P$5:$Q$14,2)</f>
        <v>8</v>
      </c>
      <c r="K774" s="148">
        <v>2.23333E-3</v>
      </c>
      <c r="L774" s="147">
        <f t="shared" si="36"/>
        <v>51.35</v>
      </c>
      <c r="M774" s="147">
        <f t="shared" si="37"/>
        <v>77.03</v>
      </c>
      <c r="N774" s="168" t="e">
        <f>VLOOKUP(C774,#REF!,4)</f>
        <v>#REF!</v>
      </c>
    </row>
    <row r="775" spans="1:14">
      <c r="A775" s="145" t="s">
        <v>626</v>
      </c>
      <c r="B775" s="146" t="s">
        <v>1681</v>
      </c>
      <c r="C775" s="146" t="s">
        <v>2013</v>
      </c>
      <c r="D775" s="145" t="s">
        <v>2014</v>
      </c>
      <c r="E775" s="146" t="s">
        <v>164</v>
      </c>
      <c r="F775" s="145" t="s">
        <v>1600</v>
      </c>
      <c r="G775" s="146" t="s">
        <v>20</v>
      </c>
      <c r="H775" s="146">
        <v>201603</v>
      </c>
      <c r="I775" s="147">
        <v>10994.46</v>
      </c>
      <c r="J775" s="144">
        <f t="shared" si="38"/>
        <v>8</v>
      </c>
      <c r="K775" s="148">
        <v>1.4833299999999999E-3</v>
      </c>
      <c r="L775" s="147">
        <f t="shared" si="36"/>
        <v>130.47</v>
      </c>
      <c r="M775" s="147">
        <f t="shared" si="37"/>
        <v>195.7</v>
      </c>
      <c r="N775" s="168" t="e">
        <f>VLOOKUP(C775,#REF!,4)</f>
        <v>#REF!</v>
      </c>
    </row>
    <row r="776" spans="1:14">
      <c r="A776" s="145" t="s">
        <v>14</v>
      </c>
      <c r="B776" s="146" t="s">
        <v>1681</v>
      </c>
      <c r="C776" s="146" t="s">
        <v>2013</v>
      </c>
      <c r="D776" s="145" t="s">
        <v>2014</v>
      </c>
      <c r="E776" s="146" t="s">
        <v>164</v>
      </c>
      <c r="F776" s="145" t="s">
        <v>1600</v>
      </c>
      <c r="G776" s="146" t="s">
        <v>20</v>
      </c>
      <c r="H776" s="146">
        <v>201604</v>
      </c>
      <c r="I776" s="147">
        <v>654.41</v>
      </c>
      <c r="J776" s="144">
        <f t="shared" si="38"/>
        <v>7</v>
      </c>
      <c r="K776" s="148">
        <v>2.23333E-3</v>
      </c>
      <c r="L776" s="147">
        <f t="shared" si="36"/>
        <v>10.23</v>
      </c>
      <c r="M776" s="147">
        <f t="shared" si="37"/>
        <v>17.54</v>
      </c>
      <c r="N776" s="168" t="e">
        <f>VLOOKUP(C776,#REF!,4)</f>
        <v>#REF!</v>
      </c>
    </row>
    <row r="777" spans="1:14">
      <c r="A777" s="145" t="s">
        <v>626</v>
      </c>
      <c r="B777" s="146" t="s">
        <v>1681</v>
      </c>
      <c r="C777" s="146" t="s">
        <v>2013</v>
      </c>
      <c r="D777" s="145" t="s">
        <v>2014</v>
      </c>
      <c r="E777" s="146" t="s">
        <v>164</v>
      </c>
      <c r="F777" s="145" t="s">
        <v>1600</v>
      </c>
      <c r="G777" s="146" t="s">
        <v>20</v>
      </c>
      <c r="H777" s="146">
        <v>201604</v>
      </c>
      <c r="I777" s="147">
        <v>2503.21</v>
      </c>
      <c r="J777" s="144">
        <f t="shared" si="38"/>
        <v>7</v>
      </c>
      <c r="K777" s="148">
        <v>1.4833299999999999E-3</v>
      </c>
      <c r="L777" s="147">
        <f t="shared" si="36"/>
        <v>25.99</v>
      </c>
      <c r="M777" s="147">
        <f t="shared" si="37"/>
        <v>44.56</v>
      </c>
      <c r="N777" s="168" t="e">
        <f>VLOOKUP(C777,#REF!,4)</f>
        <v>#REF!</v>
      </c>
    </row>
    <row r="778" spans="1:14">
      <c r="A778" s="145" t="s">
        <v>14</v>
      </c>
      <c r="B778" s="146" t="s">
        <v>1681</v>
      </c>
      <c r="C778" s="146" t="s">
        <v>2013</v>
      </c>
      <c r="D778" s="145" t="s">
        <v>2014</v>
      </c>
      <c r="E778" s="146" t="s">
        <v>164</v>
      </c>
      <c r="F778" s="145" t="s">
        <v>1600</v>
      </c>
      <c r="G778" s="146" t="s">
        <v>20</v>
      </c>
      <c r="H778" s="146">
        <v>201605</v>
      </c>
      <c r="I778" s="147">
        <v>133.43</v>
      </c>
      <c r="J778" s="144">
        <f t="shared" si="38"/>
        <v>6</v>
      </c>
      <c r="K778" s="148">
        <v>2.23333E-3</v>
      </c>
      <c r="L778" s="147">
        <f t="shared" si="36"/>
        <v>1.79</v>
      </c>
      <c r="M778" s="147">
        <f t="shared" si="37"/>
        <v>3.58</v>
      </c>
      <c r="N778" s="168" t="e">
        <f>VLOOKUP(C778,#REF!,4)</f>
        <v>#REF!</v>
      </c>
    </row>
    <row r="779" spans="1:14">
      <c r="A779" s="145" t="s">
        <v>626</v>
      </c>
      <c r="B779" s="146" t="s">
        <v>1681</v>
      </c>
      <c r="C779" s="146" t="s">
        <v>2013</v>
      </c>
      <c r="D779" s="145" t="s">
        <v>2014</v>
      </c>
      <c r="E779" s="146" t="s">
        <v>164</v>
      </c>
      <c r="F779" s="145" t="s">
        <v>1600</v>
      </c>
      <c r="G779" s="146" t="s">
        <v>20</v>
      </c>
      <c r="H779" s="146">
        <v>201605</v>
      </c>
      <c r="I779" s="147">
        <v>510.39</v>
      </c>
      <c r="J779" s="144">
        <f t="shared" si="38"/>
        <v>6</v>
      </c>
      <c r="K779" s="148">
        <v>1.4833299999999999E-3</v>
      </c>
      <c r="L779" s="147">
        <f t="shared" si="36"/>
        <v>4.54</v>
      </c>
      <c r="M779" s="147">
        <f t="shared" si="37"/>
        <v>9.08</v>
      </c>
      <c r="N779" s="168" t="e">
        <f>VLOOKUP(C779,#REF!,4)</f>
        <v>#REF!</v>
      </c>
    </row>
    <row r="780" spans="1:14">
      <c r="A780" s="145" t="s">
        <v>14</v>
      </c>
      <c r="B780" s="146" t="s">
        <v>1681</v>
      </c>
      <c r="C780" s="146" t="s">
        <v>2013</v>
      </c>
      <c r="D780" s="145" t="s">
        <v>2014</v>
      </c>
      <c r="E780" s="146" t="s">
        <v>164</v>
      </c>
      <c r="F780" s="145" t="s">
        <v>1600</v>
      </c>
      <c r="G780" s="146" t="s">
        <v>20</v>
      </c>
      <c r="H780" s="146">
        <v>201606</v>
      </c>
      <c r="I780" s="147">
        <v>88.81</v>
      </c>
      <c r="J780" s="144">
        <f t="shared" si="38"/>
        <v>5</v>
      </c>
      <c r="K780" s="148">
        <v>2.23333E-3</v>
      </c>
      <c r="L780" s="147">
        <f t="shared" si="36"/>
        <v>0.99</v>
      </c>
      <c r="M780" s="147">
        <f t="shared" si="37"/>
        <v>2.38</v>
      </c>
      <c r="N780" s="168" t="e">
        <f>VLOOKUP(C780,#REF!,4)</f>
        <v>#REF!</v>
      </c>
    </row>
    <row r="781" spans="1:14">
      <c r="A781" s="145" t="s">
        <v>626</v>
      </c>
      <c r="B781" s="146" t="s">
        <v>1681</v>
      </c>
      <c r="C781" s="146" t="s">
        <v>2013</v>
      </c>
      <c r="D781" s="145" t="s">
        <v>2014</v>
      </c>
      <c r="E781" s="146" t="s">
        <v>164</v>
      </c>
      <c r="F781" s="145" t="s">
        <v>1600</v>
      </c>
      <c r="G781" s="146" t="s">
        <v>20</v>
      </c>
      <c r="H781" s="146">
        <v>201606</v>
      </c>
      <c r="I781" s="147">
        <v>339.72</v>
      </c>
      <c r="J781" s="144">
        <f t="shared" si="38"/>
        <v>5</v>
      </c>
      <c r="K781" s="148">
        <v>1.4833299999999999E-3</v>
      </c>
      <c r="L781" s="147">
        <f t="shared" si="36"/>
        <v>2.52</v>
      </c>
      <c r="M781" s="147">
        <f t="shared" si="37"/>
        <v>6.05</v>
      </c>
      <c r="N781" s="168" t="e">
        <f>VLOOKUP(C781,#REF!,4)</f>
        <v>#REF!</v>
      </c>
    </row>
    <row r="782" spans="1:14">
      <c r="A782" s="145" t="s">
        <v>14</v>
      </c>
      <c r="B782" s="146" t="s">
        <v>1681</v>
      </c>
      <c r="C782" s="146" t="s">
        <v>2015</v>
      </c>
      <c r="D782" s="145" t="s">
        <v>2016</v>
      </c>
      <c r="E782" s="146" t="s">
        <v>164</v>
      </c>
      <c r="F782" s="145" t="s">
        <v>1600</v>
      </c>
      <c r="G782" s="146" t="s">
        <v>20</v>
      </c>
      <c r="H782" s="146">
        <v>201603</v>
      </c>
      <c r="I782" s="147">
        <v>2048.56</v>
      </c>
      <c r="J782" s="144">
        <f t="shared" si="38"/>
        <v>8</v>
      </c>
      <c r="K782" s="148">
        <v>2.23333E-3</v>
      </c>
      <c r="L782" s="147">
        <f t="shared" si="36"/>
        <v>36.6</v>
      </c>
      <c r="M782" s="147">
        <f t="shared" si="37"/>
        <v>54.9</v>
      </c>
      <c r="N782" s="168" t="e">
        <f>VLOOKUP(C782,#REF!,4)</f>
        <v>#REF!</v>
      </c>
    </row>
    <row r="783" spans="1:14">
      <c r="A783" s="145" t="s">
        <v>626</v>
      </c>
      <c r="B783" s="146" t="s">
        <v>1681</v>
      </c>
      <c r="C783" s="146" t="s">
        <v>2015</v>
      </c>
      <c r="D783" s="145" t="s">
        <v>2016</v>
      </c>
      <c r="E783" s="146" t="s">
        <v>164</v>
      </c>
      <c r="F783" s="145" t="s">
        <v>1600</v>
      </c>
      <c r="G783" s="146" t="s">
        <v>20</v>
      </c>
      <c r="H783" s="146">
        <v>201603</v>
      </c>
      <c r="I783" s="147">
        <v>22818.81</v>
      </c>
      <c r="J783" s="144">
        <f t="shared" si="38"/>
        <v>8</v>
      </c>
      <c r="K783" s="148">
        <v>1.4833299999999999E-3</v>
      </c>
      <c r="L783" s="147">
        <f t="shared" si="36"/>
        <v>270.77999999999997</v>
      </c>
      <c r="M783" s="147">
        <f t="shared" si="37"/>
        <v>406.17</v>
      </c>
      <c r="N783" s="168" t="e">
        <f>VLOOKUP(C783,#REF!,4)</f>
        <v>#REF!</v>
      </c>
    </row>
    <row r="784" spans="1:14">
      <c r="A784" s="145" t="s">
        <v>14</v>
      </c>
      <c r="B784" s="146" t="s">
        <v>1681</v>
      </c>
      <c r="C784" s="146" t="s">
        <v>2015</v>
      </c>
      <c r="D784" s="145" t="s">
        <v>2016</v>
      </c>
      <c r="E784" s="146" t="s">
        <v>164</v>
      </c>
      <c r="F784" s="145" t="s">
        <v>1600</v>
      </c>
      <c r="G784" s="146" t="s">
        <v>20</v>
      </c>
      <c r="H784" s="146">
        <v>201604</v>
      </c>
      <c r="I784" s="147">
        <v>16.97</v>
      </c>
      <c r="J784" s="144">
        <f t="shared" si="38"/>
        <v>7</v>
      </c>
      <c r="K784" s="148">
        <v>2.23333E-3</v>
      </c>
      <c r="L784" s="147">
        <f t="shared" si="36"/>
        <v>0.27</v>
      </c>
      <c r="M784" s="147">
        <f t="shared" si="37"/>
        <v>0.45</v>
      </c>
      <c r="N784" s="168" t="e">
        <f>VLOOKUP(C784,#REF!,4)</f>
        <v>#REF!</v>
      </c>
    </row>
    <row r="785" spans="1:14">
      <c r="A785" s="145" t="s">
        <v>626</v>
      </c>
      <c r="B785" s="146" t="s">
        <v>1681</v>
      </c>
      <c r="C785" s="146" t="s">
        <v>2015</v>
      </c>
      <c r="D785" s="145" t="s">
        <v>2016</v>
      </c>
      <c r="E785" s="146" t="s">
        <v>164</v>
      </c>
      <c r="F785" s="145" t="s">
        <v>1600</v>
      </c>
      <c r="G785" s="146" t="s">
        <v>20</v>
      </c>
      <c r="H785" s="146">
        <v>201604</v>
      </c>
      <c r="I785" s="147">
        <v>188.93</v>
      </c>
      <c r="J785" s="144">
        <f t="shared" si="38"/>
        <v>7</v>
      </c>
      <c r="K785" s="148">
        <v>1.4833299999999999E-3</v>
      </c>
      <c r="L785" s="147">
        <f t="shared" si="36"/>
        <v>1.96</v>
      </c>
      <c r="M785" s="147">
        <f t="shared" si="37"/>
        <v>3.36</v>
      </c>
      <c r="N785" s="168" t="e">
        <f>VLOOKUP(C785,#REF!,4)</f>
        <v>#REF!</v>
      </c>
    </row>
    <row r="786" spans="1:14">
      <c r="A786" s="145" t="s">
        <v>14</v>
      </c>
      <c r="B786" s="146" t="s">
        <v>1681</v>
      </c>
      <c r="C786" s="146" t="s">
        <v>2015</v>
      </c>
      <c r="D786" s="145" t="s">
        <v>2016</v>
      </c>
      <c r="E786" s="146" t="s">
        <v>164</v>
      </c>
      <c r="F786" s="145" t="s">
        <v>1600</v>
      </c>
      <c r="G786" s="146" t="s">
        <v>20</v>
      </c>
      <c r="H786" s="146">
        <v>201605</v>
      </c>
      <c r="I786" s="147">
        <v>56.11</v>
      </c>
      <c r="J786" s="144">
        <f t="shared" si="38"/>
        <v>6</v>
      </c>
      <c r="K786" s="148">
        <v>2.23333E-3</v>
      </c>
      <c r="L786" s="147">
        <f t="shared" si="36"/>
        <v>0.75</v>
      </c>
      <c r="M786" s="147">
        <f t="shared" si="37"/>
        <v>1.5</v>
      </c>
      <c r="N786" s="168" t="e">
        <f>VLOOKUP(C786,#REF!,4)</f>
        <v>#REF!</v>
      </c>
    </row>
    <row r="787" spans="1:14">
      <c r="A787" s="145" t="s">
        <v>626</v>
      </c>
      <c r="B787" s="146" t="s">
        <v>1681</v>
      </c>
      <c r="C787" s="146" t="s">
        <v>2015</v>
      </c>
      <c r="D787" s="145" t="s">
        <v>2016</v>
      </c>
      <c r="E787" s="146" t="s">
        <v>164</v>
      </c>
      <c r="F787" s="145" t="s">
        <v>1600</v>
      </c>
      <c r="G787" s="146" t="s">
        <v>20</v>
      </c>
      <c r="H787" s="146">
        <v>201605</v>
      </c>
      <c r="I787" s="147">
        <v>625.19000000000005</v>
      </c>
      <c r="J787" s="144">
        <f t="shared" si="38"/>
        <v>6</v>
      </c>
      <c r="K787" s="148">
        <v>1.4833299999999999E-3</v>
      </c>
      <c r="L787" s="147">
        <f t="shared" si="36"/>
        <v>5.56</v>
      </c>
      <c r="M787" s="147">
        <f t="shared" si="37"/>
        <v>11.13</v>
      </c>
      <c r="N787" s="168" t="e">
        <f>VLOOKUP(C787,#REF!,4)</f>
        <v>#REF!</v>
      </c>
    </row>
    <row r="788" spans="1:14">
      <c r="A788" s="145" t="s">
        <v>14</v>
      </c>
      <c r="B788" s="146" t="s">
        <v>1681</v>
      </c>
      <c r="C788" s="146" t="s">
        <v>2015</v>
      </c>
      <c r="D788" s="145" t="s">
        <v>2016</v>
      </c>
      <c r="E788" s="146" t="s">
        <v>164</v>
      </c>
      <c r="F788" s="145" t="s">
        <v>1600</v>
      </c>
      <c r="G788" s="146" t="s">
        <v>20</v>
      </c>
      <c r="H788" s="146">
        <v>201606</v>
      </c>
      <c r="I788" s="147">
        <v>35.42</v>
      </c>
      <c r="J788" s="144">
        <f t="shared" si="38"/>
        <v>5</v>
      </c>
      <c r="K788" s="148">
        <v>2.23333E-3</v>
      </c>
      <c r="L788" s="147">
        <f t="shared" si="36"/>
        <v>0.4</v>
      </c>
      <c r="M788" s="147">
        <f t="shared" si="37"/>
        <v>0.95</v>
      </c>
      <c r="N788" s="168" t="e">
        <f>VLOOKUP(C788,#REF!,4)</f>
        <v>#REF!</v>
      </c>
    </row>
    <row r="789" spans="1:14">
      <c r="A789" s="145" t="s">
        <v>626</v>
      </c>
      <c r="B789" s="146" t="s">
        <v>1681</v>
      </c>
      <c r="C789" s="146" t="s">
        <v>2015</v>
      </c>
      <c r="D789" s="145" t="s">
        <v>2016</v>
      </c>
      <c r="E789" s="146" t="s">
        <v>164</v>
      </c>
      <c r="F789" s="145" t="s">
        <v>1600</v>
      </c>
      <c r="G789" s="146" t="s">
        <v>20</v>
      </c>
      <c r="H789" s="146">
        <v>201606</v>
      </c>
      <c r="I789" s="147">
        <v>394.59</v>
      </c>
      <c r="J789" s="144">
        <f t="shared" si="38"/>
        <v>5</v>
      </c>
      <c r="K789" s="148">
        <v>1.4833299999999999E-3</v>
      </c>
      <c r="L789" s="147">
        <f t="shared" si="36"/>
        <v>2.93</v>
      </c>
      <c r="M789" s="147">
        <f t="shared" si="37"/>
        <v>7.02</v>
      </c>
      <c r="N789" s="168" t="e">
        <f>VLOOKUP(C789,#REF!,4)</f>
        <v>#REF!</v>
      </c>
    </row>
    <row r="790" spans="1:14">
      <c r="A790" s="145" t="s">
        <v>626</v>
      </c>
      <c r="B790" s="146" t="s">
        <v>1681</v>
      </c>
      <c r="C790" s="146" t="s">
        <v>2077</v>
      </c>
      <c r="D790" s="145" t="s">
        <v>2078</v>
      </c>
      <c r="E790" s="146" t="s">
        <v>260</v>
      </c>
      <c r="F790" s="145" t="s">
        <v>1608</v>
      </c>
      <c r="G790" s="146" t="s">
        <v>20</v>
      </c>
      <c r="H790" s="146">
        <v>201606</v>
      </c>
      <c r="I790" s="147">
        <v>218130.17</v>
      </c>
      <c r="J790" s="144">
        <f t="shared" si="38"/>
        <v>5</v>
      </c>
      <c r="K790" s="148">
        <v>1.4833299999999999E-3</v>
      </c>
      <c r="L790" s="147">
        <f t="shared" si="36"/>
        <v>1617.8</v>
      </c>
      <c r="M790" s="147">
        <f t="shared" si="37"/>
        <v>3882.71</v>
      </c>
      <c r="N790" s="168" t="e">
        <f>VLOOKUP(C790,#REF!,4)</f>
        <v>#REF!</v>
      </c>
    </row>
    <row r="791" spans="1:14">
      <c r="A791" s="145" t="s">
        <v>626</v>
      </c>
      <c r="B791" s="146" t="s">
        <v>1681</v>
      </c>
      <c r="C791" s="146" t="s">
        <v>2079</v>
      </c>
      <c r="D791" s="145" t="s">
        <v>2080</v>
      </c>
      <c r="E791" s="146" t="s">
        <v>75</v>
      </c>
      <c r="F791" s="145" t="s">
        <v>1602</v>
      </c>
      <c r="G791" s="146" t="s">
        <v>20</v>
      </c>
      <c r="H791" s="146">
        <v>201604</v>
      </c>
      <c r="I791" s="147">
        <v>109132.49</v>
      </c>
      <c r="J791" s="144">
        <f t="shared" si="38"/>
        <v>7</v>
      </c>
      <c r="K791" s="148">
        <v>1.4833299999999999E-3</v>
      </c>
      <c r="L791" s="147">
        <f t="shared" si="36"/>
        <v>1133.1600000000001</v>
      </c>
      <c r="M791" s="147">
        <f t="shared" si="37"/>
        <v>1942.55</v>
      </c>
      <c r="N791" s="168" t="e">
        <f>VLOOKUP(C791,#REF!,4)</f>
        <v>#REF!</v>
      </c>
    </row>
    <row r="792" spans="1:14">
      <c r="A792" s="145" t="s">
        <v>626</v>
      </c>
      <c r="B792" s="146" t="s">
        <v>1681</v>
      </c>
      <c r="C792" s="146" t="s">
        <v>2079</v>
      </c>
      <c r="D792" s="145" t="s">
        <v>2080</v>
      </c>
      <c r="E792" s="146" t="s">
        <v>75</v>
      </c>
      <c r="F792" s="145" t="s">
        <v>1602</v>
      </c>
      <c r="G792" s="146" t="s">
        <v>20</v>
      </c>
      <c r="H792" s="146">
        <v>201605</v>
      </c>
      <c r="I792" s="147">
        <v>3771.1</v>
      </c>
      <c r="J792" s="144">
        <f t="shared" si="38"/>
        <v>6</v>
      </c>
      <c r="K792" s="148">
        <v>1.4833299999999999E-3</v>
      </c>
      <c r="L792" s="147">
        <f t="shared" si="36"/>
        <v>33.56</v>
      </c>
      <c r="M792" s="147">
        <f t="shared" si="37"/>
        <v>67.13</v>
      </c>
      <c r="N792" s="168" t="e">
        <f>VLOOKUP(C792,#REF!,4)</f>
        <v>#REF!</v>
      </c>
    </row>
    <row r="793" spans="1:14">
      <c r="A793" s="145" t="s">
        <v>626</v>
      </c>
      <c r="B793" s="146" t="s">
        <v>1681</v>
      </c>
      <c r="C793" s="146" t="s">
        <v>2079</v>
      </c>
      <c r="D793" s="145" t="s">
        <v>2080</v>
      </c>
      <c r="E793" s="146" t="s">
        <v>75</v>
      </c>
      <c r="F793" s="145" t="s">
        <v>1602</v>
      </c>
      <c r="G793" s="146" t="s">
        <v>20</v>
      </c>
      <c r="H793" s="146">
        <v>201606</v>
      </c>
      <c r="I793" s="147">
        <v>2755.65</v>
      </c>
      <c r="J793" s="144">
        <f t="shared" si="38"/>
        <v>5</v>
      </c>
      <c r="K793" s="148">
        <v>1.4833299999999999E-3</v>
      </c>
      <c r="L793" s="147">
        <f t="shared" si="36"/>
        <v>20.440000000000001</v>
      </c>
      <c r="M793" s="147">
        <f t="shared" si="37"/>
        <v>49.05</v>
      </c>
      <c r="N793" s="168" t="e">
        <f>VLOOKUP(C793,#REF!,4)</f>
        <v>#REF!</v>
      </c>
    </row>
    <row r="794" spans="1:14">
      <c r="A794" s="145" t="s">
        <v>21</v>
      </c>
      <c r="B794" s="146" t="s">
        <v>1681</v>
      </c>
      <c r="C794" s="146" t="s">
        <v>2017</v>
      </c>
      <c r="D794" s="145" t="s">
        <v>2018</v>
      </c>
      <c r="E794" s="146" t="s">
        <v>87</v>
      </c>
      <c r="F794" s="145" t="s">
        <v>1603</v>
      </c>
      <c r="G794" s="146" t="s">
        <v>20</v>
      </c>
      <c r="H794" s="146">
        <v>201603</v>
      </c>
      <c r="I794" s="147">
        <v>429.72</v>
      </c>
      <c r="J794" s="144">
        <f t="shared" si="38"/>
        <v>8</v>
      </c>
      <c r="K794" s="148">
        <v>1.4833299999999999E-3</v>
      </c>
      <c r="L794" s="147">
        <f t="shared" si="36"/>
        <v>5.0999999999999996</v>
      </c>
      <c r="M794" s="147">
        <f t="shared" si="37"/>
        <v>7.65</v>
      </c>
      <c r="N794" s="168" t="e">
        <f>VLOOKUP(C794,#REF!,4)</f>
        <v>#REF!</v>
      </c>
    </row>
    <row r="795" spans="1:14">
      <c r="A795" s="145" t="s">
        <v>21</v>
      </c>
      <c r="B795" s="146" t="s">
        <v>1681</v>
      </c>
      <c r="C795" s="146" t="s">
        <v>2017</v>
      </c>
      <c r="D795" s="145" t="s">
        <v>2018</v>
      </c>
      <c r="E795" s="146" t="s">
        <v>87</v>
      </c>
      <c r="F795" s="145" t="s">
        <v>1603</v>
      </c>
      <c r="G795" s="146" t="s">
        <v>20</v>
      </c>
      <c r="H795" s="146">
        <v>201604</v>
      </c>
      <c r="I795" s="147">
        <v>801.92</v>
      </c>
      <c r="J795" s="144">
        <f t="shared" si="38"/>
        <v>7</v>
      </c>
      <c r="K795" s="148">
        <v>1.4833299999999999E-3</v>
      </c>
      <c r="L795" s="147">
        <f t="shared" si="36"/>
        <v>8.33</v>
      </c>
      <c r="M795" s="147">
        <f t="shared" si="37"/>
        <v>14.27</v>
      </c>
      <c r="N795" s="168" t="e">
        <f>VLOOKUP(C795,#REF!,4)</f>
        <v>#REF!</v>
      </c>
    </row>
    <row r="796" spans="1:14">
      <c r="A796" s="145" t="s">
        <v>21</v>
      </c>
      <c r="B796" s="146" t="s">
        <v>1681</v>
      </c>
      <c r="C796" s="146" t="s">
        <v>2017</v>
      </c>
      <c r="D796" s="145" t="s">
        <v>2018</v>
      </c>
      <c r="E796" s="146" t="s">
        <v>87</v>
      </c>
      <c r="F796" s="145" t="s">
        <v>1603</v>
      </c>
      <c r="G796" s="146" t="s">
        <v>20</v>
      </c>
      <c r="H796" s="146">
        <v>201605</v>
      </c>
      <c r="I796" s="147">
        <v>3688.99</v>
      </c>
      <c r="J796" s="144">
        <f t="shared" si="38"/>
        <v>6</v>
      </c>
      <c r="K796" s="148">
        <v>1.4833299999999999E-3</v>
      </c>
      <c r="L796" s="147">
        <f t="shared" si="36"/>
        <v>32.83</v>
      </c>
      <c r="M796" s="147">
        <f t="shared" si="37"/>
        <v>65.66</v>
      </c>
      <c r="N796" s="168" t="e">
        <f>VLOOKUP(C796,#REF!,4)</f>
        <v>#REF!</v>
      </c>
    </row>
    <row r="797" spans="1:14">
      <c r="A797" s="145" t="s">
        <v>21</v>
      </c>
      <c r="B797" s="146" t="s">
        <v>1681</v>
      </c>
      <c r="C797" s="146" t="s">
        <v>2017</v>
      </c>
      <c r="D797" s="145" t="s">
        <v>2018</v>
      </c>
      <c r="E797" s="146" t="s">
        <v>87</v>
      </c>
      <c r="F797" s="145" t="s">
        <v>1603</v>
      </c>
      <c r="G797" s="146" t="s">
        <v>20</v>
      </c>
      <c r="H797" s="146">
        <v>201606</v>
      </c>
      <c r="I797" s="147">
        <v>63.07</v>
      </c>
      <c r="J797" s="144">
        <f t="shared" si="38"/>
        <v>5</v>
      </c>
      <c r="K797" s="148">
        <v>1.4833299999999999E-3</v>
      </c>
      <c r="L797" s="147">
        <f t="shared" si="36"/>
        <v>0.47</v>
      </c>
      <c r="M797" s="147">
        <f t="shared" si="37"/>
        <v>1.1200000000000001</v>
      </c>
      <c r="N797" s="168" t="e">
        <f>VLOOKUP(C797,#REF!,4)</f>
        <v>#REF!</v>
      </c>
    </row>
    <row r="798" spans="1:14">
      <c r="A798" s="145" t="s">
        <v>626</v>
      </c>
      <c r="B798" s="146" t="s">
        <v>1681</v>
      </c>
      <c r="C798" s="146" t="s">
        <v>2081</v>
      </c>
      <c r="D798" s="145" t="s">
        <v>2082</v>
      </c>
      <c r="E798" s="146" t="s">
        <v>75</v>
      </c>
      <c r="F798" s="145" t="s">
        <v>1602</v>
      </c>
      <c r="G798" s="146" t="s">
        <v>20</v>
      </c>
      <c r="H798" s="146">
        <v>201605</v>
      </c>
      <c r="I798" s="147">
        <v>396348.63</v>
      </c>
      <c r="J798" s="144">
        <f t="shared" si="38"/>
        <v>6</v>
      </c>
      <c r="K798" s="148">
        <v>1.4833299999999999E-3</v>
      </c>
      <c r="L798" s="147">
        <f t="shared" si="36"/>
        <v>3527.49</v>
      </c>
      <c r="M798" s="147">
        <f t="shared" si="37"/>
        <v>7054.99</v>
      </c>
      <c r="N798" s="168" t="e">
        <f>VLOOKUP(C798,#REF!,4)</f>
        <v>#REF!</v>
      </c>
    </row>
    <row r="799" spans="1:14">
      <c r="A799" s="145" t="s">
        <v>626</v>
      </c>
      <c r="B799" s="146" t="s">
        <v>1681</v>
      </c>
      <c r="C799" s="146" t="s">
        <v>2081</v>
      </c>
      <c r="D799" s="145" t="s">
        <v>2082</v>
      </c>
      <c r="E799" s="146" t="s">
        <v>75</v>
      </c>
      <c r="F799" s="145" t="s">
        <v>1602</v>
      </c>
      <c r="G799" s="146" t="s">
        <v>20</v>
      </c>
      <c r="H799" s="146">
        <v>201606</v>
      </c>
      <c r="I799" s="147">
        <v>58204.84</v>
      </c>
      <c r="J799" s="144">
        <f t="shared" si="38"/>
        <v>5</v>
      </c>
      <c r="K799" s="148">
        <v>1.4833299999999999E-3</v>
      </c>
      <c r="L799" s="147">
        <f t="shared" si="36"/>
        <v>431.68</v>
      </c>
      <c r="M799" s="147">
        <f t="shared" si="37"/>
        <v>1036.04</v>
      </c>
      <c r="N799" s="168" t="e">
        <f>VLOOKUP(C799,#REF!,4)</f>
        <v>#REF!</v>
      </c>
    </row>
    <row r="800" spans="1:14">
      <c r="A800" s="145" t="s">
        <v>626</v>
      </c>
      <c r="B800" s="146" t="s">
        <v>1681</v>
      </c>
      <c r="C800" s="146" t="s">
        <v>2083</v>
      </c>
      <c r="D800" s="145" t="s">
        <v>2084</v>
      </c>
      <c r="E800" s="146" t="s">
        <v>75</v>
      </c>
      <c r="F800" s="145" t="s">
        <v>1602</v>
      </c>
      <c r="G800" s="146" t="s">
        <v>20</v>
      </c>
      <c r="H800" s="146">
        <v>201605</v>
      </c>
      <c r="I800" s="147">
        <v>97811.62</v>
      </c>
      <c r="J800" s="144">
        <f t="shared" si="38"/>
        <v>6</v>
      </c>
      <c r="K800" s="148">
        <v>1.4833299999999999E-3</v>
      </c>
      <c r="L800" s="147">
        <f t="shared" si="36"/>
        <v>870.52</v>
      </c>
      <c r="M800" s="147">
        <f t="shared" si="37"/>
        <v>1741.04</v>
      </c>
      <c r="N800" s="168" t="e">
        <f>VLOOKUP(C800,#REF!,4)</f>
        <v>#REF!</v>
      </c>
    </row>
    <row r="801" spans="1:14">
      <c r="A801" s="145" t="s">
        <v>626</v>
      </c>
      <c r="B801" s="146" t="s">
        <v>1681</v>
      </c>
      <c r="C801" s="146" t="s">
        <v>2083</v>
      </c>
      <c r="D801" s="145" t="s">
        <v>2084</v>
      </c>
      <c r="E801" s="146" t="s">
        <v>75</v>
      </c>
      <c r="F801" s="145" t="s">
        <v>1602</v>
      </c>
      <c r="G801" s="146" t="s">
        <v>20</v>
      </c>
      <c r="H801" s="146">
        <v>201606</v>
      </c>
      <c r="I801" s="147">
        <v>975.39</v>
      </c>
      <c r="J801" s="144">
        <f t="shared" si="38"/>
        <v>5</v>
      </c>
      <c r="K801" s="148">
        <v>1.4833299999999999E-3</v>
      </c>
      <c r="L801" s="147">
        <f t="shared" si="36"/>
        <v>7.23</v>
      </c>
      <c r="M801" s="147">
        <f t="shared" si="37"/>
        <v>17.36</v>
      </c>
      <c r="N801" s="168" t="e">
        <f>VLOOKUP(C801,#REF!,4)</f>
        <v>#REF!</v>
      </c>
    </row>
    <row r="802" spans="1:14">
      <c r="A802" s="145" t="s">
        <v>626</v>
      </c>
      <c r="B802" s="146" t="s">
        <v>1681</v>
      </c>
      <c r="C802" s="146" t="s">
        <v>2085</v>
      </c>
      <c r="D802" s="145" t="s">
        <v>2086</v>
      </c>
      <c r="E802" s="146" t="s">
        <v>164</v>
      </c>
      <c r="F802" s="145" t="s">
        <v>1600</v>
      </c>
      <c r="G802" s="146" t="s">
        <v>20</v>
      </c>
      <c r="H802" s="146">
        <v>201606</v>
      </c>
      <c r="I802" s="147">
        <v>65181.47</v>
      </c>
      <c r="J802" s="144">
        <f t="shared" si="38"/>
        <v>5</v>
      </c>
      <c r="K802" s="148">
        <v>1.4833299999999999E-3</v>
      </c>
      <c r="L802" s="147">
        <f t="shared" si="36"/>
        <v>483.43</v>
      </c>
      <c r="M802" s="147">
        <f t="shared" si="37"/>
        <v>1160.23</v>
      </c>
      <c r="N802" s="168" t="e">
        <f>VLOOKUP(C802,#REF!,4)</f>
        <v>#REF!</v>
      </c>
    </row>
    <row r="803" spans="1:14">
      <c r="A803" s="145" t="s">
        <v>14</v>
      </c>
      <c r="B803" s="146" t="s">
        <v>1681</v>
      </c>
      <c r="C803" s="146" t="s">
        <v>2087</v>
      </c>
      <c r="D803" s="145" t="s">
        <v>2088</v>
      </c>
      <c r="E803" s="146" t="s">
        <v>164</v>
      </c>
      <c r="F803" s="145" t="s">
        <v>1600</v>
      </c>
      <c r="G803" s="146" t="s">
        <v>20</v>
      </c>
      <c r="H803" s="146">
        <v>201606</v>
      </c>
      <c r="I803" s="147">
        <v>4842.38</v>
      </c>
      <c r="J803" s="144">
        <f t="shared" si="38"/>
        <v>5</v>
      </c>
      <c r="K803" s="148">
        <v>2.23333E-3</v>
      </c>
      <c r="L803" s="147">
        <f t="shared" si="36"/>
        <v>54.07</v>
      </c>
      <c r="M803" s="147">
        <f t="shared" si="37"/>
        <v>129.78</v>
      </c>
      <c r="N803" s="168" t="e">
        <f>VLOOKUP(C803,#REF!,4)</f>
        <v>#REF!</v>
      </c>
    </row>
    <row r="804" spans="1:14">
      <c r="A804" s="145" t="s">
        <v>626</v>
      </c>
      <c r="B804" s="146" t="s">
        <v>1681</v>
      </c>
      <c r="C804" s="146" t="s">
        <v>2087</v>
      </c>
      <c r="D804" s="145" t="s">
        <v>2088</v>
      </c>
      <c r="E804" s="146" t="s">
        <v>164</v>
      </c>
      <c r="F804" s="145" t="s">
        <v>1600</v>
      </c>
      <c r="G804" s="146" t="s">
        <v>20</v>
      </c>
      <c r="H804" s="146">
        <v>201606</v>
      </c>
      <c r="I804" s="147">
        <v>64093.32</v>
      </c>
      <c r="J804" s="144">
        <f t="shared" si="38"/>
        <v>5</v>
      </c>
      <c r="K804" s="148">
        <v>1.4833299999999999E-3</v>
      </c>
      <c r="L804" s="147">
        <f t="shared" si="36"/>
        <v>475.36</v>
      </c>
      <c r="M804" s="147">
        <f t="shared" si="37"/>
        <v>1140.8599999999999</v>
      </c>
      <c r="N804" s="168" t="e">
        <f>VLOOKUP(C804,#REF!,4)</f>
        <v>#REF!</v>
      </c>
    </row>
    <row r="805" spans="1:14">
      <c r="A805" s="145" t="s">
        <v>626</v>
      </c>
      <c r="B805" s="146" t="s">
        <v>1681</v>
      </c>
      <c r="C805" s="146" t="s">
        <v>2089</v>
      </c>
      <c r="D805" s="145" t="s">
        <v>2090</v>
      </c>
      <c r="E805" s="146" t="s">
        <v>164</v>
      </c>
      <c r="F805" s="145" t="s">
        <v>1600</v>
      </c>
      <c r="G805" s="146" t="s">
        <v>20</v>
      </c>
      <c r="H805" s="146">
        <v>201606</v>
      </c>
      <c r="I805" s="147">
        <v>9704.4500000000007</v>
      </c>
      <c r="J805" s="144">
        <f t="shared" si="38"/>
        <v>5</v>
      </c>
      <c r="K805" s="148">
        <v>1.4833299999999999E-3</v>
      </c>
      <c r="L805" s="147">
        <f t="shared" si="36"/>
        <v>71.97</v>
      </c>
      <c r="M805" s="147">
        <f t="shared" si="37"/>
        <v>172.74</v>
      </c>
      <c r="N805" s="168" t="e">
        <f>VLOOKUP(C805,#REF!,4)</f>
        <v>#REF!</v>
      </c>
    </row>
    <row r="806" spans="1:14">
      <c r="A806" s="145" t="s">
        <v>14</v>
      </c>
      <c r="B806" s="146" t="s">
        <v>1681</v>
      </c>
      <c r="C806" s="146" t="s">
        <v>2091</v>
      </c>
      <c r="D806" s="145" t="s">
        <v>2092</v>
      </c>
      <c r="E806" s="146" t="s">
        <v>93</v>
      </c>
      <c r="F806" s="145" t="s">
        <v>1601</v>
      </c>
      <c r="G806" s="146" t="s">
        <v>20</v>
      </c>
      <c r="H806" s="146">
        <v>201604</v>
      </c>
      <c r="I806" s="147">
        <v>2763.22</v>
      </c>
      <c r="J806" s="144">
        <f t="shared" si="38"/>
        <v>7</v>
      </c>
      <c r="K806" s="148">
        <v>2.23333E-3</v>
      </c>
      <c r="L806" s="147">
        <f t="shared" si="36"/>
        <v>43.2</v>
      </c>
      <c r="M806" s="147">
        <f t="shared" si="37"/>
        <v>74.05</v>
      </c>
      <c r="N806" s="168" t="e">
        <f>VLOOKUP(C806,#REF!,4)</f>
        <v>#REF!</v>
      </c>
    </row>
    <row r="807" spans="1:14">
      <c r="A807" s="145" t="s">
        <v>14</v>
      </c>
      <c r="B807" s="146" t="s">
        <v>1681</v>
      </c>
      <c r="C807" s="146" t="s">
        <v>2091</v>
      </c>
      <c r="D807" s="145" t="s">
        <v>2092</v>
      </c>
      <c r="E807" s="146" t="s">
        <v>93</v>
      </c>
      <c r="F807" s="145" t="s">
        <v>1601</v>
      </c>
      <c r="G807" s="146" t="s">
        <v>20</v>
      </c>
      <c r="H807" s="146">
        <v>201605</v>
      </c>
      <c r="I807" s="147">
        <v>116.94</v>
      </c>
      <c r="J807" s="144">
        <f t="shared" si="38"/>
        <v>6</v>
      </c>
      <c r="K807" s="148">
        <v>2.23333E-3</v>
      </c>
      <c r="L807" s="147">
        <f t="shared" si="36"/>
        <v>1.57</v>
      </c>
      <c r="M807" s="147">
        <f t="shared" si="37"/>
        <v>3.13</v>
      </c>
      <c r="N807" s="168" t="e">
        <f>VLOOKUP(C807,#REF!,4)</f>
        <v>#REF!</v>
      </c>
    </row>
    <row r="808" spans="1:14">
      <c r="A808" s="145" t="s">
        <v>14</v>
      </c>
      <c r="B808" s="146" t="s">
        <v>1681</v>
      </c>
      <c r="C808" s="146" t="s">
        <v>2091</v>
      </c>
      <c r="D808" s="145" t="s">
        <v>2092</v>
      </c>
      <c r="E808" s="146" t="s">
        <v>93</v>
      </c>
      <c r="F808" s="145" t="s">
        <v>1601</v>
      </c>
      <c r="G808" s="146" t="s">
        <v>20</v>
      </c>
      <c r="H808" s="146">
        <v>201606</v>
      </c>
      <c r="I808" s="147">
        <v>64.14</v>
      </c>
      <c r="J808" s="144">
        <f t="shared" si="38"/>
        <v>5</v>
      </c>
      <c r="K808" s="148">
        <v>2.23333E-3</v>
      </c>
      <c r="L808" s="147">
        <f t="shared" si="36"/>
        <v>0.72</v>
      </c>
      <c r="M808" s="147">
        <f t="shared" si="37"/>
        <v>1.72</v>
      </c>
      <c r="N808" s="168" t="e">
        <f>VLOOKUP(C808,#REF!,4)</f>
        <v>#REF!</v>
      </c>
    </row>
    <row r="809" spans="1:14">
      <c r="A809" s="145" t="s">
        <v>626</v>
      </c>
      <c r="B809" s="146" t="s">
        <v>1681</v>
      </c>
      <c r="C809" s="146" t="s">
        <v>2093</v>
      </c>
      <c r="D809" s="145" t="s">
        <v>2094</v>
      </c>
      <c r="E809" s="146" t="s">
        <v>209</v>
      </c>
      <c r="F809" s="145" t="s">
        <v>1612</v>
      </c>
      <c r="G809" s="146" t="s">
        <v>20</v>
      </c>
      <c r="H809" s="146">
        <v>201604</v>
      </c>
      <c r="I809" s="147">
        <v>24940.37</v>
      </c>
      <c r="J809" s="144">
        <f t="shared" si="38"/>
        <v>7</v>
      </c>
      <c r="K809" s="148">
        <v>1.4833299999999999E-3</v>
      </c>
      <c r="L809" s="147">
        <f t="shared" si="36"/>
        <v>258.95999999999998</v>
      </c>
      <c r="M809" s="147">
        <f t="shared" si="37"/>
        <v>443.94</v>
      </c>
      <c r="N809" s="168" t="e">
        <f>VLOOKUP(C809,#REF!,4)</f>
        <v>#REF!</v>
      </c>
    </row>
    <row r="810" spans="1:14">
      <c r="A810" s="145" t="s">
        <v>626</v>
      </c>
      <c r="B810" s="146" t="s">
        <v>1681</v>
      </c>
      <c r="C810" s="146" t="s">
        <v>2093</v>
      </c>
      <c r="D810" s="145" t="s">
        <v>2094</v>
      </c>
      <c r="E810" s="146" t="s">
        <v>209</v>
      </c>
      <c r="F810" s="145" t="s">
        <v>1612</v>
      </c>
      <c r="G810" s="146" t="s">
        <v>20</v>
      </c>
      <c r="H810" s="146">
        <v>201605</v>
      </c>
      <c r="I810" s="147">
        <v>949.56</v>
      </c>
      <c r="J810" s="144">
        <f t="shared" si="38"/>
        <v>6</v>
      </c>
      <c r="K810" s="148">
        <v>1.4833299999999999E-3</v>
      </c>
      <c r="L810" s="147">
        <f t="shared" si="36"/>
        <v>8.4499999999999993</v>
      </c>
      <c r="M810" s="147">
        <f t="shared" si="37"/>
        <v>16.899999999999999</v>
      </c>
      <c r="N810" s="168" t="e">
        <f>VLOOKUP(C810,#REF!,4)</f>
        <v>#REF!</v>
      </c>
    </row>
    <row r="811" spans="1:14">
      <c r="A811" s="145" t="s">
        <v>626</v>
      </c>
      <c r="B811" s="146" t="s">
        <v>1681</v>
      </c>
      <c r="C811" s="146" t="s">
        <v>2093</v>
      </c>
      <c r="D811" s="145" t="s">
        <v>2094</v>
      </c>
      <c r="E811" s="146" t="s">
        <v>209</v>
      </c>
      <c r="F811" s="145" t="s">
        <v>1612</v>
      </c>
      <c r="G811" s="146" t="s">
        <v>20</v>
      </c>
      <c r="H811" s="146">
        <v>201606</v>
      </c>
      <c r="I811" s="147">
        <v>665.26</v>
      </c>
      <c r="J811" s="144">
        <f t="shared" si="38"/>
        <v>5</v>
      </c>
      <c r="K811" s="148">
        <v>1.4833299999999999E-3</v>
      </c>
      <c r="L811" s="147">
        <f t="shared" si="36"/>
        <v>4.93</v>
      </c>
      <c r="M811" s="147">
        <f t="shared" si="37"/>
        <v>11.84</v>
      </c>
      <c r="N811" s="168" t="e">
        <f>VLOOKUP(C811,#REF!,4)</f>
        <v>#REF!</v>
      </c>
    </row>
    <row r="812" spans="1:14">
      <c r="A812" s="145" t="s">
        <v>626</v>
      </c>
      <c r="B812" s="146" t="s">
        <v>1681</v>
      </c>
      <c r="C812" s="146" t="s">
        <v>2095</v>
      </c>
      <c r="D812" s="145" t="s">
        <v>2096</v>
      </c>
      <c r="E812" s="146" t="s">
        <v>164</v>
      </c>
      <c r="F812" s="145" t="s">
        <v>1600</v>
      </c>
      <c r="G812" s="146" t="s">
        <v>20</v>
      </c>
      <c r="H812" s="146">
        <v>201606</v>
      </c>
      <c r="I812" s="147">
        <v>16782.54</v>
      </c>
      <c r="J812" s="144">
        <f t="shared" si="38"/>
        <v>5</v>
      </c>
      <c r="K812" s="148">
        <v>1.4833299999999999E-3</v>
      </c>
      <c r="L812" s="147">
        <f t="shared" si="36"/>
        <v>124.47</v>
      </c>
      <c r="M812" s="147">
        <f t="shared" si="37"/>
        <v>298.73</v>
      </c>
      <c r="N812" s="168" t="e">
        <f>VLOOKUP(C812,#REF!,4)</f>
        <v>#REF!</v>
      </c>
    </row>
    <row r="813" spans="1:14">
      <c r="A813" s="145" t="s">
        <v>14</v>
      </c>
      <c r="B813" s="146" t="s">
        <v>1681</v>
      </c>
      <c r="C813" s="146" t="s">
        <v>2097</v>
      </c>
      <c r="D813" s="145" t="s">
        <v>2098</v>
      </c>
      <c r="E813" s="146" t="s">
        <v>260</v>
      </c>
      <c r="F813" s="145" t="s">
        <v>1608</v>
      </c>
      <c r="G813" s="146" t="s">
        <v>20</v>
      </c>
      <c r="H813" s="146">
        <v>201606</v>
      </c>
      <c r="I813" s="147">
        <v>5196.82</v>
      </c>
      <c r="J813" s="144">
        <f t="shared" si="38"/>
        <v>5</v>
      </c>
      <c r="K813" s="148">
        <v>2.23333E-3</v>
      </c>
      <c r="L813" s="147">
        <f t="shared" si="36"/>
        <v>58.03</v>
      </c>
      <c r="M813" s="147">
        <f t="shared" si="37"/>
        <v>139.27000000000001</v>
      </c>
      <c r="N813" s="168" t="e">
        <f>VLOOKUP(C813,#REF!,4)</f>
        <v>#REF!</v>
      </c>
    </row>
    <row r="814" spans="1:14">
      <c r="A814" s="145" t="s">
        <v>626</v>
      </c>
      <c r="B814" s="146" t="s">
        <v>1681</v>
      </c>
      <c r="C814" s="146" t="s">
        <v>2097</v>
      </c>
      <c r="D814" s="145" t="s">
        <v>2098</v>
      </c>
      <c r="E814" s="146" t="s">
        <v>260</v>
      </c>
      <c r="F814" s="145" t="s">
        <v>1608</v>
      </c>
      <c r="G814" s="146" t="s">
        <v>20</v>
      </c>
      <c r="H814" s="146">
        <v>201606</v>
      </c>
      <c r="I814" s="147">
        <v>41649.4</v>
      </c>
      <c r="J814" s="144">
        <f t="shared" si="38"/>
        <v>5</v>
      </c>
      <c r="K814" s="148">
        <v>1.4833299999999999E-3</v>
      </c>
      <c r="L814" s="147">
        <f t="shared" si="36"/>
        <v>308.89999999999998</v>
      </c>
      <c r="M814" s="147">
        <f t="shared" si="37"/>
        <v>741.36</v>
      </c>
      <c r="N814" s="168" t="e">
        <f>VLOOKUP(C814,#REF!,4)</f>
        <v>#REF!</v>
      </c>
    </row>
    <row r="815" spans="1:14">
      <c r="A815" s="145" t="s">
        <v>14</v>
      </c>
      <c r="B815" s="146" t="s">
        <v>1681</v>
      </c>
      <c r="C815" s="146" t="s">
        <v>2099</v>
      </c>
      <c r="D815" s="145" t="s">
        <v>2100</v>
      </c>
      <c r="E815" s="146" t="s">
        <v>260</v>
      </c>
      <c r="F815" s="145" t="s">
        <v>1608</v>
      </c>
      <c r="G815" s="146" t="s">
        <v>20</v>
      </c>
      <c r="H815" s="146">
        <v>201606</v>
      </c>
      <c r="I815" s="147">
        <v>829.1</v>
      </c>
      <c r="J815" s="144">
        <f t="shared" si="38"/>
        <v>5</v>
      </c>
      <c r="K815" s="148">
        <v>2.23333E-3</v>
      </c>
      <c r="L815" s="147">
        <f t="shared" si="36"/>
        <v>9.26</v>
      </c>
      <c r="M815" s="147">
        <f t="shared" si="37"/>
        <v>22.22</v>
      </c>
      <c r="N815" s="168" t="e">
        <f>VLOOKUP(C815,#REF!,4)</f>
        <v>#REF!</v>
      </c>
    </row>
    <row r="816" spans="1:14">
      <c r="A816" s="145" t="s">
        <v>626</v>
      </c>
      <c r="B816" s="146" t="s">
        <v>1681</v>
      </c>
      <c r="C816" s="146" t="s">
        <v>2099</v>
      </c>
      <c r="D816" s="145" t="s">
        <v>2100</v>
      </c>
      <c r="E816" s="146" t="s">
        <v>260</v>
      </c>
      <c r="F816" s="145" t="s">
        <v>1608</v>
      </c>
      <c r="G816" s="146" t="s">
        <v>20</v>
      </c>
      <c r="H816" s="146">
        <v>201606</v>
      </c>
      <c r="I816" s="147">
        <v>22719.51</v>
      </c>
      <c r="J816" s="144">
        <f t="shared" si="38"/>
        <v>5</v>
      </c>
      <c r="K816" s="148">
        <v>1.4833299999999999E-3</v>
      </c>
      <c r="L816" s="147">
        <f t="shared" si="36"/>
        <v>168.5</v>
      </c>
      <c r="M816" s="147">
        <f t="shared" si="37"/>
        <v>404.41</v>
      </c>
      <c r="N816" s="168" t="e">
        <f>VLOOKUP(C816,#REF!,4)</f>
        <v>#REF!</v>
      </c>
    </row>
    <row r="817" spans="1:23">
      <c r="A817" s="145" t="s">
        <v>626</v>
      </c>
      <c r="B817" s="146" t="s">
        <v>1681</v>
      </c>
      <c r="C817" s="146" t="s">
        <v>2101</v>
      </c>
      <c r="D817" s="145" t="s">
        <v>2102</v>
      </c>
      <c r="E817" s="146" t="s">
        <v>260</v>
      </c>
      <c r="F817" s="145" t="s">
        <v>1608</v>
      </c>
      <c r="G817" s="146" t="s">
        <v>20</v>
      </c>
      <c r="H817" s="146">
        <v>201606</v>
      </c>
      <c r="I817" s="147">
        <v>7405.02</v>
      </c>
      <c r="J817" s="144">
        <f t="shared" si="38"/>
        <v>5</v>
      </c>
      <c r="K817" s="148">
        <v>1.4833299999999999E-3</v>
      </c>
      <c r="L817" s="147">
        <f t="shared" si="36"/>
        <v>54.92</v>
      </c>
      <c r="M817" s="147">
        <f t="shared" si="37"/>
        <v>131.81</v>
      </c>
      <c r="N817" s="168" t="e">
        <f>VLOOKUP(C817,#REF!,4)</f>
        <v>#REF!</v>
      </c>
    </row>
    <row r="818" spans="1:23">
      <c r="A818" s="145" t="s">
        <v>626</v>
      </c>
      <c r="B818" s="146" t="s">
        <v>1681</v>
      </c>
      <c r="C818" s="146" t="s">
        <v>2103</v>
      </c>
      <c r="D818" s="145" t="s">
        <v>2104</v>
      </c>
      <c r="E818" s="146" t="s">
        <v>93</v>
      </c>
      <c r="F818" s="145" t="s">
        <v>1601</v>
      </c>
      <c r="G818" s="146" t="s">
        <v>20</v>
      </c>
      <c r="H818" s="146">
        <v>201606</v>
      </c>
      <c r="I818" s="147">
        <v>492.61</v>
      </c>
      <c r="J818" s="144">
        <f t="shared" si="38"/>
        <v>5</v>
      </c>
      <c r="K818" s="148">
        <v>1.4833299999999999E-3</v>
      </c>
      <c r="L818" s="147">
        <f t="shared" si="36"/>
        <v>3.65</v>
      </c>
      <c r="M818" s="147">
        <f t="shared" si="37"/>
        <v>8.77</v>
      </c>
      <c r="N818" s="168" t="e">
        <f>VLOOKUP(C818,#REF!,4)</f>
        <v>#REF!</v>
      </c>
    </row>
    <row r="819" spans="1:23">
      <c r="A819" s="145" t="s">
        <v>626</v>
      </c>
      <c r="B819" s="146" t="s">
        <v>1681</v>
      </c>
      <c r="C819" s="146" t="s">
        <v>2105</v>
      </c>
      <c r="D819" s="145" t="s">
        <v>2106</v>
      </c>
      <c r="E819" s="146" t="s">
        <v>75</v>
      </c>
      <c r="F819" s="145" t="s">
        <v>1602</v>
      </c>
      <c r="G819" s="146" t="s">
        <v>20</v>
      </c>
      <c r="H819" s="146">
        <v>201606</v>
      </c>
      <c r="I819" s="147">
        <v>187507.98</v>
      </c>
      <c r="J819" s="144">
        <f t="shared" si="38"/>
        <v>5</v>
      </c>
      <c r="K819" s="148">
        <v>1.4833299999999999E-3</v>
      </c>
      <c r="L819" s="147">
        <f t="shared" si="36"/>
        <v>1390.68</v>
      </c>
      <c r="M819" s="147">
        <f t="shared" si="37"/>
        <v>3337.63</v>
      </c>
      <c r="N819" s="168" t="e">
        <f>VLOOKUP(C819,#REF!,4)</f>
        <v>#REF!</v>
      </c>
    </row>
    <row r="820" spans="1:23">
      <c r="A820" s="145" t="s">
        <v>21</v>
      </c>
      <c r="B820" s="146" t="s">
        <v>1681</v>
      </c>
      <c r="C820" s="146" t="s">
        <v>2107</v>
      </c>
      <c r="D820" s="145" t="s">
        <v>2108</v>
      </c>
      <c r="E820" s="146" t="s">
        <v>209</v>
      </c>
      <c r="F820" s="145" t="s">
        <v>1612</v>
      </c>
      <c r="G820" s="146" t="s">
        <v>20</v>
      </c>
      <c r="H820" s="146">
        <v>201606</v>
      </c>
      <c r="I820" s="147">
        <v>11613.05</v>
      </c>
      <c r="J820" s="144">
        <f t="shared" si="38"/>
        <v>5</v>
      </c>
      <c r="K820" s="148">
        <v>1.4833299999999999E-3</v>
      </c>
      <c r="L820" s="147">
        <f t="shared" si="36"/>
        <v>86.13</v>
      </c>
      <c r="M820" s="147">
        <f t="shared" si="37"/>
        <v>206.71</v>
      </c>
      <c r="N820" s="168" t="e">
        <f>VLOOKUP(C820,#REF!,4)</f>
        <v>#REF!</v>
      </c>
    </row>
    <row r="821" spans="1:23">
      <c r="A821" s="145" t="s">
        <v>21</v>
      </c>
      <c r="B821" s="146" t="s">
        <v>1681</v>
      </c>
      <c r="C821" s="146" t="s">
        <v>2109</v>
      </c>
      <c r="D821" s="145" t="s">
        <v>2110</v>
      </c>
      <c r="E821" s="146" t="s">
        <v>75</v>
      </c>
      <c r="F821" s="145" t="s">
        <v>1602</v>
      </c>
      <c r="G821" s="146" t="s">
        <v>20</v>
      </c>
      <c r="H821" s="146">
        <v>201606</v>
      </c>
      <c r="I821" s="147">
        <v>9824.81</v>
      </c>
      <c r="J821" s="144">
        <f t="shared" si="38"/>
        <v>5</v>
      </c>
      <c r="K821" s="148">
        <v>1.4833299999999999E-3</v>
      </c>
      <c r="L821" s="147">
        <f t="shared" si="36"/>
        <v>72.87</v>
      </c>
      <c r="M821" s="147">
        <f t="shared" si="37"/>
        <v>174.88</v>
      </c>
      <c r="N821" s="168" t="e">
        <f>VLOOKUP(C821,#REF!,4)</f>
        <v>#REF!</v>
      </c>
    </row>
    <row r="822" spans="1:23">
      <c r="A822" s="145" t="s">
        <v>14</v>
      </c>
      <c r="B822" s="146" t="s">
        <v>1681</v>
      </c>
      <c r="C822" s="146" t="s">
        <v>2109</v>
      </c>
      <c r="D822" s="145" t="s">
        <v>2110</v>
      </c>
      <c r="E822" s="146" t="s">
        <v>75</v>
      </c>
      <c r="F822" s="145" t="s">
        <v>1602</v>
      </c>
      <c r="G822" s="146" t="s">
        <v>20</v>
      </c>
      <c r="H822" s="146">
        <v>201606</v>
      </c>
      <c r="I822" s="147">
        <v>14683.5</v>
      </c>
      <c r="J822" s="144">
        <f t="shared" si="38"/>
        <v>5</v>
      </c>
      <c r="K822" s="148">
        <v>2.23333E-3</v>
      </c>
      <c r="L822" s="147">
        <f t="shared" si="36"/>
        <v>163.97</v>
      </c>
      <c r="M822" s="147">
        <f t="shared" si="37"/>
        <v>393.52</v>
      </c>
      <c r="N822" s="168" t="e">
        <f>VLOOKUP(C822,#REF!,4)</f>
        <v>#REF!</v>
      </c>
    </row>
    <row r="823" spans="1:23">
      <c r="A823" s="145" t="s">
        <v>626</v>
      </c>
      <c r="B823" s="146" t="s">
        <v>1681</v>
      </c>
      <c r="C823" s="146" t="s">
        <v>2109</v>
      </c>
      <c r="D823" s="145" t="s">
        <v>2110</v>
      </c>
      <c r="E823" s="146" t="s">
        <v>75</v>
      </c>
      <c r="F823" s="145" t="s">
        <v>1602</v>
      </c>
      <c r="G823" s="146" t="s">
        <v>20</v>
      </c>
      <c r="H823" s="146">
        <v>201606</v>
      </c>
      <c r="I823" s="147">
        <v>111010.77</v>
      </c>
      <c r="J823" s="144">
        <f t="shared" si="38"/>
        <v>5</v>
      </c>
      <c r="K823" s="148">
        <v>1.4833299999999999E-3</v>
      </c>
      <c r="L823" s="147">
        <f t="shared" si="36"/>
        <v>823.33</v>
      </c>
      <c r="M823" s="147">
        <f t="shared" si="37"/>
        <v>1975.99</v>
      </c>
      <c r="N823" s="168" t="e">
        <f>VLOOKUP(C823,#REF!,4)</f>
        <v>#REF!</v>
      </c>
    </row>
    <row r="824" spans="1:23">
      <c r="A824" s="151" t="s">
        <v>21</v>
      </c>
      <c r="B824" s="152" t="s">
        <v>1664</v>
      </c>
      <c r="C824" s="152" t="s">
        <v>1665</v>
      </c>
      <c r="D824" s="151" t="s">
        <v>1666</v>
      </c>
      <c r="E824" s="152" t="s">
        <v>87</v>
      </c>
      <c r="F824" s="151" t="s">
        <v>1603</v>
      </c>
      <c r="G824" s="152" t="s">
        <v>20</v>
      </c>
      <c r="H824" s="153">
        <v>201607</v>
      </c>
      <c r="I824" s="154">
        <v>-32374.87</v>
      </c>
      <c r="J824" s="144">
        <f t="shared" si="38"/>
        <v>4</v>
      </c>
      <c r="K824" s="155">
        <v>1.4833299999999999E-3</v>
      </c>
      <c r="L824" s="154">
        <f t="shared" si="36"/>
        <v>-192.09</v>
      </c>
      <c r="M824" s="154">
        <f t="shared" si="37"/>
        <v>-576.27</v>
      </c>
      <c r="N824" s="168" t="e">
        <f>VLOOKUP(C824,#REF!,4)</f>
        <v>#REF!</v>
      </c>
      <c r="O824" s="156"/>
      <c r="P824" s="157"/>
      <c r="Q824" s="157"/>
      <c r="R824" s="158"/>
      <c r="S824" s="156"/>
      <c r="T824" s="159"/>
      <c r="U824" s="158"/>
      <c r="V824" s="158"/>
      <c r="W824" s="156"/>
    </row>
    <row r="825" spans="1:23">
      <c r="A825" s="151" t="s">
        <v>626</v>
      </c>
      <c r="B825" s="152" t="s">
        <v>1345</v>
      </c>
      <c r="C825" s="160" t="s">
        <v>1346</v>
      </c>
      <c r="D825" s="161" t="s">
        <v>1347</v>
      </c>
      <c r="E825" s="160" t="s">
        <v>87</v>
      </c>
      <c r="F825" s="161" t="s">
        <v>1603</v>
      </c>
      <c r="G825" s="160" t="s">
        <v>20</v>
      </c>
      <c r="H825" s="103">
        <v>201607</v>
      </c>
      <c r="I825" s="154">
        <v>-29859.58</v>
      </c>
      <c r="J825" s="144">
        <f t="shared" si="38"/>
        <v>4</v>
      </c>
      <c r="K825" s="155">
        <v>1.4833299999999999E-3</v>
      </c>
      <c r="L825" s="154">
        <f t="shared" si="36"/>
        <v>-177.17</v>
      </c>
      <c r="M825" s="154">
        <f t="shared" si="37"/>
        <v>-531.5</v>
      </c>
      <c r="N825" s="168" t="e">
        <f>VLOOKUP(C825,#REF!,4)</f>
        <v>#REF!</v>
      </c>
      <c r="O825" s="156"/>
      <c r="P825" s="157"/>
      <c r="Q825" s="157"/>
      <c r="R825" s="158"/>
      <c r="S825" s="156"/>
      <c r="T825" s="159"/>
      <c r="U825" s="158"/>
      <c r="V825" s="158"/>
      <c r="W825" s="156"/>
    </row>
    <row r="826" spans="1:23">
      <c r="A826" s="151" t="s">
        <v>626</v>
      </c>
      <c r="B826" s="160" t="s">
        <v>1681</v>
      </c>
      <c r="C826" s="152" t="s">
        <v>1707</v>
      </c>
      <c r="D826" s="151" t="s">
        <v>1708</v>
      </c>
      <c r="E826" s="152" t="s">
        <v>75</v>
      </c>
      <c r="F826" s="151" t="s">
        <v>1602</v>
      </c>
      <c r="G826" s="152" t="s">
        <v>20</v>
      </c>
      <c r="H826" s="153">
        <v>201607</v>
      </c>
      <c r="I826" s="154">
        <v>-7409.26</v>
      </c>
      <c r="J826" s="144">
        <f t="shared" si="38"/>
        <v>4</v>
      </c>
      <c r="K826" s="155">
        <v>1.4833299999999999E-3</v>
      </c>
      <c r="L826" s="154">
        <f t="shared" si="36"/>
        <v>-43.96</v>
      </c>
      <c r="M826" s="154">
        <f t="shared" si="37"/>
        <v>-131.88</v>
      </c>
      <c r="N826" s="168" t="e">
        <f>VLOOKUP(C826,#REF!,4)</f>
        <v>#REF!</v>
      </c>
      <c r="O826" s="156"/>
      <c r="P826" s="157"/>
      <c r="Q826" s="157"/>
      <c r="R826" s="158"/>
      <c r="S826" s="156"/>
      <c r="T826" s="159"/>
      <c r="U826" s="158"/>
      <c r="V826" s="158"/>
      <c r="W826" s="156"/>
    </row>
    <row r="827" spans="1:23">
      <c r="A827" s="151" t="s">
        <v>626</v>
      </c>
      <c r="B827" s="160" t="s">
        <v>1681</v>
      </c>
      <c r="C827" s="152" t="s">
        <v>2101</v>
      </c>
      <c r="D827" s="151" t="s">
        <v>2102</v>
      </c>
      <c r="E827" s="152" t="s">
        <v>260</v>
      </c>
      <c r="F827" s="151" t="s">
        <v>1608</v>
      </c>
      <c r="G827" s="152" t="s">
        <v>20</v>
      </c>
      <c r="H827" s="153">
        <v>201607</v>
      </c>
      <c r="I827" s="154">
        <v>-2418.6</v>
      </c>
      <c r="J827" s="144">
        <f t="shared" si="38"/>
        <v>4</v>
      </c>
      <c r="K827" s="155">
        <v>1.4833299999999999E-3</v>
      </c>
      <c r="L827" s="154">
        <f t="shared" si="36"/>
        <v>-14.35</v>
      </c>
      <c r="M827" s="154">
        <f t="shared" si="37"/>
        <v>-43.05</v>
      </c>
      <c r="N827" s="168" t="e">
        <f>VLOOKUP(C827,#REF!,4)</f>
        <v>#REF!</v>
      </c>
      <c r="O827" s="156"/>
      <c r="P827" s="157"/>
      <c r="Q827" s="162"/>
      <c r="R827" s="163"/>
      <c r="S827" s="156"/>
      <c r="T827" s="156"/>
      <c r="U827" s="156"/>
      <c r="V827" s="156"/>
      <c r="W827" s="156"/>
    </row>
    <row r="828" spans="1:23">
      <c r="A828" s="151" t="s">
        <v>626</v>
      </c>
      <c r="B828" s="160" t="s">
        <v>1681</v>
      </c>
      <c r="C828" s="152" t="s">
        <v>2097</v>
      </c>
      <c r="D828" s="151" t="s">
        <v>2098</v>
      </c>
      <c r="E828" s="152" t="s">
        <v>260</v>
      </c>
      <c r="F828" s="151" t="s">
        <v>1608</v>
      </c>
      <c r="G828" s="152" t="s">
        <v>20</v>
      </c>
      <c r="H828" s="153">
        <v>201607</v>
      </c>
      <c r="I828" s="154">
        <v>-2106.38</v>
      </c>
      <c r="J828" s="144">
        <f t="shared" si="38"/>
        <v>4</v>
      </c>
      <c r="K828" s="155">
        <v>1.4833299999999999E-3</v>
      </c>
      <c r="L828" s="154">
        <f t="shared" si="36"/>
        <v>-12.5</v>
      </c>
      <c r="M828" s="154">
        <f t="shared" si="37"/>
        <v>-37.49</v>
      </c>
      <c r="N828" s="168" t="e">
        <f>VLOOKUP(C828,#REF!,4)</f>
        <v>#REF!</v>
      </c>
      <c r="O828" s="156"/>
      <c r="P828" s="156"/>
      <c r="Q828" s="156"/>
      <c r="R828" s="156"/>
      <c r="S828" s="156"/>
      <c r="T828" s="156"/>
      <c r="U828" s="156"/>
      <c r="V828" s="156"/>
      <c r="W828" s="156"/>
    </row>
    <row r="829" spans="1:23">
      <c r="A829" s="151" t="s">
        <v>1942</v>
      </c>
      <c r="B829" s="160" t="s">
        <v>1681</v>
      </c>
      <c r="C829" s="152" t="s">
        <v>1943</v>
      </c>
      <c r="D829" s="151" t="s">
        <v>1944</v>
      </c>
      <c r="E829" s="152" t="s">
        <v>202</v>
      </c>
      <c r="F829" s="151" t="s">
        <v>1611</v>
      </c>
      <c r="G829" s="152" t="s">
        <v>20</v>
      </c>
      <c r="H829" s="150">
        <v>201607</v>
      </c>
      <c r="I829" s="154">
        <v>-877.58</v>
      </c>
      <c r="J829" s="144">
        <f t="shared" si="38"/>
        <v>4</v>
      </c>
      <c r="K829" s="155">
        <v>2.23333E-3</v>
      </c>
      <c r="L829" s="154">
        <f t="shared" si="36"/>
        <v>-7.84</v>
      </c>
      <c r="M829" s="154">
        <f t="shared" si="37"/>
        <v>-23.52</v>
      </c>
      <c r="N829" s="168" t="e">
        <f>VLOOKUP(C829,#REF!,4)</f>
        <v>#REF!</v>
      </c>
      <c r="O829" s="156"/>
      <c r="P829" s="157"/>
      <c r="Q829" s="157"/>
      <c r="R829" s="158"/>
      <c r="S829" s="156"/>
      <c r="T829" s="156"/>
      <c r="U829" s="156"/>
      <c r="V829" s="156"/>
      <c r="W829" s="156"/>
    </row>
    <row r="830" spans="1:23">
      <c r="A830" s="151" t="s">
        <v>14</v>
      </c>
      <c r="B830" s="160" t="s">
        <v>1681</v>
      </c>
      <c r="C830" s="152" t="s">
        <v>2097</v>
      </c>
      <c r="D830" s="151" t="s">
        <v>2098</v>
      </c>
      <c r="E830" s="152" t="s">
        <v>260</v>
      </c>
      <c r="F830" s="151" t="s">
        <v>1608</v>
      </c>
      <c r="G830" s="152" t="s">
        <v>20</v>
      </c>
      <c r="H830" s="150">
        <v>201607</v>
      </c>
      <c r="I830" s="154">
        <v>-262.83999999999997</v>
      </c>
      <c r="J830" s="144">
        <f t="shared" si="38"/>
        <v>4</v>
      </c>
      <c r="K830" s="155">
        <v>2.23333E-3</v>
      </c>
      <c r="L830" s="154">
        <f t="shared" si="36"/>
        <v>-2.35</v>
      </c>
      <c r="M830" s="154">
        <f t="shared" si="37"/>
        <v>-7.04</v>
      </c>
      <c r="N830" s="168" t="e">
        <f>VLOOKUP(C830,#REF!,4)</f>
        <v>#REF!</v>
      </c>
      <c r="P830" s="164"/>
      <c r="Q830" s="164"/>
      <c r="R830" s="165"/>
    </row>
    <row r="831" spans="1:23">
      <c r="A831" s="151" t="s">
        <v>626</v>
      </c>
      <c r="B831" s="152" t="s">
        <v>1444</v>
      </c>
      <c r="C831" s="152" t="s">
        <v>1445</v>
      </c>
      <c r="D831" s="151" t="s">
        <v>1282</v>
      </c>
      <c r="E831" s="152" t="s">
        <v>164</v>
      </c>
      <c r="F831" s="151" t="s">
        <v>1600</v>
      </c>
      <c r="G831" s="152" t="s">
        <v>20</v>
      </c>
      <c r="H831" s="153">
        <v>201607</v>
      </c>
      <c r="I831" s="154">
        <v>-47.73</v>
      </c>
      <c r="J831" s="144">
        <f t="shared" si="38"/>
        <v>4</v>
      </c>
      <c r="K831" s="155">
        <v>1.4833299999999999E-3</v>
      </c>
      <c r="L831" s="154">
        <f t="shared" si="36"/>
        <v>-0.28000000000000003</v>
      </c>
      <c r="M831" s="154">
        <f t="shared" si="37"/>
        <v>-0.85</v>
      </c>
      <c r="N831" s="168" t="e">
        <f>VLOOKUP(C831,#REF!,4)</f>
        <v>#REF!</v>
      </c>
      <c r="P831" s="164"/>
      <c r="Q831" s="164"/>
      <c r="R831" s="165"/>
    </row>
    <row r="832" spans="1:23">
      <c r="A832" s="151" t="s">
        <v>626</v>
      </c>
      <c r="B832" s="152" t="s">
        <v>1699</v>
      </c>
      <c r="C832" s="152" t="s">
        <v>1700</v>
      </c>
      <c r="D832" s="151" t="s">
        <v>1701</v>
      </c>
      <c r="E832" s="152" t="s">
        <v>544</v>
      </c>
      <c r="F832" s="151" t="s">
        <v>26</v>
      </c>
      <c r="G832" s="152" t="s">
        <v>20</v>
      </c>
      <c r="H832" s="153">
        <v>201607</v>
      </c>
      <c r="I832" s="154">
        <v>-41.67</v>
      </c>
      <c r="J832" s="144">
        <f t="shared" si="38"/>
        <v>4</v>
      </c>
      <c r="K832" s="155">
        <v>1.4833299999999999E-3</v>
      </c>
      <c r="L832" s="154">
        <f t="shared" si="36"/>
        <v>-0.25</v>
      </c>
      <c r="M832" s="154">
        <f t="shared" si="37"/>
        <v>-0.74</v>
      </c>
      <c r="N832" s="168" t="e">
        <f>VLOOKUP(C832,#REF!,4)</f>
        <v>#REF!</v>
      </c>
      <c r="P832" s="164"/>
      <c r="Q832" s="164"/>
      <c r="R832" s="165"/>
    </row>
    <row r="833" spans="1:18">
      <c r="A833" s="151" t="s">
        <v>14</v>
      </c>
      <c r="B833" s="152" t="s">
        <v>191</v>
      </c>
      <c r="C833" s="152" t="s">
        <v>192</v>
      </c>
      <c r="D833" s="151" t="s">
        <v>193</v>
      </c>
      <c r="E833" s="152" t="s">
        <v>194</v>
      </c>
      <c r="F833" s="151" t="s">
        <v>115</v>
      </c>
      <c r="G833" s="152" t="s">
        <v>20</v>
      </c>
      <c r="H833" s="153">
        <v>201607</v>
      </c>
      <c r="I833" s="154">
        <v>-19.489999999999998</v>
      </c>
      <c r="J833" s="144">
        <f t="shared" si="38"/>
        <v>4</v>
      </c>
      <c r="K833" s="155">
        <v>2.23333E-3</v>
      </c>
      <c r="L833" s="154">
        <f t="shared" si="36"/>
        <v>-0.17</v>
      </c>
      <c r="M833" s="154">
        <f t="shared" si="37"/>
        <v>-0.52</v>
      </c>
      <c r="N833" s="168" t="e">
        <f>VLOOKUP(C833,#REF!,4)</f>
        <v>#REF!</v>
      </c>
      <c r="P833" s="164"/>
      <c r="Q833" s="164"/>
      <c r="R833" s="165"/>
    </row>
    <row r="834" spans="1:18">
      <c r="A834" s="151" t="s">
        <v>14</v>
      </c>
      <c r="B834" s="152" t="s">
        <v>555</v>
      </c>
      <c r="C834" s="152" t="s">
        <v>556</v>
      </c>
      <c r="D834" s="151" t="s">
        <v>45</v>
      </c>
      <c r="E834" s="152" t="s">
        <v>557</v>
      </c>
      <c r="F834" s="151" t="s">
        <v>41</v>
      </c>
      <c r="G834" s="152" t="s">
        <v>20</v>
      </c>
      <c r="H834" s="153">
        <v>201607</v>
      </c>
      <c r="I834" s="154">
        <v>-17.399999999999999</v>
      </c>
      <c r="J834" s="144">
        <f t="shared" si="38"/>
        <v>4</v>
      </c>
      <c r="K834" s="155">
        <v>2.23333E-3</v>
      </c>
      <c r="L834" s="154">
        <f t="shared" si="36"/>
        <v>-0.16</v>
      </c>
      <c r="M834" s="154">
        <f t="shared" si="37"/>
        <v>-0.47</v>
      </c>
      <c r="N834" s="168" t="e">
        <f>VLOOKUP(C834,#REF!,4)</f>
        <v>#REF!</v>
      </c>
      <c r="P834" s="164"/>
      <c r="Q834" s="164"/>
      <c r="R834" s="165"/>
    </row>
    <row r="835" spans="1:18">
      <c r="A835" s="151" t="s">
        <v>127</v>
      </c>
      <c r="B835" s="152" t="s">
        <v>1773</v>
      </c>
      <c r="C835" s="152" t="s">
        <v>1774</v>
      </c>
      <c r="D835" s="151" t="s">
        <v>1775</v>
      </c>
      <c r="E835" s="152" t="s">
        <v>209</v>
      </c>
      <c r="F835" s="151" t="s">
        <v>1612</v>
      </c>
      <c r="G835" s="152" t="s">
        <v>20</v>
      </c>
      <c r="H835" s="153">
        <v>201607</v>
      </c>
      <c r="I835" s="154">
        <v>-17.2</v>
      </c>
      <c r="J835" s="144">
        <f t="shared" si="38"/>
        <v>4</v>
      </c>
      <c r="K835" s="155">
        <v>2.3833299999999999E-3</v>
      </c>
      <c r="L835" s="154">
        <f t="shared" si="36"/>
        <v>-0.16</v>
      </c>
      <c r="M835" s="154">
        <f t="shared" si="37"/>
        <v>-0.49</v>
      </c>
      <c r="N835" s="168" t="e">
        <f>VLOOKUP(C835,#REF!,4)</f>
        <v>#REF!</v>
      </c>
      <c r="P835" s="164"/>
      <c r="Q835" s="164"/>
      <c r="R835" s="165"/>
    </row>
    <row r="836" spans="1:18">
      <c r="A836" s="151" t="s">
        <v>14</v>
      </c>
      <c r="B836" s="152" t="s">
        <v>706</v>
      </c>
      <c r="C836" s="152" t="s">
        <v>707</v>
      </c>
      <c r="D836" s="151" t="s">
        <v>708</v>
      </c>
      <c r="E836" s="152" t="s">
        <v>709</v>
      </c>
      <c r="F836" s="151" t="s">
        <v>710</v>
      </c>
      <c r="G836" s="152" t="s">
        <v>20</v>
      </c>
      <c r="H836" s="153">
        <v>201607</v>
      </c>
      <c r="I836" s="154">
        <v>-16.47</v>
      </c>
      <c r="J836" s="144">
        <f t="shared" si="38"/>
        <v>4</v>
      </c>
      <c r="K836" s="155">
        <v>2.23333E-3</v>
      </c>
      <c r="L836" s="154">
        <f t="shared" si="36"/>
        <v>-0.15</v>
      </c>
      <c r="M836" s="154">
        <f t="shared" si="37"/>
        <v>-0.44</v>
      </c>
      <c r="N836" s="168" t="e">
        <f>VLOOKUP(C836,#REF!,4)</f>
        <v>#REF!</v>
      </c>
      <c r="P836" s="164"/>
      <c r="Q836" s="164"/>
      <c r="R836" s="165"/>
    </row>
    <row r="837" spans="1:18">
      <c r="A837" s="151" t="s">
        <v>626</v>
      </c>
      <c r="B837" s="152" t="s">
        <v>1724</v>
      </c>
      <c r="C837" s="152" t="s">
        <v>1725</v>
      </c>
      <c r="D837" s="151" t="s">
        <v>1726</v>
      </c>
      <c r="E837" s="152" t="s">
        <v>75</v>
      </c>
      <c r="F837" s="151" t="s">
        <v>1602</v>
      </c>
      <c r="G837" s="152" t="s">
        <v>20</v>
      </c>
      <c r="H837" s="153">
        <v>201607</v>
      </c>
      <c r="I837" s="154">
        <v>-12.82</v>
      </c>
      <c r="J837" s="144">
        <f t="shared" si="38"/>
        <v>4</v>
      </c>
      <c r="K837" s="155">
        <v>1.4833299999999999E-3</v>
      </c>
      <c r="L837" s="154">
        <f t="shared" ref="L837:L900" si="39">ROUND(I837*J837*K837,2)</f>
        <v>-0.08</v>
      </c>
      <c r="M837" s="154">
        <f t="shared" ref="M837:M900" si="40">ROUND(I837*K837*12,2)</f>
        <v>-0.23</v>
      </c>
      <c r="N837" s="168" t="e">
        <f>VLOOKUP(C837,#REF!,4)</f>
        <v>#REF!</v>
      </c>
      <c r="P837" s="164"/>
      <c r="Q837" s="164"/>
      <c r="R837" s="165"/>
    </row>
    <row r="838" spans="1:18">
      <c r="A838" s="151" t="s">
        <v>14</v>
      </c>
      <c r="B838" s="152" t="s">
        <v>239</v>
      </c>
      <c r="C838" s="152" t="s">
        <v>240</v>
      </c>
      <c r="D838" s="151" t="s">
        <v>197</v>
      </c>
      <c r="E838" s="152" t="s">
        <v>241</v>
      </c>
      <c r="F838" s="151" t="s">
        <v>199</v>
      </c>
      <c r="G838" s="152" t="s">
        <v>20</v>
      </c>
      <c r="H838" s="153">
        <v>201607</v>
      </c>
      <c r="I838" s="154">
        <v>-12.7</v>
      </c>
      <c r="J838" s="144">
        <f t="shared" ref="J838:J901" si="41">VLOOKUP(H838,$P$5:$Q$14,2)</f>
        <v>4</v>
      </c>
      <c r="K838" s="155">
        <v>2.23333E-3</v>
      </c>
      <c r="L838" s="154">
        <f t="shared" si="39"/>
        <v>-0.11</v>
      </c>
      <c r="M838" s="154">
        <f t="shared" si="40"/>
        <v>-0.34</v>
      </c>
      <c r="N838" s="168" t="e">
        <f>VLOOKUP(C838,#REF!,4)</f>
        <v>#REF!</v>
      </c>
      <c r="P838" s="164"/>
      <c r="Q838" s="164"/>
      <c r="R838" s="165"/>
    </row>
    <row r="839" spans="1:18">
      <c r="A839" s="151" t="s">
        <v>626</v>
      </c>
      <c r="B839" s="152" t="s">
        <v>1715</v>
      </c>
      <c r="C839" s="152" t="s">
        <v>1716</v>
      </c>
      <c r="D839" s="151" t="s">
        <v>1717</v>
      </c>
      <c r="E839" s="152" t="s">
        <v>497</v>
      </c>
      <c r="F839" s="151" t="s">
        <v>26</v>
      </c>
      <c r="G839" s="152" t="s">
        <v>20</v>
      </c>
      <c r="H839" s="153">
        <v>201607</v>
      </c>
      <c r="I839" s="154">
        <v>-7.71</v>
      </c>
      <c r="J839" s="144">
        <f t="shared" si="41"/>
        <v>4</v>
      </c>
      <c r="K839" s="155">
        <v>1.4833299999999999E-3</v>
      </c>
      <c r="L839" s="154">
        <f t="shared" si="39"/>
        <v>-0.05</v>
      </c>
      <c r="M839" s="154">
        <f t="shared" si="40"/>
        <v>-0.14000000000000001</v>
      </c>
      <c r="N839" s="168" t="e">
        <f>VLOOKUP(C839,#REF!,4)</f>
        <v>#REF!</v>
      </c>
      <c r="P839" s="164"/>
      <c r="Q839" s="164"/>
      <c r="R839" s="165"/>
    </row>
    <row r="840" spans="1:18">
      <c r="A840" s="151" t="s">
        <v>626</v>
      </c>
      <c r="B840" s="152" t="s">
        <v>1496</v>
      </c>
      <c r="C840" s="152" t="s">
        <v>1497</v>
      </c>
      <c r="D840" s="151" t="s">
        <v>1498</v>
      </c>
      <c r="E840" s="152" t="s">
        <v>164</v>
      </c>
      <c r="F840" s="151" t="s">
        <v>1600</v>
      </c>
      <c r="G840" s="152" t="s">
        <v>20</v>
      </c>
      <c r="H840" s="153">
        <v>201607</v>
      </c>
      <c r="I840" s="154">
        <v>-7</v>
      </c>
      <c r="J840" s="144">
        <f t="shared" si="41"/>
        <v>4</v>
      </c>
      <c r="K840" s="155">
        <v>1.4833299999999999E-3</v>
      </c>
      <c r="L840" s="154">
        <f t="shared" si="39"/>
        <v>-0.04</v>
      </c>
      <c r="M840" s="154">
        <f t="shared" si="40"/>
        <v>-0.12</v>
      </c>
      <c r="N840" s="168" t="e">
        <f>VLOOKUP(C840,#REF!,4)</f>
        <v>#REF!</v>
      </c>
      <c r="P840" s="164"/>
      <c r="Q840" s="164"/>
      <c r="R840" s="165"/>
    </row>
    <row r="841" spans="1:18">
      <c r="A841" s="151" t="s">
        <v>21</v>
      </c>
      <c r="B841" s="152" t="s">
        <v>1502</v>
      </c>
      <c r="C841" s="152" t="s">
        <v>1503</v>
      </c>
      <c r="D841" s="151" t="s">
        <v>1504</v>
      </c>
      <c r="E841" s="152" t="s">
        <v>172</v>
      </c>
      <c r="F841" s="151" t="s">
        <v>1609</v>
      </c>
      <c r="G841" s="152" t="s">
        <v>20</v>
      </c>
      <c r="H841" s="153">
        <v>201607</v>
      </c>
      <c r="I841" s="154">
        <v>-3.47</v>
      </c>
      <c r="J841" s="144">
        <f t="shared" si="41"/>
        <v>4</v>
      </c>
      <c r="K841" s="155">
        <v>1.4833299999999999E-3</v>
      </c>
      <c r="L841" s="154">
        <f t="shared" si="39"/>
        <v>-0.02</v>
      </c>
      <c r="M841" s="154">
        <f t="shared" si="40"/>
        <v>-0.06</v>
      </c>
      <c r="N841" s="168" t="e">
        <f>VLOOKUP(C841,#REF!,4)</f>
        <v>#REF!</v>
      </c>
      <c r="P841" s="164"/>
      <c r="Q841" s="164"/>
      <c r="R841" s="165"/>
    </row>
    <row r="842" spans="1:18">
      <c r="A842" s="151" t="s">
        <v>626</v>
      </c>
      <c r="B842" s="152" t="s">
        <v>1615</v>
      </c>
      <c r="C842" s="152" t="s">
        <v>1616</v>
      </c>
      <c r="D842" s="151" t="s">
        <v>1617</v>
      </c>
      <c r="E842" s="152" t="s">
        <v>497</v>
      </c>
      <c r="F842" s="151" t="s">
        <v>26</v>
      </c>
      <c r="G842" s="152" t="s">
        <v>20</v>
      </c>
      <c r="H842" s="153">
        <v>201607</v>
      </c>
      <c r="I842" s="154">
        <v>-1.76</v>
      </c>
      <c r="J842" s="144">
        <f t="shared" si="41"/>
        <v>4</v>
      </c>
      <c r="K842" s="155">
        <v>1.4833299999999999E-3</v>
      </c>
      <c r="L842" s="154">
        <f t="shared" si="39"/>
        <v>-0.01</v>
      </c>
      <c r="M842" s="154">
        <f t="shared" si="40"/>
        <v>-0.03</v>
      </c>
      <c r="N842" s="168" t="e">
        <f>VLOOKUP(C842,#REF!,4)</f>
        <v>#REF!</v>
      </c>
      <c r="P842" s="164"/>
      <c r="Q842" s="164"/>
      <c r="R842" s="165"/>
    </row>
    <row r="843" spans="1:18">
      <c r="A843" s="151" t="s">
        <v>990</v>
      </c>
      <c r="B843" s="152" t="s">
        <v>1730</v>
      </c>
      <c r="C843" s="152" t="s">
        <v>1731</v>
      </c>
      <c r="D843" s="151" t="s">
        <v>1732</v>
      </c>
      <c r="E843" s="152" t="s">
        <v>1688</v>
      </c>
      <c r="F843" s="151" t="s">
        <v>1689</v>
      </c>
      <c r="G843" s="152" t="s">
        <v>20</v>
      </c>
      <c r="H843" s="153">
        <v>201607</v>
      </c>
      <c r="I843" s="154">
        <v>-1.53</v>
      </c>
      <c r="J843" s="144">
        <f t="shared" si="41"/>
        <v>4</v>
      </c>
      <c r="K843" s="155">
        <v>2.3833299999999999E-3</v>
      </c>
      <c r="L843" s="154">
        <f t="shared" si="39"/>
        <v>-0.01</v>
      </c>
      <c r="M843" s="154">
        <f t="shared" si="40"/>
        <v>-0.04</v>
      </c>
      <c r="N843" s="168" t="e">
        <f>VLOOKUP(C843,#REF!,4)</f>
        <v>#REF!</v>
      </c>
      <c r="P843" s="164"/>
      <c r="Q843" s="164"/>
      <c r="R843" s="165"/>
    </row>
    <row r="844" spans="1:18">
      <c r="A844" s="151" t="s">
        <v>21</v>
      </c>
      <c r="B844" s="152" t="s">
        <v>1823</v>
      </c>
      <c r="C844" s="152" t="s">
        <v>1824</v>
      </c>
      <c r="D844" s="151" t="s">
        <v>1825</v>
      </c>
      <c r="E844" s="152" t="s">
        <v>260</v>
      </c>
      <c r="F844" s="151" t="s">
        <v>1608</v>
      </c>
      <c r="G844" s="152" t="s">
        <v>20</v>
      </c>
      <c r="H844" s="153">
        <v>201607</v>
      </c>
      <c r="I844" s="154">
        <v>-1.47</v>
      </c>
      <c r="J844" s="144">
        <f t="shared" si="41"/>
        <v>4</v>
      </c>
      <c r="K844" s="155">
        <v>1.4833299999999999E-3</v>
      </c>
      <c r="L844" s="154">
        <f t="shared" si="39"/>
        <v>-0.01</v>
      </c>
      <c r="M844" s="154">
        <f t="shared" si="40"/>
        <v>-0.03</v>
      </c>
      <c r="N844" s="168" t="e">
        <f>VLOOKUP(C844,#REF!,4)</f>
        <v>#REF!</v>
      </c>
      <c r="P844" s="164"/>
      <c r="Q844" s="164"/>
      <c r="R844" s="165"/>
    </row>
    <row r="845" spans="1:18">
      <c r="A845" s="151" t="s">
        <v>626</v>
      </c>
      <c r="B845" s="152" t="s">
        <v>1545</v>
      </c>
      <c r="C845" s="152" t="s">
        <v>1546</v>
      </c>
      <c r="D845" s="151" t="s">
        <v>1547</v>
      </c>
      <c r="E845" s="152" t="s">
        <v>164</v>
      </c>
      <c r="F845" s="151" t="s">
        <v>1600</v>
      </c>
      <c r="G845" s="152" t="s">
        <v>20</v>
      </c>
      <c r="H845" s="153">
        <v>201607</v>
      </c>
      <c r="I845" s="154">
        <v>-1.32</v>
      </c>
      <c r="J845" s="144">
        <f t="shared" si="41"/>
        <v>4</v>
      </c>
      <c r="K845" s="155">
        <v>1.4833299999999999E-3</v>
      </c>
      <c r="L845" s="154">
        <f t="shared" si="39"/>
        <v>-0.01</v>
      </c>
      <c r="M845" s="154">
        <f t="shared" si="40"/>
        <v>-0.02</v>
      </c>
      <c r="N845" s="168" t="e">
        <f>VLOOKUP(C845,#REF!,4)</f>
        <v>#REF!</v>
      </c>
      <c r="P845" s="164"/>
      <c r="Q845" s="164"/>
      <c r="R845" s="165"/>
    </row>
    <row r="846" spans="1:18">
      <c r="A846" s="151" t="s">
        <v>14</v>
      </c>
      <c r="B846" s="152" t="s">
        <v>271</v>
      </c>
      <c r="C846" s="152" t="s">
        <v>272</v>
      </c>
      <c r="D846" s="151" t="s">
        <v>197</v>
      </c>
      <c r="E846" s="152" t="s">
        <v>273</v>
      </c>
      <c r="F846" s="151" t="s">
        <v>199</v>
      </c>
      <c r="G846" s="152" t="s">
        <v>20</v>
      </c>
      <c r="H846" s="153">
        <v>201607</v>
      </c>
      <c r="I846" s="154">
        <v>-0.47</v>
      </c>
      <c r="J846" s="144">
        <f t="shared" si="41"/>
        <v>4</v>
      </c>
      <c r="K846" s="155">
        <v>2.23333E-3</v>
      </c>
      <c r="L846" s="154">
        <f t="shared" si="39"/>
        <v>0</v>
      </c>
      <c r="M846" s="154">
        <f t="shared" si="40"/>
        <v>-0.01</v>
      </c>
      <c r="N846" s="168" t="e">
        <f>VLOOKUP(C846,#REF!,4)</f>
        <v>#REF!</v>
      </c>
      <c r="P846" s="164"/>
      <c r="Q846" s="164"/>
      <c r="R846" s="165"/>
    </row>
    <row r="847" spans="1:18">
      <c r="A847" s="151" t="s">
        <v>626</v>
      </c>
      <c r="B847" s="152" t="s">
        <v>1148</v>
      </c>
      <c r="C847" s="152" t="s">
        <v>1149</v>
      </c>
      <c r="D847" s="151" t="s">
        <v>1150</v>
      </c>
      <c r="E847" s="152" t="s">
        <v>93</v>
      </c>
      <c r="F847" s="151" t="s">
        <v>1601</v>
      </c>
      <c r="G847" s="152" t="s">
        <v>20</v>
      </c>
      <c r="H847" s="153">
        <v>201607</v>
      </c>
      <c r="I847" s="154">
        <v>-0.12</v>
      </c>
      <c r="J847" s="144">
        <f t="shared" si="41"/>
        <v>4</v>
      </c>
      <c r="K847" s="155">
        <v>1.4833299999999999E-3</v>
      </c>
      <c r="L847" s="154">
        <f t="shared" si="39"/>
        <v>0</v>
      </c>
      <c r="M847" s="154">
        <f t="shared" si="40"/>
        <v>0</v>
      </c>
      <c r="N847" s="168" t="e">
        <f>VLOOKUP(C847,#REF!,4)</f>
        <v>#REF!</v>
      </c>
      <c r="P847" s="164"/>
      <c r="Q847" s="164"/>
      <c r="R847" s="165"/>
    </row>
    <row r="848" spans="1:18">
      <c r="A848" s="151" t="s">
        <v>626</v>
      </c>
      <c r="B848" s="152" t="s">
        <v>1268</v>
      </c>
      <c r="C848" s="152" t="s">
        <v>1269</v>
      </c>
      <c r="D848" s="151" t="s">
        <v>1270</v>
      </c>
      <c r="E848" s="152" t="s">
        <v>260</v>
      </c>
      <c r="F848" s="151" t="s">
        <v>1608</v>
      </c>
      <c r="G848" s="152" t="s">
        <v>20</v>
      </c>
      <c r="H848" s="153">
        <v>201607</v>
      </c>
      <c r="I848" s="154">
        <v>-0.08</v>
      </c>
      <c r="J848" s="144">
        <f t="shared" si="41"/>
        <v>4</v>
      </c>
      <c r="K848" s="155">
        <v>1.4833299999999999E-3</v>
      </c>
      <c r="L848" s="154">
        <f t="shared" si="39"/>
        <v>0</v>
      </c>
      <c r="M848" s="154">
        <f t="shared" si="40"/>
        <v>0</v>
      </c>
      <c r="N848" s="168" t="e">
        <f>VLOOKUP(C848,#REF!,4)</f>
        <v>#REF!</v>
      </c>
      <c r="P848" s="164"/>
      <c r="Q848" s="164"/>
      <c r="R848" s="165"/>
    </row>
    <row r="849" spans="1:18">
      <c r="A849" s="151" t="s">
        <v>14</v>
      </c>
      <c r="B849" s="152" t="s">
        <v>1661</v>
      </c>
      <c r="C849" s="152" t="s">
        <v>1662</v>
      </c>
      <c r="D849" s="151" t="s">
        <v>1663</v>
      </c>
      <c r="E849" s="152" t="s">
        <v>284</v>
      </c>
      <c r="F849" s="151" t="s">
        <v>285</v>
      </c>
      <c r="G849" s="152" t="s">
        <v>20</v>
      </c>
      <c r="H849" s="153">
        <v>201607</v>
      </c>
      <c r="I849" s="154">
        <v>0.01</v>
      </c>
      <c r="J849" s="144">
        <f t="shared" si="41"/>
        <v>4</v>
      </c>
      <c r="K849" s="155">
        <v>2.23333E-3</v>
      </c>
      <c r="L849" s="154">
        <f t="shared" si="39"/>
        <v>0</v>
      </c>
      <c r="M849" s="154">
        <f t="shared" si="40"/>
        <v>0</v>
      </c>
      <c r="N849" s="168" t="e">
        <f>VLOOKUP(C849,#REF!,4)</f>
        <v>#REF!</v>
      </c>
      <c r="P849" s="164"/>
      <c r="Q849" s="164"/>
      <c r="R849" s="165"/>
    </row>
    <row r="850" spans="1:18">
      <c r="A850" s="151" t="s">
        <v>127</v>
      </c>
      <c r="B850" s="152" t="s">
        <v>1130</v>
      </c>
      <c r="C850" s="152" t="s">
        <v>1131</v>
      </c>
      <c r="D850" s="151" t="s">
        <v>1132</v>
      </c>
      <c r="E850" s="152" t="s">
        <v>131</v>
      </c>
      <c r="F850" s="151" t="s">
        <v>1607</v>
      </c>
      <c r="G850" s="152" t="s">
        <v>20</v>
      </c>
      <c r="H850" s="153">
        <v>201607</v>
      </c>
      <c r="I850" s="154">
        <v>0.03</v>
      </c>
      <c r="J850" s="144">
        <f t="shared" si="41"/>
        <v>4</v>
      </c>
      <c r="K850" s="155">
        <v>2.3833299999999999E-3</v>
      </c>
      <c r="L850" s="154">
        <f t="shared" si="39"/>
        <v>0</v>
      </c>
      <c r="M850" s="154">
        <f t="shared" si="40"/>
        <v>0</v>
      </c>
      <c r="N850" s="168" t="e">
        <f>VLOOKUP(C850,#REF!,4)</f>
        <v>#REF!</v>
      </c>
      <c r="P850" s="164"/>
      <c r="Q850" s="164"/>
      <c r="R850" s="165"/>
    </row>
    <row r="851" spans="1:18">
      <c r="A851" s="151" t="s">
        <v>14</v>
      </c>
      <c r="B851" s="152" t="s">
        <v>1247</v>
      </c>
      <c r="C851" s="152" t="s">
        <v>1248</v>
      </c>
      <c r="D851" s="151" t="s">
        <v>708</v>
      </c>
      <c r="E851" s="152" t="s">
        <v>1249</v>
      </c>
      <c r="F851" s="151" t="s">
        <v>710</v>
      </c>
      <c r="G851" s="152" t="s">
        <v>20</v>
      </c>
      <c r="H851" s="153">
        <v>201607</v>
      </c>
      <c r="I851" s="154">
        <v>0.08</v>
      </c>
      <c r="J851" s="144">
        <f t="shared" si="41"/>
        <v>4</v>
      </c>
      <c r="K851" s="155">
        <v>2.23333E-3</v>
      </c>
      <c r="L851" s="154">
        <f t="shared" si="39"/>
        <v>0</v>
      </c>
      <c r="M851" s="154">
        <f t="shared" si="40"/>
        <v>0</v>
      </c>
      <c r="N851" s="168" t="e">
        <f>VLOOKUP(C851,#REF!,4)</f>
        <v>#REF!</v>
      </c>
      <c r="P851" s="164"/>
      <c r="Q851" s="164"/>
      <c r="R851" s="165"/>
    </row>
    <row r="852" spans="1:18">
      <c r="A852" s="151" t="s">
        <v>14</v>
      </c>
      <c r="B852" s="160" t="s">
        <v>1681</v>
      </c>
      <c r="C852" s="152" t="s">
        <v>2001</v>
      </c>
      <c r="D852" s="151" t="s">
        <v>2002</v>
      </c>
      <c r="E852" s="152" t="s">
        <v>164</v>
      </c>
      <c r="F852" s="151" t="s">
        <v>1600</v>
      </c>
      <c r="G852" s="152" t="s">
        <v>20</v>
      </c>
      <c r="H852" s="150">
        <v>201607</v>
      </c>
      <c r="I852" s="154">
        <v>0.31</v>
      </c>
      <c r="J852" s="144">
        <f t="shared" si="41"/>
        <v>4</v>
      </c>
      <c r="K852" s="155">
        <v>2.23333E-3</v>
      </c>
      <c r="L852" s="154">
        <f t="shared" si="39"/>
        <v>0</v>
      </c>
      <c r="M852" s="154">
        <f t="shared" si="40"/>
        <v>0.01</v>
      </c>
      <c r="N852" s="168" t="e">
        <f>VLOOKUP(C852,#REF!,4)</f>
        <v>#REF!</v>
      </c>
      <c r="P852" s="164"/>
      <c r="Q852" s="164"/>
      <c r="R852" s="165"/>
    </row>
    <row r="853" spans="1:18">
      <c r="A853" s="151" t="s">
        <v>21</v>
      </c>
      <c r="B853" s="152" t="s">
        <v>485</v>
      </c>
      <c r="C853" s="152" t="s">
        <v>486</v>
      </c>
      <c r="D853" s="151" t="s">
        <v>487</v>
      </c>
      <c r="E853" s="152" t="s">
        <v>75</v>
      </c>
      <c r="F853" s="151" t="s">
        <v>1602</v>
      </c>
      <c r="G853" s="152" t="s">
        <v>20</v>
      </c>
      <c r="H853" s="153">
        <v>201607</v>
      </c>
      <c r="I853" s="154">
        <v>0.99</v>
      </c>
      <c r="J853" s="144">
        <f t="shared" si="41"/>
        <v>4</v>
      </c>
      <c r="K853" s="155">
        <v>1.4833299999999999E-3</v>
      </c>
      <c r="L853" s="154">
        <f t="shared" si="39"/>
        <v>0.01</v>
      </c>
      <c r="M853" s="154">
        <f t="shared" si="40"/>
        <v>0.02</v>
      </c>
      <c r="N853" s="168" t="e">
        <f>VLOOKUP(C853,#REF!,4)</f>
        <v>#REF!</v>
      </c>
      <c r="P853" s="164"/>
      <c r="Q853" s="164"/>
      <c r="R853" s="165"/>
    </row>
    <row r="854" spans="1:18">
      <c r="A854" s="151" t="s">
        <v>21</v>
      </c>
      <c r="B854" s="152" t="s">
        <v>1829</v>
      </c>
      <c r="C854" s="152" t="s">
        <v>1830</v>
      </c>
      <c r="D854" s="151" t="s">
        <v>1831</v>
      </c>
      <c r="E854" s="152" t="s">
        <v>497</v>
      </c>
      <c r="F854" s="151" t="s">
        <v>26</v>
      </c>
      <c r="G854" s="152" t="s">
        <v>20</v>
      </c>
      <c r="H854" s="153">
        <v>201607</v>
      </c>
      <c r="I854" s="154">
        <v>1.1100000000000001</v>
      </c>
      <c r="J854" s="144">
        <f t="shared" si="41"/>
        <v>4</v>
      </c>
      <c r="K854" s="155">
        <v>1.4833299999999999E-3</v>
      </c>
      <c r="L854" s="154">
        <f t="shared" si="39"/>
        <v>0.01</v>
      </c>
      <c r="M854" s="154">
        <f t="shared" si="40"/>
        <v>0.02</v>
      </c>
      <c r="N854" s="168" t="e">
        <f>VLOOKUP(C854,#REF!,4)</f>
        <v>#REF!</v>
      </c>
      <c r="P854" s="164"/>
      <c r="Q854" s="164"/>
      <c r="R854" s="165"/>
    </row>
    <row r="855" spans="1:18">
      <c r="A855" s="151" t="s">
        <v>626</v>
      </c>
      <c r="B855" s="152" t="s">
        <v>1709</v>
      </c>
      <c r="C855" s="152" t="s">
        <v>1710</v>
      </c>
      <c r="D855" s="151" t="s">
        <v>1711</v>
      </c>
      <c r="E855" s="152" t="s">
        <v>497</v>
      </c>
      <c r="F855" s="151" t="s">
        <v>26</v>
      </c>
      <c r="G855" s="152" t="s">
        <v>20</v>
      </c>
      <c r="H855" s="153">
        <v>201607</v>
      </c>
      <c r="I855" s="154">
        <v>1.29</v>
      </c>
      <c r="J855" s="144">
        <f t="shared" si="41"/>
        <v>4</v>
      </c>
      <c r="K855" s="155">
        <v>1.4833299999999999E-3</v>
      </c>
      <c r="L855" s="154">
        <f t="shared" si="39"/>
        <v>0.01</v>
      </c>
      <c r="M855" s="154">
        <f t="shared" si="40"/>
        <v>0.02</v>
      </c>
      <c r="N855" s="168" t="e">
        <f>VLOOKUP(C855,#REF!,4)</f>
        <v>#REF!</v>
      </c>
      <c r="P855" s="164"/>
      <c r="Q855" s="164"/>
      <c r="R855" s="165"/>
    </row>
    <row r="856" spans="1:18">
      <c r="A856" s="151" t="s">
        <v>626</v>
      </c>
      <c r="B856" s="152" t="s">
        <v>1693</v>
      </c>
      <c r="C856" s="152" t="s">
        <v>1694</v>
      </c>
      <c r="D856" s="151" t="s">
        <v>1695</v>
      </c>
      <c r="E856" s="152" t="s">
        <v>809</v>
      </c>
      <c r="F856" s="151" t="s">
        <v>26</v>
      </c>
      <c r="G856" s="152" t="s">
        <v>20</v>
      </c>
      <c r="H856" s="153">
        <v>201607</v>
      </c>
      <c r="I856" s="154">
        <v>1.42</v>
      </c>
      <c r="J856" s="144">
        <f t="shared" si="41"/>
        <v>4</v>
      </c>
      <c r="K856" s="155">
        <v>1.4833299999999999E-3</v>
      </c>
      <c r="L856" s="154">
        <f t="shared" si="39"/>
        <v>0.01</v>
      </c>
      <c r="M856" s="154">
        <f t="shared" si="40"/>
        <v>0.03</v>
      </c>
      <c r="N856" s="168" t="e">
        <f>VLOOKUP(C856,#REF!,4)</f>
        <v>#REF!</v>
      </c>
      <c r="P856" s="164"/>
      <c r="Q856" s="164"/>
      <c r="R856" s="165"/>
    </row>
    <row r="857" spans="1:18">
      <c r="A857" s="151" t="s">
        <v>21</v>
      </c>
      <c r="B857" s="152" t="s">
        <v>1760</v>
      </c>
      <c r="C857" s="152" t="s">
        <v>1761</v>
      </c>
      <c r="D857" s="151" t="s">
        <v>1388</v>
      </c>
      <c r="E857" s="152" t="s">
        <v>164</v>
      </c>
      <c r="F857" s="151" t="s">
        <v>1600</v>
      </c>
      <c r="G857" s="152" t="s">
        <v>20</v>
      </c>
      <c r="H857" s="153">
        <v>201607</v>
      </c>
      <c r="I857" s="154">
        <v>1.53</v>
      </c>
      <c r="J857" s="144">
        <f t="shared" si="41"/>
        <v>4</v>
      </c>
      <c r="K857" s="155">
        <v>1.4833299999999999E-3</v>
      </c>
      <c r="L857" s="154">
        <f t="shared" si="39"/>
        <v>0.01</v>
      </c>
      <c r="M857" s="154">
        <f t="shared" si="40"/>
        <v>0.03</v>
      </c>
      <c r="N857" s="168" t="e">
        <f>VLOOKUP(C857,#REF!,4)</f>
        <v>#REF!</v>
      </c>
      <c r="P857" s="164"/>
      <c r="Q857" s="164"/>
      <c r="R857" s="165"/>
    </row>
    <row r="858" spans="1:18">
      <c r="A858" s="151" t="s">
        <v>626</v>
      </c>
      <c r="B858" s="152" t="s">
        <v>1594</v>
      </c>
      <c r="C858" s="152" t="s">
        <v>1595</v>
      </c>
      <c r="D858" s="151" t="s">
        <v>1596</v>
      </c>
      <c r="E858" s="152" t="s">
        <v>87</v>
      </c>
      <c r="F858" s="151" t="s">
        <v>1603</v>
      </c>
      <c r="G858" s="152" t="s">
        <v>20</v>
      </c>
      <c r="H858" s="153">
        <v>201607</v>
      </c>
      <c r="I858" s="154">
        <v>1.58</v>
      </c>
      <c r="J858" s="144">
        <f t="shared" si="41"/>
        <v>4</v>
      </c>
      <c r="K858" s="155">
        <v>1.4833299999999999E-3</v>
      </c>
      <c r="L858" s="154">
        <f t="shared" si="39"/>
        <v>0.01</v>
      </c>
      <c r="M858" s="154">
        <f t="shared" si="40"/>
        <v>0.03</v>
      </c>
      <c r="N858" s="168" t="e">
        <f>VLOOKUP(C858,#REF!,4)</f>
        <v>#REF!</v>
      </c>
      <c r="P858" s="164"/>
      <c r="Q858" s="164"/>
      <c r="R858" s="165"/>
    </row>
    <row r="859" spans="1:18">
      <c r="A859" s="151" t="s">
        <v>1942</v>
      </c>
      <c r="B859" s="160" t="s">
        <v>1681</v>
      </c>
      <c r="C859" s="152" t="s">
        <v>1997</v>
      </c>
      <c r="D859" s="151" t="s">
        <v>1998</v>
      </c>
      <c r="E859" s="152" t="s">
        <v>164</v>
      </c>
      <c r="F859" s="151" t="s">
        <v>1600</v>
      </c>
      <c r="G859" s="152" t="s">
        <v>20</v>
      </c>
      <c r="H859" s="150">
        <v>201607</v>
      </c>
      <c r="I859" s="154">
        <v>1.63</v>
      </c>
      <c r="J859" s="144">
        <f t="shared" si="41"/>
        <v>4</v>
      </c>
      <c r="K859" s="155">
        <v>2.23333E-3</v>
      </c>
      <c r="L859" s="154">
        <f t="shared" si="39"/>
        <v>0.01</v>
      </c>
      <c r="M859" s="154">
        <f t="shared" si="40"/>
        <v>0.04</v>
      </c>
      <c r="N859" s="168" t="e">
        <f>VLOOKUP(C859,#REF!,4)</f>
        <v>#REF!</v>
      </c>
      <c r="P859" s="164"/>
      <c r="Q859" s="164"/>
      <c r="R859" s="165"/>
    </row>
    <row r="860" spans="1:18">
      <c r="A860" s="151" t="s">
        <v>626</v>
      </c>
      <c r="B860" s="152" t="s">
        <v>1847</v>
      </c>
      <c r="C860" s="152" t="s">
        <v>1848</v>
      </c>
      <c r="D860" s="151" t="s">
        <v>1849</v>
      </c>
      <c r="E860" s="152" t="s">
        <v>63</v>
      </c>
      <c r="F860" s="151" t="s">
        <v>19</v>
      </c>
      <c r="G860" s="152" t="s">
        <v>20</v>
      </c>
      <c r="H860" s="153">
        <v>201607</v>
      </c>
      <c r="I860" s="154">
        <v>1.69</v>
      </c>
      <c r="J860" s="144">
        <f t="shared" si="41"/>
        <v>4</v>
      </c>
      <c r="K860" s="155">
        <v>1.4833299999999999E-3</v>
      </c>
      <c r="L860" s="154">
        <f t="shared" si="39"/>
        <v>0.01</v>
      </c>
      <c r="M860" s="154">
        <f t="shared" si="40"/>
        <v>0.03</v>
      </c>
      <c r="N860" s="168" t="e">
        <f>VLOOKUP(C860,#REF!,4)</f>
        <v>#REF!</v>
      </c>
      <c r="P860" s="164"/>
      <c r="Q860" s="164"/>
      <c r="R860" s="165"/>
    </row>
    <row r="861" spans="1:18">
      <c r="A861" s="151" t="s">
        <v>14</v>
      </c>
      <c r="B861" s="160" t="s">
        <v>1681</v>
      </c>
      <c r="C861" s="152" t="s">
        <v>2005</v>
      </c>
      <c r="D861" s="151" t="s">
        <v>2006</v>
      </c>
      <c r="E861" s="152" t="s">
        <v>87</v>
      </c>
      <c r="F861" s="151" t="s">
        <v>1603</v>
      </c>
      <c r="G861" s="152" t="s">
        <v>20</v>
      </c>
      <c r="H861" s="150">
        <v>201607</v>
      </c>
      <c r="I861" s="154">
        <v>1.7</v>
      </c>
      <c r="J861" s="144">
        <f t="shared" si="41"/>
        <v>4</v>
      </c>
      <c r="K861" s="155">
        <v>2.23333E-3</v>
      </c>
      <c r="L861" s="154">
        <f t="shared" si="39"/>
        <v>0.02</v>
      </c>
      <c r="M861" s="154">
        <f t="shared" si="40"/>
        <v>0.05</v>
      </c>
      <c r="N861" s="168" t="e">
        <f>VLOOKUP(C861,#REF!,4)</f>
        <v>#REF!</v>
      </c>
      <c r="P861" s="164"/>
      <c r="Q861" s="164"/>
      <c r="R861" s="165"/>
    </row>
    <row r="862" spans="1:18">
      <c r="A862" s="151" t="s">
        <v>626</v>
      </c>
      <c r="B862" s="152" t="s">
        <v>1172</v>
      </c>
      <c r="C862" s="152" t="s">
        <v>1173</v>
      </c>
      <c r="D862" s="151" t="s">
        <v>1174</v>
      </c>
      <c r="E862" s="152" t="s">
        <v>156</v>
      </c>
      <c r="F862" s="151" t="s">
        <v>26</v>
      </c>
      <c r="G862" s="152" t="s">
        <v>20</v>
      </c>
      <c r="H862" s="153">
        <v>201607</v>
      </c>
      <c r="I862" s="154">
        <v>2.44</v>
      </c>
      <c r="J862" s="144">
        <f t="shared" si="41"/>
        <v>4</v>
      </c>
      <c r="K862" s="155">
        <v>1.4833299999999999E-3</v>
      </c>
      <c r="L862" s="154">
        <f t="shared" si="39"/>
        <v>0.01</v>
      </c>
      <c r="M862" s="154">
        <f t="shared" si="40"/>
        <v>0.04</v>
      </c>
      <c r="N862" s="168" t="e">
        <f>VLOOKUP(C862,#REF!,4)</f>
        <v>#REF!</v>
      </c>
      <c r="P862" s="164"/>
      <c r="Q862" s="164"/>
      <c r="R862" s="165"/>
    </row>
    <row r="863" spans="1:18">
      <c r="A863" s="151" t="s">
        <v>626</v>
      </c>
      <c r="B863" s="152" t="s">
        <v>1142</v>
      </c>
      <c r="C863" s="152" t="s">
        <v>1143</v>
      </c>
      <c r="D863" s="151" t="s">
        <v>1144</v>
      </c>
      <c r="E863" s="152" t="s">
        <v>164</v>
      </c>
      <c r="F863" s="151" t="s">
        <v>1600</v>
      </c>
      <c r="G863" s="152" t="s">
        <v>20</v>
      </c>
      <c r="H863" s="153">
        <v>201607</v>
      </c>
      <c r="I863" s="154">
        <v>2.63</v>
      </c>
      <c r="J863" s="144">
        <f t="shared" si="41"/>
        <v>4</v>
      </c>
      <c r="K863" s="155">
        <v>1.4833299999999999E-3</v>
      </c>
      <c r="L863" s="154">
        <f t="shared" si="39"/>
        <v>0.02</v>
      </c>
      <c r="M863" s="154">
        <f t="shared" si="40"/>
        <v>0.05</v>
      </c>
      <c r="N863" s="168" t="e">
        <f>VLOOKUP(C863,#REF!,4)</f>
        <v>#REF!</v>
      </c>
      <c r="P863" s="164"/>
      <c r="Q863" s="164"/>
      <c r="R863" s="165"/>
    </row>
    <row r="864" spans="1:18">
      <c r="A864" s="151" t="s">
        <v>626</v>
      </c>
      <c r="B864" s="152" t="s">
        <v>1548</v>
      </c>
      <c r="C864" s="152" t="s">
        <v>1549</v>
      </c>
      <c r="D864" s="151" t="s">
        <v>1550</v>
      </c>
      <c r="E864" s="152" t="s">
        <v>164</v>
      </c>
      <c r="F864" s="151" t="s">
        <v>1600</v>
      </c>
      <c r="G864" s="152" t="s">
        <v>20</v>
      </c>
      <c r="H864" s="153">
        <v>201607</v>
      </c>
      <c r="I864" s="154">
        <v>2.69</v>
      </c>
      <c r="J864" s="144">
        <f t="shared" si="41"/>
        <v>4</v>
      </c>
      <c r="K864" s="155">
        <v>1.4833299999999999E-3</v>
      </c>
      <c r="L864" s="154">
        <f t="shared" si="39"/>
        <v>0.02</v>
      </c>
      <c r="M864" s="154">
        <f t="shared" si="40"/>
        <v>0.05</v>
      </c>
      <c r="N864" s="168" t="e">
        <f>VLOOKUP(C864,#REF!,4)</f>
        <v>#REF!</v>
      </c>
      <c r="P864" s="164"/>
      <c r="Q864" s="164"/>
      <c r="R864" s="165"/>
    </row>
    <row r="865" spans="1:18">
      <c r="A865" s="151" t="s">
        <v>626</v>
      </c>
      <c r="B865" s="152" t="s">
        <v>1638</v>
      </c>
      <c r="C865" s="152" t="s">
        <v>1639</v>
      </c>
      <c r="D865" s="151" t="s">
        <v>1640</v>
      </c>
      <c r="E865" s="152" t="s">
        <v>164</v>
      </c>
      <c r="F865" s="151" t="s">
        <v>1600</v>
      </c>
      <c r="G865" s="152" t="s">
        <v>20</v>
      </c>
      <c r="H865" s="153">
        <v>201607</v>
      </c>
      <c r="I865" s="154">
        <v>2.77</v>
      </c>
      <c r="J865" s="144">
        <f t="shared" si="41"/>
        <v>4</v>
      </c>
      <c r="K865" s="155">
        <v>1.4833299999999999E-3</v>
      </c>
      <c r="L865" s="154">
        <f t="shared" si="39"/>
        <v>0.02</v>
      </c>
      <c r="M865" s="154">
        <f t="shared" si="40"/>
        <v>0.05</v>
      </c>
      <c r="N865" s="168" t="e">
        <f>VLOOKUP(C865,#REF!,4)</f>
        <v>#REF!</v>
      </c>
      <c r="P865" s="164"/>
      <c r="Q865" s="164"/>
      <c r="R865" s="165"/>
    </row>
    <row r="866" spans="1:18">
      <c r="A866" s="151" t="s">
        <v>626</v>
      </c>
      <c r="B866" s="152" t="s">
        <v>1597</v>
      </c>
      <c r="C866" s="152" t="s">
        <v>1598</v>
      </c>
      <c r="D866" s="151" t="s">
        <v>1599</v>
      </c>
      <c r="E866" s="152" t="s">
        <v>164</v>
      </c>
      <c r="F866" s="151" t="s">
        <v>1600</v>
      </c>
      <c r="G866" s="152" t="s">
        <v>20</v>
      </c>
      <c r="H866" s="153">
        <v>201607</v>
      </c>
      <c r="I866" s="154">
        <v>2.92</v>
      </c>
      <c r="J866" s="144">
        <f t="shared" si="41"/>
        <v>4</v>
      </c>
      <c r="K866" s="155">
        <v>1.4833299999999999E-3</v>
      </c>
      <c r="L866" s="154">
        <f t="shared" si="39"/>
        <v>0.02</v>
      </c>
      <c r="M866" s="154">
        <f t="shared" si="40"/>
        <v>0.05</v>
      </c>
      <c r="N866" s="168" t="e">
        <f>VLOOKUP(C866,#REF!,4)</f>
        <v>#REF!</v>
      </c>
      <c r="P866" s="164"/>
      <c r="Q866" s="164"/>
      <c r="R866" s="165"/>
    </row>
    <row r="867" spans="1:18">
      <c r="A867" s="151" t="s">
        <v>21</v>
      </c>
      <c r="B867" s="152" t="s">
        <v>1420</v>
      </c>
      <c r="C867" s="152" t="s">
        <v>1421</v>
      </c>
      <c r="D867" s="151" t="s">
        <v>1422</v>
      </c>
      <c r="E867" s="152" t="s">
        <v>260</v>
      </c>
      <c r="F867" s="151" t="s">
        <v>1608</v>
      </c>
      <c r="G867" s="152" t="s">
        <v>20</v>
      </c>
      <c r="H867" s="153">
        <v>201607</v>
      </c>
      <c r="I867" s="154">
        <v>3.19</v>
      </c>
      <c r="J867" s="144">
        <f t="shared" si="41"/>
        <v>4</v>
      </c>
      <c r="K867" s="155">
        <v>1.4833299999999999E-3</v>
      </c>
      <c r="L867" s="154">
        <f t="shared" si="39"/>
        <v>0.02</v>
      </c>
      <c r="M867" s="154">
        <f t="shared" si="40"/>
        <v>0.06</v>
      </c>
      <c r="N867" s="168" t="e">
        <f>VLOOKUP(C867,#REF!,4)</f>
        <v>#REF!</v>
      </c>
      <c r="P867" s="164"/>
      <c r="Q867" s="164"/>
      <c r="R867" s="165"/>
    </row>
    <row r="868" spans="1:18">
      <c r="A868" s="151" t="s">
        <v>21</v>
      </c>
      <c r="B868" s="152" t="s">
        <v>1635</v>
      </c>
      <c r="C868" s="152" t="s">
        <v>1636</v>
      </c>
      <c r="D868" s="151" t="s">
        <v>1637</v>
      </c>
      <c r="E868" s="152" t="s">
        <v>360</v>
      </c>
      <c r="F868" s="151" t="s">
        <v>19</v>
      </c>
      <c r="G868" s="152" t="s">
        <v>20</v>
      </c>
      <c r="H868" s="153">
        <v>201607</v>
      </c>
      <c r="I868" s="154">
        <v>3.48</v>
      </c>
      <c r="J868" s="144">
        <f t="shared" si="41"/>
        <v>4</v>
      </c>
      <c r="K868" s="155">
        <v>1.4833299999999999E-3</v>
      </c>
      <c r="L868" s="154">
        <f t="shared" si="39"/>
        <v>0.02</v>
      </c>
      <c r="M868" s="154">
        <f t="shared" si="40"/>
        <v>0.06</v>
      </c>
      <c r="N868" s="168" t="e">
        <f>VLOOKUP(C868,#REF!,4)</f>
        <v>#REF!</v>
      </c>
      <c r="P868" s="164"/>
      <c r="Q868" s="164"/>
      <c r="R868" s="165"/>
    </row>
    <row r="869" spans="1:18">
      <c r="A869" s="151" t="s">
        <v>626</v>
      </c>
      <c r="B869" s="152" t="s">
        <v>1511</v>
      </c>
      <c r="C869" s="152" t="s">
        <v>1512</v>
      </c>
      <c r="D869" s="151" t="s">
        <v>1513</v>
      </c>
      <c r="E869" s="152" t="s">
        <v>260</v>
      </c>
      <c r="F869" s="151" t="s">
        <v>1608</v>
      </c>
      <c r="G869" s="152" t="s">
        <v>20</v>
      </c>
      <c r="H869" s="153">
        <v>201607</v>
      </c>
      <c r="I869" s="154">
        <v>3.94</v>
      </c>
      <c r="J869" s="144">
        <f t="shared" si="41"/>
        <v>4</v>
      </c>
      <c r="K869" s="155">
        <v>1.4833299999999999E-3</v>
      </c>
      <c r="L869" s="154">
        <f t="shared" si="39"/>
        <v>0.02</v>
      </c>
      <c r="M869" s="154">
        <f t="shared" si="40"/>
        <v>7.0000000000000007E-2</v>
      </c>
      <c r="N869" s="168" t="e">
        <f>VLOOKUP(C869,#REF!,4)</f>
        <v>#REF!</v>
      </c>
      <c r="P869" s="164"/>
      <c r="Q869" s="164"/>
      <c r="R869" s="165"/>
    </row>
    <row r="870" spans="1:18">
      <c r="A870" s="151" t="s">
        <v>626</v>
      </c>
      <c r="B870" s="152" t="s">
        <v>1514</v>
      </c>
      <c r="C870" s="152" t="s">
        <v>1515</v>
      </c>
      <c r="D870" s="151" t="s">
        <v>1516</v>
      </c>
      <c r="E870" s="152" t="s">
        <v>809</v>
      </c>
      <c r="F870" s="151" t="s">
        <v>26</v>
      </c>
      <c r="G870" s="152" t="s">
        <v>20</v>
      </c>
      <c r="H870" s="153">
        <v>201607</v>
      </c>
      <c r="I870" s="154">
        <v>4.84</v>
      </c>
      <c r="J870" s="144">
        <f t="shared" si="41"/>
        <v>4</v>
      </c>
      <c r="K870" s="155">
        <v>1.4833299999999999E-3</v>
      </c>
      <c r="L870" s="154">
        <f t="shared" si="39"/>
        <v>0.03</v>
      </c>
      <c r="M870" s="154">
        <f t="shared" si="40"/>
        <v>0.09</v>
      </c>
      <c r="N870" s="168" t="e">
        <f>VLOOKUP(C870,#REF!,4)</f>
        <v>#REF!</v>
      </c>
      <c r="P870" s="164"/>
      <c r="Q870" s="164"/>
      <c r="R870" s="165"/>
    </row>
    <row r="871" spans="1:18">
      <c r="A871" s="151" t="s">
        <v>626</v>
      </c>
      <c r="B871" s="160" t="s">
        <v>1681</v>
      </c>
      <c r="C871" s="152" t="s">
        <v>2067</v>
      </c>
      <c r="D871" s="151" t="s">
        <v>2068</v>
      </c>
      <c r="E871" s="152" t="s">
        <v>93</v>
      </c>
      <c r="F871" s="151" t="s">
        <v>1601</v>
      </c>
      <c r="G871" s="152" t="s">
        <v>20</v>
      </c>
      <c r="H871" s="153">
        <v>201607</v>
      </c>
      <c r="I871" s="154">
        <v>4.8499999999999996</v>
      </c>
      <c r="J871" s="144">
        <f t="shared" si="41"/>
        <v>4</v>
      </c>
      <c r="K871" s="155">
        <v>1.4833299999999999E-3</v>
      </c>
      <c r="L871" s="154">
        <f t="shared" si="39"/>
        <v>0.03</v>
      </c>
      <c r="M871" s="154">
        <f t="shared" si="40"/>
        <v>0.09</v>
      </c>
      <c r="N871" s="168" t="e">
        <f>VLOOKUP(C871,#REF!,4)</f>
        <v>#REF!</v>
      </c>
      <c r="P871" s="164"/>
      <c r="Q871" s="164"/>
      <c r="R871" s="165"/>
    </row>
    <row r="872" spans="1:18">
      <c r="A872" s="151" t="s">
        <v>14</v>
      </c>
      <c r="B872" s="152" t="s">
        <v>839</v>
      </c>
      <c r="C872" s="152" t="s">
        <v>840</v>
      </c>
      <c r="D872" s="151" t="s">
        <v>50</v>
      </c>
      <c r="E872" s="152" t="s">
        <v>841</v>
      </c>
      <c r="F872" s="151" t="s">
        <v>52</v>
      </c>
      <c r="G872" s="152" t="s">
        <v>20</v>
      </c>
      <c r="H872" s="153">
        <v>201607</v>
      </c>
      <c r="I872" s="154">
        <v>5.24</v>
      </c>
      <c r="J872" s="144">
        <f t="shared" si="41"/>
        <v>4</v>
      </c>
      <c r="K872" s="155">
        <v>2.23333E-3</v>
      </c>
      <c r="L872" s="154">
        <f t="shared" si="39"/>
        <v>0.05</v>
      </c>
      <c r="M872" s="154">
        <f t="shared" si="40"/>
        <v>0.14000000000000001</v>
      </c>
      <c r="N872" s="168" t="e">
        <f>VLOOKUP(C872,#REF!,4)</f>
        <v>#REF!</v>
      </c>
      <c r="P872" s="164"/>
      <c r="Q872" s="164"/>
      <c r="R872" s="165"/>
    </row>
    <row r="873" spans="1:18">
      <c r="A873" s="151" t="s">
        <v>626</v>
      </c>
      <c r="B873" s="152" t="s">
        <v>1721</v>
      </c>
      <c r="C873" s="152" t="s">
        <v>1722</v>
      </c>
      <c r="D873" s="151" t="s">
        <v>1723</v>
      </c>
      <c r="E873" s="152" t="s">
        <v>75</v>
      </c>
      <c r="F873" s="151" t="s">
        <v>1602</v>
      </c>
      <c r="G873" s="152" t="s">
        <v>20</v>
      </c>
      <c r="H873" s="153">
        <v>201607</v>
      </c>
      <c r="I873" s="154">
        <v>5.27</v>
      </c>
      <c r="J873" s="144">
        <f t="shared" si="41"/>
        <v>4</v>
      </c>
      <c r="K873" s="155">
        <v>1.4833299999999999E-3</v>
      </c>
      <c r="L873" s="154">
        <f t="shared" si="39"/>
        <v>0.03</v>
      </c>
      <c r="M873" s="154">
        <f t="shared" si="40"/>
        <v>0.09</v>
      </c>
      <c r="N873" s="168" t="e">
        <f>VLOOKUP(C873,#REF!,4)</f>
        <v>#REF!</v>
      </c>
      <c r="P873" s="164"/>
      <c r="Q873" s="164"/>
      <c r="R873" s="165"/>
    </row>
    <row r="874" spans="1:18">
      <c r="A874" s="151" t="s">
        <v>626</v>
      </c>
      <c r="B874" s="152" t="s">
        <v>1770</v>
      </c>
      <c r="C874" s="152" t="s">
        <v>1771</v>
      </c>
      <c r="D874" s="151" t="s">
        <v>1772</v>
      </c>
      <c r="E874" s="152" t="s">
        <v>93</v>
      </c>
      <c r="F874" s="151" t="s">
        <v>1601</v>
      </c>
      <c r="G874" s="152" t="s">
        <v>20</v>
      </c>
      <c r="H874" s="153">
        <v>201607</v>
      </c>
      <c r="I874" s="154">
        <v>5.8</v>
      </c>
      <c r="J874" s="144">
        <f t="shared" si="41"/>
        <v>4</v>
      </c>
      <c r="K874" s="155">
        <v>1.4833299999999999E-3</v>
      </c>
      <c r="L874" s="154">
        <f t="shared" si="39"/>
        <v>0.03</v>
      </c>
      <c r="M874" s="154">
        <f t="shared" si="40"/>
        <v>0.1</v>
      </c>
      <c r="N874" s="168" t="e">
        <f>VLOOKUP(C874,#REF!,4)</f>
        <v>#REF!</v>
      </c>
      <c r="P874" s="164"/>
      <c r="Q874" s="164"/>
      <c r="R874" s="165"/>
    </row>
    <row r="875" spans="1:18">
      <c r="A875" s="151" t="s">
        <v>626</v>
      </c>
      <c r="B875" s="152" t="s">
        <v>1139</v>
      </c>
      <c r="C875" s="152" t="s">
        <v>1140</v>
      </c>
      <c r="D875" s="151" t="s">
        <v>1141</v>
      </c>
      <c r="E875" s="152" t="s">
        <v>280</v>
      </c>
      <c r="F875" s="151" t="s">
        <v>26</v>
      </c>
      <c r="G875" s="152" t="s">
        <v>20</v>
      </c>
      <c r="H875" s="153">
        <v>201607</v>
      </c>
      <c r="I875" s="154">
        <v>6.51</v>
      </c>
      <c r="J875" s="144">
        <f t="shared" si="41"/>
        <v>4</v>
      </c>
      <c r="K875" s="155">
        <v>1.4833299999999999E-3</v>
      </c>
      <c r="L875" s="154">
        <f t="shared" si="39"/>
        <v>0.04</v>
      </c>
      <c r="M875" s="154">
        <f t="shared" si="40"/>
        <v>0.12</v>
      </c>
      <c r="N875" s="168" t="e">
        <f>VLOOKUP(C875,#REF!,4)</f>
        <v>#REF!</v>
      </c>
      <c r="P875" s="164"/>
      <c r="Q875" s="164"/>
      <c r="R875" s="165"/>
    </row>
    <row r="876" spans="1:18">
      <c r="A876" s="151" t="s">
        <v>990</v>
      </c>
      <c r="B876" s="152" t="s">
        <v>1751</v>
      </c>
      <c r="C876" s="152" t="s">
        <v>1752</v>
      </c>
      <c r="D876" s="151" t="s">
        <v>1753</v>
      </c>
      <c r="E876" s="152" t="s">
        <v>1688</v>
      </c>
      <c r="F876" s="151" t="s">
        <v>1689</v>
      </c>
      <c r="G876" s="152" t="s">
        <v>20</v>
      </c>
      <c r="H876" s="153">
        <v>201607</v>
      </c>
      <c r="I876" s="154">
        <v>6.58</v>
      </c>
      <c r="J876" s="144">
        <f t="shared" si="41"/>
        <v>4</v>
      </c>
      <c r="K876" s="155">
        <v>2.3833299999999999E-3</v>
      </c>
      <c r="L876" s="154">
        <f t="shared" si="39"/>
        <v>0.06</v>
      </c>
      <c r="M876" s="154">
        <f t="shared" si="40"/>
        <v>0.19</v>
      </c>
      <c r="N876" s="168" t="e">
        <f>VLOOKUP(C876,#REF!,4)</f>
        <v>#REF!</v>
      </c>
      <c r="P876" s="164"/>
      <c r="Q876" s="164"/>
      <c r="R876" s="165"/>
    </row>
    <row r="877" spans="1:18">
      <c r="A877" s="151" t="s">
        <v>990</v>
      </c>
      <c r="B877" s="152" t="s">
        <v>1733</v>
      </c>
      <c r="C877" s="152" t="s">
        <v>1734</v>
      </c>
      <c r="D877" s="151" t="s">
        <v>1735</v>
      </c>
      <c r="E877" s="152" t="s">
        <v>1688</v>
      </c>
      <c r="F877" s="151" t="s">
        <v>1689</v>
      </c>
      <c r="G877" s="152" t="s">
        <v>20</v>
      </c>
      <c r="H877" s="153">
        <v>201607</v>
      </c>
      <c r="I877" s="154">
        <v>6.58</v>
      </c>
      <c r="J877" s="144">
        <f t="shared" si="41"/>
        <v>4</v>
      </c>
      <c r="K877" s="155">
        <v>2.3833299999999999E-3</v>
      </c>
      <c r="L877" s="154">
        <f t="shared" si="39"/>
        <v>0.06</v>
      </c>
      <c r="M877" s="154">
        <f t="shared" si="40"/>
        <v>0.19</v>
      </c>
      <c r="N877" s="168" t="e">
        <f>VLOOKUP(C877,#REF!,4)</f>
        <v>#REF!</v>
      </c>
      <c r="P877" s="164"/>
      <c r="Q877" s="164"/>
      <c r="R877" s="165"/>
    </row>
    <row r="878" spans="1:18">
      <c r="A878" s="151" t="s">
        <v>990</v>
      </c>
      <c r="B878" s="152" t="s">
        <v>1017</v>
      </c>
      <c r="C878" s="152" t="s">
        <v>1018</v>
      </c>
      <c r="D878" s="151" t="s">
        <v>993</v>
      </c>
      <c r="E878" s="152" t="s">
        <v>1019</v>
      </c>
      <c r="F878" s="151" t="s">
        <v>995</v>
      </c>
      <c r="G878" s="152" t="s">
        <v>20</v>
      </c>
      <c r="H878" s="153">
        <v>201607</v>
      </c>
      <c r="I878" s="154">
        <v>6.97</v>
      </c>
      <c r="J878" s="144">
        <f t="shared" si="41"/>
        <v>4</v>
      </c>
      <c r="K878" s="155">
        <v>2.3833299999999999E-3</v>
      </c>
      <c r="L878" s="154">
        <f t="shared" si="39"/>
        <v>7.0000000000000007E-2</v>
      </c>
      <c r="M878" s="154">
        <f t="shared" si="40"/>
        <v>0.2</v>
      </c>
      <c r="N878" s="168" t="e">
        <f>VLOOKUP(C878,#REF!,4)</f>
        <v>#REF!</v>
      </c>
      <c r="P878" s="164"/>
      <c r="Q878" s="164"/>
      <c r="R878" s="165"/>
    </row>
    <row r="879" spans="1:18">
      <c r="A879" s="151" t="s">
        <v>14</v>
      </c>
      <c r="B879" s="152" t="s">
        <v>1676</v>
      </c>
      <c r="C879" s="152" t="s">
        <v>1677</v>
      </c>
      <c r="D879" s="151" t="s">
        <v>50</v>
      </c>
      <c r="E879" s="152" t="s">
        <v>1678</v>
      </c>
      <c r="F879" s="151" t="s">
        <v>52</v>
      </c>
      <c r="G879" s="152" t="s">
        <v>20</v>
      </c>
      <c r="H879" s="153">
        <v>201607</v>
      </c>
      <c r="I879" s="154">
        <v>6.99</v>
      </c>
      <c r="J879" s="144">
        <f t="shared" si="41"/>
        <v>4</v>
      </c>
      <c r="K879" s="155">
        <v>2.23333E-3</v>
      </c>
      <c r="L879" s="154">
        <f t="shared" si="39"/>
        <v>0.06</v>
      </c>
      <c r="M879" s="154">
        <f t="shared" si="40"/>
        <v>0.19</v>
      </c>
      <c r="N879" s="168" t="e">
        <f>VLOOKUP(C879,#REF!,4)</f>
        <v>#REF!</v>
      </c>
      <c r="P879" s="164"/>
      <c r="Q879" s="164"/>
      <c r="R879" s="165"/>
    </row>
    <row r="880" spans="1:18">
      <c r="A880" s="151" t="s">
        <v>626</v>
      </c>
      <c r="B880" s="152" t="s">
        <v>1508</v>
      </c>
      <c r="C880" s="152" t="s">
        <v>1509</v>
      </c>
      <c r="D880" s="151" t="s">
        <v>1510</v>
      </c>
      <c r="E880" s="152" t="s">
        <v>75</v>
      </c>
      <c r="F880" s="151" t="s">
        <v>1602</v>
      </c>
      <c r="G880" s="152" t="s">
        <v>20</v>
      </c>
      <c r="H880" s="153">
        <v>201607</v>
      </c>
      <c r="I880" s="154">
        <v>7.19</v>
      </c>
      <c r="J880" s="144">
        <f t="shared" si="41"/>
        <v>4</v>
      </c>
      <c r="K880" s="155">
        <v>1.4833299999999999E-3</v>
      </c>
      <c r="L880" s="154">
        <f t="shared" si="39"/>
        <v>0.04</v>
      </c>
      <c r="M880" s="154">
        <f t="shared" si="40"/>
        <v>0.13</v>
      </c>
      <c r="N880" s="168" t="e">
        <f>VLOOKUP(C880,#REF!,4)</f>
        <v>#REF!</v>
      </c>
      <c r="P880" s="164"/>
      <c r="Q880" s="164"/>
      <c r="R880" s="165"/>
    </row>
    <row r="881" spans="1:18">
      <c r="A881" s="151" t="s">
        <v>626</v>
      </c>
      <c r="B881" s="152" t="s">
        <v>1829</v>
      </c>
      <c r="C881" s="152" t="s">
        <v>1830</v>
      </c>
      <c r="D881" s="151" t="s">
        <v>1831</v>
      </c>
      <c r="E881" s="152" t="s">
        <v>497</v>
      </c>
      <c r="F881" s="151" t="s">
        <v>26</v>
      </c>
      <c r="G881" s="152" t="s">
        <v>20</v>
      </c>
      <c r="H881" s="153">
        <v>201607</v>
      </c>
      <c r="I881" s="154">
        <v>7.57</v>
      </c>
      <c r="J881" s="144">
        <f t="shared" si="41"/>
        <v>4</v>
      </c>
      <c r="K881" s="155">
        <v>1.4833299999999999E-3</v>
      </c>
      <c r="L881" s="154">
        <f t="shared" si="39"/>
        <v>0.04</v>
      </c>
      <c r="M881" s="154">
        <f t="shared" si="40"/>
        <v>0.13</v>
      </c>
      <c r="N881" s="168" t="e">
        <f>VLOOKUP(C881,#REF!,4)</f>
        <v>#REF!</v>
      </c>
      <c r="P881" s="164"/>
      <c r="Q881" s="164"/>
      <c r="R881" s="165"/>
    </row>
    <row r="882" spans="1:18">
      <c r="A882" s="151" t="s">
        <v>626</v>
      </c>
      <c r="B882" s="152" t="s">
        <v>1712</v>
      </c>
      <c r="C882" s="152" t="s">
        <v>1713</v>
      </c>
      <c r="D882" s="151" t="s">
        <v>1714</v>
      </c>
      <c r="E882" s="152" t="s">
        <v>497</v>
      </c>
      <c r="F882" s="151" t="s">
        <v>26</v>
      </c>
      <c r="G882" s="152" t="s">
        <v>20</v>
      </c>
      <c r="H882" s="153">
        <v>201607</v>
      </c>
      <c r="I882" s="154">
        <v>7.83</v>
      </c>
      <c r="J882" s="144">
        <f t="shared" si="41"/>
        <v>4</v>
      </c>
      <c r="K882" s="155">
        <v>1.4833299999999999E-3</v>
      </c>
      <c r="L882" s="154">
        <f t="shared" si="39"/>
        <v>0.05</v>
      </c>
      <c r="M882" s="154">
        <f t="shared" si="40"/>
        <v>0.14000000000000001</v>
      </c>
      <c r="N882" s="168" t="e">
        <f>VLOOKUP(C882,#REF!,4)</f>
        <v>#REF!</v>
      </c>
      <c r="P882" s="164"/>
      <c r="Q882" s="164"/>
      <c r="R882" s="165"/>
    </row>
    <row r="883" spans="1:18">
      <c r="A883" s="151" t="s">
        <v>626</v>
      </c>
      <c r="B883" s="152" t="s">
        <v>1959</v>
      </c>
      <c r="C883" s="152" t="s">
        <v>1960</v>
      </c>
      <c r="D883" s="151" t="s">
        <v>1495</v>
      </c>
      <c r="E883" s="152" t="s">
        <v>75</v>
      </c>
      <c r="F883" s="151" t="s">
        <v>1602</v>
      </c>
      <c r="G883" s="152" t="s">
        <v>20</v>
      </c>
      <c r="H883" s="153">
        <v>201607</v>
      </c>
      <c r="I883" s="154">
        <v>7.93</v>
      </c>
      <c r="J883" s="144">
        <f t="shared" si="41"/>
        <v>4</v>
      </c>
      <c r="K883" s="155">
        <v>1.4833299999999999E-3</v>
      </c>
      <c r="L883" s="154">
        <f t="shared" si="39"/>
        <v>0.05</v>
      </c>
      <c r="M883" s="154">
        <f t="shared" si="40"/>
        <v>0.14000000000000001</v>
      </c>
      <c r="N883" s="168" t="e">
        <f>VLOOKUP(C883,#REF!,4)</f>
        <v>#REF!</v>
      </c>
      <c r="P883" s="164"/>
      <c r="Q883" s="164"/>
      <c r="R883" s="165"/>
    </row>
    <row r="884" spans="1:18">
      <c r="A884" s="151" t="s">
        <v>626</v>
      </c>
      <c r="B884" s="152" t="s">
        <v>1632</v>
      </c>
      <c r="C884" s="152" t="s">
        <v>1633</v>
      </c>
      <c r="D884" s="151" t="s">
        <v>1634</v>
      </c>
      <c r="E884" s="152" t="s">
        <v>471</v>
      </c>
      <c r="F884" s="151" t="s">
        <v>165</v>
      </c>
      <c r="G884" s="152" t="s">
        <v>20</v>
      </c>
      <c r="H884" s="153">
        <v>201607</v>
      </c>
      <c r="I884" s="154">
        <v>8.1300000000000008</v>
      </c>
      <c r="J884" s="144">
        <f t="shared" si="41"/>
        <v>4</v>
      </c>
      <c r="K884" s="155">
        <v>1.4833299999999999E-3</v>
      </c>
      <c r="L884" s="154">
        <f t="shared" si="39"/>
        <v>0.05</v>
      </c>
      <c r="M884" s="154">
        <f t="shared" si="40"/>
        <v>0.14000000000000001</v>
      </c>
      <c r="N884" s="168" t="e">
        <f>VLOOKUP(C884,#REF!,4)</f>
        <v>#REF!</v>
      </c>
      <c r="P884" s="164"/>
      <c r="Q884" s="164"/>
      <c r="R884" s="165"/>
    </row>
    <row r="885" spans="1:18">
      <c r="A885" s="151" t="s">
        <v>14</v>
      </c>
      <c r="B885" s="160" t="s">
        <v>1681</v>
      </c>
      <c r="C885" s="152" t="s">
        <v>2003</v>
      </c>
      <c r="D885" s="151" t="s">
        <v>2004</v>
      </c>
      <c r="E885" s="152" t="s">
        <v>164</v>
      </c>
      <c r="F885" s="151" t="s">
        <v>1600</v>
      </c>
      <c r="G885" s="152" t="s">
        <v>20</v>
      </c>
      <c r="H885" s="150">
        <v>201607</v>
      </c>
      <c r="I885" s="154">
        <v>8.16</v>
      </c>
      <c r="J885" s="144">
        <f t="shared" si="41"/>
        <v>4</v>
      </c>
      <c r="K885" s="155">
        <v>2.23333E-3</v>
      </c>
      <c r="L885" s="154">
        <f t="shared" si="39"/>
        <v>7.0000000000000007E-2</v>
      </c>
      <c r="M885" s="154">
        <f t="shared" si="40"/>
        <v>0.22</v>
      </c>
      <c r="N885" s="168" t="e">
        <f>VLOOKUP(C885,#REF!,4)</f>
        <v>#REF!</v>
      </c>
      <c r="P885" s="164"/>
      <c r="Q885" s="164"/>
      <c r="R885" s="165"/>
    </row>
    <row r="886" spans="1:18">
      <c r="A886" s="151" t="s">
        <v>21</v>
      </c>
      <c r="B886" s="160" t="s">
        <v>1681</v>
      </c>
      <c r="C886" s="152" t="s">
        <v>2003</v>
      </c>
      <c r="D886" s="151" t="s">
        <v>2004</v>
      </c>
      <c r="E886" s="152" t="s">
        <v>164</v>
      </c>
      <c r="F886" s="151" t="s">
        <v>1600</v>
      </c>
      <c r="G886" s="152" t="s">
        <v>20</v>
      </c>
      <c r="H886" s="153">
        <v>201607</v>
      </c>
      <c r="I886" s="154">
        <v>8.23</v>
      </c>
      <c r="J886" s="144">
        <f t="shared" si="41"/>
        <v>4</v>
      </c>
      <c r="K886" s="155">
        <v>1.4833299999999999E-3</v>
      </c>
      <c r="L886" s="154">
        <f t="shared" si="39"/>
        <v>0.05</v>
      </c>
      <c r="M886" s="154">
        <f t="shared" si="40"/>
        <v>0.15</v>
      </c>
      <c r="N886" s="168" t="e">
        <f>VLOOKUP(C886,#REF!,4)</f>
        <v>#REF!</v>
      </c>
      <c r="P886" s="164"/>
      <c r="Q886" s="164"/>
      <c r="R886" s="165"/>
    </row>
    <row r="887" spans="1:18">
      <c r="A887" s="151" t="s">
        <v>21</v>
      </c>
      <c r="B887" s="152" t="s">
        <v>1072</v>
      </c>
      <c r="C887" s="152" t="s">
        <v>1073</v>
      </c>
      <c r="D887" s="151" t="s">
        <v>1074</v>
      </c>
      <c r="E887" s="152" t="s">
        <v>857</v>
      </c>
      <c r="F887" s="151" t="s">
        <v>88</v>
      </c>
      <c r="G887" s="152" t="s">
        <v>20</v>
      </c>
      <c r="H887" s="153">
        <v>201607</v>
      </c>
      <c r="I887" s="154">
        <v>11.02</v>
      </c>
      <c r="J887" s="144">
        <f t="shared" si="41"/>
        <v>4</v>
      </c>
      <c r="K887" s="155">
        <v>1.4833299999999999E-3</v>
      </c>
      <c r="L887" s="154">
        <f t="shared" si="39"/>
        <v>7.0000000000000007E-2</v>
      </c>
      <c r="M887" s="154">
        <f t="shared" si="40"/>
        <v>0.2</v>
      </c>
      <c r="N887" s="168" t="e">
        <f>VLOOKUP(C887,#REF!,4)</f>
        <v>#REF!</v>
      </c>
      <c r="P887" s="164"/>
      <c r="Q887" s="164"/>
      <c r="R887" s="165"/>
    </row>
    <row r="888" spans="1:18">
      <c r="A888" s="151" t="s">
        <v>626</v>
      </c>
      <c r="B888" s="152" t="s">
        <v>1420</v>
      </c>
      <c r="C888" s="152" t="s">
        <v>1421</v>
      </c>
      <c r="D888" s="151" t="s">
        <v>1422</v>
      </c>
      <c r="E888" s="152" t="s">
        <v>260</v>
      </c>
      <c r="F888" s="151" t="s">
        <v>1608</v>
      </c>
      <c r="G888" s="152" t="s">
        <v>20</v>
      </c>
      <c r="H888" s="153">
        <v>201607</v>
      </c>
      <c r="I888" s="154">
        <v>12.46</v>
      </c>
      <c r="J888" s="144">
        <f t="shared" si="41"/>
        <v>4</v>
      </c>
      <c r="K888" s="155">
        <v>1.4833299999999999E-3</v>
      </c>
      <c r="L888" s="154">
        <f t="shared" si="39"/>
        <v>7.0000000000000007E-2</v>
      </c>
      <c r="M888" s="154">
        <f t="shared" si="40"/>
        <v>0.22</v>
      </c>
      <c r="N888" s="168" t="e">
        <f>VLOOKUP(C888,#REF!,4)</f>
        <v>#REF!</v>
      </c>
      <c r="P888" s="164"/>
      <c r="Q888" s="164"/>
      <c r="R888" s="165"/>
    </row>
    <row r="889" spans="1:18">
      <c r="A889" s="151" t="s">
        <v>21</v>
      </c>
      <c r="B889" s="152" t="s">
        <v>1858</v>
      </c>
      <c r="C889" s="152" t="s">
        <v>1859</v>
      </c>
      <c r="D889" s="151" t="s">
        <v>1860</v>
      </c>
      <c r="E889" s="152" t="s">
        <v>70</v>
      </c>
      <c r="F889" s="151" t="s">
        <v>71</v>
      </c>
      <c r="G889" s="152" t="s">
        <v>20</v>
      </c>
      <c r="H889" s="153">
        <v>201607</v>
      </c>
      <c r="I889" s="154">
        <v>14.08</v>
      </c>
      <c r="J889" s="144">
        <f t="shared" si="41"/>
        <v>4</v>
      </c>
      <c r="K889" s="155">
        <v>1.4833299999999999E-3</v>
      </c>
      <c r="L889" s="154">
        <f t="shared" si="39"/>
        <v>0.08</v>
      </c>
      <c r="M889" s="154">
        <f t="shared" si="40"/>
        <v>0.25</v>
      </c>
      <c r="N889" s="168" t="e">
        <f>VLOOKUP(C889,#REF!,4)</f>
        <v>#REF!</v>
      </c>
      <c r="P889" s="164"/>
      <c r="Q889" s="164"/>
      <c r="R889" s="165"/>
    </row>
    <row r="890" spans="1:18">
      <c r="A890" s="151" t="s">
        <v>626</v>
      </c>
      <c r="B890" s="152" t="s">
        <v>1953</v>
      </c>
      <c r="C890" s="152" t="s">
        <v>1954</v>
      </c>
      <c r="D890" s="151" t="s">
        <v>1955</v>
      </c>
      <c r="E890" s="152" t="s">
        <v>75</v>
      </c>
      <c r="F890" s="151" t="s">
        <v>1602</v>
      </c>
      <c r="G890" s="152" t="s">
        <v>20</v>
      </c>
      <c r="H890" s="153">
        <v>201607</v>
      </c>
      <c r="I890" s="154">
        <v>16.27</v>
      </c>
      <c r="J890" s="144">
        <f t="shared" si="41"/>
        <v>4</v>
      </c>
      <c r="K890" s="155">
        <v>1.4833299999999999E-3</v>
      </c>
      <c r="L890" s="154">
        <f t="shared" si="39"/>
        <v>0.1</v>
      </c>
      <c r="M890" s="154">
        <f t="shared" si="40"/>
        <v>0.28999999999999998</v>
      </c>
      <c r="N890" s="168" t="e">
        <f>VLOOKUP(C890,#REF!,4)</f>
        <v>#REF!</v>
      </c>
      <c r="P890" s="164"/>
      <c r="Q890" s="164"/>
      <c r="R890" s="165"/>
    </row>
    <row r="891" spans="1:18">
      <c r="A891" s="151" t="s">
        <v>626</v>
      </c>
      <c r="B891" s="152" t="s">
        <v>1718</v>
      </c>
      <c r="C891" s="152" t="s">
        <v>1719</v>
      </c>
      <c r="D891" s="151" t="s">
        <v>1720</v>
      </c>
      <c r="E891" s="152" t="s">
        <v>497</v>
      </c>
      <c r="F891" s="151" t="s">
        <v>26</v>
      </c>
      <c r="G891" s="152" t="s">
        <v>20</v>
      </c>
      <c r="H891" s="153">
        <v>201607</v>
      </c>
      <c r="I891" s="154">
        <v>17.399999999999999</v>
      </c>
      <c r="J891" s="144">
        <f t="shared" si="41"/>
        <v>4</v>
      </c>
      <c r="K891" s="155">
        <v>1.4833299999999999E-3</v>
      </c>
      <c r="L891" s="154">
        <f t="shared" si="39"/>
        <v>0.1</v>
      </c>
      <c r="M891" s="154">
        <f t="shared" si="40"/>
        <v>0.31</v>
      </c>
      <c r="N891" s="168" t="e">
        <f>VLOOKUP(C891,#REF!,4)</f>
        <v>#REF!</v>
      </c>
      <c r="P891" s="164"/>
      <c r="Q891" s="164"/>
      <c r="R891" s="165"/>
    </row>
    <row r="892" spans="1:18">
      <c r="A892" s="151" t="s">
        <v>626</v>
      </c>
      <c r="B892" s="152" t="s">
        <v>1169</v>
      </c>
      <c r="C892" s="152" t="s">
        <v>1170</v>
      </c>
      <c r="D892" s="151" t="s">
        <v>1171</v>
      </c>
      <c r="E892" s="152" t="s">
        <v>164</v>
      </c>
      <c r="F892" s="151" t="s">
        <v>1600</v>
      </c>
      <c r="G892" s="152" t="s">
        <v>20</v>
      </c>
      <c r="H892" s="153">
        <v>201607</v>
      </c>
      <c r="I892" s="154">
        <v>17.86</v>
      </c>
      <c r="J892" s="144">
        <f t="shared" si="41"/>
        <v>4</v>
      </c>
      <c r="K892" s="155">
        <v>1.4833299999999999E-3</v>
      </c>
      <c r="L892" s="154">
        <f t="shared" si="39"/>
        <v>0.11</v>
      </c>
      <c r="M892" s="154">
        <f t="shared" si="40"/>
        <v>0.32</v>
      </c>
      <c r="N892" s="168" t="e">
        <f>VLOOKUP(C892,#REF!,4)</f>
        <v>#REF!</v>
      </c>
      <c r="P892" s="164"/>
      <c r="Q892" s="164"/>
      <c r="R892" s="165"/>
    </row>
    <row r="893" spans="1:18">
      <c r="A893" s="151" t="s">
        <v>14</v>
      </c>
      <c r="B893" s="160" t="s">
        <v>1681</v>
      </c>
      <c r="C893" s="152" t="s">
        <v>2009</v>
      </c>
      <c r="D893" s="151" t="s">
        <v>2010</v>
      </c>
      <c r="E893" s="152" t="s">
        <v>260</v>
      </c>
      <c r="F893" s="151" t="s">
        <v>1608</v>
      </c>
      <c r="G893" s="152" t="s">
        <v>20</v>
      </c>
      <c r="H893" s="150">
        <v>201607</v>
      </c>
      <c r="I893" s="154">
        <v>20.13</v>
      </c>
      <c r="J893" s="144">
        <f t="shared" si="41"/>
        <v>4</v>
      </c>
      <c r="K893" s="155">
        <v>2.23333E-3</v>
      </c>
      <c r="L893" s="154">
        <f t="shared" si="39"/>
        <v>0.18</v>
      </c>
      <c r="M893" s="154">
        <f t="shared" si="40"/>
        <v>0.54</v>
      </c>
      <c r="N893" s="168" t="e">
        <f>VLOOKUP(C893,#REF!,4)</f>
        <v>#REF!</v>
      </c>
      <c r="P893" s="164"/>
      <c r="Q893" s="164"/>
      <c r="R893" s="165"/>
    </row>
    <row r="894" spans="1:18">
      <c r="A894" s="151" t="s">
        <v>21</v>
      </c>
      <c r="B894" s="152" t="s">
        <v>1745</v>
      </c>
      <c r="C894" s="152" t="s">
        <v>1746</v>
      </c>
      <c r="D894" s="151" t="s">
        <v>1747</v>
      </c>
      <c r="E894" s="152" t="s">
        <v>497</v>
      </c>
      <c r="F894" s="151" t="s">
        <v>26</v>
      </c>
      <c r="G894" s="152" t="s">
        <v>20</v>
      </c>
      <c r="H894" s="153">
        <v>201607</v>
      </c>
      <c r="I894" s="154">
        <v>21.59</v>
      </c>
      <c r="J894" s="144">
        <f t="shared" si="41"/>
        <v>4</v>
      </c>
      <c r="K894" s="155">
        <v>1.4833299999999999E-3</v>
      </c>
      <c r="L894" s="154">
        <f t="shared" si="39"/>
        <v>0.13</v>
      </c>
      <c r="M894" s="154">
        <f t="shared" si="40"/>
        <v>0.38</v>
      </c>
      <c r="N894" s="168" t="e">
        <f>VLOOKUP(C894,#REF!,4)</f>
        <v>#REF!</v>
      </c>
      <c r="P894" s="164"/>
      <c r="Q894" s="164"/>
      <c r="R894" s="165"/>
    </row>
    <row r="895" spans="1:18">
      <c r="A895" s="151" t="s">
        <v>14</v>
      </c>
      <c r="B895" s="152" t="s">
        <v>43</v>
      </c>
      <c r="C895" s="152" t="s">
        <v>44</v>
      </c>
      <c r="D895" s="151" t="s">
        <v>45</v>
      </c>
      <c r="E895" s="152" t="s">
        <v>46</v>
      </c>
      <c r="F895" s="151" t="s">
        <v>41</v>
      </c>
      <c r="G895" s="152" t="s">
        <v>20</v>
      </c>
      <c r="H895" s="153">
        <v>201607</v>
      </c>
      <c r="I895" s="154">
        <v>22.56</v>
      </c>
      <c r="J895" s="144">
        <f t="shared" si="41"/>
        <v>4</v>
      </c>
      <c r="K895" s="155">
        <v>2.23333E-3</v>
      </c>
      <c r="L895" s="154">
        <f t="shared" si="39"/>
        <v>0.2</v>
      </c>
      <c r="M895" s="154">
        <f t="shared" si="40"/>
        <v>0.6</v>
      </c>
      <c r="N895" s="168" t="e">
        <f>VLOOKUP(C895,#REF!,4)</f>
        <v>#REF!</v>
      </c>
      <c r="P895" s="164"/>
      <c r="Q895" s="164"/>
      <c r="R895" s="165"/>
    </row>
    <row r="896" spans="1:18">
      <c r="A896" s="151" t="s">
        <v>14</v>
      </c>
      <c r="B896" s="160" t="s">
        <v>1681</v>
      </c>
      <c r="C896" s="152" t="s">
        <v>2015</v>
      </c>
      <c r="D896" s="151" t="s">
        <v>2016</v>
      </c>
      <c r="E896" s="152" t="s">
        <v>164</v>
      </c>
      <c r="F896" s="151" t="s">
        <v>1600</v>
      </c>
      <c r="G896" s="152" t="s">
        <v>20</v>
      </c>
      <c r="H896" s="150">
        <v>201607</v>
      </c>
      <c r="I896" s="154">
        <v>25.09</v>
      </c>
      <c r="J896" s="144">
        <f t="shared" si="41"/>
        <v>4</v>
      </c>
      <c r="K896" s="155">
        <v>2.23333E-3</v>
      </c>
      <c r="L896" s="154">
        <f t="shared" si="39"/>
        <v>0.22</v>
      </c>
      <c r="M896" s="154">
        <f t="shared" si="40"/>
        <v>0.67</v>
      </c>
      <c r="N896" s="168" t="e">
        <f>VLOOKUP(C896,#REF!,4)</f>
        <v>#REF!</v>
      </c>
      <c r="P896" s="164"/>
      <c r="Q896" s="164"/>
      <c r="R896" s="165"/>
    </row>
    <row r="897" spans="1:18">
      <c r="A897" s="151" t="s">
        <v>626</v>
      </c>
      <c r="B897" s="152" t="s">
        <v>1788</v>
      </c>
      <c r="C897" s="152" t="s">
        <v>1789</v>
      </c>
      <c r="D897" s="151" t="s">
        <v>1790</v>
      </c>
      <c r="E897" s="152" t="s">
        <v>25</v>
      </c>
      <c r="F897" s="151" t="s">
        <v>26</v>
      </c>
      <c r="G897" s="152" t="s">
        <v>20</v>
      </c>
      <c r="H897" s="153">
        <v>201607</v>
      </c>
      <c r="I897" s="154">
        <v>25.34</v>
      </c>
      <c r="J897" s="144">
        <f t="shared" si="41"/>
        <v>4</v>
      </c>
      <c r="K897" s="155">
        <v>1.4833299999999999E-3</v>
      </c>
      <c r="L897" s="154">
        <f t="shared" si="39"/>
        <v>0.15</v>
      </c>
      <c r="M897" s="154">
        <f t="shared" si="40"/>
        <v>0.45</v>
      </c>
      <c r="N897" s="168" t="e">
        <f>VLOOKUP(C897,#REF!,4)</f>
        <v>#REF!</v>
      </c>
      <c r="P897" s="164"/>
      <c r="Q897" s="164"/>
      <c r="R897" s="165"/>
    </row>
    <row r="898" spans="1:18">
      <c r="A898" s="151" t="s">
        <v>626</v>
      </c>
      <c r="B898" s="152" t="s">
        <v>1136</v>
      </c>
      <c r="C898" s="152" t="s">
        <v>1137</v>
      </c>
      <c r="D898" s="151" t="s">
        <v>1138</v>
      </c>
      <c r="E898" s="152" t="s">
        <v>962</v>
      </c>
      <c r="F898" s="151" t="s">
        <v>88</v>
      </c>
      <c r="G898" s="152" t="s">
        <v>20</v>
      </c>
      <c r="H898" s="153">
        <v>201607</v>
      </c>
      <c r="I898" s="154">
        <v>27.6</v>
      </c>
      <c r="J898" s="144">
        <f t="shared" si="41"/>
        <v>4</v>
      </c>
      <c r="K898" s="155">
        <v>1.4833299999999999E-3</v>
      </c>
      <c r="L898" s="154">
        <f t="shared" si="39"/>
        <v>0.16</v>
      </c>
      <c r="M898" s="154">
        <f t="shared" si="40"/>
        <v>0.49</v>
      </c>
      <c r="N898" s="168" t="e">
        <f>VLOOKUP(C898,#REF!,4)</f>
        <v>#REF!</v>
      </c>
      <c r="P898" s="164"/>
      <c r="Q898" s="164"/>
      <c r="R898" s="165"/>
    </row>
    <row r="899" spans="1:18">
      <c r="A899" s="151" t="s">
        <v>990</v>
      </c>
      <c r="B899" s="152" t="s">
        <v>1754</v>
      </c>
      <c r="C899" s="152" t="s">
        <v>1755</v>
      </c>
      <c r="D899" s="151" t="s">
        <v>1756</v>
      </c>
      <c r="E899" s="152" t="s">
        <v>1688</v>
      </c>
      <c r="F899" s="151" t="s">
        <v>1689</v>
      </c>
      <c r="G899" s="152" t="s">
        <v>20</v>
      </c>
      <c r="H899" s="153">
        <v>201607</v>
      </c>
      <c r="I899" s="154">
        <v>29.65</v>
      </c>
      <c r="J899" s="144">
        <f t="shared" si="41"/>
        <v>4</v>
      </c>
      <c r="K899" s="155">
        <v>2.3833299999999999E-3</v>
      </c>
      <c r="L899" s="154">
        <f t="shared" si="39"/>
        <v>0.28000000000000003</v>
      </c>
      <c r="M899" s="154">
        <f t="shared" si="40"/>
        <v>0.85</v>
      </c>
      <c r="N899" s="168" t="e">
        <f>VLOOKUP(C899,#REF!,4)</f>
        <v>#REF!</v>
      </c>
      <c r="P899" s="164"/>
      <c r="Q899" s="164"/>
      <c r="R899" s="165"/>
    </row>
    <row r="900" spans="1:18">
      <c r="A900" s="151" t="s">
        <v>626</v>
      </c>
      <c r="B900" s="152" t="s">
        <v>1927</v>
      </c>
      <c r="C900" s="152" t="s">
        <v>1928</v>
      </c>
      <c r="D900" s="151" t="s">
        <v>1929</v>
      </c>
      <c r="E900" s="152" t="s">
        <v>75</v>
      </c>
      <c r="F900" s="151" t="s">
        <v>1602</v>
      </c>
      <c r="G900" s="152" t="s">
        <v>20</v>
      </c>
      <c r="H900" s="153">
        <v>201607</v>
      </c>
      <c r="I900" s="154">
        <v>31.17</v>
      </c>
      <c r="J900" s="144">
        <f t="shared" si="41"/>
        <v>4</v>
      </c>
      <c r="K900" s="155">
        <v>1.4833299999999999E-3</v>
      </c>
      <c r="L900" s="154">
        <f t="shared" si="39"/>
        <v>0.18</v>
      </c>
      <c r="M900" s="154">
        <f t="shared" si="40"/>
        <v>0.55000000000000004</v>
      </c>
      <c r="N900" s="168" t="e">
        <f>VLOOKUP(C900,#REF!,4)</f>
        <v>#REF!</v>
      </c>
      <c r="P900" s="164"/>
      <c r="Q900" s="164"/>
      <c r="R900" s="165"/>
    </row>
    <row r="901" spans="1:18">
      <c r="A901" s="151" t="s">
        <v>626</v>
      </c>
      <c r="B901" s="152" t="s">
        <v>1924</v>
      </c>
      <c r="C901" s="152" t="s">
        <v>1925</v>
      </c>
      <c r="D901" s="151" t="s">
        <v>1926</v>
      </c>
      <c r="E901" s="152" t="s">
        <v>75</v>
      </c>
      <c r="F901" s="151" t="s">
        <v>1602</v>
      </c>
      <c r="G901" s="152" t="s">
        <v>20</v>
      </c>
      <c r="H901" s="153">
        <v>201607</v>
      </c>
      <c r="I901" s="154">
        <v>33.26</v>
      </c>
      <c r="J901" s="144">
        <f t="shared" si="41"/>
        <v>4</v>
      </c>
      <c r="K901" s="155">
        <v>1.4833299999999999E-3</v>
      </c>
      <c r="L901" s="154">
        <f t="shared" ref="L901:L964" si="42">ROUND(I901*J901*K901,2)</f>
        <v>0.2</v>
      </c>
      <c r="M901" s="154">
        <f t="shared" ref="M901:M964" si="43">ROUND(I901*K901*12,2)</f>
        <v>0.59</v>
      </c>
      <c r="N901" s="168" t="e">
        <f>VLOOKUP(C901,#REF!,4)</f>
        <v>#REF!</v>
      </c>
      <c r="P901" s="164"/>
      <c r="Q901" s="164"/>
      <c r="R901" s="165"/>
    </row>
    <row r="902" spans="1:18">
      <c r="A902" s="151" t="s">
        <v>14</v>
      </c>
      <c r="B902" s="160" t="s">
        <v>1681</v>
      </c>
      <c r="C902" s="152" t="s">
        <v>2087</v>
      </c>
      <c r="D902" s="151" t="s">
        <v>2088</v>
      </c>
      <c r="E902" s="152" t="s">
        <v>164</v>
      </c>
      <c r="F902" s="151" t="s">
        <v>1600</v>
      </c>
      <c r="G902" s="152" t="s">
        <v>20</v>
      </c>
      <c r="H902" s="150">
        <v>201607</v>
      </c>
      <c r="I902" s="154">
        <v>34.39</v>
      </c>
      <c r="J902" s="144">
        <f t="shared" ref="J902:J965" si="44">VLOOKUP(H902,$P$5:$Q$14,2)</f>
        <v>4</v>
      </c>
      <c r="K902" s="155">
        <v>2.23333E-3</v>
      </c>
      <c r="L902" s="154">
        <f t="shared" si="42"/>
        <v>0.31</v>
      </c>
      <c r="M902" s="154">
        <f t="shared" si="43"/>
        <v>0.92</v>
      </c>
      <c r="N902" s="168" t="e">
        <f>VLOOKUP(C902,#REF!,4)</f>
        <v>#REF!</v>
      </c>
      <c r="P902" s="164"/>
      <c r="Q902" s="164"/>
      <c r="R902" s="165"/>
    </row>
    <row r="903" spans="1:18">
      <c r="A903" s="151" t="s">
        <v>14</v>
      </c>
      <c r="B903" s="160" t="s">
        <v>1681</v>
      </c>
      <c r="C903" s="152" t="s">
        <v>2099</v>
      </c>
      <c r="D903" s="151" t="s">
        <v>2100</v>
      </c>
      <c r="E903" s="152" t="s">
        <v>260</v>
      </c>
      <c r="F903" s="151" t="s">
        <v>1608</v>
      </c>
      <c r="G903" s="152" t="s">
        <v>20</v>
      </c>
      <c r="H903" s="150">
        <v>201607</v>
      </c>
      <c r="I903" s="154">
        <v>34.53</v>
      </c>
      <c r="J903" s="144">
        <f t="shared" si="44"/>
        <v>4</v>
      </c>
      <c r="K903" s="155">
        <v>2.23333E-3</v>
      </c>
      <c r="L903" s="154">
        <f t="shared" si="42"/>
        <v>0.31</v>
      </c>
      <c r="M903" s="154">
        <f t="shared" si="43"/>
        <v>0.93</v>
      </c>
      <c r="N903" s="168" t="e">
        <f>VLOOKUP(C903,#REF!,4)</f>
        <v>#REF!</v>
      </c>
      <c r="P903" s="164"/>
      <c r="Q903" s="164"/>
      <c r="R903" s="165"/>
    </row>
    <row r="904" spans="1:18">
      <c r="A904" s="151" t="s">
        <v>127</v>
      </c>
      <c r="B904" s="152" t="s">
        <v>1785</v>
      </c>
      <c r="C904" s="152" t="s">
        <v>1786</v>
      </c>
      <c r="D904" s="151" t="s">
        <v>1787</v>
      </c>
      <c r="E904" s="152" t="s">
        <v>1580</v>
      </c>
      <c r="F904" s="151" t="s">
        <v>217</v>
      </c>
      <c r="G904" s="152" t="s">
        <v>20</v>
      </c>
      <c r="H904" s="153">
        <v>201607</v>
      </c>
      <c r="I904" s="154">
        <v>34.659999999999997</v>
      </c>
      <c r="J904" s="144">
        <f t="shared" si="44"/>
        <v>4</v>
      </c>
      <c r="K904" s="155">
        <v>2.3833299999999999E-3</v>
      </c>
      <c r="L904" s="154">
        <f t="shared" si="42"/>
        <v>0.33</v>
      </c>
      <c r="M904" s="154">
        <f t="shared" si="43"/>
        <v>0.99</v>
      </c>
      <c r="N904" s="168" t="e">
        <f>VLOOKUP(C904,#REF!,4)</f>
        <v>#REF!</v>
      </c>
      <c r="P904" s="164"/>
      <c r="Q904" s="164"/>
      <c r="R904" s="165"/>
    </row>
    <row r="905" spans="1:18">
      <c r="A905" s="151" t="s">
        <v>14</v>
      </c>
      <c r="B905" s="152" t="s">
        <v>2026</v>
      </c>
      <c r="C905" s="152" t="s">
        <v>2027</v>
      </c>
      <c r="D905" s="151" t="s">
        <v>2028</v>
      </c>
      <c r="E905" s="152" t="s">
        <v>2029</v>
      </c>
      <c r="F905" s="151" t="s">
        <v>710</v>
      </c>
      <c r="G905" s="152" t="s">
        <v>20</v>
      </c>
      <c r="H905" s="153">
        <v>201607</v>
      </c>
      <c r="I905" s="154">
        <v>35.6</v>
      </c>
      <c r="J905" s="144">
        <f t="shared" si="44"/>
        <v>4</v>
      </c>
      <c r="K905" s="155">
        <v>2.23333E-3</v>
      </c>
      <c r="L905" s="154">
        <f t="shared" si="42"/>
        <v>0.32</v>
      </c>
      <c r="M905" s="154">
        <f t="shared" si="43"/>
        <v>0.95</v>
      </c>
      <c r="N905" s="168" t="e">
        <f>VLOOKUP(C905,#REF!,4)</f>
        <v>#REF!</v>
      </c>
      <c r="P905" s="164"/>
      <c r="Q905" s="164"/>
      <c r="R905" s="165"/>
    </row>
    <row r="906" spans="1:18">
      <c r="A906" s="151" t="s">
        <v>626</v>
      </c>
      <c r="B906" s="160" t="s">
        <v>1681</v>
      </c>
      <c r="C906" s="152" t="s">
        <v>2089</v>
      </c>
      <c r="D906" s="151" t="s">
        <v>2090</v>
      </c>
      <c r="E906" s="152" t="s">
        <v>164</v>
      </c>
      <c r="F906" s="151" t="s">
        <v>1600</v>
      </c>
      <c r="G906" s="152" t="s">
        <v>20</v>
      </c>
      <c r="H906" s="153">
        <v>201607</v>
      </c>
      <c r="I906" s="154">
        <v>37.07</v>
      </c>
      <c r="J906" s="144">
        <f t="shared" si="44"/>
        <v>4</v>
      </c>
      <c r="K906" s="155">
        <v>1.4833299999999999E-3</v>
      </c>
      <c r="L906" s="154">
        <f t="shared" si="42"/>
        <v>0.22</v>
      </c>
      <c r="M906" s="154">
        <f t="shared" si="43"/>
        <v>0.66</v>
      </c>
      <c r="N906" s="168" t="e">
        <f>VLOOKUP(C906,#REF!,4)</f>
        <v>#REF!</v>
      </c>
      <c r="P906" s="164"/>
      <c r="Q906" s="164"/>
      <c r="R906" s="165"/>
    </row>
    <row r="907" spans="1:18">
      <c r="A907" s="151" t="s">
        <v>1942</v>
      </c>
      <c r="B907" s="160" t="s">
        <v>1681</v>
      </c>
      <c r="C907" s="152" t="s">
        <v>1999</v>
      </c>
      <c r="D907" s="151" t="s">
        <v>2000</v>
      </c>
      <c r="E907" s="152" t="s">
        <v>75</v>
      </c>
      <c r="F907" s="151" t="s">
        <v>1602</v>
      </c>
      <c r="G907" s="152" t="s">
        <v>20</v>
      </c>
      <c r="H907" s="150">
        <v>201607</v>
      </c>
      <c r="I907" s="154">
        <v>38.619999999999997</v>
      </c>
      <c r="J907" s="144">
        <f t="shared" si="44"/>
        <v>4</v>
      </c>
      <c r="K907" s="155">
        <v>2.23333E-3</v>
      </c>
      <c r="L907" s="154">
        <f t="shared" si="42"/>
        <v>0.35</v>
      </c>
      <c r="M907" s="154">
        <f t="shared" si="43"/>
        <v>1.04</v>
      </c>
      <c r="N907" s="168" t="e">
        <f>VLOOKUP(C907,#REF!,4)</f>
        <v>#REF!</v>
      </c>
      <c r="P907" s="164"/>
      <c r="Q907" s="164"/>
      <c r="R907" s="165"/>
    </row>
    <row r="908" spans="1:18">
      <c r="A908" s="151" t="s">
        <v>626</v>
      </c>
      <c r="B908" s="152" t="s">
        <v>1867</v>
      </c>
      <c r="C908" s="152" t="s">
        <v>1868</v>
      </c>
      <c r="D908" s="151" t="s">
        <v>1869</v>
      </c>
      <c r="E908" s="152" t="s">
        <v>75</v>
      </c>
      <c r="F908" s="151" t="s">
        <v>1602</v>
      </c>
      <c r="G908" s="152" t="s">
        <v>20</v>
      </c>
      <c r="H908" s="153">
        <v>201607</v>
      </c>
      <c r="I908" s="154">
        <v>40.33</v>
      </c>
      <c r="J908" s="144">
        <f t="shared" si="44"/>
        <v>4</v>
      </c>
      <c r="K908" s="155">
        <v>1.4833299999999999E-3</v>
      </c>
      <c r="L908" s="154">
        <f t="shared" si="42"/>
        <v>0.24</v>
      </c>
      <c r="M908" s="154">
        <f t="shared" si="43"/>
        <v>0.72</v>
      </c>
      <c r="N908" s="168" t="e">
        <f>VLOOKUP(C908,#REF!,4)</f>
        <v>#REF!</v>
      </c>
      <c r="P908" s="164"/>
      <c r="Q908" s="164"/>
      <c r="R908" s="165"/>
    </row>
    <row r="909" spans="1:18">
      <c r="A909" s="151" t="s">
        <v>626</v>
      </c>
      <c r="B909" s="152" t="s">
        <v>1742</v>
      </c>
      <c r="C909" s="152" t="s">
        <v>1743</v>
      </c>
      <c r="D909" s="151" t="s">
        <v>1744</v>
      </c>
      <c r="E909" s="152" t="s">
        <v>497</v>
      </c>
      <c r="F909" s="151" t="s">
        <v>26</v>
      </c>
      <c r="G909" s="152" t="s">
        <v>20</v>
      </c>
      <c r="H909" s="153">
        <v>201607</v>
      </c>
      <c r="I909" s="154">
        <v>45.81</v>
      </c>
      <c r="J909" s="144">
        <f t="shared" si="44"/>
        <v>4</v>
      </c>
      <c r="K909" s="155">
        <v>1.4833299999999999E-3</v>
      </c>
      <c r="L909" s="154">
        <f t="shared" si="42"/>
        <v>0.27</v>
      </c>
      <c r="M909" s="154">
        <f t="shared" si="43"/>
        <v>0.82</v>
      </c>
      <c r="N909" s="168" t="e">
        <f>VLOOKUP(C909,#REF!,4)</f>
        <v>#REF!</v>
      </c>
      <c r="P909" s="164"/>
      <c r="Q909" s="164"/>
      <c r="R909" s="165"/>
    </row>
    <row r="910" spans="1:18">
      <c r="A910" s="151" t="s">
        <v>990</v>
      </c>
      <c r="B910" s="160" t="s">
        <v>1681</v>
      </c>
      <c r="C910" s="152" t="s">
        <v>2063</v>
      </c>
      <c r="D910" s="151" t="s">
        <v>2064</v>
      </c>
      <c r="E910" s="152" t="s">
        <v>1688</v>
      </c>
      <c r="F910" s="151" t="s">
        <v>1689</v>
      </c>
      <c r="G910" s="152" t="s">
        <v>20</v>
      </c>
      <c r="H910" s="153">
        <v>201607</v>
      </c>
      <c r="I910" s="154">
        <v>47.17</v>
      </c>
      <c r="J910" s="144">
        <f t="shared" si="44"/>
        <v>4</v>
      </c>
      <c r="K910" s="155">
        <v>2.3833299999999999E-3</v>
      </c>
      <c r="L910" s="154">
        <f t="shared" si="42"/>
        <v>0.45</v>
      </c>
      <c r="M910" s="154">
        <f t="shared" si="43"/>
        <v>1.35</v>
      </c>
      <c r="N910" s="168" t="e">
        <f>VLOOKUP(C910,#REF!,4)</f>
        <v>#REF!</v>
      </c>
      <c r="P910" s="164"/>
      <c r="Q910" s="164"/>
      <c r="R910" s="165"/>
    </row>
    <row r="911" spans="1:18">
      <c r="A911" s="151" t="s">
        <v>626</v>
      </c>
      <c r="B911" s="152" t="s">
        <v>1757</v>
      </c>
      <c r="C911" s="152" t="s">
        <v>1758</v>
      </c>
      <c r="D911" s="151" t="s">
        <v>1759</v>
      </c>
      <c r="E911" s="152" t="s">
        <v>75</v>
      </c>
      <c r="F911" s="151" t="s">
        <v>1602</v>
      </c>
      <c r="G911" s="152" t="s">
        <v>20</v>
      </c>
      <c r="H911" s="153">
        <v>201607</v>
      </c>
      <c r="I911" s="154">
        <v>49.98</v>
      </c>
      <c r="J911" s="144">
        <f t="shared" si="44"/>
        <v>4</v>
      </c>
      <c r="K911" s="155">
        <v>1.4833299999999999E-3</v>
      </c>
      <c r="L911" s="154">
        <f t="shared" si="42"/>
        <v>0.3</v>
      </c>
      <c r="M911" s="154">
        <f t="shared" si="43"/>
        <v>0.89</v>
      </c>
      <c r="N911" s="168" t="e">
        <f>VLOOKUP(C911,#REF!,4)</f>
        <v>#REF!</v>
      </c>
      <c r="P911" s="164"/>
      <c r="Q911" s="164"/>
      <c r="R911" s="165"/>
    </row>
    <row r="912" spans="1:18">
      <c r="A912" s="151" t="s">
        <v>626</v>
      </c>
      <c r="B912" s="152" t="s">
        <v>1884</v>
      </c>
      <c r="C912" s="152" t="s">
        <v>1885</v>
      </c>
      <c r="D912" s="151" t="s">
        <v>1886</v>
      </c>
      <c r="E912" s="152" t="s">
        <v>75</v>
      </c>
      <c r="F912" s="151" t="s">
        <v>1602</v>
      </c>
      <c r="G912" s="152" t="s">
        <v>20</v>
      </c>
      <c r="H912" s="153">
        <v>201607</v>
      </c>
      <c r="I912" s="154">
        <v>51.77</v>
      </c>
      <c r="J912" s="144">
        <f t="shared" si="44"/>
        <v>4</v>
      </c>
      <c r="K912" s="155">
        <v>1.4833299999999999E-3</v>
      </c>
      <c r="L912" s="154">
        <f t="shared" si="42"/>
        <v>0.31</v>
      </c>
      <c r="M912" s="154">
        <f t="shared" si="43"/>
        <v>0.92</v>
      </c>
      <c r="N912" s="168" t="e">
        <f>VLOOKUP(C912,#REF!,4)</f>
        <v>#REF!</v>
      </c>
      <c r="P912" s="164"/>
      <c r="Q912" s="164"/>
      <c r="R912" s="165"/>
    </row>
    <row r="913" spans="1:18">
      <c r="A913" s="151" t="s">
        <v>626</v>
      </c>
      <c r="B913" s="152" t="s">
        <v>1776</v>
      </c>
      <c r="C913" s="152" t="s">
        <v>1777</v>
      </c>
      <c r="D913" s="151" t="s">
        <v>1778</v>
      </c>
      <c r="E913" s="152" t="s">
        <v>452</v>
      </c>
      <c r="F913" s="151" t="s">
        <v>398</v>
      </c>
      <c r="G913" s="152" t="s">
        <v>20</v>
      </c>
      <c r="H913" s="153">
        <v>201607</v>
      </c>
      <c r="I913" s="154">
        <v>51.98</v>
      </c>
      <c r="J913" s="144">
        <f t="shared" si="44"/>
        <v>4</v>
      </c>
      <c r="K913" s="155">
        <v>1.4833299999999999E-3</v>
      </c>
      <c r="L913" s="154">
        <f t="shared" si="42"/>
        <v>0.31</v>
      </c>
      <c r="M913" s="154">
        <f t="shared" si="43"/>
        <v>0.93</v>
      </c>
      <c r="N913" s="168" t="e">
        <f>VLOOKUP(C913,#REF!,4)</f>
        <v>#REF!</v>
      </c>
      <c r="P913" s="164"/>
      <c r="Q913" s="164"/>
      <c r="R913" s="165"/>
    </row>
    <row r="914" spans="1:18">
      <c r="A914" s="151" t="s">
        <v>14</v>
      </c>
      <c r="B914" s="160" t="s">
        <v>1681</v>
      </c>
      <c r="C914" s="152" t="s">
        <v>2091</v>
      </c>
      <c r="D914" s="151" t="s">
        <v>2092</v>
      </c>
      <c r="E914" s="152" t="s">
        <v>93</v>
      </c>
      <c r="F914" s="151" t="s">
        <v>1601</v>
      </c>
      <c r="G914" s="152" t="s">
        <v>20</v>
      </c>
      <c r="H914" s="150">
        <v>201607</v>
      </c>
      <c r="I914" s="154">
        <v>54.89</v>
      </c>
      <c r="J914" s="144">
        <f t="shared" si="44"/>
        <v>4</v>
      </c>
      <c r="K914" s="155">
        <v>2.23333E-3</v>
      </c>
      <c r="L914" s="154">
        <f t="shared" si="42"/>
        <v>0.49</v>
      </c>
      <c r="M914" s="154">
        <f t="shared" si="43"/>
        <v>1.47</v>
      </c>
      <c r="N914" s="168" t="e">
        <f>VLOOKUP(C914,#REF!,4)</f>
        <v>#REF!</v>
      </c>
      <c r="P914" s="164"/>
      <c r="Q914" s="164"/>
      <c r="R914" s="165"/>
    </row>
    <row r="915" spans="1:18">
      <c r="A915" s="151" t="s">
        <v>626</v>
      </c>
      <c r="B915" s="152" t="s">
        <v>1835</v>
      </c>
      <c r="C915" s="152" t="s">
        <v>1836</v>
      </c>
      <c r="D915" s="151" t="s">
        <v>1837</v>
      </c>
      <c r="E915" s="152" t="s">
        <v>497</v>
      </c>
      <c r="F915" s="151" t="s">
        <v>26</v>
      </c>
      <c r="G915" s="152" t="s">
        <v>20</v>
      </c>
      <c r="H915" s="153">
        <v>201607</v>
      </c>
      <c r="I915" s="154">
        <v>56.52</v>
      </c>
      <c r="J915" s="144">
        <f t="shared" si="44"/>
        <v>4</v>
      </c>
      <c r="K915" s="155">
        <v>1.4833299999999999E-3</v>
      </c>
      <c r="L915" s="154">
        <f t="shared" si="42"/>
        <v>0.34</v>
      </c>
      <c r="M915" s="154">
        <f t="shared" si="43"/>
        <v>1.01</v>
      </c>
      <c r="N915" s="168" t="e">
        <f>VLOOKUP(C915,#REF!,4)</f>
        <v>#REF!</v>
      </c>
      <c r="P915" s="164"/>
      <c r="Q915" s="164"/>
      <c r="R915" s="165"/>
    </row>
    <row r="916" spans="1:18">
      <c r="A916" s="151" t="s">
        <v>14</v>
      </c>
      <c r="B916" s="160" t="s">
        <v>1681</v>
      </c>
      <c r="C916" s="152" t="s">
        <v>2011</v>
      </c>
      <c r="D916" s="151" t="s">
        <v>2012</v>
      </c>
      <c r="E916" s="152" t="s">
        <v>260</v>
      </c>
      <c r="F916" s="151" t="s">
        <v>1608</v>
      </c>
      <c r="G916" s="152" t="s">
        <v>20</v>
      </c>
      <c r="H916" s="150">
        <v>201607</v>
      </c>
      <c r="I916" s="154">
        <v>57.08</v>
      </c>
      <c r="J916" s="144">
        <f t="shared" si="44"/>
        <v>4</v>
      </c>
      <c r="K916" s="155">
        <v>2.23333E-3</v>
      </c>
      <c r="L916" s="154">
        <f t="shared" si="42"/>
        <v>0.51</v>
      </c>
      <c r="M916" s="154">
        <f t="shared" si="43"/>
        <v>1.53</v>
      </c>
      <c r="N916" s="168" t="e">
        <f>VLOOKUP(C916,#REF!,4)</f>
        <v>#REF!</v>
      </c>
      <c r="P916" s="164"/>
      <c r="Q916" s="164"/>
      <c r="R916" s="165"/>
    </row>
    <row r="917" spans="1:18">
      <c r="A917" s="151" t="s">
        <v>14</v>
      </c>
      <c r="B917" s="160" t="s">
        <v>1681</v>
      </c>
      <c r="C917" s="152" t="s">
        <v>2013</v>
      </c>
      <c r="D917" s="151" t="s">
        <v>2014</v>
      </c>
      <c r="E917" s="152" t="s">
        <v>164</v>
      </c>
      <c r="F917" s="151" t="s">
        <v>1600</v>
      </c>
      <c r="G917" s="152" t="s">
        <v>20</v>
      </c>
      <c r="H917" s="150">
        <v>201607</v>
      </c>
      <c r="I917" s="154">
        <v>57.29</v>
      </c>
      <c r="J917" s="144">
        <f t="shared" si="44"/>
        <v>4</v>
      </c>
      <c r="K917" s="155">
        <v>2.23333E-3</v>
      </c>
      <c r="L917" s="154">
        <f t="shared" si="42"/>
        <v>0.51</v>
      </c>
      <c r="M917" s="154">
        <f t="shared" si="43"/>
        <v>1.54</v>
      </c>
      <c r="N917" s="168" t="e">
        <f>VLOOKUP(C917,#REF!,4)</f>
        <v>#REF!</v>
      </c>
      <c r="P917" s="164"/>
      <c r="Q917" s="164"/>
      <c r="R917" s="165"/>
    </row>
    <row r="918" spans="1:18">
      <c r="A918" s="151" t="s">
        <v>626</v>
      </c>
      <c r="B918" s="152" t="s">
        <v>1936</v>
      </c>
      <c r="C918" s="152" t="s">
        <v>1937</v>
      </c>
      <c r="D918" s="151" t="s">
        <v>1938</v>
      </c>
      <c r="E918" s="152" t="s">
        <v>75</v>
      </c>
      <c r="F918" s="151" t="s">
        <v>1602</v>
      </c>
      <c r="G918" s="152" t="s">
        <v>20</v>
      </c>
      <c r="H918" s="153">
        <v>201607</v>
      </c>
      <c r="I918" s="154">
        <v>60.93</v>
      </c>
      <c r="J918" s="144">
        <f t="shared" si="44"/>
        <v>4</v>
      </c>
      <c r="K918" s="155">
        <v>1.4833299999999999E-3</v>
      </c>
      <c r="L918" s="154">
        <f t="shared" si="42"/>
        <v>0.36</v>
      </c>
      <c r="M918" s="154">
        <f t="shared" si="43"/>
        <v>1.08</v>
      </c>
      <c r="N918" s="168" t="e">
        <f>VLOOKUP(C918,#REF!,4)</f>
        <v>#REF!</v>
      </c>
      <c r="P918" s="164"/>
      <c r="Q918" s="164"/>
      <c r="R918" s="165"/>
    </row>
    <row r="919" spans="1:18">
      <c r="A919" s="151" t="s">
        <v>626</v>
      </c>
      <c r="B919" s="152" t="s">
        <v>1832</v>
      </c>
      <c r="C919" s="152" t="s">
        <v>1833</v>
      </c>
      <c r="D919" s="151" t="s">
        <v>1834</v>
      </c>
      <c r="E919" s="152" t="s">
        <v>497</v>
      </c>
      <c r="F919" s="151" t="s">
        <v>26</v>
      </c>
      <c r="G919" s="152" t="s">
        <v>20</v>
      </c>
      <c r="H919" s="153">
        <v>201607</v>
      </c>
      <c r="I919" s="154">
        <v>63.86</v>
      </c>
      <c r="J919" s="144">
        <f t="shared" si="44"/>
        <v>4</v>
      </c>
      <c r="K919" s="155">
        <v>1.4833299999999999E-3</v>
      </c>
      <c r="L919" s="154">
        <f t="shared" si="42"/>
        <v>0.38</v>
      </c>
      <c r="M919" s="154">
        <f t="shared" si="43"/>
        <v>1.1399999999999999</v>
      </c>
      <c r="N919" s="168" t="e">
        <f>VLOOKUP(C919,#REF!,4)</f>
        <v>#REF!</v>
      </c>
      <c r="P919" s="164"/>
      <c r="Q919" s="164"/>
      <c r="R919" s="165"/>
    </row>
    <row r="920" spans="1:18">
      <c r="A920" s="151" t="s">
        <v>626</v>
      </c>
      <c r="B920" s="152" t="s">
        <v>1375</v>
      </c>
      <c r="C920" s="152" t="s">
        <v>1376</v>
      </c>
      <c r="D920" s="151" t="s">
        <v>1374</v>
      </c>
      <c r="E920" s="152" t="s">
        <v>497</v>
      </c>
      <c r="F920" s="151" t="s">
        <v>26</v>
      </c>
      <c r="G920" s="152" t="s">
        <v>20</v>
      </c>
      <c r="H920" s="153">
        <v>201607</v>
      </c>
      <c r="I920" s="154">
        <v>65.86</v>
      </c>
      <c r="J920" s="144">
        <f t="shared" si="44"/>
        <v>4</v>
      </c>
      <c r="K920" s="155">
        <v>1.4833299999999999E-3</v>
      </c>
      <c r="L920" s="154">
        <f t="shared" si="42"/>
        <v>0.39</v>
      </c>
      <c r="M920" s="154">
        <f t="shared" si="43"/>
        <v>1.17</v>
      </c>
      <c r="N920" s="168" t="e">
        <f>VLOOKUP(C920,#REF!,4)</f>
        <v>#REF!</v>
      </c>
      <c r="P920" s="164"/>
      <c r="Q920" s="164"/>
      <c r="R920" s="165"/>
    </row>
    <row r="921" spans="1:18">
      <c r="A921" s="151" t="s">
        <v>626</v>
      </c>
      <c r="B921" s="152" t="s">
        <v>1760</v>
      </c>
      <c r="C921" s="152" t="s">
        <v>1761</v>
      </c>
      <c r="D921" s="151" t="s">
        <v>1388</v>
      </c>
      <c r="E921" s="152" t="s">
        <v>164</v>
      </c>
      <c r="F921" s="151" t="s">
        <v>1600</v>
      </c>
      <c r="G921" s="152" t="s">
        <v>20</v>
      </c>
      <c r="H921" s="153">
        <v>201607</v>
      </c>
      <c r="I921" s="154">
        <v>66.47</v>
      </c>
      <c r="J921" s="144">
        <f t="shared" si="44"/>
        <v>4</v>
      </c>
      <c r="K921" s="155">
        <v>1.4833299999999999E-3</v>
      </c>
      <c r="L921" s="154">
        <f t="shared" si="42"/>
        <v>0.39</v>
      </c>
      <c r="M921" s="154">
        <f t="shared" si="43"/>
        <v>1.18</v>
      </c>
      <c r="N921" s="168" t="e">
        <f>VLOOKUP(C921,#REF!,4)</f>
        <v>#REF!</v>
      </c>
      <c r="P921" s="164"/>
      <c r="Q921" s="164"/>
      <c r="R921" s="165"/>
    </row>
    <row r="922" spans="1:18">
      <c r="A922" s="151" t="s">
        <v>127</v>
      </c>
      <c r="B922" s="152" t="s">
        <v>1032</v>
      </c>
      <c r="C922" s="152" t="s">
        <v>1033</v>
      </c>
      <c r="D922" s="151" t="s">
        <v>1034</v>
      </c>
      <c r="E922" s="152" t="s">
        <v>209</v>
      </c>
      <c r="F922" s="151" t="s">
        <v>1612</v>
      </c>
      <c r="G922" s="152" t="s">
        <v>20</v>
      </c>
      <c r="H922" s="153">
        <v>201607</v>
      </c>
      <c r="I922" s="154">
        <v>68.58</v>
      </c>
      <c r="J922" s="144">
        <f t="shared" si="44"/>
        <v>4</v>
      </c>
      <c r="K922" s="155">
        <v>2.3833299999999999E-3</v>
      </c>
      <c r="L922" s="154">
        <f t="shared" si="42"/>
        <v>0.65</v>
      </c>
      <c r="M922" s="154">
        <f t="shared" si="43"/>
        <v>1.96</v>
      </c>
      <c r="N922" s="168" t="e">
        <f>VLOOKUP(C922,#REF!,4)</f>
        <v>#REF!</v>
      </c>
      <c r="P922" s="164"/>
      <c r="Q922" s="164"/>
      <c r="R922" s="165"/>
    </row>
    <row r="923" spans="1:18">
      <c r="A923" s="151" t="s">
        <v>626</v>
      </c>
      <c r="B923" s="160" t="s">
        <v>1681</v>
      </c>
      <c r="C923" s="152" t="s">
        <v>2095</v>
      </c>
      <c r="D923" s="151" t="s">
        <v>2096</v>
      </c>
      <c r="E923" s="152" t="s">
        <v>164</v>
      </c>
      <c r="F923" s="151" t="s">
        <v>1600</v>
      </c>
      <c r="G923" s="152" t="s">
        <v>20</v>
      </c>
      <c r="H923" s="153">
        <v>201607</v>
      </c>
      <c r="I923" s="154">
        <v>69.98</v>
      </c>
      <c r="J923" s="144">
        <f t="shared" si="44"/>
        <v>4</v>
      </c>
      <c r="K923" s="155">
        <v>1.4833299999999999E-3</v>
      </c>
      <c r="L923" s="154">
        <f t="shared" si="42"/>
        <v>0.42</v>
      </c>
      <c r="M923" s="154">
        <f t="shared" si="43"/>
        <v>1.25</v>
      </c>
      <c r="N923" s="168" t="e">
        <f>VLOOKUP(C923,#REF!,4)</f>
        <v>#REF!</v>
      </c>
      <c r="P923" s="164"/>
      <c r="Q923" s="164"/>
      <c r="R923" s="165"/>
    </row>
    <row r="924" spans="1:18">
      <c r="A924" s="151" t="s">
        <v>626</v>
      </c>
      <c r="B924" s="152" t="s">
        <v>1250</v>
      </c>
      <c r="C924" s="152" t="s">
        <v>1251</v>
      </c>
      <c r="D924" s="151" t="s">
        <v>1252</v>
      </c>
      <c r="E924" s="152" t="s">
        <v>260</v>
      </c>
      <c r="F924" s="151" t="s">
        <v>1608</v>
      </c>
      <c r="G924" s="152" t="s">
        <v>20</v>
      </c>
      <c r="H924" s="153">
        <v>201607</v>
      </c>
      <c r="I924" s="154">
        <v>71.540000000000006</v>
      </c>
      <c r="J924" s="144">
        <f t="shared" si="44"/>
        <v>4</v>
      </c>
      <c r="K924" s="155">
        <v>1.4833299999999999E-3</v>
      </c>
      <c r="L924" s="154">
        <f t="shared" si="42"/>
        <v>0.42</v>
      </c>
      <c r="M924" s="154">
        <f t="shared" si="43"/>
        <v>1.27</v>
      </c>
      <c r="N924" s="168" t="e">
        <f>VLOOKUP(C924,#REF!,4)</f>
        <v>#REF!</v>
      </c>
      <c r="P924" s="164"/>
      <c r="Q924" s="164"/>
      <c r="R924" s="165"/>
    </row>
    <row r="925" spans="1:18">
      <c r="A925" s="151" t="s">
        <v>127</v>
      </c>
      <c r="B925" s="152" t="s">
        <v>1964</v>
      </c>
      <c r="C925" s="152" t="s">
        <v>1965</v>
      </c>
      <c r="D925" s="151" t="s">
        <v>1966</v>
      </c>
      <c r="E925" s="152" t="s">
        <v>87</v>
      </c>
      <c r="F925" s="151" t="s">
        <v>1603</v>
      </c>
      <c r="G925" s="152" t="s">
        <v>20</v>
      </c>
      <c r="H925" s="153">
        <v>201607</v>
      </c>
      <c r="I925" s="154">
        <v>75.7</v>
      </c>
      <c r="J925" s="144">
        <f t="shared" si="44"/>
        <v>4</v>
      </c>
      <c r="K925" s="155">
        <v>2.3833299999999999E-3</v>
      </c>
      <c r="L925" s="154">
        <f t="shared" si="42"/>
        <v>0.72</v>
      </c>
      <c r="M925" s="154">
        <f t="shared" si="43"/>
        <v>2.17</v>
      </c>
      <c r="N925" s="168" t="e">
        <f>VLOOKUP(C925,#REF!,4)</f>
        <v>#REF!</v>
      </c>
      <c r="P925" s="164"/>
      <c r="Q925" s="164"/>
      <c r="R925" s="165"/>
    </row>
    <row r="926" spans="1:18">
      <c r="A926" s="151" t="s">
        <v>21</v>
      </c>
      <c r="B926" s="152" t="s">
        <v>1727</v>
      </c>
      <c r="C926" s="152" t="s">
        <v>1728</v>
      </c>
      <c r="D926" s="151" t="s">
        <v>1729</v>
      </c>
      <c r="E926" s="152" t="s">
        <v>75</v>
      </c>
      <c r="F926" s="151" t="s">
        <v>1602</v>
      </c>
      <c r="G926" s="152" t="s">
        <v>20</v>
      </c>
      <c r="H926" s="153">
        <v>201607</v>
      </c>
      <c r="I926" s="154">
        <v>77.959999999999994</v>
      </c>
      <c r="J926" s="144">
        <f t="shared" si="44"/>
        <v>4</v>
      </c>
      <c r="K926" s="155">
        <v>1.4833299999999999E-3</v>
      </c>
      <c r="L926" s="154">
        <f t="shared" si="42"/>
        <v>0.46</v>
      </c>
      <c r="M926" s="154">
        <f t="shared" si="43"/>
        <v>1.39</v>
      </c>
      <c r="N926" s="168" t="e">
        <f>VLOOKUP(C926,#REF!,4)</f>
        <v>#REF!</v>
      </c>
      <c r="P926" s="164"/>
      <c r="Q926" s="164"/>
      <c r="R926" s="165"/>
    </row>
    <row r="927" spans="1:18">
      <c r="A927" s="151" t="s">
        <v>14</v>
      </c>
      <c r="B927" s="160" t="s">
        <v>1681</v>
      </c>
      <c r="C927" s="152" t="s">
        <v>2065</v>
      </c>
      <c r="D927" s="151" t="s">
        <v>2066</v>
      </c>
      <c r="E927" s="152" t="s">
        <v>209</v>
      </c>
      <c r="F927" s="151" t="s">
        <v>1612</v>
      </c>
      <c r="G927" s="152" t="s">
        <v>20</v>
      </c>
      <c r="H927" s="150">
        <v>201607</v>
      </c>
      <c r="I927" s="154">
        <v>88.36</v>
      </c>
      <c r="J927" s="144">
        <f t="shared" si="44"/>
        <v>4</v>
      </c>
      <c r="K927" s="155">
        <v>2.23333E-3</v>
      </c>
      <c r="L927" s="154">
        <f t="shared" si="42"/>
        <v>0.79</v>
      </c>
      <c r="M927" s="154">
        <f t="shared" si="43"/>
        <v>2.37</v>
      </c>
      <c r="N927" s="168" t="e">
        <f>VLOOKUP(C927,#REF!,4)</f>
        <v>#REF!</v>
      </c>
      <c r="P927" s="164"/>
      <c r="Q927" s="164"/>
      <c r="R927" s="165"/>
    </row>
    <row r="928" spans="1:18">
      <c r="A928" s="151" t="s">
        <v>626</v>
      </c>
      <c r="B928" s="152" t="s">
        <v>1881</v>
      </c>
      <c r="C928" s="152" t="s">
        <v>1882</v>
      </c>
      <c r="D928" s="151" t="s">
        <v>1883</v>
      </c>
      <c r="E928" s="152" t="s">
        <v>75</v>
      </c>
      <c r="F928" s="151" t="s">
        <v>1602</v>
      </c>
      <c r="G928" s="152" t="s">
        <v>20</v>
      </c>
      <c r="H928" s="153">
        <v>201607</v>
      </c>
      <c r="I928" s="154">
        <v>99.24</v>
      </c>
      <c r="J928" s="144">
        <f t="shared" si="44"/>
        <v>4</v>
      </c>
      <c r="K928" s="155">
        <v>1.4833299999999999E-3</v>
      </c>
      <c r="L928" s="154">
        <f t="shared" si="42"/>
        <v>0.59</v>
      </c>
      <c r="M928" s="154">
        <f t="shared" si="43"/>
        <v>1.77</v>
      </c>
      <c r="N928" s="168" t="e">
        <f>VLOOKUP(C928,#REF!,4)</f>
        <v>#REF!</v>
      </c>
      <c r="P928" s="164"/>
      <c r="Q928" s="164"/>
      <c r="R928" s="165"/>
    </row>
    <row r="929" spans="1:18">
      <c r="A929" s="151" t="s">
        <v>626</v>
      </c>
      <c r="B929" s="152" t="s">
        <v>1620</v>
      </c>
      <c r="C929" s="152" t="s">
        <v>1621</v>
      </c>
      <c r="D929" s="151" t="s">
        <v>1622</v>
      </c>
      <c r="E929" s="152" t="s">
        <v>497</v>
      </c>
      <c r="F929" s="151" t="s">
        <v>26</v>
      </c>
      <c r="G929" s="152" t="s">
        <v>20</v>
      </c>
      <c r="H929" s="153">
        <v>201607</v>
      </c>
      <c r="I929" s="154">
        <v>110.58</v>
      </c>
      <c r="J929" s="144">
        <f t="shared" si="44"/>
        <v>4</v>
      </c>
      <c r="K929" s="155">
        <v>1.4833299999999999E-3</v>
      </c>
      <c r="L929" s="154">
        <f t="shared" si="42"/>
        <v>0.66</v>
      </c>
      <c r="M929" s="154">
        <f t="shared" si="43"/>
        <v>1.97</v>
      </c>
      <c r="N929" s="168" t="e">
        <f>VLOOKUP(C929,#REF!,4)</f>
        <v>#REF!</v>
      </c>
      <c r="P929" s="164"/>
      <c r="Q929" s="164"/>
      <c r="R929" s="165"/>
    </row>
    <row r="930" spans="1:18">
      <c r="A930" s="151" t="s">
        <v>21</v>
      </c>
      <c r="B930" s="152" t="s">
        <v>1948</v>
      </c>
      <c r="C930" s="152" t="s">
        <v>1949</v>
      </c>
      <c r="D930" s="151" t="s">
        <v>1950</v>
      </c>
      <c r="E930" s="152" t="s">
        <v>756</v>
      </c>
      <c r="F930" s="151" t="s">
        <v>757</v>
      </c>
      <c r="G930" s="152" t="s">
        <v>20</v>
      </c>
      <c r="H930" s="153">
        <v>201607</v>
      </c>
      <c r="I930" s="154">
        <v>113.96</v>
      </c>
      <c r="J930" s="144">
        <f t="shared" si="44"/>
        <v>4</v>
      </c>
      <c r="K930" s="155">
        <v>1.4833299999999999E-3</v>
      </c>
      <c r="L930" s="154">
        <f t="shared" si="42"/>
        <v>0.68</v>
      </c>
      <c r="M930" s="154">
        <f t="shared" si="43"/>
        <v>2.0299999999999998</v>
      </c>
      <c r="N930" s="168" t="e">
        <f>VLOOKUP(C930,#REF!,4)</f>
        <v>#REF!</v>
      </c>
      <c r="P930" s="164"/>
      <c r="Q930" s="164"/>
      <c r="R930" s="165"/>
    </row>
    <row r="931" spans="1:18">
      <c r="A931" s="151" t="s">
        <v>626</v>
      </c>
      <c r="B931" s="152" t="s">
        <v>1782</v>
      </c>
      <c r="C931" s="152" t="s">
        <v>1783</v>
      </c>
      <c r="D931" s="151" t="s">
        <v>1784</v>
      </c>
      <c r="E931" s="152" t="s">
        <v>87</v>
      </c>
      <c r="F931" s="151" t="s">
        <v>1603</v>
      </c>
      <c r="G931" s="152" t="s">
        <v>20</v>
      </c>
      <c r="H931" s="153">
        <v>201607</v>
      </c>
      <c r="I931" s="154">
        <v>115.32</v>
      </c>
      <c r="J931" s="144">
        <f t="shared" si="44"/>
        <v>4</v>
      </c>
      <c r="K931" s="155">
        <v>1.4833299999999999E-3</v>
      </c>
      <c r="L931" s="154">
        <f t="shared" si="42"/>
        <v>0.68</v>
      </c>
      <c r="M931" s="154">
        <f t="shared" si="43"/>
        <v>2.0499999999999998</v>
      </c>
      <c r="N931" s="168" t="e">
        <f>VLOOKUP(C931,#REF!,4)</f>
        <v>#REF!</v>
      </c>
      <c r="P931" s="164"/>
      <c r="Q931" s="164"/>
      <c r="R931" s="165"/>
    </row>
    <row r="932" spans="1:18">
      <c r="A932" s="151" t="s">
        <v>626</v>
      </c>
      <c r="B932" s="152" t="s">
        <v>1806</v>
      </c>
      <c r="C932" s="152" t="s">
        <v>1807</v>
      </c>
      <c r="D932" s="151" t="s">
        <v>1808</v>
      </c>
      <c r="E932" s="152" t="s">
        <v>75</v>
      </c>
      <c r="F932" s="151" t="s">
        <v>1602</v>
      </c>
      <c r="G932" s="152" t="s">
        <v>20</v>
      </c>
      <c r="H932" s="153">
        <v>201607</v>
      </c>
      <c r="I932" s="154">
        <v>115.69</v>
      </c>
      <c r="J932" s="144">
        <f t="shared" si="44"/>
        <v>4</v>
      </c>
      <c r="K932" s="155">
        <v>1.4833299999999999E-3</v>
      </c>
      <c r="L932" s="154">
        <f t="shared" si="42"/>
        <v>0.69</v>
      </c>
      <c r="M932" s="154">
        <f t="shared" si="43"/>
        <v>2.06</v>
      </c>
      <c r="N932" s="168" t="e">
        <f>VLOOKUP(C932,#REF!,4)</f>
        <v>#REF!</v>
      </c>
      <c r="P932" s="164"/>
      <c r="Q932" s="164"/>
      <c r="R932" s="165"/>
    </row>
    <row r="933" spans="1:18">
      <c r="A933" s="151" t="s">
        <v>21</v>
      </c>
      <c r="B933" s="152" t="s">
        <v>1782</v>
      </c>
      <c r="C933" s="152" t="s">
        <v>1783</v>
      </c>
      <c r="D933" s="151" t="s">
        <v>1784</v>
      </c>
      <c r="E933" s="152" t="s">
        <v>87</v>
      </c>
      <c r="F933" s="151" t="s">
        <v>1603</v>
      </c>
      <c r="G933" s="152" t="s">
        <v>20</v>
      </c>
      <c r="H933" s="153">
        <v>201607</v>
      </c>
      <c r="I933" s="154">
        <v>116.42</v>
      </c>
      <c r="J933" s="144">
        <f t="shared" si="44"/>
        <v>4</v>
      </c>
      <c r="K933" s="155">
        <v>1.4833299999999999E-3</v>
      </c>
      <c r="L933" s="154">
        <f t="shared" si="42"/>
        <v>0.69</v>
      </c>
      <c r="M933" s="154">
        <f t="shared" si="43"/>
        <v>2.0699999999999998</v>
      </c>
      <c r="N933" s="168" t="e">
        <f>VLOOKUP(C933,#REF!,4)</f>
        <v>#REF!</v>
      </c>
      <c r="P933" s="164"/>
      <c r="Q933" s="164"/>
      <c r="R933" s="165"/>
    </row>
    <row r="934" spans="1:18">
      <c r="A934" s="151" t="s">
        <v>626</v>
      </c>
      <c r="B934" s="152" t="s">
        <v>1918</v>
      </c>
      <c r="C934" s="152" t="s">
        <v>1919</v>
      </c>
      <c r="D934" s="151" t="s">
        <v>1920</v>
      </c>
      <c r="E934" s="152" t="s">
        <v>75</v>
      </c>
      <c r="F934" s="151" t="s">
        <v>1602</v>
      </c>
      <c r="G934" s="152" t="s">
        <v>20</v>
      </c>
      <c r="H934" s="153">
        <v>201607</v>
      </c>
      <c r="I934" s="154">
        <v>124.14</v>
      </c>
      <c r="J934" s="144">
        <f t="shared" si="44"/>
        <v>4</v>
      </c>
      <c r="K934" s="155">
        <v>1.4833299999999999E-3</v>
      </c>
      <c r="L934" s="154">
        <f t="shared" si="42"/>
        <v>0.74</v>
      </c>
      <c r="M934" s="154">
        <f t="shared" si="43"/>
        <v>2.21</v>
      </c>
      <c r="N934" s="168" t="e">
        <f>VLOOKUP(C934,#REF!,4)</f>
        <v>#REF!</v>
      </c>
      <c r="P934" s="164"/>
      <c r="Q934" s="164"/>
      <c r="R934" s="165"/>
    </row>
    <row r="935" spans="1:18">
      <c r="A935" s="151" t="s">
        <v>626</v>
      </c>
      <c r="B935" s="152" t="s">
        <v>1823</v>
      </c>
      <c r="C935" s="152" t="s">
        <v>1824</v>
      </c>
      <c r="D935" s="151" t="s">
        <v>1825</v>
      </c>
      <c r="E935" s="152" t="s">
        <v>260</v>
      </c>
      <c r="F935" s="151" t="s">
        <v>1608</v>
      </c>
      <c r="G935" s="152" t="s">
        <v>20</v>
      </c>
      <c r="H935" s="153">
        <v>201607</v>
      </c>
      <c r="I935" s="154">
        <v>131.47</v>
      </c>
      <c r="J935" s="144">
        <f t="shared" si="44"/>
        <v>4</v>
      </c>
      <c r="K935" s="155">
        <v>1.4833299999999999E-3</v>
      </c>
      <c r="L935" s="154">
        <f t="shared" si="42"/>
        <v>0.78</v>
      </c>
      <c r="M935" s="154">
        <f t="shared" si="43"/>
        <v>2.34</v>
      </c>
      <c r="N935" s="168" t="e">
        <f>VLOOKUP(C935,#REF!,4)</f>
        <v>#REF!</v>
      </c>
      <c r="P935" s="164"/>
      <c r="Q935" s="164"/>
      <c r="R935" s="165"/>
    </row>
    <row r="936" spans="1:18">
      <c r="A936" s="151" t="s">
        <v>626</v>
      </c>
      <c r="B936" s="152" t="s">
        <v>1879</v>
      </c>
      <c r="C936" s="152" t="s">
        <v>1880</v>
      </c>
      <c r="D936" s="151" t="s">
        <v>1273</v>
      </c>
      <c r="E936" s="152" t="s">
        <v>75</v>
      </c>
      <c r="F936" s="151" t="s">
        <v>1602</v>
      </c>
      <c r="G936" s="152" t="s">
        <v>20</v>
      </c>
      <c r="H936" s="153">
        <v>201607</v>
      </c>
      <c r="I936" s="154">
        <v>132.15</v>
      </c>
      <c r="J936" s="144">
        <f t="shared" si="44"/>
        <v>4</v>
      </c>
      <c r="K936" s="155">
        <v>1.4833299999999999E-3</v>
      </c>
      <c r="L936" s="154">
        <f t="shared" si="42"/>
        <v>0.78</v>
      </c>
      <c r="M936" s="154">
        <f t="shared" si="43"/>
        <v>2.35</v>
      </c>
      <c r="N936" s="168" t="e">
        <f>VLOOKUP(C936,#REF!,4)</f>
        <v>#REF!</v>
      </c>
      <c r="P936" s="164"/>
      <c r="Q936" s="164"/>
      <c r="R936" s="165"/>
    </row>
    <row r="937" spans="1:18">
      <c r="A937" s="151" t="s">
        <v>626</v>
      </c>
      <c r="B937" s="152" t="s">
        <v>1933</v>
      </c>
      <c r="C937" s="152" t="s">
        <v>1934</v>
      </c>
      <c r="D937" s="151" t="s">
        <v>1935</v>
      </c>
      <c r="E937" s="152" t="s">
        <v>75</v>
      </c>
      <c r="F937" s="151" t="s">
        <v>1602</v>
      </c>
      <c r="G937" s="152" t="s">
        <v>20</v>
      </c>
      <c r="H937" s="153">
        <v>201607</v>
      </c>
      <c r="I937" s="154">
        <v>145.46</v>
      </c>
      <c r="J937" s="144">
        <f t="shared" si="44"/>
        <v>4</v>
      </c>
      <c r="K937" s="155">
        <v>1.4833299999999999E-3</v>
      </c>
      <c r="L937" s="154">
        <f t="shared" si="42"/>
        <v>0.86</v>
      </c>
      <c r="M937" s="154">
        <f t="shared" si="43"/>
        <v>2.59</v>
      </c>
      <c r="N937" s="168" t="e">
        <f>VLOOKUP(C937,#REF!,4)</f>
        <v>#REF!</v>
      </c>
      <c r="P937" s="164"/>
      <c r="Q937" s="164"/>
      <c r="R937" s="165"/>
    </row>
    <row r="938" spans="1:18">
      <c r="A938" s="151" t="s">
        <v>626</v>
      </c>
      <c r="B938" s="152" t="s">
        <v>1930</v>
      </c>
      <c r="C938" s="152" t="s">
        <v>1931</v>
      </c>
      <c r="D938" s="151" t="s">
        <v>1932</v>
      </c>
      <c r="E938" s="152" t="s">
        <v>75</v>
      </c>
      <c r="F938" s="151" t="s">
        <v>1602</v>
      </c>
      <c r="G938" s="152" t="s">
        <v>20</v>
      </c>
      <c r="H938" s="153">
        <v>201607</v>
      </c>
      <c r="I938" s="154">
        <v>147.21</v>
      </c>
      <c r="J938" s="144">
        <f t="shared" si="44"/>
        <v>4</v>
      </c>
      <c r="K938" s="155">
        <v>1.4833299999999999E-3</v>
      </c>
      <c r="L938" s="154">
        <f t="shared" si="42"/>
        <v>0.87</v>
      </c>
      <c r="M938" s="154">
        <f t="shared" si="43"/>
        <v>2.62</v>
      </c>
      <c r="N938" s="168" t="e">
        <f>VLOOKUP(C938,#REF!,4)</f>
        <v>#REF!</v>
      </c>
      <c r="P938" s="164"/>
      <c r="Q938" s="164"/>
      <c r="R938" s="165"/>
    </row>
    <row r="939" spans="1:18">
      <c r="A939" s="151" t="s">
        <v>626</v>
      </c>
      <c r="B939" s="160" t="s">
        <v>1681</v>
      </c>
      <c r="C939" s="152" t="s">
        <v>2003</v>
      </c>
      <c r="D939" s="151" t="s">
        <v>2004</v>
      </c>
      <c r="E939" s="152" t="s">
        <v>164</v>
      </c>
      <c r="F939" s="151" t="s">
        <v>1600</v>
      </c>
      <c r="G939" s="152" t="s">
        <v>20</v>
      </c>
      <c r="H939" s="153">
        <v>201607</v>
      </c>
      <c r="I939" s="154">
        <v>169.48</v>
      </c>
      <c r="J939" s="144">
        <f t="shared" si="44"/>
        <v>4</v>
      </c>
      <c r="K939" s="155">
        <v>1.4833299999999999E-3</v>
      </c>
      <c r="L939" s="154">
        <f t="shared" si="42"/>
        <v>1.01</v>
      </c>
      <c r="M939" s="154">
        <f t="shared" si="43"/>
        <v>3.02</v>
      </c>
      <c r="N939" s="168" t="e">
        <f>VLOOKUP(C939,#REF!,4)</f>
        <v>#REF!</v>
      </c>
      <c r="P939" s="164"/>
      <c r="Q939" s="164"/>
      <c r="R939" s="165"/>
    </row>
    <row r="940" spans="1:18">
      <c r="A940" s="151" t="s">
        <v>14</v>
      </c>
      <c r="B940" s="152" t="s">
        <v>107</v>
      </c>
      <c r="C940" s="152" t="s">
        <v>108</v>
      </c>
      <c r="D940" s="151" t="s">
        <v>109</v>
      </c>
      <c r="E940" s="152" t="s">
        <v>110</v>
      </c>
      <c r="F940" s="151" t="s">
        <v>52</v>
      </c>
      <c r="G940" s="152" t="s">
        <v>20</v>
      </c>
      <c r="H940" s="153">
        <v>201607</v>
      </c>
      <c r="I940" s="154">
        <v>170.06</v>
      </c>
      <c r="J940" s="144">
        <f t="shared" si="44"/>
        <v>4</v>
      </c>
      <c r="K940" s="155">
        <v>2.23333E-3</v>
      </c>
      <c r="L940" s="154">
        <f t="shared" si="42"/>
        <v>1.52</v>
      </c>
      <c r="M940" s="154">
        <f t="shared" si="43"/>
        <v>4.5599999999999996</v>
      </c>
      <c r="N940" s="168" t="e">
        <f>VLOOKUP(C940,#REF!,4)</f>
        <v>#REF!</v>
      </c>
      <c r="P940" s="164"/>
      <c r="Q940" s="164"/>
      <c r="R940" s="165"/>
    </row>
    <row r="941" spans="1:18">
      <c r="A941" s="151" t="s">
        <v>626</v>
      </c>
      <c r="B941" s="152" t="s">
        <v>1913</v>
      </c>
      <c r="C941" s="152" t="s">
        <v>1914</v>
      </c>
      <c r="D941" s="151" t="s">
        <v>1915</v>
      </c>
      <c r="E941" s="152" t="s">
        <v>75</v>
      </c>
      <c r="F941" s="151" t="s">
        <v>1602</v>
      </c>
      <c r="G941" s="152" t="s">
        <v>20</v>
      </c>
      <c r="H941" s="153">
        <v>201607</v>
      </c>
      <c r="I941" s="154">
        <v>172.01</v>
      </c>
      <c r="J941" s="144">
        <f t="shared" si="44"/>
        <v>4</v>
      </c>
      <c r="K941" s="155">
        <v>1.4833299999999999E-3</v>
      </c>
      <c r="L941" s="154">
        <f t="shared" si="42"/>
        <v>1.02</v>
      </c>
      <c r="M941" s="154">
        <f t="shared" si="43"/>
        <v>3.06</v>
      </c>
      <c r="N941" s="168" t="e">
        <f>VLOOKUP(C941,#REF!,4)</f>
        <v>#REF!</v>
      </c>
      <c r="P941" s="164"/>
      <c r="Q941" s="164"/>
      <c r="R941" s="165"/>
    </row>
    <row r="942" spans="1:18">
      <c r="A942" s="151" t="s">
        <v>21</v>
      </c>
      <c r="B942" s="160" t="s">
        <v>1681</v>
      </c>
      <c r="C942" s="152" t="s">
        <v>2017</v>
      </c>
      <c r="D942" s="151" t="s">
        <v>2018</v>
      </c>
      <c r="E942" s="152" t="s">
        <v>87</v>
      </c>
      <c r="F942" s="151" t="s">
        <v>1603</v>
      </c>
      <c r="G942" s="152" t="s">
        <v>20</v>
      </c>
      <c r="H942" s="153">
        <v>201607</v>
      </c>
      <c r="I942" s="154">
        <v>174.62</v>
      </c>
      <c r="J942" s="144">
        <f t="shared" si="44"/>
        <v>4</v>
      </c>
      <c r="K942" s="155">
        <v>1.4833299999999999E-3</v>
      </c>
      <c r="L942" s="154">
        <f t="shared" si="42"/>
        <v>1.04</v>
      </c>
      <c r="M942" s="154">
        <f t="shared" si="43"/>
        <v>3.11</v>
      </c>
      <c r="N942" s="168" t="e">
        <f>VLOOKUP(C942,#REF!,4)</f>
        <v>#REF!</v>
      </c>
      <c r="P942" s="164"/>
      <c r="Q942" s="164"/>
      <c r="R942" s="165"/>
    </row>
    <row r="943" spans="1:18">
      <c r="A943" s="151" t="s">
        <v>21</v>
      </c>
      <c r="B943" s="152" t="s">
        <v>1767</v>
      </c>
      <c r="C943" s="152" t="s">
        <v>1768</v>
      </c>
      <c r="D943" s="151" t="s">
        <v>1769</v>
      </c>
      <c r="E943" s="152" t="s">
        <v>1413</v>
      </c>
      <c r="F943" s="151" t="s">
        <v>88</v>
      </c>
      <c r="G943" s="152" t="s">
        <v>20</v>
      </c>
      <c r="H943" s="153">
        <v>201607</v>
      </c>
      <c r="I943" s="154">
        <v>175.18</v>
      </c>
      <c r="J943" s="144">
        <f t="shared" si="44"/>
        <v>4</v>
      </c>
      <c r="K943" s="155">
        <v>1.4833299999999999E-3</v>
      </c>
      <c r="L943" s="154">
        <f t="shared" si="42"/>
        <v>1.04</v>
      </c>
      <c r="M943" s="154">
        <f t="shared" si="43"/>
        <v>3.12</v>
      </c>
      <c r="N943" s="168" t="e">
        <f>VLOOKUP(C943,#REF!,4)</f>
        <v>#REF!</v>
      </c>
      <c r="P943" s="164"/>
      <c r="Q943" s="164"/>
      <c r="R943" s="165"/>
    </row>
    <row r="944" spans="1:18">
      <c r="A944" s="151" t="s">
        <v>626</v>
      </c>
      <c r="B944" s="152" t="s">
        <v>1861</v>
      </c>
      <c r="C944" s="152" t="s">
        <v>1862</v>
      </c>
      <c r="D944" s="151" t="s">
        <v>1863</v>
      </c>
      <c r="E944" s="152" t="s">
        <v>75</v>
      </c>
      <c r="F944" s="151" t="s">
        <v>1602</v>
      </c>
      <c r="G944" s="152" t="s">
        <v>20</v>
      </c>
      <c r="H944" s="153">
        <v>201607</v>
      </c>
      <c r="I944" s="154">
        <v>201.08</v>
      </c>
      <c r="J944" s="144">
        <f t="shared" si="44"/>
        <v>4</v>
      </c>
      <c r="K944" s="155">
        <v>1.4833299999999999E-3</v>
      </c>
      <c r="L944" s="154">
        <f t="shared" si="42"/>
        <v>1.19</v>
      </c>
      <c r="M944" s="154">
        <f t="shared" si="43"/>
        <v>3.58</v>
      </c>
      <c r="N944" s="168" t="e">
        <f>VLOOKUP(C944,#REF!,4)</f>
        <v>#REF!</v>
      </c>
      <c r="P944" s="164"/>
      <c r="Q944" s="164"/>
      <c r="R944" s="165"/>
    </row>
    <row r="945" spans="1:18">
      <c r="A945" s="151" t="s">
        <v>626</v>
      </c>
      <c r="B945" s="152" t="s">
        <v>1904</v>
      </c>
      <c r="C945" s="152" t="s">
        <v>1905</v>
      </c>
      <c r="D945" s="151" t="s">
        <v>1906</v>
      </c>
      <c r="E945" s="152" t="s">
        <v>75</v>
      </c>
      <c r="F945" s="151" t="s">
        <v>1602</v>
      </c>
      <c r="G945" s="152" t="s">
        <v>20</v>
      </c>
      <c r="H945" s="153">
        <v>201607</v>
      </c>
      <c r="I945" s="154">
        <v>201.61</v>
      </c>
      <c r="J945" s="144">
        <f t="shared" si="44"/>
        <v>4</v>
      </c>
      <c r="K945" s="155">
        <v>1.4833299999999999E-3</v>
      </c>
      <c r="L945" s="154">
        <f t="shared" si="42"/>
        <v>1.2</v>
      </c>
      <c r="M945" s="154">
        <f t="shared" si="43"/>
        <v>3.59</v>
      </c>
      <c r="N945" s="168" t="e">
        <f>VLOOKUP(C945,#REF!,4)</f>
        <v>#REF!</v>
      </c>
      <c r="P945" s="164"/>
      <c r="Q945" s="164"/>
      <c r="R945" s="165"/>
    </row>
    <row r="946" spans="1:18">
      <c r="A946" s="151" t="s">
        <v>14</v>
      </c>
      <c r="B946" s="152" t="s">
        <v>325</v>
      </c>
      <c r="C946" s="152" t="s">
        <v>326</v>
      </c>
      <c r="D946" s="151" t="s">
        <v>327</v>
      </c>
      <c r="E946" s="152" t="s">
        <v>328</v>
      </c>
      <c r="F946" s="151" t="s">
        <v>58</v>
      </c>
      <c r="G946" s="152" t="s">
        <v>20</v>
      </c>
      <c r="H946" s="153">
        <v>201607</v>
      </c>
      <c r="I946" s="154">
        <v>202.13</v>
      </c>
      <c r="J946" s="144">
        <f t="shared" si="44"/>
        <v>4</v>
      </c>
      <c r="K946" s="155">
        <v>2.23333E-3</v>
      </c>
      <c r="L946" s="154">
        <f t="shared" si="42"/>
        <v>1.81</v>
      </c>
      <c r="M946" s="154">
        <f t="shared" si="43"/>
        <v>5.42</v>
      </c>
      <c r="N946" s="168" t="e">
        <f>VLOOKUP(C946,#REF!,4)</f>
        <v>#REF!</v>
      </c>
      <c r="P946" s="164"/>
      <c r="Q946" s="164"/>
      <c r="R946" s="165"/>
    </row>
    <row r="947" spans="1:18">
      <c r="A947" s="151" t="s">
        <v>990</v>
      </c>
      <c r="B947" s="152" t="s">
        <v>991</v>
      </c>
      <c r="C947" s="152" t="s">
        <v>992</v>
      </c>
      <c r="D947" s="151" t="s">
        <v>993</v>
      </c>
      <c r="E947" s="152" t="s">
        <v>994</v>
      </c>
      <c r="F947" s="151" t="s">
        <v>995</v>
      </c>
      <c r="G947" s="152" t="s">
        <v>20</v>
      </c>
      <c r="H947" s="153">
        <v>201607</v>
      </c>
      <c r="I947" s="154">
        <v>212.03</v>
      </c>
      <c r="J947" s="144">
        <f t="shared" si="44"/>
        <v>4</v>
      </c>
      <c r="K947" s="155">
        <v>2.3833299999999999E-3</v>
      </c>
      <c r="L947" s="154">
        <f t="shared" si="42"/>
        <v>2.02</v>
      </c>
      <c r="M947" s="154">
        <f t="shared" si="43"/>
        <v>6.06</v>
      </c>
      <c r="N947" s="168" t="e">
        <f>VLOOKUP(C947,#REF!,4)</f>
        <v>#REF!</v>
      </c>
      <c r="P947" s="164"/>
      <c r="Q947" s="164"/>
      <c r="R947" s="165"/>
    </row>
    <row r="948" spans="1:18">
      <c r="A948" s="151" t="s">
        <v>626</v>
      </c>
      <c r="B948" s="152" t="s">
        <v>1736</v>
      </c>
      <c r="C948" s="152" t="s">
        <v>1737</v>
      </c>
      <c r="D948" s="151" t="s">
        <v>1738</v>
      </c>
      <c r="E948" s="152" t="s">
        <v>164</v>
      </c>
      <c r="F948" s="151" t="s">
        <v>1600</v>
      </c>
      <c r="G948" s="152" t="s">
        <v>20</v>
      </c>
      <c r="H948" s="153">
        <v>201607</v>
      </c>
      <c r="I948" s="154">
        <v>213.58</v>
      </c>
      <c r="J948" s="144">
        <f t="shared" si="44"/>
        <v>4</v>
      </c>
      <c r="K948" s="155">
        <v>1.4833299999999999E-3</v>
      </c>
      <c r="L948" s="154">
        <f t="shared" si="42"/>
        <v>1.27</v>
      </c>
      <c r="M948" s="154">
        <f t="shared" si="43"/>
        <v>3.8</v>
      </c>
      <c r="N948" s="168" t="e">
        <f>VLOOKUP(C948,#REF!,4)</f>
        <v>#REF!</v>
      </c>
      <c r="P948" s="164"/>
      <c r="Q948" s="164"/>
      <c r="R948" s="165"/>
    </row>
    <row r="949" spans="1:18">
      <c r="A949" s="151" t="s">
        <v>21</v>
      </c>
      <c r="B949" s="152" t="s">
        <v>1820</v>
      </c>
      <c r="C949" s="152" t="s">
        <v>1821</v>
      </c>
      <c r="D949" s="151" t="s">
        <v>1822</v>
      </c>
      <c r="E949" s="152" t="s">
        <v>87</v>
      </c>
      <c r="F949" s="151" t="s">
        <v>1603</v>
      </c>
      <c r="G949" s="152" t="s">
        <v>20</v>
      </c>
      <c r="H949" s="153">
        <v>201607</v>
      </c>
      <c r="I949" s="154">
        <v>216.07</v>
      </c>
      <c r="J949" s="144">
        <f t="shared" si="44"/>
        <v>4</v>
      </c>
      <c r="K949" s="155">
        <v>1.4833299999999999E-3</v>
      </c>
      <c r="L949" s="154">
        <f t="shared" si="42"/>
        <v>1.28</v>
      </c>
      <c r="M949" s="154">
        <f t="shared" si="43"/>
        <v>3.85</v>
      </c>
      <c r="N949" s="168" t="e">
        <f>VLOOKUP(C949,#REF!,4)</f>
        <v>#REF!</v>
      </c>
      <c r="P949" s="164"/>
      <c r="Q949" s="164"/>
      <c r="R949" s="165"/>
    </row>
    <row r="950" spans="1:18">
      <c r="A950" s="151" t="s">
        <v>626</v>
      </c>
      <c r="B950" s="152" t="s">
        <v>1870</v>
      </c>
      <c r="C950" s="152" t="s">
        <v>1871</v>
      </c>
      <c r="D950" s="151" t="s">
        <v>1872</v>
      </c>
      <c r="E950" s="152" t="s">
        <v>75</v>
      </c>
      <c r="F950" s="151" t="s">
        <v>1602</v>
      </c>
      <c r="G950" s="152" t="s">
        <v>20</v>
      </c>
      <c r="H950" s="153">
        <v>201607</v>
      </c>
      <c r="I950" s="154">
        <v>218.6</v>
      </c>
      <c r="J950" s="144">
        <f t="shared" si="44"/>
        <v>4</v>
      </c>
      <c r="K950" s="155">
        <v>1.4833299999999999E-3</v>
      </c>
      <c r="L950" s="154">
        <f t="shared" si="42"/>
        <v>1.3</v>
      </c>
      <c r="M950" s="154">
        <f t="shared" si="43"/>
        <v>3.89</v>
      </c>
      <c r="N950" s="168" t="e">
        <f>VLOOKUP(C950,#REF!,4)</f>
        <v>#REF!</v>
      </c>
      <c r="P950" s="164"/>
      <c r="Q950" s="164"/>
      <c r="R950" s="165"/>
    </row>
    <row r="951" spans="1:18">
      <c r="A951" s="151" t="s">
        <v>626</v>
      </c>
      <c r="B951" s="160" t="s">
        <v>1681</v>
      </c>
      <c r="C951" s="152" t="s">
        <v>2013</v>
      </c>
      <c r="D951" s="151" t="s">
        <v>2014</v>
      </c>
      <c r="E951" s="152" t="s">
        <v>164</v>
      </c>
      <c r="F951" s="151" t="s">
        <v>1600</v>
      </c>
      <c r="G951" s="152" t="s">
        <v>20</v>
      </c>
      <c r="H951" s="153">
        <v>201607</v>
      </c>
      <c r="I951" s="154">
        <v>219.15</v>
      </c>
      <c r="J951" s="144">
        <f t="shared" si="44"/>
        <v>4</v>
      </c>
      <c r="K951" s="155">
        <v>1.4833299999999999E-3</v>
      </c>
      <c r="L951" s="154">
        <f t="shared" si="42"/>
        <v>1.3</v>
      </c>
      <c r="M951" s="154">
        <f t="shared" si="43"/>
        <v>3.9</v>
      </c>
      <c r="N951" s="168" t="e">
        <f>VLOOKUP(C951,#REF!,4)</f>
        <v>#REF!</v>
      </c>
      <c r="P951" s="164"/>
      <c r="Q951" s="164"/>
      <c r="R951" s="165"/>
    </row>
    <row r="952" spans="1:18">
      <c r="A952" s="151" t="s">
        <v>626</v>
      </c>
      <c r="B952" s="160" t="s">
        <v>1681</v>
      </c>
      <c r="C952" s="152" t="s">
        <v>2001</v>
      </c>
      <c r="D952" s="151" t="s">
        <v>2002</v>
      </c>
      <c r="E952" s="152" t="s">
        <v>164</v>
      </c>
      <c r="F952" s="151" t="s">
        <v>1600</v>
      </c>
      <c r="G952" s="152" t="s">
        <v>20</v>
      </c>
      <c r="H952" s="153">
        <v>201607</v>
      </c>
      <c r="I952" s="154">
        <v>226.51</v>
      </c>
      <c r="J952" s="144">
        <f t="shared" si="44"/>
        <v>4</v>
      </c>
      <c r="K952" s="155">
        <v>1.4833299999999999E-3</v>
      </c>
      <c r="L952" s="154">
        <f t="shared" si="42"/>
        <v>1.34</v>
      </c>
      <c r="M952" s="154">
        <f t="shared" si="43"/>
        <v>4.03</v>
      </c>
      <c r="N952" s="168" t="e">
        <f>VLOOKUP(C952,#REF!,4)</f>
        <v>#REF!</v>
      </c>
      <c r="P952" s="164"/>
      <c r="Q952" s="164"/>
      <c r="R952" s="165"/>
    </row>
    <row r="953" spans="1:18">
      <c r="A953" s="151" t="s">
        <v>626</v>
      </c>
      <c r="B953" s="160" t="s">
        <v>1681</v>
      </c>
      <c r="C953" s="152" t="s">
        <v>1853</v>
      </c>
      <c r="D953" s="151" t="s">
        <v>1854</v>
      </c>
      <c r="E953" s="152" t="s">
        <v>260</v>
      </c>
      <c r="F953" s="151" t="s">
        <v>1608</v>
      </c>
      <c r="G953" s="152" t="s">
        <v>20</v>
      </c>
      <c r="H953" s="153">
        <v>201607</v>
      </c>
      <c r="I953" s="154">
        <v>230.1</v>
      </c>
      <c r="J953" s="144">
        <f t="shared" si="44"/>
        <v>4</v>
      </c>
      <c r="K953" s="155">
        <v>1.4833299999999999E-3</v>
      </c>
      <c r="L953" s="154">
        <f t="shared" si="42"/>
        <v>1.37</v>
      </c>
      <c r="M953" s="154">
        <f t="shared" si="43"/>
        <v>4.0999999999999996</v>
      </c>
      <c r="N953" s="168" t="e">
        <f>VLOOKUP(C953,#REF!,4)</f>
        <v>#REF!</v>
      </c>
      <c r="P953" s="164"/>
      <c r="Q953" s="164"/>
      <c r="R953" s="165"/>
    </row>
    <row r="954" spans="1:18">
      <c r="A954" s="151" t="s">
        <v>626</v>
      </c>
      <c r="B954" s="152" t="s">
        <v>1811</v>
      </c>
      <c r="C954" s="152" t="s">
        <v>1812</v>
      </c>
      <c r="D954" s="151" t="s">
        <v>1813</v>
      </c>
      <c r="E954" s="152" t="s">
        <v>25</v>
      </c>
      <c r="F954" s="151" t="s">
        <v>26</v>
      </c>
      <c r="G954" s="152" t="s">
        <v>20</v>
      </c>
      <c r="H954" s="153">
        <v>201607</v>
      </c>
      <c r="I954" s="154">
        <v>251.08</v>
      </c>
      <c r="J954" s="144">
        <f t="shared" si="44"/>
        <v>4</v>
      </c>
      <c r="K954" s="155">
        <v>1.4833299999999999E-3</v>
      </c>
      <c r="L954" s="154">
        <f t="shared" si="42"/>
        <v>1.49</v>
      </c>
      <c r="M954" s="154">
        <f t="shared" si="43"/>
        <v>4.47</v>
      </c>
      <c r="N954" s="168" t="e">
        <f>VLOOKUP(C954,#REF!,4)</f>
        <v>#REF!</v>
      </c>
      <c r="P954" s="164"/>
      <c r="Q954" s="164"/>
      <c r="R954" s="165"/>
    </row>
    <row r="955" spans="1:18">
      <c r="A955" s="151" t="s">
        <v>626</v>
      </c>
      <c r="B955" s="152" t="s">
        <v>1890</v>
      </c>
      <c r="C955" s="152" t="s">
        <v>1891</v>
      </c>
      <c r="D955" s="151" t="s">
        <v>1495</v>
      </c>
      <c r="E955" s="152" t="s">
        <v>75</v>
      </c>
      <c r="F955" s="151" t="s">
        <v>1602</v>
      </c>
      <c r="G955" s="152" t="s">
        <v>20</v>
      </c>
      <c r="H955" s="153">
        <v>201607</v>
      </c>
      <c r="I955" s="154">
        <v>251.64</v>
      </c>
      <c r="J955" s="144">
        <f t="shared" si="44"/>
        <v>4</v>
      </c>
      <c r="K955" s="155">
        <v>1.4833299999999999E-3</v>
      </c>
      <c r="L955" s="154">
        <f t="shared" si="42"/>
        <v>1.49</v>
      </c>
      <c r="M955" s="154">
        <f t="shared" si="43"/>
        <v>4.4800000000000004</v>
      </c>
      <c r="N955" s="168" t="e">
        <f>VLOOKUP(C955,#REF!,4)</f>
        <v>#REF!</v>
      </c>
      <c r="P955" s="164"/>
      <c r="Q955" s="164"/>
      <c r="R955" s="165"/>
    </row>
    <row r="956" spans="1:18">
      <c r="A956" s="151" t="s">
        <v>626</v>
      </c>
      <c r="B956" s="152" t="s">
        <v>1745</v>
      </c>
      <c r="C956" s="152" t="s">
        <v>1746</v>
      </c>
      <c r="D956" s="151" t="s">
        <v>1747</v>
      </c>
      <c r="E956" s="152" t="s">
        <v>497</v>
      </c>
      <c r="F956" s="151" t="s">
        <v>26</v>
      </c>
      <c r="G956" s="152" t="s">
        <v>20</v>
      </c>
      <c r="H956" s="153">
        <v>201607</v>
      </c>
      <c r="I956" s="154">
        <v>262.17</v>
      </c>
      <c r="J956" s="144">
        <f t="shared" si="44"/>
        <v>4</v>
      </c>
      <c r="K956" s="155">
        <v>1.4833299999999999E-3</v>
      </c>
      <c r="L956" s="154">
        <f t="shared" si="42"/>
        <v>1.56</v>
      </c>
      <c r="M956" s="154">
        <f t="shared" si="43"/>
        <v>4.67</v>
      </c>
      <c r="N956" s="168" t="e">
        <f>VLOOKUP(C956,#REF!,4)</f>
        <v>#REF!</v>
      </c>
      <c r="P956" s="164"/>
      <c r="Q956" s="164"/>
      <c r="R956" s="165"/>
    </row>
    <row r="957" spans="1:18">
      <c r="A957" s="151" t="s">
        <v>626</v>
      </c>
      <c r="B957" s="152" t="s">
        <v>1898</v>
      </c>
      <c r="C957" s="152" t="s">
        <v>1899</v>
      </c>
      <c r="D957" s="151" t="s">
        <v>1900</v>
      </c>
      <c r="E957" s="152" t="s">
        <v>75</v>
      </c>
      <c r="F957" s="151" t="s">
        <v>1602</v>
      </c>
      <c r="G957" s="152" t="s">
        <v>20</v>
      </c>
      <c r="H957" s="153">
        <v>201607</v>
      </c>
      <c r="I957" s="154">
        <v>276.39</v>
      </c>
      <c r="J957" s="144">
        <f t="shared" si="44"/>
        <v>4</v>
      </c>
      <c r="K957" s="155">
        <v>1.4833299999999999E-3</v>
      </c>
      <c r="L957" s="154">
        <f t="shared" si="42"/>
        <v>1.64</v>
      </c>
      <c r="M957" s="154">
        <f t="shared" si="43"/>
        <v>4.92</v>
      </c>
      <c r="N957" s="168" t="e">
        <f>VLOOKUP(C957,#REF!,4)</f>
        <v>#REF!</v>
      </c>
      <c r="P957" s="164"/>
      <c r="Q957" s="164"/>
      <c r="R957" s="165"/>
    </row>
    <row r="958" spans="1:18">
      <c r="A958" s="151" t="s">
        <v>626</v>
      </c>
      <c r="B958" s="160" t="s">
        <v>1681</v>
      </c>
      <c r="C958" s="152" t="s">
        <v>2015</v>
      </c>
      <c r="D958" s="151" t="s">
        <v>2016</v>
      </c>
      <c r="E958" s="152" t="s">
        <v>164</v>
      </c>
      <c r="F958" s="151" t="s">
        <v>1600</v>
      </c>
      <c r="G958" s="152" t="s">
        <v>20</v>
      </c>
      <c r="H958" s="153">
        <v>201607</v>
      </c>
      <c r="I958" s="154">
        <v>279.58999999999997</v>
      </c>
      <c r="J958" s="144">
        <f t="shared" si="44"/>
        <v>4</v>
      </c>
      <c r="K958" s="155">
        <v>1.4833299999999999E-3</v>
      </c>
      <c r="L958" s="154">
        <f t="shared" si="42"/>
        <v>1.66</v>
      </c>
      <c r="M958" s="154">
        <f t="shared" si="43"/>
        <v>4.9800000000000004</v>
      </c>
      <c r="N958" s="168" t="e">
        <f>VLOOKUP(C958,#REF!,4)</f>
        <v>#REF!</v>
      </c>
      <c r="P958" s="164"/>
      <c r="Q958" s="164"/>
      <c r="R958" s="165"/>
    </row>
    <row r="959" spans="1:18">
      <c r="A959" s="151" t="s">
        <v>626</v>
      </c>
      <c r="B959" s="152" t="s">
        <v>1844</v>
      </c>
      <c r="C959" s="152" t="s">
        <v>1845</v>
      </c>
      <c r="D959" s="151" t="s">
        <v>1846</v>
      </c>
      <c r="E959" s="152" t="s">
        <v>160</v>
      </c>
      <c r="F959" s="151" t="s">
        <v>19</v>
      </c>
      <c r="G959" s="152" t="s">
        <v>20</v>
      </c>
      <c r="H959" s="153">
        <v>201607</v>
      </c>
      <c r="I959" s="154">
        <v>293.14999999999998</v>
      </c>
      <c r="J959" s="144">
        <f t="shared" si="44"/>
        <v>4</v>
      </c>
      <c r="K959" s="155">
        <v>1.4833299999999999E-3</v>
      </c>
      <c r="L959" s="154">
        <f t="shared" si="42"/>
        <v>1.74</v>
      </c>
      <c r="M959" s="154">
        <f t="shared" si="43"/>
        <v>5.22</v>
      </c>
      <c r="N959" s="168" t="e">
        <f>VLOOKUP(C959,#REF!,4)</f>
        <v>#REF!</v>
      </c>
      <c r="P959" s="164"/>
      <c r="Q959" s="164"/>
      <c r="R959" s="165"/>
    </row>
    <row r="960" spans="1:18">
      <c r="A960" s="151" t="s">
        <v>127</v>
      </c>
      <c r="B960" s="152" t="s">
        <v>1994</v>
      </c>
      <c r="C960" s="152" t="s">
        <v>1995</v>
      </c>
      <c r="D960" s="151" t="s">
        <v>1996</v>
      </c>
      <c r="E960" s="152" t="s">
        <v>87</v>
      </c>
      <c r="F960" s="151" t="s">
        <v>1603</v>
      </c>
      <c r="G960" s="152" t="s">
        <v>20</v>
      </c>
      <c r="H960" s="153">
        <v>201607</v>
      </c>
      <c r="I960" s="154">
        <v>333.1</v>
      </c>
      <c r="J960" s="144">
        <f t="shared" si="44"/>
        <v>4</v>
      </c>
      <c r="K960" s="155">
        <v>2.3833299999999999E-3</v>
      </c>
      <c r="L960" s="154">
        <f t="shared" si="42"/>
        <v>3.18</v>
      </c>
      <c r="M960" s="154">
        <f t="shared" si="43"/>
        <v>9.5299999999999994</v>
      </c>
      <c r="N960" s="168" t="e">
        <f>VLOOKUP(C960,#REF!,4)</f>
        <v>#REF!</v>
      </c>
      <c r="P960" s="164"/>
      <c r="Q960" s="164"/>
      <c r="R960" s="165"/>
    </row>
    <row r="961" spans="1:18">
      <c r="A961" s="151" t="s">
        <v>626</v>
      </c>
      <c r="B961" s="160" t="s">
        <v>1681</v>
      </c>
      <c r="C961" s="152" t="s">
        <v>2073</v>
      </c>
      <c r="D961" s="151" t="s">
        <v>2074</v>
      </c>
      <c r="E961" s="152" t="s">
        <v>164</v>
      </c>
      <c r="F961" s="151" t="s">
        <v>1600</v>
      </c>
      <c r="G961" s="152" t="s">
        <v>20</v>
      </c>
      <c r="H961" s="153">
        <v>201607</v>
      </c>
      <c r="I961" s="154">
        <v>373.98</v>
      </c>
      <c r="J961" s="144">
        <f t="shared" si="44"/>
        <v>4</v>
      </c>
      <c r="K961" s="155">
        <v>1.4833299999999999E-3</v>
      </c>
      <c r="L961" s="154">
        <f t="shared" si="42"/>
        <v>2.2200000000000002</v>
      </c>
      <c r="M961" s="154">
        <f t="shared" si="43"/>
        <v>6.66</v>
      </c>
      <c r="N961" s="168" t="e">
        <f>VLOOKUP(C961,#REF!,4)</f>
        <v>#REF!</v>
      </c>
      <c r="P961" s="164"/>
      <c r="Q961" s="164"/>
      <c r="R961" s="165"/>
    </row>
    <row r="962" spans="1:18">
      <c r="A962" s="151" t="s">
        <v>626</v>
      </c>
      <c r="B962" s="160" t="s">
        <v>1681</v>
      </c>
      <c r="C962" s="152" t="s">
        <v>2085</v>
      </c>
      <c r="D962" s="151" t="s">
        <v>2086</v>
      </c>
      <c r="E962" s="152" t="s">
        <v>164</v>
      </c>
      <c r="F962" s="151" t="s">
        <v>1600</v>
      </c>
      <c r="G962" s="152" t="s">
        <v>20</v>
      </c>
      <c r="H962" s="153">
        <v>201607</v>
      </c>
      <c r="I962" s="154">
        <v>385.58</v>
      </c>
      <c r="J962" s="144">
        <f t="shared" si="44"/>
        <v>4</v>
      </c>
      <c r="K962" s="155">
        <v>1.4833299999999999E-3</v>
      </c>
      <c r="L962" s="154">
        <f t="shared" si="42"/>
        <v>2.29</v>
      </c>
      <c r="M962" s="154">
        <f t="shared" si="43"/>
        <v>6.86</v>
      </c>
      <c r="N962" s="168" t="e">
        <f>VLOOKUP(C962,#REF!,4)</f>
        <v>#REF!</v>
      </c>
      <c r="P962" s="164"/>
      <c r="Q962" s="164"/>
      <c r="R962" s="165"/>
    </row>
    <row r="963" spans="1:18">
      <c r="A963" s="151" t="s">
        <v>14</v>
      </c>
      <c r="B963" s="160" t="s">
        <v>1681</v>
      </c>
      <c r="C963" s="152" t="s">
        <v>2069</v>
      </c>
      <c r="D963" s="151" t="s">
        <v>2070</v>
      </c>
      <c r="E963" s="152" t="s">
        <v>164</v>
      </c>
      <c r="F963" s="151" t="s">
        <v>1600</v>
      </c>
      <c r="G963" s="152" t="s">
        <v>20</v>
      </c>
      <c r="H963" s="150">
        <v>201607</v>
      </c>
      <c r="I963" s="154">
        <v>389.53</v>
      </c>
      <c r="J963" s="144">
        <f t="shared" si="44"/>
        <v>4</v>
      </c>
      <c r="K963" s="155">
        <v>2.23333E-3</v>
      </c>
      <c r="L963" s="154">
        <f t="shared" si="42"/>
        <v>3.48</v>
      </c>
      <c r="M963" s="154">
        <f t="shared" si="43"/>
        <v>10.44</v>
      </c>
      <c r="N963" s="168" t="e">
        <f>VLOOKUP(C963,#REF!,4)</f>
        <v>#REF!</v>
      </c>
      <c r="P963" s="164"/>
      <c r="Q963" s="164"/>
      <c r="R963" s="165"/>
    </row>
    <row r="964" spans="1:18">
      <c r="A964" s="151" t="s">
        <v>14</v>
      </c>
      <c r="B964" s="152" t="s">
        <v>267</v>
      </c>
      <c r="C964" s="152" t="s">
        <v>268</v>
      </c>
      <c r="D964" s="151" t="s">
        <v>269</v>
      </c>
      <c r="E964" s="152" t="s">
        <v>270</v>
      </c>
      <c r="F964" s="151" t="s">
        <v>115</v>
      </c>
      <c r="G964" s="152" t="s">
        <v>20</v>
      </c>
      <c r="H964" s="153">
        <v>201607</v>
      </c>
      <c r="I964" s="154">
        <v>419.76</v>
      </c>
      <c r="J964" s="144">
        <f t="shared" si="44"/>
        <v>4</v>
      </c>
      <c r="K964" s="155">
        <v>2.23333E-3</v>
      </c>
      <c r="L964" s="154">
        <f t="shared" si="42"/>
        <v>3.75</v>
      </c>
      <c r="M964" s="154">
        <f t="shared" si="43"/>
        <v>11.25</v>
      </c>
      <c r="N964" s="168" t="e">
        <f>VLOOKUP(C964,#REF!,4)</f>
        <v>#REF!</v>
      </c>
      <c r="P964" s="164"/>
      <c r="Q964" s="164"/>
      <c r="R964" s="165"/>
    </row>
    <row r="965" spans="1:18">
      <c r="A965" s="151" t="s">
        <v>21</v>
      </c>
      <c r="B965" s="160" t="s">
        <v>1681</v>
      </c>
      <c r="C965" s="152" t="s">
        <v>2109</v>
      </c>
      <c r="D965" s="151" t="s">
        <v>2110</v>
      </c>
      <c r="E965" s="152" t="s">
        <v>75</v>
      </c>
      <c r="F965" s="151" t="s">
        <v>1602</v>
      </c>
      <c r="G965" s="152" t="s">
        <v>20</v>
      </c>
      <c r="H965" s="153">
        <v>201607</v>
      </c>
      <c r="I965" s="154">
        <v>433.87</v>
      </c>
      <c r="J965" s="144">
        <f t="shared" si="44"/>
        <v>4</v>
      </c>
      <c r="K965" s="155">
        <v>1.4833299999999999E-3</v>
      </c>
      <c r="L965" s="154">
        <f t="shared" ref="L965:L1028" si="45">ROUND(I965*J965*K965,2)</f>
        <v>2.57</v>
      </c>
      <c r="M965" s="154">
        <f t="shared" ref="M965:M1028" si="46">ROUND(I965*K965*12,2)</f>
        <v>7.72</v>
      </c>
      <c r="N965" s="168" t="e">
        <f>VLOOKUP(C965,#REF!,4)</f>
        <v>#REF!</v>
      </c>
      <c r="P965" s="164"/>
      <c r="Q965" s="164"/>
      <c r="R965" s="165"/>
    </row>
    <row r="966" spans="1:18">
      <c r="A966" s="151" t="s">
        <v>626</v>
      </c>
      <c r="B966" s="152" t="s">
        <v>1826</v>
      </c>
      <c r="C966" s="152" t="s">
        <v>1827</v>
      </c>
      <c r="D966" s="151" t="s">
        <v>1828</v>
      </c>
      <c r="E966" s="152" t="s">
        <v>25</v>
      </c>
      <c r="F966" s="151" t="s">
        <v>26</v>
      </c>
      <c r="G966" s="152" t="s">
        <v>20</v>
      </c>
      <c r="H966" s="153">
        <v>201607</v>
      </c>
      <c r="I966" s="154">
        <v>447.33</v>
      </c>
      <c r="J966" s="144">
        <f t="shared" ref="J966:J1029" si="47">VLOOKUP(H966,$P$5:$Q$14,2)</f>
        <v>4</v>
      </c>
      <c r="K966" s="155">
        <v>1.4833299999999999E-3</v>
      </c>
      <c r="L966" s="154">
        <f t="shared" si="45"/>
        <v>2.65</v>
      </c>
      <c r="M966" s="154">
        <f t="shared" si="46"/>
        <v>7.96</v>
      </c>
      <c r="N966" s="168" t="e">
        <f>VLOOKUP(C966,#REF!,4)</f>
        <v>#REF!</v>
      </c>
      <c r="P966" s="164"/>
      <c r="Q966" s="164"/>
      <c r="R966" s="165"/>
    </row>
    <row r="967" spans="1:18">
      <c r="A967" s="151" t="s">
        <v>626</v>
      </c>
      <c r="B967" s="160" t="s">
        <v>1681</v>
      </c>
      <c r="C967" s="152" t="s">
        <v>2087</v>
      </c>
      <c r="D967" s="151" t="s">
        <v>2088</v>
      </c>
      <c r="E967" s="152" t="s">
        <v>164</v>
      </c>
      <c r="F967" s="151" t="s">
        <v>1600</v>
      </c>
      <c r="G967" s="152" t="s">
        <v>20</v>
      </c>
      <c r="H967" s="153">
        <v>201607</v>
      </c>
      <c r="I967" s="154">
        <v>455.32</v>
      </c>
      <c r="J967" s="144">
        <f t="shared" si="47"/>
        <v>4</v>
      </c>
      <c r="K967" s="155">
        <v>1.4833299999999999E-3</v>
      </c>
      <c r="L967" s="154">
        <f t="shared" si="45"/>
        <v>2.7</v>
      </c>
      <c r="M967" s="154">
        <f t="shared" si="46"/>
        <v>8.1</v>
      </c>
      <c r="N967" s="168" t="e">
        <f>VLOOKUP(C967,#REF!,4)</f>
        <v>#REF!</v>
      </c>
      <c r="P967" s="164"/>
      <c r="Q967" s="164"/>
      <c r="R967" s="165"/>
    </row>
    <row r="968" spans="1:18">
      <c r="A968" s="151" t="s">
        <v>626</v>
      </c>
      <c r="B968" s="152" t="s">
        <v>1892</v>
      </c>
      <c r="C968" s="152" t="s">
        <v>1893</v>
      </c>
      <c r="D968" s="151" t="s">
        <v>1894</v>
      </c>
      <c r="E968" s="152" t="s">
        <v>75</v>
      </c>
      <c r="F968" s="151" t="s">
        <v>1602</v>
      </c>
      <c r="G968" s="152" t="s">
        <v>20</v>
      </c>
      <c r="H968" s="153">
        <v>201607</v>
      </c>
      <c r="I968" s="154">
        <v>501.28</v>
      </c>
      <c r="J968" s="144">
        <f t="shared" si="47"/>
        <v>4</v>
      </c>
      <c r="K968" s="155">
        <v>1.4833299999999999E-3</v>
      </c>
      <c r="L968" s="154">
        <f t="shared" si="45"/>
        <v>2.97</v>
      </c>
      <c r="M968" s="154">
        <f t="shared" si="46"/>
        <v>8.92</v>
      </c>
      <c r="N968" s="168" t="e">
        <f>VLOOKUP(C968,#REF!,4)</f>
        <v>#REF!</v>
      </c>
      <c r="P968" s="164"/>
      <c r="Q968" s="164"/>
      <c r="R968" s="165"/>
    </row>
    <row r="969" spans="1:18">
      <c r="A969" s="151" t="s">
        <v>626</v>
      </c>
      <c r="B969" s="160" t="s">
        <v>1681</v>
      </c>
      <c r="C969" s="152" t="s">
        <v>2005</v>
      </c>
      <c r="D969" s="151" t="s">
        <v>2006</v>
      </c>
      <c r="E969" s="152" t="s">
        <v>87</v>
      </c>
      <c r="F969" s="151" t="s">
        <v>1603</v>
      </c>
      <c r="G969" s="152" t="s">
        <v>20</v>
      </c>
      <c r="H969" s="153">
        <v>201607</v>
      </c>
      <c r="I969" s="154">
        <v>522.54</v>
      </c>
      <c r="J969" s="144">
        <f t="shared" si="47"/>
        <v>4</v>
      </c>
      <c r="K969" s="155">
        <v>1.4833299999999999E-3</v>
      </c>
      <c r="L969" s="154">
        <f t="shared" si="45"/>
        <v>3.1</v>
      </c>
      <c r="M969" s="154">
        <f t="shared" si="46"/>
        <v>9.3000000000000007</v>
      </c>
      <c r="N969" s="168" t="e">
        <f>VLOOKUP(C969,#REF!,4)</f>
        <v>#REF!</v>
      </c>
      <c r="P969" s="164"/>
      <c r="Q969" s="164"/>
      <c r="R969" s="165"/>
    </row>
    <row r="970" spans="1:18">
      <c r="A970" s="151" t="s">
        <v>626</v>
      </c>
      <c r="B970" s="152" t="s">
        <v>1794</v>
      </c>
      <c r="C970" s="152" t="s">
        <v>1795</v>
      </c>
      <c r="D970" s="151" t="s">
        <v>1796</v>
      </c>
      <c r="E970" s="152" t="s">
        <v>809</v>
      </c>
      <c r="F970" s="151" t="s">
        <v>26</v>
      </c>
      <c r="G970" s="152" t="s">
        <v>20</v>
      </c>
      <c r="H970" s="153">
        <v>201607</v>
      </c>
      <c r="I970" s="154">
        <v>528.13</v>
      </c>
      <c r="J970" s="144">
        <f t="shared" si="47"/>
        <v>4</v>
      </c>
      <c r="K970" s="155">
        <v>1.4833299999999999E-3</v>
      </c>
      <c r="L970" s="154">
        <f t="shared" si="45"/>
        <v>3.13</v>
      </c>
      <c r="M970" s="154">
        <f t="shared" si="46"/>
        <v>9.4</v>
      </c>
      <c r="N970" s="168" t="e">
        <f>VLOOKUP(C970,#REF!,4)</f>
        <v>#REF!</v>
      </c>
      <c r="P970" s="164"/>
      <c r="Q970" s="164"/>
      <c r="R970" s="165"/>
    </row>
    <row r="971" spans="1:18">
      <c r="A971" s="151" t="s">
        <v>626</v>
      </c>
      <c r="B971" s="152" t="s">
        <v>1791</v>
      </c>
      <c r="C971" s="152" t="s">
        <v>1792</v>
      </c>
      <c r="D971" s="151" t="s">
        <v>1793</v>
      </c>
      <c r="E971" s="152" t="s">
        <v>75</v>
      </c>
      <c r="F971" s="151" t="s">
        <v>1602</v>
      </c>
      <c r="G971" s="152" t="s">
        <v>20</v>
      </c>
      <c r="H971" s="153">
        <v>201607</v>
      </c>
      <c r="I971" s="154">
        <v>552</v>
      </c>
      <c r="J971" s="144">
        <f t="shared" si="47"/>
        <v>4</v>
      </c>
      <c r="K971" s="155">
        <v>1.4833299999999999E-3</v>
      </c>
      <c r="L971" s="154">
        <f t="shared" si="45"/>
        <v>3.28</v>
      </c>
      <c r="M971" s="154">
        <f t="shared" si="46"/>
        <v>9.83</v>
      </c>
      <c r="N971" s="168" t="e">
        <f>VLOOKUP(C971,#REF!,4)</f>
        <v>#REF!</v>
      </c>
      <c r="P971" s="164"/>
      <c r="Q971" s="164"/>
      <c r="R971" s="165"/>
    </row>
    <row r="972" spans="1:18">
      <c r="A972" s="151" t="s">
        <v>21</v>
      </c>
      <c r="B972" s="152" t="s">
        <v>1973</v>
      </c>
      <c r="C972" s="152" t="s">
        <v>1974</v>
      </c>
      <c r="D972" s="151" t="s">
        <v>1975</v>
      </c>
      <c r="E972" s="152" t="s">
        <v>87</v>
      </c>
      <c r="F972" s="151" t="s">
        <v>1603</v>
      </c>
      <c r="G972" s="152" t="s">
        <v>20</v>
      </c>
      <c r="H972" s="153">
        <v>201607</v>
      </c>
      <c r="I972" s="154">
        <v>556.54999999999995</v>
      </c>
      <c r="J972" s="144">
        <f t="shared" si="47"/>
        <v>4</v>
      </c>
      <c r="K972" s="155">
        <v>1.4833299999999999E-3</v>
      </c>
      <c r="L972" s="154">
        <f t="shared" si="45"/>
        <v>3.3</v>
      </c>
      <c r="M972" s="154">
        <f t="shared" si="46"/>
        <v>9.91</v>
      </c>
      <c r="N972" s="168" t="e">
        <f>VLOOKUP(C972,#REF!,4)</f>
        <v>#REF!</v>
      </c>
      <c r="P972" s="164"/>
      <c r="Q972" s="164"/>
      <c r="R972" s="165"/>
    </row>
    <row r="973" spans="1:18">
      <c r="A973" s="151" t="s">
        <v>626</v>
      </c>
      <c r="B973" s="160" t="s">
        <v>1681</v>
      </c>
      <c r="C973" s="152" t="s">
        <v>2093</v>
      </c>
      <c r="D973" s="151" t="s">
        <v>2094</v>
      </c>
      <c r="E973" s="152" t="s">
        <v>209</v>
      </c>
      <c r="F973" s="151" t="s">
        <v>1612</v>
      </c>
      <c r="G973" s="152" t="s">
        <v>20</v>
      </c>
      <c r="H973" s="153">
        <v>201607</v>
      </c>
      <c r="I973" s="154">
        <v>573.89</v>
      </c>
      <c r="J973" s="144">
        <f t="shared" si="47"/>
        <v>4</v>
      </c>
      <c r="K973" s="155">
        <v>1.4833299999999999E-3</v>
      </c>
      <c r="L973" s="154">
        <f t="shared" si="45"/>
        <v>3.41</v>
      </c>
      <c r="M973" s="154">
        <f t="shared" si="46"/>
        <v>10.220000000000001</v>
      </c>
      <c r="N973" s="168" t="e">
        <f>VLOOKUP(C973,#REF!,4)</f>
        <v>#REF!</v>
      </c>
      <c r="P973" s="164"/>
      <c r="Q973" s="164"/>
      <c r="R973" s="165"/>
    </row>
    <row r="974" spans="1:18">
      <c r="A974" s="151" t="s">
        <v>626</v>
      </c>
      <c r="B974" s="152" t="s">
        <v>1739</v>
      </c>
      <c r="C974" s="152" t="s">
        <v>1740</v>
      </c>
      <c r="D974" s="151" t="s">
        <v>1741</v>
      </c>
      <c r="E974" s="152" t="s">
        <v>164</v>
      </c>
      <c r="F974" s="151" t="s">
        <v>1600</v>
      </c>
      <c r="G974" s="152" t="s">
        <v>20</v>
      </c>
      <c r="H974" s="153">
        <v>201607</v>
      </c>
      <c r="I974" s="154">
        <v>592.30999999999995</v>
      </c>
      <c r="J974" s="144">
        <f t="shared" si="47"/>
        <v>4</v>
      </c>
      <c r="K974" s="155">
        <v>1.4833299999999999E-3</v>
      </c>
      <c r="L974" s="154">
        <f t="shared" si="45"/>
        <v>3.51</v>
      </c>
      <c r="M974" s="154">
        <f t="shared" si="46"/>
        <v>10.54</v>
      </c>
      <c r="N974" s="168" t="e">
        <f>VLOOKUP(C974,#REF!,4)</f>
        <v>#REF!</v>
      </c>
      <c r="P974" s="164"/>
      <c r="Q974" s="164"/>
      <c r="R974" s="165"/>
    </row>
    <row r="975" spans="1:18">
      <c r="A975" s="151" t="s">
        <v>133</v>
      </c>
      <c r="B975" s="152" t="s">
        <v>1876</v>
      </c>
      <c r="C975" s="152" t="s">
        <v>1877</v>
      </c>
      <c r="D975" s="151" t="s">
        <v>1878</v>
      </c>
      <c r="E975" s="152" t="s">
        <v>75</v>
      </c>
      <c r="F975" s="151" t="s">
        <v>1602</v>
      </c>
      <c r="G975" s="152" t="s">
        <v>20</v>
      </c>
      <c r="H975" s="153">
        <v>201607</v>
      </c>
      <c r="I975" s="154">
        <v>634.30999999999995</v>
      </c>
      <c r="J975" s="144">
        <f t="shared" si="47"/>
        <v>4</v>
      </c>
      <c r="K975" s="155">
        <v>1.4833299999999999E-3</v>
      </c>
      <c r="L975" s="154">
        <f t="shared" si="45"/>
        <v>3.76</v>
      </c>
      <c r="M975" s="154">
        <f t="shared" si="46"/>
        <v>11.29</v>
      </c>
      <c r="N975" s="168" t="e">
        <f>VLOOKUP(C975,#REF!,4)</f>
        <v>#REF!</v>
      </c>
      <c r="P975" s="164"/>
      <c r="Q975" s="164"/>
      <c r="R975" s="165"/>
    </row>
    <row r="976" spans="1:18">
      <c r="A976" s="151" t="s">
        <v>626</v>
      </c>
      <c r="B976" s="152" t="s">
        <v>1814</v>
      </c>
      <c r="C976" s="152" t="s">
        <v>1815</v>
      </c>
      <c r="D976" s="151" t="s">
        <v>1816</v>
      </c>
      <c r="E976" s="152" t="s">
        <v>25</v>
      </c>
      <c r="F976" s="151" t="s">
        <v>26</v>
      </c>
      <c r="G976" s="152" t="s">
        <v>20</v>
      </c>
      <c r="H976" s="153">
        <v>201607</v>
      </c>
      <c r="I976" s="154">
        <v>645.27</v>
      </c>
      <c r="J976" s="144">
        <f t="shared" si="47"/>
        <v>4</v>
      </c>
      <c r="K976" s="155">
        <v>1.4833299999999999E-3</v>
      </c>
      <c r="L976" s="154">
        <f t="shared" si="45"/>
        <v>3.83</v>
      </c>
      <c r="M976" s="154">
        <f t="shared" si="46"/>
        <v>11.49</v>
      </c>
      <c r="N976" s="168" t="e">
        <f>VLOOKUP(C976,#REF!,4)</f>
        <v>#REF!</v>
      </c>
      <c r="P976" s="164"/>
      <c r="Q976" s="164"/>
      <c r="R976" s="165"/>
    </row>
    <row r="977" spans="1:18">
      <c r="A977" s="151" t="s">
        <v>14</v>
      </c>
      <c r="B977" s="160" t="s">
        <v>1681</v>
      </c>
      <c r="C977" s="152" t="s">
        <v>2109</v>
      </c>
      <c r="D977" s="151" t="s">
        <v>2110</v>
      </c>
      <c r="E977" s="152" t="s">
        <v>75</v>
      </c>
      <c r="F977" s="151" t="s">
        <v>1602</v>
      </c>
      <c r="G977" s="152" t="s">
        <v>20</v>
      </c>
      <c r="H977" s="150">
        <v>201607</v>
      </c>
      <c r="I977" s="154">
        <v>648.45000000000005</v>
      </c>
      <c r="J977" s="144">
        <f t="shared" si="47"/>
        <v>4</v>
      </c>
      <c r="K977" s="155">
        <v>2.23333E-3</v>
      </c>
      <c r="L977" s="154">
        <f t="shared" si="45"/>
        <v>5.79</v>
      </c>
      <c r="M977" s="154">
        <f t="shared" si="46"/>
        <v>17.38</v>
      </c>
      <c r="N977" s="168" t="e">
        <f>VLOOKUP(C977,#REF!,4)</f>
        <v>#REF!</v>
      </c>
      <c r="P977" s="164"/>
      <c r="Q977" s="164"/>
      <c r="R977" s="165"/>
    </row>
    <row r="978" spans="1:18">
      <c r="A978" s="151" t="s">
        <v>626</v>
      </c>
      <c r="B978" s="152" t="s">
        <v>1951</v>
      </c>
      <c r="C978" s="152" t="s">
        <v>1952</v>
      </c>
      <c r="D978" s="151" t="s">
        <v>1759</v>
      </c>
      <c r="E978" s="152" t="s">
        <v>75</v>
      </c>
      <c r="F978" s="151" t="s">
        <v>1602</v>
      </c>
      <c r="G978" s="152" t="s">
        <v>20</v>
      </c>
      <c r="H978" s="153">
        <v>201607</v>
      </c>
      <c r="I978" s="154">
        <v>651.30999999999995</v>
      </c>
      <c r="J978" s="144">
        <f t="shared" si="47"/>
        <v>4</v>
      </c>
      <c r="K978" s="155">
        <v>1.4833299999999999E-3</v>
      </c>
      <c r="L978" s="154">
        <f t="shared" si="45"/>
        <v>3.86</v>
      </c>
      <c r="M978" s="154">
        <f t="shared" si="46"/>
        <v>11.59</v>
      </c>
      <c r="N978" s="168" t="e">
        <f>VLOOKUP(C978,#REF!,4)</f>
        <v>#REF!</v>
      </c>
      <c r="P978" s="164"/>
      <c r="Q978" s="164"/>
      <c r="R978" s="165"/>
    </row>
    <row r="979" spans="1:18">
      <c r="A979" s="151" t="s">
        <v>626</v>
      </c>
      <c r="B979" s="160" t="s">
        <v>1681</v>
      </c>
      <c r="C979" s="152" t="s">
        <v>2083</v>
      </c>
      <c r="D979" s="151" t="s">
        <v>2084</v>
      </c>
      <c r="E979" s="152" t="s">
        <v>75</v>
      </c>
      <c r="F979" s="151" t="s">
        <v>1602</v>
      </c>
      <c r="G979" s="152" t="s">
        <v>20</v>
      </c>
      <c r="H979" s="153">
        <v>201607</v>
      </c>
      <c r="I979" s="154">
        <v>655.47</v>
      </c>
      <c r="J979" s="144">
        <f t="shared" si="47"/>
        <v>4</v>
      </c>
      <c r="K979" s="155">
        <v>1.4833299999999999E-3</v>
      </c>
      <c r="L979" s="154">
        <f t="shared" si="45"/>
        <v>3.89</v>
      </c>
      <c r="M979" s="154">
        <f t="shared" si="46"/>
        <v>11.67</v>
      </c>
      <c r="N979" s="168" t="e">
        <f>VLOOKUP(C979,#REF!,4)</f>
        <v>#REF!</v>
      </c>
      <c r="P979" s="164"/>
      <c r="Q979" s="164"/>
      <c r="R979" s="165"/>
    </row>
    <row r="980" spans="1:18">
      <c r="A980" s="151" t="s">
        <v>626</v>
      </c>
      <c r="B980" s="152" t="s">
        <v>1764</v>
      </c>
      <c r="C980" s="152" t="s">
        <v>1765</v>
      </c>
      <c r="D980" s="151" t="s">
        <v>1766</v>
      </c>
      <c r="E980" s="152" t="s">
        <v>156</v>
      </c>
      <c r="F980" s="151" t="s">
        <v>26</v>
      </c>
      <c r="G980" s="152" t="s">
        <v>20</v>
      </c>
      <c r="H980" s="153">
        <v>201607</v>
      </c>
      <c r="I980" s="154">
        <v>656.91</v>
      </c>
      <c r="J980" s="144">
        <f t="shared" si="47"/>
        <v>4</v>
      </c>
      <c r="K980" s="155">
        <v>1.4833299999999999E-3</v>
      </c>
      <c r="L980" s="154">
        <f t="shared" si="45"/>
        <v>3.9</v>
      </c>
      <c r="M980" s="154">
        <f t="shared" si="46"/>
        <v>11.69</v>
      </c>
      <c r="N980" s="168" t="e">
        <f>VLOOKUP(C980,#REF!,4)</f>
        <v>#REF!</v>
      </c>
      <c r="P980" s="164"/>
      <c r="Q980" s="164"/>
      <c r="R980" s="165"/>
    </row>
    <row r="981" spans="1:18">
      <c r="A981" s="151" t="s">
        <v>626</v>
      </c>
      <c r="B981" s="152" t="s">
        <v>2030</v>
      </c>
      <c r="C981" s="152" t="s">
        <v>2031</v>
      </c>
      <c r="D981" s="151" t="s">
        <v>2032</v>
      </c>
      <c r="E981" s="152" t="s">
        <v>497</v>
      </c>
      <c r="F981" s="151" t="s">
        <v>26</v>
      </c>
      <c r="G981" s="152" t="s">
        <v>20</v>
      </c>
      <c r="H981" s="153">
        <v>201607</v>
      </c>
      <c r="I981" s="154">
        <v>656.95</v>
      </c>
      <c r="J981" s="144">
        <f t="shared" si="47"/>
        <v>4</v>
      </c>
      <c r="K981" s="155">
        <v>1.4833299999999999E-3</v>
      </c>
      <c r="L981" s="154">
        <f t="shared" si="45"/>
        <v>3.9</v>
      </c>
      <c r="M981" s="154">
        <f t="shared" si="46"/>
        <v>11.69</v>
      </c>
      <c r="N981" s="168" t="e">
        <f>VLOOKUP(C981,#REF!,4)</f>
        <v>#REF!</v>
      </c>
      <c r="P981" s="164"/>
      <c r="Q981" s="164"/>
      <c r="R981" s="165"/>
    </row>
    <row r="982" spans="1:18">
      <c r="A982" s="151" t="s">
        <v>626</v>
      </c>
      <c r="B982" s="152" t="s">
        <v>1864</v>
      </c>
      <c r="C982" s="152" t="s">
        <v>1865</v>
      </c>
      <c r="D982" s="151" t="s">
        <v>1866</v>
      </c>
      <c r="E982" s="152" t="s">
        <v>75</v>
      </c>
      <c r="F982" s="151" t="s">
        <v>1602</v>
      </c>
      <c r="G982" s="152" t="s">
        <v>20</v>
      </c>
      <c r="H982" s="153">
        <v>201607</v>
      </c>
      <c r="I982" s="154">
        <v>672.93</v>
      </c>
      <c r="J982" s="144">
        <f t="shared" si="47"/>
        <v>4</v>
      </c>
      <c r="K982" s="155">
        <v>1.4833299999999999E-3</v>
      </c>
      <c r="L982" s="154">
        <f t="shared" si="45"/>
        <v>3.99</v>
      </c>
      <c r="M982" s="154">
        <f t="shared" si="46"/>
        <v>11.98</v>
      </c>
      <c r="N982" s="168" t="e">
        <f>VLOOKUP(C982,#REF!,4)</f>
        <v>#REF!</v>
      </c>
      <c r="P982" s="164"/>
      <c r="Q982" s="164"/>
      <c r="R982" s="165"/>
    </row>
    <row r="983" spans="1:18">
      <c r="A983" s="151" t="s">
        <v>626</v>
      </c>
      <c r="B983" s="152" t="s">
        <v>1991</v>
      </c>
      <c r="C983" s="152" t="s">
        <v>1992</v>
      </c>
      <c r="D983" s="151" t="s">
        <v>1993</v>
      </c>
      <c r="E983" s="152" t="s">
        <v>497</v>
      </c>
      <c r="F983" s="151" t="s">
        <v>26</v>
      </c>
      <c r="G983" s="152" t="s">
        <v>20</v>
      </c>
      <c r="H983" s="153">
        <v>201607</v>
      </c>
      <c r="I983" s="154">
        <v>698.46</v>
      </c>
      <c r="J983" s="144">
        <f t="shared" si="47"/>
        <v>4</v>
      </c>
      <c r="K983" s="155">
        <v>1.4833299999999999E-3</v>
      </c>
      <c r="L983" s="154">
        <f t="shared" si="45"/>
        <v>4.1399999999999997</v>
      </c>
      <c r="M983" s="154">
        <f t="shared" si="46"/>
        <v>12.43</v>
      </c>
      <c r="N983" s="168" t="e">
        <f>VLOOKUP(C983,#REF!,4)</f>
        <v>#REF!</v>
      </c>
      <c r="P983" s="164"/>
      <c r="Q983" s="164"/>
      <c r="R983" s="165"/>
    </row>
    <row r="984" spans="1:18">
      <c r="A984" s="151" t="s">
        <v>626</v>
      </c>
      <c r="B984" s="160" t="s">
        <v>1681</v>
      </c>
      <c r="C984" s="152" t="s">
        <v>1997</v>
      </c>
      <c r="D984" s="151" t="s">
        <v>1998</v>
      </c>
      <c r="E984" s="152" t="s">
        <v>164</v>
      </c>
      <c r="F984" s="151" t="s">
        <v>1600</v>
      </c>
      <c r="G984" s="152" t="s">
        <v>20</v>
      </c>
      <c r="H984" s="153">
        <v>201607</v>
      </c>
      <c r="I984" s="154">
        <v>716.8</v>
      </c>
      <c r="J984" s="144">
        <f t="shared" si="47"/>
        <v>4</v>
      </c>
      <c r="K984" s="155">
        <v>1.4833299999999999E-3</v>
      </c>
      <c r="L984" s="154">
        <f t="shared" si="45"/>
        <v>4.25</v>
      </c>
      <c r="M984" s="154">
        <f t="shared" si="46"/>
        <v>12.76</v>
      </c>
      <c r="N984" s="168" t="e">
        <f>VLOOKUP(C984,#REF!,4)</f>
        <v>#REF!</v>
      </c>
      <c r="P984" s="164"/>
      <c r="Q984" s="164"/>
      <c r="R984" s="165"/>
    </row>
    <row r="985" spans="1:18">
      <c r="A985" s="151" t="s">
        <v>14</v>
      </c>
      <c r="B985" s="152" t="s">
        <v>183</v>
      </c>
      <c r="C985" s="152" t="s">
        <v>184</v>
      </c>
      <c r="D985" s="151" t="s">
        <v>45</v>
      </c>
      <c r="E985" s="152" t="s">
        <v>185</v>
      </c>
      <c r="F985" s="151" t="s">
        <v>41</v>
      </c>
      <c r="G985" s="152" t="s">
        <v>20</v>
      </c>
      <c r="H985" s="153">
        <v>201607</v>
      </c>
      <c r="I985" s="154">
        <v>773.8</v>
      </c>
      <c r="J985" s="144">
        <f t="shared" si="47"/>
        <v>4</v>
      </c>
      <c r="K985" s="155">
        <v>2.23333E-3</v>
      </c>
      <c r="L985" s="154">
        <f t="shared" si="45"/>
        <v>6.91</v>
      </c>
      <c r="M985" s="154">
        <f t="shared" si="46"/>
        <v>20.74</v>
      </c>
      <c r="N985" s="168" t="e">
        <f>VLOOKUP(C985,#REF!,4)</f>
        <v>#REF!</v>
      </c>
      <c r="P985" s="164"/>
      <c r="Q985" s="164"/>
      <c r="R985" s="165"/>
    </row>
    <row r="986" spans="1:18">
      <c r="A986" s="151" t="s">
        <v>626</v>
      </c>
      <c r="B986" s="152" t="s">
        <v>1910</v>
      </c>
      <c r="C986" s="152" t="s">
        <v>1911</v>
      </c>
      <c r="D986" s="151" t="s">
        <v>1912</v>
      </c>
      <c r="E986" s="152" t="s">
        <v>75</v>
      </c>
      <c r="F986" s="151" t="s">
        <v>1602</v>
      </c>
      <c r="G986" s="152" t="s">
        <v>20</v>
      </c>
      <c r="H986" s="153">
        <v>201607</v>
      </c>
      <c r="I986" s="154">
        <v>818.95</v>
      </c>
      <c r="J986" s="144">
        <f t="shared" si="47"/>
        <v>4</v>
      </c>
      <c r="K986" s="155">
        <v>1.4833299999999999E-3</v>
      </c>
      <c r="L986" s="154">
        <f t="shared" si="45"/>
        <v>4.8600000000000003</v>
      </c>
      <c r="M986" s="154">
        <f t="shared" si="46"/>
        <v>14.58</v>
      </c>
      <c r="N986" s="168" t="e">
        <f>VLOOKUP(C986,#REF!,4)</f>
        <v>#REF!</v>
      </c>
      <c r="P986" s="164"/>
      <c r="Q986" s="164"/>
      <c r="R986" s="165"/>
    </row>
    <row r="987" spans="1:18">
      <c r="A987" s="151" t="s">
        <v>626</v>
      </c>
      <c r="B987" s="160" t="s">
        <v>1681</v>
      </c>
      <c r="C987" s="152" t="s">
        <v>2103</v>
      </c>
      <c r="D987" s="151" t="s">
        <v>2104</v>
      </c>
      <c r="E987" s="152" t="s">
        <v>93</v>
      </c>
      <c r="F987" s="151" t="s">
        <v>1601</v>
      </c>
      <c r="G987" s="152" t="s">
        <v>20</v>
      </c>
      <c r="H987" s="153">
        <v>201607</v>
      </c>
      <c r="I987" s="154">
        <v>832.75</v>
      </c>
      <c r="J987" s="144">
        <f t="shared" si="47"/>
        <v>4</v>
      </c>
      <c r="K987" s="155">
        <v>1.4833299999999999E-3</v>
      </c>
      <c r="L987" s="154">
        <f t="shared" si="45"/>
        <v>4.9400000000000004</v>
      </c>
      <c r="M987" s="154">
        <f t="shared" si="46"/>
        <v>14.82</v>
      </c>
      <c r="N987" s="168" t="e">
        <f>VLOOKUP(C987,#REF!,4)</f>
        <v>#REF!</v>
      </c>
      <c r="P987" s="164"/>
      <c r="Q987" s="164"/>
      <c r="R987" s="165"/>
    </row>
    <row r="988" spans="1:18">
      <c r="A988" s="151" t="s">
        <v>626</v>
      </c>
      <c r="B988" s="160" t="s">
        <v>1681</v>
      </c>
      <c r="C988" s="152" t="s">
        <v>2007</v>
      </c>
      <c r="D988" s="151" t="s">
        <v>2008</v>
      </c>
      <c r="E988" s="152" t="s">
        <v>260</v>
      </c>
      <c r="F988" s="151" t="s">
        <v>1608</v>
      </c>
      <c r="G988" s="152" t="s">
        <v>20</v>
      </c>
      <c r="H988" s="153">
        <v>201607</v>
      </c>
      <c r="I988" s="154">
        <v>859.35</v>
      </c>
      <c r="J988" s="144">
        <f t="shared" si="47"/>
        <v>4</v>
      </c>
      <c r="K988" s="155">
        <v>1.4833299999999999E-3</v>
      </c>
      <c r="L988" s="154">
        <f t="shared" si="45"/>
        <v>5.0999999999999996</v>
      </c>
      <c r="M988" s="154">
        <f t="shared" si="46"/>
        <v>15.3</v>
      </c>
      <c r="N988" s="168" t="e">
        <f>VLOOKUP(C988,#REF!,4)</f>
        <v>#REF!</v>
      </c>
      <c r="P988" s="164"/>
      <c r="Q988" s="164"/>
      <c r="R988" s="165"/>
    </row>
    <row r="989" spans="1:18">
      <c r="A989" s="151" t="s">
        <v>626</v>
      </c>
      <c r="B989" s="152" t="s">
        <v>2033</v>
      </c>
      <c r="C989" s="152" t="s">
        <v>2034</v>
      </c>
      <c r="D989" s="151" t="s">
        <v>2035</v>
      </c>
      <c r="E989" s="152" t="s">
        <v>497</v>
      </c>
      <c r="F989" s="151" t="s">
        <v>26</v>
      </c>
      <c r="G989" s="152" t="s">
        <v>20</v>
      </c>
      <c r="H989" s="153">
        <v>201607</v>
      </c>
      <c r="I989" s="154">
        <v>909.52</v>
      </c>
      <c r="J989" s="144">
        <f t="shared" si="47"/>
        <v>4</v>
      </c>
      <c r="K989" s="155">
        <v>1.4833299999999999E-3</v>
      </c>
      <c r="L989" s="154">
        <f t="shared" si="45"/>
        <v>5.4</v>
      </c>
      <c r="M989" s="154">
        <f t="shared" si="46"/>
        <v>16.190000000000001</v>
      </c>
      <c r="N989" s="168" t="e">
        <f>VLOOKUP(C989,#REF!,4)</f>
        <v>#REF!</v>
      </c>
      <c r="P989" s="164"/>
      <c r="Q989" s="164"/>
      <c r="R989" s="165"/>
    </row>
    <row r="990" spans="1:18">
      <c r="A990" s="151" t="s">
        <v>626</v>
      </c>
      <c r="B990" s="152" t="s">
        <v>1916</v>
      </c>
      <c r="C990" s="152" t="s">
        <v>1917</v>
      </c>
      <c r="D990" s="151" t="s">
        <v>1273</v>
      </c>
      <c r="E990" s="152" t="s">
        <v>75</v>
      </c>
      <c r="F990" s="151" t="s">
        <v>1602</v>
      </c>
      <c r="G990" s="152" t="s">
        <v>20</v>
      </c>
      <c r="H990" s="153">
        <v>201607</v>
      </c>
      <c r="I990" s="154">
        <v>920.07</v>
      </c>
      <c r="J990" s="144">
        <f t="shared" si="47"/>
        <v>4</v>
      </c>
      <c r="K990" s="155">
        <v>1.4833299999999999E-3</v>
      </c>
      <c r="L990" s="154">
        <f t="shared" si="45"/>
        <v>5.46</v>
      </c>
      <c r="M990" s="154">
        <f t="shared" si="46"/>
        <v>16.38</v>
      </c>
      <c r="N990" s="168" t="e">
        <f>VLOOKUP(C990,#REF!,4)</f>
        <v>#REF!</v>
      </c>
      <c r="P990" s="164"/>
      <c r="Q990" s="164"/>
      <c r="R990" s="165"/>
    </row>
    <row r="991" spans="1:18">
      <c r="A991" s="151" t="s">
        <v>626</v>
      </c>
      <c r="B991" s="152" t="s">
        <v>1873</v>
      </c>
      <c r="C991" s="152" t="s">
        <v>1874</v>
      </c>
      <c r="D991" s="151" t="s">
        <v>1875</v>
      </c>
      <c r="E991" s="152" t="s">
        <v>75</v>
      </c>
      <c r="F991" s="151" t="s">
        <v>1602</v>
      </c>
      <c r="G991" s="152" t="s">
        <v>20</v>
      </c>
      <c r="H991" s="153">
        <v>201607</v>
      </c>
      <c r="I991" s="154">
        <v>927.8</v>
      </c>
      <c r="J991" s="144">
        <f t="shared" si="47"/>
        <v>4</v>
      </c>
      <c r="K991" s="155">
        <v>1.4833299999999999E-3</v>
      </c>
      <c r="L991" s="154">
        <f t="shared" si="45"/>
        <v>5.5</v>
      </c>
      <c r="M991" s="154">
        <f t="shared" si="46"/>
        <v>16.510000000000002</v>
      </c>
      <c r="N991" s="168" t="e">
        <f>VLOOKUP(C991,#REF!,4)</f>
        <v>#REF!</v>
      </c>
      <c r="P991" s="164"/>
      <c r="Q991" s="164"/>
      <c r="R991" s="165"/>
    </row>
    <row r="992" spans="1:18">
      <c r="A992" s="151" t="s">
        <v>1942</v>
      </c>
      <c r="B992" s="160" t="s">
        <v>1681</v>
      </c>
      <c r="C992" s="152" t="s">
        <v>1976</v>
      </c>
      <c r="D992" s="151" t="s">
        <v>1977</v>
      </c>
      <c r="E992" s="152" t="s">
        <v>294</v>
      </c>
      <c r="F992" s="151" t="s">
        <v>1613</v>
      </c>
      <c r="G992" s="152" t="s">
        <v>20</v>
      </c>
      <c r="H992" s="150">
        <v>201607</v>
      </c>
      <c r="I992" s="154">
        <v>936.49</v>
      </c>
      <c r="J992" s="144">
        <f t="shared" si="47"/>
        <v>4</v>
      </c>
      <c r="K992" s="155">
        <v>2.23333E-3</v>
      </c>
      <c r="L992" s="154">
        <f t="shared" si="45"/>
        <v>8.3699999999999992</v>
      </c>
      <c r="M992" s="154">
        <f t="shared" si="46"/>
        <v>25.1</v>
      </c>
      <c r="N992" s="168" t="e">
        <f>VLOOKUP(C992,#REF!,4)</f>
        <v>#REF!</v>
      </c>
      <c r="P992" s="164"/>
      <c r="Q992" s="164"/>
      <c r="R992" s="165"/>
    </row>
    <row r="993" spans="1:18">
      <c r="A993" s="151" t="s">
        <v>626</v>
      </c>
      <c r="B993" s="152" t="s">
        <v>1921</v>
      </c>
      <c r="C993" s="152" t="s">
        <v>1922</v>
      </c>
      <c r="D993" s="151" t="s">
        <v>1923</v>
      </c>
      <c r="E993" s="152" t="s">
        <v>156</v>
      </c>
      <c r="F993" s="151" t="s">
        <v>26</v>
      </c>
      <c r="G993" s="152" t="s">
        <v>20</v>
      </c>
      <c r="H993" s="153">
        <v>201607</v>
      </c>
      <c r="I993" s="154">
        <v>944.33</v>
      </c>
      <c r="J993" s="144">
        <f t="shared" si="47"/>
        <v>4</v>
      </c>
      <c r="K993" s="155">
        <v>1.4833299999999999E-3</v>
      </c>
      <c r="L993" s="154">
        <f t="shared" si="45"/>
        <v>5.6</v>
      </c>
      <c r="M993" s="154">
        <f t="shared" si="46"/>
        <v>16.809999999999999</v>
      </c>
      <c r="N993" s="168" t="e">
        <f>VLOOKUP(C993,#REF!,4)</f>
        <v>#REF!</v>
      </c>
      <c r="P993" s="164"/>
      <c r="Q993" s="164"/>
      <c r="R993" s="165"/>
    </row>
    <row r="994" spans="1:18">
      <c r="A994" s="151" t="s">
        <v>626</v>
      </c>
      <c r="B994" s="152" t="s">
        <v>1907</v>
      </c>
      <c r="C994" s="152" t="s">
        <v>1908</v>
      </c>
      <c r="D994" s="151" t="s">
        <v>1909</v>
      </c>
      <c r="E994" s="152" t="s">
        <v>75</v>
      </c>
      <c r="F994" s="151" t="s">
        <v>1602</v>
      </c>
      <c r="G994" s="152" t="s">
        <v>20</v>
      </c>
      <c r="H994" s="153">
        <v>201607</v>
      </c>
      <c r="I994" s="154">
        <v>945.2</v>
      </c>
      <c r="J994" s="144">
        <f t="shared" si="47"/>
        <v>4</v>
      </c>
      <c r="K994" s="155">
        <v>1.4833299999999999E-3</v>
      </c>
      <c r="L994" s="154">
        <f t="shared" si="45"/>
        <v>5.61</v>
      </c>
      <c r="M994" s="154">
        <f t="shared" si="46"/>
        <v>16.82</v>
      </c>
      <c r="N994" s="168" t="e">
        <f>VLOOKUP(C994,#REF!,4)</f>
        <v>#REF!</v>
      </c>
      <c r="P994" s="164"/>
      <c r="Q994" s="164"/>
      <c r="R994" s="165"/>
    </row>
    <row r="995" spans="1:18">
      <c r="A995" s="151" t="s">
        <v>626</v>
      </c>
      <c r="B995" s="160" t="s">
        <v>1681</v>
      </c>
      <c r="C995" s="152" t="s">
        <v>2099</v>
      </c>
      <c r="D995" s="151" t="s">
        <v>2100</v>
      </c>
      <c r="E995" s="152" t="s">
        <v>260</v>
      </c>
      <c r="F995" s="151" t="s">
        <v>1608</v>
      </c>
      <c r="G995" s="152" t="s">
        <v>20</v>
      </c>
      <c r="H995" s="153">
        <v>201607</v>
      </c>
      <c r="I995" s="154">
        <v>946.21</v>
      </c>
      <c r="J995" s="144">
        <f t="shared" si="47"/>
        <v>4</v>
      </c>
      <c r="K995" s="155">
        <v>1.4833299999999999E-3</v>
      </c>
      <c r="L995" s="154">
        <f t="shared" si="45"/>
        <v>5.61</v>
      </c>
      <c r="M995" s="154">
        <f t="shared" si="46"/>
        <v>16.84</v>
      </c>
      <c r="N995" s="168" t="e">
        <f>VLOOKUP(C995,#REF!,4)</f>
        <v>#REF!</v>
      </c>
      <c r="P995" s="164"/>
      <c r="Q995" s="164"/>
      <c r="R995" s="165"/>
    </row>
    <row r="996" spans="1:18">
      <c r="A996" s="151" t="s">
        <v>626</v>
      </c>
      <c r="B996" s="160" t="s">
        <v>1681</v>
      </c>
      <c r="C996" s="152" t="s">
        <v>2009</v>
      </c>
      <c r="D996" s="151" t="s">
        <v>2010</v>
      </c>
      <c r="E996" s="152" t="s">
        <v>260</v>
      </c>
      <c r="F996" s="151" t="s">
        <v>1608</v>
      </c>
      <c r="G996" s="152" t="s">
        <v>20</v>
      </c>
      <c r="H996" s="153">
        <v>201607</v>
      </c>
      <c r="I996" s="154">
        <v>1067.68</v>
      </c>
      <c r="J996" s="144">
        <f t="shared" si="47"/>
        <v>4</v>
      </c>
      <c r="K996" s="155">
        <v>1.4833299999999999E-3</v>
      </c>
      <c r="L996" s="154">
        <f t="shared" si="45"/>
        <v>6.33</v>
      </c>
      <c r="M996" s="154">
        <f t="shared" si="46"/>
        <v>19</v>
      </c>
      <c r="N996" s="168" t="e">
        <f>VLOOKUP(C996,#REF!,4)</f>
        <v>#REF!</v>
      </c>
      <c r="P996" s="164"/>
      <c r="Q996" s="164"/>
      <c r="R996" s="165"/>
    </row>
    <row r="997" spans="1:18">
      <c r="A997" s="151" t="s">
        <v>21</v>
      </c>
      <c r="B997" s="152" t="s">
        <v>1939</v>
      </c>
      <c r="C997" s="152" t="s">
        <v>1940</v>
      </c>
      <c r="D997" s="151" t="s">
        <v>1941</v>
      </c>
      <c r="E997" s="152" t="s">
        <v>87</v>
      </c>
      <c r="F997" s="151" t="s">
        <v>1603</v>
      </c>
      <c r="G997" s="152" t="s">
        <v>20</v>
      </c>
      <c r="H997" s="153">
        <v>201607</v>
      </c>
      <c r="I997" s="154">
        <v>1070.08</v>
      </c>
      <c r="J997" s="144">
        <f t="shared" si="47"/>
        <v>4</v>
      </c>
      <c r="K997" s="155">
        <v>1.4833299999999999E-3</v>
      </c>
      <c r="L997" s="154">
        <f t="shared" si="45"/>
        <v>6.35</v>
      </c>
      <c r="M997" s="154">
        <f t="shared" si="46"/>
        <v>19.05</v>
      </c>
      <c r="N997" s="168" t="e">
        <f>VLOOKUP(C997,#REF!,4)</f>
        <v>#REF!</v>
      </c>
      <c r="P997" s="164"/>
      <c r="Q997" s="164"/>
      <c r="R997" s="165"/>
    </row>
    <row r="998" spans="1:18">
      <c r="A998" s="151" t="s">
        <v>626</v>
      </c>
      <c r="B998" s="152" t="s">
        <v>1961</v>
      </c>
      <c r="C998" s="152" t="s">
        <v>1962</v>
      </c>
      <c r="D998" s="151" t="s">
        <v>1963</v>
      </c>
      <c r="E998" s="152" t="s">
        <v>75</v>
      </c>
      <c r="F998" s="151" t="s">
        <v>1602</v>
      </c>
      <c r="G998" s="152" t="s">
        <v>20</v>
      </c>
      <c r="H998" s="153">
        <v>201607</v>
      </c>
      <c r="I998" s="154">
        <v>1133.01</v>
      </c>
      <c r="J998" s="144">
        <f t="shared" si="47"/>
        <v>4</v>
      </c>
      <c r="K998" s="155">
        <v>1.4833299999999999E-3</v>
      </c>
      <c r="L998" s="154">
        <f t="shared" si="45"/>
        <v>6.72</v>
      </c>
      <c r="M998" s="154">
        <f t="shared" si="46"/>
        <v>20.170000000000002</v>
      </c>
      <c r="N998" s="168" t="e">
        <f>VLOOKUP(C998,#REF!,4)</f>
        <v>#REF!</v>
      </c>
      <c r="P998" s="164"/>
      <c r="Q998" s="164"/>
      <c r="R998" s="165"/>
    </row>
    <row r="999" spans="1:18">
      <c r="A999" s="151" t="s">
        <v>626</v>
      </c>
      <c r="B999" s="152" t="s">
        <v>2036</v>
      </c>
      <c r="C999" s="152" t="s">
        <v>2037</v>
      </c>
      <c r="D999" s="151" t="s">
        <v>2038</v>
      </c>
      <c r="E999" s="152" t="s">
        <v>160</v>
      </c>
      <c r="F999" s="151" t="s">
        <v>19</v>
      </c>
      <c r="G999" s="152" t="s">
        <v>20</v>
      </c>
      <c r="H999" s="153">
        <v>201607</v>
      </c>
      <c r="I999" s="154">
        <v>1155.6600000000001</v>
      </c>
      <c r="J999" s="144">
        <f t="shared" si="47"/>
        <v>4</v>
      </c>
      <c r="K999" s="155">
        <v>1.4833299999999999E-3</v>
      </c>
      <c r="L999" s="154">
        <f t="shared" si="45"/>
        <v>6.86</v>
      </c>
      <c r="M999" s="154">
        <f t="shared" si="46"/>
        <v>20.57</v>
      </c>
      <c r="N999" s="168" t="e">
        <f>VLOOKUP(C999,#REF!,4)</f>
        <v>#REF!</v>
      </c>
      <c r="P999" s="164"/>
      <c r="Q999" s="164"/>
      <c r="R999" s="165"/>
    </row>
    <row r="1000" spans="1:18">
      <c r="A1000" s="151" t="s">
        <v>14</v>
      </c>
      <c r="B1000" s="152" t="s">
        <v>481</v>
      </c>
      <c r="C1000" s="152" t="s">
        <v>482</v>
      </c>
      <c r="D1000" s="151" t="s">
        <v>483</v>
      </c>
      <c r="E1000" s="152" t="s">
        <v>484</v>
      </c>
      <c r="F1000" s="151" t="s">
        <v>190</v>
      </c>
      <c r="G1000" s="152" t="s">
        <v>20</v>
      </c>
      <c r="H1000" s="153">
        <v>201607</v>
      </c>
      <c r="I1000" s="154">
        <v>1162.3</v>
      </c>
      <c r="J1000" s="144">
        <f t="shared" si="47"/>
        <v>4</v>
      </c>
      <c r="K1000" s="155">
        <v>2.23333E-3</v>
      </c>
      <c r="L1000" s="154">
        <f t="shared" si="45"/>
        <v>10.38</v>
      </c>
      <c r="M1000" s="154">
        <f t="shared" si="46"/>
        <v>31.15</v>
      </c>
      <c r="N1000" s="168" t="e">
        <f>VLOOKUP(C1000,#REF!,4)</f>
        <v>#REF!</v>
      </c>
      <c r="P1000" s="164"/>
      <c r="Q1000" s="164"/>
      <c r="R1000" s="165"/>
    </row>
    <row r="1001" spans="1:18">
      <c r="A1001" s="151" t="s">
        <v>21</v>
      </c>
      <c r="B1001" s="160" t="s">
        <v>1681</v>
      </c>
      <c r="C1001" s="152" t="s">
        <v>2075</v>
      </c>
      <c r="D1001" s="151" t="s">
        <v>2076</v>
      </c>
      <c r="E1001" s="152" t="s">
        <v>75</v>
      </c>
      <c r="F1001" s="151" t="s">
        <v>1602</v>
      </c>
      <c r="G1001" s="152" t="s">
        <v>20</v>
      </c>
      <c r="H1001" s="153">
        <v>201607</v>
      </c>
      <c r="I1001" s="154">
        <v>1178.92</v>
      </c>
      <c r="J1001" s="144">
        <f t="shared" si="47"/>
        <v>4</v>
      </c>
      <c r="K1001" s="155">
        <v>1.4833299999999999E-3</v>
      </c>
      <c r="L1001" s="154">
        <f t="shared" si="45"/>
        <v>6.99</v>
      </c>
      <c r="M1001" s="154">
        <f t="shared" si="46"/>
        <v>20.98</v>
      </c>
      <c r="N1001" s="168" t="e">
        <f>VLOOKUP(C1001,#REF!,4)</f>
        <v>#REF!</v>
      </c>
      <c r="P1001" s="164"/>
      <c r="Q1001" s="164"/>
      <c r="R1001" s="165"/>
    </row>
    <row r="1002" spans="1:18">
      <c r="A1002" s="151" t="s">
        <v>14</v>
      </c>
      <c r="B1002" s="160" t="s">
        <v>1681</v>
      </c>
      <c r="C1002" s="152" t="s">
        <v>1999</v>
      </c>
      <c r="D1002" s="151" t="s">
        <v>2000</v>
      </c>
      <c r="E1002" s="152" t="s">
        <v>75</v>
      </c>
      <c r="F1002" s="151" t="s">
        <v>1602</v>
      </c>
      <c r="G1002" s="152" t="s">
        <v>20</v>
      </c>
      <c r="H1002" s="150">
        <v>201607</v>
      </c>
      <c r="I1002" s="154">
        <v>1180.3599999999999</v>
      </c>
      <c r="J1002" s="144">
        <f t="shared" si="47"/>
        <v>4</v>
      </c>
      <c r="K1002" s="155">
        <v>2.23333E-3</v>
      </c>
      <c r="L1002" s="154">
        <f t="shared" si="45"/>
        <v>10.54</v>
      </c>
      <c r="M1002" s="154">
        <f t="shared" si="46"/>
        <v>31.63</v>
      </c>
      <c r="N1002" s="168" t="e">
        <f>VLOOKUP(C1002,#REF!,4)</f>
        <v>#REF!</v>
      </c>
      <c r="P1002" s="164"/>
      <c r="Q1002" s="164"/>
      <c r="R1002" s="165"/>
    </row>
    <row r="1003" spans="1:18">
      <c r="A1003" s="151" t="s">
        <v>626</v>
      </c>
      <c r="B1003" s="152" t="s">
        <v>1855</v>
      </c>
      <c r="C1003" s="152" t="s">
        <v>1856</v>
      </c>
      <c r="D1003" s="151" t="s">
        <v>1857</v>
      </c>
      <c r="E1003" s="152" t="s">
        <v>209</v>
      </c>
      <c r="F1003" s="151" t="s">
        <v>1612</v>
      </c>
      <c r="G1003" s="152" t="s">
        <v>20</v>
      </c>
      <c r="H1003" s="153">
        <v>201607</v>
      </c>
      <c r="I1003" s="154">
        <v>1195.46</v>
      </c>
      <c r="J1003" s="144">
        <f t="shared" si="47"/>
        <v>4</v>
      </c>
      <c r="K1003" s="155">
        <v>1.4833299999999999E-3</v>
      </c>
      <c r="L1003" s="154">
        <f t="shared" si="45"/>
        <v>7.09</v>
      </c>
      <c r="M1003" s="154">
        <f t="shared" si="46"/>
        <v>21.28</v>
      </c>
      <c r="N1003" s="168" t="e">
        <f>VLOOKUP(C1003,#REF!,4)</f>
        <v>#REF!</v>
      </c>
      <c r="P1003" s="164"/>
      <c r="Q1003" s="164"/>
      <c r="R1003" s="165"/>
    </row>
    <row r="1004" spans="1:18">
      <c r="A1004" s="151" t="s">
        <v>21</v>
      </c>
      <c r="B1004" s="152" t="s">
        <v>1826</v>
      </c>
      <c r="C1004" s="152" t="s">
        <v>1827</v>
      </c>
      <c r="D1004" s="151" t="s">
        <v>1828</v>
      </c>
      <c r="E1004" s="152" t="s">
        <v>25</v>
      </c>
      <c r="F1004" s="151" t="s">
        <v>26</v>
      </c>
      <c r="G1004" s="152" t="s">
        <v>20</v>
      </c>
      <c r="H1004" s="153">
        <v>201607</v>
      </c>
      <c r="I1004" s="154">
        <v>1286.8900000000001</v>
      </c>
      <c r="J1004" s="144">
        <f t="shared" si="47"/>
        <v>4</v>
      </c>
      <c r="K1004" s="155">
        <v>1.4833299999999999E-3</v>
      </c>
      <c r="L1004" s="154">
        <f t="shared" si="45"/>
        <v>7.64</v>
      </c>
      <c r="M1004" s="154">
        <f t="shared" si="46"/>
        <v>22.91</v>
      </c>
      <c r="N1004" s="168" t="e">
        <f>VLOOKUP(C1004,#REF!,4)</f>
        <v>#REF!</v>
      </c>
      <c r="P1004" s="164"/>
      <c r="Q1004" s="164"/>
      <c r="R1004" s="165"/>
    </row>
    <row r="1005" spans="1:18">
      <c r="A1005" s="151" t="s">
        <v>626</v>
      </c>
      <c r="B1005" s="152" t="s">
        <v>1838</v>
      </c>
      <c r="C1005" s="152" t="s">
        <v>1839</v>
      </c>
      <c r="D1005" s="151" t="s">
        <v>1840</v>
      </c>
      <c r="E1005" s="152" t="s">
        <v>260</v>
      </c>
      <c r="F1005" s="151" t="s">
        <v>1608</v>
      </c>
      <c r="G1005" s="152" t="s">
        <v>20</v>
      </c>
      <c r="H1005" s="153">
        <v>201607</v>
      </c>
      <c r="I1005" s="154">
        <v>1309.23</v>
      </c>
      <c r="J1005" s="144">
        <f t="shared" si="47"/>
        <v>4</v>
      </c>
      <c r="K1005" s="155">
        <v>1.4833299999999999E-3</v>
      </c>
      <c r="L1005" s="154">
        <f t="shared" si="45"/>
        <v>7.77</v>
      </c>
      <c r="M1005" s="154">
        <f t="shared" si="46"/>
        <v>23.3</v>
      </c>
      <c r="N1005" s="168" t="e">
        <f>VLOOKUP(C1005,#REF!,4)</f>
        <v>#REF!</v>
      </c>
      <c r="P1005" s="164"/>
      <c r="Q1005" s="164"/>
      <c r="R1005" s="165"/>
    </row>
    <row r="1006" spans="1:18">
      <c r="A1006" s="151" t="s">
        <v>990</v>
      </c>
      <c r="B1006" s="152" t="s">
        <v>1020</v>
      </c>
      <c r="C1006" s="152" t="s">
        <v>1021</v>
      </c>
      <c r="D1006" s="151" t="s">
        <v>1680</v>
      </c>
      <c r="E1006" s="152" t="s">
        <v>1022</v>
      </c>
      <c r="F1006" s="151" t="s">
        <v>1614</v>
      </c>
      <c r="G1006" s="152" t="s">
        <v>20</v>
      </c>
      <c r="H1006" s="153">
        <v>201607</v>
      </c>
      <c r="I1006" s="154">
        <v>1363.96</v>
      </c>
      <c r="J1006" s="144">
        <f t="shared" si="47"/>
        <v>4</v>
      </c>
      <c r="K1006" s="155">
        <v>2.3833299999999999E-3</v>
      </c>
      <c r="L1006" s="154">
        <f t="shared" si="45"/>
        <v>13</v>
      </c>
      <c r="M1006" s="154">
        <f t="shared" si="46"/>
        <v>39.01</v>
      </c>
      <c r="N1006" s="168" t="e">
        <f>VLOOKUP(C1006,#REF!,4)</f>
        <v>#REF!</v>
      </c>
      <c r="P1006" s="164"/>
      <c r="Q1006" s="164"/>
      <c r="R1006" s="165"/>
    </row>
    <row r="1007" spans="1:18">
      <c r="A1007" s="151" t="s">
        <v>626</v>
      </c>
      <c r="B1007" s="152" t="s">
        <v>1901</v>
      </c>
      <c r="C1007" s="152" t="s">
        <v>1902</v>
      </c>
      <c r="D1007" s="151" t="s">
        <v>1903</v>
      </c>
      <c r="E1007" s="152" t="s">
        <v>75</v>
      </c>
      <c r="F1007" s="151" t="s">
        <v>1602</v>
      </c>
      <c r="G1007" s="152" t="s">
        <v>20</v>
      </c>
      <c r="H1007" s="153">
        <v>201607</v>
      </c>
      <c r="I1007" s="154">
        <v>1482.07</v>
      </c>
      <c r="J1007" s="144">
        <f t="shared" si="47"/>
        <v>4</v>
      </c>
      <c r="K1007" s="155">
        <v>1.4833299999999999E-3</v>
      </c>
      <c r="L1007" s="154">
        <f t="shared" si="45"/>
        <v>8.7899999999999991</v>
      </c>
      <c r="M1007" s="154">
        <f t="shared" si="46"/>
        <v>26.38</v>
      </c>
      <c r="N1007" s="168" t="e">
        <f>VLOOKUP(C1007,#REF!,4)</f>
        <v>#REF!</v>
      </c>
      <c r="P1007" s="164"/>
      <c r="Q1007" s="164"/>
      <c r="R1007" s="165"/>
    </row>
    <row r="1008" spans="1:18">
      <c r="A1008" s="151" t="s">
        <v>626</v>
      </c>
      <c r="B1008" s="152" t="s">
        <v>1987</v>
      </c>
      <c r="C1008" s="152" t="s">
        <v>1988</v>
      </c>
      <c r="D1008" s="151" t="s">
        <v>1338</v>
      </c>
      <c r="E1008" s="152" t="s">
        <v>75</v>
      </c>
      <c r="F1008" s="151" t="s">
        <v>1602</v>
      </c>
      <c r="G1008" s="152" t="s">
        <v>20</v>
      </c>
      <c r="H1008" s="153">
        <v>201607</v>
      </c>
      <c r="I1008" s="154">
        <v>1525.27</v>
      </c>
      <c r="J1008" s="144">
        <f t="shared" si="47"/>
        <v>4</v>
      </c>
      <c r="K1008" s="155">
        <v>1.4833299999999999E-3</v>
      </c>
      <c r="L1008" s="154">
        <f t="shared" si="45"/>
        <v>9.0500000000000007</v>
      </c>
      <c r="M1008" s="154">
        <f t="shared" si="46"/>
        <v>27.15</v>
      </c>
      <c r="N1008" s="168" t="e">
        <f>VLOOKUP(C1008,#REF!,4)</f>
        <v>#REF!</v>
      </c>
      <c r="P1008" s="164"/>
      <c r="Q1008" s="164"/>
      <c r="R1008" s="165"/>
    </row>
    <row r="1009" spans="1:18">
      <c r="A1009" s="151" t="s">
        <v>626</v>
      </c>
      <c r="B1009" s="152" t="s">
        <v>2048</v>
      </c>
      <c r="C1009" s="152" t="s">
        <v>2049</v>
      </c>
      <c r="D1009" s="151" t="s">
        <v>2050</v>
      </c>
      <c r="E1009" s="152" t="s">
        <v>75</v>
      </c>
      <c r="F1009" s="151" t="s">
        <v>1602</v>
      </c>
      <c r="G1009" s="152" t="s">
        <v>20</v>
      </c>
      <c r="H1009" s="153">
        <v>201607</v>
      </c>
      <c r="I1009" s="154">
        <v>1605.65</v>
      </c>
      <c r="J1009" s="144">
        <f t="shared" si="47"/>
        <v>4</v>
      </c>
      <c r="K1009" s="155">
        <v>1.4833299999999999E-3</v>
      </c>
      <c r="L1009" s="154">
        <f t="shared" si="45"/>
        <v>9.5299999999999994</v>
      </c>
      <c r="M1009" s="154">
        <f t="shared" si="46"/>
        <v>28.58</v>
      </c>
      <c r="N1009" s="168" t="e">
        <f>VLOOKUP(C1009,#REF!,4)</f>
        <v>#REF!</v>
      </c>
      <c r="P1009" s="164"/>
      <c r="Q1009" s="164"/>
      <c r="R1009" s="165"/>
    </row>
    <row r="1010" spans="1:18">
      <c r="A1010" s="151" t="s">
        <v>626</v>
      </c>
      <c r="B1010" s="152" t="s">
        <v>2051</v>
      </c>
      <c r="C1010" s="152" t="s">
        <v>2052</v>
      </c>
      <c r="D1010" s="151" t="s">
        <v>2053</v>
      </c>
      <c r="E1010" s="152" t="s">
        <v>75</v>
      </c>
      <c r="F1010" s="151" t="s">
        <v>1602</v>
      </c>
      <c r="G1010" s="152" t="s">
        <v>20</v>
      </c>
      <c r="H1010" s="153">
        <v>201607</v>
      </c>
      <c r="I1010" s="154">
        <v>1639.44</v>
      </c>
      <c r="J1010" s="144">
        <f t="shared" si="47"/>
        <v>4</v>
      </c>
      <c r="K1010" s="155">
        <v>1.4833299999999999E-3</v>
      </c>
      <c r="L1010" s="154">
        <f t="shared" si="45"/>
        <v>9.73</v>
      </c>
      <c r="M1010" s="154">
        <f t="shared" si="46"/>
        <v>29.18</v>
      </c>
      <c r="N1010" s="168" t="e">
        <f>VLOOKUP(C1010,#REF!,4)</f>
        <v>#REF!</v>
      </c>
      <c r="P1010" s="164"/>
      <c r="Q1010" s="164"/>
      <c r="R1010" s="165"/>
    </row>
    <row r="1011" spans="1:18">
      <c r="A1011" s="151" t="s">
        <v>990</v>
      </c>
      <c r="B1011" s="152" t="s">
        <v>1010</v>
      </c>
      <c r="C1011" s="152" t="s">
        <v>1011</v>
      </c>
      <c r="D1011" s="151" t="s">
        <v>1012</v>
      </c>
      <c r="E1011" s="152" t="s">
        <v>1013</v>
      </c>
      <c r="F1011" s="151" t="s">
        <v>995</v>
      </c>
      <c r="G1011" s="152" t="s">
        <v>20</v>
      </c>
      <c r="H1011" s="153">
        <v>201607</v>
      </c>
      <c r="I1011" s="154">
        <v>1750.2</v>
      </c>
      <c r="J1011" s="144">
        <f t="shared" si="47"/>
        <v>4</v>
      </c>
      <c r="K1011" s="155">
        <v>2.3833299999999999E-3</v>
      </c>
      <c r="L1011" s="154">
        <f t="shared" si="45"/>
        <v>16.690000000000001</v>
      </c>
      <c r="M1011" s="154">
        <f t="shared" si="46"/>
        <v>50.06</v>
      </c>
      <c r="N1011" s="168" t="e">
        <f>VLOOKUP(C1011,#REF!,4)</f>
        <v>#REF!</v>
      </c>
      <c r="P1011" s="164"/>
      <c r="Q1011" s="164"/>
      <c r="R1011" s="165"/>
    </row>
    <row r="1012" spans="1:18">
      <c r="A1012" s="161" t="s">
        <v>626</v>
      </c>
      <c r="B1012" s="160" t="s">
        <v>1681</v>
      </c>
      <c r="C1012" s="160" t="s">
        <v>2069</v>
      </c>
      <c r="D1012" s="161" t="s">
        <v>2070</v>
      </c>
      <c r="E1012" s="160" t="s">
        <v>164</v>
      </c>
      <c r="F1012" s="161" t="s">
        <v>1600</v>
      </c>
      <c r="G1012" s="160" t="s">
        <v>20</v>
      </c>
      <c r="H1012" s="103">
        <v>201607</v>
      </c>
      <c r="I1012" s="154">
        <v>1825.59</v>
      </c>
      <c r="J1012" s="144">
        <f t="shared" si="47"/>
        <v>4</v>
      </c>
      <c r="K1012" s="155">
        <v>1.4833299999999999E-3</v>
      </c>
      <c r="L1012" s="154">
        <f t="shared" si="45"/>
        <v>10.83</v>
      </c>
      <c r="M1012" s="154">
        <f t="shared" si="46"/>
        <v>32.5</v>
      </c>
      <c r="N1012" s="168" t="e">
        <f>VLOOKUP(C1012,#REF!,4)</f>
        <v>#REF!</v>
      </c>
      <c r="P1012" s="164"/>
      <c r="Q1012" s="164"/>
      <c r="R1012" s="165"/>
    </row>
    <row r="1013" spans="1:18">
      <c r="A1013" s="161" t="s">
        <v>626</v>
      </c>
      <c r="B1013" s="160" t="s">
        <v>1797</v>
      </c>
      <c r="C1013" s="160" t="s">
        <v>1798</v>
      </c>
      <c r="D1013" s="161" t="s">
        <v>1799</v>
      </c>
      <c r="E1013" s="160" t="s">
        <v>164</v>
      </c>
      <c r="F1013" s="161" t="s">
        <v>1600</v>
      </c>
      <c r="G1013" s="160" t="s">
        <v>20</v>
      </c>
      <c r="H1013" s="103">
        <v>201607</v>
      </c>
      <c r="I1013" s="154">
        <v>1858.31</v>
      </c>
      <c r="J1013" s="144">
        <f t="shared" si="47"/>
        <v>4</v>
      </c>
      <c r="K1013" s="155">
        <v>1.4833299999999999E-3</v>
      </c>
      <c r="L1013" s="154">
        <f t="shared" si="45"/>
        <v>11.03</v>
      </c>
      <c r="M1013" s="154">
        <f t="shared" si="46"/>
        <v>33.08</v>
      </c>
      <c r="N1013" s="168" t="e">
        <f>VLOOKUP(C1013,#REF!,4)</f>
        <v>#REF!</v>
      </c>
      <c r="P1013" s="164"/>
      <c r="Q1013" s="164"/>
      <c r="R1013" s="165"/>
    </row>
    <row r="1014" spans="1:18">
      <c r="A1014" s="161" t="s">
        <v>626</v>
      </c>
      <c r="B1014" s="160" t="s">
        <v>1803</v>
      </c>
      <c r="C1014" s="160" t="s">
        <v>1804</v>
      </c>
      <c r="D1014" s="161" t="s">
        <v>1805</v>
      </c>
      <c r="E1014" s="160" t="s">
        <v>164</v>
      </c>
      <c r="F1014" s="161" t="s">
        <v>1600</v>
      </c>
      <c r="G1014" s="160" t="s">
        <v>20</v>
      </c>
      <c r="H1014" s="103">
        <v>201607</v>
      </c>
      <c r="I1014" s="154">
        <v>1973.43</v>
      </c>
      <c r="J1014" s="144">
        <f t="shared" si="47"/>
        <v>4</v>
      </c>
      <c r="K1014" s="155">
        <v>1.4833299999999999E-3</v>
      </c>
      <c r="L1014" s="154">
        <f t="shared" si="45"/>
        <v>11.71</v>
      </c>
      <c r="M1014" s="154">
        <f t="shared" si="46"/>
        <v>35.130000000000003</v>
      </c>
      <c r="N1014" s="168" t="e">
        <f>VLOOKUP(C1014,#REF!,4)</f>
        <v>#REF!</v>
      </c>
      <c r="P1014" s="164"/>
      <c r="Q1014" s="164"/>
      <c r="R1014" s="165"/>
    </row>
    <row r="1015" spans="1:18">
      <c r="A1015" s="161" t="s">
        <v>626</v>
      </c>
      <c r="B1015" s="160" t="s">
        <v>2039</v>
      </c>
      <c r="C1015" s="160" t="s">
        <v>2040</v>
      </c>
      <c r="D1015" s="161" t="s">
        <v>2041</v>
      </c>
      <c r="E1015" s="160" t="s">
        <v>497</v>
      </c>
      <c r="F1015" s="161" t="s">
        <v>26</v>
      </c>
      <c r="G1015" s="160" t="s">
        <v>20</v>
      </c>
      <c r="H1015" s="103">
        <v>201607</v>
      </c>
      <c r="I1015" s="154">
        <v>1980.26</v>
      </c>
      <c r="J1015" s="144">
        <f t="shared" si="47"/>
        <v>4</v>
      </c>
      <c r="K1015" s="155">
        <v>1.4833299999999999E-3</v>
      </c>
      <c r="L1015" s="154">
        <f t="shared" si="45"/>
        <v>11.75</v>
      </c>
      <c r="M1015" s="154">
        <f t="shared" si="46"/>
        <v>35.25</v>
      </c>
      <c r="N1015" s="168" t="e">
        <f>VLOOKUP(C1015,#REF!,4)</f>
        <v>#REF!</v>
      </c>
      <c r="P1015" s="164"/>
      <c r="Q1015" s="164"/>
      <c r="R1015" s="165"/>
    </row>
    <row r="1016" spans="1:18">
      <c r="A1016" s="161" t="s">
        <v>1942</v>
      </c>
      <c r="B1016" s="160" t="s">
        <v>1681</v>
      </c>
      <c r="C1016" s="160" t="s">
        <v>1682</v>
      </c>
      <c r="D1016" s="161" t="s">
        <v>1683</v>
      </c>
      <c r="E1016" s="160" t="s">
        <v>198</v>
      </c>
      <c r="F1016" s="161" t="s">
        <v>1610</v>
      </c>
      <c r="G1016" s="160" t="s">
        <v>20</v>
      </c>
      <c r="H1016" s="146">
        <v>201607</v>
      </c>
      <c r="I1016" s="154">
        <v>2233.7600000000002</v>
      </c>
      <c r="J1016" s="144">
        <f t="shared" si="47"/>
        <v>4</v>
      </c>
      <c r="K1016" s="155">
        <v>2.23333E-3</v>
      </c>
      <c r="L1016" s="154">
        <f t="shared" si="45"/>
        <v>19.95</v>
      </c>
      <c r="M1016" s="154">
        <f t="shared" si="46"/>
        <v>59.86</v>
      </c>
      <c r="N1016" s="168" t="e">
        <f>VLOOKUP(C1016,#REF!,4)</f>
        <v>#REF!</v>
      </c>
      <c r="P1016" s="164"/>
      <c r="Q1016" s="164"/>
      <c r="R1016" s="165"/>
    </row>
    <row r="1017" spans="1:18">
      <c r="A1017" s="161" t="s">
        <v>626</v>
      </c>
      <c r="B1017" s="160" t="s">
        <v>1850</v>
      </c>
      <c r="C1017" s="160" t="s">
        <v>1851</v>
      </c>
      <c r="D1017" s="161" t="s">
        <v>1852</v>
      </c>
      <c r="E1017" s="160" t="s">
        <v>260</v>
      </c>
      <c r="F1017" s="161" t="s">
        <v>1608</v>
      </c>
      <c r="G1017" s="160" t="s">
        <v>20</v>
      </c>
      <c r="H1017" s="103">
        <v>201607</v>
      </c>
      <c r="I1017" s="154">
        <v>2249.3000000000002</v>
      </c>
      <c r="J1017" s="144">
        <f t="shared" si="47"/>
        <v>4</v>
      </c>
      <c r="K1017" s="155">
        <v>1.4833299999999999E-3</v>
      </c>
      <c r="L1017" s="154">
        <f t="shared" si="45"/>
        <v>13.35</v>
      </c>
      <c r="M1017" s="154">
        <f t="shared" si="46"/>
        <v>40.04</v>
      </c>
      <c r="N1017" s="168" t="e">
        <f>VLOOKUP(C1017,#REF!,4)</f>
        <v>#REF!</v>
      </c>
      <c r="P1017" s="164"/>
      <c r="Q1017" s="164"/>
      <c r="R1017" s="165"/>
    </row>
    <row r="1018" spans="1:18">
      <c r="A1018" s="161" t="s">
        <v>626</v>
      </c>
      <c r="B1018" s="160" t="s">
        <v>1748</v>
      </c>
      <c r="C1018" s="160" t="s">
        <v>1749</v>
      </c>
      <c r="D1018" s="161" t="s">
        <v>1750</v>
      </c>
      <c r="E1018" s="160" t="s">
        <v>75</v>
      </c>
      <c r="F1018" s="161" t="s">
        <v>1602</v>
      </c>
      <c r="G1018" s="160" t="s">
        <v>20</v>
      </c>
      <c r="H1018" s="103">
        <v>201607</v>
      </c>
      <c r="I1018" s="154">
        <v>2290.36</v>
      </c>
      <c r="J1018" s="144">
        <f t="shared" si="47"/>
        <v>4</v>
      </c>
      <c r="K1018" s="155">
        <v>1.4833299999999999E-3</v>
      </c>
      <c r="L1018" s="154">
        <f t="shared" si="45"/>
        <v>13.59</v>
      </c>
      <c r="M1018" s="154">
        <f t="shared" si="46"/>
        <v>40.770000000000003</v>
      </c>
      <c r="N1018" s="168" t="e">
        <f>VLOOKUP(C1018,#REF!,4)</f>
        <v>#REF!</v>
      </c>
      <c r="P1018" s="164"/>
      <c r="Q1018" s="164"/>
      <c r="R1018" s="165"/>
    </row>
    <row r="1019" spans="1:18">
      <c r="A1019" s="161" t="s">
        <v>626</v>
      </c>
      <c r="B1019" s="160" t="s">
        <v>1681</v>
      </c>
      <c r="C1019" s="160" t="s">
        <v>2079</v>
      </c>
      <c r="D1019" s="161" t="s">
        <v>2080</v>
      </c>
      <c r="E1019" s="160" t="s">
        <v>75</v>
      </c>
      <c r="F1019" s="161" t="s">
        <v>1602</v>
      </c>
      <c r="G1019" s="160" t="s">
        <v>20</v>
      </c>
      <c r="H1019" s="103">
        <v>201607</v>
      </c>
      <c r="I1019" s="154">
        <v>2336.88</v>
      </c>
      <c r="J1019" s="144">
        <f t="shared" si="47"/>
        <v>4</v>
      </c>
      <c r="K1019" s="155">
        <v>1.4833299999999999E-3</v>
      </c>
      <c r="L1019" s="154">
        <f t="shared" si="45"/>
        <v>13.87</v>
      </c>
      <c r="M1019" s="154">
        <f t="shared" si="46"/>
        <v>41.6</v>
      </c>
      <c r="N1019" s="168" t="e">
        <f>VLOOKUP(C1019,#REF!,4)</f>
        <v>#REF!</v>
      </c>
      <c r="P1019" s="164"/>
      <c r="Q1019" s="164"/>
      <c r="R1019" s="165"/>
    </row>
    <row r="1020" spans="1:18">
      <c r="A1020" s="161" t="s">
        <v>626</v>
      </c>
      <c r="B1020" s="160" t="s">
        <v>1989</v>
      </c>
      <c r="C1020" s="160" t="s">
        <v>1990</v>
      </c>
      <c r="D1020" s="161" t="s">
        <v>1495</v>
      </c>
      <c r="E1020" s="160" t="s">
        <v>75</v>
      </c>
      <c r="F1020" s="161" t="s">
        <v>1602</v>
      </c>
      <c r="G1020" s="160" t="s">
        <v>20</v>
      </c>
      <c r="H1020" s="103">
        <v>201607</v>
      </c>
      <c r="I1020" s="154">
        <v>2356.33</v>
      </c>
      <c r="J1020" s="144">
        <f t="shared" si="47"/>
        <v>4</v>
      </c>
      <c r="K1020" s="155">
        <v>1.4833299999999999E-3</v>
      </c>
      <c r="L1020" s="154">
        <f t="shared" si="45"/>
        <v>13.98</v>
      </c>
      <c r="M1020" s="154">
        <f t="shared" si="46"/>
        <v>41.94</v>
      </c>
      <c r="N1020" s="168" t="e">
        <f>VLOOKUP(C1020,#REF!,4)</f>
        <v>#REF!</v>
      </c>
      <c r="P1020" s="164"/>
      <c r="Q1020" s="164"/>
      <c r="R1020" s="165"/>
    </row>
    <row r="1021" spans="1:18">
      <c r="A1021" s="161" t="s">
        <v>626</v>
      </c>
      <c r="B1021" s="160" t="s">
        <v>1967</v>
      </c>
      <c r="C1021" s="160" t="s">
        <v>1968</v>
      </c>
      <c r="D1021" s="161" t="s">
        <v>1969</v>
      </c>
      <c r="E1021" s="160" t="s">
        <v>544</v>
      </c>
      <c r="F1021" s="161" t="s">
        <v>26</v>
      </c>
      <c r="G1021" s="160" t="s">
        <v>20</v>
      </c>
      <c r="H1021" s="103">
        <v>201607</v>
      </c>
      <c r="I1021" s="154">
        <v>2543.85</v>
      </c>
      <c r="J1021" s="144">
        <f t="shared" si="47"/>
        <v>4</v>
      </c>
      <c r="K1021" s="155">
        <v>1.4833299999999999E-3</v>
      </c>
      <c r="L1021" s="154">
        <f t="shared" si="45"/>
        <v>15.09</v>
      </c>
      <c r="M1021" s="154">
        <f t="shared" si="46"/>
        <v>45.28</v>
      </c>
      <c r="N1021" s="168" t="e">
        <f>VLOOKUP(C1021,#REF!,4)</f>
        <v>#REF!</v>
      </c>
      <c r="P1021" s="164"/>
      <c r="Q1021" s="164"/>
      <c r="R1021" s="165"/>
    </row>
    <row r="1022" spans="1:18">
      <c r="A1022" s="161" t="s">
        <v>626</v>
      </c>
      <c r="B1022" s="160" t="s">
        <v>1681</v>
      </c>
      <c r="C1022" s="160" t="s">
        <v>2011</v>
      </c>
      <c r="D1022" s="161" t="s">
        <v>2012</v>
      </c>
      <c r="E1022" s="160" t="s">
        <v>260</v>
      </c>
      <c r="F1022" s="161" t="s">
        <v>1608</v>
      </c>
      <c r="G1022" s="160" t="s">
        <v>20</v>
      </c>
      <c r="H1022" s="103">
        <v>201607</v>
      </c>
      <c r="I1022" s="154">
        <v>2552.64</v>
      </c>
      <c r="J1022" s="144">
        <f t="shared" si="47"/>
        <v>4</v>
      </c>
      <c r="K1022" s="155">
        <v>1.4833299999999999E-3</v>
      </c>
      <c r="L1022" s="154">
        <f t="shared" si="45"/>
        <v>15.15</v>
      </c>
      <c r="M1022" s="154">
        <f t="shared" si="46"/>
        <v>45.44</v>
      </c>
      <c r="N1022" s="168" t="e">
        <f>VLOOKUP(C1022,#REF!,4)</f>
        <v>#REF!</v>
      </c>
      <c r="P1022" s="164"/>
      <c r="Q1022" s="164"/>
      <c r="R1022" s="165"/>
    </row>
    <row r="1023" spans="1:18">
      <c r="A1023" s="161" t="s">
        <v>21</v>
      </c>
      <c r="B1023" s="160" t="s">
        <v>1956</v>
      </c>
      <c r="C1023" s="160" t="s">
        <v>1957</v>
      </c>
      <c r="D1023" s="161" t="s">
        <v>1958</v>
      </c>
      <c r="E1023" s="160" t="s">
        <v>75</v>
      </c>
      <c r="F1023" s="161" t="s">
        <v>1602</v>
      </c>
      <c r="G1023" s="160" t="s">
        <v>20</v>
      </c>
      <c r="H1023" s="103">
        <v>201607</v>
      </c>
      <c r="I1023" s="154">
        <v>2990.51</v>
      </c>
      <c r="J1023" s="144">
        <f t="shared" si="47"/>
        <v>4</v>
      </c>
      <c r="K1023" s="155">
        <v>1.4833299999999999E-3</v>
      </c>
      <c r="L1023" s="154">
        <f t="shared" si="45"/>
        <v>17.739999999999998</v>
      </c>
      <c r="M1023" s="154">
        <f t="shared" si="46"/>
        <v>53.23</v>
      </c>
      <c r="N1023" s="168" t="e">
        <f>VLOOKUP(C1023,#REF!,4)</f>
        <v>#REF!</v>
      </c>
      <c r="P1023" s="164"/>
      <c r="Q1023" s="164"/>
      <c r="R1023" s="165"/>
    </row>
    <row r="1024" spans="1:18">
      <c r="A1024" s="161" t="s">
        <v>990</v>
      </c>
      <c r="B1024" s="160" t="s">
        <v>996</v>
      </c>
      <c r="C1024" s="160" t="s">
        <v>997</v>
      </c>
      <c r="D1024" s="161" t="s">
        <v>998</v>
      </c>
      <c r="E1024" s="160" t="s">
        <v>999</v>
      </c>
      <c r="F1024" s="161" t="s">
        <v>995</v>
      </c>
      <c r="G1024" s="160" t="s">
        <v>20</v>
      </c>
      <c r="H1024" s="103">
        <v>201607</v>
      </c>
      <c r="I1024" s="154">
        <v>3201.34</v>
      </c>
      <c r="J1024" s="144">
        <f t="shared" si="47"/>
        <v>4</v>
      </c>
      <c r="K1024" s="155">
        <v>2.3833299999999999E-3</v>
      </c>
      <c r="L1024" s="154">
        <f t="shared" si="45"/>
        <v>30.52</v>
      </c>
      <c r="M1024" s="154">
        <f t="shared" si="46"/>
        <v>91.56</v>
      </c>
      <c r="N1024" s="168" t="e">
        <f>VLOOKUP(C1024,#REF!,4)</f>
        <v>#REF!</v>
      </c>
      <c r="P1024" s="164"/>
      <c r="Q1024" s="164"/>
      <c r="R1024" s="165"/>
    </row>
    <row r="1025" spans="1:18">
      <c r="A1025" s="161" t="s">
        <v>626</v>
      </c>
      <c r="B1025" s="160" t="s">
        <v>1681</v>
      </c>
      <c r="C1025" s="160" t="s">
        <v>2065</v>
      </c>
      <c r="D1025" s="161" t="s">
        <v>2066</v>
      </c>
      <c r="E1025" s="160" t="s">
        <v>209</v>
      </c>
      <c r="F1025" s="161" t="s">
        <v>1612</v>
      </c>
      <c r="G1025" s="160" t="s">
        <v>20</v>
      </c>
      <c r="H1025" s="103">
        <v>201607</v>
      </c>
      <c r="I1025" s="154">
        <v>3413.85</v>
      </c>
      <c r="J1025" s="144">
        <f t="shared" si="47"/>
        <v>4</v>
      </c>
      <c r="K1025" s="155">
        <v>1.4833299999999999E-3</v>
      </c>
      <c r="L1025" s="154">
        <f t="shared" si="45"/>
        <v>20.260000000000002</v>
      </c>
      <c r="M1025" s="154">
        <f t="shared" si="46"/>
        <v>60.77</v>
      </c>
      <c r="N1025" s="168" t="e">
        <f>VLOOKUP(C1025,#REF!,4)</f>
        <v>#REF!</v>
      </c>
      <c r="P1025" s="164"/>
      <c r="Q1025" s="164"/>
      <c r="R1025" s="165"/>
    </row>
    <row r="1026" spans="1:18">
      <c r="A1026" s="161" t="s">
        <v>626</v>
      </c>
      <c r="B1026" s="160" t="s">
        <v>2042</v>
      </c>
      <c r="C1026" s="160" t="s">
        <v>2043</v>
      </c>
      <c r="D1026" s="161" t="s">
        <v>2044</v>
      </c>
      <c r="E1026" s="160" t="s">
        <v>497</v>
      </c>
      <c r="F1026" s="161" t="s">
        <v>26</v>
      </c>
      <c r="G1026" s="160" t="s">
        <v>20</v>
      </c>
      <c r="H1026" s="103">
        <v>201607</v>
      </c>
      <c r="I1026" s="154">
        <v>3467.6</v>
      </c>
      <c r="J1026" s="144">
        <f t="shared" si="47"/>
        <v>4</v>
      </c>
      <c r="K1026" s="155">
        <v>1.4833299999999999E-3</v>
      </c>
      <c r="L1026" s="154">
        <f t="shared" si="45"/>
        <v>20.57</v>
      </c>
      <c r="M1026" s="154">
        <f t="shared" si="46"/>
        <v>61.72</v>
      </c>
      <c r="N1026" s="168" t="e">
        <f>VLOOKUP(C1026,#REF!,4)</f>
        <v>#REF!</v>
      </c>
      <c r="P1026" s="164"/>
      <c r="Q1026" s="164"/>
      <c r="R1026" s="165"/>
    </row>
    <row r="1027" spans="1:18">
      <c r="A1027" s="161" t="s">
        <v>14</v>
      </c>
      <c r="B1027" s="160" t="s">
        <v>1681</v>
      </c>
      <c r="C1027" s="160" t="s">
        <v>2111</v>
      </c>
      <c r="D1027" s="161" t="s">
        <v>2112</v>
      </c>
      <c r="E1027" s="160" t="s">
        <v>164</v>
      </c>
      <c r="F1027" s="161" t="s">
        <v>1600</v>
      </c>
      <c r="G1027" s="160" t="s">
        <v>20</v>
      </c>
      <c r="H1027" s="146">
        <v>201607</v>
      </c>
      <c r="I1027" s="154">
        <v>3481.71</v>
      </c>
      <c r="J1027" s="144">
        <f t="shared" si="47"/>
        <v>4</v>
      </c>
      <c r="K1027" s="155">
        <v>2.23333E-3</v>
      </c>
      <c r="L1027" s="154">
        <f t="shared" si="45"/>
        <v>31.1</v>
      </c>
      <c r="M1027" s="154">
        <f t="shared" si="46"/>
        <v>93.31</v>
      </c>
      <c r="N1027" s="168" t="e">
        <f>VLOOKUP(C1027,#REF!,4)</f>
        <v>#REF!</v>
      </c>
      <c r="P1027" s="164"/>
      <c r="Q1027" s="164"/>
      <c r="R1027" s="165"/>
    </row>
    <row r="1028" spans="1:18">
      <c r="A1028" s="161" t="s">
        <v>626</v>
      </c>
      <c r="B1028" s="160" t="s">
        <v>2045</v>
      </c>
      <c r="C1028" s="160" t="s">
        <v>2046</v>
      </c>
      <c r="D1028" s="161" t="s">
        <v>2047</v>
      </c>
      <c r="E1028" s="160" t="s">
        <v>75</v>
      </c>
      <c r="F1028" s="161" t="s">
        <v>1602</v>
      </c>
      <c r="G1028" s="160" t="s">
        <v>20</v>
      </c>
      <c r="H1028" s="103">
        <v>201607</v>
      </c>
      <c r="I1028" s="154">
        <v>3652.72</v>
      </c>
      <c r="J1028" s="144">
        <f t="shared" si="47"/>
        <v>4</v>
      </c>
      <c r="K1028" s="155">
        <v>1.4833299999999999E-3</v>
      </c>
      <c r="L1028" s="154">
        <f t="shared" si="45"/>
        <v>21.67</v>
      </c>
      <c r="M1028" s="154">
        <f t="shared" si="46"/>
        <v>65.02</v>
      </c>
      <c r="N1028" s="168" t="e">
        <f>VLOOKUP(C1028,#REF!,4)</f>
        <v>#REF!</v>
      </c>
      <c r="P1028" s="164"/>
      <c r="Q1028" s="164"/>
      <c r="R1028" s="165"/>
    </row>
    <row r="1029" spans="1:18">
      <c r="A1029" s="161" t="s">
        <v>14</v>
      </c>
      <c r="B1029" s="160" t="s">
        <v>419</v>
      </c>
      <c r="C1029" s="160" t="s">
        <v>420</v>
      </c>
      <c r="D1029" s="161" t="s">
        <v>50</v>
      </c>
      <c r="E1029" s="160" t="s">
        <v>421</v>
      </c>
      <c r="F1029" s="161" t="s">
        <v>52</v>
      </c>
      <c r="G1029" s="160" t="s">
        <v>20</v>
      </c>
      <c r="H1029" s="103">
        <v>201607</v>
      </c>
      <c r="I1029" s="154">
        <v>4397.18</v>
      </c>
      <c r="J1029" s="144">
        <f t="shared" si="47"/>
        <v>4</v>
      </c>
      <c r="K1029" s="155">
        <v>2.23333E-3</v>
      </c>
      <c r="L1029" s="154">
        <f t="shared" ref="L1029:L1061" si="48">ROUND(I1029*J1029*K1029,2)</f>
        <v>39.28</v>
      </c>
      <c r="M1029" s="154">
        <f t="shared" ref="M1029:M1061" si="49">ROUND(I1029*K1029*12,2)</f>
        <v>117.84</v>
      </c>
      <c r="N1029" s="168" t="e">
        <f>VLOOKUP(C1029,#REF!,4)</f>
        <v>#REF!</v>
      </c>
      <c r="P1029" s="164"/>
      <c r="Q1029" s="164"/>
      <c r="R1029" s="165"/>
    </row>
    <row r="1030" spans="1:18">
      <c r="A1030" s="161" t="s">
        <v>14</v>
      </c>
      <c r="B1030" s="160" t="s">
        <v>37</v>
      </c>
      <c r="C1030" s="160" t="s">
        <v>38</v>
      </c>
      <c r="D1030" s="161" t="s">
        <v>39</v>
      </c>
      <c r="E1030" s="160" t="s">
        <v>40</v>
      </c>
      <c r="F1030" s="161" t="s">
        <v>41</v>
      </c>
      <c r="G1030" s="160" t="s">
        <v>20</v>
      </c>
      <c r="H1030" s="103">
        <v>201607</v>
      </c>
      <c r="I1030" s="154">
        <v>4777.62</v>
      </c>
      <c r="J1030" s="144">
        <f t="shared" ref="J1030:J1061" si="50">VLOOKUP(H1030,$P$5:$Q$14,2)</f>
        <v>4</v>
      </c>
      <c r="K1030" s="155">
        <v>2.23333E-3</v>
      </c>
      <c r="L1030" s="154">
        <f t="shared" si="48"/>
        <v>42.68</v>
      </c>
      <c r="M1030" s="154">
        <f t="shared" si="49"/>
        <v>128.04</v>
      </c>
      <c r="N1030" s="168" t="e">
        <f>VLOOKUP(C1030,#REF!,4)</f>
        <v>#REF!</v>
      </c>
      <c r="P1030" s="164"/>
      <c r="Q1030" s="164"/>
      <c r="R1030" s="165"/>
    </row>
    <row r="1031" spans="1:18">
      <c r="A1031" s="161" t="s">
        <v>626</v>
      </c>
      <c r="B1031" s="160" t="s">
        <v>1681</v>
      </c>
      <c r="C1031" s="160" t="s">
        <v>2109</v>
      </c>
      <c r="D1031" s="161" t="s">
        <v>2110</v>
      </c>
      <c r="E1031" s="160" t="s">
        <v>75</v>
      </c>
      <c r="F1031" s="161" t="s">
        <v>1602</v>
      </c>
      <c r="G1031" s="160" t="s">
        <v>20</v>
      </c>
      <c r="H1031" s="103">
        <v>201607</v>
      </c>
      <c r="I1031" s="154">
        <v>4902.45</v>
      </c>
      <c r="J1031" s="144">
        <f t="shared" si="50"/>
        <v>4</v>
      </c>
      <c r="K1031" s="155">
        <v>1.4833299999999999E-3</v>
      </c>
      <c r="L1031" s="154">
        <f t="shared" si="48"/>
        <v>29.09</v>
      </c>
      <c r="M1031" s="154">
        <f t="shared" si="49"/>
        <v>87.26</v>
      </c>
      <c r="N1031" s="168" t="e">
        <f>VLOOKUP(C1031,#REF!,4)</f>
        <v>#REF!</v>
      </c>
      <c r="P1031" s="164"/>
      <c r="Q1031" s="164"/>
      <c r="R1031" s="165"/>
    </row>
    <row r="1032" spans="1:18">
      <c r="A1032" s="161" t="s">
        <v>14</v>
      </c>
      <c r="B1032" s="160" t="s">
        <v>30</v>
      </c>
      <c r="C1032" s="160" t="s">
        <v>31</v>
      </c>
      <c r="D1032" s="161" t="s">
        <v>32</v>
      </c>
      <c r="E1032" s="160" t="s">
        <v>33</v>
      </c>
      <c r="F1032" s="161" t="s">
        <v>34</v>
      </c>
      <c r="G1032" s="160" t="s">
        <v>20</v>
      </c>
      <c r="H1032" s="103">
        <v>201607</v>
      </c>
      <c r="I1032" s="154">
        <v>5282.02</v>
      </c>
      <c r="J1032" s="144">
        <f t="shared" si="50"/>
        <v>4</v>
      </c>
      <c r="K1032" s="155">
        <v>2.23333E-3</v>
      </c>
      <c r="L1032" s="154">
        <f t="shared" si="48"/>
        <v>47.19</v>
      </c>
      <c r="M1032" s="154">
        <f t="shared" si="49"/>
        <v>141.56</v>
      </c>
      <c r="N1032" s="168" t="e">
        <f>VLOOKUP(C1032,#REF!,4)</f>
        <v>#REF!</v>
      </c>
      <c r="P1032" s="164"/>
      <c r="Q1032" s="164"/>
      <c r="R1032" s="165"/>
    </row>
    <row r="1033" spans="1:18">
      <c r="A1033" s="161" t="s">
        <v>133</v>
      </c>
      <c r="B1033" s="160" t="s">
        <v>1817</v>
      </c>
      <c r="C1033" s="160" t="s">
        <v>1818</v>
      </c>
      <c r="D1033" s="161" t="s">
        <v>1819</v>
      </c>
      <c r="E1033" s="160" t="s">
        <v>75</v>
      </c>
      <c r="F1033" s="161" t="s">
        <v>1602</v>
      </c>
      <c r="G1033" s="160" t="s">
        <v>20</v>
      </c>
      <c r="H1033" s="103">
        <v>201607</v>
      </c>
      <c r="I1033" s="154">
        <v>5409.69</v>
      </c>
      <c r="J1033" s="144">
        <f t="shared" si="50"/>
        <v>4</v>
      </c>
      <c r="K1033" s="155">
        <v>1.4833299999999999E-3</v>
      </c>
      <c r="L1033" s="154">
        <f t="shared" si="48"/>
        <v>32.1</v>
      </c>
      <c r="M1033" s="154">
        <f t="shared" si="49"/>
        <v>96.29</v>
      </c>
      <c r="N1033" s="168" t="e">
        <f>VLOOKUP(C1033,#REF!,4)</f>
        <v>#REF!</v>
      </c>
      <c r="P1033" s="164"/>
      <c r="Q1033" s="164"/>
      <c r="R1033" s="165"/>
    </row>
    <row r="1034" spans="1:18">
      <c r="A1034" s="161" t="s">
        <v>626</v>
      </c>
      <c r="B1034" s="160" t="s">
        <v>2057</v>
      </c>
      <c r="C1034" s="160" t="s">
        <v>2058</v>
      </c>
      <c r="D1034" s="161" t="s">
        <v>2059</v>
      </c>
      <c r="E1034" s="160" t="s">
        <v>156</v>
      </c>
      <c r="F1034" s="161" t="s">
        <v>26</v>
      </c>
      <c r="G1034" s="160" t="s">
        <v>20</v>
      </c>
      <c r="H1034" s="103">
        <v>201607</v>
      </c>
      <c r="I1034" s="154">
        <v>5878.84</v>
      </c>
      <c r="J1034" s="144">
        <f t="shared" si="50"/>
        <v>4</v>
      </c>
      <c r="K1034" s="155">
        <v>1.4833299999999999E-3</v>
      </c>
      <c r="L1034" s="154">
        <f t="shared" si="48"/>
        <v>34.880000000000003</v>
      </c>
      <c r="M1034" s="154">
        <f t="shared" si="49"/>
        <v>104.64</v>
      </c>
      <c r="N1034" s="168" t="e">
        <f>VLOOKUP(C1034,#REF!,4)</f>
        <v>#REF!</v>
      </c>
      <c r="P1034" s="164"/>
      <c r="Q1034" s="164"/>
      <c r="R1034" s="165"/>
    </row>
    <row r="1035" spans="1:18">
      <c r="A1035" s="161" t="s">
        <v>14</v>
      </c>
      <c r="B1035" s="160" t="s">
        <v>200</v>
      </c>
      <c r="C1035" s="160" t="s">
        <v>201</v>
      </c>
      <c r="D1035" s="161" t="s">
        <v>1675</v>
      </c>
      <c r="E1035" s="160" t="s">
        <v>202</v>
      </c>
      <c r="F1035" s="161" t="s">
        <v>1611</v>
      </c>
      <c r="G1035" s="160" t="s">
        <v>20</v>
      </c>
      <c r="H1035" s="103">
        <v>201607</v>
      </c>
      <c r="I1035" s="154">
        <v>6584.46</v>
      </c>
      <c r="J1035" s="144">
        <f t="shared" si="50"/>
        <v>4</v>
      </c>
      <c r="K1035" s="155">
        <v>2.23333E-3</v>
      </c>
      <c r="L1035" s="154">
        <f t="shared" si="48"/>
        <v>58.82</v>
      </c>
      <c r="M1035" s="154">
        <f t="shared" si="49"/>
        <v>176.46</v>
      </c>
      <c r="N1035" s="168" t="e">
        <f>VLOOKUP(C1035,#REF!,4)</f>
        <v>#REF!</v>
      </c>
      <c r="P1035" s="164"/>
      <c r="Q1035" s="164"/>
      <c r="R1035" s="165"/>
    </row>
    <row r="1036" spans="1:18">
      <c r="A1036" s="161" t="s">
        <v>626</v>
      </c>
      <c r="B1036" s="160" t="s">
        <v>1681</v>
      </c>
      <c r="C1036" s="160" t="s">
        <v>2077</v>
      </c>
      <c r="D1036" s="161" t="s">
        <v>2078</v>
      </c>
      <c r="E1036" s="160" t="s">
        <v>260</v>
      </c>
      <c r="F1036" s="161" t="s">
        <v>1608</v>
      </c>
      <c r="G1036" s="160" t="s">
        <v>20</v>
      </c>
      <c r="H1036" s="103">
        <v>201607</v>
      </c>
      <c r="I1036" s="154">
        <v>6626.05</v>
      </c>
      <c r="J1036" s="144">
        <f t="shared" si="50"/>
        <v>4</v>
      </c>
      <c r="K1036" s="155">
        <v>1.4833299999999999E-3</v>
      </c>
      <c r="L1036" s="154">
        <f t="shared" si="48"/>
        <v>39.31</v>
      </c>
      <c r="M1036" s="154">
        <f t="shared" si="49"/>
        <v>117.94</v>
      </c>
      <c r="N1036" s="168" t="e">
        <f>VLOOKUP(C1036,#REF!,4)</f>
        <v>#REF!</v>
      </c>
      <c r="P1036" s="164"/>
      <c r="Q1036" s="164"/>
      <c r="R1036" s="165"/>
    </row>
    <row r="1037" spans="1:18">
      <c r="A1037" s="161" t="s">
        <v>626</v>
      </c>
      <c r="B1037" s="160" t="s">
        <v>1981</v>
      </c>
      <c r="C1037" s="160" t="s">
        <v>1982</v>
      </c>
      <c r="D1037" s="161" t="s">
        <v>1983</v>
      </c>
      <c r="E1037" s="160" t="s">
        <v>75</v>
      </c>
      <c r="F1037" s="161" t="s">
        <v>1602</v>
      </c>
      <c r="G1037" s="160" t="s">
        <v>20</v>
      </c>
      <c r="H1037" s="103">
        <v>201607</v>
      </c>
      <c r="I1037" s="154">
        <v>7283.77</v>
      </c>
      <c r="J1037" s="144">
        <f t="shared" si="50"/>
        <v>4</v>
      </c>
      <c r="K1037" s="155">
        <v>1.4833299999999999E-3</v>
      </c>
      <c r="L1037" s="154">
        <f t="shared" si="48"/>
        <v>43.22</v>
      </c>
      <c r="M1037" s="154">
        <f t="shared" si="49"/>
        <v>129.65</v>
      </c>
      <c r="N1037" s="168" t="e">
        <f>VLOOKUP(C1037,#REF!,4)</f>
        <v>#REF!</v>
      </c>
      <c r="P1037" s="164"/>
      <c r="Q1037" s="164"/>
      <c r="R1037" s="165"/>
    </row>
    <row r="1038" spans="1:18">
      <c r="A1038" s="161" t="s">
        <v>626</v>
      </c>
      <c r="B1038" s="160" t="s">
        <v>1984</v>
      </c>
      <c r="C1038" s="160" t="s">
        <v>1985</v>
      </c>
      <c r="D1038" s="161" t="s">
        <v>1986</v>
      </c>
      <c r="E1038" s="160" t="s">
        <v>156</v>
      </c>
      <c r="F1038" s="161" t="s">
        <v>26</v>
      </c>
      <c r="G1038" s="160" t="s">
        <v>20</v>
      </c>
      <c r="H1038" s="103">
        <v>201607</v>
      </c>
      <c r="I1038" s="154">
        <v>7647.45</v>
      </c>
      <c r="J1038" s="144">
        <f t="shared" si="50"/>
        <v>4</v>
      </c>
      <c r="K1038" s="155">
        <v>1.4833299999999999E-3</v>
      </c>
      <c r="L1038" s="154">
        <f t="shared" si="48"/>
        <v>45.37</v>
      </c>
      <c r="M1038" s="154">
        <f t="shared" si="49"/>
        <v>136.12</v>
      </c>
      <c r="N1038" s="168" t="e">
        <f>VLOOKUP(C1038,#REF!,4)</f>
        <v>#REF!</v>
      </c>
      <c r="P1038" s="164"/>
      <c r="Q1038" s="164"/>
      <c r="R1038" s="165"/>
    </row>
    <row r="1039" spans="1:18">
      <c r="A1039" s="161" t="s">
        <v>626</v>
      </c>
      <c r="B1039" s="160" t="s">
        <v>1970</v>
      </c>
      <c r="C1039" s="160" t="s">
        <v>1971</v>
      </c>
      <c r="D1039" s="161" t="s">
        <v>1972</v>
      </c>
      <c r="E1039" s="160" t="s">
        <v>93</v>
      </c>
      <c r="F1039" s="161" t="s">
        <v>1601</v>
      </c>
      <c r="G1039" s="160" t="s">
        <v>20</v>
      </c>
      <c r="H1039" s="103">
        <v>201607</v>
      </c>
      <c r="I1039" s="154">
        <v>8833.7900000000009</v>
      </c>
      <c r="J1039" s="144">
        <f t="shared" si="50"/>
        <v>4</v>
      </c>
      <c r="K1039" s="155">
        <v>1.4833299999999999E-3</v>
      </c>
      <c r="L1039" s="154">
        <f t="shared" si="48"/>
        <v>52.41</v>
      </c>
      <c r="M1039" s="154">
        <f t="shared" si="49"/>
        <v>157.24</v>
      </c>
      <c r="N1039" s="168" t="e">
        <f>VLOOKUP(C1039,#REF!,4)</f>
        <v>#REF!</v>
      </c>
      <c r="P1039" s="164"/>
      <c r="Q1039" s="164"/>
      <c r="R1039" s="165"/>
    </row>
    <row r="1040" spans="1:18">
      <c r="A1040" s="161" t="s">
        <v>626</v>
      </c>
      <c r="B1040" s="160" t="s">
        <v>1681</v>
      </c>
      <c r="C1040" s="160" t="s">
        <v>1999</v>
      </c>
      <c r="D1040" s="161" t="s">
        <v>2000</v>
      </c>
      <c r="E1040" s="160" t="s">
        <v>75</v>
      </c>
      <c r="F1040" s="161" t="s">
        <v>1602</v>
      </c>
      <c r="G1040" s="160" t="s">
        <v>20</v>
      </c>
      <c r="H1040" s="103">
        <v>201607</v>
      </c>
      <c r="I1040" s="154">
        <v>9229.06</v>
      </c>
      <c r="J1040" s="144">
        <f t="shared" si="50"/>
        <v>4</v>
      </c>
      <c r="K1040" s="155">
        <v>1.4833299999999999E-3</v>
      </c>
      <c r="L1040" s="154">
        <f t="shared" si="48"/>
        <v>54.76</v>
      </c>
      <c r="M1040" s="154">
        <f t="shared" si="49"/>
        <v>164.28</v>
      </c>
      <c r="N1040" s="168" t="e">
        <f>VLOOKUP(C1040,#REF!,4)</f>
        <v>#REF!</v>
      </c>
      <c r="P1040" s="164"/>
      <c r="Q1040" s="164"/>
      <c r="R1040" s="165"/>
    </row>
    <row r="1041" spans="1:18">
      <c r="A1041" s="161" t="s">
        <v>626</v>
      </c>
      <c r="B1041" s="160" t="s">
        <v>1800</v>
      </c>
      <c r="C1041" s="160" t="s">
        <v>1801</v>
      </c>
      <c r="D1041" s="161" t="s">
        <v>1802</v>
      </c>
      <c r="E1041" s="160" t="s">
        <v>75</v>
      </c>
      <c r="F1041" s="161" t="s">
        <v>1602</v>
      </c>
      <c r="G1041" s="160" t="s">
        <v>20</v>
      </c>
      <c r="H1041" s="103">
        <v>201607</v>
      </c>
      <c r="I1041" s="154">
        <v>9710.14</v>
      </c>
      <c r="J1041" s="144">
        <f t="shared" si="50"/>
        <v>4</v>
      </c>
      <c r="K1041" s="155">
        <v>1.4833299999999999E-3</v>
      </c>
      <c r="L1041" s="154">
        <f t="shared" si="48"/>
        <v>57.61</v>
      </c>
      <c r="M1041" s="154">
        <f t="shared" si="49"/>
        <v>172.84</v>
      </c>
      <c r="N1041" s="168" t="e">
        <f>VLOOKUP(C1041,#REF!,4)</f>
        <v>#REF!</v>
      </c>
      <c r="P1041" s="164"/>
      <c r="Q1041" s="164"/>
      <c r="R1041" s="165"/>
    </row>
    <row r="1042" spans="1:18">
      <c r="A1042" s="161" t="s">
        <v>626</v>
      </c>
      <c r="B1042" s="160" t="s">
        <v>1681</v>
      </c>
      <c r="C1042" s="160" t="s">
        <v>1705</v>
      </c>
      <c r="D1042" s="161" t="s">
        <v>1706</v>
      </c>
      <c r="E1042" s="160" t="s">
        <v>75</v>
      </c>
      <c r="F1042" s="161" t="s">
        <v>1602</v>
      </c>
      <c r="G1042" s="160" t="s">
        <v>20</v>
      </c>
      <c r="H1042" s="103">
        <v>201607</v>
      </c>
      <c r="I1042" s="154">
        <v>9757.41</v>
      </c>
      <c r="J1042" s="144">
        <f t="shared" si="50"/>
        <v>4</v>
      </c>
      <c r="K1042" s="155">
        <v>1.4833299999999999E-3</v>
      </c>
      <c r="L1042" s="154">
        <f t="shared" si="48"/>
        <v>57.89</v>
      </c>
      <c r="M1042" s="154">
        <f t="shared" si="49"/>
        <v>173.68</v>
      </c>
      <c r="N1042" s="168" t="e">
        <f>VLOOKUP(C1042,#REF!,4)</f>
        <v>#REF!</v>
      </c>
      <c r="P1042" s="164"/>
      <c r="Q1042" s="164"/>
      <c r="R1042" s="165"/>
    </row>
    <row r="1043" spans="1:18">
      <c r="A1043" s="161" t="s">
        <v>21</v>
      </c>
      <c r="B1043" s="160" t="s">
        <v>1681</v>
      </c>
      <c r="C1043" s="160" t="s">
        <v>2107</v>
      </c>
      <c r="D1043" s="161" t="s">
        <v>2108</v>
      </c>
      <c r="E1043" s="160" t="s">
        <v>209</v>
      </c>
      <c r="F1043" s="161" t="s">
        <v>1612</v>
      </c>
      <c r="G1043" s="160" t="s">
        <v>20</v>
      </c>
      <c r="H1043" s="103">
        <v>201607</v>
      </c>
      <c r="I1043" s="154">
        <v>10312.030000000001</v>
      </c>
      <c r="J1043" s="144">
        <f t="shared" si="50"/>
        <v>4</v>
      </c>
      <c r="K1043" s="155">
        <v>1.4833299999999999E-3</v>
      </c>
      <c r="L1043" s="154">
        <f t="shared" si="48"/>
        <v>61.18</v>
      </c>
      <c r="M1043" s="154">
        <f t="shared" si="49"/>
        <v>183.55</v>
      </c>
      <c r="N1043" s="168" t="e">
        <f>VLOOKUP(C1043,#REF!,4)</f>
        <v>#REF!</v>
      </c>
      <c r="P1043" s="164"/>
      <c r="Q1043" s="164"/>
      <c r="R1043" s="165"/>
    </row>
    <row r="1044" spans="1:18">
      <c r="A1044" s="161" t="s">
        <v>626</v>
      </c>
      <c r="B1044" s="160" t="s">
        <v>2054</v>
      </c>
      <c r="C1044" s="160" t="s">
        <v>2055</v>
      </c>
      <c r="D1044" s="161" t="s">
        <v>2056</v>
      </c>
      <c r="E1044" s="160" t="s">
        <v>156</v>
      </c>
      <c r="F1044" s="161" t="s">
        <v>26</v>
      </c>
      <c r="G1044" s="160" t="s">
        <v>20</v>
      </c>
      <c r="H1044" s="103">
        <v>201607</v>
      </c>
      <c r="I1044" s="154">
        <v>10349.68</v>
      </c>
      <c r="J1044" s="144">
        <f t="shared" si="50"/>
        <v>4</v>
      </c>
      <c r="K1044" s="155">
        <v>1.4833299999999999E-3</v>
      </c>
      <c r="L1044" s="154">
        <f t="shared" si="48"/>
        <v>61.41</v>
      </c>
      <c r="M1044" s="154">
        <f t="shared" si="49"/>
        <v>184.22</v>
      </c>
      <c r="N1044" s="168" t="e">
        <f>VLOOKUP(C1044,#REF!,4)</f>
        <v>#REF!</v>
      </c>
      <c r="P1044" s="164"/>
      <c r="Q1044" s="164"/>
      <c r="R1044" s="165"/>
    </row>
    <row r="1045" spans="1:18">
      <c r="A1045" s="161" t="s">
        <v>626</v>
      </c>
      <c r="B1045" s="160" t="s">
        <v>1681</v>
      </c>
      <c r="C1045" s="160" t="s">
        <v>2113</v>
      </c>
      <c r="D1045" s="161" t="s">
        <v>2114</v>
      </c>
      <c r="E1045" s="160" t="s">
        <v>87</v>
      </c>
      <c r="F1045" s="161" t="s">
        <v>1603</v>
      </c>
      <c r="G1045" s="160" t="s">
        <v>20</v>
      </c>
      <c r="H1045" s="103">
        <v>201607</v>
      </c>
      <c r="I1045" s="154">
        <v>11039.77</v>
      </c>
      <c r="J1045" s="144">
        <f t="shared" si="50"/>
        <v>4</v>
      </c>
      <c r="K1045" s="155">
        <v>1.4833299999999999E-3</v>
      </c>
      <c r="L1045" s="154">
        <f t="shared" si="48"/>
        <v>65.5</v>
      </c>
      <c r="M1045" s="154">
        <f t="shared" si="49"/>
        <v>196.51</v>
      </c>
      <c r="N1045" s="168" t="e">
        <f>VLOOKUP(C1045,#REF!,4)</f>
        <v>#REF!</v>
      </c>
      <c r="P1045" s="164"/>
      <c r="Q1045" s="164"/>
      <c r="R1045" s="165"/>
    </row>
    <row r="1046" spans="1:18">
      <c r="A1046" s="161" t="s">
        <v>626</v>
      </c>
      <c r="B1046" s="160" t="s">
        <v>2060</v>
      </c>
      <c r="C1046" s="160" t="s">
        <v>2061</v>
      </c>
      <c r="D1046" s="161" t="s">
        <v>2062</v>
      </c>
      <c r="E1046" s="160" t="s">
        <v>156</v>
      </c>
      <c r="F1046" s="161" t="s">
        <v>26</v>
      </c>
      <c r="G1046" s="160" t="s">
        <v>20</v>
      </c>
      <c r="H1046" s="103">
        <v>201607</v>
      </c>
      <c r="I1046" s="154">
        <v>11294.65</v>
      </c>
      <c r="J1046" s="144">
        <f t="shared" si="50"/>
        <v>4</v>
      </c>
      <c r="K1046" s="155">
        <v>1.4833299999999999E-3</v>
      </c>
      <c r="L1046" s="154">
        <f t="shared" si="48"/>
        <v>67.010000000000005</v>
      </c>
      <c r="M1046" s="154">
        <f t="shared" si="49"/>
        <v>201.04</v>
      </c>
      <c r="N1046" s="168" t="e">
        <f>VLOOKUP(C1046,#REF!,4)</f>
        <v>#REF!</v>
      </c>
      <c r="P1046" s="164"/>
      <c r="Q1046" s="164"/>
      <c r="R1046" s="165"/>
    </row>
    <row r="1047" spans="1:18">
      <c r="A1047" s="161" t="s">
        <v>626</v>
      </c>
      <c r="B1047" s="160" t="s">
        <v>1945</v>
      </c>
      <c r="C1047" s="160" t="s">
        <v>1946</v>
      </c>
      <c r="D1047" s="161" t="s">
        <v>1947</v>
      </c>
      <c r="E1047" s="160" t="s">
        <v>93</v>
      </c>
      <c r="F1047" s="161" t="s">
        <v>1601</v>
      </c>
      <c r="G1047" s="160" t="s">
        <v>20</v>
      </c>
      <c r="H1047" s="103">
        <v>201607</v>
      </c>
      <c r="I1047" s="154">
        <v>12745.18</v>
      </c>
      <c r="J1047" s="144">
        <f t="shared" si="50"/>
        <v>4</v>
      </c>
      <c r="K1047" s="155">
        <v>1.4833299999999999E-3</v>
      </c>
      <c r="L1047" s="154">
        <f t="shared" si="48"/>
        <v>75.62</v>
      </c>
      <c r="M1047" s="154">
        <f t="shared" si="49"/>
        <v>226.86</v>
      </c>
      <c r="N1047" s="168" t="e">
        <f>VLOOKUP(C1047,#REF!,4)</f>
        <v>#REF!</v>
      </c>
      <c r="P1047" s="164"/>
      <c r="Q1047" s="164"/>
      <c r="R1047" s="165"/>
    </row>
    <row r="1048" spans="1:18">
      <c r="A1048" s="161" t="s">
        <v>626</v>
      </c>
      <c r="B1048" s="160" t="s">
        <v>1681</v>
      </c>
      <c r="C1048" s="160" t="s">
        <v>2071</v>
      </c>
      <c r="D1048" s="161" t="s">
        <v>2072</v>
      </c>
      <c r="E1048" s="160" t="s">
        <v>260</v>
      </c>
      <c r="F1048" s="161" t="s">
        <v>1608</v>
      </c>
      <c r="G1048" s="160" t="s">
        <v>20</v>
      </c>
      <c r="H1048" s="103">
        <v>201607</v>
      </c>
      <c r="I1048" s="154">
        <v>14406.34</v>
      </c>
      <c r="J1048" s="144">
        <f t="shared" si="50"/>
        <v>4</v>
      </c>
      <c r="K1048" s="155">
        <v>1.4833299999999999E-3</v>
      </c>
      <c r="L1048" s="154">
        <f t="shared" si="48"/>
        <v>85.48</v>
      </c>
      <c r="M1048" s="154">
        <f t="shared" si="49"/>
        <v>256.43</v>
      </c>
      <c r="N1048" s="168" t="e">
        <f>VLOOKUP(C1048,#REF!,4)</f>
        <v>#REF!</v>
      </c>
      <c r="P1048" s="164"/>
      <c r="Q1048" s="164"/>
      <c r="R1048" s="165"/>
    </row>
    <row r="1049" spans="1:18">
      <c r="A1049" s="161" t="s">
        <v>626</v>
      </c>
      <c r="B1049" s="160" t="s">
        <v>1681</v>
      </c>
      <c r="C1049" s="160" t="s">
        <v>2081</v>
      </c>
      <c r="D1049" s="161" t="s">
        <v>2082</v>
      </c>
      <c r="E1049" s="160" t="s">
        <v>75</v>
      </c>
      <c r="F1049" s="161" t="s">
        <v>1602</v>
      </c>
      <c r="G1049" s="160" t="s">
        <v>20</v>
      </c>
      <c r="H1049" s="103">
        <v>201607</v>
      </c>
      <c r="I1049" s="154">
        <v>16648.689999999999</v>
      </c>
      <c r="J1049" s="144">
        <f t="shared" si="50"/>
        <v>4</v>
      </c>
      <c r="K1049" s="155">
        <v>1.4833299999999999E-3</v>
      </c>
      <c r="L1049" s="154">
        <f t="shared" si="48"/>
        <v>98.78</v>
      </c>
      <c r="M1049" s="154">
        <f t="shared" si="49"/>
        <v>296.35000000000002</v>
      </c>
      <c r="N1049" s="168" t="e">
        <f>VLOOKUP(C1049,#REF!,4)</f>
        <v>#REF!</v>
      </c>
      <c r="P1049" s="164"/>
      <c r="Q1049" s="164"/>
      <c r="R1049" s="165"/>
    </row>
    <row r="1050" spans="1:18">
      <c r="A1050" s="161" t="s">
        <v>990</v>
      </c>
      <c r="B1050" s="160" t="s">
        <v>1000</v>
      </c>
      <c r="C1050" s="160" t="s">
        <v>1001</v>
      </c>
      <c r="D1050" s="161" t="s">
        <v>1672</v>
      </c>
      <c r="E1050" s="160" t="s">
        <v>1002</v>
      </c>
      <c r="F1050" s="161" t="s">
        <v>1604</v>
      </c>
      <c r="G1050" s="160" t="s">
        <v>20</v>
      </c>
      <c r="H1050" s="103">
        <v>201607</v>
      </c>
      <c r="I1050" s="154">
        <v>16985.099999999999</v>
      </c>
      <c r="J1050" s="144">
        <f t="shared" si="50"/>
        <v>4</v>
      </c>
      <c r="K1050" s="155">
        <v>2.3833299999999999E-3</v>
      </c>
      <c r="L1050" s="154">
        <f t="shared" si="48"/>
        <v>161.91999999999999</v>
      </c>
      <c r="M1050" s="154">
        <f t="shared" si="49"/>
        <v>485.77</v>
      </c>
      <c r="N1050" s="168" t="e">
        <f>VLOOKUP(C1050,#REF!,4)</f>
        <v>#REF!</v>
      </c>
      <c r="P1050" s="164"/>
      <c r="Q1050" s="164"/>
      <c r="R1050" s="165"/>
    </row>
    <row r="1051" spans="1:18">
      <c r="A1051" s="161" t="s">
        <v>626</v>
      </c>
      <c r="B1051" s="160" t="s">
        <v>1978</v>
      </c>
      <c r="C1051" s="160" t="s">
        <v>1979</v>
      </c>
      <c r="D1051" s="161" t="s">
        <v>1980</v>
      </c>
      <c r="E1051" s="160" t="s">
        <v>75</v>
      </c>
      <c r="F1051" s="161" t="s">
        <v>1602</v>
      </c>
      <c r="G1051" s="160" t="s">
        <v>20</v>
      </c>
      <c r="H1051" s="103">
        <v>201607</v>
      </c>
      <c r="I1051" s="154">
        <v>19870.400000000001</v>
      </c>
      <c r="J1051" s="144">
        <f t="shared" si="50"/>
        <v>4</v>
      </c>
      <c r="K1051" s="155">
        <v>1.4833299999999999E-3</v>
      </c>
      <c r="L1051" s="154">
        <f t="shared" si="48"/>
        <v>117.9</v>
      </c>
      <c r="M1051" s="154">
        <f t="shared" si="49"/>
        <v>353.69</v>
      </c>
      <c r="N1051" s="168" t="e">
        <f>VLOOKUP(C1051,#REF!,4)</f>
        <v>#REF!</v>
      </c>
      <c r="P1051" s="164"/>
      <c r="Q1051" s="164"/>
      <c r="R1051" s="165"/>
    </row>
    <row r="1052" spans="1:18">
      <c r="A1052" s="161" t="s">
        <v>626</v>
      </c>
      <c r="B1052" s="160" t="s">
        <v>1681</v>
      </c>
      <c r="C1052" s="160" t="s">
        <v>2111</v>
      </c>
      <c r="D1052" s="161" t="s">
        <v>2112</v>
      </c>
      <c r="E1052" s="160" t="s">
        <v>164</v>
      </c>
      <c r="F1052" s="161" t="s">
        <v>1600</v>
      </c>
      <c r="G1052" s="160" t="s">
        <v>20</v>
      </c>
      <c r="H1052" s="103">
        <v>201607</v>
      </c>
      <c r="I1052" s="154">
        <v>30143.63</v>
      </c>
      <c r="J1052" s="144">
        <f t="shared" si="50"/>
        <v>4</v>
      </c>
      <c r="K1052" s="155">
        <v>1.4833299999999999E-3</v>
      </c>
      <c r="L1052" s="154">
        <f t="shared" si="48"/>
        <v>178.85</v>
      </c>
      <c r="M1052" s="154">
        <f t="shared" si="49"/>
        <v>536.55999999999995</v>
      </c>
      <c r="N1052" s="168" t="e">
        <f>VLOOKUP(C1052,#REF!,4)</f>
        <v>#REF!</v>
      </c>
      <c r="P1052" s="164"/>
      <c r="Q1052" s="164"/>
      <c r="R1052" s="165"/>
    </row>
    <row r="1053" spans="1:18">
      <c r="A1053" s="161" t="s">
        <v>626</v>
      </c>
      <c r="B1053" s="160" t="s">
        <v>1681</v>
      </c>
      <c r="C1053" s="160" t="s">
        <v>2105</v>
      </c>
      <c r="D1053" s="161" t="s">
        <v>2106</v>
      </c>
      <c r="E1053" s="160" t="s">
        <v>75</v>
      </c>
      <c r="F1053" s="161" t="s">
        <v>1602</v>
      </c>
      <c r="G1053" s="160" t="s">
        <v>20</v>
      </c>
      <c r="H1053" s="103">
        <v>201607</v>
      </c>
      <c r="I1053" s="154">
        <v>32571.17</v>
      </c>
      <c r="J1053" s="144">
        <f t="shared" si="50"/>
        <v>4</v>
      </c>
      <c r="K1053" s="155">
        <v>1.4833299999999999E-3</v>
      </c>
      <c r="L1053" s="154">
        <f t="shared" si="48"/>
        <v>193.26</v>
      </c>
      <c r="M1053" s="154">
        <f t="shared" si="49"/>
        <v>579.77</v>
      </c>
      <c r="N1053" s="168" t="e">
        <f>VLOOKUP(C1053,#REF!,4)</f>
        <v>#REF!</v>
      </c>
      <c r="P1053" s="164"/>
      <c r="Q1053" s="164"/>
      <c r="R1053" s="165"/>
    </row>
    <row r="1054" spans="1:18">
      <c r="A1054" s="161" t="s">
        <v>14</v>
      </c>
      <c r="B1054" s="160" t="s">
        <v>292</v>
      </c>
      <c r="C1054" s="160" t="s">
        <v>293</v>
      </c>
      <c r="D1054" s="161" t="s">
        <v>1679</v>
      </c>
      <c r="E1054" s="160" t="s">
        <v>294</v>
      </c>
      <c r="F1054" s="161" t="s">
        <v>1613</v>
      </c>
      <c r="G1054" s="160" t="s">
        <v>20</v>
      </c>
      <c r="H1054" s="103">
        <v>201607</v>
      </c>
      <c r="I1054" s="154">
        <v>45031.58</v>
      </c>
      <c r="J1054" s="144">
        <f t="shared" si="50"/>
        <v>4</v>
      </c>
      <c r="K1054" s="155">
        <v>2.23333E-3</v>
      </c>
      <c r="L1054" s="154">
        <f t="shared" si="48"/>
        <v>402.28</v>
      </c>
      <c r="M1054" s="154">
        <f t="shared" si="49"/>
        <v>1206.8399999999999</v>
      </c>
      <c r="N1054" s="168" t="e">
        <f>VLOOKUP(C1054,#REF!,4)</f>
        <v>#REF!</v>
      </c>
      <c r="P1054" s="164"/>
      <c r="Q1054" s="164"/>
      <c r="R1054" s="165"/>
    </row>
    <row r="1055" spans="1:18">
      <c r="A1055" s="161" t="s">
        <v>990</v>
      </c>
      <c r="B1055" s="160" t="s">
        <v>1003</v>
      </c>
      <c r="C1055" s="160" t="s">
        <v>1004</v>
      </c>
      <c r="D1055" s="161" t="s">
        <v>1673</v>
      </c>
      <c r="E1055" s="160" t="s">
        <v>1006</v>
      </c>
      <c r="F1055" s="161" t="s">
        <v>1606</v>
      </c>
      <c r="G1055" s="160" t="s">
        <v>20</v>
      </c>
      <c r="H1055" s="103">
        <v>201607</v>
      </c>
      <c r="I1055" s="154">
        <v>51963.99</v>
      </c>
      <c r="J1055" s="144">
        <f t="shared" si="50"/>
        <v>4</v>
      </c>
      <c r="K1055" s="155">
        <v>2.3833299999999999E-3</v>
      </c>
      <c r="L1055" s="154">
        <f t="shared" si="48"/>
        <v>495.39</v>
      </c>
      <c r="M1055" s="154">
        <f t="shared" si="49"/>
        <v>1486.17</v>
      </c>
      <c r="N1055" s="168" t="e">
        <f>VLOOKUP(C1055,#REF!,4)</f>
        <v>#REF!</v>
      </c>
      <c r="P1055" s="164"/>
      <c r="Q1055" s="164"/>
      <c r="R1055" s="165"/>
    </row>
    <row r="1056" spans="1:18">
      <c r="A1056" s="161" t="s">
        <v>626</v>
      </c>
      <c r="B1056" s="160" t="s">
        <v>1681</v>
      </c>
      <c r="C1056" s="160" t="s">
        <v>1703</v>
      </c>
      <c r="D1056" s="161" t="s">
        <v>1704</v>
      </c>
      <c r="E1056" s="160" t="s">
        <v>164</v>
      </c>
      <c r="F1056" s="161" t="s">
        <v>1600</v>
      </c>
      <c r="G1056" s="160" t="s">
        <v>20</v>
      </c>
      <c r="H1056" s="103">
        <v>201607</v>
      </c>
      <c r="I1056" s="154">
        <v>73537.679999999993</v>
      </c>
      <c r="J1056" s="144">
        <f t="shared" si="50"/>
        <v>4</v>
      </c>
      <c r="K1056" s="155">
        <v>1.4833299999999999E-3</v>
      </c>
      <c r="L1056" s="154">
        <f t="shared" si="48"/>
        <v>436.32</v>
      </c>
      <c r="M1056" s="154">
        <f t="shared" si="49"/>
        <v>1308.97</v>
      </c>
      <c r="N1056" s="168" t="e">
        <f>VLOOKUP(C1056,#REF!,4)</f>
        <v>#REF!</v>
      </c>
      <c r="P1056" s="164"/>
      <c r="Q1056" s="164"/>
      <c r="R1056" s="165"/>
    </row>
    <row r="1057" spans="1:18">
      <c r="A1057" s="161" t="s">
        <v>554</v>
      </c>
      <c r="B1057" s="160" t="s">
        <v>116</v>
      </c>
      <c r="C1057" s="160" t="s">
        <v>117</v>
      </c>
      <c r="D1057" s="161" t="s">
        <v>118</v>
      </c>
      <c r="E1057" s="160" t="s">
        <v>119</v>
      </c>
      <c r="F1057" s="161" t="s">
        <v>1605</v>
      </c>
      <c r="G1057" s="160" t="s">
        <v>20</v>
      </c>
      <c r="H1057" s="103">
        <v>201607</v>
      </c>
      <c r="I1057" s="154">
        <v>80607.34</v>
      </c>
      <c r="J1057" s="144">
        <f t="shared" si="50"/>
        <v>4</v>
      </c>
      <c r="K1057" s="155">
        <v>1.4833299999999999E-3</v>
      </c>
      <c r="L1057" s="154">
        <f t="shared" si="48"/>
        <v>478.27</v>
      </c>
      <c r="M1057" s="154">
        <f t="shared" si="49"/>
        <v>1434.81</v>
      </c>
      <c r="N1057" s="168" t="e">
        <f>VLOOKUP(C1057,#REF!,4)</f>
        <v>#REF!</v>
      </c>
      <c r="P1057" s="164"/>
      <c r="Q1057" s="164"/>
      <c r="R1057" s="165"/>
    </row>
    <row r="1058" spans="1:18">
      <c r="A1058" s="161" t="s">
        <v>626</v>
      </c>
      <c r="B1058" s="160" t="s">
        <v>2115</v>
      </c>
      <c r="C1058" s="160" t="s">
        <v>2116</v>
      </c>
      <c r="D1058" s="161" t="s">
        <v>1338</v>
      </c>
      <c r="E1058" s="160" t="s">
        <v>75</v>
      </c>
      <c r="F1058" s="161" t="s">
        <v>1602</v>
      </c>
      <c r="G1058" s="160" t="s">
        <v>20</v>
      </c>
      <c r="H1058" s="103">
        <v>201607</v>
      </c>
      <c r="I1058" s="154">
        <v>109674.19</v>
      </c>
      <c r="J1058" s="144">
        <f t="shared" si="50"/>
        <v>4</v>
      </c>
      <c r="K1058" s="155">
        <v>1.4833299999999999E-3</v>
      </c>
      <c r="L1058" s="154">
        <f t="shared" si="48"/>
        <v>650.73</v>
      </c>
      <c r="M1058" s="154">
        <f t="shared" si="49"/>
        <v>1952.2</v>
      </c>
      <c r="N1058" s="168" t="e">
        <f>VLOOKUP(C1058,#REF!,4)</f>
        <v>#REF!</v>
      </c>
      <c r="P1058" s="164"/>
      <c r="Q1058" s="164"/>
      <c r="R1058" s="165"/>
    </row>
    <row r="1059" spans="1:18">
      <c r="A1059" s="161" t="s">
        <v>626</v>
      </c>
      <c r="B1059" s="160" t="s">
        <v>2117</v>
      </c>
      <c r="C1059" s="160" t="s">
        <v>2118</v>
      </c>
      <c r="D1059" s="161" t="s">
        <v>2119</v>
      </c>
      <c r="E1059" s="160" t="s">
        <v>75</v>
      </c>
      <c r="F1059" s="161" t="s">
        <v>1602</v>
      </c>
      <c r="G1059" s="160" t="s">
        <v>20</v>
      </c>
      <c r="H1059" s="103">
        <v>201607</v>
      </c>
      <c r="I1059" s="154">
        <v>127639.27</v>
      </c>
      <c r="J1059" s="144">
        <f t="shared" si="50"/>
        <v>4</v>
      </c>
      <c r="K1059" s="155">
        <v>1.4833299999999999E-3</v>
      </c>
      <c r="L1059" s="154">
        <f t="shared" si="48"/>
        <v>757.32</v>
      </c>
      <c r="M1059" s="154">
        <f t="shared" si="49"/>
        <v>2271.9699999999998</v>
      </c>
      <c r="N1059" s="168" t="e">
        <f>VLOOKUP(C1059,#REF!,4)</f>
        <v>#REF!</v>
      </c>
      <c r="P1059" s="164"/>
      <c r="Q1059" s="164"/>
      <c r="R1059" s="165"/>
    </row>
    <row r="1060" spans="1:18">
      <c r="A1060" s="151" t="s">
        <v>14</v>
      </c>
      <c r="B1060" s="152" t="s">
        <v>236</v>
      </c>
      <c r="C1060" s="152" t="s">
        <v>237</v>
      </c>
      <c r="D1060" s="151" t="s">
        <v>188</v>
      </c>
      <c r="E1060" s="152" t="s">
        <v>238</v>
      </c>
      <c r="F1060" s="151" t="s">
        <v>190</v>
      </c>
      <c r="G1060" s="152" t="s">
        <v>20</v>
      </c>
      <c r="H1060" s="153">
        <v>201607</v>
      </c>
      <c r="I1060" s="154">
        <v>128340.31</v>
      </c>
      <c r="J1060" s="144">
        <f t="shared" si="50"/>
        <v>4</v>
      </c>
      <c r="K1060" s="155">
        <v>2.23333E-3</v>
      </c>
      <c r="L1060" s="154">
        <f t="shared" si="48"/>
        <v>1146.51</v>
      </c>
      <c r="M1060" s="154">
        <f t="shared" si="49"/>
        <v>3439.52</v>
      </c>
      <c r="N1060" s="168" t="e">
        <f>VLOOKUP(C1060,#REF!,4)</f>
        <v>#REF!</v>
      </c>
      <c r="P1060" s="164"/>
      <c r="Q1060" s="164"/>
      <c r="R1060" s="165"/>
    </row>
    <row r="1061" spans="1:18">
      <c r="A1061" s="151" t="s">
        <v>14</v>
      </c>
      <c r="B1061" s="152" t="s">
        <v>195</v>
      </c>
      <c r="C1061" s="152" t="s">
        <v>196</v>
      </c>
      <c r="D1061" s="151" t="s">
        <v>1674</v>
      </c>
      <c r="E1061" s="152" t="s">
        <v>198</v>
      </c>
      <c r="F1061" s="151" t="s">
        <v>1610</v>
      </c>
      <c r="G1061" s="152" t="s">
        <v>20</v>
      </c>
      <c r="H1061" s="153">
        <v>201607</v>
      </c>
      <c r="I1061" s="154">
        <v>268543.59000000003</v>
      </c>
      <c r="J1061" s="144">
        <f t="shared" si="50"/>
        <v>4</v>
      </c>
      <c r="K1061" s="155">
        <v>2.23333E-3</v>
      </c>
      <c r="L1061" s="154">
        <f t="shared" si="48"/>
        <v>2398.9899999999998</v>
      </c>
      <c r="M1061" s="154">
        <f t="shared" si="49"/>
        <v>7196.96</v>
      </c>
      <c r="N1061" s="168" t="e">
        <f>VLOOKUP(C1061,#REF!,4)</f>
        <v>#REF!</v>
      </c>
      <c r="P1061" s="164"/>
      <c r="Q1061" s="164"/>
      <c r="R1061" s="165"/>
    </row>
    <row r="1062" spans="1:18">
      <c r="K1062" s="166"/>
    </row>
    <row r="1063" spans="1:18" ht="12.75">
      <c r="I1063" s="167">
        <f>SUM(I5:I1062)</f>
        <v>11291271.330000009</v>
      </c>
      <c r="L1063" s="167">
        <f>SUM(L5:L1062)</f>
        <v>117543.74999999997</v>
      </c>
      <c r="M1063" s="167">
        <f>SUM(M5:M1062)</f>
        <v>232168.82000000015</v>
      </c>
    </row>
    <row r="1064" spans="1:18">
      <c r="I1064" s="165">
        <v>4285410.04</v>
      </c>
    </row>
    <row r="1065" spans="1:18">
      <c r="I1065" s="165">
        <f>+I1063+I1064</f>
        <v>15576681.370000008</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472"/>
  <sheetViews>
    <sheetView topLeftCell="C429" zoomScale="80" zoomScaleNormal="80" workbookViewId="0">
      <selection activeCell="J319" sqref="J319:K470"/>
    </sheetView>
  </sheetViews>
  <sheetFormatPr defaultRowHeight="15"/>
  <cols>
    <col min="1" max="1" width="37" customWidth="1"/>
    <col min="2" max="2" width="17.28515625" customWidth="1"/>
    <col min="3" max="3" width="13.7109375" customWidth="1"/>
    <col min="4" max="4" width="34.5703125" customWidth="1"/>
    <col min="5" max="5" width="8.7109375" customWidth="1"/>
    <col min="6" max="6" width="36.5703125" customWidth="1"/>
    <col min="7" max="7" width="14.140625" customWidth="1"/>
    <col min="8" max="8" width="9.28515625" customWidth="1"/>
    <col min="9" max="15" width="14.85546875" customWidth="1"/>
    <col min="18" max="18" width="12.140625" bestFit="1" customWidth="1"/>
  </cols>
  <sheetData>
    <row r="1" spans="1:21">
      <c r="A1" s="51" t="s">
        <v>0</v>
      </c>
      <c r="J1" s="447" t="s">
        <v>1</v>
      </c>
      <c r="K1" s="55">
        <v>42856</v>
      </c>
      <c r="L1" s="450" t="s">
        <v>2</v>
      </c>
      <c r="M1" s="450" t="s">
        <v>2455</v>
      </c>
      <c r="N1" s="441">
        <v>2017</v>
      </c>
      <c r="O1" s="442"/>
    </row>
    <row r="2" spans="1:21">
      <c r="A2" s="51" t="s">
        <v>2426</v>
      </c>
      <c r="J2" s="448"/>
      <c r="K2" s="453" t="s">
        <v>3</v>
      </c>
      <c r="L2" s="451"/>
      <c r="M2" s="451"/>
      <c r="N2" s="443" t="s">
        <v>4</v>
      </c>
      <c r="O2" s="445" t="s">
        <v>5</v>
      </c>
    </row>
    <row r="3" spans="1:21" ht="15.75" thickBot="1">
      <c r="J3" s="449"/>
      <c r="K3" s="454"/>
      <c r="L3" s="452"/>
      <c r="M3" s="452"/>
      <c r="N3" s="444"/>
      <c r="O3" s="446"/>
    </row>
    <row r="4" spans="1:21" ht="30">
      <c r="A4" s="138" t="s">
        <v>6</v>
      </c>
      <c r="B4" s="139" t="s">
        <v>7</v>
      </c>
      <c r="C4" s="139" t="s">
        <v>8</v>
      </c>
      <c r="D4" s="138" t="s">
        <v>9</v>
      </c>
      <c r="E4" s="139" t="s">
        <v>10</v>
      </c>
      <c r="F4" s="138" t="s">
        <v>11</v>
      </c>
      <c r="G4" s="140" t="s">
        <v>12</v>
      </c>
      <c r="H4" s="139" t="s">
        <v>1</v>
      </c>
      <c r="I4" s="141" t="s">
        <v>13</v>
      </c>
      <c r="J4" s="436"/>
      <c r="K4" s="437"/>
      <c r="L4" s="437"/>
      <c r="M4" s="437"/>
      <c r="N4" s="60"/>
      <c r="O4" s="61">
        <v>0.51880000000000004</v>
      </c>
    </row>
    <row r="5" spans="1:21">
      <c r="A5" s="102" t="s">
        <v>14</v>
      </c>
      <c r="B5" s="103" t="s">
        <v>30</v>
      </c>
      <c r="C5" s="103" t="s">
        <v>31</v>
      </c>
      <c r="D5" s="102" t="s">
        <v>32</v>
      </c>
      <c r="E5" s="103" t="s">
        <v>33</v>
      </c>
      <c r="F5" s="102" t="s">
        <v>34</v>
      </c>
      <c r="G5" s="103" t="s">
        <v>20</v>
      </c>
      <c r="H5" s="103">
        <v>201611</v>
      </c>
      <c r="I5" s="104">
        <v>5755.05</v>
      </c>
      <c r="J5" s="297">
        <v>42675</v>
      </c>
      <c r="K5" s="67">
        <f t="shared" ref="K5:K67" si="0">((YEAR($K$1)-YEAR(J5))*12+MONTH($K$1)-MONTH(J5))</f>
        <v>6</v>
      </c>
      <c r="L5" s="148">
        <v>2.23333E-3</v>
      </c>
      <c r="M5" s="104">
        <f t="shared" ref="M5:M67" si="1">L5*K5*I5</f>
        <v>77.117554898999998</v>
      </c>
      <c r="O5" s="66">
        <f>($O$4*I5*$R$11)</f>
        <v>1741.6699650000003</v>
      </c>
      <c r="R5" s="73" t="s">
        <v>27</v>
      </c>
      <c r="S5" s="438" t="s">
        <v>28</v>
      </c>
      <c r="T5" s="439"/>
      <c r="U5" s="440"/>
    </row>
    <row r="6" spans="1:21">
      <c r="A6" s="102" t="s">
        <v>554</v>
      </c>
      <c r="B6" s="103" t="s">
        <v>116</v>
      </c>
      <c r="C6" s="103" t="s">
        <v>117</v>
      </c>
      <c r="D6" s="102" t="s">
        <v>118</v>
      </c>
      <c r="E6" s="103" t="s">
        <v>119</v>
      </c>
      <c r="F6" s="102" t="s">
        <v>1605</v>
      </c>
      <c r="G6" s="103" t="s">
        <v>20</v>
      </c>
      <c r="H6" s="103">
        <v>201611</v>
      </c>
      <c r="I6" s="104">
        <v>244437.36</v>
      </c>
      <c r="J6" s="297">
        <f t="shared" ref="J6:J69" si="2">+J5</f>
        <v>42675</v>
      </c>
      <c r="K6" s="67">
        <f t="shared" si="0"/>
        <v>6</v>
      </c>
      <c r="L6" s="148">
        <v>1.4833299999999999E-3</v>
      </c>
      <c r="M6" s="104">
        <f t="shared" si="1"/>
        <v>2175.4876152528</v>
      </c>
      <c r="O6" s="66">
        <f t="shared" ref="O6:O68" si="3">($O$4*I6*$R$11)</f>
        <v>73974.893048000013</v>
      </c>
      <c r="R6" s="74">
        <f>12/12</f>
        <v>1</v>
      </c>
      <c r="S6" s="75"/>
      <c r="T6" s="76" t="s">
        <v>35</v>
      </c>
      <c r="U6" s="77" t="s">
        <v>36</v>
      </c>
    </row>
    <row r="7" spans="1:21">
      <c r="A7" s="102" t="s">
        <v>14</v>
      </c>
      <c r="B7" s="103" t="s">
        <v>195</v>
      </c>
      <c r="C7" s="103" t="s">
        <v>196</v>
      </c>
      <c r="D7" s="102" t="s">
        <v>1674</v>
      </c>
      <c r="E7" s="103" t="s">
        <v>198</v>
      </c>
      <c r="F7" s="102" t="s">
        <v>1610</v>
      </c>
      <c r="G7" s="103" t="s">
        <v>20</v>
      </c>
      <c r="H7" s="103">
        <v>201611</v>
      </c>
      <c r="I7" s="104">
        <v>487210.4</v>
      </c>
      <c r="J7" s="297">
        <f t="shared" si="2"/>
        <v>42675</v>
      </c>
      <c r="K7" s="67">
        <f t="shared" si="0"/>
        <v>6</v>
      </c>
      <c r="L7" s="148">
        <v>2.23333E-3</v>
      </c>
      <c r="M7" s="104">
        <f t="shared" si="1"/>
        <v>6528.6096157920001</v>
      </c>
      <c r="O7" s="66">
        <f t="shared" si="3"/>
        <v>147446.1073866667</v>
      </c>
      <c r="R7" s="78">
        <f>1.5/12</f>
        <v>0.125</v>
      </c>
      <c r="S7" s="79" t="s">
        <v>42</v>
      </c>
      <c r="T7" s="80">
        <v>0.05</v>
      </c>
      <c r="U7" s="81">
        <v>3.7499999999999999E-2</v>
      </c>
    </row>
    <row r="8" spans="1:21">
      <c r="A8" s="102" t="s">
        <v>14</v>
      </c>
      <c r="B8" s="103" t="s">
        <v>200</v>
      </c>
      <c r="C8" s="103" t="s">
        <v>201</v>
      </c>
      <c r="D8" s="102" t="s">
        <v>1675</v>
      </c>
      <c r="E8" s="103" t="s">
        <v>202</v>
      </c>
      <c r="F8" s="102" t="s">
        <v>1611</v>
      </c>
      <c r="G8" s="103" t="s">
        <v>20</v>
      </c>
      <c r="H8" s="103">
        <v>201611</v>
      </c>
      <c r="I8" s="104">
        <v>68282.350000000006</v>
      </c>
      <c r="J8" s="297">
        <f t="shared" si="2"/>
        <v>42675</v>
      </c>
      <c r="K8" s="67">
        <f t="shared" si="0"/>
        <v>6</v>
      </c>
      <c r="L8" s="148">
        <v>2.23333E-3</v>
      </c>
      <c r="M8" s="104">
        <f t="shared" si="1"/>
        <v>914.98212435300002</v>
      </c>
      <c r="O8" s="66">
        <f t="shared" si="3"/>
        <v>20664.515188333338</v>
      </c>
      <c r="R8" s="78">
        <f>7.5/12</f>
        <v>0.625</v>
      </c>
      <c r="S8" s="79" t="s">
        <v>47</v>
      </c>
      <c r="T8" s="80">
        <v>9.5000000000000001E-2</v>
      </c>
      <c r="U8" s="81">
        <v>7.2190000000000004E-2</v>
      </c>
    </row>
    <row r="9" spans="1:21">
      <c r="A9" s="102" t="s">
        <v>14</v>
      </c>
      <c r="B9" s="103" t="s">
        <v>481</v>
      </c>
      <c r="C9" s="103" t="s">
        <v>482</v>
      </c>
      <c r="D9" s="102" t="s">
        <v>483</v>
      </c>
      <c r="E9" s="103" t="s">
        <v>484</v>
      </c>
      <c r="F9" s="102" t="s">
        <v>190</v>
      </c>
      <c r="G9" s="103" t="s">
        <v>20</v>
      </c>
      <c r="H9" s="103">
        <v>201611</v>
      </c>
      <c r="I9" s="104">
        <v>-11.35</v>
      </c>
      <c r="J9" s="297">
        <f t="shared" si="2"/>
        <v>42675</v>
      </c>
      <c r="K9" s="67">
        <f t="shared" si="0"/>
        <v>6</v>
      </c>
      <c r="L9" s="148">
        <v>2.23333E-3</v>
      </c>
      <c r="M9" s="104">
        <f t="shared" si="1"/>
        <v>-0.15208977299999998</v>
      </c>
      <c r="O9" s="66">
        <f t="shared" si="3"/>
        <v>-3.4348883333333338</v>
      </c>
      <c r="R9" s="78">
        <f>6.5/12</f>
        <v>0.54166666666666663</v>
      </c>
      <c r="S9" s="79" t="s">
        <v>53</v>
      </c>
      <c r="T9" s="80">
        <v>8.5500000000000007E-2</v>
      </c>
      <c r="U9" s="81">
        <v>6.6769999999999996E-2</v>
      </c>
    </row>
    <row r="10" spans="1:21">
      <c r="A10" s="102" t="s">
        <v>14</v>
      </c>
      <c r="B10" s="103" t="s">
        <v>236</v>
      </c>
      <c r="C10" s="103" t="s">
        <v>237</v>
      </c>
      <c r="D10" s="102" t="s">
        <v>188</v>
      </c>
      <c r="E10" s="103" t="s">
        <v>238</v>
      </c>
      <c r="F10" s="102" t="s">
        <v>190</v>
      </c>
      <c r="G10" s="103" t="s">
        <v>20</v>
      </c>
      <c r="H10" s="103">
        <v>201611</v>
      </c>
      <c r="I10" s="104">
        <v>126706.33</v>
      </c>
      <c r="J10" s="297">
        <f t="shared" si="2"/>
        <v>42675</v>
      </c>
      <c r="K10" s="67">
        <f t="shared" si="0"/>
        <v>6</v>
      </c>
      <c r="L10" s="148">
        <v>2.23333E-3</v>
      </c>
      <c r="M10" s="104">
        <f t="shared" si="1"/>
        <v>1697.8622878734</v>
      </c>
      <c r="O10" s="66">
        <f t="shared" si="3"/>
        <v>38345.559002333343</v>
      </c>
      <c r="R10" s="78">
        <f>5.5/12</f>
        <v>0.45833333333333331</v>
      </c>
      <c r="S10" s="79" t="s">
        <v>59</v>
      </c>
      <c r="T10" s="80">
        <v>7.6999999999999999E-2</v>
      </c>
      <c r="U10" s="81">
        <v>6.1769999999999999E-2</v>
      </c>
    </row>
    <row r="11" spans="1:21">
      <c r="A11" s="102" t="s">
        <v>14</v>
      </c>
      <c r="B11" s="103" t="s">
        <v>292</v>
      </c>
      <c r="C11" s="103" t="s">
        <v>293</v>
      </c>
      <c r="D11" s="102" t="s">
        <v>1679</v>
      </c>
      <c r="E11" s="103" t="s">
        <v>294</v>
      </c>
      <c r="F11" s="102" t="s">
        <v>1613</v>
      </c>
      <c r="G11" s="103" t="s">
        <v>20</v>
      </c>
      <c r="H11" s="103">
        <v>201611</v>
      </c>
      <c r="I11" s="104">
        <v>50506.33</v>
      </c>
      <c r="J11" s="297">
        <f t="shared" si="2"/>
        <v>42675</v>
      </c>
      <c r="K11" s="67">
        <f t="shared" si="0"/>
        <v>6</v>
      </c>
      <c r="L11" s="148">
        <v>2.23333E-3</v>
      </c>
      <c r="M11" s="104">
        <f t="shared" si="1"/>
        <v>676.78381187339994</v>
      </c>
      <c r="O11" s="66">
        <f t="shared" si="3"/>
        <v>15284.899002333335</v>
      </c>
      <c r="R11" s="78">
        <f>7/12</f>
        <v>0.58333333333333337</v>
      </c>
      <c r="S11" s="82"/>
      <c r="T11" s="83"/>
      <c r="U11" s="84"/>
    </row>
    <row r="12" spans="1:21">
      <c r="A12" s="102" t="s">
        <v>14</v>
      </c>
      <c r="B12" s="103" t="s">
        <v>419</v>
      </c>
      <c r="C12" s="103" t="s">
        <v>420</v>
      </c>
      <c r="D12" s="102" t="s">
        <v>50</v>
      </c>
      <c r="E12" s="103" t="s">
        <v>421</v>
      </c>
      <c r="F12" s="102" t="s">
        <v>52</v>
      </c>
      <c r="G12" s="103" t="s">
        <v>20</v>
      </c>
      <c r="H12" s="103">
        <v>201611</v>
      </c>
      <c r="I12" s="104">
        <v>-35.36</v>
      </c>
      <c r="J12" s="297">
        <f t="shared" si="2"/>
        <v>42675</v>
      </c>
      <c r="K12" s="67">
        <f t="shared" si="0"/>
        <v>6</v>
      </c>
      <c r="L12" s="148">
        <v>2.23333E-3</v>
      </c>
      <c r="M12" s="104">
        <f t="shared" si="1"/>
        <v>-0.47382329279999996</v>
      </c>
      <c r="O12" s="66">
        <f t="shared" si="3"/>
        <v>-10.701114666666669</v>
      </c>
    </row>
    <row r="13" spans="1:21">
      <c r="A13" s="102" t="s">
        <v>14</v>
      </c>
      <c r="B13" s="103" t="s">
        <v>325</v>
      </c>
      <c r="C13" s="103" t="s">
        <v>326</v>
      </c>
      <c r="D13" s="102" t="s">
        <v>327</v>
      </c>
      <c r="E13" s="103" t="s">
        <v>328</v>
      </c>
      <c r="F13" s="102" t="s">
        <v>58</v>
      </c>
      <c r="G13" s="103" t="s">
        <v>20</v>
      </c>
      <c r="H13" s="103">
        <v>201611</v>
      </c>
      <c r="I13" s="104">
        <v>365.01</v>
      </c>
      <c r="J13" s="297">
        <f t="shared" si="2"/>
        <v>42675</v>
      </c>
      <c r="K13" s="67">
        <f t="shared" si="0"/>
        <v>6</v>
      </c>
      <c r="L13" s="148">
        <v>2.23333E-3</v>
      </c>
      <c r="M13" s="104">
        <f t="shared" si="1"/>
        <v>4.8911266997999991</v>
      </c>
      <c r="O13" s="66">
        <f t="shared" si="3"/>
        <v>110.46419300000001</v>
      </c>
    </row>
    <row r="14" spans="1:21">
      <c r="A14" s="102" t="s">
        <v>626</v>
      </c>
      <c r="B14" s="103" t="s">
        <v>1681</v>
      </c>
      <c r="C14" s="103" t="s">
        <v>1703</v>
      </c>
      <c r="D14" s="102" t="s">
        <v>1704</v>
      </c>
      <c r="E14" s="103" t="s">
        <v>164</v>
      </c>
      <c r="F14" s="102" t="s">
        <v>1600</v>
      </c>
      <c r="G14" s="103" t="s">
        <v>20</v>
      </c>
      <c r="H14" s="103">
        <v>201611</v>
      </c>
      <c r="I14" s="104">
        <v>471.84</v>
      </c>
      <c r="J14" s="297">
        <f t="shared" si="2"/>
        <v>42675</v>
      </c>
      <c r="K14" s="67">
        <f t="shared" si="0"/>
        <v>6</v>
      </c>
      <c r="L14" s="155">
        <v>1.4833299999999999E-3</v>
      </c>
      <c r="M14" s="104">
        <f t="shared" si="1"/>
        <v>4.1993665631999999</v>
      </c>
      <c r="O14" s="66">
        <f t="shared" si="3"/>
        <v>142.794512</v>
      </c>
    </row>
    <row r="15" spans="1:21">
      <c r="A15" s="102" t="s">
        <v>626</v>
      </c>
      <c r="B15" s="103" t="s">
        <v>1681</v>
      </c>
      <c r="C15" s="103" t="s">
        <v>1705</v>
      </c>
      <c r="D15" s="102" t="s">
        <v>1706</v>
      </c>
      <c r="E15" s="103" t="s">
        <v>75</v>
      </c>
      <c r="F15" s="102" t="s">
        <v>1602</v>
      </c>
      <c r="G15" s="103" t="s">
        <v>20</v>
      </c>
      <c r="H15" s="103">
        <v>201611</v>
      </c>
      <c r="I15" s="104">
        <v>-5185.78</v>
      </c>
      <c r="J15" s="297">
        <f t="shared" si="2"/>
        <v>42675</v>
      </c>
      <c r="K15" s="67">
        <f t="shared" si="0"/>
        <v>6</v>
      </c>
      <c r="L15" s="155">
        <v>1.4833299999999999E-3</v>
      </c>
      <c r="M15" s="104">
        <f t="shared" si="1"/>
        <v>-46.1533382844</v>
      </c>
      <c r="O15" s="66">
        <f t="shared" si="3"/>
        <v>-1569.3898873333335</v>
      </c>
    </row>
    <row r="16" spans="1:21">
      <c r="A16" s="102" t="s">
        <v>626</v>
      </c>
      <c r="B16" s="103" t="s">
        <v>1681</v>
      </c>
      <c r="C16" s="103" t="s">
        <v>1707</v>
      </c>
      <c r="D16" s="102" t="s">
        <v>1708</v>
      </c>
      <c r="E16" s="103" t="s">
        <v>75</v>
      </c>
      <c r="F16" s="102" t="s">
        <v>1602</v>
      </c>
      <c r="G16" s="103" t="s">
        <v>20</v>
      </c>
      <c r="H16" s="103">
        <v>201611</v>
      </c>
      <c r="I16" s="104">
        <v>-6874.34</v>
      </c>
      <c r="J16" s="297">
        <f t="shared" si="2"/>
        <v>42675</v>
      </c>
      <c r="K16" s="67">
        <f t="shared" si="0"/>
        <v>6</v>
      </c>
      <c r="L16" s="155">
        <v>1.4833299999999999E-3</v>
      </c>
      <c r="M16" s="104">
        <f t="shared" si="1"/>
        <v>-61.181488513200001</v>
      </c>
      <c r="O16" s="66">
        <f t="shared" si="3"/>
        <v>-2080.4044286666672</v>
      </c>
    </row>
    <row r="17" spans="1:15">
      <c r="A17" s="102" t="s">
        <v>626</v>
      </c>
      <c r="B17" s="103" t="s">
        <v>2036</v>
      </c>
      <c r="C17" s="103" t="s">
        <v>2037</v>
      </c>
      <c r="D17" s="102" t="s">
        <v>2038</v>
      </c>
      <c r="E17" s="103" t="s">
        <v>160</v>
      </c>
      <c r="F17" s="102" t="s">
        <v>19</v>
      </c>
      <c r="G17" s="103" t="s">
        <v>20</v>
      </c>
      <c r="H17" s="103">
        <v>201611</v>
      </c>
      <c r="I17" s="104">
        <v>-1155.7</v>
      </c>
      <c r="J17" s="297">
        <f t="shared" si="2"/>
        <v>42675</v>
      </c>
      <c r="K17" s="67">
        <f t="shared" si="0"/>
        <v>6</v>
      </c>
      <c r="L17" s="155">
        <v>1.4833299999999999E-3</v>
      </c>
      <c r="M17" s="104">
        <f t="shared" si="1"/>
        <v>-10.285706886</v>
      </c>
      <c r="O17" s="66">
        <f t="shared" si="3"/>
        <v>-349.75334333333336</v>
      </c>
    </row>
    <row r="18" spans="1:15">
      <c r="A18" s="102" t="s">
        <v>626</v>
      </c>
      <c r="B18" s="103" t="s">
        <v>2042</v>
      </c>
      <c r="C18" s="103" t="s">
        <v>2043</v>
      </c>
      <c r="D18" s="102" t="s">
        <v>2044</v>
      </c>
      <c r="E18" s="103" t="s">
        <v>497</v>
      </c>
      <c r="F18" s="102" t="s">
        <v>26</v>
      </c>
      <c r="G18" s="103" t="s">
        <v>20</v>
      </c>
      <c r="H18" s="103">
        <v>201611</v>
      </c>
      <c r="I18" s="104">
        <v>-1904.41</v>
      </c>
      <c r="J18" s="297">
        <f t="shared" si="2"/>
        <v>42675</v>
      </c>
      <c r="K18" s="67">
        <f t="shared" si="0"/>
        <v>6</v>
      </c>
      <c r="L18" s="155">
        <v>1.4833299999999999E-3</v>
      </c>
      <c r="M18" s="104">
        <f t="shared" si="1"/>
        <v>-16.949210911800002</v>
      </c>
      <c r="O18" s="66">
        <f t="shared" si="3"/>
        <v>-576.33794633333343</v>
      </c>
    </row>
    <row r="19" spans="1:15">
      <c r="A19" s="102" t="s">
        <v>21</v>
      </c>
      <c r="B19" s="103" t="s">
        <v>1956</v>
      </c>
      <c r="C19" s="103" t="s">
        <v>1957</v>
      </c>
      <c r="D19" s="102" t="s">
        <v>2435</v>
      </c>
      <c r="E19" s="103" t="s">
        <v>75</v>
      </c>
      <c r="F19" s="102" t="s">
        <v>1602</v>
      </c>
      <c r="G19" s="103" t="s">
        <v>20</v>
      </c>
      <c r="H19" s="103">
        <v>201611</v>
      </c>
      <c r="I19" s="104">
        <v>43089</v>
      </c>
      <c r="J19" s="297">
        <f t="shared" si="2"/>
        <v>42675</v>
      </c>
      <c r="K19" s="67">
        <f t="shared" si="0"/>
        <v>6</v>
      </c>
      <c r="L19" s="155">
        <v>1.4833299999999999E-3</v>
      </c>
      <c r="M19" s="104">
        <f t="shared" si="1"/>
        <v>383.49123822000001</v>
      </c>
      <c r="O19" s="66">
        <f t="shared" si="3"/>
        <v>13040.167700000002</v>
      </c>
    </row>
    <row r="20" spans="1:15">
      <c r="A20" s="102" t="s">
        <v>626</v>
      </c>
      <c r="B20" s="103" t="s">
        <v>1918</v>
      </c>
      <c r="C20" s="103" t="s">
        <v>1919</v>
      </c>
      <c r="D20" s="102" t="s">
        <v>1920</v>
      </c>
      <c r="E20" s="103" t="s">
        <v>75</v>
      </c>
      <c r="F20" s="102" t="s">
        <v>1602</v>
      </c>
      <c r="G20" s="103" t="s">
        <v>20</v>
      </c>
      <c r="H20" s="103">
        <v>201611</v>
      </c>
      <c r="I20" s="104">
        <v>637.71</v>
      </c>
      <c r="J20" s="297">
        <f t="shared" si="2"/>
        <v>42675</v>
      </c>
      <c r="K20" s="67">
        <f t="shared" si="0"/>
        <v>6</v>
      </c>
      <c r="L20" s="155">
        <v>1.4833299999999999E-3</v>
      </c>
      <c r="M20" s="104">
        <f t="shared" si="1"/>
        <v>5.6756062458000001</v>
      </c>
      <c r="O20" s="66">
        <f t="shared" si="3"/>
        <v>192.99230300000005</v>
      </c>
    </row>
    <row r="21" spans="1:15">
      <c r="A21" s="102" t="s">
        <v>21</v>
      </c>
      <c r="B21" s="103" t="s">
        <v>1664</v>
      </c>
      <c r="C21" s="103" t="s">
        <v>1665</v>
      </c>
      <c r="D21" s="102" t="s">
        <v>1666</v>
      </c>
      <c r="E21" s="103" t="s">
        <v>87</v>
      </c>
      <c r="F21" s="102" t="s">
        <v>1603</v>
      </c>
      <c r="G21" s="103" t="s">
        <v>20</v>
      </c>
      <c r="H21" s="103">
        <v>201611</v>
      </c>
      <c r="I21" s="104">
        <v>32355.61</v>
      </c>
      <c r="J21" s="297">
        <f t="shared" si="2"/>
        <v>42675</v>
      </c>
      <c r="K21" s="67">
        <f t="shared" si="0"/>
        <v>6</v>
      </c>
      <c r="L21" s="155">
        <v>1.4833299999999999E-3</v>
      </c>
      <c r="M21" s="104">
        <f t="shared" si="1"/>
        <v>287.96428188779998</v>
      </c>
      <c r="O21" s="66">
        <f t="shared" si="3"/>
        <v>9791.8861063333352</v>
      </c>
    </row>
    <row r="22" spans="1:15">
      <c r="A22" s="102" t="s">
        <v>626</v>
      </c>
      <c r="B22" s="103" t="s">
        <v>2294</v>
      </c>
      <c r="C22" s="103" t="s">
        <v>2293</v>
      </c>
      <c r="D22" s="102" t="s">
        <v>2295</v>
      </c>
      <c r="E22" s="103" t="s">
        <v>75</v>
      </c>
      <c r="F22" s="102" t="s">
        <v>1602</v>
      </c>
      <c r="G22" s="103" t="s">
        <v>20</v>
      </c>
      <c r="H22" s="103">
        <v>201611</v>
      </c>
      <c r="I22" s="104">
        <v>-25.18</v>
      </c>
      <c r="J22" s="297">
        <f t="shared" si="2"/>
        <v>42675</v>
      </c>
      <c r="K22" s="67">
        <f t="shared" si="0"/>
        <v>6</v>
      </c>
      <c r="L22" s="155">
        <v>1.4833299999999999E-3</v>
      </c>
      <c r="M22" s="104">
        <f t="shared" si="1"/>
        <v>-0.22410149639999999</v>
      </c>
      <c r="O22" s="66">
        <f t="shared" si="3"/>
        <v>-7.6203073333333347</v>
      </c>
    </row>
    <row r="23" spans="1:15">
      <c r="A23" s="102" t="s">
        <v>1942</v>
      </c>
      <c r="B23" s="103" t="s">
        <v>1681</v>
      </c>
      <c r="C23" s="103" t="s">
        <v>1943</v>
      </c>
      <c r="D23" s="102" t="s">
        <v>1944</v>
      </c>
      <c r="E23" s="103" t="s">
        <v>202</v>
      </c>
      <c r="F23" s="102" t="s">
        <v>1611</v>
      </c>
      <c r="G23" s="103" t="s">
        <v>20</v>
      </c>
      <c r="H23" s="103">
        <v>201611</v>
      </c>
      <c r="I23" s="104">
        <v>-41.15</v>
      </c>
      <c r="J23" s="297">
        <f t="shared" si="2"/>
        <v>42675</v>
      </c>
      <c r="K23" s="67">
        <f t="shared" si="0"/>
        <v>6</v>
      </c>
      <c r="L23" s="155">
        <v>2.23333E-3</v>
      </c>
      <c r="M23" s="104">
        <f t="shared" si="1"/>
        <v>-0.55140917699999992</v>
      </c>
      <c r="O23" s="66">
        <f t="shared" si="3"/>
        <v>-12.453361666666668</v>
      </c>
    </row>
    <row r="24" spans="1:15">
      <c r="A24" s="102" t="s">
        <v>21</v>
      </c>
      <c r="B24" s="103" t="s">
        <v>2117</v>
      </c>
      <c r="C24" s="103" t="s">
        <v>2118</v>
      </c>
      <c r="D24" s="102" t="s">
        <v>2119</v>
      </c>
      <c r="E24" s="103" t="s">
        <v>75</v>
      </c>
      <c r="F24" s="102" t="s">
        <v>1602</v>
      </c>
      <c r="G24" s="103" t="s">
        <v>20</v>
      </c>
      <c r="H24" s="103">
        <v>201611</v>
      </c>
      <c r="I24" s="104">
        <v>24336.87</v>
      </c>
      <c r="J24" s="297">
        <f t="shared" si="2"/>
        <v>42675</v>
      </c>
      <c r="K24" s="67">
        <f t="shared" si="0"/>
        <v>6</v>
      </c>
      <c r="L24" s="155">
        <v>1.4833299999999999E-3</v>
      </c>
      <c r="M24" s="104">
        <f t="shared" si="1"/>
        <v>216.5976562626</v>
      </c>
      <c r="O24" s="66">
        <f t="shared" si="3"/>
        <v>7365.1480910000009</v>
      </c>
    </row>
    <row r="25" spans="1:15">
      <c r="A25" s="102" t="s">
        <v>626</v>
      </c>
      <c r="B25" s="103" t="s">
        <v>2117</v>
      </c>
      <c r="C25" s="103" t="s">
        <v>2118</v>
      </c>
      <c r="D25" s="102" t="s">
        <v>2119</v>
      </c>
      <c r="E25" s="103" t="s">
        <v>75</v>
      </c>
      <c r="F25" s="102" t="s">
        <v>1602</v>
      </c>
      <c r="G25" s="103" t="s">
        <v>20</v>
      </c>
      <c r="H25" s="103">
        <v>201611</v>
      </c>
      <c r="I25" s="104">
        <v>-24336.87</v>
      </c>
      <c r="J25" s="297">
        <f t="shared" si="2"/>
        <v>42675</v>
      </c>
      <c r="K25" s="67">
        <f t="shared" si="0"/>
        <v>6</v>
      </c>
      <c r="L25" s="155">
        <v>1.4833299999999999E-3</v>
      </c>
      <c r="M25" s="104">
        <f t="shared" si="1"/>
        <v>-216.5976562626</v>
      </c>
      <c r="O25" s="66">
        <f t="shared" si="3"/>
        <v>-7365.1480910000009</v>
      </c>
    </row>
    <row r="26" spans="1:15">
      <c r="A26" s="102" t="s">
        <v>21</v>
      </c>
      <c r="B26" s="103" t="s">
        <v>2060</v>
      </c>
      <c r="C26" s="103" t="s">
        <v>2061</v>
      </c>
      <c r="D26" s="102" t="s">
        <v>2062</v>
      </c>
      <c r="E26" s="103" t="s">
        <v>156</v>
      </c>
      <c r="F26" s="102" t="s">
        <v>26</v>
      </c>
      <c r="G26" s="103" t="s">
        <v>20</v>
      </c>
      <c r="H26" s="103">
        <v>201611</v>
      </c>
      <c r="I26" s="104">
        <v>114794.17</v>
      </c>
      <c r="J26" s="297">
        <f t="shared" si="2"/>
        <v>42675</v>
      </c>
      <c r="K26" s="67">
        <f t="shared" si="0"/>
        <v>6</v>
      </c>
      <c r="L26" s="155">
        <v>1.4833299999999999E-3</v>
      </c>
      <c r="M26" s="104">
        <f t="shared" si="1"/>
        <v>1021.6658171166</v>
      </c>
      <c r="O26" s="66">
        <f t="shared" si="3"/>
        <v>34740.542314333339</v>
      </c>
    </row>
    <row r="27" spans="1:15">
      <c r="A27" s="102" t="s">
        <v>626</v>
      </c>
      <c r="B27" s="103" t="s">
        <v>2060</v>
      </c>
      <c r="C27" s="103" t="s">
        <v>2061</v>
      </c>
      <c r="D27" s="102" t="s">
        <v>2062</v>
      </c>
      <c r="E27" s="103" t="s">
        <v>156</v>
      </c>
      <c r="F27" s="102" t="s">
        <v>26</v>
      </c>
      <c r="G27" s="103" t="s">
        <v>20</v>
      </c>
      <c r="H27" s="103">
        <v>201611</v>
      </c>
      <c r="I27" s="104">
        <v>-114794.17</v>
      </c>
      <c r="J27" s="297">
        <f t="shared" si="2"/>
        <v>42675</v>
      </c>
      <c r="K27" s="67">
        <f t="shared" si="0"/>
        <v>6</v>
      </c>
      <c r="L27" s="155">
        <v>1.4833299999999999E-3</v>
      </c>
      <c r="M27" s="104">
        <f t="shared" si="1"/>
        <v>-1021.6658171166</v>
      </c>
      <c r="O27" s="66">
        <f t="shared" si="3"/>
        <v>-34740.542314333339</v>
      </c>
    </row>
    <row r="28" spans="1:15">
      <c r="A28" s="102" t="s">
        <v>626</v>
      </c>
      <c r="B28" s="103" t="s">
        <v>1945</v>
      </c>
      <c r="C28" s="103" t="s">
        <v>1946</v>
      </c>
      <c r="D28" s="102" t="s">
        <v>1947</v>
      </c>
      <c r="E28" s="103" t="s">
        <v>93</v>
      </c>
      <c r="F28" s="102" t="s">
        <v>1601</v>
      </c>
      <c r="G28" s="103" t="s">
        <v>20</v>
      </c>
      <c r="H28" s="103">
        <v>201611</v>
      </c>
      <c r="I28" s="104">
        <v>1969.48</v>
      </c>
      <c r="J28" s="297">
        <f t="shared" si="2"/>
        <v>42675</v>
      </c>
      <c r="K28" s="67">
        <f t="shared" si="0"/>
        <v>6</v>
      </c>
      <c r="L28" s="155">
        <v>1.4833299999999999E-3</v>
      </c>
      <c r="M28" s="104">
        <f t="shared" si="1"/>
        <v>17.5283326104</v>
      </c>
      <c r="O28" s="66">
        <f t="shared" si="3"/>
        <v>596.03029733333346</v>
      </c>
    </row>
    <row r="29" spans="1:15">
      <c r="A29" s="102" t="s">
        <v>21</v>
      </c>
      <c r="B29" s="103" t="s">
        <v>1681</v>
      </c>
      <c r="C29" s="103" t="s">
        <v>2257</v>
      </c>
      <c r="D29" s="102" t="s">
        <v>2258</v>
      </c>
      <c r="E29" s="103" t="s">
        <v>93</v>
      </c>
      <c r="F29" s="102" t="s">
        <v>1601</v>
      </c>
      <c r="G29" s="103" t="s">
        <v>20</v>
      </c>
      <c r="H29" s="103">
        <v>201611</v>
      </c>
      <c r="I29" s="104">
        <v>158.80000000000001</v>
      </c>
      <c r="J29" s="297">
        <f t="shared" si="2"/>
        <v>42675</v>
      </c>
      <c r="K29" s="67">
        <f t="shared" si="0"/>
        <v>6</v>
      </c>
      <c r="L29" s="155">
        <v>1.4833299999999999E-3</v>
      </c>
      <c r="M29" s="104">
        <f t="shared" si="1"/>
        <v>1.413316824</v>
      </c>
      <c r="O29" s="66">
        <f t="shared" si="3"/>
        <v>48.058173333333343</v>
      </c>
    </row>
    <row r="30" spans="1:15">
      <c r="A30" s="102" t="s">
        <v>626</v>
      </c>
      <c r="B30" s="103" t="s">
        <v>1681</v>
      </c>
      <c r="C30" s="103" t="s">
        <v>2257</v>
      </c>
      <c r="D30" s="102" t="s">
        <v>2258</v>
      </c>
      <c r="E30" s="103" t="s">
        <v>93</v>
      </c>
      <c r="F30" s="102" t="s">
        <v>1601</v>
      </c>
      <c r="G30" s="103" t="s">
        <v>20</v>
      </c>
      <c r="H30" s="103">
        <v>201611</v>
      </c>
      <c r="I30" s="104">
        <v>3720.99</v>
      </c>
      <c r="J30" s="297">
        <f t="shared" si="2"/>
        <v>42675</v>
      </c>
      <c r="K30" s="67">
        <f t="shared" si="0"/>
        <v>6</v>
      </c>
      <c r="L30" s="155">
        <v>1.4833299999999999E-3</v>
      </c>
      <c r="M30" s="104">
        <f t="shared" si="1"/>
        <v>33.116736580199998</v>
      </c>
      <c r="O30" s="66">
        <f t="shared" si="3"/>
        <v>1126.0956070000002</v>
      </c>
    </row>
    <row r="31" spans="1:15">
      <c r="A31" s="102" t="s">
        <v>626</v>
      </c>
      <c r="B31" s="103" t="s">
        <v>1681</v>
      </c>
      <c r="C31" s="103" t="s">
        <v>2259</v>
      </c>
      <c r="D31" s="102" t="s">
        <v>2260</v>
      </c>
      <c r="E31" s="103" t="s">
        <v>209</v>
      </c>
      <c r="F31" s="102" t="s">
        <v>1612</v>
      </c>
      <c r="G31" s="103" t="s">
        <v>20</v>
      </c>
      <c r="H31" s="103">
        <v>201611</v>
      </c>
      <c r="I31" s="104">
        <v>194.49</v>
      </c>
      <c r="J31" s="297">
        <f t="shared" si="2"/>
        <v>42675</v>
      </c>
      <c r="K31" s="67">
        <f t="shared" si="0"/>
        <v>6</v>
      </c>
      <c r="L31" s="155">
        <v>1.4833299999999999E-3</v>
      </c>
      <c r="M31" s="104">
        <f t="shared" si="1"/>
        <v>1.7309571102000001</v>
      </c>
      <c r="O31" s="66">
        <f t="shared" si="3"/>
        <v>58.85915700000001</v>
      </c>
    </row>
    <row r="32" spans="1:15">
      <c r="A32" s="102" t="s">
        <v>21</v>
      </c>
      <c r="B32" s="103" t="s">
        <v>1681</v>
      </c>
      <c r="C32" s="103" t="s">
        <v>2003</v>
      </c>
      <c r="D32" s="102" t="s">
        <v>2004</v>
      </c>
      <c r="E32" s="103" t="s">
        <v>164</v>
      </c>
      <c r="F32" s="102" t="s">
        <v>1600</v>
      </c>
      <c r="G32" s="103" t="s">
        <v>20</v>
      </c>
      <c r="H32" s="103">
        <v>201611</v>
      </c>
      <c r="I32" s="104">
        <v>1138.8699999999999</v>
      </c>
      <c r="J32" s="297">
        <f t="shared" si="2"/>
        <v>42675</v>
      </c>
      <c r="K32" s="67">
        <f t="shared" si="0"/>
        <v>6</v>
      </c>
      <c r="L32" s="155">
        <v>1.4833299999999999E-3</v>
      </c>
      <c r="M32" s="104">
        <f t="shared" si="1"/>
        <v>10.135920222599999</v>
      </c>
      <c r="O32" s="66">
        <f t="shared" si="3"/>
        <v>344.6600243333333</v>
      </c>
    </row>
    <row r="33" spans="1:15">
      <c r="A33" s="102" t="s">
        <v>626</v>
      </c>
      <c r="B33" s="103" t="s">
        <v>1681</v>
      </c>
      <c r="C33" s="103" t="s">
        <v>2003</v>
      </c>
      <c r="D33" s="102" t="s">
        <v>2004</v>
      </c>
      <c r="E33" s="103" t="s">
        <v>164</v>
      </c>
      <c r="F33" s="102" t="s">
        <v>1600</v>
      </c>
      <c r="G33" s="103" t="s">
        <v>20</v>
      </c>
      <c r="H33" s="103">
        <v>201611</v>
      </c>
      <c r="I33" s="104">
        <v>23447.360000000001</v>
      </c>
      <c r="J33" s="297">
        <f t="shared" si="2"/>
        <v>42675</v>
      </c>
      <c r="K33" s="67">
        <f t="shared" si="0"/>
        <v>6</v>
      </c>
      <c r="L33" s="155">
        <v>1.4833299999999999E-3</v>
      </c>
      <c r="M33" s="104">
        <f t="shared" si="1"/>
        <v>208.68103505280001</v>
      </c>
      <c r="O33" s="66">
        <f t="shared" si="3"/>
        <v>7095.9527146666678</v>
      </c>
    </row>
    <row r="34" spans="1:15">
      <c r="A34" s="102" t="s">
        <v>14</v>
      </c>
      <c r="B34" s="103" t="s">
        <v>1681</v>
      </c>
      <c r="C34" s="103" t="s">
        <v>2003</v>
      </c>
      <c r="D34" s="102" t="s">
        <v>2004</v>
      </c>
      <c r="E34" s="103" t="s">
        <v>164</v>
      </c>
      <c r="F34" s="102" t="s">
        <v>1600</v>
      </c>
      <c r="G34" s="103" t="s">
        <v>20</v>
      </c>
      <c r="H34" s="103">
        <v>201611</v>
      </c>
      <c r="I34" s="104">
        <v>1128.8499999999999</v>
      </c>
      <c r="J34" s="297">
        <f t="shared" si="2"/>
        <v>42675</v>
      </c>
      <c r="K34" s="67">
        <f t="shared" si="0"/>
        <v>6</v>
      </c>
      <c r="L34" s="148">
        <v>2.23333E-3</v>
      </c>
      <c r="M34" s="104">
        <f t="shared" si="1"/>
        <v>15.126567422999997</v>
      </c>
      <c r="O34" s="66">
        <f t="shared" si="3"/>
        <v>341.62763833333338</v>
      </c>
    </row>
    <row r="35" spans="1:15">
      <c r="A35" s="102" t="s">
        <v>626</v>
      </c>
      <c r="B35" s="103" t="s">
        <v>1681</v>
      </c>
      <c r="C35" s="103" t="s">
        <v>2311</v>
      </c>
      <c r="D35" s="102" t="s">
        <v>2312</v>
      </c>
      <c r="E35" s="103" t="s">
        <v>209</v>
      </c>
      <c r="F35" s="102" t="s">
        <v>1612</v>
      </c>
      <c r="G35" s="103" t="s">
        <v>20</v>
      </c>
      <c r="H35" s="103">
        <v>201611</v>
      </c>
      <c r="I35" s="104">
        <v>275.16000000000003</v>
      </c>
      <c r="J35" s="297">
        <f t="shared" si="2"/>
        <v>42675</v>
      </c>
      <c r="K35" s="67">
        <f t="shared" si="0"/>
        <v>6</v>
      </c>
      <c r="L35" s="155">
        <v>1.4833299999999999E-3</v>
      </c>
      <c r="M35" s="104">
        <f t="shared" si="1"/>
        <v>2.4489184968000002</v>
      </c>
      <c r="O35" s="66">
        <f t="shared" si="3"/>
        <v>83.272588000000013</v>
      </c>
    </row>
    <row r="36" spans="1:15">
      <c r="A36" s="102" t="s">
        <v>14</v>
      </c>
      <c r="B36" s="103" t="s">
        <v>1681</v>
      </c>
      <c r="C36" s="103" t="s">
        <v>2311</v>
      </c>
      <c r="D36" s="102" t="s">
        <v>2312</v>
      </c>
      <c r="E36" s="103" t="s">
        <v>209</v>
      </c>
      <c r="F36" s="102" t="s">
        <v>1612</v>
      </c>
      <c r="G36" s="103" t="s">
        <v>20</v>
      </c>
      <c r="H36" s="103">
        <v>201611</v>
      </c>
      <c r="I36" s="104">
        <v>5.43</v>
      </c>
      <c r="J36" s="297">
        <f t="shared" si="2"/>
        <v>42675</v>
      </c>
      <c r="K36" s="67">
        <f t="shared" si="0"/>
        <v>6</v>
      </c>
      <c r="L36" s="148">
        <v>2.23333E-3</v>
      </c>
      <c r="M36" s="104">
        <f t="shared" si="1"/>
        <v>7.2761891399999987E-2</v>
      </c>
      <c r="O36" s="66">
        <f t="shared" si="3"/>
        <v>1.6432990000000001</v>
      </c>
    </row>
    <row r="37" spans="1:15">
      <c r="A37" s="102" t="s">
        <v>626</v>
      </c>
      <c r="B37" s="103" t="s">
        <v>1681</v>
      </c>
      <c r="C37" s="103" t="s">
        <v>2313</v>
      </c>
      <c r="D37" s="102" t="s">
        <v>2314</v>
      </c>
      <c r="E37" s="103" t="s">
        <v>260</v>
      </c>
      <c r="F37" s="102" t="s">
        <v>1608</v>
      </c>
      <c r="G37" s="103" t="s">
        <v>20</v>
      </c>
      <c r="H37" s="103">
        <v>201611</v>
      </c>
      <c r="I37" s="104">
        <v>-3331.29</v>
      </c>
      <c r="J37" s="297">
        <f t="shared" si="2"/>
        <v>42675</v>
      </c>
      <c r="K37" s="67">
        <f t="shared" si="0"/>
        <v>6</v>
      </c>
      <c r="L37" s="155">
        <v>1.4833299999999999E-3</v>
      </c>
      <c r="M37" s="104">
        <f t="shared" si="1"/>
        <v>-29.648414374200001</v>
      </c>
      <c r="O37" s="66">
        <f t="shared" si="3"/>
        <v>-1008.1593970000001</v>
      </c>
    </row>
    <row r="38" spans="1:15">
      <c r="A38" s="102" t="s">
        <v>21</v>
      </c>
      <c r="B38" s="103" t="s">
        <v>1681</v>
      </c>
      <c r="C38" s="103" t="s">
        <v>2315</v>
      </c>
      <c r="D38" s="102" t="s">
        <v>2316</v>
      </c>
      <c r="E38" s="103" t="s">
        <v>164</v>
      </c>
      <c r="F38" s="102" t="s">
        <v>1600</v>
      </c>
      <c r="G38" s="103" t="s">
        <v>20</v>
      </c>
      <c r="H38" s="103">
        <v>201611</v>
      </c>
      <c r="I38" s="104">
        <v>0.06</v>
      </c>
      <c r="J38" s="297">
        <f t="shared" si="2"/>
        <v>42675</v>
      </c>
      <c r="K38" s="67">
        <f t="shared" si="0"/>
        <v>6</v>
      </c>
      <c r="L38" s="155">
        <v>1.4833299999999999E-3</v>
      </c>
      <c r="M38" s="104">
        <f t="shared" si="1"/>
        <v>5.3399879999999999E-4</v>
      </c>
      <c r="O38" s="66">
        <f t="shared" si="3"/>
        <v>1.8158000000000004E-2</v>
      </c>
    </row>
    <row r="39" spans="1:15">
      <c r="A39" s="102" t="s">
        <v>626</v>
      </c>
      <c r="B39" s="103" t="s">
        <v>1681</v>
      </c>
      <c r="C39" s="103" t="s">
        <v>2315</v>
      </c>
      <c r="D39" s="102" t="s">
        <v>2316</v>
      </c>
      <c r="E39" s="103" t="s">
        <v>164</v>
      </c>
      <c r="F39" s="102" t="s">
        <v>1600</v>
      </c>
      <c r="G39" s="103" t="s">
        <v>20</v>
      </c>
      <c r="H39" s="103">
        <v>201611</v>
      </c>
      <c r="I39" s="104">
        <v>118.87</v>
      </c>
      <c r="J39" s="297">
        <f t="shared" si="2"/>
        <v>42675</v>
      </c>
      <c r="K39" s="67">
        <f t="shared" si="0"/>
        <v>6</v>
      </c>
      <c r="L39" s="155">
        <v>1.4833299999999999E-3</v>
      </c>
      <c r="M39" s="104">
        <f t="shared" si="1"/>
        <v>1.0579406226000001</v>
      </c>
      <c r="O39" s="66">
        <f t="shared" si="3"/>
        <v>35.97402433333334</v>
      </c>
    </row>
    <row r="40" spans="1:15">
      <c r="A40" s="102" t="s">
        <v>14</v>
      </c>
      <c r="B40" s="103" t="s">
        <v>1681</v>
      </c>
      <c r="C40" s="103" t="s">
        <v>2315</v>
      </c>
      <c r="D40" s="102" t="s">
        <v>2316</v>
      </c>
      <c r="E40" s="103" t="s">
        <v>164</v>
      </c>
      <c r="F40" s="102" t="s">
        <v>1600</v>
      </c>
      <c r="G40" s="103" t="s">
        <v>20</v>
      </c>
      <c r="H40" s="103">
        <v>201611</v>
      </c>
      <c r="I40" s="104">
        <v>50.94</v>
      </c>
      <c r="J40" s="297">
        <f t="shared" si="2"/>
        <v>42675</v>
      </c>
      <c r="K40" s="348">
        <f t="shared" si="0"/>
        <v>6</v>
      </c>
      <c r="L40" s="148">
        <v>2.23333E-3</v>
      </c>
      <c r="M40" s="349">
        <f t="shared" si="1"/>
        <v>0.68259498119999995</v>
      </c>
      <c r="N40" s="350"/>
      <c r="O40" s="66">
        <f t="shared" si="3"/>
        <v>15.416142000000002</v>
      </c>
    </row>
    <row r="41" spans="1:15">
      <c r="A41" s="102" t="s">
        <v>626</v>
      </c>
      <c r="B41" s="103" t="s">
        <v>1681</v>
      </c>
      <c r="C41" s="103" t="s">
        <v>2334</v>
      </c>
      <c r="D41" s="102" t="s">
        <v>2335</v>
      </c>
      <c r="E41" s="103" t="s">
        <v>164</v>
      </c>
      <c r="F41" s="102" t="s">
        <v>1600</v>
      </c>
      <c r="G41" s="103" t="s">
        <v>20</v>
      </c>
      <c r="H41" s="103">
        <v>201611</v>
      </c>
      <c r="I41" s="104">
        <v>4048.93</v>
      </c>
      <c r="J41" s="297">
        <f t="shared" si="2"/>
        <v>42675</v>
      </c>
      <c r="K41" s="67">
        <f t="shared" si="0"/>
        <v>6</v>
      </c>
      <c r="L41" s="155">
        <v>1.4833299999999999E-3</v>
      </c>
      <c r="M41" s="104">
        <f t="shared" si="1"/>
        <v>36.035396021399997</v>
      </c>
      <c r="O41" s="66">
        <f t="shared" si="3"/>
        <v>1225.3411823333333</v>
      </c>
    </row>
    <row r="42" spans="1:15">
      <c r="A42" s="102" t="s">
        <v>626</v>
      </c>
      <c r="B42" s="103" t="s">
        <v>1681</v>
      </c>
      <c r="C42" s="103" t="s">
        <v>2336</v>
      </c>
      <c r="D42" s="102" t="s">
        <v>2337</v>
      </c>
      <c r="E42" s="103" t="s">
        <v>164</v>
      </c>
      <c r="F42" s="102" t="s">
        <v>1600</v>
      </c>
      <c r="G42" s="103" t="s">
        <v>20</v>
      </c>
      <c r="H42" s="103">
        <v>201611</v>
      </c>
      <c r="I42" s="104">
        <v>-11961.6</v>
      </c>
      <c r="J42" s="297">
        <f t="shared" si="2"/>
        <v>42675</v>
      </c>
      <c r="K42" s="67">
        <f t="shared" si="0"/>
        <v>6</v>
      </c>
      <c r="L42" s="155">
        <v>1.4833299999999999E-3</v>
      </c>
      <c r="M42" s="104">
        <f t="shared" si="1"/>
        <v>-106.45800076800001</v>
      </c>
      <c r="O42" s="66">
        <f t="shared" si="3"/>
        <v>-3619.9788800000006</v>
      </c>
    </row>
    <row r="43" spans="1:15">
      <c r="A43" s="102" t="s">
        <v>14</v>
      </c>
      <c r="B43" s="103" t="s">
        <v>1681</v>
      </c>
      <c r="C43" s="103" t="s">
        <v>2336</v>
      </c>
      <c r="D43" s="102" t="s">
        <v>2337</v>
      </c>
      <c r="E43" s="103" t="s">
        <v>164</v>
      </c>
      <c r="F43" s="102" t="s">
        <v>1600</v>
      </c>
      <c r="G43" s="103" t="s">
        <v>20</v>
      </c>
      <c r="H43" s="103">
        <v>201611</v>
      </c>
      <c r="I43" s="104">
        <v>-49.55</v>
      </c>
      <c r="J43" s="297">
        <f t="shared" si="2"/>
        <v>42675</v>
      </c>
      <c r="K43" s="67">
        <f t="shared" si="0"/>
        <v>6</v>
      </c>
      <c r="L43" s="148">
        <v>2.23333E-3</v>
      </c>
      <c r="M43" s="104">
        <f t="shared" si="1"/>
        <v>-0.66396900899999989</v>
      </c>
      <c r="O43" s="66">
        <f t="shared" si="3"/>
        <v>-14.995481666666668</v>
      </c>
    </row>
    <row r="44" spans="1:15">
      <c r="A44" s="102" t="s">
        <v>626</v>
      </c>
      <c r="B44" s="103" t="s">
        <v>1681</v>
      </c>
      <c r="C44" s="103" t="s">
        <v>2338</v>
      </c>
      <c r="D44" s="102" t="s">
        <v>2339</v>
      </c>
      <c r="E44" s="103" t="s">
        <v>164</v>
      </c>
      <c r="F44" s="102" t="s">
        <v>1600</v>
      </c>
      <c r="G44" s="103" t="s">
        <v>20</v>
      </c>
      <c r="H44" s="103">
        <v>201611</v>
      </c>
      <c r="I44" s="104">
        <v>27197.14</v>
      </c>
      <c r="J44" s="297">
        <f t="shared" si="2"/>
        <v>42675</v>
      </c>
      <c r="K44" s="67">
        <f t="shared" si="0"/>
        <v>6</v>
      </c>
      <c r="L44" s="155">
        <v>1.4833299999999999E-3</v>
      </c>
      <c r="M44" s="104">
        <f t="shared" si="1"/>
        <v>242.05400205719999</v>
      </c>
      <c r="O44" s="66">
        <f t="shared" si="3"/>
        <v>8230.7611353333341</v>
      </c>
    </row>
    <row r="45" spans="1:15">
      <c r="A45" s="102" t="s">
        <v>14</v>
      </c>
      <c r="B45" s="103" t="s">
        <v>1681</v>
      </c>
      <c r="C45" s="103" t="s">
        <v>2338</v>
      </c>
      <c r="D45" s="102" t="s">
        <v>2339</v>
      </c>
      <c r="E45" s="103" t="s">
        <v>164</v>
      </c>
      <c r="F45" s="102" t="s">
        <v>1600</v>
      </c>
      <c r="G45" s="103" t="s">
        <v>20</v>
      </c>
      <c r="H45" s="103">
        <v>201611</v>
      </c>
      <c r="I45" s="104">
        <v>203.06</v>
      </c>
      <c r="J45" s="297">
        <f t="shared" si="2"/>
        <v>42675</v>
      </c>
      <c r="K45" s="67">
        <f t="shared" si="0"/>
        <v>6</v>
      </c>
      <c r="L45" s="148">
        <v>2.23333E-3</v>
      </c>
      <c r="M45" s="104">
        <f t="shared" si="1"/>
        <v>2.7209999387999999</v>
      </c>
      <c r="O45" s="66">
        <f t="shared" si="3"/>
        <v>61.452724666666676</v>
      </c>
    </row>
    <row r="46" spans="1:15">
      <c r="A46" s="102" t="s">
        <v>626</v>
      </c>
      <c r="B46" s="103" t="s">
        <v>1681</v>
      </c>
      <c r="C46" s="103" t="s">
        <v>2340</v>
      </c>
      <c r="D46" s="102" t="s">
        <v>2341</v>
      </c>
      <c r="E46" s="103" t="s">
        <v>260</v>
      </c>
      <c r="F46" s="102" t="s">
        <v>1608</v>
      </c>
      <c r="G46" s="103" t="s">
        <v>20</v>
      </c>
      <c r="H46" s="103">
        <v>201611</v>
      </c>
      <c r="I46" s="104">
        <v>-104.26</v>
      </c>
      <c r="J46" s="297">
        <f t="shared" si="2"/>
        <v>42675</v>
      </c>
      <c r="K46" s="67">
        <f t="shared" si="0"/>
        <v>6</v>
      </c>
      <c r="L46" s="155">
        <v>1.4833299999999999E-3</v>
      </c>
      <c r="M46" s="104">
        <f t="shared" si="1"/>
        <v>-0.92791191480000002</v>
      </c>
      <c r="O46" s="66">
        <f t="shared" si="3"/>
        <v>-31.552551333333341</v>
      </c>
    </row>
    <row r="47" spans="1:15">
      <c r="A47" s="102" t="s">
        <v>14</v>
      </c>
      <c r="B47" s="103" t="s">
        <v>1681</v>
      </c>
      <c r="C47" s="103" t="s">
        <v>2340</v>
      </c>
      <c r="D47" s="102" t="s">
        <v>2341</v>
      </c>
      <c r="E47" s="103" t="s">
        <v>260</v>
      </c>
      <c r="F47" s="102" t="s">
        <v>1608</v>
      </c>
      <c r="G47" s="103" t="s">
        <v>20</v>
      </c>
      <c r="H47" s="103">
        <v>201611</v>
      </c>
      <c r="I47" s="104">
        <v>-1.56</v>
      </c>
      <c r="J47" s="297">
        <f t="shared" si="2"/>
        <v>42675</v>
      </c>
      <c r="K47" s="67">
        <f t="shared" si="0"/>
        <v>6</v>
      </c>
      <c r="L47" s="148">
        <v>2.23333E-3</v>
      </c>
      <c r="M47" s="104">
        <f t="shared" si="1"/>
        <v>-2.0903968799999999E-2</v>
      </c>
      <c r="O47" s="66">
        <f t="shared" si="3"/>
        <v>-0.47210800000000008</v>
      </c>
    </row>
    <row r="48" spans="1:15">
      <c r="A48" s="102" t="s">
        <v>626</v>
      </c>
      <c r="B48" s="103" t="s">
        <v>1681</v>
      </c>
      <c r="C48" s="103" t="s">
        <v>2342</v>
      </c>
      <c r="D48" s="102" t="s">
        <v>2343</v>
      </c>
      <c r="E48" s="103" t="s">
        <v>75</v>
      </c>
      <c r="F48" s="102" t="s">
        <v>1602</v>
      </c>
      <c r="G48" s="103" t="s">
        <v>20</v>
      </c>
      <c r="H48" s="103">
        <v>201611</v>
      </c>
      <c r="I48" s="104">
        <v>283.68</v>
      </c>
      <c r="J48" s="297">
        <f t="shared" si="2"/>
        <v>42675</v>
      </c>
      <c r="K48" s="67">
        <f t="shared" si="0"/>
        <v>6</v>
      </c>
      <c r="L48" s="155">
        <v>1.4833299999999999E-3</v>
      </c>
      <c r="M48" s="104">
        <f t="shared" si="1"/>
        <v>2.5247463263999999</v>
      </c>
      <c r="O48" s="66">
        <f t="shared" si="3"/>
        <v>85.851024000000024</v>
      </c>
    </row>
    <row r="49" spans="1:15">
      <c r="A49" s="102" t="s">
        <v>14</v>
      </c>
      <c r="B49" s="103" t="s">
        <v>1681</v>
      </c>
      <c r="C49" s="103" t="s">
        <v>2342</v>
      </c>
      <c r="D49" s="102" t="s">
        <v>2343</v>
      </c>
      <c r="E49" s="103" t="s">
        <v>75</v>
      </c>
      <c r="F49" s="102" t="s">
        <v>1602</v>
      </c>
      <c r="G49" s="103" t="s">
        <v>20</v>
      </c>
      <c r="H49" s="103">
        <v>201611</v>
      </c>
      <c r="I49" s="104">
        <v>0.01</v>
      </c>
      <c r="J49" s="297">
        <f t="shared" si="2"/>
        <v>42675</v>
      </c>
      <c r="K49" s="67">
        <f t="shared" si="0"/>
        <v>6</v>
      </c>
      <c r="L49" s="148">
        <v>2.23333E-3</v>
      </c>
      <c r="M49" s="104">
        <f t="shared" si="1"/>
        <v>1.3399979999999999E-4</v>
      </c>
      <c r="O49" s="66">
        <f t="shared" si="3"/>
        <v>3.026333333333334E-3</v>
      </c>
    </row>
    <row r="50" spans="1:15">
      <c r="A50" s="102" t="s">
        <v>626</v>
      </c>
      <c r="B50" s="103" t="s">
        <v>1681</v>
      </c>
      <c r="C50" s="103" t="s">
        <v>2344</v>
      </c>
      <c r="D50" s="102" t="s">
        <v>2345</v>
      </c>
      <c r="E50" s="103" t="s">
        <v>75</v>
      </c>
      <c r="F50" s="102" t="s">
        <v>1602</v>
      </c>
      <c r="G50" s="103" t="s">
        <v>20</v>
      </c>
      <c r="H50" s="103">
        <v>201611</v>
      </c>
      <c r="I50" s="104">
        <v>-56.2</v>
      </c>
      <c r="J50" s="297">
        <f t="shared" si="2"/>
        <v>42675</v>
      </c>
      <c r="K50" s="67">
        <f t="shared" si="0"/>
        <v>6</v>
      </c>
      <c r="L50" s="155">
        <v>1.4833299999999999E-3</v>
      </c>
      <c r="M50" s="104">
        <f t="shared" si="1"/>
        <v>-0.50017887599999999</v>
      </c>
      <c r="O50" s="66">
        <f t="shared" si="3"/>
        <v>-17.007993333333335</v>
      </c>
    </row>
    <row r="51" spans="1:15">
      <c r="A51" s="102" t="s">
        <v>14</v>
      </c>
      <c r="B51" s="103" t="s">
        <v>1681</v>
      </c>
      <c r="C51" s="103" t="s">
        <v>2344</v>
      </c>
      <c r="D51" s="102" t="s">
        <v>2345</v>
      </c>
      <c r="E51" s="103" t="s">
        <v>75</v>
      </c>
      <c r="F51" s="102" t="s">
        <v>1602</v>
      </c>
      <c r="G51" s="103" t="s">
        <v>20</v>
      </c>
      <c r="H51" s="103">
        <v>201611</v>
      </c>
      <c r="I51" s="104">
        <v>-0.01</v>
      </c>
      <c r="J51" s="297">
        <f t="shared" si="2"/>
        <v>42675</v>
      </c>
      <c r="K51" s="67">
        <f t="shared" si="0"/>
        <v>6</v>
      </c>
      <c r="L51" s="148">
        <v>2.23333E-3</v>
      </c>
      <c r="M51" s="104">
        <f t="shared" si="1"/>
        <v>-1.3399979999999999E-4</v>
      </c>
      <c r="O51" s="66">
        <f t="shared" si="3"/>
        <v>-3.026333333333334E-3</v>
      </c>
    </row>
    <row r="52" spans="1:15">
      <c r="A52" s="102" t="s">
        <v>626</v>
      </c>
      <c r="B52" s="103" t="s">
        <v>1681</v>
      </c>
      <c r="C52" s="103" t="s">
        <v>2346</v>
      </c>
      <c r="D52" s="102" t="s">
        <v>2347</v>
      </c>
      <c r="E52" s="103" t="s">
        <v>75</v>
      </c>
      <c r="F52" s="102" t="s">
        <v>1602</v>
      </c>
      <c r="G52" s="103" t="s">
        <v>20</v>
      </c>
      <c r="H52" s="103">
        <v>201611</v>
      </c>
      <c r="I52" s="104">
        <v>721.06</v>
      </c>
      <c r="J52" s="297">
        <f t="shared" si="2"/>
        <v>42675</v>
      </c>
      <c r="K52" s="67">
        <f t="shared" si="0"/>
        <v>6</v>
      </c>
      <c r="L52" s="155">
        <v>1.4833299999999999E-3</v>
      </c>
      <c r="M52" s="104">
        <f t="shared" si="1"/>
        <v>6.4174195787999997</v>
      </c>
      <c r="O52" s="66">
        <f t="shared" si="3"/>
        <v>218.21679133333336</v>
      </c>
    </row>
    <row r="53" spans="1:15">
      <c r="A53" s="102" t="s">
        <v>626</v>
      </c>
      <c r="B53" s="103" t="s">
        <v>1681</v>
      </c>
      <c r="C53" s="103" t="s">
        <v>2348</v>
      </c>
      <c r="D53" s="102" t="s">
        <v>2349</v>
      </c>
      <c r="E53" s="103" t="s">
        <v>75</v>
      </c>
      <c r="F53" s="102" t="s">
        <v>1602</v>
      </c>
      <c r="G53" s="103" t="s">
        <v>20</v>
      </c>
      <c r="H53" s="103">
        <v>201611</v>
      </c>
      <c r="I53" s="104">
        <v>-153.71</v>
      </c>
      <c r="J53" s="297">
        <f t="shared" si="2"/>
        <v>42675</v>
      </c>
      <c r="K53" s="67">
        <f t="shared" si="0"/>
        <v>6</v>
      </c>
      <c r="L53" s="155">
        <v>1.4833299999999999E-3</v>
      </c>
      <c r="M53" s="104">
        <f t="shared" si="1"/>
        <v>-1.3680159258</v>
      </c>
      <c r="O53" s="66">
        <f t="shared" si="3"/>
        <v>-46.51776966666668</v>
      </c>
    </row>
    <row r="54" spans="1:15">
      <c r="A54" s="102" t="s">
        <v>14</v>
      </c>
      <c r="B54" s="103" t="s">
        <v>1681</v>
      </c>
      <c r="C54" s="103" t="s">
        <v>2348</v>
      </c>
      <c r="D54" s="102" t="s">
        <v>2349</v>
      </c>
      <c r="E54" s="103" t="s">
        <v>75</v>
      </c>
      <c r="F54" s="102" t="s">
        <v>1602</v>
      </c>
      <c r="G54" s="103" t="s">
        <v>20</v>
      </c>
      <c r="H54" s="103">
        <v>201611</v>
      </c>
      <c r="I54" s="104">
        <v>-7.0000000000000007E-2</v>
      </c>
      <c r="J54" s="297">
        <f t="shared" si="2"/>
        <v>42675</v>
      </c>
      <c r="K54" s="67">
        <f t="shared" si="0"/>
        <v>6</v>
      </c>
      <c r="L54" s="148">
        <v>2.23333E-3</v>
      </c>
      <c r="M54" s="104">
        <f t="shared" si="1"/>
        <v>-9.3799859999999999E-4</v>
      </c>
      <c r="O54" s="66">
        <f t="shared" si="3"/>
        <v>-2.118433333333334E-2</v>
      </c>
    </row>
    <row r="55" spans="1:15">
      <c r="A55" s="102" t="s">
        <v>626</v>
      </c>
      <c r="B55" s="103" t="s">
        <v>1681</v>
      </c>
      <c r="C55" s="103" t="s">
        <v>2350</v>
      </c>
      <c r="D55" s="102" t="s">
        <v>2351</v>
      </c>
      <c r="E55" s="103" t="s">
        <v>75</v>
      </c>
      <c r="F55" s="102" t="s">
        <v>1602</v>
      </c>
      <c r="G55" s="103" t="s">
        <v>20</v>
      </c>
      <c r="H55" s="103">
        <v>201611</v>
      </c>
      <c r="I55" s="104">
        <v>5599.15</v>
      </c>
      <c r="J55" s="297">
        <f t="shared" si="2"/>
        <v>42675</v>
      </c>
      <c r="K55" s="67">
        <f t="shared" si="0"/>
        <v>6</v>
      </c>
      <c r="L55" s="155">
        <v>1.4833299999999999E-3</v>
      </c>
      <c r="M55" s="104">
        <f t="shared" si="1"/>
        <v>49.832323017</v>
      </c>
      <c r="O55" s="66">
        <f t="shared" si="3"/>
        <v>1694.4894283333333</v>
      </c>
    </row>
    <row r="56" spans="1:15">
      <c r="A56" s="102" t="s">
        <v>626</v>
      </c>
      <c r="B56" s="103" t="s">
        <v>1681</v>
      </c>
      <c r="C56" s="103" t="s">
        <v>2352</v>
      </c>
      <c r="D56" s="102" t="s">
        <v>2353</v>
      </c>
      <c r="E56" s="103" t="s">
        <v>75</v>
      </c>
      <c r="F56" s="102" t="s">
        <v>1602</v>
      </c>
      <c r="G56" s="103" t="s">
        <v>20</v>
      </c>
      <c r="H56" s="103">
        <v>201611</v>
      </c>
      <c r="I56" s="104">
        <v>-12.31</v>
      </c>
      <c r="J56" s="297">
        <f t="shared" si="2"/>
        <v>42675</v>
      </c>
      <c r="K56" s="67">
        <f t="shared" si="0"/>
        <v>6</v>
      </c>
      <c r="L56" s="155">
        <v>1.4833299999999999E-3</v>
      </c>
      <c r="M56" s="104">
        <f t="shared" si="1"/>
        <v>-0.10955875380000001</v>
      </c>
      <c r="O56" s="66">
        <f t="shared" si="3"/>
        <v>-3.7254163333333339</v>
      </c>
    </row>
    <row r="57" spans="1:15">
      <c r="A57" s="102" t="s">
        <v>14</v>
      </c>
      <c r="B57" s="103" t="s">
        <v>1681</v>
      </c>
      <c r="C57" s="103" t="s">
        <v>2352</v>
      </c>
      <c r="D57" s="102" t="s">
        <v>2353</v>
      </c>
      <c r="E57" s="103" t="s">
        <v>75</v>
      </c>
      <c r="F57" s="102" t="s">
        <v>1602</v>
      </c>
      <c r="G57" s="103" t="s">
        <v>20</v>
      </c>
      <c r="H57" s="103">
        <v>201611</v>
      </c>
      <c r="I57" s="104">
        <v>-0.02</v>
      </c>
      <c r="J57" s="297">
        <f t="shared" si="2"/>
        <v>42675</v>
      </c>
      <c r="K57" s="67">
        <f t="shared" si="0"/>
        <v>6</v>
      </c>
      <c r="L57" s="148">
        <v>2.23333E-3</v>
      </c>
      <c r="M57" s="104">
        <f t="shared" si="1"/>
        <v>-2.6799959999999998E-4</v>
      </c>
      <c r="O57" s="66">
        <f t="shared" si="3"/>
        <v>-6.052666666666668E-3</v>
      </c>
    </row>
    <row r="58" spans="1:15">
      <c r="A58" s="102" t="s">
        <v>626</v>
      </c>
      <c r="B58" s="103" t="s">
        <v>1681</v>
      </c>
      <c r="C58" s="103" t="s">
        <v>2354</v>
      </c>
      <c r="D58" s="102" t="s">
        <v>2355</v>
      </c>
      <c r="E58" s="103" t="s">
        <v>164</v>
      </c>
      <c r="F58" s="102" t="s">
        <v>1600</v>
      </c>
      <c r="G58" s="103" t="s">
        <v>20</v>
      </c>
      <c r="H58" s="103">
        <v>201611</v>
      </c>
      <c r="I58" s="104">
        <v>-432.84</v>
      </c>
      <c r="J58" s="297">
        <f t="shared" si="2"/>
        <v>42675</v>
      </c>
      <c r="K58" s="67">
        <f t="shared" si="0"/>
        <v>6</v>
      </c>
      <c r="L58" s="155">
        <v>1.4833299999999999E-3</v>
      </c>
      <c r="M58" s="104">
        <f t="shared" si="1"/>
        <v>-3.8522673431999999</v>
      </c>
      <c r="O58" s="66">
        <f t="shared" si="3"/>
        <v>-130.99181200000001</v>
      </c>
    </row>
    <row r="59" spans="1:15">
      <c r="A59" s="102" t="s">
        <v>626</v>
      </c>
      <c r="B59" s="103" t="s">
        <v>1681</v>
      </c>
      <c r="C59" s="103" t="s">
        <v>2358</v>
      </c>
      <c r="D59" s="102" t="s">
        <v>2359</v>
      </c>
      <c r="E59" s="103" t="s">
        <v>75</v>
      </c>
      <c r="F59" s="102" t="s">
        <v>1602</v>
      </c>
      <c r="G59" s="103" t="s">
        <v>20</v>
      </c>
      <c r="H59" s="103">
        <v>201611</v>
      </c>
      <c r="I59" s="104">
        <v>1058.54</v>
      </c>
      <c r="J59" s="297">
        <f t="shared" si="2"/>
        <v>42675</v>
      </c>
      <c r="K59" s="67">
        <f t="shared" si="0"/>
        <v>6</v>
      </c>
      <c r="L59" s="155">
        <v>1.4833299999999999E-3</v>
      </c>
      <c r="M59" s="104">
        <f t="shared" si="1"/>
        <v>9.4209848292</v>
      </c>
      <c r="O59" s="66">
        <f t="shared" si="3"/>
        <v>320.34948866666673</v>
      </c>
    </row>
    <row r="60" spans="1:15">
      <c r="A60" s="102" t="s">
        <v>14</v>
      </c>
      <c r="B60" s="103" t="s">
        <v>1681</v>
      </c>
      <c r="C60" s="103" t="s">
        <v>2358</v>
      </c>
      <c r="D60" s="102" t="s">
        <v>2359</v>
      </c>
      <c r="E60" s="103" t="s">
        <v>75</v>
      </c>
      <c r="F60" s="102" t="s">
        <v>1602</v>
      </c>
      <c r="G60" s="103" t="s">
        <v>20</v>
      </c>
      <c r="H60" s="103">
        <v>201611</v>
      </c>
      <c r="I60" s="104">
        <v>11.92</v>
      </c>
      <c r="J60" s="297">
        <f t="shared" si="2"/>
        <v>42675</v>
      </c>
      <c r="K60" s="67">
        <f t="shared" si="0"/>
        <v>6</v>
      </c>
      <c r="L60" s="148">
        <v>2.23333E-3</v>
      </c>
      <c r="M60" s="104">
        <f t="shared" si="1"/>
        <v>0.15972776159999999</v>
      </c>
      <c r="O60" s="66">
        <f t="shared" si="3"/>
        <v>3.6073893333333338</v>
      </c>
    </row>
    <row r="61" spans="1:15">
      <c r="A61" s="102" t="s">
        <v>626</v>
      </c>
      <c r="B61" s="103" t="s">
        <v>1681</v>
      </c>
      <c r="C61" s="103" t="s">
        <v>2360</v>
      </c>
      <c r="D61" s="102" t="s">
        <v>2361</v>
      </c>
      <c r="E61" s="103" t="s">
        <v>75</v>
      </c>
      <c r="F61" s="102" t="s">
        <v>1602</v>
      </c>
      <c r="G61" s="103" t="s">
        <v>20</v>
      </c>
      <c r="H61" s="103">
        <v>201611</v>
      </c>
      <c r="I61" s="104">
        <v>11804.01</v>
      </c>
      <c r="J61" s="297">
        <f t="shared" si="2"/>
        <v>42675</v>
      </c>
      <c r="K61" s="67">
        <f t="shared" si="0"/>
        <v>6</v>
      </c>
      <c r="L61" s="155">
        <v>1.4833299999999999E-3</v>
      </c>
      <c r="M61" s="104">
        <f t="shared" si="1"/>
        <v>105.0554529198</v>
      </c>
      <c r="O61" s="66">
        <f t="shared" si="3"/>
        <v>3572.2868930000004</v>
      </c>
    </row>
    <row r="62" spans="1:15">
      <c r="A62" s="102" t="s">
        <v>14</v>
      </c>
      <c r="B62" s="103" t="s">
        <v>1681</v>
      </c>
      <c r="C62" s="103" t="s">
        <v>2360</v>
      </c>
      <c r="D62" s="102" t="s">
        <v>2361</v>
      </c>
      <c r="E62" s="103" t="s">
        <v>75</v>
      </c>
      <c r="F62" s="102" t="s">
        <v>1602</v>
      </c>
      <c r="G62" s="103" t="s">
        <v>20</v>
      </c>
      <c r="H62" s="103">
        <v>201611</v>
      </c>
      <c r="I62" s="104">
        <v>153.94999999999999</v>
      </c>
      <c r="J62" s="297">
        <f t="shared" si="2"/>
        <v>42675</v>
      </c>
      <c r="K62" s="67">
        <f t="shared" si="0"/>
        <v>6</v>
      </c>
      <c r="L62" s="148">
        <v>2.23333E-3</v>
      </c>
      <c r="M62" s="104">
        <f t="shared" si="1"/>
        <v>2.0629269209999999</v>
      </c>
      <c r="O62" s="66">
        <f t="shared" si="3"/>
        <v>46.590401666666665</v>
      </c>
    </row>
    <row r="63" spans="1:15">
      <c r="A63" s="102" t="s">
        <v>626</v>
      </c>
      <c r="B63" s="103" t="s">
        <v>1681</v>
      </c>
      <c r="C63" s="103" t="s">
        <v>2362</v>
      </c>
      <c r="D63" s="102" t="s">
        <v>2363</v>
      </c>
      <c r="E63" s="103" t="s">
        <v>75</v>
      </c>
      <c r="F63" s="102" t="s">
        <v>1602</v>
      </c>
      <c r="G63" s="103" t="s">
        <v>20</v>
      </c>
      <c r="H63" s="103">
        <v>201611</v>
      </c>
      <c r="I63" s="104">
        <v>15917.24</v>
      </c>
      <c r="J63" s="297">
        <f t="shared" si="2"/>
        <v>42675</v>
      </c>
      <c r="K63" s="67">
        <f t="shared" si="0"/>
        <v>6</v>
      </c>
      <c r="L63" s="155">
        <v>1.4833299999999999E-3</v>
      </c>
      <c r="M63" s="104">
        <f t="shared" si="1"/>
        <v>141.66311765520001</v>
      </c>
      <c r="O63" s="66">
        <f t="shared" si="3"/>
        <v>4817.0873986666675</v>
      </c>
    </row>
    <row r="64" spans="1:15">
      <c r="A64" s="102" t="s">
        <v>14</v>
      </c>
      <c r="B64" s="103" t="s">
        <v>1681</v>
      </c>
      <c r="C64" s="103" t="s">
        <v>2362</v>
      </c>
      <c r="D64" s="102" t="s">
        <v>2363</v>
      </c>
      <c r="E64" s="103" t="s">
        <v>75</v>
      </c>
      <c r="F64" s="102" t="s">
        <v>1602</v>
      </c>
      <c r="G64" s="103" t="s">
        <v>20</v>
      </c>
      <c r="H64" s="103">
        <v>201611</v>
      </c>
      <c r="I64" s="104">
        <v>272.72000000000003</v>
      </c>
      <c r="J64" s="297">
        <f t="shared" si="2"/>
        <v>42675</v>
      </c>
      <c r="K64" s="67">
        <f t="shared" si="0"/>
        <v>6</v>
      </c>
      <c r="L64" s="148">
        <v>2.23333E-3</v>
      </c>
      <c r="M64" s="104">
        <f t="shared" si="1"/>
        <v>3.6544425456000003</v>
      </c>
      <c r="O64" s="66">
        <f t="shared" si="3"/>
        <v>82.534162666666688</v>
      </c>
    </row>
    <row r="65" spans="1:15">
      <c r="A65" s="102" t="s">
        <v>626</v>
      </c>
      <c r="B65" s="103" t="s">
        <v>1681</v>
      </c>
      <c r="C65" s="103" t="s">
        <v>2364</v>
      </c>
      <c r="D65" s="102" t="s">
        <v>2365</v>
      </c>
      <c r="E65" s="103" t="s">
        <v>75</v>
      </c>
      <c r="F65" s="102" t="s">
        <v>1602</v>
      </c>
      <c r="G65" s="103" t="s">
        <v>20</v>
      </c>
      <c r="H65" s="103">
        <v>201611</v>
      </c>
      <c r="I65" s="104">
        <v>10838.4</v>
      </c>
      <c r="J65" s="297">
        <f t="shared" si="2"/>
        <v>42675</v>
      </c>
      <c r="K65" s="67">
        <f t="shared" si="0"/>
        <v>6</v>
      </c>
      <c r="L65" s="155">
        <v>1.4833299999999999E-3</v>
      </c>
      <c r="M65" s="104">
        <f t="shared" si="1"/>
        <v>96.461543231999997</v>
      </c>
      <c r="O65" s="66">
        <f t="shared" si="3"/>
        <v>3280.0611200000008</v>
      </c>
    </row>
    <row r="66" spans="1:15">
      <c r="A66" s="102" t="s">
        <v>14</v>
      </c>
      <c r="B66" s="103" t="s">
        <v>1681</v>
      </c>
      <c r="C66" s="103" t="s">
        <v>2364</v>
      </c>
      <c r="D66" s="102" t="s">
        <v>2365</v>
      </c>
      <c r="E66" s="103" t="s">
        <v>75</v>
      </c>
      <c r="F66" s="102" t="s">
        <v>1602</v>
      </c>
      <c r="G66" s="103" t="s">
        <v>20</v>
      </c>
      <c r="H66" s="103">
        <v>201611</v>
      </c>
      <c r="I66" s="104">
        <v>111.35</v>
      </c>
      <c r="J66" s="297">
        <f t="shared" si="2"/>
        <v>42675</v>
      </c>
      <c r="K66" s="67">
        <f t="shared" si="0"/>
        <v>6</v>
      </c>
      <c r="L66" s="148">
        <v>2.23333E-3</v>
      </c>
      <c r="M66" s="104">
        <f t="shared" si="1"/>
        <v>1.4920877729999997</v>
      </c>
      <c r="O66" s="66">
        <f t="shared" si="3"/>
        <v>33.698221666666669</v>
      </c>
    </row>
    <row r="67" spans="1:15">
      <c r="A67" s="102" t="s">
        <v>21</v>
      </c>
      <c r="B67" s="103" t="s">
        <v>1681</v>
      </c>
      <c r="C67" s="103" t="s">
        <v>2366</v>
      </c>
      <c r="D67" s="102" t="s">
        <v>2367</v>
      </c>
      <c r="E67" s="103" t="s">
        <v>75</v>
      </c>
      <c r="F67" s="102" t="s">
        <v>1602</v>
      </c>
      <c r="G67" s="103" t="s">
        <v>20</v>
      </c>
      <c r="H67" s="103">
        <v>201611</v>
      </c>
      <c r="I67" s="104">
        <v>-0.19</v>
      </c>
      <c r="J67" s="297">
        <f t="shared" si="2"/>
        <v>42675</v>
      </c>
      <c r="K67" s="67">
        <f t="shared" si="0"/>
        <v>6</v>
      </c>
      <c r="L67" s="155">
        <v>1.4833299999999999E-3</v>
      </c>
      <c r="M67" s="104">
        <f t="shared" si="1"/>
        <v>-1.6909962E-3</v>
      </c>
      <c r="O67" s="66">
        <f t="shared" si="3"/>
        <v>-5.7500333333333341E-2</v>
      </c>
    </row>
    <row r="68" spans="1:15">
      <c r="A68" s="102" t="s">
        <v>626</v>
      </c>
      <c r="B68" s="103" t="s">
        <v>1681</v>
      </c>
      <c r="C68" s="103" t="s">
        <v>2366</v>
      </c>
      <c r="D68" s="102" t="s">
        <v>2367</v>
      </c>
      <c r="E68" s="103" t="s">
        <v>75</v>
      </c>
      <c r="F68" s="102" t="s">
        <v>1602</v>
      </c>
      <c r="G68" s="103" t="s">
        <v>20</v>
      </c>
      <c r="H68" s="103">
        <v>201611</v>
      </c>
      <c r="I68" s="104">
        <v>-1080.55</v>
      </c>
      <c r="J68" s="297">
        <f t="shared" si="2"/>
        <v>42675</v>
      </c>
      <c r="K68" s="67">
        <f t="shared" ref="K68:K131" si="4">((YEAR($K$1)-YEAR(J68))*12+MONTH($K$1)-MONTH(J68))</f>
        <v>6</v>
      </c>
      <c r="L68" s="155">
        <v>1.4833299999999999E-3</v>
      </c>
      <c r="M68" s="104">
        <f t="shared" ref="M68:M131" si="5">L68*K68*I68</f>
        <v>-9.6168733890000002</v>
      </c>
      <c r="O68" s="66">
        <f t="shared" si="3"/>
        <v>-327.01044833333333</v>
      </c>
    </row>
    <row r="69" spans="1:15">
      <c r="A69" s="102" t="s">
        <v>14</v>
      </c>
      <c r="B69" s="103" t="s">
        <v>1681</v>
      </c>
      <c r="C69" s="103" t="s">
        <v>2366</v>
      </c>
      <c r="D69" s="102" t="s">
        <v>2367</v>
      </c>
      <c r="E69" s="103" t="s">
        <v>75</v>
      </c>
      <c r="F69" s="102" t="s">
        <v>1602</v>
      </c>
      <c r="G69" s="103" t="s">
        <v>20</v>
      </c>
      <c r="H69" s="103">
        <v>201611</v>
      </c>
      <c r="I69" s="104">
        <v>-1.39</v>
      </c>
      <c r="J69" s="297">
        <f t="shared" si="2"/>
        <v>42675</v>
      </c>
      <c r="K69" s="67">
        <f t="shared" si="4"/>
        <v>6</v>
      </c>
      <c r="L69" s="148">
        <v>2.23333E-3</v>
      </c>
      <c r="M69" s="104">
        <f t="shared" si="5"/>
        <v>-1.8625972199999997E-2</v>
      </c>
      <c r="O69" s="66">
        <f t="shared" ref="O69:O132" si="6">($O$4*I69*$R$11)</f>
        <v>-0.42066033333333336</v>
      </c>
    </row>
    <row r="70" spans="1:15">
      <c r="A70" s="102" t="s">
        <v>21</v>
      </c>
      <c r="B70" s="103" t="s">
        <v>1681</v>
      </c>
      <c r="C70" s="103" t="s">
        <v>2368</v>
      </c>
      <c r="D70" s="102" t="s">
        <v>2369</v>
      </c>
      <c r="E70" s="103" t="s">
        <v>75</v>
      </c>
      <c r="F70" s="102" t="s">
        <v>1602</v>
      </c>
      <c r="G70" s="103" t="s">
        <v>20</v>
      </c>
      <c r="H70" s="103">
        <v>201611</v>
      </c>
      <c r="I70" s="104">
        <v>0.84</v>
      </c>
      <c r="J70" s="297">
        <f t="shared" ref="J70:J133" si="7">+J69</f>
        <v>42675</v>
      </c>
      <c r="K70" s="67">
        <f t="shared" si="4"/>
        <v>6</v>
      </c>
      <c r="L70" s="155">
        <v>1.4833299999999999E-3</v>
      </c>
      <c r="M70" s="104">
        <f t="shared" si="5"/>
        <v>7.4759831999999995E-3</v>
      </c>
      <c r="O70" s="66">
        <f t="shared" si="6"/>
        <v>0.25421200000000005</v>
      </c>
    </row>
    <row r="71" spans="1:15">
      <c r="A71" s="102" t="s">
        <v>626</v>
      </c>
      <c r="B71" s="103" t="s">
        <v>1681</v>
      </c>
      <c r="C71" s="103" t="s">
        <v>2368</v>
      </c>
      <c r="D71" s="102" t="s">
        <v>2369</v>
      </c>
      <c r="E71" s="103" t="s">
        <v>75</v>
      </c>
      <c r="F71" s="102" t="s">
        <v>1602</v>
      </c>
      <c r="G71" s="103" t="s">
        <v>20</v>
      </c>
      <c r="H71" s="103">
        <v>201611</v>
      </c>
      <c r="I71" s="104">
        <v>8962.92</v>
      </c>
      <c r="J71" s="297">
        <f t="shared" si="7"/>
        <v>42675</v>
      </c>
      <c r="K71" s="67">
        <f t="shared" si="4"/>
        <v>6</v>
      </c>
      <c r="L71" s="155">
        <v>1.4833299999999999E-3</v>
      </c>
      <c r="M71" s="104">
        <f t="shared" si="5"/>
        <v>79.769808741600002</v>
      </c>
      <c r="O71" s="66">
        <f t="shared" si="6"/>
        <v>2712.4783560000001</v>
      </c>
    </row>
    <row r="72" spans="1:15">
      <c r="A72" s="102" t="s">
        <v>14</v>
      </c>
      <c r="B72" s="103" t="s">
        <v>1681</v>
      </c>
      <c r="C72" s="103" t="s">
        <v>2368</v>
      </c>
      <c r="D72" s="102" t="s">
        <v>2369</v>
      </c>
      <c r="E72" s="103" t="s">
        <v>75</v>
      </c>
      <c r="F72" s="102" t="s">
        <v>1602</v>
      </c>
      <c r="G72" s="103" t="s">
        <v>20</v>
      </c>
      <c r="H72" s="103">
        <v>201611</v>
      </c>
      <c r="I72" s="104">
        <v>14.77</v>
      </c>
      <c r="J72" s="297">
        <f t="shared" si="7"/>
        <v>42675</v>
      </c>
      <c r="K72" s="67">
        <f t="shared" si="4"/>
        <v>6</v>
      </c>
      <c r="L72" s="148">
        <v>2.23333E-3</v>
      </c>
      <c r="M72" s="104">
        <f t="shared" si="5"/>
        <v>0.19791770459999997</v>
      </c>
      <c r="O72" s="66">
        <f t="shared" si="6"/>
        <v>4.4698943333333334</v>
      </c>
    </row>
    <row r="73" spans="1:15">
      <c r="A73" s="102" t="s">
        <v>626</v>
      </c>
      <c r="B73" s="103" t="s">
        <v>1681</v>
      </c>
      <c r="C73" s="103" t="s">
        <v>2370</v>
      </c>
      <c r="D73" s="102" t="s">
        <v>2371</v>
      </c>
      <c r="E73" s="103" t="s">
        <v>75</v>
      </c>
      <c r="F73" s="102" t="s">
        <v>1602</v>
      </c>
      <c r="G73" s="103" t="s">
        <v>20</v>
      </c>
      <c r="H73" s="103">
        <v>201611</v>
      </c>
      <c r="I73" s="104">
        <v>5834.44</v>
      </c>
      <c r="J73" s="297">
        <f t="shared" si="7"/>
        <v>42675</v>
      </c>
      <c r="K73" s="67">
        <f t="shared" si="4"/>
        <v>6</v>
      </c>
      <c r="L73" s="155">
        <v>1.4833299999999999E-3</v>
      </c>
      <c r="M73" s="104">
        <f t="shared" si="5"/>
        <v>51.926399311199994</v>
      </c>
      <c r="O73" s="66">
        <f t="shared" si="6"/>
        <v>1765.6960253333334</v>
      </c>
    </row>
    <row r="74" spans="1:15">
      <c r="A74" s="102" t="s">
        <v>14</v>
      </c>
      <c r="B74" s="103" t="s">
        <v>1681</v>
      </c>
      <c r="C74" s="103" t="s">
        <v>2370</v>
      </c>
      <c r="D74" s="102" t="s">
        <v>2371</v>
      </c>
      <c r="E74" s="103" t="s">
        <v>75</v>
      </c>
      <c r="F74" s="102" t="s">
        <v>1602</v>
      </c>
      <c r="G74" s="103" t="s">
        <v>20</v>
      </c>
      <c r="H74" s="103">
        <v>201611</v>
      </c>
      <c r="I74" s="104">
        <v>0.51</v>
      </c>
      <c r="J74" s="297">
        <f t="shared" si="7"/>
        <v>42675</v>
      </c>
      <c r="K74" s="67">
        <f t="shared" si="4"/>
        <v>6</v>
      </c>
      <c r="L74" s="148">
        <v>2.23333E-3</v>
      </c>
      <c r="M74" s="104">
        <f t="shared" si="5"/>
        <v>6.8339897999999998E-3</v>
      </c>
      <c r="O74" s="66">
        <f t="shared" si="6"/>
        <v>0.15434300000000004</v>
      </c>
    </row>
    <row r="75" spans="1:15">
      <c r="A75" s="102" t="s">
        <v>626</v>
      </c>
      <c r="B75" s="103" t="s">
        <v>1681</v>
      </c>
      <c r="C75" s="103" t="s">
        <v>2317</v>
      </c>
      <c r="D75" s="102" t="s">
        <v>2318</v>
      </c>
      <c r="E75" s="103" t="s">
        <v>75</v>
      </c>
      <c r="F75" s="102" t="s">
        <v>1602</v>
      </c>
      <c r="G75" s="103" t="s">
        <v>20</v>
      </c>
      <c r="H75" s="103">
        <v>201611</v>
      </c>
      <c r="I75" s="104">
        <v>20.51</v>
      </c>
      <c r="J75" s="297">
        <f t="shared" si="7"/>
        <v>42675</v>
      </c>
      <c r="K75" s="67">
        <f t="shared" si="4"/>
        <v>6</v>
      </c>
      <c r="L75" s="155">
        <v>1.4833299999999999E-3</v>
      </c>
      <c r="M75" s="104">
        <f t="shared" si="5"/>
        <v>0.18253858980000001</v>
      </c>
      <c r="O75" s="66">
        <f t="shared" si="6"/>
        <v>6.2070096666666679</v>
      </c>
    </row>
    <row r="76" spans="1:15">
      <c r="A76" s="102" t="s">
        <v>626</v>
      </c>
      <c r="B76" s="103" t="s">
        <v>1681</v>
      </c>
      <c r="C76" s="103" t="s">
        <v>2009</v>
      </c>
      <c r="D76" s="102" t="s">
        <v>2010</v>
      </c>
      <c r="E76" s="103" t="s">
        <v>260</v>
      </c>
      <c r="F76" s="102" t="s">
        <v>1608</v>
      </c>
      <c r="G76" s="103" t="s">
        <v>20</v>
      </c>
      <c r="H76" s="103">
        <v>201611</v>
      </c>
      <c r="I76" s="104">
        <v>-14.24</v>
      </c>
      <c r="J76" s="297">
        <f t="shared" si="7"/>
        <v>42675</v>
      </c>
      <c r="K76" s="67">
        <f t="shared" si="4"/>
        <v>6</v>
      </c>
      <c r="L76" s="155">
        <v>1.4833299999999999E-3</v>
      </c>
      <c r="M76" s="104">
        <f t="shared" si="5"/>
        <v>-0.12673571520000002</v>
      </c>
      <c r="O76" s="66">
        <f t="shared" si="6"/>
        <v>-4.3094986666666673</v>
      </c>
    </row>
    <row r="77" spans="1:15">
      <c r="A77" s="102" t="s">
        <v>14</v>
      </c>
      <c r="B77" s="103" t="s">
        <v>1681</v>
      </c>
      <c r="C77" s="103" t="s">
        <v>2009</v>
      </c>
      <c r="D77" s="102" t="s">
        <v>2010</v>
      </c>
      <c r="E77" s="103" t="s">
        <v>260</v>
      </c>
      <c r="F77" s="102" t="s">
        <v>1608</v>
      </c>
      <c r="G77" s="103" t="s">
        <v>20</v>
      </c>
      <c r="H77" s="103">
        <v>201611</v>
      </c>
      <c r="I77" s="104">
        <v>-0.26</v>
      </c>
      <c r="J77" s="297">
        <f t="shared" si="7"/>
        <v>42675</v>
      </c>
      <c r="K77" s="67">
        <f t="shared" si="4"/>
        <v>6</v>
      </c>
      <c r="L77" s="148">
        <v>2.23333E-3</v>
      </c>
      <c r="M77" s="104">
        <f t="shared" si="5"/>
        <v>-3.4839947999999996E-3</v>
      </c>
      <c r="O77" s="66">
        <f t="shared" si="6"/>
        <v>-7.8684666666666681E-2</v>
      </c>
    </row>
    <row r="78" spans="1:15">
      <c r="A78" s="102" t="s">
        <v>626</v>
      </c>
      <c r="B78" s="103" t="s">
        <v>1681</v>
      </c>
      <c r="C78" s="103" t="s">
        <v>2265</v>
      </c>
      <c r="D78" s="102" t="s">
        <v>2266</v>
      </c>
      <c r="E78" s="103" t="s">
        <v>164</v>
      </c>
      <c r="F78" s="102" t="s">
        <v>1600</v>
      </c>
      <c r="G78" s="103" t="s">
        <v>20</v>
      </c>
      <c r="H78" s="103">
        <v>201611</v>
      </c>
      <c r="I78" s="104">
        <v>1714.93</v>
      </c>
      <c r="J78" s="297">
        <f t="shared" si="7"/>
        <v>42675</v>
      </c>
      <c r="K78" s="67">
        <f t="shared" si="4"/>
        <v>6</v>
      </c>
      <c r="L78" s="155">
        <v>1.4833299999999999E-3</v>
      </c>
      <c r="M78" s="104">
        <f t="shared" si="5"/>
        <v>15.2628427014</v>
      </c>
      <c r="O78" s="66">
        <f t="shared" si="6"/>
        <v>518.9949823333335</v>
      </c>
    </row>
    <row r="79" spans="1:15">
      <c r="A79" s="102" t="s">
        <v>626</v>
      </c>
      <c r="B79" s="103" t="s">
        <v>1681</v>
      </c>
      <c r="C79" s="103" t="s">
        <v>2319</v>
      </c>
      <c r="D79" s="102" t="s">
        <v>2320</v>
      </c>
      <c r="E79" s="103" t="s">
        <v>164</v>
      </c>
      <c r="F79" s="102" t="s">
        <v>1600</v>
      </c>
      <c r="G79" s="103" t="s">
        <v>20</v>
      </c>
      <c r="H79" s="103">
        <v>201611</v>
      </c>
      <c r="I79" s="104">
        <v>881.62</v>
      </c>
      <c r="J79" s="297">
        <f t="shared" si="7"/>
        <v>42675</v>
      </c>
      <c r="K79" s="67">
        <f t="shared" si="4"/>
        <v>6</v>
      </c>
      <c r="L79" s="155">
        <v>1.4833299999999999E-3</v>
      </c>
      <c r="M79" s="104">
        <f t="shared" si="5"/>
        <v>7.8464003676000003</v>
      </c>
      <c r="O79" s="66">
        <f t="shared" si="6"/>
        <v>266.80759933333337</v>
      </c>
    </row>
    <row r="80" spans="1:15">
      <c r="A80" s="102" t="s">
        <v>14</v>
      </c>
      <c r="B80" s="103" t="s">
        <v>1681</v>
      </c>
      <c r="C80" s="103" t="s">
        <v>2319</v>
      </c>
      <c r="D80" s="102" t="s">
        <v>2320</v>
      </c>
      <c r="E80" s="103" t="s">
        <v>164</v>
      </c>
      <c r="F80" s="102" t="s">
        <v>1600</v>
      </c>
      <c r="G80" s="103" t="s">
        <v>20</v>
      </c>
      <c r="H80" s="103">
        <v>201611</v>
      </c>
      <c r="I80" s="104">
        <v>24.67</v>
      </c>
      <c r="J80" s="297">
        <f t="shared" si="7"/>
        <v>42675</v>
      </c>
      <c r="K80" s="67">
        <f t="shared" si="4"/>
        <v>6</v>
      </c>
      <c r="L80" s="148">
        <v>2.23333E-3</v>
      </c>
      <c r="M80" s="104">
        <f t="shared" si="5"/>
        <v>0.33057750660000002</v>
      </c>
      <c r="O80" s="66">
        <f t="shared" si="6"/>
        <v>7.4659643333333348</v>
      </c>
    </row>
    <row r="81" spans="1:15">
      <c r="A81" s="102" t="s">
        <v>626</v>
      </c>
      <c r="B81" s="103" t="s">
        <v>1681</v>
      </c>
      <c r="C81" s="103" t="s">
        <v>2321</v>
      </c>
      <c r="D81" s="102" t="s">
        <v>2322</v>
      </c>
      <c r="E81" s="103" t="s">
        <v>164</v>
      </c>
      <c r="F81" s="102" t="s">
        <v>1600</v>
      </c>
      <c r="G81" s="103" t="s">
        <v>20</v>
      </c>
      <c r="H81" s="103">
        <v>201611</v>
      </c>
      <c r="I81" s="104">
        <v>41699.64</v>
      </c>
      <c r="J81" s="297">
        <f t="shared" si="7"/>
        <v>42675</v>
      </c>
      <c r="K81" s="67">
        <f t="shared" si="4"/>
        <v>6</v>
      </c>
      <c r="L81" s="155">
        <v>1.4833299999999999E-3</v>
      </c>
      <c r="M81" s="104">
        <f t="shared" si="5"/>
        <v>371.12596200719997</v>
      </c>
      <c r="O81" s="66">
        <f t="shared" si="6"/>
        <v>12619.701052</v>
      </c>
    </row>
    <row r="82" spans="1:15">
      <c r="A82" s="102" t="s">
        <v>14</v>
      </c>
      <c r="B82" s="103" t="s">
        <v>1681</v>
      </c>
      <c r="C82" s="103" t="s">
        <v>2321</v>
      </c>
      <c r="D82" s="102" t="s">
        <v>2322</v>
      </c>
      <c r="E82" s="103" t="s">
        <v>164</v>
      </c>
      <c r="F82" s="102" t="s">
        <v>1600</v>
      </c>
      <c r="G82" s="103" t="s">
        <v>20</v>
      </c>
      <c r="H82" s="103">
        <v>201611</v>
      </c>
      <c r="I82" s="104">
        <v>367.67</v>
      </c>
      <c r="J82" s="297">
        <f t="shared" si="7"/>
        <v>42675</v>
      </c>
      <c r="K82" s="67">
        <f t="shared" si="4"/>
        <v>6</v>
      </c>
      <c r="L82" s="148">
        <v>2.23333E-3</v>
      </c>
      <c r="M82" s="104">
        <f t="shared" si="5"/>
        <v>4.9267706465999996</v>
      </c>
      <c r="O82" s="66">
        <f t="shared" si="6"/>
        <v>111.26919766666668</v>
      </c>
    </row>
    <row r="83" spans="1:15">
      <c r="A83" s="102" t="s">
        <v>626</v>
      </c>
      <c r="B83" s="103" t="s">
        <v>1681</v>
      </c>
      <c r="C83" s="103" t="s">
        <v>2372</v>
      </c>
      <c r="D83" s="102" t="s">
        <v>2373</v>
      </c>
      <c r="E83" s="103" t="s">
        <v>164</v>
      </c>
      <c r="F83" s="102" t="s">
        <v>1600</v>
      </c>
      <c r="G83" s="103" t="s">
        <v>20</v>
      </c>
      <c r="H83" s="103">
        <v>201611</v>
      </c>
      <c r="I83" s="104">
        <v>-5895.54</v>
      </c>
      <c r="J83" s="297">
        <f t="shared" si="7"/>
        <v>42675</v>
      </c>
      <c r="K83" s="67">
        <f t="shared" si="4"/>
        <v>6</v>
      </c>
      <c r="L83" s="155">
        <v>1.4833299999999999E-3</v>
      </c>
      <c r="M83" s="104">
        <f t="shared" si="5"/>
        <v>-52.470188089200001</v>
      </c>
      <c r="O83" s="66">
        <f t="shared" si="6"/>
        <v>-1784.1869220000003</v>
      </c>
    </row>
    <row r="84" spans="1:15">
      <c r="A84" s="102" t="s">
        <v>14</v>
      </c>
      <c r="B84" s="103" t="s">
        <v>1681</v>
      </c>
      <c r="C84" s="103" t="s">
        <v>2372</v>
      </c>
      <c r="D84" s="102" t="s">
        <v>2373</v>
      </c>
      <c r="E84" s="103" t="s">
        <v>164</v>
      </c>
      <c r="F84" s="102" t="s">
        <v>1600</v>
      </c>
      <c r="G84" s="103" t="s">
        <v>20</v>
      </c>
      <c r="H84" s="103">
        <v>201611</v>
      </c>
      <c r="I84" s="104">
        <v>-73.12</v>
      </c>
      <c r="J84" s="297">
        <f t="shared" si="7"/>
        <v>42675</v>
      </c>
      <c r="K84" s="67">
        <f t="shared" si="4"/>
        <v>6</v>
      </c>
      <c r="L84" s="148">
        <v>2.23333E-3</v>
      </c>
      <c r="M84" s="104">
        <f t="shared" si="5"/>
        <v>-0.97980653760000003</v>
      </c>
      <c r="O84" s="66">
        <f t="shared" si="6"/>
        <v>-22.128549333333336</v>
      </c>
    </row>
    <row r="85" spans="1:15">
      <c r="A85" s="102" t="s">
        <v>626</v>
      </c>
      <c r="B85" s="103" t="s">
        <v>1681</v>
      </c>
      <c r="C85" s="103" t="s">
        <v>2374</v>
      </c>
      <c r="D85" s="102" t="s">
        <v>2375</v>
      </c>
      <c r="E85" s="103" t="s">
        <v>164</v>
      </c>
      <c r="F85" s="102" t="s">
        <v>1600</v>
      </c>
      <c r="G85" s="103" t="s">
        <v>20</v>
      </c>
      <c r="H85" s="103">
        <v>201611</v>
      </c>
      <c r="I85" s="104">
        <v>-328.15</v>
      </c>
      <c r="J85" s="297">
        <f t="shared" si="7"/>
        <v>42675</v>
      </c>
      <c r="K85" s="67">
        <f t="shared" si="4"/>
        <v>6</v>
      </c>
      <c r="L85" s="155">
        <v>1.4833299999999999E-3</v>
      </c>
      <c r="M85" s="104">
        <f t="shared" si="5"/>
        <v>-2.9205284369999998</v>
      </c>
      <c r="O85" s="66">
        <f t="shared" si="6"/>
        <v>-99.309128333333348</v>
      </c>
    </row>
    <row r="86" spans="1:15">
      <c r="A86" s="102" t="s">
        <v>14</v>
      </c>
      <c r="B86" s="103" t="s">
        <v>1681</v>
      </c>
      <c r="C86" s="103" t="s">
        <v>2374</v>
      </c>
      <c r="D86" s="102" t="s">
        <v>2375</v>
      </c>
      <c r="E86" s="103" t="s">
        <v>164</v>
      </c>
      <c r="F86" s="102" t="s">
        <v>1600</v>
      </c>
      <c r="G86" s="103" t="s">
        <v>20</v>
      </c>
      <c r="H86" s="103">
        <v>201611</v>
      </c>
      <c r="I86" s="104">
        <v>-88.27</v>
      </c>
      <c r="J86" s="297">
        <f t="shared" si="7"/>
        <v>42675</v>
      </c>
      <c r="K86" s="67">
        <f t="shared" si="4"/>
        <v>6</v>
      </c>
      <c r="L86" s="148">
        <v>2.23333E-3</v>
      </c>
      <c r="M86" s="104">
        <f t="shared" si="5"/>
        <v>-1.1828162345999997</v>
      </c>
      <c r="O86" s="66">
        <f t="shared" si="6"/>
        <v>-26.713444333333335</v>
      </c>
    </row>
    <row r="87" spans="1:15">
      <c r="A87" s="102" t="s">
        <v>626</v>
      </c>
      <c r="B87" s="103" t="s">
        <v>1681</v>
      </c>
      <c r="C87" s="103" t="s">
        <v>2376</v>
      </c>
      <c r="D87" s="102" t="s">
        <v>2377</v>
      </c>
      <c r="E87" s="103" t="s">
        <v>164</v>
      </c>
      <c r="F87" s="102" t="s">
        <v>1600</v>
      </c>
      <c r="G87" s="103" t="s">
        <v>20</v>
      </c>
      <c r="H87" s="103">
        <v>201611</v>
      </c>
      <c r="I87" s="104">
        <v>-78.709999999999994</v>
      </c>
      <c r="J87" s="297">
        <f t="shared" si="7"/>
        <v>42675</v>
      </c>
      <c r="K87" s="67">
        <f t="shared" si="4"/>
        <v>6</v>
      </c>
      <c r="L87" s="155">
        <v>1.4833299999999999E-3</v>
      </c>
      <c r="M87" s="104">
        <f t="shared" si="5"/>
        <v>-0.70051742579999998</v>
      </c>
      <c r="O87" s="66">
        <f t="shared" si="6"/>
        <v>-23.820269666666668</v>
      </c>
    </row>
    <row r="88" spans="1:15">
      <c r="A88" s="102" t="s">
        <v>14</v>
      </c>
      <c r="B88" s="103" t="s">
        <v>1681</v>
      </c>
      <c r="C88" s="103" t="s">
        <v>2376</v>
      </c>
      <c r="D88" s="102" t="s">
        <v>2377</v>
      </c>
      <c r="E88" s="103" t="s">
        <v>164</v>
      </c>
      <c r="F88" s="102" t="s">
        <v>1600</v>
      </c>
      <c r="G88" s="103" t="s">
        <v>20</v>
      </c>
      <c r="H88" s="103">
        <v>201611</v>
      </c>
      <c r="I88" s="104">
        <v>-11.4</v>
      </c>
      <c r="J88" s="297">
        <f t="shared" si="7"/>
        <v>42675</v>
      </c>
      <c r="K88" s="67">
        <f t="shared" si="4"/>
        <v>6</v>
      </c>
      <c r="L88" s="148">
        <v>2.23333E-3</v>
      </c>
      <c r="M88" s="104">
        <f t="shared" si="5"/>
        <v>-0.15275977199999999</v>
      </c>
      <c r="O88" s="66">
        <f t="shared" si="6"/>
        <v>-3.4500200000000008</v>
      </c>
    </row>
    <row r="89" spans="1:15">
      <c r="A89" s="102" t="s">
        <v>626</v>
      </c>
      <c r="B89" s="103" t="s">
        <v>1681</v>
      </c>
      <c r="C89" s="103" t="s">
        <v>2380</v>
      </c>
      <c r="D89" s="102" t="s">
        <v>2381</v>
      </c>
      <c r="E89" s="103" t="s">
        <v>164</v>
      </c>
      <c r="F89" s="102" t="s">
        <v>1600</v>
      </c>
      <c r="G89" s="103" t="s">
        <v>20</v>
      </c>
      <c r="H89" s="103">
        <v>201611</v>
      </c>
      <c r="I89" s="104">
        <v>152.84</v>
      </c>
      <c r="J89" s="297">
        <f t="shared" si="7"/>
        <v>42675</v>
      </c>
      <c r="K89" s="67">
        <f t="shared" si="4"/>
        <v>6</v>
      </c>
      <c r="L89" s="155">
        <v>1.4833299999999999E-3</v>
      </c>
      <c r="M89" s="104">
        <f t="shared" si="5"/>
        <v>1.3602729432</v>
      </c>
      <c r="O89" s="66">
        <f t="shared" si="6"/>
        <v>46.254478666666678</v>
      </c>
    </row>
    <row r="90" spans="1:15">
      <c r="A90" s="102" t="s">
        <v>1942</v>
      </c>
      <c r="B90" s="103" t="s">
        <v>1681</v>
      </c>
      <c r="C90" s="103" t="s">
        <v>2380</v>
      </c>
      <c r="D90" s="102" t="s">
        <v>2381</v>
      </c>
      <c r="E90" s="103" t="s">
        <v>164</v>
      </c>
      <c r="F90" s="102" t="s">
        <v>1600</v>
      </c>
      <c r="G90" s="103" t="s">
        <v>20</v>
      </c>
      <c r="H90" s="103">
        <v>201611</v>
      </c>
      <c r="I90" s="104">
        <v>0.43</v>
      </c>
      <c r="J90" s="297">
        <f t="shared" si="7"/>
        <v>42675</v>
      </c>
      <c r="K90" s="67">
        <f t="shared" si="4"/>
        <v>6</v>
      </c>
      <c r="L90" s="155">
        <v>2.23333E-3</v>
      </c>
      <c r="M90" s="104">
        <f t="shared" si="5"/>
        <v>5.7619913999999994E-3</v>
      </c>
      <c r="O90" s="66">
        <f t="shared" si="6"/>
        <v>0.13013233333333335</v>
      </c>
    </row>
    <row r="91" spans="1:15">
      <c r="A91" s="102" t="s">
        <v>14</v>
      </c>
      <c r="B91" s="103" t="s">
        <v>1681</v>
      </c>
      <c r="C91" s="103" t="s">
        <v>2380</v>
      </c>
      <c r="D91" s="102" t="s">
        <v>2381</v>
      </c>
      <c r="E91" s="103" t="s">
        <v>164</v>
      </c>
      <c r="F91" s="102" t="s">
        <v>1600</v>
      </c>
      <c r="G91" s="103" t="s">
        <v>20</v>
      </c>
      <c r="H91" s="103">
        <v>201611</v>
      </c>
      <c r="I91" s="104">
        <v>34.85</v>
      </c>
      <c r="J91" s="297">
        <f t="shared" si="7"/>
        <v>42675</v>
      </c>
      <c r="K91" s="67">
        <f t="shared" si="4"/>
        <v>6</v>
      </c>
      <c r="L91" s="148">
        <v>2.23333E-3</v>
      </c>
      <c r="M91" s="104">
        <f t="shared" si="5"/>
        <v>0.46698930299999997</v>
      </c>
      <c r="O91" s="66">
        <f t="shared" si="6"/>
        <v>10.546771666666668</v>
      </c>
    </row>
    <row r="92" spans="1:15">
      <c r="A92" s="102" t="s">
        <v>626</v>
      </c>
      <c r="B92" s="103" t="s">
        <v>1681</v>
      </c>
      <c r="C92" s="103" t="s">
        <v>2382</v>
      </c>
      <c r="D92" s="102" t="s">
        <v>2383</v>
      </c>
      <c r="E92" s="103" t="s">
        <v>164</v>
      </c>
      <c r="F92" s="102" t="s">
        <v>1600</v>
      </c>
      <c r="G92" s="103" t="s">
        <v>20</v>
      </c>
      <c r="H92" s="103">
        <v>201611</v>
      </c>
      <c r="I92" s="104">
        <v>-380.09</v>
      </c>
      <c r="J92" s="297">
        <f t="shared" si="7"/>
        <v>42675</v>
      </c>
      <c r="K92" s="67">
        <f t="shared" si="4"/>
        <v>6</v>
      </c>
      <c r="L92" s="155">
        <v>1.4833299999999999E-3</v>
      </c>
      <c r="M92" s="104">
        <f t="shared" si="5"/>
        <v>-3.3827933981999996</v>
      </c>
      <c r="O92" s="66">
        <f t="shared" si="6"/>
        <v>-115.02790366666669</v>
      </c>
    </row>
    <row r="93" spans="1:15">
      <c r="A93" s="102" t="s">
        <v>1942</v>
      </c>
      <c r="B93" s="103" t="s">
        <v>1681</v>
      </c>
      <c r="C93" s="103" t="s">
        <v>2382</v>
      </c>
      <c r="D93" s="102" t="s">
        <v>2383</v>
      </c>
      <c r="E93" s="103" t="s">
        <v>164</v>
      </c>
      <c r="F93" s="102" t="s">
        <v>1600</v>
      </c>
      <c r="G93" s="103" t="s">
        <v>20</v>
      </c>
      <c r="H93" s="103">
        <v>201611</v>
      </c>
      <c r="I93" s="104">
        <v>-1.19</v>
      </c>
      <c r="J93" s="297">
        <f t="shared" si="7"/>
        <v>42675</v>
      </c>
      <c r="K93" s="67">
        <f t="shared" si="4"/>
        <v>6</v>
      </c>
      <c r="L93" s="155">
        <v>2.23333E-3</v>
      </c>
      <c r="M93" s="104">
        <f t="shared" si="5"/>
        <v>-1.5945976199999996E-2</v>
      </c>
      <c r="O93" s="66">
        <f t="shared" si="6"/>
        <v>-0.36013366666666669</v>
      </c>
    </row>
    <row r="94" spans="1:15">
      <c r="A94" s="102" t="s">
        <v>14</v>
      </c>
      <c r="B94" s="103" t="s">
        <v>1681</v>
      </c>
      <c r="C94" s="103" t="s">
        <v>2382</v>
      </c>
      <c r="D94" s="102" t="s">
        <v>2383</v>
      </c>
      <c r="E94" s="103" t="s">
        <v>164</v>
      </c>
      <c r="F94" s="102" t="s">
        <v>1600</v>
      </c>
      <c r="G94" s="103" t="s">
        <v>20</v>
      </c>
      <c r="H94" s="103">
        <v>201611</v>
      </c>
      <c r="I94" s="104">
        <v>-44.86</v>
      </c>
      <c r="J94" s="297">
        <f t="shared" si="7"/>
        <v>42675</v>
      </c>
      <c r="K94" s="67">
        <f t="shared" si="4"/>
        <v>6</v>
      </c>
      <c r="L94" s="148">
        <v>2.23333E-3</v>
      </c>
      <c r="M94" s="104">
        <f t="shared" si="5"/>
        <v>-0.60112310279999992</v>
      </c>
      <c r="O94" s="66">
        <f t="shared" si="6"/>
        <v>-13.576131333333334</v>
      </c>
    </row>
    <row r="95" spans="1:15">
      <c r="A95" s="102" t="s">
        <v>626</v>
      </c>
      <c r="B95" s="103" t="s">
        <v>1681</v>
      </c>
      <c r="C95" s="103" t="s">
        <v>2267</v>
      </c>
      <c r="D95" s="102" t="s">
        <v>2268</v>
      </c>
      <c r="E95" s="103" t="s">
        <v>260</v>
      </c>
      <c r="F95" s="102" t="s">
        <v>1608</v>
      </c>
      <c r="G95" s="103" t="s">
        <v>20</v>
      </c>
      <c r="H95" s="103">
        <v>201611</v>
      </c>
      <c r="I95" s="104">
        <v>967.16</v>
      </c>
      <c r="J95" s="297">
        <f t="shared" si="7"/>
        <v>42675</v>
      </c>
      <c r="K95" s="67">
        <f t="shared" si="4"/>
        <v>6</v>
      </c>
      <c r="L95" s="155">
        <v>1.4833299999999999E-3</v>
      </c>
      <c r="M95" s="104">
        <f t="shared" si="5"/>
        <v>8.6077046567999993</v>
      </c>
      <c r="O95" s="66">
        <f t="shared" si="6"/>
        <v>292.69485466666669</v>
      </c>
    </row>
    <row r="96" spans="1:15">
      <c r="A96" s="102" t="s">
        <v>14</v>
      </c>
      <c r="B96" s="103" t="s">
        <v>1681</v>
      </c>
      <c r="C96" s="103" t="s">
        <v>2267</v>
      </c>
      <c r="D96" s="102" t="s">
        <v>2268</v>
      </c>
      <c r="E96" s="103" t="s">
        <v>260</v>
      </c>
      <c r="F96" s="102" t="s">
        <v>1608</v>
      </c>
      <c r="G96" s="103" t="s">
        <v>20</v>
      </c>
      <c r="H96" s="103">
        <v>201611</v>
      </c>
      <c r="I96" s="104">
        <v>200.25</v>
      </c>
      <c r="J96" s="297">
        <f t="shared" si="7"/>
        <v>42675</v>
      </c>
      <c r="K96" s="67">
        <f t="shared" si="4"/>
        <v>6</v>
      </c>
      <c r="L96" s="148">
        <v>2.23333E-3</v>
      </c>
      <c r="M96" s="104">
        <f t="shared" si="5"/>
        <v>2.6833459949999998</v>
      </c>
      <c r="O96" s="66">
        <f t="shared" si="6"/>
        <v>60.602325000000008</v>
      </c>
    </row>
    <row r="97" spans="1:15">
      <c r="A97" s="102" t="s">
        <v>626</v>
      </c>
      <c r="B97" s="103" t="s">
        <v>1681</v>
      </c>
      <c r="C97" s="103" t="s">
        <v>2384</v>
      </c>
      <c r="D97" s="102" t="s">
        <v>2385</v>
      </c>
      <c r="E97" s="103" t="s">
        <v>260</v>
      </c>
      <c r="F97" s="102" t="s">
        <v>1608</v>
      </c>
      <c r="G97" s="103" t="s">
        <v>20</v>
      </c>
      <c r="H97" s="103">
        <v>201611</v>
      </c>
      <c r="I97" s="104">
        <v>1034.31</v>
      </c>
      <c r="J97" s="297">
        <f t="shared" si="7"/>
        <v>42675</v>
      </c>
      <c r="K97" s="67">
        <f t="shared" si="4"/>
        <v>6</v>
      </c>
      <c r="L97" s="155">
        <v>1.4833299999999999E-3</v>
      </c>
      <c r="M97" s="104">
        <f t="shared" si="5"/>
        <v>9.2053383137999987</v>
      </c>
      <c r="O97" s="66">
        <f t="shared" si="6"/>
        <v>313.01668300000006</v>
      </c>
    </row>
    <row r="98" spans="1:15">
      <c r="A98" s="102" t="s">
        <v>14</v>
      </c>
      <c r="B98" s="103" t="s">
        <v>1681</v>
      </c>
      <c r="C98" s="103" t="s">
        <v>2384</v>
      </c>
      <c r="D98" s="102" t="s">
        <v>2385</v>
      </c>
      <c r="E98" s="103" t="s">
        <v>260</v>
      </c>
      <c r="F98" s="102" t="s">
        <v>1608</v>
      </c>
      <c r="G98" s="103" t="s">
        <v>20</v>
      </c>
      <c r="H98" s="103">
        <v>201611</v>
      </c>
      <c r="I98" s="104">
        <v>27.82</v>
      </c>
      <c r="J98" s="297">
        <f t="shared" si="7"/>
        <v>42675</v>
      </c>
      <c r="K98" s="67">
        <f t="shared" si="4"/>
        <v>6</v>
      </c>
      <c r="L98" s="148">
        <v>2.23333E-3</v>
      </c>
      <c r="M98" s="104">
        <f t="shared" si="5"/>
        <v>0.37278744359999999</v>
      </c>
      <c r="O98" s="66">
        <f t="shared" si="6"/>
        <v>8.4192593333333345</v>
      </c>
    </row>
    <row r="99" spans="1:15">
      <c r="A99" s="102" t="s">
        <v>626</v>
      </c>
      <c r="B99" s="103" t="s">
        <v>1681</v>
      </c>
      <c r="C99" s="103" t="s">
        <v>2386</v>
      </c>
      <c r="D99" s="102" t="s">
        <v>2387</v>
      </c>
      <c r="E99" s="103" t="s">
        <v>260</v>
      </c>
      <c r="F99" s="102" t="s">
        <v>1608</v>
      </c>
      <c r="G99" s="103" t="s">
        <v>20</v>
      </c>
      <c r="H99" s="103">
        <v>201611</v>
      </c>
      <c r="I99" s="104">
        <v>14167.82</v>
      </c>
      <c r="J99" s="297">
        <f t="shared" si="7"/>
        <v>42675</v>
      </c>
      <c r="K99" s="67">
        <f t="shared" si="4"/>
        <v>6</v>
      </c>
      <c r="L99" s="155">
        <v>1.4833299999999999E-3</v>
      </c>
      <c r="M99" s="104">
        <f t="shared" si="5"/>
        <v>126.0933146436</v>
      </c>
      <c r="O99" s="66">
        <f t="shared" si="6"/>
        <v>4287.6545926666668</v>
      </c>
    </row>
    <row r="100" spans="1:15">
      <c r="A100" s="102" t="s">
        <v>14</v>
      </c>
      <c r="B100" s="103" t="s">
        <v>1681</v>
      </c>
      <c r="C100" s="103" t="s">
        <v>2386</v>
      </c>
      <c r="D100" s="102" t="s">
        <v>2387</v>
      </c>
      <c r="E100" s="103" t="s">
        <v>260</v>
      </c>
      <c r="F100" s="102" t="s">
        <v>1608</v>
      </c>
      <c r="G100" s="103" t="s">
        <v>20</v>
      </c>
      <c r="H100" s="103">
        <v>201611</v>
      </c>
      <c r="I100" s="104">
        <v>10.1</v>
      </c>
      <c r="J100" s="297">
        <f t="shared" si="7"/>
        <v>42675</v>
      </c>
      <c r="K100" s="67">
        <f t="shared" si="4"/>
        <v>6</v>
      </c>
      <c r="L100" s="148">
        <v>2.23333E-3</v>
      </c>
      <c r="M100" s="104">
        <f t="shared" si="5"/>
        <v>0.13533979799999998</v>
      </c>
      <c r="O100" s="66">
        <f t="shared" si="6"/>
        <v>3.0565966666666671</v>
      </c>
    </row>
    <row r="101" spans="1:15">
      <c r="A101" s="102" t="s">
        <v>626</v>
      </c>
      <c r="B101" s="103" t="s">
        <v>1681</v>
      </c>
      <c r="C101" s="103" t="s">
        <v>2073</v>
      </c>
      <c r="D101" s="102" t="s">
        <v>2074</v>
      </c>
      <c r="E101" s="103" t="s">
        <v>164</v>
      </c>
      <c r="F101" s="102" t="s">
        <v>1600</v>
      </c>
      <c r="G101" s="103" t="s">
        <v>20</v>
      </c>
      <c r="H101" s="103">
        <v>201611</v>
      </c>
      <c r="I101" s="104">
        <v>-2081.13</v>
      </c>
      <c r="J101" s="297">
        <f t="shared" si="7"/>
        <v>42675</v>
      </c>
      <c r="K101" s="67">
        <f t="shared" si="4"/>
        <v>6</v>
      </c>
      <c r="L101" s="155">
        <v>1.4833299999999999E-3</v>
      </c>
      <c r="M101" s="104">
        <f t="shared" si="5"/>
        <v>-18.522015377400002</v>
      </c>
      <c r="O101" s="66">
        <f t="shared" si="6"/>
        <v>-629.81930900000009</v>
      </c>
    </row>
    <row r="102" spans="1:15">
      <c r="A102" s="102" t="s">
        <v>626</v>
      </c>
      <c r="B102" s="103" t="s">
        <v>1681</v>
      </c>
      <c r="C102" s="103" t="s">
        <v>2015</v>
      </c>
      <c r="D102" s="102" t="s">
        <v>2016</v>
      </c>
      <c r="E102" s="103" t="s">
        <v>164</v>
      </c>
      <c r="F102" s="102" t="s">
        <v>1600</v>
      </c>
      <c r="G102" s="103" t="s">
        <v>20</v>
      </c>
      <c r="H102" s="103">
        <v>201611</v>
      </c>
      <c r="I102" s="104">
        <v>16441.93</v>
      </c>
      <c r="J102" s="297">
        <f t="shared" si="7"/>
        <v>42675</v>
      </c>
      <c r="K102" s="67">
        <f t="shared" si="4"/>
        <v>6</v>
      </c>
      <c r="L102" s="155">
        <v>1.4833299999999999E-3</v>
      </c>
      <c r="M102" s="104">
        <f t="shared" si="5"/>
        <v>146.33284816139999</v>
      </c>
      <c r="O102" s="66">
        <f t="shared" si="6"/>
        <v>4975.8760823333341</v>
      </c>
    </row>
    <row r="103" spans="1:15">
      <c r="A103" s="102" t="s">
        <v>14</v>
      </c>
      <c r="B103" s="103" t="s">
        <v>1681</v>
      </c>
      <c r="C103" s="103" t="s">
        <v>2015</v>
      </c>
      <c r="D103" s="102" t="s">
        <v>2016</v>
      </c>
      <c r="E103" s="103" t="s">
        <v>164</v>
      </c>
      <c r="F103" s="102" t="s">
        <v>1600</v>
      </c>
      <c r="G103" s="103" t="s">
        <v>20</v>
      </c>
      <c r="H103" s="103">
        <v>201611</v>
      </c>
      <c r="I103" s="104">
        <v>1476.09</v>
      </c>
      <c r="J103" s="297">
        <f t="shared" si="7"/>
        <v>42675</v>
      </c>
      <c r="K103" s="67">
        <f t="shared" si="4"/>
        <v>6</v>
      </c>
      <c r="L103" s="148">
        <v>2.23333E-3</v>
      </c>
      <c r="M103" s="104">
        <f t="shared" si="5"/>
        <v>19.779576478199996</v>
      </c>
      <c r="O103" s="66">
        <f t="shared" si="6"/>
        <v>446.71403700000002</v>
      </c>
    </row>
    <row r="104" spans="1:15">
      <c r="A104" s="102" t="s">
        <v>626</v>
      </c>
      <c r="B104" s="103" t="s">
        <v>1681</v>
      </c>
      <c r="C104" s="103" t="s">
        <v>2077</v>
      </c>
      <c r="D104" s="102" t="s">
        <v>2078</v>
      </c>
      <c r="E104" s="103" t="s">
        <v>260</v>
      </c>
      <c r="F104" s="102" t="s">
        <v>1608</v>
      </c>
      <c r="G104" s="103" t="s">
        <v>20</v>
      </c>
      <c r="H104" s="103">
        <v>201611</v>
      </c>
      <c r="I104" s="104">
        <v>-1204.58</v>
      </c>
      <c r="J104" s="297">
        <f t="shared" si="7"/>
        <v>42675</v>
      </c>
      <c r="K104" s="67">
        <f t="shared" si="4"/>
        <v>6</v>
      </c>
      <c r="L104" s="155">
        <v>1.4833299999999999E-3</v>
      </c>
      <c r="M104" s="104">
        <f t="shared" si="5"/>
        <v>-10.7207379084</v>
      </c>
      <c r="O104" s="66">
        <f t="shared" si="6"/>
        <v>-364.54606066666668</v>
      </c>
    </row>
    <row r="105" spans="1:15">
      <c r="A105" s="102" t="s">
        <v>626</v>
      </c>
      <c r="B105" s="103" t="s">
        <v>1681</v>
      </c>
      <c r="C105" s="103" t="s">
        <v>2083</v>
      </c>
      <c r="D105" s="102" t="s">
        <v>2084</v>
      </c>
      <c r="E105" s="103" t="s">
        <v>75</v>
      </c>
      <c r="F105" s="102" t="s">
        <v>1602</v>
      </c>
      <c r="G105" s="103" t="s">
        <v>20</v>
      </c>
      <c r="H105" s="103">
        <v>201611</v>
      </c>
      <c r="I105" s="104">
        <v>109.44</v>
      </c>
      <c r="J105" s="297">
        <f t="shared" si="7"/>
        <v>42675</v>
      </c>
      <c r="K105" s="67">
        <f t="shared" si="4"/>
        <v>6</v>
      </c>
      <c r="L105" s="155">
        <v>1.4833299999999999E-3</v>
      </c>
      <c r="M105" s="104">
        <f t="shared" si="5"/>
        <v>0.97401381119999997</v>
      </c>
      <c r="O105" s="66">
        <f t="shared" si="6"/>
        <v>33.120192000000003</v>
      </c>
    </row>
    <row r="106" spans="1:15">
      <c r="A106" s="102" t="s">
        <v>21</v>
      </c>
      <c r="B106" s="103" t="s">
        <v>1681</v>
      </c>
      <c r="C106" s="103" t="s">
        <v>2392</v>
      </c>
      <c r="D106" s="102" t="s">
        <v>2393</v>
      </c>
      <c r="E106" s="103" t="s">
        <v>75</v>
      </c>
      <c r="F106" s="102" t="s">
        <v>1602</v>
      </c>
      <c r="G106" s="103" t="s">
        <v>20</v>
      </c>
      <c r="H106" s="103">
        <v>201611</v>
      </c>
      <c r="I106" s="104">
        <v>-0.48</v>
      </c>
      <c r="J106" s="297">
        <f t="shared" si="7"/>
        <v>42675</v>
      </c>
      <c r="K106" s="67">
        <f t="shared" si="4"/>
        <v>6</v>
      </c>
      <c r="L106" s="155">
        <v>1.4833299999999999E-3</v>
      </c>
      <c r="M106" s="104">
        <f t="shared" si="5"/>
        <v>-4.2719904E-3</v>
      </c>
      <c r="O106" s="66">
        <f t="shared" si="6"/>
        <v>-0.14526400000000003</v>
      </c>
    </row>
    <row r="107" spans="1:15">
      <c r="A107" s="102" t="s">
        <v>626</v>
      </c>
      <c r="B107" s="103" t="s">
        <v>1681</v>
      </c>
      <c r="C107" s="103" t="s">
        <v>2392</v>
      </c>
      <c r="D107" s="102" t="s">
        <v>2393</v>
      </c>
      <c r="E107" s="103" t="s">
        <v>75</v>
      </c>
      <c r="F107" s="102" t="s">
        <v>1602</v>
      </c>
      <c r="G107" s="103" t="s">
        <v>20</v>
      </c>
      <c r="H107" s="103">
        <v>201611</v>
      </c>
      <c r="I107" s="104">
        <v>-6498.03</v>
      </c>
      <c r="J107" s="297">
        <f t="shared" si="7"/>
        <v>42675</v>
      </c>
      <c r="K107" s="67">
        <f t="shared" si="4"/>
        <v>6</v>
      </c>
      <c r="L107" s="155">
        <v>1.4833299999999999E-3</v>
      </c>
      <c r="M107" s="104">
        <f t="shared" si="5"/>
        <v>-57.832337039399995</v>
      </c>
      <c r="O107" s="66">
        <f t="shared" si="6"/>
        <v>-1966.520479</v>
      </c>
    </row>
    <row r="108" spans="1:15">
      <c r="A108" s="102" t="s">
        <v>14</v>
      </c>
      <c r="B108" s="103" t="s">
        <v>1681</v>
      </c>
      <c r="C108" s="103" t="s">
        <v>2392</v>
      </c>
      <c r="D108" s="102" t="s">
        <v>2393</v>
      </c>
      <c r="E108" s="103" t="s">
        <v>75</v>
      </c>
      <c r="F108" s="102" t="s">
        <v>1602</v>
      </c>
      <c r="G108" s="103" t="s">
        <v>20</v>
      </c>
      <c r="H108" s="103">
        <v>201611</v>
      </c>
      <c r="I108" s="104">
        <v>-3.62</v>
      </c>
      <c r="J108" s="297">
        <f t="shared" si="7"/>
        <v>42675</v>
      </c>
      <c r="K108" s="67">
        <f t="shared" si="4"/>
        <v>6</v>
      </c>
      <c r="L108" s="148">
        <v>2.23333E-3</v>
      </c>
      <c r="M108" s="104">
        <f t="shared" si="5"/>
        <v>-4.85079276E-2</v>
      </c>
      <c r="O108" s="66">
        <f t="shared" si="6"/>
        <v>-1.0955326666666669</v>
      </c>
    </row>
    <row r="109" spans="1:15">
      <c r="A109" s="102" t="s">
        <v>626</v>
      </c>
      <c r="B109" s="103" t="s">
        <v>1681</v>
      </c>
      <c r="C109" s="103" t="s">
        <v>2394</v>
      </c>
      <c r="D109" s="102" t="s">
        <v>2395</v>
      </c>
      <c r="E109" s="103" t="s">
        <v>75</v>
      </c>
      <c r="F109" s="102" t="s">
        <v>1602</v>
      </c>
      <c r="G109" s="103" t="s">
        <v>20</v>
      </c>
      <c r="H109" s="103">
        <v>201611</v>
      </c>
      <c r="I109" s="104">
        <v>20147.21</v>
      </c>
      <c r="J109" s="297">
        <f t="shared" si="7"/>
        <v>42675</v>
      </c>
      <c r="K109" s="67">
        <f t="shared" si="4"/>
        <v>6</v>
      </c>
      <c r="L109" s="155">
        <v>1.4833299999999999E-3</v>
      </c>
      <c r="M109" s="104">
        <f t="shared" si="5"/>
        <v>179.3097660558</v>
      </c>
      <c r="O109" s="66">
        <f t="shared" si="6"/>
        <v>6097.2173196666681</v>
      </c>
    </row>
    <row r="110" spans="1:15">
      <c r="A110" s="102" t="s">
        <v>14</v>
      </c>
      <c r="B110" s="103" t="s">
        <v>1681</v>
      </c>
      <c r="C110" s="103" t="s">
        <v>2394</v>
      </c>
      <c r="D110" s="102" t="s">
        <v>2395</v>
      </c>
      <c r="E110" s="103" t="s">
        <v>75</v>
      </c>
      <c r="F110" s="102" t="s">
        <v>1602</v>
      </c>
      <c r="G110" s="103" t="s">
        <v>20</v>
      </c>
      <c r="H110" s="103">
        <v>201611</v>
      </c>
      <c r="I110" s="104">
        <v>845.84</v>
      </c>
      <c r="J110" s="297">
        <f t="shared" si="7"/>
        <v>42675</v>
      </c>
      <c r="K110" s="67">
        <f t="shared" si="4"/>
        <v>6</v>
      </c>
      <c r="L110" s="148">
        <v>2.23333E-3</v>
      </c>
      <c r="M110" s="104">
        <f t="shared" si="5"/>
        <v>11.3342390832</v>
      </c>
      <c r="O110" s="66">
        <f t="shared" si="6"/>
        <v>255.97937866666672</v>
      </c>
    </row>
    <row r="111" spans="1:15">
      <c r="A111" s="102" t="s">
        <v>626</v>
      </c>
      <c r="B111" s="103" t="s">
        <v>1681</v>
      </c>
      <c r="C111" s="103" t="s">
        <v>2087</v>
      </c>
      <c r="D111" s="102" t="s">
        <v>2088</v>
      </c>
      <c r="E111" s="103" t="s">
        <v>164</v>
      </c>
      <c r="F111" s="102" t="s">
        <v>1600</v>
      </c>
      <c r="G111" s="103" t="s">
        <v>20</v>
      </c>
      <c r="H111" s="103">
        <v>201611</v>
      </c>
      <c r="I111" s="104">
        <v>13307.55</v>
      </c>
      <c r="J111" s="297">
        <f t="shared" si="7"/>
        <v>42675</v>
      </c>
      <c r="K111" s="67">
        <f t="shared" si="4"/>
        <v>6</v>
      </c>
      <c r="L111" s="155">
        <v>1.4833299999999999E-3</v>
      </c>
      <c r="M111" s="104">
        <f t="shared" si="5"/>
        <v>118.436928849</v>
      </c>
      <c r="O111" s="66">
        <f t="shared" si="6"/>
        <v>4027.3082150000005</v>
      </c>
    </row>
    <row r="112" spans="1:15">
      <c r="A112" s="102" t="s">
        <v>14</v>
      </c>
      <c r="B112" s="103" t="s">
        <v>1681</v>
      </c>
      <c r="C112" s="103" t="s">
        <v>2087</v>
      </c>
      <c r="D112" s="102" t="s">
        <v>2088</v>
      </c>
      <c r="E112" s="103" t="s">
        <v>164</v>
      </c>
      <c r="F112" s="102" t="s">
        <v>1600</v>
      </c>
      <c r="G112" s="103" t="s">
        <v>20</v>
      </c>
      <c r="H112" s="103">
        <v>201611</v>
      </c>
      <c r="I112" s="104">
        <v>1005.42</v>
      </c>
      <c r="J112" s="297">
        <f t="shared" si="7"/>
        <v>42675</v>
      </c>
      <c r="K112" s="67">
        <f t="shared" si="4"/>
        <v>6</v>
      </c>
      <c r="L112" s="148">
        <v>2.23333E-3</v>
      </c>
      <c r="M112" s="104">
        <f t="shared" si="5"/>
        <v>13.472607891599999</v>
      </c>
      <c r="O112" s="66">
        <f t="shared" si="6"/>
        <v>304.27360600000003</v>
      </c>
    </row>
    <row r="113" spans="1:15">
      <c r="A113" s="102" t="s">
        <v>626</v>
      </c>
      <c r="B113" s="103" t="s">
        <v>1681</v>
      </c>
      <c r="C113" s="103" t="s">
        <v>2398</v>
      </c>
      <c r="D113" s="102" t="s">
        <v>2399</v>
      </c>
      <c r="E113" s="103" t="s">
        <v>93</v>
      </c>
      <c r="F113" s="102" t="s">
        <v>1601</v>
      </c>
      <c r="G113" s="103" t="s">
        <v>20</v>
      </c>
      <c r="H113" s="103">
        <v>201611</v>
      </c>
      <c r="I113" s="104">
        <v>20105.490000000002</v>
      </c>
      <c r="J113" s="297">
        <f t="shared" si="7"/>
        <v>42675</v>
      </c>
      <c r="K113" s="67">
        <f t="shared" si="4"/>
        <v>6</v>
      </c>
      <c r="L113" s="155">
        <v>1.4833299999999999E-3</v>
      </c>
      <c r="M113" s="104">
        <f t="shared" si="5"/>
        <v>178.93845889020002</v>
      </c>
      <c r="O113" s="66">
        <f t="shared" si="6"/>
        <v>6084.5914570000014</v>
      </c>
    </row>
    <row r="114" spans="1:15">
      <c r="A114" s="102" t="s">
        <v>626</v>
      </c>
      <c r="B114" s="103" t="s">
        <v>1681</v>
      </c>
      <c r="C114" s="103" t="s">
        <v>2402</v>
      </c>
      <c r="D114" s="102" t="s">
        <v>2403</v>
      </c>
      <c r="E114" s="103" t="s">
        <v>87</v>
      </c>
      <c r="F114" s="102" t="s">
        <v>1603</v>
      </c>
      <c r="G114" s="103" t="s">
        <v>20</v>
      </c>
      <c r="H114" s="103">
        <v>201611</v>
      </c>
      <c r="I114" s="104">
        <v>-2766.62</v>
      </c>
      <c r="J114" s="297">
        <f t="shared" si="7"/>
        <v>42675</v>
      </c>
      <c r="K114" s="67">
        <f t="shared" si="4"/>
        <v>6</v>
      </c>
      <c r="L114" s="155">
        <v>1.4833299999999999E-3</v>
      </c>
      <c r="M114" s="104">
        <f t="shared" si="5"/>
        <v>-24.6228626676</v>
      </c>
      <c r="O114" s="66">
        <f t="shared" si="6"/>
        <v>-837.27143266666678</v>
      </c>
    </row>
    <row r="115" spans="1:15">
      <c r="A115" s="102" t="s">
        <v>14</v>
      </c>
      <c r="B115" s="103" t="s">
        <v>1681</v>
      </c>
      <c r="C115" s="103" t="s">
        <v>2402</v>
      </c>
      <c r="D115" s="102" t="s">
        <v>2403</v>
      </c>
      <c r="E115" s="103" t="s">
        <v>87</v>
      </c>
      <c r="F115" s="102" t="s">
        <v>1603</v>
      </c>
      <c r="G115" s="103" t="s">
        <v>20</v>
      </c>
      <c r="H115" s="103">
        <v>201611</v>
      </c>
      <c r="I115" s="104">
        <v>-447.88</v>
      </c>
      <c r="J115" s="297">
        <f t="shared" si="7"/>
        <v>42675</v>
      </c>
      <c r="K115" s="67">
        <f t="shared" si="4"/>
        <v>6</v>
      </c>
      <c r="L115" s="148">
        <v>2.23333E-3</v>
      </c>
      <c r="M115" s="104">
        <f t="shared" si="5"/>
        <v>-6.0015830423999992</v>
      </c>
      <c r="O115" s="66">
        <f t="shared" si="6"/>
        <v>-135.54341733333337</v>
      </c>
    </row>
    <row r="116" spans="1:15">
      <c r="A116" s="102" t="s">
        <v>626</v>
      </c>
      <c r="B116" s="103" t="s">
        <v>1681</v>
      </c>
      <c r="C116" s="103" t="s">
        <v>2101</v>
      </c>
      <c r="D116" s="102" t="s">
        <v>2102</v>
      </c>
      <c r="E116" s="103" t="s">
        <v>260</v>
      </c>
      <c r="F116" s="102" t="s">
        <v>1608</v>
      </c>
      <c r="G116" s="103" t="s">
        <v>20</v>
      </c>
      <c r="H116" s="103">
        <v>201611</v>
      </c>
      <c r="I116" s="104">
        <v>209.52</v>
      </c>
      <c r="J116" s="297">
        <f t="shared" si="7"/>
        <v>42675</v>
      </c>
      <c r="K116" s="67">
        <f t="shared" si="4"/>
        <v>6</v>
      </c>
      <c r="L116" s="155">
        <v>1.4833299999999999E-3</v>
      </c>
      <c r="M116" s="104">
        <f t="shared" si="5"/>
        <v>1.8647238096000001</v>
      </c>
      <c r="O116" s="66">
        <f t="shared" si="6"/>
        <v>63.407736000000014</v>
      </c>
    </row>
    <row r="117" spans="1:15">
      <c r="A117" s="102" t="s">
        <v>626</v>
      </c>
      <c r="B117" s="103" t="s">
        <v>1681</v>
      </c>
      <c r="C117" s="103" t="s">
        <v>2404</v>
      </c>
      <c r="D117" s="102" t="s">
        <v>2405</v>
      </c>
      <c r="E117" s="103" t="s">
        <v>209</v>
      </c>
      <c r="F117" s="102" t="s">
        <v>1612</v>
      </c>
      <c r="G117" s="103" t="s">
        <v>20</v>
      </c>
      <c r="H117" s="103">
        <v>201611</v>
      </c>
      <c r="I117" s="104">
        <v>346.27</v>
      </c>
      <c r="J117" s="297">
        <f t="shared" si="7"/>
        <v>42675</v>
      </c>
      <c r="K117" s="67">
        <f t="shared" si="4"/>
        <v>6</v>
      </c>
      <c r="L117" s="155">
        <v>1.4833299999999999E-3</v>
      </c>
      <c r="M117" s="104">
        <f t="shared" si="5"/>
        <v>3.0817960745999997</v>
      </c>
      <c r="O117" s="66">
        <f t="shared" si="6"/>
        <v>104.79284433333335</v>
      </c>
    </row>
    <row r="118" spans="1:15">
      <c r="A118" s="102" t="s">
        <v>626</v>
      </c>
      <c r="B118" s="103" t="s">
        <v>1681</v>
      </c>
      <c r="C118" s="103" t="s">
        <v>2273</v>
      </c>
      <c r="D118" s="102" t="s">
        <v>2274</v>
      </c>
      <c r="E118" s="103" t="s">
        <v>260</v>
      </c>
      <c r="F118" s="102" t="s">
        <v>1608</v>
      </c>
      <c r="G118" s="103" t="s">
        <v>20</v>
      </c>
      <c r="H118" s="103">
        <v>201611</v>
      </c>
      <c r="I118" s="104">
        <v>3919.19</v>
      </c>
      <c r="J118" s="297">
        <f t="shared" si="7"/>
        <v>42675</v>
      </c>
      <c r="K118" s="67">
        <f t="shared" si="4"/>
        <v>6</v>
      </c>
      <c r="L118" s="155">
        <v>1.4833299999999999E-3</v>
      </c>
      <c r="M118" s="104">
        <f t="shared" si="5"/>
        <v>34.8807126162</v>
      </c>
      <c r="O118" s="66">
        <f t="shared" si="6"/>
        <v>1186.0775336666668</v>
      </c>
    </row>
    <row r="119" spans="1:15">
      <c r="A119" s="102" t="s">
        <v>626</v>
      </c>
      <c r="B119" s="103" t="s">
        <v>1681</v>
      </c>
      <c r="C119" s="103" t="s">
        <v>2105</v>
      </c>
      <c r="D119" s="102" t="s">
        <v>2106</v>
      </c>
      <c r="E119" s="103" t="s">
        <v>75</v>
      </c>
      <c r="F119" s="102" t="s">
        <v>1602</v>
      </c>
      <c r="G119" s="103" t="s">
        <v>20</v>
      </c>
      <c r="H119" s="103">
        <v>201611</v>
      </c>
      <c r="I119" s="104">
        <v>-4007.6</v>
      </c>
      <c r="J119" s="297">
        <f t="shared" si="7"/>
        <v>42675</v>
      </c>
      <c r="K119" s="67">
        <f t="shared" si="4"/>
        <v>6</v>
      </c>
      <c r="L119" s="155">
        <v>1.4833299999999999E-3</v>
      </c>
      <c r="M119" s="104">
        <f t="shared" si="5"/>
        <v>-35.667559847999996</v>
      </c>
      <c r="O119" s="66">
        <f t="shared" si="6"/>
        <v>-1212.833346666667</v>
      </c>
    </row>
    <row r="120" spans="1:15">
      <c r="A120" s="102" t="s">
        <v>626</v>
      </c>
      <c r="B120" s="103" t="s">
        <v>1681</v>
      </c>
      <c r="C120" s="103" t="s">
        <v>2406</v>
      </c>
      <c r="D120" s="102" t="s">
        <v>2407</v>
      </c>
      <c r="E120" s="103" t="s">
        <v>75</v>
      </c>
      <c r="F120" s="102" t="s">
        <v>1602</v>
      </c>
      <c r="G120" s="103" t="s">
        <v>20</v>
      </c>
      <c r="H120" s="103">
        <v>201611</v>
      </c>
      <c r="I120" s="104">
        <v>-248.73</v>
      </c>
      <c r="J120" s="297">
        <f t="shared" si="7"/>
        <v>42675</v>
      </c>
      <c r="K120" s="67">
        <f t="shared" si="4"/>
        <v>6</v>
      </c>
      <c r="L120" s="155">
        <v>1.4833299999999999E-3</v>
      </c>
      <c r="M120" s="104">
        <f t="shared" si="5"/>
        <v>-2.2136920253999999</v>
      </c>
      <c r="O120" s="66">
        <f t="shared" si="6"/>
        <v>-75.273989</v>
      </c>
    </row>
    <row r="121" spans="1:15">
      <c r="A121" s="102" t="s">
        <v>14</v>
      </c>
      <c r="B121" s="103" t="s">
        <v>1681</v>
      </c>
      <c r="C121" s="103" t="s">
        <v>2406</v>
      </c>
      <c r="D121" s="102" t="s">
        <v>2407</v>
      </c>
      <c r="E121" s="103" t="s">
        <v>75</v>
      </c>
      <c r="F121" s="102" t="s">
        <v>1602</v>
      </c>
      <c r="G121" s="103" t="s">
        <v>20</v>
      </c>
      <c r="H121" s="103">
        <v>201611</v>
      </c>
      <c r="I121" s="104">
        <v>-5.86</v>
      </c>
      <c r="J121" s="297">
        <f t="shared" si="7"/>
        <v>42675</v>
      </c>
      <c r="K121" s="67">
        <f t="shared" si="4"/>
        <v>6</v>
      </c>
      <c r="L121" s="148">
        <v>2.23333E-3</v>
      </c>
      <c r="M121" s="104">
        <f t="shared" si="5"/>
        <v>-7.85238828E-2</v>
      </c>
      <c r="O121" s="66">
        <f t="shared" si="6"/>
        <v>-1.7734313333333338</v>
      </c>
    </row>
    <row r="122" spans="1:15">
      <c r="A122" s="102" t="s">
        <v>626</v>
      </c>
      <c r="B122" s="103" t="s">
        <v>1681</v>
      </c>
      <c r="C122" s="103" t="s">
        <v>2412</v>
      </c>
      <c r="D122" s="102" t="s">
        <v>2413</v>
      </c>
      <c r="E122" s="103" t="s">
        <v>75</v>
      </c>
      <c r="F122" s="102" t="s">
        <v>1602</v>
      </c>
      <c r="G122" s="103" t="s">
        <v>20</v>
      </c>
      <c r="H122" s="103">
        <v>201611</v>
      </c>
      <c r="I122" s="104">
        <v>1070.44</v>
      </c>
      <c r="J122" s="297">
        <f t="shared" si="7"/>
        <v>42675</v>
      </c>
      <c r="K122" s="67">
        <f t="shared" si="4"/>
        <v>6</v>
      </c>
      <c r="L122" s="155">
        <v>1.4833299999999999E-3</v>
      </c>
      <c r="M122" s="104">
        <f t="shared" si="5"/>
        <v>9.5268945912000014</v>
      </c>
      <c r="O122" s="66">
        <f t="shared" si="6"/>
        <v>323.9508253333334</v>
      </c>
    </row>
    <row r="123" spans="1:15">
      <c r="A123" s="102" t="s">
        <v>14</v>
      </c>
      <c r="B123" s="103" t="s">
        <v>1681</v>
      </c>
      <c r="C123" s="103" t="s">
        <v>2412</v>
      </c>
      <c r="D123" s="102" t="s">
        <v>2413</v>
      </c>
      <c r="E123" s="103" t="s">
        <v>75</v>
      </c>
      <c r="F123" s="102" t="s">
        <v>1602</v>
      </c>
      <c r="G123" s="103" t="s">
        <v>20</v>
      </c>
      <c r="H123" s="103">
        <v>201611</v>
      </c>
      <c r="I123" s="104">
        <v>11.24</v>
      </c>
      <c r="J123" s="297">
        <f t="shared" si="7"/>
        <v>42675</v>
      </c>
      <c r="K123" s="67">
        <f t="shared" si="4"/>
        <v>6</v>
      </c>
      <c r="L123" s="148">
        <v>2.23333E-3</v>
      </c>
      <c r="M123" s="104">
        <f t="shared" si="5"/>
        <v>0.1506157752</v>
      </c>
      <c r="O123" s="66">
        <f t="shared" si="6"/>
        <v>3.4015986666666671</v>
      </c>
    </row>
    <row r="124" spans="1:15">
      <c r="A124" s="102" t="s">
        <v>626</v>
      </c>
      <c r="B124" s="103" t="s">
        <v>1681</v>
      </c>
      <c r="C124" s="103" t="s">
        <v>2416</v>
      </c>
      <c r="D124" s="102" t="s">
        <v>2417</v>
      </c>
      <c r="E124" s="103" t="s">
        <v>164</v>
      </c>
      <c r="F124" s="102" t="s">
        <v>1600</v>
      </c>
      <c r="G124" s="103" t="s">
        <v>20</v>
      </c>
      <c r="H124" s="103">
        <v>201611</v>
      </c>
      <c r="I124" s="104">
        <v>32673.68</v>
      </c>
      <c r="J124" s="297">
        <f t="shared" si="7"/>
        <v>42675</v>
      </c>
      <c r="K124" s="67">
        <f t="shared" si="4"/>
        <v>6</v>
      </c>
      <c r="L124" s="155">
        <v>1.4833299999999999E-3</v>
      </c>
      <c r="M124" s="104">
        <f t="shared" si="5"/>
        <v>290.79509852640001</v>
      </c>
      <c r="O124" s="66">
        <f t="shared" si="6"/>
        <v>9888.1446906666679</v>
      </c>
    </row>
    <row r="125" spans="1:15">
      <c r="A125" s="102" t="s">
        <v>1942</v>
      </c>
      <c r="B125" s="103" t="s">
        <v>1681</v>
      </c>
      <c r="C125" s="103" t="s">
        <v>2416</v>
      </c>
      <c r="D125" s="102" t="s">
        <v>2417</v>
      </c>
      <c r="E125" s="103" t="s">
        <v>164</v>
      </c>
      <c r="F125" s="102" t="s">
        <v>1600</v>
      </c>
      <c r="G125" s="103" t="s">
        <v>20</v>
      </c>
      <c r="H125" s="103">
        <v>201611</v>
      </c>
      <c r="I125" s="104">
        <v>70.87</v>
      </c>
      <c r="J125" s="297">
        <f t="shared" si="7"/>
        <v>42675</v>
      </c>
      <c r="K125" s="67">
        <f t="shared" si="4"/>
        <v>6</v>
      </c>
      <c r="L125" s="155">
        <v>2.23333E-3</v>
      </c>
      <c r="M125" s="104">
        <f t="shared" si="5"/>
        <v>0.94965658259999997</v>
      </c>
      <c r="O125" s="66">
        <f t="shared" si="6"/>
        <v>21.447624333333337</v>
      </c>
    </row>
    <row r="126" spans="1:15">
      <c r="A126" s="102" t="s">
        <v>21</v>
      </c>
      <c r="B126" s="103" t="s">
        <v>1681</v>
      </c>
      <c r="C126" s="103" t="s">
        <v>2418</v>
      </c>
      <c r="D126" s="102" t="s">
        <v>2419</v>
      </c>
      <c r="E126" s="103" t="s">
        <v>75</v>
      </c>
      <c r="F126" s="102" t="s">
        <v>1602</v>
      </c>
      <c r="G126" s="103" t="s">
        <v>20</v>
      </c>
      <c r="H126" s="103">
        <v>201611</v>
      </c>
      <c r="I126" s="104">
        <v>-85.8</v>
      </c>
      <c r="J126" s="297">
        <f t="shared" si="7"/>
        <v>42675</v>
      </c>
      <c r="K126" s="67">
        <f t="shared" si="4"/>
        <v>6</v>
      </c>
      <c r="L126" s="155">
        <v>1.4833299999999999E-3</v>
      </c>
      <c r="M126" s="104">
        <f t="shared" si="5"/>
        <v>-0.76361828399999998</v>
      </c>
      <c r="O126" s="66">
        <f t="shared" si="6"/>
        <v>-25.965940000000003</v>
      </c>
    </row>
    <row r="127" spans="1:15">
      <c r="A127" s="102" t="s">
        <v>1942</v>
      </c>
      <c r="B127" s="103" t="s">
        <v>1681</v>
      </c>
      <c r="C127" s="103" t="s">
        <v>2418</v>
      </c>
      <c r="D127" s="102" t="s">
        <v>2419</v>
      </c>
      <c r="E127" s="103" t="s">
        <v>75</v>
      </c>
      <c r="F127" s="102" t="s">
        <v>1602</v>
      </c>
      <c r="G127" s="103" t="s">
        <v>20</v>
      </c>
      <c r="H127" s="103">
        <v>201611</v>
      </c>
      <c r="I127" s="104">
        <v>-0.33</v>
      </c>
      <c r="J127" s="297">
        <f t="shared" si="7"/>
        <v>42675</v>
      </c>
      <c r="K127" s="67">
        <f t="shared" si="4"/>
        <v>6</v>
      </c>
      <c r="L127" s="155">
        <v>2.23333E-3</v>
      </c>
      <c r="M127" s="104">
        <f t="shared" si="5"/>
        <v>-4.4219934000000001E-3</v>
      </c>
      <c r="O127" s="66">
        <f t="shared" si="6"/>
        <v>-9.9869000000000013E-2</v>
      </c>
    </row>
    <row r="128" spans="1:15">
      <c r="A128" s="102" t="s">
        <v>21</v>
      </c>
      <c r="B128" s="103" t="s">
        <v>1681</v>
      </c>
      <c r="C128" s="103" t="s">
        <v>2279</v>
      </c>
      <c r="D128" s="102" t="s">
        <v>2280</v>
      </c>
      <c r="E128" s="103" t="s">
        <v>87</v>
      </c>
      <c r="F128" s="102" t="s">
        <v>1603</v>
      </c>
      <c r="G128" s="103" t="s">
        <v>20</v>
      </c>
      <c r="H128" s="103">
        <v>201611</v>
      </c>
      <c r="I128" s="104">
        <v>1951.19</v>
      </c>
      <c r="J128" s="297">
        <f t="shared" si="7"/>
        <v>42675</v>
      </c>
      <c r="K128" s="67">
        <f t="shared" si="4"/>
        <v>6</v>
      </c>
      <c r="L128" s="155">
        <v>1.4833299999999999E-3</v>
      </c>
      <c r="M128" s="104">
        <f t="shared" si="5"/>
        <v>17.365551976199999</v>
      </c>
      <c r="O128" s="66">
        <f t="shared" si="6"/>
        <v>590.49513366666679</v>
      </c>
    </row>
    <row r="129" spans="1:15">
      <c r="A129" s="102" t="s">
        <v>626</v>
      </c>
      <c r="B129" s="103" t="s">
        <v>1681</v>
      </c>
      <c r="C129" s="103" t="s">
        <v>2420</v>
      </c>
      <c r="D129" s="102" t="s">
        <v>2421</v>
      </c>
      <c r="E129" s="103" t="s">
        <v>164</v>
      </c>
      <c r="F129" s="102" t="s">
        <v>1600</v>
      </c>
      <c r="G129" s="103" t="s">
        <v>20</v>
      </c>
      <c r="H129" s="103">
        <v>201611</v>
      </c>
      <c r="I129" s="104">
        <v>-230.15</v>
      </c>
      <c r="J129" s="297">
        <f t="shared" si="7"/>
        <v>42675</v>
      </c>
      <c r="K129" s="67">
        <f t="shared" si="4"/>
        <v>6</v>
      </c>
      <c r="L129" s="155">
        <v>1.4833299999999999E-3</v>
      </c>
      <c r="M129" s="104">
        <f t="shared" si="5"/>
        <v>-2.048330397</v>
      </c>
      <c r="O129" s="66">
        <f t="shared" si="6"/>
        <v>-69.651061666666678</v>
      </c>
    </row>
    <row r="130" spans="1:15">
      <c r="A130" s="102" t="s">
        <v>21</v>
      </c>
      <c r="B130" s="103" t="s">
        <v>1681</v>
      </c>
      <c r="C130" s="103" t="s">
        <v>2107</v>
      </c>
      <c r="D130" s="102" t="s">
        <v>2108</v>
      </c>
      <c r="E130" s="103" t="s">
        <v>209</v>
      </c>
      <c r="F130" s="102" t="s">
        <v>1612</v>
      </c>
      <c r="G130" s="103" t="s">
        <v>20</v>
      </c>
      <c r="H130" s="103">
        <v>201611</v>
      </c>
      <c r="I130" s="104">
        <v>16663.86</v>
      </c>
      <c r="J130" s="297">
        <f t="shared" si="7"/>
        <v>42675</v>
      </c>
      <c r="K130" s="67">
        <f t="shared" si="4"/>
        <v>6</v>
      </c>
      <c r="L130" s="155">
        <v>1.4833299999999999E-3</v>
      </c>
      <c r="M130" s="104">
        <f t="shared" si="5"/>
        <v>148.30802072279999</v>
      </c>
      <c r="O130" s="66">
        <f t="shared" si="6"/>
        <v>5043.039498000001</v>
      </c>
    </row>
    <row r="131" spans="1:15">
      <c r="A131" s="102" t="s">
        <v>626</v>
      </c>
      <c r="B131" s="103" t="s">
        <v>1681</v>
      </c>
      <c r="C131" s="103" t="s">
        <v>2289</v>
      </c>
      <c r="D131" s="102" t="s">
        <v>2290</v>
      </c>
      <c r="E131" s="103" t="s">
        <v>93</v>
      </c>
      <c r="F131" s="102" t="s">
        <v>1601</v>
      </c>
      <c r="G131" s="103" t="s">
        <v>20</v>
      </c>
      <c r="H131" s="103">
        <v>201611</v>
      </c>
      <c r="I131" s="104">
        <v>1292.3499999999999</v>
      </c>
      <c r="J131" s="297">
        <f t="shared" si="7"/>
        <v>42675</v>
      </c>
      <c r="K131" s="67">
        <f t="shared" si="4"/>
        <v>6</v>
      </c>
      <c r="L131" s="155">
        <v>1.4833299999999999E-3</v>
      </c>
      <c r="M131" s="104">
        <f t="shared" si="5"/>
        <v>11.501889152999999</v>
      </c>
      <c r="O131" s="66">
        <f t="shared" si="6"/>
        <v>391.10818833333337</v>
      </c>
    </row>
    <row r="132" spans="1:15">
      <c r="A132" s="102" t="s">
        <v>626</v>
      </c>
      <c r="B132" s="103" t="s">
        <v>1681</v>
      </c>
      <c r="C132" s="103" t="s">
        <v>2422</v>
      </c>
      <c r="D132" s="102" t="s">
        <v>2423</v>
      </c>
      <c r="E132" s="103" t="s">
        <v>164</v>
      </c>
      <c r="F132" s="102" t="s">
        <v>1600</v>
      </c>
      <c r="G132" s="103" t="s">
        <v>20</v>
      </c>
      <c r="H132" s="103">
        <v>201611</v>
      </c>
      <c r="I132" s="104">
        <v>-36.35</v>
      </c>
      <c r="J132" s="297">
        <f t="shared" si="7"/>
        <v>42675</v>
      </c>
      <c r="K132" s="67">
        <f t="shared" ref="K132:K193" si="8">((YEAR($K$1)-YEAR(J132))*12+MONTH($K$1)-MONTH(J132))</f>
        <v>6</v>
      </c>
      <c r="L132" s="155">
        <v>1.4833299999999999E-3</v>
      </c>
      <c r="M132" s="104">
        <f t="shared" ref="M132:M193" si="9">L132*K132*I132</f>
        <v>-0.32351427300000002</v>
      </c>
      <c r="O132" s="66">
        <f t="shared" si="6"/>
        <v>-11.000721666666669</v>
      </c>
    </row>
    <row r="133" spans="1:15">
      <c r="A133" s="102" t="s">
        <v>626</v>
      </c>
      <c r="B133" s="103" t="s">
        <v>1681</v>
      </c>
      <c r="C133" s="103" t="s">
        <v>2424</v>
      </c>
      <c r="D133" s="102" t="s">
        <v>2425</v>
      </c>
      <c r="E133" s="103" t="s">
        <v>93</v>
      </c>
      <c r="F133" s="102" t="s">
        <v>1601</v>
      </c>
      <c r="G133" s="103" t="s">
        <v>20</v>
      </c>
      <c r="H133" s="103">
        <v>201611</v>
      </c>
      <c r="I133" s="104">
        <v>3023.8</v>
      </c>
      <c r="J133" s="297">
        <f t="shared" si="7"/>
        <v>42675</v>
      </c>
      <c r="K133" s="67">
        <f t="shared" si="8"/>
        <v>6</v>
      </c>
      <c r="L133" s="155">
        <v>1.4833299999999999E-3</v>
      </c>
      <c r="M133" s="104">
        <f t="shared" si="9"/>
        <v>26.911759524000001</v>
      </c>
      <c r="O133" s="66">
        <f t="shared" ref="O133:O194" si="10">($O$4*I133*$R$11)</f>
        <v>915.10267333333354</v>
      </c>
    </row>
    <row r="134" spans="1:15">
      <c r="A134" s="102" t="s">
        <v>14</v>
      </c>
      <c r="B134" s="103" t="s">
        <v>30</v>
      </c>
      <c r="C134" s="103" t="s">
        <v>31</v>
      </c>
      <c r="D134" s="102" t="s">
        <v>32</v>
      </c>
      <c r="E134" s="103" t="s">
        <v>33</v>
      </c>
      <c r="F134" s="102" t="s">
        <v>34</v>
      </c>
      <c r="G134" s="103" t="s">
        <v>20</v>
      </c>
      <c r="H134" s="103">
        <v>201612</v>
      </c>
      <c r="I134" s="104">
        <v>8530.15</v>
      </c>
      <c r="J134" s="297">
        <v>42705</v>
      </c>
      <c r="K134" s="67">
        <f t="shared" si="8"/>
        <v>5</v>
      </c>
      <c r="L134" s="148">
        <v>2.23333E-3</v>
      </c>
      <c r="M134" s="104">
        <f t="shared" si="9"/>
        <v>95.253199497499992</v>
      </c>
      <c r="O134" s="66">
        <f t="shared" si="10"/>
        <v>2581.5077283333335</v>
      </c>
    </row>
    <row r="135" spans="1:15">
      <c r="A135" s="102" t="s">
        <v>554</v>
      </c>
      <c r="B135" s="103" t="s">
        <v>116</v>
      </c>
      <c r="C135" s="103" t="s">
        <v>117</v>
      </c>
      <c r="D135" s="102" t="s">
        <v>2432</v>
      </c>
      <c r="E135" s="103" t="s">
        <v>119</v>
      </c>
      <c r="F135" s="102" t="s">
        <v>1605</v>
      </c>
      <c r="G135" s="103" t="s">
        <v>20</v>
      </c>
      <c r="H135" s="103">
        <v>201612</v>
      </c>
      <c r="I135" s="104">
        <v>93849.82</v>
      </c>
      <c r="J135" s="297">
        <f t="shared" ref="J135:J198" si="11">+J134</f>
        <v>42705</v>
      </c>
      <c r="K135" s="67">
        <f t="shared" si="8"/>
        <v>5</v>
      </c>
      <c r="L135" s="148">
        <v>1.4833299999999999E-3</v>
      </c>
      <c r="M135" s="104">
        <f t="shared" si="9"/>
        <v>696.05126750299996</v>
      </c>
      <c r="O135" s="66">
        <f t="shared" si="10"/>
        <v>28402.083859333339</v>
      </c>
    </row>
    <row r="136" spans="1:15">
      <c r="A136" s="102" t="s">
        <v>14</v>
      </c>
      <c r="B136" s="103" t="s">
        <v>195</v>
      </c>
      <c r="C136" s="103" t="s">
        <v>196</v>
      </c>
      <c r="D136" s="102" t="s">
        <v>1674</v>
      </c>
      <c r="E136" s="103" t="s">
        <v>198</v>
      </c>
      <c r="F136" s="102" t="s">
        <v>1610</v>
      </c>
      <c r="G136" s="103" t="s">
        <v>20</v>
      </c>
      <c r="H136" s="103">
        <v>201612</v>
      </c>
      <c r="I136" s="104">
        <v>359592.56</v>
      </c>
      <c r="J136" s="297">
        <f t="shared" si="11"/>
        <v>42705</v>
      </c>
      <c r="K136" s="67">
        <f t="shared" si="8"/>
        <v>5</v>
      </c>
      <c r="L136" s="148">
        <v>2.23333E-3</v>
      </c>
      <c r="M136" s="104">
        <f t="shared" si="9"/>
        <v>4015.4442601240003</v>
      </c>
      <c r="O136" s="66">
        <f t="shared" si="10"/>
        <v>108824.69507466668</v>
      </c>
    </row>
    <row r="137" spans="1:15">
      <c r="A137" s="102" t="s">
        <v>14</v>
      </c>
      <c r="B137" s="103" t="s">
        <v>200</v>
      </c>
      <c r="C137" s="103" t="s">
        <v>201</v>
      </c>
      <c r="D137" s="102" t="s">
        <v>1675</v>
      </c>
      <c r="E137" s="103" t="s">
        <v>202</v>
      </c>
      <c r="F137" s="102" t="s">
        <v>1611</v>
      </c>
      <c r="G137" s="103" t="s">
        <v>20</v>
      </c>
      <c r="H137" s="103">
        <v>201612</v>
      </c>
      <c r="I137" s="104">
        <v>138136.6</v>
      </c>
      <c r="J137" s="297">
        <f t="shared" si="11"/>
        <v>42705</v>
      </c>
      <c r="K137" s="67">
        <f t="shared" si="8"/>
        <v>5</v>
      </c>
      <c r="L137" s="148">
        <v>2.23333E-3</v>
      </c>
      <c r="M137" s="104">
        <f t="shared" si="9"/>
        <v>1542.5230643900002</v>
      </c>
      <c r="O137" s="66">
        <f t="shared" si="10"/>
        <v>41804.739713333343</v>
      </c>
    </row>
    <row r="138" spans="1:15">
      <c r="A138" s="102" t="s">
        <v>14</v>
      </c>
      <c r="B138" s="103" t="s">
        <v>481</v>
      </c>
      <c r="C138" s="103" t="s">
        <v>482</v>
      </c>
      <c r="D138" s="102" t="s">
        <v>483</v>
      </c>
      <c r="E138" s="103" t="s">
        <v>484</v>
      </c>
      <c r="F138" s="102" t="s">
        <v>190</v>
      </c>
      <c r="G138" s="103" t="s">
        <v>20</v>
      </c>
      <c r="H138" s="103">
        <v>201612</v>
      </c>
      <c r="I138" s="104">
        <v>8.76</v>
      </c>
      <c r="J138" s="297">
        <f t="shared" si="11"/>
        <v>42705</v>
      </c>
      <c r="K138" s="67">
        <f t="shared" si="8"/>
        <v>5</v>
      </c>
      <c r="L138" s="148">
        <v>2.23333E-3</v>
      </c>
      <c r="M138" s="104">
        <f t="shared" si="9"/>
        <v>9.7819853999999998E-2</v>
      </c>
      <c r="O138" s="66">
        <f t="shared" si="10"/>
        <v>2.651068</v>
      </c>
    </row>
    <row r="139" spans="1:15">
      <c r="A139" s="102" t="s">
        <v>14</v>
      </c>
      <c r="B139" s="103" t="s">
        <v>236</v>
      </c>
      <c r="C139" s="103" t="s">
        <v>237</v>
      </c>
      <c r="D139" s="102" t="s">
        <v>188</v>
      </c>
      <c r="E139" s="103" t="s">
        <v>238</v>
      </c>
      <c r="F139" s="102" t="s">
        <v>190</v>
      </c>
      <c r="G139" s="103" t="s">
        <v>20</v>
      </c>
      <c r="H139" s="103">
        <v>201612</v>
      </c>
      <c r="I139" s="104">
        <v>64180.19</v>
      </c>
      <c r="J139" s="297">
        <f t="shared" si="11"/>
        <v>42705</v>
      </c>
      <c r="K139" s="67">
        <f t="shared" si="8"/>
        <v>5</v>
      </c>
      <c r="L139" s="148">
        <v>2.23333E-3</v>
      </c>
      <c r="M139" s="104">
        <f t="shared" si="9"/>
        <v>716.67771866350006</v>
      </c>
      <c r="O139" s="66">
        <f t="shared" si="10"/>
        <v>19423.064833666671</v>
      </c>
    </row>
    <row r="140" spans="1:15">
      <c r="A140" s="102" t="s">
        <v>14</v>
      </c>
      <c r="B140" s="103" t="s">
        <v>2433</v>
      </c>
      <c r="C140" s="103" t="s">
        <v>2434</v>
      </c>
      <c r="D140" s="102" t="s">
        <v>197</v>
      </c>
      <c r="E140" s="103" t="s">
        <v>198</v>
      </c>
      <c r="F140" s="102" t="s">
        <v>1610</v>
      </c>
      <c r="G140" s="103" t="s">
        <v>20</v>
      </c>
      <c r="H140" s="103">
        <v>201612</v>
      </c>
      <c r="I140" s="104">
        <v>800</v>
      </c>
      <c r="J140" s="297">
        <f t="shared" si="11"/>
        <v>42705</v>
      </c>
      <c r="K140" s="67">
        <f t="shared" si="8"/>
        <v>5</v>
      </c>
      <c r="L140" s="148">
        <v>2.23333E-3</v>
      </c>
      <c r="M140" s="104">
        <f t="shared" si="9"/>
        <v>8.9333200000000001</v>
      </c>
      <c r="O140" s="66">
        <f t="shared" si="10"/>
        <v>242.10666666666668</v>
      </c>
    </row>
    <row r="141" spans="1:15">
      <c r="A141" s="102" t="s">
        <v>14</v>
      </c>
      <c r="B141" s="103" t="s">
        <v>292</v>
      </c>
      <c r="C141" s="103" t="s">
        <v>293</v>
      </c>
      <c r="D141" s="102" t="s">
        <v>1679</v>
      </c>
      <c r="E141" s="103" t="s">
        <v>294</v>
      </c>
      <c r="F141" s="102" t="s">
        <v>1613</v>
      </c>
      <c r="G141" s="103" t="s">
        <v>20</v>
      </c>
      <c r="H141" s="103">
        <v>201612</v>
      </c>
      <c r="I141" s="104">
        <v>24886.94</v>
      </c>
      <c r="J141" s="297">
        <f t="shared" si="11"/>
        <v>42705</v>
      </c>
      <c r="K141" s="67">
        <f t="shared" si="8"/>
        <v>5</v>
      </c>
      <c r="L141" s="148">
        <v>2.23333E-3</v>
      </c>
      <c r="M141" s="104">
        <f t="shared" si="9"/>
        <v>277.90374855099998</v>
      </c>
      <c r="O141" s="66">
        <f t="shared" si="10"/>
        <v>7531.6176086666674</v>
      </c>
    </row>
    <row r="142" spans="1:15">
      <c r="A142" s="102" t="s">
        <v>14</v>
      </c>
      <c r="B142" s="103" t="s">
        <v>419</v>
      </c>
      <c r="C142" s="103" t="s">
        <v>420</v>
      </c>
      <c r="D142" s="102" t="s">
        <v>50</v>
      </c>
      <c r="E142" s="103" t="s">
        <v>421</v>
      </c>
      <c r="F142" s="102" t="s">
        <v>52</v>
      </c>
      <c r="G142" s="103" t="s">
        <v>20</v>
      </c>
      <c r="H142" s="103">
        <v>201612</v>
      </c>
      <c r="I142" s="104">
        <v>27.26</v>
      </c>
      <c r="J142" s="297">
        <f t="shared" si="11"/>
        <v>42705</v>
      </c>
      <c r="K142" s="67">
        <f t="shared" si="8"/>
        <v>5</v>
      </c>
      <c r="L142" s="148">
        <v>2.23333E-3</v>
      </c>
      <c r="M142" s="104">
        <f t="shared" si="9"/>
        <v>0.30440287900000002</v>
      </c>
      <c r="O142" s="66">
        <f t="shared" si="10"/>
        <v>8.2497846666666685</v>
      </c>
    </row>
    <row r="143" spans="1:15">
      <c r="A143" s="102" t="s">
        <v>14</v>
      </c>
      <c r="B143" s="103" t="s">
        <v>325</v>
      </c>
      <c r="C143" s="103" t="s">
        <v>326</v>
      </c>
      <c r="D143" s="102" t="s">
        <v>327</v>
      </c>
      <c r="E143" s="103" t="s">
        <v>328</v>
      </c>
      <c r="F143" s="102" t="s">
        <v>58</v>
      </c>
      <c r="G143" s="103" t="s">
        <v>20</v>
      </c>
      <c r="H143" s="103">
        <v>201612</v>
      </c>
      <c r="I143" s="104">
        <v>9.7200000000000006</v>
      </c>
      <c r="J143" s="297">
        <f t="shared" si="11"/>
        <v>42705</v>
      </c>
      <c r="K143" s="67">
        <f t="shared" si="8"/>
        <v>5</v>
      </c>
      <c r="L143" s="148">
        <v>2.23333E-3</v>
      </c>
      <c r="M143" s="104">
        <f t="shared" si="9"/>
        <v>0.10853983800000001</v>
      </c>
      <c r="O143" s="66">
        <f t="shared" si="10"/>
        <v>2.9415960000000005</v>
      </c>
    </row>
    <row r="144" spans="1:15">
      <c r="A144" s="102" t="s">
        <v>626</v>
      </c>
      <c r="B144" s="103" t="s">
        <v>1681</v>
      </c>
      <c r="C144" s="103" t="s">
        <v>1703</v>
      </c>
      <c r="D144" s="102" t="s">
        <v>1704</v>
      </c>
      <c r="E144" s="103" t="s">
        <v>164</v>
      </c>
      <c r="F144" s="102" t="s">
        <v>1600</v>
      </c>
      <c r="G144" s="103" t="s">
        <v>20</v>
      </c>
      <c r="H144" s="103">
        <v>201612</v>
      </c>
      <c r="I144" s="104">
        <v>8031.33</v>
      </c>
      <c r="J144" s="297">
        <f t="shared" si="11"/>
        <v>42705</v>
      </c>
      <c r="K144" s="67">
        <f t="shared" si="8"/>
        <v>5</v>
      </c>
      <c r="L144" s="155">
        <v>1.4833299999999999E-3</v>
      </c>
      <c r="M144" s="104">
        <f t="shared" si="9"/>
        <v>59.565563644499996</v>
      </c>
      <c r="O144" s="66">
        <f t="shared" si="10"/>
        <v>2430.5481690000001</v>
      </c>
    </row>
    <row r="145" spans="1:15">
      <c r="A145" s="102" t="s">
        <v>626</v>
      </c>
      <c r="B145" s="103" t="s">
        <v>1681</v>
      </c>
      <c r="C145" s="103" t="s">
        <v>1705</v>
      </c>
      <c r="D145" s="102" t="s">
        <v>1706</v>
      </c>
      <c r="E145" s="103" t="s">
        <v>75</v>
      </c>
      <c r="F145" s="102" t="s">
        <v>1602</v>
      </c>
      <c r="G145" s="103" t="s">
        <v>20</v>
      </c>
      <c r="H145" s="103">
        <v>201612</v>
      </c>
      <c r="I145" s="104">
        <v>11047.11</v>
      </c>
      <c r="J145" s="297">
        <f t="shared" si="11"/>
        <v>42705</v>
      </c>
      <c r="K145" s="67">
        <f t="shared" si="8"/>
        <v>5</v>
      </c>
      <c r="L145" s="155">
        <v>1.4833299999999999E-3</v>
      </c>
      <c r="M145" s="104">
        <f t="shared" si="9"/>
        <v>81.932548381499998</v>
      </c>
      <c r="O145" s="66">
        <f t="shared" si="10"/>
        <v>3343.2237230000005</v>
      </c>
    </row>
    <row r="146" spans="1:15">
      <c r="A146" s="102" t="s">
        <v>626</v>
      </c>
      <c r="B146" s="103" t="s">
        <v>1681</v>
      </c>
      <c r="C146" s="103" t="s">
        <v>1707</v>
      </c>
      <c r="D146" s="102" t="s">
        <v>1708</v>
      </c>
      <c r="E146" s="103" t="s">
        <v>75</v>
      </c>
      <c r="F146" s="102" t="s">
        <v>1602</v>
      </c>
      <c r="G146" s="103" t="s">
        <v>20</v>
      </c>
      <c r="H146" s="103">
        <v>201612</v>
      </c>
      <c r="I146" s="104">
        <v>3487.62</v>
      </c>
      <c r="J146" s="297">
        <f t="shared" si="11"/>
        <v>42705</v>
      </c>
      <c r="K146" s="67">
        <f t="shared" si="8"/>
        <v>5</v>
      </c>
      <c r="L146" s="155">
        <v>1.4833299999999999E-3</v>
      </c>
      <c r="M146" s="104">
        <f t="shared" si="9"/>
        <v>25.866456872999997</v>
      </c>
      <c r="O146" s="66">
        <f t="shared" si="10"/>
        <v>1055.4700660000001</v>
      </c>
    </row>
    <row r="147" spans="1:15">
      <c r="A147" s="102" t="s">
        <v>626</v>
      </c>
      <c r="B147" s="103" t="s">
        <v>1620</v>
      </c>
      <c r="C147" s="103" t="s">
        <v>1621</v>
      </c>
      <c r="D147" s="102" t="s">
        <v>1622</v>
      </c>
      <c r="E147" s="103" t="s">
        <v>497</v>
      </c>
      <c r="F147" s="102" t="s">
        <v>26</v>
      </c>
      <c r="G147" s="103" t="s">
        <v>20</v>
      </c>
      <c r="H147" s="103">
        <v>201612</v>
      </c>
      <c r="I147" s="104">
        <v>-2869.94</v>
      </c>
      <c r="J147" s="297">
        <f t="shared" si="11"/>
        <v>42705</v>
      </c>
      <c r="K147" s="67">
        <f t="shared" si="8"/>
        <v>5</v>
      </c>
      <c r="L147" s="155">
        <v>1.4833299999999999E-3</v>
      </c>
      <c r="M147" s="104">
        <f t="shared" si="9"/>
        <v>-21.285340501</v>
      </c>
      <c r="O147" s="66">
        <f t="shared" si="10"/>
        <v>-868.53950866666673</v>
      </c>
    </row>
    <row r="148" spans="1:15">
      <c r="A148" s="102" t="s">
        <v>626</v>
      </c>
      <c r="B148" s="103" t="s">
        <v>2036</v>
      </c>
      <c r="C148" s="103" t="s">
        <v>2037</v>
      </c>
      <c r="D148" s="102" t="s">
        <v>2038</v>
      </c>
      <c r="E148" s="103" t="s">
        <v>160</v>
      </c>
      <c r="F148" s="102" t="s">
        <v>19</v>
      </c>
      <c r="G148" s="103" t="s">
        <v>20</v>
      </c>
      <c r="H148" s="103">
        <v>201612</v>
      </c>
      <c r="I148" s="104">
        <v>532</v>
      </c>
      <c r="J148" s="297">
        <f t="shared" si="11"/>
        <v>42705</v>
      </c>
      <c r="K148" s="67">
        <f t="shared" si="8"/>
        <v>5</v>
      </c>
      <c r="L148" s="155">
        <v>1.4833299999999999E-3</v>
      </c>
      <c r="M148" s="104">
        <f t="shared" si="9"/>
        <v>3.9456577999999998</v>
      </c>
      <c r="O148" s="66">
        <f t="shared" si="10"/>
        <v>161.00093333333334</v>
      </c>
    </row>
    <row r="149" spans="1:15">
      <c r="A149" s="102" t="s">
        <v>626</v>
      </c>
      <c r="B149" s="103" t="s">
        <v>2042</v>
      </c>
      <c r="C149" s="103" t="s">
        <v>2043</v>
      </c>
      <c r="D149" s="102" t="s">
        <v>2044</v>
      </c>
      <c r="E149" s="103" t="s">
        <v>497</v>
      </c>
      <c r="F149" s="102" t="s">
        <v>26</v>
      </c>
      <c r="G149" s="103" t="s">
        <v>20</v>
      </c>
      <c r="H149" s="103">
        <v>201612</v>
      </c>
      <c r="I149" s="104">
        <v>1530.72</v>
      </c>
      <c r="J149" s="297">
        <f t="shared" si="11"/>
        <v>42705</v>
      </c>
      <c r="K149" s="67">
        <f t="shared" si="8"/>
        <v>5</v>
      </c>
      <c r="L149" s="155">
        <v>1.4833299999999999E-3</v>
      </c>
      <c r="M149" s="104">
        <f t="shared" si="9"/>
        <v>11.352814488</v>
      </c>
      <c r="O149" s="66">
        <f t="shared" si="10"/>
        <v>463.24689600000005</v>
      </c>
    </row>
    <row r="150" spans="1:15">
      <c r="A150" s="102" t="s">
        <v>626</v>
      </c>
      <c r="B150" s="103" t="s">
        <v>2115</v>
      </c>
      <c r="C150" s="103" t="s">
        <v>2116</v>
      </c>
      <c r="D150" s="102" t="s">
        <v>1338</v>
      </c>
      <c r="E150" s="103" t="s">
        <v>75</v>
      </c>
      <c r="F150" s="102" t="s">
        <v>1602</v>
      </c>
      <c r="G150" s="103" t="s">
        <v>20</v>
      </c>
      <c r="H150" s="103">
        <v>201612</v>
      </c>
      <c r="I150" s="104">
        <v>-50.58</v>
      </c>
      <c r="J150" s="297">
        <f t="shared" si="11"/>
        <v>42705</v>
      </c>
      <c r="K150" s="67">
        <f t="shared" si="8"/>
        <v>5</v>
      </c>
      <c r="L150" s="155">
        <v>1.4833299999999999E-3</v>
      </c>
      <c r="M150" s="104">
        <f t="shared" si="9"/>
        <v>-0.37513415699999997</v>
      </c>
      <c r="O150" s="66">
        <f t="shared" si="10"/>
        <v>-15.307194000000001</v>
      </c>
    </row>
    <row r="151" spans="1:15">
      <c r="A151" s="102" t="s">
        <v>21</v>
      </c>
      <c r="B151" s="103" t="s">
        <v>1964</v>
      </c>
      <c r="C151" s="103" t="s">
        <v>1965</v>
      </c>
      <c r="D151" s="102" t="s">
        <v>1966</v>
      </c>
      <c r="E151" s="103" t="s">
        <v>87</v>
      </c>
      <c r="F151" s="102" t="s">
        <v>1603</v>
      </c>
      <c r="G151" s="103" t="s">
        <v>20</v>
      </c>
      <c r="H151" s="103">
        <v>201612</v>
      </c>
      <c r="I151" s="104">
        <v>3252.36</v>
      </c>
      <c r="J151" s="297">
        <f t="shared" si="11"/>
        <v>42705</v>
      </c>
      <c r="K151" s="67">
        <f t="shared" si="8"/>
        <v>5</v>
      </c>
      <c r="L151" s="155">
        <v>1.4833299999999999E-3</v>
      </c>
      <c r="M151" s="104">
        <f t="shared" si="9"/>
        <v>24.121615794</v>
      </c>
      <c r="O151" s="66">
        <f t="shared" si="10"/>
        <v>984.27254800000026</v>
      </c>
    </row>
    <row r="152" spans="1:15">
      <c r="A152" s="102" t="s">
        <v>626</v>
      </c>
      <c r="B152" s="103" t="s">
        <v>1964</v>
      </c>
      <c r="C152" s="103" t="s">
        <v>1965</v>
      </c>
      <c r="D152" s="102" t="s">
        <v>1966</v>
      </c>
      <c r="E152" s="103" t="s">
        <v>87</v>
      </c>
      <c r="F152" s="102" t="s">
        <v>1603</v>
      </c>
      <c r="G152" s="103" t="s">
        <v>20</v>
      </c>
      <c r="H152" s="103">
        <v>201612</v>
      </c>
      <c r="I152" s="104">
        <v>1830.85</v>
      </c>
      <c r="J152" s="297">
        <f t="shared" si="11"/>
        <v>42705</v>
      </c>
      <c r="K152" s="67">
        <f t="shared" si="8"/>
        <v>5</v>
      </c>
      <c r="L152" s="155">
        <v>1.4833299999999999E-3</v>
      </c>
      <c r="M152" s="104">
        <f t="shared" si="9"/>
        <v>13.578773652499999</v>
      </c>
      <c r="O152" s="66">
        <f t="shared" si="10"/>
        <v>554.07623833333344</v>
      </c>
    </row>
    <row r="153" spans="1:15">
      <c r="A153" s="102" t="s">
        <v>127</v>
      </c>
      <c r="B153" s="103" t="s">
        <v>1964</v>
      </c>
      <c r="C153" s="103" t="s">
        <v>1965</v>
      </c>
      <c r="D153" s="102" t="s">
        <v>1966</v>
      </c>
      <c r="E153" s="103" t="s">
        <v>87</v>
      </c>
      <c r="F153" s="102" t="s">
        <v>1603</v>
      </c>
      <c r="G153" s="103" t="s">
        <v>20</v>
      </c>
      <c r="H153" s="103">
        <v>201612</v>
      </c>
      <c r="I153" s="104">
        <v>-5083.21</v>
      </c>
      <c r="J153" s="297">
        <f t="shared" si="11"/>
        <v>42705</v>
      </c>
      <c r="K153" s="67">
        <f t="shared" si="8"/>
        <v>5</v>
      </c>
      <c r="L153" s="148">
        <v>2.3833299999999999E-3</v>
      </c>
      <c r="M153" s="104">
        <f t="shared" si="9"/>
        <v>-60.574834446499999</v>
      </c>
      <c r="O153" s="66">
        <f t="shared" si="10"/>
        <v>-1538.3487863333337</v>
      </c>
    </row>
    <row r="154" spans="1:15">
      <c r="A154" s="102" t="s">
        <v>626</v>
      </c>
      <c r="B154" s="103" t="s">
        <v>2294</v>
      </c>
      <c r="C154" s="103" t="s">
        <v>2293</v>
      </c>
      <c r="D154" s="102" t="s">
        <v>2295</v>
      </c>
      <c r="E154" s="103" t="s">
        <v>75</v>
      </c>
      <c r="F154" s="102" t="s">
        <v>1602</v>
      </c>
      <c r="G154" s="103" t="s">
        <v>20</v>
      </c>
      <c r="H154" s="103">
        <v>201612</v>
      </c>
      <c r="I154" s="104">
        <v>0.76</v>
      </c>
      <c r="J154" s="297">
        <f t="shared" si="11"/>
        <v>42705</v>
      </c>
      <c r="K154" s="67">
        <f t="shared" si="8"/>
        <v>5</v>
      </c>
      <c r="L154" s="155">
        <v>1.4833299999999999E-3</v>
      </c>
      <c r="M154" s="104">
        <f t="shared" si="9"/>
        <v>5.6366539999999996E-3</v>
      </c>
      <c r="O154" s="66">
        <f t="shared" si="10"/>
        <v>0.23000133333333336</v>
      </c>
    </row>
    <row r="155" spans="1:15">
      <c r="A155" s="102" t="s">
        <v>21</v>
      </c>
      <c r="B155" s="103" t="s">
        <v>1970</v>
      </c>
      <c r="C155" s="103" t="s">
        <v>1971</v>
      </c>
      <c r="D155" s="102" t="s">
        <v>1972</v>
      </c>
      <c r="E155" s="103" t="s">
        <v>93</v>
      </c>
      <c r="F155" s="102" t="s">
        <v>1601</v>
      </c>
      <c r="G155" s="103" t="s">
        <v>20</v>
      </c>
      <c r="H155" s="103">
        <v>201612</v>
      </c>
      <c r="I155" s="104">
        <v>10.89</v>
      </c>
      <c r="J155" s="297">
        <f t="shared" si="11"/>
        <v>42705</v>
      </c>
      <c r="K155" s="67">
        <f t="shared" si="8"/>
        <v>5</v>
      </c>
      <c r="L155" s="155">
        <v>1.4833299999999999E-3</v>
      </c>
      <c r="M155" s="104">
        <f t="shared" si="9"/>
        <v>8.0767318500000004E-2</v>
      </c>
      <c r="O155" s="66">
        <f t="shared" si="10"/>
        <v>3.2956770000000009</v>
      </c>
    </row>
    <row r="156" spans="1:15">
      <c r="A156" s="102" t="s">
        <v>626</v>
      </c>
      <c r="B156" s="103" t="s">
        <v>1970</v>
      </c>
      <c r="C156" s="103" t="s">
        <v>1971</v>
      </c>
      <c r="D156" s="102" t="s">
        <v>1972</v>
      </c>
      <c r="E156" s="103" t="s">
        <v>93</v>
      </c>
      <c r="F156" s="102" t="s">
        <v>1601</v>
      </c>
      <c r="G156" s="103" t="s">
        <v>20</v>
      </c>
      <c r="H156" s="103">
        <v>201612</v>
      </c>
      <c r="I156" s="104">
        <v>283.39999999999998</v>
      </c>
      <c r="J156" s="297">
        <f t="shared" si="11"/>
        <v>42705</v>
      </c>
      <c r="K156" s="67">
        <f t="shared" si="8"/>
        <v>5</v>
      </c>
      <c r="L156" s="155">
        <v>1.4833299999999999E-3</v>
      </c>
      <c r="M156" s="104">
        <f t="shared" si="9"/>
        <v>2.1018786099999995</v>
      </c>
      <c r="O156" s="66">
        <f t="shared" si="10"/>
        <v>85.766286666666673</v>
      </c>
    </row>
    <row r="157" spans="1:15">
      <c r="A157" s="102" t="s">
        <v>1942</v>
      </c>
      <c r="B157" s="103" t="s">
        <v>1681</v>
      </c>
      <c r="C157" s="103" t="s">
        <v>1682</v>
      </c>
      <c r="D157" s="102" t="s">
        <v>1683</v>
      </c>
      <c r="E157" s="103" t="s">
        <v>198</v>
      </c>
      <c r="F157" s="102" t="s">
        <v>1610</v>
      </c>
      <c r="G157" s="103" t="s">
        <v>20</v>
      </c>
      <c r="H157" s="103">
        <v>201612</v>
      </c>
      <c r="I157" s="104">
        <v>469.24</v>
      </c>
      <c r="J157" s="297">
        <f t="shared" si="11"/>
        <v>42705</v>
      </c>
      <c r="K157" s="67">
        <f t="shared" si="8"/>
        <v>5</v>
      </c>
      <c r="L157" s="155">
        <v>2.23333E-3</v>
      </c>
      <c r="M157" s="104">
        <f t="shared" si="9"/>
        <v>5.2398388460000005</v>
      </c>
      <c r="O157" s="66">
        <f t="shared" si="10"/>
        <v>142.00766533333336</v>
      </c>
    </row>
    <row r="158" spans="1:15">
      <c r="A158" s="102" t="s">
        <v>1942</v>
      </c>
      <c r="B158" s="103" t="s">
        <v>1681</v>
      </c>
      <c r="C158" s="103" t="s">
        <v>1943</v>
      </c>
      <c r="D158" s="102" t="s">
        <v>1944</v>
      </c>
      <c r="E158" s="103" t="s">
        <v>202</v>
      </c>
      <c r="F158" s="102" t="s">
        <v>1611</v>
      </c>
      <c r="G158" s="103" t="s">
        <v>20</v>
      </c>
      <c r="H158" s="103">
        <v>201612</v>
      </c>
      <c r="I158" s="104">
        <v>273.69</v>
      </c>
      <c r="J158" s="297">
        <f t="shared" si="11"/>
        <v>42705</v>
      </c>
      <c r="K158" s="67">
        <f t="shared" si="8"/>
        <v>5</v>
      </c>
      <c r="L158" s="155">
        <v>2.23333E-3</v>
      </c>
      <c r="M158" s="104">
        <f t="shared" si="9"/>
        <v>3.0562004384999999</v>
      </c>
      <c r="O158" s="66">
        <f t="shared" si="10"/>
        <v>82.827717000000007</v>
      </c>
    </row>
    <row r="159" spans="1:15">
      <c r="A159" s="102" t="s">
        <v>1942</v>
      </c>
      <c r="B159" s="103" t="s">
        <v>1681</v>
      </c>
      <c r="C159" s="103" t="s">
        <v>1976</v>
      </c>
      <c r="D159" s="102" t="s">
        <v>1977</v>
      </c>
      <c r="E159" s="103" t="s">
        <v>294</v>
      </c>
      <c r="F159" s="102" t="s">
        <v>1613</v>
      </c>
      <c r="G159" s="103" t="s">
        <v>20</v>
      </c>
      <c r="H159" s="103">
        <v>201612</v>
      </c>
      <c r="I159" s="104">
        <v>6674.56</v>
      </c>
      <c r="J159" s="297">
        <f t="shared" si="11"/>
        <v>42705</v>
      </c>
      <c r="K159" s="67">
        <f t="shared" si="8"/>
        <v>5</v>
      </c>
      <c r="L159" s="155">
        <v>2.23333E-3</v>
      </c>
      <c r="M159" s="104">
        <f t="shared" si="9"/>
        <v>74.532475424000012</v>
      </c>
      <c r="O159" s="66">
        <f t="shared" si="10"/>
        <v>2019.9443413333338</v>
      </c>
    </row>
    <row r="160" spans="1:15">
      <c r="A160" s="102" t="s">
        <v>626</v>
      </c>
      <c r="B160" s="103" t="s">
        <v>1945</v>
      </c>
      <c r="C160" s="103" t="s">
        <v>1946</v>
      </c>
      <c r="D160" s="102" t="s">
        <v>1947</v>
      </c>
      <c r="E160" s="103" t="s">
        <v>93</v>
      </c>
      <c r="F160" s="102" t="s">
        <v>1601</v>
      </c>
      <c r="G160" s="103" t="s">
        <v>20</v>
      </c>
      <c r="H160" s="103">
        <v>201612</v>
      </c>
      <c r="I160" s="104">
        <v>12.85</v>
      </c>
      <c r="J160" s="297">
        <f t="shared" si="11"/>
        <v>42705</v>
      </c>
      <c r="K160" s="67">
        <f t="shared" si="8"/>
        <v>5</v>
      </c>
      <c r="L160" s="155">
        <v>1.4833299999999999E-3</v>
      </c>
      <c r="M160" s="104">
        <f t="shared" si="9"/>
        <v>9.5303952499999997E-2</v>
      </c>
      <c r="O160" s="66">
        <f t="shared" si="10"/>
        <v>3.8888383333333341</v>
      </c>
    </row>
    <row r="161" spans="1:15">
      <c r="A161" s="102" t="s">
        <v>21</v>
      </c>
      <c r="B161" s="103" t="s">
        <v>1681</v>
      </c>
      <c r="C161" s="103" t="s">
        <v>2257</v>
      </c>
      <c r="D161" s="102" t="s">
        <v>2258</v>
      </c>
      <c r="E161" s="103" t="s">
        <v>93</v>
      </c>
      <c r="F161" s="102" t="s">
        <v>1601</v>
      </c>
      <c r="G161" s="103" t="s">
        <v>20</v>
      </c>
      <c r="H161" s="103">
        <v>201612</v>
      </c>
      <c r="I161" s="104">
        <v>-14.04</v>
      </c>
      <c r="J161" s="297">
        <f t="shared" si="11"/>
        <v>42705</v>
      </c>
      <c r="K161" s="67">
        <f t="shared" si="8"/>
        <v>5</v>
      </c>
      <c r="L161" s="155">
        <v>1.4833299999999999E-3</v>
      </c>
      <c r="M161" s="104">
        <f t="shared" si="9"/>
        <v>-0.10412976599999998</v>
      </c>
      <c r="O161" s="66">
        <f t="shared" si="10"/>
        <v>-4.2489720000000002</v>
      </c>
    </row>
    <row r="162" spans="1:15">
      <c r="A162" s="102" t="s">
        <v>626</v>
      </c>
      <c r="B162" s="103" t="s">
        <v>1681</v>
      </c>
      <c r="C162" s="103" t="s">
        <v>2257</v>
      </c>
      <c r="D162" s="102" t="s">
        <v>2258</v>
      </c>
      <c r="E162" s="103" t="s">
        <v>93</v>
      </c>
      <c r="F162" s="102" t="s">
        <v>1601</v>
      </c>
      <c r="G162" s="103" t="s">
        <v>20</v>
      </c>
      <c r="H162" s="103">
        <v>201612</v>
      </c>
      <c r="I162" s="104">
        <v>-329.01</v>
      </c>
      <c r="J162" s="297">
        <f t="shared" si="11"/>
        <v>42705</v>
      </c>
      <c r="K162" s="67">
        <f t="shared" si="8"/>
        <v>5</v>
      </c>
      <c r="L162" s="155">
        <v>1.4833299999999999E-3</v>
      </c>
      <c r="M162" s="104">
        <f t="shared" si="9"/>
        <v>-2.4401520164999999</v>
      </c>
      <c r="O162" s="66">
        <f t="shared" si="10"/>
        <v>-99.569393000000019</v>
      </c>
    </row>
    <row r="163" spans="1:15">
      <c r="A163" s="102" t="s">
        <v>626</v>
      </c>
      <c r="B163" s="103" t="s">
        <v>1681</v>
      </c>
      <c r="C163" s="103" t="s">
        <v>1999</v>
      </c>
      <c r="D163" s="102" t="s">
        <v>2000</v>
      </c>
      <c r="E163" s="103" t="s">
        <v>75</v>
      </c>
      <c r="F163" s="102" t="s">
        <v>1602</v>
      </c>
      <c r="G163" s="103" t="s">
        <v>20</v>
      </c>
      <c r="H163" s="103">
        <v>201612</v>
      </c>
      <c r="I163" s="104">
        <v>-14555.55</v>
      </c>
      <c r="J163" s="297">
        <f t="shared" si="11"/>
        <v>42705</v>
      </c>
      <c r="K163" s="67">
        <f t="shared" si="8"/>
        <v>5</v>
      </c>
      <c r="L163" s="155">
        <v>1.4833299999999999E-3</v>
      </c>
      <c r="M163" s="104">
        <f t="shared" si="9"/>
        <v>-107.95341990749999</v>
      </c>
      <c r="O163" s="66">
        <f t="shared" si="10"/>
        <v>-4404.9946150000005</v>
      </c>
    </row>
    <row r="164" spans="1:15">
      <c r="A164" s="102" t="s">
        <v>1942</v>
      </c>
      <c r="B164" s="103" t="s">
        <v>1681</v>
      </c>
      <c r="C164" s="103" t="s">
        <v>1999</v>
      </c>
      <c r="D164" s="102" t="s">
        <v>2000</v>
      </c>
      <c r="E164" s="103" t="s">
        <v>75</v>
      </c>
      <c r="F164" s="102" t="s">
        <v>1602</v>
      </c>
      <c r="G164" s="103" t="s">
        <v>20</v>
      </c>
      <c r="H164" s="103">
        <v>201612</v>
      </c>
      <c r="I164" s="104">
        <v>-60.89</v>
      </c>
      <c r="J164" s="297">
        <f t="shared" si="11"/>
        <v>42705</v>
      </c>
      <c r="K164" s="67">
        <f t="shared" si="8"/>
        <v>5</v>
      </c>
      <c r="L164" s="155">
        <v>2.23333E-3</v>
      </c>
      <c r="M164" s="104">
        <f t="shared" si="9"/>
        <v>-0.67993731850000005</v>
      </c>
      <c r="O164" s="66">
        <f t="shared" si="10"/>
        <v>-18.427343666666669</v>
      </c>
    </row>
    <row r="165" spans="1:15">
      <c r="A165" s="102" t="s">
        <v>14</v>
      </c>
      <c r="B165" s="103" t="s">
        <v>1681</v>
      </c>
      <c r="C165" s="103" t="s">
        <v>1999</v>
      </c>
      <c r="D165" s="102" t="s">
        <v>2000</v>
      </c>
      <c r="E165" s="103" t="s">
        <v>75</v>
      </c>
      <c r="F165" s="102" t="s">
        <v>1602</v>
      </c>
      <c r="G165" s="103" t="s">
        <v>20</v>
      </c>
      <c r="H165" s="103">
        <v>201612</v>
      </c>
      <c r="I165" s="104">
        <v>-1861.63</v>
      </c>
      <c r="J165" s="297">
        <f t="shared" si="11"/>
        <v>42705</v>
      </c>
      <c r="K165" s="67">
        <f t="shared" si="8"/>
        <v>5</v>
      </c>
      <c r="L165" s="148">
        <v>2.23333E-3</v>
      </c>
      <c r="M165" s="104">
        <f t="shared" si="9"/>
        <v>-20.788170639500002</v>
      </c>
      <c r="O165" s="66">
        <f t="shared" si="10"/>
        <v>-563.39129233333347</v>
      </c>
    </row>
    <row r="166" spans="1:15">
      <c r="A166" s="102" t="s">
        <v>626</v>
      </c>
      <c r="B166" s="103" t="s">
        <v>1681</v>
      </c>
      <c r="C166" s="103" t="s">
        <v>2259</v>
      </c>
      <c r="D166" s="102" t="s">
        <v>2260</v>
      </c>
      <c r="E166" s="103" t="s">
        <v>209</v>
      </c>
      <c r="F166" s="102" t="s">
        <v>1612</v>
      </c>
      <c r="G166" s="103" t="s">
        <v>20</v>
      </c>
      <c r="H166" s="103">
        <v>201612</v>
      </c>
      <c r="I166" s="104">
        <v>5.09</v>
      </c>
      <c r="J166" s="297">
        <f t="shared" si="11"/>
        <v>42705</v>
      </c>
      <c r="K166" s="67">
        <f t="shared" si="8"/>
        <v>5</v>
      </c>
      <c r="L166" s="155">
        <v>1.4833299999999999E-3</v>
      </c>
      <c r="M166" s="104">
        <f t="shared" si="9"/>
        <v>3.7750748499999993E-2</v>
      </c>
      <c r="O166" s="66">
        <f t="shared" si="10"/>
        <v>1.5404036666666667</v>
      </c>
    </row>
    <row r="167" spans="1:15">
      <c r="A167" s="102" t="s">
        <v>626</v>
      </c>
      <c r="B167" s="103" t="s">
        <v>1681</v>
      </c>
      <c r="C167" s="103" t="s">
        <v>2311</v>
      </c>
      <c r="D167" s="102" t="s">
        <v>2312</v>
      </c>
      <c r="E167" s="103" t="s">
        <v>209</v>
      </c>
      <c r="F167" s="102" t="s">
        <v>1612</v>
      </c>
      <c r="G167" s="103" t="s">
        <v>20</v>
      </c>
      <c r="H167" s="103">
        <v>201612</v>
      </c>
      <c r="I167" s="104">
        <v>10.09</v>
      </c>
      <c r="J167" s="297">
        <f t="shared" si="11"/>
        <v>42705</v>
      </c>
      <c r="K167" s="67">
        <f t="shared" si="8"/>
        <v>5</v>
      </c>
      <c r="L167" s="155">
        <v>1.4833299999999999E-3</v>
      </c>
      <c r="M167" s="104">
        <f t="shared" si="9"/>
        <v>7.4833998499999999E-2</v>
      </c>
      <c r="O167" s="66">
        <f t="shared" si="10"/>
        <v>3.0535703333333335</v>
      </c>
    </row>
    <row r="168" spans="1:15">
      <c r="A168" s="102" t="s">
        <v>14</v>
      </c>
      <c r="B168" s="103" t="s">
        <v>1681</v>
      </c>
      <c r="C168" s="103" t="s">
        <v>2311</v>
      </c>
      <c r="D168" s="102" t="s">
        <v>2312</v>
      </c>
      <c r="E168" s="103" t="s">
        <v>209</v>
      </c>
      <c r="F168" s="102" t="s">
        <v>1612</v>
      </c>
      <c r="G168" s="103" t="s">
        <v>20</v>
      </c>
      <c r="H168" s="103">
        <v>201612</v>
      </c>
      <c r="I168" s="104">
        <v>0.2</v>
      </c>
      <c r="J168" s="297">
        <f t="shared" si="11"/>
        <v>42705</v>
      </c>
      <c r="K168" s="67">
        <f t="shared" si="8"/>
        <v>5</v>
      </c>
      <c r="L168" s="148">
        <v>2.23333E-3</v>
      </c>
      <c r="M168" s="104">
        <f t="shared" si="9"/>
        <v>2.23333E-3</v>
      </c>
      <c r="O168" s="66">
        <f t="shared" si="10"/>
        <v>6.052666666666668E-2</v>
      </c>
    </row>
    <row r="169" spans="1:15">
      <c r="A169" s="102" t="s">
        <v>626</v>
      </c>
      <c r="B169" s="103" t="s">
        <v>1681</v>
      </c>
      <c r="C169" s="103" t="s">
        <v>2313</v>
      </c>
      <c r="D169" s="102" t="s">
        <v>2314</v>
      </c>
      <c r="E169" s="103" t="s">
        <v>260</v>
      </c>
      <c r="F169" s="102" t="s">
        <v>1608</v>
      </c>
      <c r="G169" s="103" t="s">
        <v>20</v>
      </c>
      <c r="H169" s="103">
        <v>201612</v>
      </c>
      <c r="I169" s="104">
        <v>133.21</v>
      </c>
      <c r="J169" s="297">
        <f t="shared" si="11"/>
        <v>42705</v>
      </c>
      <c r="K169" s="67">
        <f t="shared" si="8"/>
        <v>5</v>
      </c>
      <c r="L169" s="155">
        <v>1.4833299999999999E-3</v>
      </c>
      <c r="M169" s="104">
        <f t="shared" si="9"/>
        <v>0.98797194649999998</v>
      </c>
      <c r="O169" s="66">
        <f t="shared" si="10"/>
        <v>40.31378633333334</v>
      </c>
    </row>
    <row r="170" spans="1:15">
      <c r="A170" s="102" t="s">
        <v>21</v>
      </c>
      <c r="B170" s="103" t="s">
        <v>1681</v>
      </c>
      <c r="C170" s="103" t="s">
        <v>2315</v>
      </c>
      <c r="D170" s="102" t="s">
        <v>2316</v>
      </c>
      <c r="E170" s="103" t="s">
        <v>164</v>
      </c>
      <c r="F170" s="102" t="s">
        <v>1600</v>
      </c>
      <c r="G170" s="103" t="s">
        <v>20</v>
      </c>
      <c r="H170" s="103">
        <v>201612</v>
      </c>
      <c r="I170" s="104">
        <v>-0.01</v>
      </c>
      <c r="J170" s="297">
        <f t="shared" si="11"/>
        <v>42705</v>
      </c>
      <c r="K170" s="67">
        <f t="shared" si="8"/>
        <v>5</v>
      </c>
      <c r="L170" s="155">
        <v>1.4833299999999999E-3</v>
      </c>
      <c r="M170" s="104">
        <f t="shared" si="9"/>
        <v>-7.4166500000000002E-5</v>
      </c>
      <c r="O170" s="66">
        <f t="shared" si="10"/>
        <v>-3.026333333333334E-3</v>
      </c>
    </row>
    <row r="171" spans="1:15">
      <c r="A171" s="102" t="s">
        <v>626</v>
      </c>
      <c r="B171" s="103" t="s">
        <v>1681</v>
      </c>
      <c r="C171" s="103" t="s">
        <v>2315</v>
      </c>
      <c r="D171" s="102" t="s">
        <v>2316</v>
      </c>
      <c r="E171" s="103" t="s">
        <v>164</v>
      </c>
      <c r="F171" s="102" t="s">
        <v>1600</v>
      </c>
      <c r="G171" s="103" t="s">
        <v>20</v>
      </c>
      <c r="H171" s="103">
        <v>201612</v>
      </c>
      <c r="I171" s="104">
        <v>-13.77</v>
      </c>
      <c r="J171" s="297">
        <f t="shared" si="11"/>
        <v>42705</v>
      </c>
      <c r="K171" s="67">
        <f t="shared" si="8"/>
        <v>5</v>
      </c>
      <c r="L171" s="155">
        <v>1.4833299999999999E-3</v>
      </c>
      <c r="M171" s="104">
        <f t="shared" si="9"/>
        <v>-0.10212727049999999</v>
      </c>
      <c r="O171" s="66">
        <f t="shared" si="10"/>
        <v>-4.1672610000000008</v>
      </c>
    </row>
    <row r="172" spans="1:15">
      <c r="A172" s="102" t="s">
        <v>14</v>
      </c>
      <c r="B172" s="103" t="s">
        <v>1681</v>
      </c>
      <c r="C172" s="103" t="s">
        <v>2315</v>
      </c>
      <c r="D172" s="102" t="s">
        <v>2316</v>
      </c>
      <c r="E172" s="103" t="s">
        <v>164</v>
      </c>
      <c r="F172" s="102" t="s">
        <v>1600</v>
      </c>
      <c r="G172" s="103" t="s">
        <v>20</v>
      </c>
      <c r="H172" s="103">
        <v>201612</v>
      </c>
      <c r="I172" s="104">
        <v>-5.89</v>
      </c>
      <c r="J172" s="297">
        <f t="shared" si="11"/>
        <v>42705</v>
      </c>
      <c r="K172" s="67">
        <f t="shared" si="8"/>
        <v>5</v>
      </c>
      <c r="L172" s="148">
        <v>2.23333E-3</v>
      </c>
      <c r="M172" s="104">
        <f t="shared" si="9"/>
        <v>-6.5771568500000002E-2</v>
      </c>
      <c r="O172" s="66">
        <f t="shared" si="10"/>
        <v>-1.7825103333333334</v>
      </c>
    </row>
    <row r="173" spans="1:15">
      <c r="A173" s="102" t="s">
        <v>626</v>
      </c>
      <c r="B173" s="103" t="s">
        <v>1681</v>
      </c>
      <c r="C173" s="103" t="s">
        <v>2334</v>
      </c>
      <c r="D173" s="102" t="s">
        <v>2335</v>
      </c>
      <c r="E173" s="103" t="s">
        <v>164</v>
      </c>
      <c r="F173" s="102" t="s">
        <v>1600</v>
      </c>
      <c r="G173" s="103" t="s">
        <v>20</v>
      </c>
      <c r="H173" s="103">
        <v>201612</v>
      </c>
      <c r="I173" s="104">
        <v>1529.02</v>
      </c>
      <c r="J173" s="297">
        <f t="shared" si="11"/>
        <v>42705</v>
      </c>
      <c r="K173" s="67">
        <f t="shared" si="8"/>
        <v>5</v>
      </c>
      <c r="L173" s="155">
        <v>1.4833299999999999E-3</v>
      </c>
      <c r="M173" s="104">
        <f t="shared" si="9"/>
        <v>11.340206182999999</v>
      </c>
      <c r="O173" s="66">
        <f t="shared" si="10"/>
        <v>462.73241933333338</v>
      </c>
    </row>
    <row r="174" spans="1:15">
      <c r="A174" s="102" t="s">
        <v>626</v>
      </c>
      <c r="B174" s="103" t="s">
        <v>1681</v>
      </c>
      <c r="C174" s="103" t="s">
        <v>2336</v>
      </c>
      <c r="D174" s="102" t="s">
        <v>2337</v>
      </c>
      <c r="E174" s="103" t="s">
        <v>164</v>
      </c>
      <c r="F174" s="102" t="s">
        <v>1600</v>
      </c>
      <c r="G174" s="103" t="s">
        <v>20</v>
      </c>
      <c r="H174" s="103">
        <v>201612</v>
      </c>
      <c r="I174" s="104">
        <v>9142.4699999999993</v>
      </c>
      <c r="J174" s="297">
        <f t="shared" si="11"/>
        <v>42705</v>
      </c>
      <c r="K174" s="67">
        <f t="shared" si="8"/>
        <v>5</v>
      </c>
      <c r="L174" s="155">
        <v>1.4833299999999999E-3</v>
      </c>
      <c r="M174" s="104">
        <f t="shared" si="9"/>
        <v>67.806500125499994</v>
      </c>
      <c r="O174" s="66">
        <f t="shared" si="10"/>
        <v>2766.8161709999999</v>
      </c>
    </row>
    <row r="175" spans="1:15">
      <c r="A175" s="102" t="s">
        <v>14</v>
      </c>
      <c r="B175" s="103" t="s">
        <v>1681</v>
      </c>
      <c r="C175" s="103" t="s">
        <v>2336</v>
      </c>
      <c r="D175" s="102" t="s">
        <v>2337</v>
      </c>
      <c r="E175" s="103" t="s">
        <v>164</v>
      </c>
      <c r="F175" s="102" t="s">
        <v>1600</v>
      </c>
      <c r="G175" s="103" t="s">
        <v>20</v>
      </c>
      <c r="H175" s="103">
        <v>201612</v>
      </c>
      <c r="I175" s="104">
        <v>37.880000000000003</v>
      </c>
      <c r="J175" s="297">
        <f t="shared" si="11"/>
        <v>42705</v>
      </c>
      <c r="K175" s="67">
        <f t="shared" si="8"/>
        <v>5</v>
      </c>
      <c r="L175" s="148">
        <v>2.23333E-3</v>
      </c>
      <c r="M175" s="104">
        <f t="shared" si="9"/>
        <v>0.42299270200000005</v>
      </c>
      <c r="O175" s="66">
        <f t="shared" si="10"/>
        <v>11.46375066666667</v>
      </c>
    </row>
    <row r="176" spans="1:15">
      <c r="A176" s="102" t="s">
        <v>626</v>
      </c>
      <c r="B176" s="103" t="s">
        <v>1681</v>
      </c>
      <c r="C176" s="103" t="s">
        <v>2338</v>
      </c>
      <c r="D176" s="102" t="s">
        <v>2339</v>
      </c>
      <c r="E176" s="103" t="s">
        <v>164</v>
      </c>
      <c r="F176" s="102" t="s">
        <v>1600</v>
      </c>
      <c r="G176" s="103" t="s">
        <v>20</v>
      </c>
      <c r="H176" s="103">
        <v>201612</v>
      </c>
      <c r="I176" s="104">
        <v>687.79</v>
      </c>
      <c r="J176" s="297">
        <f t="shared" si="11"/>
        <v>42705</v>
      </c>
      <c r="K176" s="67">
        <f t="shared" si="8"/>
        <v>5</v>
      </c>
      <c r="L176" s="155">
        <v>1.4833299999999999E-3</v>
      </c>
      <c r="M176" s="104">
        <f t="shared" si="9"/>
        <v>5.1010977034999989</v>
      </c>
      <c r="O176" s="66">
        <f t="shared" si="10"/>
        <v>208.14818033333333</v>
      </c>
    </row>
    <row r="177" spans="1:15">
      <c r="A177" s="102" t="s">
        <v>14</v>
      </c>
      <c r="B177" s="103" t="s">
        <v>1681</v>
      </c>
      <c r="C177" s="103" t="s">
        <v>2338</v>
      </c>
      <c r="D177" s="102" t="s">
        <v>2339</v>
      </c>
      <c r="E177" s="103" t="s">
        <v>164</v>
      </c>
      <c r="F177" s="102" t="s">
        <v>1600</v>
      </c>
      <c r="G177" s="103" t="s">
        <v>20</v>
      </c>
      <c r="H177" s="103">
        <v>201612</v>
      </c>
      <c r="I177" s="104">
        <v>5.14</v>
      </c>
      <c r="J177" s="297">
        <f t="shared" si="11"/>
        <v>42705</v>
      </c>
      <c r="K177" s="67">
        <f t="shared" si="8"/>
        <v>5</v>
      </c>
      <c r="L177" s="148">
        <v>2.23333E-3</v>
      </c>
      <c r="M177" s="104">
        <f t="shared" si="9"/>
        <v>5.7396580999999995E-2</v>
      </c>
      <c r="O177" s="66">
        <f t="shared" si="10"/>
        <v>1.5555353333333333</v>
      </c>
    </row>
    <row r="178" spans="1:15">
      <c r="A178" s="102" t="s">
        <v>626</v>
      </c>
      <c r="B178" s="103" t="s">
        <v>1681</v>
      </c>
      <c r="C178" s="103" t="s">
        <v>2340</v>
      </c>
      <c r="D178" s="102" t="s">
        <v>2341</v>
      </c>
      <c r="E178" s="103" t="s">
        <v>260</v>
      </c>
      <c r="F178" s="102" t="s">
        <v>1608</v>
      </c>
      <c r="G178" s="103" t="s">
        <v>20</v>
      </c>
      <c r="H178" s="103">
        <v>201612</v>
      </c>
      <c r="I178" s="104">
        <v>10.210000000000001</v>
      </c>
      <c r="J178" s="297">
        <f t="shared" si="11"/>
        <v>42705</v>
      </c>
      <c r="K178" s="67">
        <f t="shared" si="8"/>
        <v>5</v>
      </c>
      <c r="L178" s="155">
        <v>1.4833299999999999E-3</v>
      </c>
      <c r="M178" s="104">
        <f t="shared" si="9"/>
        <v>7.5723996500000001E-2</v>
      </c>
      <c r="O178" s="66">
        <f t="shared" si="10"/>
        <v>3.0898863333333337</v>
      </c>
    </row>
    <row r="179" spans="1:15">
      <c r="A179" s="102" t="s">
        <v>14</v>
      </c>
      <c r="B179" s="103" t="s">
        <v>1681</v>
      </c>
      <c r="C179" s="103" t="s">
        <v>2340</v>
      </c>
      <c r="D179" s="102" t="s">
        <v>2341</v>
      </c>
      <c r="E179" s="103" t="s">
        <v>260</v>
      </c>
      <c r="F179" s="102" t="s">
        <v>1608</v>
      </c>
      <c r="G179" s="103" t="s">
        <v>20</v>
      </c>
      <c r="H179" s="103">
        <v>201612</v>
      </c>
      <c r="I179" s="104">
        <v>0.14000000000000001</v>
      </c>
      <c r="J179" s="297">
        <f t="shared" si="11"/>
        <v>42705</v>
      </c>
      <c r="K179" s="67">
        <f t="shared" si="8"/>
        <v>5</v>
      </c>
      <c r="L179" s="148">
        <v>2.23333E-3</v>
      </c>
      <c r="M179" s="104">
        <f t="shared" si="9"/>
        <v>1.5633310000000003E-3</v>
      </c>
      <c r="O179" s="66">
        <f t="shared" si="10"/>
        <v>4.2368666666666679E-2</v>
      </c>
    </row>
    <row r="180" spans="1:15">
      <c r="A180" s="102" t="s">
        <v>626</v>
      </c>
      <c r="B180" s="103" t="s">
        <v>1681</v>
      </c>
      <c r="C180" s="103" t="s">
        <v>2342</v>
      </c>
      <c r="D180" s="102" t="s">
        <v>2343</v>
      </c>
      <c r="E180" s="103" t="s">
        <v>75</v>
      </c>
      <c r="F180" s="102" t="s">
        <v>1602</v>
      </c>
      <c r="G180" s="103" t="s">
        <v>20</v>
      </c>
      <c r="H180" s="103">
        <v>201612</v>
      </c>
      <c r="I180" s="104">
        <v>1943.6</v>
      </c>
      <c r="J180" s="297">
        <f t="shared" si="11"/>
        <v>42705</v>
      </c>
      <c r="K180" s="67">
        <f t="shared" si="8"/>
        <v>5</v>
      </c>
      <c r="L180" s="155">
        <v>1.4833299999999999E-3</v>
      </c>
      <c r="M180" s="104">
        <f t="shared" si="9"/>
        <v>14.415000939999999</v>
      </c>
      <c r="O180" s="66">
        <f t="shared" si="10"/>
        <v>588.19814666666673</v>
      </c>
    </row>
    <row r="181" spans="1:15">
      <c r="A181" s="102" t="s">
        <v>14</v>
      </c>
      <c r="B181" s="103" t="s">
        <v>1681</v>
      </c>
      <c r="C181" s="103" t="s">
        <v>2342</v>
      </c>
      <c r="D181" s="102" t="s">
        <v>2343</v>
      </c>
      <c r="E181" s="103" t="s">
        <v>75</v>
      </c>
      <c r="F181" s="102" t="s">
        <v>1602</v>
      </c>
      <c r="G181" s="103" t="s">
        <v>20</v>
      </c>
      <c r="H181" s="103">
        <v>201612</v>
      </c>
      <c r="I181" s="104">
        <v>7.0000000000000007E-2</v>
      </c>
      <c r="J181" s="297">
        <f t="shared" si="11"/>
        <v>42705</v>
      </c>
      <c r="K181" s="67">
        <f t="shared" si="8"/>
        <v>5</v>
      </c>
      <c r="L181" s="148">
        <v>2.23333E-3</v>
      </c>
      <c r="M181" s="104">
        <f t="shared" si="9"/>
        <v>7.8166550000000013E-4</v>
      </c>
      <c r="O181" s="66">
        <f t="shared" si="10"/>
        <v>2.118433333333334E-2</v>
      </c>
    </row>
    <row r="182" spans="1:15">
      <c r="A182" s="102" t="s">
        <v>626</v>
      </c>
      <c r="B182" s="103" t="s">
        <v>1681</v>
      </c>
      <c r="C182" s="103" t="s">
        <v>2344</v>
      </c>
      <c r="D182" s="102" t="s">
        <v>2345</v>
      </c>
      <c r="E182" s="103" t="s">
        <v>75</v>
      </c>
      <c r="F182" s="102" t="s">
        <v>1602</v>
      </c>
      <c r="G182" s="103" t="s">
        <v>20</v>
      </c>
      <c r="H182" s="103">
        <v>201612</v>
      </c>
      <c r="I182" s="104">
        <v>4788.9799999999996</v>
      </c>
      <c r="J182" s="297">
        <f t="shared" si="11"/>
        <v>42705</v>
      </c>
      <c r="K182" s="67">
        <f t="shared" si="8"/>
        <v>5</v>
      </c>
      <c r="L182" s="155">
        <v>1.4833299999999999E-3</v>
      </c>
      <c r="M182" s="104">
        <f t="shared" si="9"/>
        <v>35.518188516999992</v>
      </c>
      <c r="O182" s="66">
        <f t="shared" si="10"/>
        <v>1449.3049806666668</v>
      </c>
    </row>
    <row r="183" spans="1:15">
      <c r="A183" s="102" t="s">
        <v>14</v>
      </c>
      <c r="B183" s="103" t="s">
        <v>1681</v>
      </c>
      <c r="C183" s="103" t="s">
        <v>2344</v>
      </c>
      <c r="D183" s="102" t="s">
        <v>2345</v>
      </c>
      <c r="E183" s="103" t="s">
        <v>75</v>
      </c>
      <c r="F183" s="102" t="s">
        <v>1602</v>
      </c>
      <c r="G183" s="103" t="s">
        <v>20</v>
      </c>
      <c r="H183" s="103">
        <v>201612</v>
      </c>
      <c r="I183" s="104">
        <v>1.1200000000000001</v>
      </c>
      <c r="J183" s="297">
        <f t="shared" si="11"/>
        <v>42705</v>
      </c>
      <c r="K183" s="67">
        <f t="shared" si="8"/>
        <v>5</v>
      </c>
      <c r="L183" s="148">
        <v>2.23333E-3</v>
      </c>
      <c r="M183" s="104">
        <f t="shared" si="9"/>
        <v>1.2506648000000002E-2</v>
      </c>
      <c r="O183" s="66">
        <f t="shared" si="10"/>
        <v>0.33894933333333344</v>
      </c>
    </row>
    <row r="184" spans="1:15">
      <c r="A184" s="102" t="s">
        <v>626</v>
      </c>
      <c r="B184" s="103" t="s">
        <v>1681</v>
      </c>
      <c r="C184" s="103" t="s">
        <v>2346</v>
      </c>
      <c r="D184" s="102" t="s">
        <v>2347</v>
      </c>
      <c r="E184" s="103" t="s">
        <v>75</v>
      </c>
      <c r="F184" s="102" t="s">
        <v>1602</v>
      </c>
      <c r="G184" s="103" t="s">
        <v>20</v>
      </c>
      <c r="H184" s="103">
        <v>201612</v>
      </c>
      <c r="I184" s="104">
        <v>-520.87</v>
      </c>
      <c r="J184" s="297">
        <f t="shared" si="11"/>
        <v>42705</v>
      </c>
      <c r="K184" s="67">
        <f t="shared" si="8"/>
        <v>5</v>
      </c>
      <c r="L184" s="155">
        <v>1.4833299999999999E-3</v>
      </c>
      <c r="M184" s="104">
        <f t="shared" si="9"/>
        <v>-3.8631104854999996</v>
      </c>
      <c r="O184" s="66">
        <f t="shared" si="10"/>
        <v>-157.63262433333338</v>
      </c>
    </row>
    <row r="185" spans="1:15">
      <c r="A185" s="102" t="s">
        <v>626</v>
      </c>
      <c r="B185" s="103" t="s">
        <v>1681</v>
      </c>
      <c r="C185" s="103" t="s">
        <v>2348</v>
      </c>
      <c r="D185" s="102" t="s">
        <v>2349</v>
      </c>
      <c r="E185" s="103" t="s">
        <v>75</v>
      </c>
      <c r="F185" s="102" t="s">
        <v>1602</v>
      </c>
      <c r="G185" s="103" t="s">
        <v>20</v>
      </c>
      <c r="H185" s="103">
        <v>201612</v>
      </c>
      <c r="I185" s="104">
        <v>5751.91</v>
      </c>
      <c r="J185" s="297">
        <f t="shared" si="11"/>
        <v>42705</v>
      </c>
      <c r="K185" s="67">
        <f t="shared" si="8"/>
        <v>5</v>
      </c>
      <c r="L185" s="155">
        <v>1.4833299999999999E-3</v>
      </c>
      <c r="M185" s="104">
        <f t="shared" si="9"/>
        <v>42.659903301499995</v>
      </c>
      <c r="O185" s="66">
        <f t="shared" si="10"/>
        <v>1740.7196963333336</v>
      </c>
    </row>
    <row r="186" spans="1:15">
      <c r="A186" s="102" t="s">
        <v>14</v>
      </c>
      <c r="B186" s="103" t="s">
        <v>1681</v>
      </c>
      <c r="C186" s="103" t="s">
        <v>2348</v>
      </c>
      <c r="D186" s="102" t="s">
        <v>2349</v>
      </c>
      <c r="E186" s="103" t="s">
        <v>75</v>
      </c>
      <c r="F186" s="102" t="s">
        <v>1602</v>
      </c>
      <c r="G186" s="103" t="s">
        <v>20</v>
      </c>
      <c r="H186" s="103">
        <v>201612</v>
      </c>
      <c r="I186" s="104">
        <v>2.2599999999999998</v>
      </c>
      <c r="J186" s="297">
        <f t="shared" si="11"/>
        <v>42705</v>
      </c>
      <c r="K186" s="67">
        <f t="shared" si="8"/>
        <v>5</v>
      </c>
      <c r="L186" s="148">
        <v>2.23333E-3</v>
      </c>
      <c r="M186" s="104">
        <f t="shared" si="9"/>
        <v>2.5236628999999997E-2</v>
      </c>
      <c r="O186" s="66">
        <f t="shared" si="10"/>
        <v>0.68395133333333336</v>
      </c>
    </row>
    <row r="187" spans="1:15">
      <c r="A187" s="102" t="s">
        <v>626</v>
      </c>
      <c r="B187" s="103" t="s">
        <v>1681</v>
      </c>
      <c r="C187" s="103" t="s">
        <v>2350</v>
      </c>
      <c r="D187" s="102" t="s">
        <v>2351</v>
      </c>
      <c r="E187" s="103" t="s">
        <v>75</v>
      </c>
      <c r="F187" s="102" t="s">
        <v>1602</v>
      </c>
      <c r="G187" s="103" t="s">
        <v>20</v>
      </c>
      <c r="H187" s="103">
        <v>201612</v>
      </c>
      <c r="I187" s="104">
        <v>22859.34</v>
      </c>
      <c r="J187" s="297">
        <f t="shared" si="11"/>
        <v>42705</v>
      </c>
      <c r="K187" s="67">
        <f t="shared" si="8"/>
        <v>5</v>
      </c>
      <c r="L187" s="155">
        <v>1.4833299999999999E-3</v>
      </c>
      <c r="M187" s="104">
        <f t="shared" si="9"/>
        <v>169.53972401099998</v>
      </c>
      <c r="O187" s="66">
        <f t="shared" si="10"/>
        <v>6917.998262000001</v>
      </c>
    </row>
    <row r="188" spans="1:15">
      <c r="A188" s="102" t="s">
        <v>626</v>
      </c>
      <c r="B188" s="103" t="s">
        <v>1681</v>
      </c>
      <c r="C188" s="103" t="s">
        <v>2352</v>
      </c>
      <c r="D188" s="102" t="s">
        <v>2353</v>
      </c>
      <c r="E188" s="103" t="s">
        <v>75</v>
      </c>
      <c r="F188" s="102" t="s">
        <v>1602</v>
      </c>
      <c r="G188" s="103" t="s">
        <v>20</v>
      </c>
      <c r="H188" s="103">
        <v>201612</v>
      </c>
      <c r="I188" s="104">
        <v>12721.13</v>
      </c>
      <c r="J188" s="297">
        <f t="shared" si="11"/>
        <v>42705</v>
      </c>
      <c r="K188" s="67">
        <f t="shared" si="8"/>
        <v>5</v>
      </c>
      <c r="L188" s="155">
        <v>1.4833299999999999E-3</v>
      </c>
      <c r="M188" s="104">
        <f t="shared" si="9"/>
        <v>94.348168814499985</v>
      </c>
      <c r="O188" s="66">
        <f t="shared" si="10"/>
        <v>3849.8379756666673</v>
      </c>
    </row>
    <row r="189" spans="1:15">
      <c r="A189" s="102" t="s">
        <v>14</v>
      </c>
      <c r="B189" s="103" t="s">
        <v>1681</v>
      </c>
      <c r="C189" s="103" t="s">
        <v>2352</v>
      </c>
      <c r="D189" s="102" t="s">
        <v>2353</v>
      </c>
      <c r="E189" s="103" t="s">
        <v>75</v>
      </c>
      <c r="F189" s="102" t="s">
        <v>1602</v>
      </c>
      <c r="G189" s="103" t="s">
        <v>20</v>
      </c>
      <c r="H189" s="103">
        <v>201612</v>
      </c>
      <c r="I189" s="104">
        <v>20.71</v>
      </c>
      <c r="J189" s="297">
        <f t="shared" si="11"/>
        <v>42705</v>
      </c>
      <c r="K189" s="67">
        <f t="shared" si="8"/>
        <v>5</v>
      </c>
      <c r="L189" s="148">
        <v>2.23333E-3</v>
      </c>
      <c r="M189" s="104">
        <f t="shared" si="9"/>
        <v>0.23126132150000001</v>
      </c>
      <c r="O189" s="66">
        <f t="shared" si="10"/>
        <v>6.267536333333334</v>
      </c>
    </row>
    <row r="190" spans="1:15">
      <c r="A190" s="102" t="s">
        <v>626</v>
      </c>
      <c r="B190" s="103" t="s">
        <v>1681</v>
      </c>
      <c r="C190" s="103" t="s">
        <v>2354</v>
      </c>
      <c r="D190" s="102" t="s">
        <v>2355</v>
      </c>
      <c r="E190" s="103" t="s">
        <v>164</v>
      </c>
      <c r="F190" s="102" t="s">
        <v>1600</v>
      </c>
      <c r="G190" s="103" t="s">
        <v>20</v>
      </c>
      <c r="H190" s="103">
        <v>201612</v>
      </c>
      <c r="I190" s="104">
        <v>333.5</v>
      </c>
      <c r="J190" s="297">
        <f t="shared" si="11"/>
        <v>42705</v>
      </c>
      <c r="K190" s="67">
        <f t="shared" si="8"/>
        <v>5</v>
      </c>
      <c r="L190" s="155">
        <v>1.4833299999999999E-3</v>
      </c>
      <c r="M190" s="104">
        <f t="shared" si="9"/>
        <v>2.4734527749999997</v>
      </c>
      <c r="O190" s="66">
        <f t="shared" si="10"/>
        <v>100.92821666666667</v>
      </c>
    </row>
    <row r="191" spans="1:15">
      <c r="A191" s="102" t="s">
        <v>626</v>
      </c>
      <c r="B191" s="103" t="s">
        <v>1681</v>
      </c>
      <c r="C191" s="103" t="s">
        <v>2358</v>
      </c>
      <c r="D191" s="102" t="s">
        <v>2359</v>
      </c>
      <c r="E191" s="103" t="s">
        <v>75</v>
      </c>
      <c r="F191" s="102" t="s">
        <v>1602</v>
      </c>
      <c r="G191" s="103" t="s">
        <v>20</v>
      </c>
      <c r="H191" s="103">
        <v>201612</v>
      </c>
      <c r="I191" s="104">
        <v>1925.7</v>
      </c>
      <c r="J191" s="297">
        <f t="shared" si="11"/>
        <v>42705</v>
      </c>
      <c r="K191" s="67">
        <f t="shared" si="8"/>
        <v>5</v>
      </c>
      <c r="L191" s="155">
        <v>1.4833299999999999E-3</v>
      </c>
      <c r="M191" s="104">
        <f t="shared" si="9"/>
        <v>14.282242904999999</v>
      </c>
      <c r="O191" s="66">
        <f t="shared" si="10"/>
        <v>582.78101000000004</v>
      </c>
    </row>
    <row r="192" spans="1:15">
      <c r="A192" s="102" t="s">
        <v>14</v>
      </c>
      <c r="B192" s="103" t="s">
        <v>1681</v>
      </c>
      <c r="C192" s="103" t="s">
        <v>2358</v>
      </c>
      <c r="D192" s="102" t="s">
        <v>2359</v>
      </c>
      <c r="E192" s="103" t="s">
        <v>75</v>
      </c>
      <c r="F192" s="102" t="s">
        <v>1602</v>
      </c>
      <c r="G192" s="103" t="s">
        <v>20</v>
      </c>
      <c r="H192" s="103">
        <v>201612</v>
      </c>
      <c r="I192" s="104">
        <v>21.7</v>
      </c>
      <c r="J192" s="297">
        <f t="shared" si="11"/>
        <v>42705</v>
      </c>
      <c r="K192" s="67">
        <f t="shared" si="8"/>
        <v>5</v>
      </c>
      <c r="L192" s="148">
        <v>2.23333E-3</v>
      </c>
      <c r="M192" s="104">
        <f t="shared" si="9"/>
        <v>0.24231630500000001</v>
      </c>
      <c r="O192" s="66">
        <f t="shared" si="10"/>
        <v>6.567143333333334</v>
      </c>
    </row>
    <row r="193" spans="1:15">
      <c r="A193" s="102" t="s">
        <v>626</v>
      </c>
      <c r="B193" s="103" t="s">
        <v>1681</v>
      </c>
      <c r="C193" s="103" t="s">
        <v>2360</v>
      </c>
      <c r="D193" s="102" t="s">
        <v>2361</v>
      </c>
      <c r="E193" s="103" t="s">
        <v>75</v>
      </c>
      <c r="F193" s="102" t="s">
        <v>1602</v>
      </c>
      <c r="G193" s="103" t="s">
        <v>20</v>
      </c>
      <c r="H193" s="103">
        <v>201612</v>
      </c>
      <c r="I193" s="104">
        <v>1129.0899999999999</v>
      </c>
      <c r="J193" s="297">
        <f t="shared" si="11"/>
        <v>42705</v>
      </c>
      <c r="K193" s="67">
        <f t="shared" si="8"/>
        <v>5</v>
      </c>
      <c r="L193" s="155">
        <v>1.4833299999999999E-3</v>
      </c>
      <c r="M193" s="104">
        <f t="shared" si="9"/>
        <v>8.3740653484999985</v>
      </c>
      <c r="O193" s="66">
        <f t="shared" si="10"/>
        <v>341.70027033333332</v>
      </c>
    </row>
    <row r="194" spans="1:15">
      <c r="A194" s="102" t="s">
        <v>14</v>
      </c>
      <c r="B194" s="103" t="s">
        <v>1681</v>
      </c>
      <c r="C194" s="103" t="s">
        <v>2360</v>
      </c>
      <c r="D194" s="102" t="s">
        <v>2361</v>
      </c>
      <c r="E194" s="103" t="s">
        <v>75</v>
      </c>
      <c r="F194" s="102" t="s">
        <v>1602</v>
      </c>
      <c r="G194" s="103" t="s">
        <v>20</v>
      </c>
      <c r="H194" s="103">
        <v>201612</v>
      </c>
      <c r="I194" s="104">
        <v>14.72</v>
      </c>
      <c r="J194" s="297">
        <f t="shared" si="11"/>
        <v>42705</v>
      </c>
      <c r="K194" s="67">
        <f t="shared" ref="K194:K257" si="12">((YEAR($K$1)-YEAR(J194))*12+MONTH($K$1)-MONTH(J194))</f>
        <v>5</v>
      </c>
      <c r="L194" s="148">
        <v>2.23333E-3</v>
      </c>
      <c r="M194" s="104">
        <f t="shared" ref="M194:M257" si="13">L194*K194*I194</f>
        <v>0.164373088</v>
      </c>
      <c r="O194" s="66">
        <f t="shared" si="10"/>
        <v>4.4547626666666673</v>
      </c>
    </row>
    <row r="195" spans="1:15">
      <c r="A195" s="102" t="s">
        <v>626</v>
      </c>
      <c r="B195" s="103" t="s">
        <v>1681</v>
      </c>
      <c r="C195" s="103" t="s">
        <v>2362</v>
      </c>
      <c r="D195" s="102" t="s">
        <v>2363</v>
      </c>
      <c r="E195" s="103" t="s">
        <v>75</v>
      </c>
      <c r="F195" s="102" t="s">
        <v>1602</v>
      </c>
      <c r="G195" s="103" t="s">
        <v>20</v>
      </c>
      <c r="H195" s="103">
        <v>201612</v>
      </c>
      <c r="I195" s="104">
        <v>526.04999999999995</v>
      </c>
      <c r="J195" s="297">
        <f t="shared" si="11"/>
        <v>42705</v>
      </c>
      <c r="K195" s="67">
        <f t="shared" si="12"/>
        <v>5</v>
      </c>
      <c r="L195" s="155">
        <v>1.4833299999999999E-3</v>
      </c>
      <c r="M195" s="104">
        <f t="shared" si="13"/>
        <v>3.9015287324999992</v>
      </c>
      <c r="O195" s="66">
        <f t="shared" ref="O195:O258" si="14">($O$4*I195*$R$11)</f>
        <v>159.200265</v>
      </c>
    </row>
    <row r="196" spans="1:15">
      <c r="A196" s="102" t="s">
        <v>14</v>
      </c>
      <c r="B196" s="103" t="s">
        <v>1681</v>
      </c>
      <c r="C196" s="103" t="s">
        <v>2362</v>
      </c>
      <c r="D196" s="102" t="s">
        <v>2363</v>
      </c>
      <c r="E196" s="103" t="s">
        <v>75</v>
      </c>
      <c r="F196" s="102" t="s">
        <v>1602</v>
      </c>
      <c r="G196" s="103" t="s">
        <v>20</v>
      </c>
      <c r="H196" s="103">
        <v>201612</v>
      </c>
      <c r="I196" s="104">
        <v>9.01</v>
      </c>
      <c r="J196" s="297">
        <f t="shared" si="11"/>
        <v>42705</v>
      </c>
      <c r="K196" s="67">
        <f t="shared" si="12"/>
        <v>5</v>
      </c>
      <c r="L196" s="148">
        <v>2.23333E-3</v>
      </c>
      <c r="M196" s="104">
        <f t="shared" si="13"/>
        <v>0.1006115165</v>
      </c>
      <c r="O196" s="66">
        <f t="shared" si="14"/>
        <v>2.7267263333333336</v>
      </c>
    </row>
    <row r="197" spans="1:15">
      <c r="A197" s="102" t="s">
        <v>626</v>
      </c>
      <c r="B197" s="103" t="s">
        <v>1681</v>
      </c>
      <c r="C197" s="103" t="s">
        <v>2364</v>
      </c>
      <c r="D197" s="102" t="s">
        <v>2365</v>
      </c>
      <c r="E197" s="103" t="s">
        <v>75</v>
      </c>
      <c r="F197" s="102" t="s">
        <v>1602</v>
      </c>
      <c r="G197" s="103" t="s">
        <v>20</v>
      </c>
      <c r="H197" s="103">
        <v>201612</v>
      </c>
      <c r="I197" s="104">
        <v>1112.7</v>
      </c>
      <c r="J197" s="297">
        <f t="shared" si="11"/>
        <v>42705</v>
      </c>
      <c r="K197" s="67">
        <f t="shared" si="12"/>
        <v>5</v>
      </c>
      <c r="L197" s="155">
        <v>1.4833299999999999E-3</v>
      </c>
      <c r="M197" s="104">
        <f t="shared" si="13"/>
        <v>8.2525064549999989</v>
      </c>
      <c r="O197" s="66">
        <f t="shared" si="14"/>
        <v>336.74011000000007</v>
      </c>
    </row>
    <row r="198" spans="1:15">
      <c r="A198" s="102" t="s">
        <v>14</v>
      </c>
      <c r="B198" s="103" t="s">
        <v>1681</v>
      </c>
      <c r="C198" s="103" t="s">
        <v>2364</v>
      </c>
      <c r="D198" s="102" t="s">
        <v>2365</v>
      </c>
      <c r="E198" s="103" t="s">
        <v>75</v>
      </c>
      <c r="F198" s="102" t="s">
        <v>1602</v>
      </c>
      <c r="G198" s="103" t="s">
        <v>20</v>
      </c>
      <c r="H198" s="103">
        <v>201612</v>
      </c>
      <c r="I198" s="104">
        <v>11.43</v>
      </c>
      <c r="J198" s="297">
        <f t="shared" si="11"/>
        <v>42705</v>
      </c>
      <c r="K198" s="67">
        <f t="shared" si="12"/>
        <v>5</v>
      </c>
      <c r="L198" s="148">
        <v>2.23333E-3</v>
      </c>
      <c r="M198" s="104">
        <f t="shared" si="13"/>
        <v>0.1276348095</v>
      </c>
      <c r="O198" s="66">
        <f t="shared" si="14"/>
        <v>3.4590990000000006</v>
      </c>
    </row>
    <row r="199" spans="1:15">
      <c r="A199" s="102" t="s">
        <v>21</v>
      </c>
      <c r="B199" s="103" t="s">
        <v>1681</v>
      </c>
      <c r="C199" s="103" t="s">
        <v>2366</v>
      </c>
      <c r="D199" s="102" t="s">
        <v>2367</v>
      </c>
      <c r="E199" s="103" t="s">
        <v>75</v>
      </c>
      <c r="F199" s="102" t="s">
        <v>1602</v>
      </c>
      <c r="G199" s="103" t="s">
        <v>20</v>
      </c>
      <c r="H199" s="103">
        <v>201612</v>
      </c>
      <c r="I199" s="104">
        <v>0.09</v>
      </c>
      <c r="J199" s="297">
        <f t="shared" ref="J199:J262" si="15">+J198</f>
        <v>42705</v>
      </c>
      <c r="K199" s="67">
        <f t="shared" si="12"/>
        <v>5</v>
      </c>
      <c r="L199" s="155">
        <v>1.4833299999999999E-3</v>
      </c>
      <c r="M199" s="104">
        <f t="shared" si="13"/>
        <v>6.6749849999999994E-4</v>
      </c>
      <c r="O199" s="66">
        <f t="shared" si="14"/>
        <v>2.7237000000000004E-2</v>
      </c>
    </row>
    <row r="200" spans="1:15">
      <c r="A200" s="102" t="s">
        <v>626</v>
      </c>
      <c r="B200" s="103" t="s">
        <v>1681</v>
      </c>
      <c r="C200" s="103" t="s">
        <v>2366</v>
      </c>
      <c r="D200" s="102" t="s">
        <v>2367</v>
      </c>
      <c r="E200" s="103" t="s">
        <v>75</v>
      </c>
      <c r="F200" s="102" t="s">
        <v>1602</v>
      </c>
      <c r="G200" s="103" t="s">
        <v>20</v>
      </c>
      <c r="H200" s="103">
        <v>201612</v>
      </c>
      <c r="I200" s="104">
        <v>640.67999999999995</v>
      </c>
      <c r="J200" s="297">
        <f t="shared" si="15"/>
        <v>42705</v>
      </c>
      <c r="K200" s="67">
        <f t="shared" si="12"/>
        <v>5</v>
      </c>
      <c r="L200" s="155">
        <v>1.4833299999999999E-3</v>
      </c>
      <c r="M200" s="104">
        <f t="shared" si="13"/>
        <v>4.7516993219999994</v>
      </c>
      <c r="O200" s="66">
        <f t="shared" si="14"/>
        <v>193.89112400000002</v>
      </c>
    </row>
    <row r="201" spans="1:15">
      <c r="A201" s="102" t="s">
        <v>14</v>
      </c>
      <c r="B201" s="103" t="s">
        <v>1681</v>
      </c>
      <c r="C201" s="103" t="s">
        <v>2366</v>
      </c>
      <c r="D201" s="102" t="s">
        <v>2367</v>
      </c>
      <c r="E201" s="103" t="s">
        <v>75</v>
      </c>
      <c r="F201" s="102" t="s">
        <v>1602</v>
      </c>
      <c r="G201" s="103" t="s">
        <v>20</v>
      </c>
      <c r="H201" s="103">
        <v>201612</v>
      </c>
      <c r="I201" s="104">
        <v>0.84</v>
      </c>
      <c r="J201" s="297">
        <f t="shared" si="15"/>
        <v>42705</v>
      </c>
      <c r="K201" s="67">
        <f t="shared" si="12"/>
        <v>5</v>
      </c>
      <c r="L201" s="148">
        <v>2.23333E-3</v>
      </c>
      <c r="M201" s="104">
        <f t="shared" si="13"/>
        <v>9.3799859999999999E-3</v>
      </c>
      <c r="O201" s="66">
        <f t="shared" si="14"/>
        <v>0.25421200000000005</v>
      </c>
    </row>
    <row r="202" spans="1:15">
      <c r="A202" s="102" t="s">
        <v>21</v>
      </c>
      <c r="B202" s="103" t="s">
        <v>1681</v>
      </c>
      <c r="C202" s="103" t="s">
        <v>2368</v>
      </c>
      <c r="D202" s="102" t="s">
        <v>2369</v>
      </c>
      <c r="E202" s="103" t="s">
        <v>75</v>
      </c>
      <c r="F202" s="102" t="s">
        <v>1602</v>
      </c>
      <c r="G202" s="103" t="s">
        <v>20</v>
      </c>
      <c r="H202" s="103">
        <v>201612</v>
      </c>
      <c r="I202" s="104">
        <v>0.09</v>
      </c>
      <c r="J202" s="297">
        <f t="shared" si="15"/>
        <v>42705</v>
      </c>
      <c r="K202" s="67">
        <f t="shared" si="12"/>
        <v>5</v>
      </c>
      <c r="L202" s="155">
        <v>1.4833299999999999E-3</v>
      </c>
      <c r="M202" s="104">
        <f t="shared" si="13"/>
        <v>6.6749849999999994E-4</v>
      </c>
      <c r="O202" s="66">
        <f t="shared" si="14"/>
        <v>2.7237000000000004E-2</v>
      </c>
    </row>
    <row r="203" spans="1:15">
      <c r="A203" s="102" t="s">
        <v>626</v>
      </c>
      <c r="B203" s="103" t="s">
        <v>1681</v>
      </c>
      <c r="C203" s="103" t="s">
        <v>2368</v>
      </c>
      <c r="D203" s="102" t="s">
        <v>2369</v>
      </c>
      <c r="E203" s="103" t="s">
        <v>75</v>
      </c>
      <c r="F203" s="102" t="s">
        <v>1602</v>
      </c>
      <c r="G203" s="103" t="s">
        <v>20</v>
      </c>
      <c r="H203" s="103">
        <v>201612</v>
      </c>
      <c r="I203" s="104">
        <v>1080.8699999999999</v>
      </c>
      <c r="J203" s="297">
        <f t="shared" si="15"/>
        <v>42705</v>
      </c>
      <c r="K203" s="67">
        <f t="shared" si="12"/>
        <v>5</v>
      </c>
      <c r="L203" s="155">
        <v>1.4833299999999999E-3</v>
      </c>
      <c r="M203" s="104">
        <f t="shared" si="13"/>
        <v>8.0164344854999978</v>
      </c>
      <c r="O203" s="66">
        <f t="shared" si="14"/>
        <v>327.10729100000003</v>
      </c>
    </row>
    <row r="204" spans="1:15">
      <c r="A204" s="102" t="s">
        <v>14</v>
      </c>
      <c r="B204" s="103" t="s">
        <v>1681</v>
      </c>
      <c r="C204" s="103" t="s">
        <v>2368</v>
      </c>
      <c r="D204" s="102" t="s">
        <v>2369</v>
      </c>
      <c r="E204" s="103" t="s">
        <v>75</v>
      </c>
      <c r="F204" s="102" t="s">
        <v>1602</v>
      </c>
      <c r="G204" s="103" t="s">
        <v>20</v>
      </c>
      <c r="H204" s="103">
        <v>201612</v>
      </c>
      <c r="I204" s="104">
        <v>1.78</v>
      </c>
      <c r="J204" s="297">
        <f t="shared" si="15"/>
        <v>42705</v>
      </c>
      <c r="K204" s="67">
        <f t="shared" si="12"/>
        <v>5</v>
      </c>
      <c r="L204" s="148">
        <v>2.23333E-3</v>
      </c>
      <c r="M204" s="104">
        <f t="shared" si="13"/>
        <v>1.9876636999999999E-2</v>
      </c>
      <c r="O204" s="66">
        <f t="shared" si="14"/>
        <v>0.53868733333333341</v>
      </c>
    </row>
    <row r="205" spans="1:15">
      <c r="A205" s="102" t="s">
        <v>626</v>
      </c>
      <c r="B205" s="103" t="s">
        <v>1681</v>
      </c>
      <c r="C205" s="103" t="s">
        <v>2370</v>
      </c>
      <c r="D205" s="102" t="s">
        <v>2371</v>
      </c>
      <c r="E205" s="103" t="s">
        <v>75</v>
      </c>
      <c r="F205" s="102" t="s">
        <v>1602</v>
      </c>
      <c r="G205" s="103" t="s">
        <v>20</v>
      </c>
      <c r="H205" s="103">
        <v>201612</v>
      </c>
      <c r="I205" s="104">
        <v>274.27999999999997</v>
      </c>
      <c r="J205" s="297">
        <f t="shared" si="15"/>
        <v>42705</v>
      </c>
      <c r="K205" s="67">
        <f t="shared" si="12"/>
        <v>5</v>
      </c>
      <c r="L205" s="155">
        <v>1.4833299999999999E-3</v>
      </c>
      <c r="M205" s="104">
        <f t="shared" si="13"/>
        <v>2.0342387619999998</v>
      </c>
      <c r="O205" s="66">
        <f t="shared" si="14"/>
        <v>83.006270666666666</v>
      </c>
    </row>
    <row r="206" spans="1:15">
      <c r="A206" s="102" t="s">
        <v>14</v>
      </c>
      <c r="B206" s="103" t="s">
        <v>1681</v>
      </c>
      <c r="C206" s="103" t="s">
        <v>2370</v>
      </c>
      <c r="D206" s="102" t="s">
        <v>2371</v>
      </c>
      <c r="E206" s="103" t="s">
        <v>75</v>
      </c>
      <c r="F206" s="102" t="s">
        <v>1602</v>
      </c>
      <c r="G206" s="103" t="s">
        <v>20</v>
      </c>
      <c r="H206" s="103">
        <v>201612</v>
      </c>
      <c r="I206" s="104">
        <v>0.03</v>
      </c>
      <c r="J206" s="297">
        <f t="shared" si="15"/>
        <v>42705</v>
      </c>
      <c r="K206" s="67">
        <f t="shared" si="12"/>
        <v>5</v>
      </c>
      <c r="L206" s="148">
        <v>2.23333E-3</v>
      </c>
      <c r="M206" s="104">
        <f t="shared" si="13"/>
        <v>3.349995E-4</v>
      </c>
      <c r="O206" s="66">
        <f t="shared" si="14"/>
        <v>9.079000000000002E-3</v>
      </c>
    </row>
    <row r="207" spans="1:15">
      <c r="A207" s="102" t="s">
        <v>626</v>
      </c>
      <c r="B207" s="103" t="s">
        <v>1681</v>
      </c>
      <c r="C207" s="103" t="s">
        <v>2317</v>
      </c>
      <c r="D207" s="102" t="s">
        <v>2318</v>
      </c>
      <c r="E207" s="103" t="s">
        <v>75</v>
      </c>
      <c r="F207" s="102" t="s">
        <v>1602</v>
      </c>
      <c r="G207" s="103" t="s">
        <v>20</v>
      </c>
      <c r="H207" s="103">
        <v>201612</v>
      </c>
      <c r="I207" s="104">
        <v>-15.14</v>
      </c>
      <c r="J207" s="297">
        <f t="shared" si="15"/>
        <v>42705</v>
      </c>
      <c r="K207" s="348">
        <f t="shared" si="12"/>
        <v>5</v>
      </c>
      <c r="L207" s="155">
        <v>1.4833299999999999E-3</v>
      </c>
      <c r="M207" s="349">
        <f t="shared" si="13"/>
        <v>-0.112288081</v>
      </c>
      <c r="N207" s="350"/>
      <c r="O207" s="66">
        <f t="shared" si="14"/>
        <v>-4.5818686666666668</v>
      </c>
    </row>
    <row r="208" spans="1:15">
      <c r="A208" s="102" t="s">
        <v>626</v>
      </c>
      <c r="B208" s="103" t="s">
        <v>1681</v>
      </c>
      <c r="C208" s="103" t="s">
        <v>2007</v>
      </c>
      <c r="D208" s="102" t="s">
        <v>2008</v>
      </c>
      <c r="E208" s="103" t="s">
        <v>260</v>
      </c>
      <c r="F208" s="102" t="s">
        <v>1608</v>
      </c>
      <c r="G208" s="103" t="s">
        <v>20</v>
      </c>
      <c r="H208" s="103">
        <v>201612</v>
      </c>
      <c r="I208" s="104">
        <v>-744.49</v>
      </c>
      <c r="J208" s="297">
        <f t="shared" si="15"/>
        <v>42705</v>
      </c>
      <c r="K208" s="67">
        <f t="shared" si="12"/>
        <v>5</v>
      </c>
      <c r="L208" s="155">
        <v>1.4833299999999999E-3</v>
      </c>
      <c r="M208" s="104">
        <f t="shared" si="13"/>
        <v>-5.5216217584999994</v>
      </c>
      <c r="O208" s="66">
        <f t="shared" si="14"/>
        <v>-225.30749033333336</v>
      </c>
    </row>
    <row r="209" spans="1:15">
      <c r="A209" s="102" t="s">
        <v>14</v>
      </c>
      <c r="B209" s="103" t="s">
        <v>1681</v>
      </c>
      <c r="C209" s="103" t="s">
        <v>2007</v>
      </c>
      <c r="D209" s="102" t="s">
        <v>2008</v>
      </c>
      <c r="E209" s="103" t="s">
        <v>260</v>
      </c>
      <c r="F209" s="102" t="s">
        <v>1608</v>
      </c>
      <c r="G209" s="103" t="s">
        <v>20</v>
      </c>
      <c r="H209" s="103">
        <v>201612</v>
      </c>
      <c r="I209" s="104">
        <v>744.49</v>
      </c>
      <c r="J209" s="297">
        <f t="shared" si="15"/>
        <v>42705</v>
      </c>
      <c r="K209" s="67">
        <f t="shared" si="12"/>
        <v>5</v>
      </c>
      <c r="L209" s="148">
        <v>2.23333E-3</v>
      </c>
      <c r="M209" s="104">
        <f t="shared" si="13"/>
        <v>8.3134592585</v>
      </c>
      <c r="O209" s="66">
        <f t="shared" si="14"/>
        <v>225.30749033333336</v>
      </c>
    </row>
    <row r="210" spans="1:15">
      <c r="A210" s="102" t="s">
        <v>626</v>
      </c>
      <c r="B210" s="103" t="s">
        <v>1681</v>
      </c>
      <c r="C210" s="103" t="s">
        <v>2009</v>
      </c>
      <c r="D210" s="102" t="s">
        <v>2010</v>
      </c>
      <c r="E210" s="103" t="s">
        <v>260</v>
      </c>
      <c r="F210" s="102" t="s">
        <v>1608</v>
      </c>
      <c r="G210" s="103" t="s">
        <v>20</v>
      </c>
      <c r="H210" s="103">
        <v>201612</v>
      </c>
      <c r="I210" s="104">
        <v>7196.27</v>
      </c>
      <c r="J210" s="297">
        <f t="shared" si="15"/>
        <v>42705</v>
      </c>
      <c r="K210" s="67">
        <f t="shared" si="12"/>
        <v>5</v>
      </c>
      <c r="L210" s="155">
        <v>1.4833299999999999E-3</v>
      </c>
      <c r="M210" s="104">
        <f t="shared" si="13"/>
        <v>53.372215895499998</v>
      </c>
      <c r="O210" s="66">
        <f t="shared" si="14"/>
        <v>2177.8311776666669</v>
      </c>
    </row>
    <row r="211" spans="1:15">
      <c r="A211" s="102" t="s">
        <v>14</v>
      </c>
      <c r="B211" s="103" t="s">
        <v>1681</v>
      </c>
      <c r="C211" s="103" t="s">
        <v>2009</v>
      </c>
      <c r="D211" s="102" t="s">
        <v>2010</v>
      </c>
      <c r="E211" s="103" t="s">
        <v>260</v>
      </c>
      <c r="F211" s="102" t="s">
        <v>1608</v>
      </c>
      <c r="G211" s="103" t="s">
        <v>20</v>
      </c>
      <c r="H211" s="103">
        <v>201612</v>
      </c>
      <c r="I211" s="104">
        <v>-7185.14</v>
      </c>
      <c r="J211" s="297">
        <f t="shared" si="15"/>
        <v>42705</v>
      </c>
      <c r="K211" s="67">
        <f t="shared" si="12"/>
        <v>5</v>
      </c>
      <c r="L211" s="148">
        <v>2.23333E-3</v>
      </c>
      <c r="M211" s="104">
        <f t="shared" si="13"/>
        <v>-80.233943581000005</v>
      </c>
      <c r="O211" s="66">
        <f t="shared" si="14"/>
        <v>-2174.462868666667</v>
      </c>
    </row>
    <row r="212" spans="1:15">
      <c r="A212" s="102" t="s">
        <v>626</v>
      </c>
      <c r="B212" s="103" t="s">
        <v>1681</v>
      </c>
      <c r="C212" s="103" t="s">
        <v>2011</v>
      </c>
      <c r="D212" s="102" t="s">
        <v>2012</v>
      </c>
      <c r="E212" s="103" t="s">
        <v>260</v>
      </c>
      <c r="F212" s="102" t="s">
        <v>1608</v>
      </c>
      <c r="G212" s="103" t="s">
        <v>20</v>
      </c>
      <c r="H212" s="103">
        <v>201612</v>
      </c>
      <c r="I212" s="104">
        <v>677.12</v>
      </c>
      <c r="J212" s="297">
        <f t="shared" si="15"/>
        <v>42705</v>
      </c>
      <c r="K212" s="67">
        <f t="shared" si="12"/>
        <v>5</v>
      </c>
      <c r="L212" s="155">
        <v>1.4833299999999999E-3</v>
      </c>
      <c r="M212" s="104">
        <f t="shared" si="13"/>
        <v>5.0219620479999998</v>
      </c>
      <c r="O212" s="66">
        <f t="shared" si="14"/>
        <v>204.9190826666667</v>
      </c>
    </row>
    <row r="213" spans="1:15">
      <c r="A213" s="102" t="s">
        <v>14</v>
      </c>
      <c r="B213" s="103" t="s">
        <v>1681</v>
      </c>
      <c r="C213" s="103" t="s">
        <v>2011</v>
      </c>
      <c r="D213" s="102" t="s">
        <v>2012</v>
      </c>
      <c r="E213" s="103" t="s">
        <v>260</v>
      </c>
      <c r="F213" s="102" t="s">
        <v>1608</v>
      </c>
      <c r="G213" s="103" t="s">
        <v>20</v>
      </c>
      <c r="H213" s="103">
        <v>201612</v>
      </c>
      <c r="I213" s="104">
        <v>-677.12</v>
      </c>
      <c r="J213" s="297">
        <f t="shared" si="15"/>
        <v>42705</v>
      </c>
      <c r="K213" s="67">
        <f t="shared" si="12"/>
        <v>5</v>
      </c>
      <c r="L213" s="148">
        <v>2.23333E-3</v>
      </c>
      <c r="M213" s="104">
        <f t="shared" si="13"/>
        <v>-7.5611620479999999</v>
      </c>
      <c r="O213" s="66">
        <f t="shared" si="14"/>
        <v>-204.9190826666667</v>
      </c>
    </row>
    <row r="214" spans="1:15">
      <c r="A214" s="102" t="s">
        <v>626</v>
      </c>
      <c r="B214" s="103" t="s">
        <v>1681</v>
      </c>
      <c r="C214" s="103" t="s">
        <v>2265</v>
      </c>
      <c r="D214" s="102" t="s">
        <v>2266</v>
      </c>
      <c r="E214" s="103" t="s">
        <v>164</v>
      </c>
      <c r="F214" s="102" t="s">
        <v>1600</v>
      </c>
      <c r="G214" s="103" t="s">
        <v>20</v>
      </c>
      <c r="H214" s="103">
        <v>201612</v>
      </c>
      <c r="I214" s="104">
        <v>26.13</v>
      </c>
      <c r="J214" s="297">
        <f t="shared" si="15"/>
        <v>42705</v>
      </c>
      <c r="K214" s="67">
        <f t="shared" si="12"/>
        <v>5</v>
      </c>
      <c r="L214" s="155">
        <v>1.4833299999999999E-3</v>
      </c>
      <c r="M214" s="104">
        <f t="shared" si="13"/>
        <v>0.19379706449999998</v>
      </c>
      <c r="O214" s="66">
        <f t="shared" si="14"/>
        <v>7.9078090000000012</v>
      </c>
    </row>
    <row r="215" spans="1:15">
      <c r="A215" s="102" t="s">
        <v>626</v>
      </c>
      <c r="B215" s="103" t="s">
        <v>1681</v>
      </c>
      <c r="C215" s="103" t="s">
        <v>2319</v>
      </c>
      <c r="D215" s="102" t="s">
        <v>2320</v>
      </c>
      <c r="E215" s="103" t="s">
        <v>164</v>
      </c>
      <c r="F215" s="102" t="s">
        <v>1600</v>
      </c>
      <c r="G215" s="103" t="s">
        <v>20</v>
      </c>
      <c r="H215" s="103">
        <v>201612</v>
      </c>
      <c r="I215" s="104">
        <v>-174.17</v>
      </c>
      <c r="J215" s="297">
        <f t="shared" si="15"/>
        <v>42705</v>
      </c>
      <c r="K215" s="67">
        <f t="shared" si="12"/>
        <v>5</v>
      </c>
      <c r="L215" s="155">
        <v>1.4833299999999999E-3</v>
      </c>
      <c r="M215" s="104">
        <f t="shared" si="13"/>
        <v>-1.2917579304999998</v>
      </c>
      <c r="O215" s="66">
        <f t="shared" si="14"/>
        <v>-52.709647666666669</v>
      </c>
    </row>
    <row r="216" spans="1:15">
      <c r="A216" s="102" t="s">
        <v>14</v>
      </c>
      <c r="B216" s="103" t="s">
        <v>1681</v>
      </c>
      <c r="C216" s="103" t="s">
        <v>2319</v>
      </c>
      <c r="D216" s="102" t="s">
        <v>2320</v>
      </c>
      <c r="E216" s="103" t="s">
        <v>164</v>
      </c>
      <c r="F216" s="102" t="s">
        <v>1600</v>
      </c>
      <c r="G216" s="103" t="s">
        <v>20</v>
      </c>
      <c r="H216" s="103">
        <v>201612</v>
      </c>
      <c r="I216" s="104">
        <v>-4.87</v>
      </c>
      <c r="J216" s="297">
        <f t="shared" si="15"/>
        <v>42705</v>
      </c>
      <c r="K216" s="67">
        <f t="shared" si="12"/>
        <v>5</v>
      </c>
      <c r="L216" s="148">
        <v>2.23333E-3</v>
      </c>
      <c r="M216" s="104">
        <f t="shared" si="13"/>
        <v>-5.4381585500000003E-2</v>
      </c>
      <c r="O216" s="66">
        <f t="shared" si="14"/>
        <v>-1.4738243333333336</v>
      </c>
    </row>
    <row r="217" spans="1:15">
      <c r="A217" s="102" t="s">
        <v>626</v>
      </c>
      <c r="B217" s="103" t="s">
        <v>1681</v>
      </c>
      <c r="C217" s="103" t="s">
        <v>2321</v>
      </c>
      <c r="D217" s="102" t="s">
        <v>2322</v>
      </c>
      <c r="E217" s="103" t="s">
        <v>164</v>
      </c>
      <c r="F217" s="102" t="s">
        <v>1600</v>
      </c>
      <c r="G217" s="103" t="s">
        <v>20</v>
      </c>
      <c r="H217" s="103">
        <v>201612</v>
      </c>
      <c r="I217" s="104">
        <v>885.68</v>
      </c>
      <c r="J217" s="297">
        <f t="shared" si="15"/>
        <v>42705</v>
      </c>
      <c r="K217" s="67">
        <f t="shared" si="12"/>
        <v>5</v>
      </c>
      <c r="L217" s="155">
        <v>1.4833299999999999E-3</v>
      </c>
      <c r="M217" s="104">
        <f t="shared" si="13"/>
        <v>6.5687785719999994</v>
      </c>
      <c r="O217" s="66">
        <f t="shared" si="14"/>
        <v>268.03629066666667</v>
      </c>
    </row>
    <row r="218" spans="1:15">
      <c r="A218" s="102" t="s">
        <v>14</v>
      </c>
      <c r="B218" s="103" t="s">
        <v>1681</v>
      </c>
      <c r="C218" s="103" t="s">
        <v>2321</v>
      </c>
      <c r="D218" s="102" t="s">
        <v>2322</v>
      </c>
      <c r="E218" s="103" t="s">
        <v>164</v>
      </c>
      <c r="F218" s="102" t="s">
        <v>1600</v>
      </c>
      <c r="G218" s="103" t="s">
        <v>20</v>
      </c>
      <c r="H218" s="103">
        <v>201612</v>
      </c>
      <c r="I218" s="104">
        <v>7.81</v>
      </c>
      <c r="J218" s="297">
        <f t="shared" si="15"/>
        <v>42705</v>
      </c>
      <c r="K218" s="67">
        <f t="shared" si="12"/>
        <v>5</v>
      </c>
      <c r="L218" s="148">
        <v>2.23333E-3</v>
      </c>
      <c r="M218" s="104">
        <f t="shared" si="13"/>
        <v>8.7211536499999992E-2</v>
      </c>
      <c r="O218" s="66">
        <f t="shared" si="14"/>
        <v>2.3635663333333339</v>
      </c>
    </row>
    <row r="219" spans="1:15">
      <c r="A219" s="102" t="s">
        <v>626</v>
      </c>
      <c r="B219" s="103" t="s">
        <v>1681</v>
      </c>
      <c r="C219" s="103" t="s">
        <v>2372</v>
      </c>
      <c r="D219" s="102" t="s">
        <v>2373</v>
      </c>
      <c r="E219" s="103" t="s">
        <v>164</v>
      </c>
      <c r="F219" s="102" t="s">
        <v>1600</v>
      </c>
      <c r="G219" s="103" t="s">
        <v>20</v>
      </c>
      <c r="H219" s="103">
        <v>201612</v>
      </c>
      <c r="I219" s="104">
        <v>5276.87</v>
      </c>
      <c r="J219" s="297">
        <f t="shared" si="15"/>
        <v>42705</v>
      </c>
      <c r="K219" s="67">
        <f t="shared" si="12"/>
        <v>5</v>
      </c>
      <c r="L219" s="155">
        <v>1.4833299999999999E-3</v>
      </c>
      <c r="M219" s="104">
        <f t="shared" si="13"/>
        <v>39.136697885499999</v>
      </c>
      <c r="O219" s="66">
        <f t="shared" si="14"/>
        <v>1596.9567576666668</v>
      </c>
    </row>
    <row r="220" spans="1:15">
      <c r="A220" s="102" t="s">
        <v>14</v>
      </c>
      <c r="B220" s="103" t="s">
        <v>1681</v>
      </c>
      <c r="C220" s="103" t="s">
        <v>2372</v>
      </c>
      <c r="D220" s="102" t="s">
        <v>2373</v>
      </c>
      <c r="E220" s="103" t="s">
        <v>164</v>
      </c>
      <c r="F220" s="102" t="s">
        <v>1600</v>
      </c>
      <c r="G220" s="103" t="s">
        <v>20</v>
      </c>
      <c r="H220" s="103">
        <v>201612</v>
      </c>
      <c r="I220" s="104">
        <v>65.47</v>
      </c>
      <c r="J220" s="297">
        <f t="shared" si="15"/>
        <v>42705</v>
      </c>
      <c r="K220" s="67">
        <f t="shared" si="12"/>
        <v>5</v>
      </c>
      <c r="L220" s="148">
        <v>2.23333E-3</v>
      </c>
      <c r="M220" s="104">
        <f t="shared" si="13"/>
        <v>0.73108057550000005</v>
      </c>
      <c r="O220" s="66">
        <f t="shared" si="14"/>
        <v>19.813404333333338</v>
      </c>
    </row>
    <row r="221" spans="1:15">
      <c r="A221" s="102" t="s">
        <v>626</v>
      </c>
      <c r="B221" s="103" t="s">
        <v>1681</v>
      </c>
      <c r="C221" s="103" t="s">
        <v>2374</v>
      </c>
      <c r="D221" s="102" t="s">
        <v>2375</v>
      </c>
      <c r="E221" s="103" t="s">
        <v>164</v>
      </c>
      <c r="F221" s="102" t="s">
        <v>1600</v>
      </c>
      <c r="G221" s="103" t="s">
        <v>20</v>
      </c>
      <c r="H221" s="103">
        <v>201612</v>
      </c>
      <c r="I221" s="104">
        <v>503.46</v>
      </c>
      <c r="J221" s="297">
        <f t="shared" si="15"/>
        <v>42705</v>
      </c>
      <c r="K221" s="67">
        <f t="shared" si="12"/>
        <v>5</v>
      </c>
      <c r="L221" s="155">
        <v>1.4833299999999999E-3</v>
      </c>
      <c r="M221" s="104">
        <f t="shared" si="13"/>
        <v>3.7339866089999996</v>
      </c>
      <c r="O221" s="66">
        <f t="shared" si="14"/>
        <v>152.363778</v>
      </c>
    </row>
    <row r="222" spans="1:15">
      <c r="A222" s="102" t="s">
        <v>14</v>
      </c>
      <c r="B222" s="103" t="s">
        <v>1681</v>
      </c>
      <c r="C222" s="103" t="s">
        <v>2374</v>
      </c>
      <c r="D222" s="102" t="s">
        <v>2375</v>
      </c>
      <c r="E222" s="103" t="s">
        <v>164</v>
      </c>
      <c r="F222" s="102" t="s">
        <v>1600</v>
      </c>
      <c r="G222" s="103" t="s">
        <v>20</v>
      </c>
      <c r="H222" s="103">
        <v>201612</v>
      </c>
      <c r="I222" s="104">
        <v>135.44999999999999</v>
      </c>
      <c r="J222" s="297">
        <f t="shared" si="15"/>
        <v>42705</v>
      </c>
      <c r="K222" s="67">
        <f t="shared" si="12"/>
        <v>5</v>
      </c>
      <c r="L222" s="148">
        <v>2.23333E-3</v>
      </c>
      <c r="M222" s="104">
        <f t="shared" si="13"/>
        <v>1.5125227424999999</v>
      </c>
      <c r="O222" s="66">
        <f t="shared" si="14"/>
        <v>40.991685000000004</v>
      </c>
    </row>
    <row r="223" spans="1:15">
      <c r="A223" s="102" t="s">
        <v>626</v>
      </c>
      <c r="B223" s="103" t="s">
        <v>1681</v>
      </c>
      <c r="C223" s="103" t="s">
        <v>2376</v>
      </c>
      <c r="D223" s="102" t="s">
        <v>2377</v>
      </c>
      <c r="E223" s="103" t="s">
        <v>164</v>
      </c>
      <c r="F223" s="102" t="s">
        <v>1600</v>
      </c>
      <c r="G223" s="103" t="s">
        <v>20</v>
      </c>
      <c r="H223" s="103">
        <v>201612</v>
      </c>
      <c r="I223" s="104">
        <v>48.08</v>
      </c>
      <c r="J223" s="297">
        <f t="shared" si="15"/>
        <v>42705</v>
      </c>
      <c r="K223" s="67">
        <f t="shared" si="12"/>
        <v>5</v>
      </c>
      <c r="L223" s="155">
        <v>1.4833299999999999E-3</v>
      </c>
      <c r="M223" s="104">
        <f t="shared" si="13"/>
        <v>0.35659253199999996</v>
      </c>
      <c r="O223" s="66">
        <f t="shared" si="14"/>
        <v>14.550610666666667</v>
      </c>
    </row>
    <row r="224" spans="1:15">
      <c r="A224" s="102" t="s">
        <v>14</v>
      </c>
      <c r="B224" s="103" t="s">
        <v>1681</v>
      </c>
      <c r="C224" s="103" t="s">
        <v>2376</v>
      </c>
      <c r="D224" s="102" t="s">
        <v>2377</v>
      </c>
      <c r="E224" s="103" t="s">
        <v>164</v>
      </c>
      <c r="F224" s="102" t="s">
        <v>1600</v>
      </c>
      <c r="G224" s="103" t="s">
        <v>20</v>
      </c>
      <c r="H224" s="103">
        <v>201612</v>
      </c>
      <c r="I224" s="104">
        <v>6.98</v>
      </c>
      <c r="J224" s="297">
        <f t="shared" si="15"/>
        <v>42705</v>
      </c>
      <c r="K224" s="67">
        <f t="shared" si="12"/>
        <v>5</v>
      </c>
      <c r="L224" s="148">
        <v>2.23333E-3</v>
      </c>
      <c r="M224" s="104">
        <f t="shared" si="13"/>
        <v>7.7943217000000009E-2</v>
      </c>
      <c r="O224" s="66">
        <f t="shared" si="14"/>
        <v>2.1123806666666671</v>
      </c>
    </row>
    <row r="225" spans="1:15">
      <c r="A225" s="102" t="s">
        <v>626</v>
      </c>
      <c r="B225" s="103" t="s">
        <v>1681</v>
      </c>
      <c r="C225" s="103" t="s">
        <v>2378</v>
      </c>
      <c r="D225" s="102" t="s">
        <v>2379</v>
      </c>
      <c r="E225" s="103" t="s">
        <v>87</v>
      </c>
      <c r="F225" s="102" t="s">
        <v>1603</v>
      </c>
      <c r="G225" s="103" t="s">
        <v>20</v>
      </c>
      <c r="H225" s="103">
        <v>201612</v>
      </c>
      <c r="I225" s="104">
        <v>3147.03</v>
      </c>
      <c r="J225" s="297">
        <f t="shared" si="15"/>
        <v>42705</v>
      </c>
      <c r="K225" s="67">
        <f t="shared" si="12"/>
        <v>5</v>
      </c>
      <c r="L225" s="155">
        <v>1.4833299999999999E-3</v>
      </c>
      <c r="M225" s="104">
        <f t="shared" si="13"/>
        <v>23.3404200495</v>
      </c>
      <c r="O225" s="66">
        <f t="shared" si="14"/>
        <v>952.39617900000019</v>
      </c>
    </row>
    <row r="226" spans="1:15">
      <c r="A226" s="102" t="s">
        <v>14</v>
      </c>
      <c r="B226" s="103" t="s">
        <v>1681</v>
      </c>
      <c r="C226" s="103" t="s">
        <v>2378</v>
      </c>
      <c r="D226" s="102" t="s">
        <v>2379</v>
      </c>
      <c r="E226" s="103" t="s">
        <v>87</v>
      </c>
      <c r="F226" s="102" t="s">
        <v>1603</v>
      </c>
      <c r="G226" s="103" t="s">
        <v>20</v>
      </c>
      <c r="H226" s="103">
        <v>201612</v>
      </c>
      <c r="I226" s="104">
        <v>656.45</v>
      </c>
      <c r="J226" s="297">
        <f t="shared" si="15"/>
        <v>42705</v>
      </c>
      <c r="K226" s="67">
        <f t="shared" si="12"/>
        <v>5</v>
      </c>
      <c r="L226" s="148">
        <v>2.23333E-3</v>
      </c>
      <c r="M226" s="104">
        <f t="shared" si="13"/>
        <v>7.3303473925000002</v>
      </c>
      <c r="O226" s="66">
        <f t="shared" si="14"/>
        <v>198.66365166666671</v>
      </c>
    </row>
    <row r="227" spans="1:15">
      <c r="A227" s="102" t="s">
        <v>626</v>
      </c>
      <c r="B227" s="103" t="s">
        <v>1681</v>
      </c>
      <c r="C227" s="103" t="s">
        <v>2380</v>
      </c>
      <c r="D227" s="102" t="s">
        <v>2381</v>
      </c>
      <c r="E227" s="103" t="s">
        <v>164</v>
      </c>
      <c r="F227" s="102" t="s">
        <v>1600</v>
      </c>
      <c r="G227" s="103" t="s">
        <v>20</v>
      </c>
      <c r="H227" s="103">
        <v>201612</v>
      </c>
      <c r="I227" s="104">
        <v>43.04</v>
      </c>
      <c r="J227" s="297">
        <f t="shared" si="15"/>
        <v>42705</v>
      </c>
      <c r="K227" s="67">
        <f t="shared" si="12"/>
        <v>5</v>
      </c>
      <c r="L227" s="155">
        <v>1.4833299999999999E-3</v>
      </c>
      <c r="M227" s="104">
        <f t="shared" si="13"/>
        <v>0.31921261599999995</v>
      </c>
      <c r="O227" s="66">
        <f t="shared" si="14"/>
        <v>13.025338666666668</v>
      </c>
    </row>
    <row r="228" spans="1:15">
      <c r="A228" s="102" t="s">
        <v>1942</v>
      </c>
      <c r="B228" s="103" t="s">
        <v>1681</v>
      </c>
      <c r="C228" s="103" t="s">
        <v>2380</v>
      </c>
      <c r="D228" s="102" t="s">
        <v>2381</v>
      </c>
      <c r="E228" s="103" t="s">
        <v>164</v>
      </c>
      <c r="F228" s="102" t="s">
        <v>1600</v>
      </c>
      <c r="G228" s="103" t="s">
        <v>20</v>
      </c>
      <c r="H228" s="103">
        <v>201612</v>
      </c>
      <c r="I228" s="104">
        <v>0.12</v>
      </c>
      <c r="J228" s="297">
        <f t="shared" si="15"/>
        <v>42705</v>
      </c>
      <c r="K228" s="67">
        <f t="shared" si="12"/>
        <v>5</v>
      </c>
      <c r="L228" s="155">
        <v>2.23333E-3</v>
      </c>
      <c r="M228" s="104">
        <f t="shared" si="13"/>
        <v>1.339998E-3</v>
      </c>
      <c r="O228" s="66">
        <f t="shared" si="14"/>
        <v>3.6316000000000008E-2</v>
      </c>
    </row>
    <row r="229" spans="1:15">
      <c r="A229" s="102" t="s">
        <v>14</v>
      </c>
      <c r="B229" s="103" t="s">
        <v>1681</v>
      </c>
      <c r="C229" s="103" t="s">
        <v>2380</v>
      </c>
      <c r="D229" s="102" t="s">
        <v>2381</v>
      </c>
      <c r="E229" s="103" t="s">
        <v>164</v>
      </c>
      <c r="F229" s="102" t="s">
        <v>1600</v>
      </c>
      <c r="G229" s="103" t="s">
        <v>20</v>
      </c>
      <c r="H229" s="103">
        <v>201612</v>
      </c>
      <c r="I229" s="104">
        <v>9.82</v>
      </c>
      <c r="J229" s="297">
        <f t="shared" si="15"/>
        <v>42705</v>
      </c>
      <c r="K229" s="67">
        <f t="shared" si="12"/>
        <v>5</v>
      </c>
      <c r="L229" s="148">
        <v>2.23333E-3</v>
      </c>
      <c r="M229" s="104">
        <f t="shared" si="13"/>
        <v>0.109656503</v>
      </c>
      <c r="O229" s="66">
        <f t="shared" si="14"/>
        <v>2.9718593333333336</v>
      </c>
    </row>
    <row r="230" spans="1:15">
      <c r="A230" s="102" t="s">
        <v>626</v>
      </c>
      <c r="B230" s="103" t="s">
        <v>1681</v>
      </c>
      <c r="C230" s="103" t="s">
        <v>2382</v>
      </c>
      <c r="D230" s="102" t="s">
        <v>2383</v>
      </c>
      <c r="E230" s="103" t="s">
        <v>164</v>
      </c>
      <c r="F230" s="102" t="s">
        <v>1600</v>
      </c>
      <c r="G230" s="103" t="s">
        <v>20</v>
      </c>
      <c r="H230" s="103">
        <v>201612</v>
      </c>
      <c r="I230" s="104">
        <v>22221.61</v>
      </c>
      <c r="J230" s="297">
        <f t="shared" si="15"/>
        <v>42705</v>
      </c>
      <c r="K230" s="67">
        <f t="shared" si="12"/>
        <v>5</v>
      </c>
      <c r="L230" s="155">
        <v>1.4833299999999999E-3</v>
      </c>
      <c r="M230" s="104">
        <f t="shared" si="13"/>
        <v>164.80990380649999</v>
      </c>
      <c r="O230" s="66">
        <f t="shared" si="14"/>
        <v>6724.9999063333344</v>
      </c>
    </row>
    <row r="231" spans="1:15">
      <c r="A231" s="102" t="s">
        <v>1942</v>
      </c>
      <c r="B231" s="103" t="s">
        <v>1681</v>
      </c>
      <c r="C231" s="103" t="s">
        <v>2382</v>
      </c>
      <c r="D231" s="102" t="s">
        <v>2383</v>
      </c>
      <c r="E231" s="103" t="s">
        <v>164</v>
      </c>
      <c r="F231" s="102" t="s">
        <v>1600</v>
      </c>
      <c r="G231" s="103" t="s">
        <v>20</v>
      </c>
      <c r="H231" s="103">
        <v>201612</v>
      </c>
      <c r="I231" s="104">
        <v>69.010000000000005</v>
      </c>
      <c r="J231" s="297">
        <f t="shared" si="15"/>
        <v>42705</v>
      </c>
      <c r="K231" s="67">
        <f t="shared" si="12"/>
        <v>5</v>
      </c>
      <c r="L231" s="155">
        <v>2.23333E-3</v>
      </c>
      <c r="M231" s="104">
        <f t="shared" si="13"/>
        <v>0.77061051650000012</v>
      </c>
      <c r="O231" s="66">
        <f t="shared" si="14"/>
        <v>20.88472633333334</v>
      </c>
    </row>
    <row r="232" spans="1:15">
      <c r="A232" s="102" t="s">
        <v>14</v>
      </c>
      <c r="B232" s="103" t="s">
        <v>1681</v>
      </c>
      <c r="C232" s="103" t="s">
        <v>2382</v>
      </c>
      <c r="D232" s="102" t="s">
        <v>2383</v>
      </c>
      <c r="E232" s="103" t="s">
        <v>164</v>
      </c>
      <c r="F232" s="102" t="s">
        <v>1600</v>
      </c>
      <c r="G232" s="103" t="s">
        <v>20</v>
      </c>
      <c r="H232" s="103">
        <v>201612</v>
      </c>
      <c r="I232" s="104">
        <v>2622.83</v>
      </c>
      <c r="J232" s="297">
        <f t="shared" si="15"/>
        <v>42705</v>
      </c>
      <c r="K232" s="67">
        <f t="shared" si="12"/>
        <v>5</v>
      </c>
      <c r="L232" s="148">
        <v>2.23333E-3</v>
      </c>
      <c r="M232" s="104">
        <f t="shared" si="13"/>
        <v>29.288224619499999</v>
      </c>
      <c r="O232" s="66">
        <f t="shared" si="14"/>
        <v>793.75578566666672</v>
      </c>
    </row>
    <row r="233" spans="1:15">
      <c r="A233" s="102" t="s">
        <v>626</v>
      </c>
      <c r="B233" s="103" t="s">
        <v>1681</v>
      </c>
      <c r="C233" s="103" t="s">
        <v>2267</v>
      </c>
      <c r="D233" s="102" t="s">
        <v>2268</v>
      </c>
      <c r="E233" s="103" t="s">
        <v>260</v>
      </c>
      <c r="F233" s="102" t="s">
        <v>1608</v>
      </c>
      <c r="G233" s="103" t="s">
        <v>20</v>
      </c>
      <c r="H233" s="103">
        <v>201612</v>
      </c>
      <c r="I233" s="104">
        <v>1028.3499999999999</v>
      </c>
      <c r="J233" s="297">
        <f t="shared" si="15"/>
        <v>42705</v>
      </c>
      <c r="K233" s="67">
        <f t="shared" si="12"/>
        <v>5</v>
      </c>
      <c r="L233" s="155">
        <v>1.4833299999999999E-3</v>
      </c>
      <c r="M233" s="104">
        <f t="shared" si="13"/>
        <v>7.6269120274999986</v>
      </c>
      <c r="O233" s="66">
        <f t="shared" si="14"/>
        <v>311.21298833333333</v>
      </c>
    </row>
    <row r="234" spans="1:15">
      <c r="A234" s="102" t="s">
        <v>14</v>
      </c>
      <c r="B234" s="103" t="s">
        <v>1681</v>
      </c>
      <c r="C234" s="103" t="s">
        <v>2267</v>
      </c>
      <c r="D234" s="102" t="s">
        <v>2268</v>
      </c>
      <c r="E234" s="103" t="s">
        <v>260</v>
      </c>
      <c r="F234" s="102" t="s">
        <v>1608</v>
      </c>
      <c r="G234" s="103" t="s">
        <v>20</v>
      </c>
      <c r="H234" s="103">
        <v>201612</v>
      </c>
      <c r="I234" s="104">
        <v>212.94</v>
      </c>
      <c r="J234" s="297">
        <f t="shared" si="15"/>
        <v>42705</v>
      </c>
      <c r="K234" s="67">
        <f t="shared" si="12"/>
        <v>5</v>
      </c>
      <c r="L234" s="148">
        <v>2.23333E-3</v>
      </c>
      <c r="M234" s="104">
        <f t="shared" si="13"/>
        <v>2.3778264510000002</v>
      </c>
      <c r="O234" s="66">
        <f t="shared" si="14"/>
        <v>64.44274200000001</v>
      </c>
    </row>
    <row r="235" spans="1:15">
      <c r="A235" s="102" t="s">
        <v>626</v>
      </c>
      <c r="B235" s="103" t="s">
        <v>1681</v>
      </c>
      <c r="C235" s="103" t="s">
        <v>2384</v>
      </c>
      <c r="D235" s="102" t="s">
        <v>2385</v>
      </c>
      <c r="E235" s="103" t="s">
        <v>260</v>
      </c>
      <c r="F235" s="102" t="s">
        <v>1608</v>
      </c>
      <c r="G235" s="103" t="s">
        <v>20</v>
      </c>
      <c r="H235" s="103">
        <v>201612</v>
      </c>
      <c r="I235" s="104">
        <v>-1727.22</v>
      </c>
      <c r="J235" s="297">
        <f t="shared" si="15"/>
        <v>42705</v>
      </c>
      <c r="K235" s="67">
        <f t="shared" si="12"/>
        <v>5</v>
      </c>
      <c r="L235" s="155">
        <v>1.4833299999999999E-3</v>
      </c>
      <c r="M235" s="104">
        <f t="shared" si="13"/>
        <v>-12.810186213</v>
      </c>
      <c r="O235" s="66">
        <f t="shared" si="14"/>
        <v>-522.71434600000009</v>
      </c>
    </row>
    <row r="236" spans="1:15">
      <c r="A236" s="102" t="s">
        <v>14</v>
      </c>
      <c r="B236" s="103" t="s">
        <v>1681</v>
      </c>
      <c r="C236" s="103" t="s">
        <v>2384</v>
      </c>
      <c r="D236" s="102" t="s">
        <v>2385</v>
      </c>
      <c r="E236" s="103" t="s">
        <v>260</v>
      </c>
      <c r="F236" s="102" t="s">
        <v>1608</v>
      </c>
      <c r="G236" s="103" t="s">
        <v>20</v>
      </c>
      <c r="H236" s="103">
        <v>201612</v>
      </c>
      <c r="I236" s="104">
        <v>-46.47</v>
      </c>
      <c r="J236" s="297">
        <f t="shared" si="15"/>
        <v>42705</v>
      </c>
      <c r="K236" s="67">
        <f t="shared" si="12"/>
        <v>5</v>
      </c>
      <c r="L236" s="148">
        <v>2.23333E-3</v>
      </c>
      <c r="M236" s="104">
        <f t="shared" si="13"/>
        <v>-0.51891422549999999</v>
      </c>
      <c r="O236" s="66">
        <f t="shared" si="14"/>
        <v>-14.063371000000002</v>
      </c>
    </row>
    <row r="237" spans="1:15">
      <c r="A237" s="102" t="s">
        <v>626</v>
      </c>
      <c r="B237" s="103" t="s">
        <v>1681</v>
      </c>
      <c r="C237" s="103" t="s">
        <v>2386</v>
      </c>
      <c r="D237" s="102" t="s">
        <v>2387</v>
      </c>
      <c r="E237" s="103" t="s">
        <v>260</v>
      </c>
      <c r="F237" s="102" t="s">
        <v>1608</v>
      </c>
      <c r="G237" s="103" t="s">
        <v>20</v>
      </c>
      <c r="H237" s="103">
        <v>201612</v>
      </c>
      <c r="I237" s="104">
        <v>-4392.83</v>
      </c>
      <c r="J237" s="297">
        <f t="shared" si="15"/>
        <v>42705</v>
      </c>
      <c r="K237" s="67">
        <f t="shared" si="12"/>
        <v>5</v>
      </c>
      <c r="L237" s="155">
        <v>1.4833299999999999E-3</v>
      </c>
      <c r="M237" s="104">
        <f t="shared" si="13"/>
        <v>-32.580082619499997</v>
      </c>
      <c r="O237" s="66">
        <f t="shared" si="14"/>
        <v>-1329.4167856666668</v>
      </c>
    </row>
    <row r="238" spans="1:15">
      <c r="A238" s="102" t="s">
        <v>14</v>
      </c>
      <c r="B238" s="103" t="s">
        <v>1681</v>
      </c>
      <c r="C238" s="103" t="s">
        <v>2386</v>
      </c>
      <c r="D238" s="102" t="s">
        <v>2387</v>
      </c>
      <c r="E238" s="103" t="s">
        <v>260</v>
      </c>
      <c r="F238" s="102" t="s">
        <v>1608</v>
      </c>
      <c r="G238" s="103" t="s">
        <v>20</v>
      </c>
      <c r="H238" s="103">
        <v>201612</v>
      </c>
      <c r="I238" s="104">
        <v>-3.14</v>
      </c>
      <c r="J238" s="297">
        <f t="shared" si="15"/>
        <v>42705</v>
      </c>
      <c r="K238" s="67">
        <f t="shared" si="12"/>
        <v>5</v>
      </c>
      <c r="L238" s="148">
        <v>2.23333E-3</v>
      </c>
      <c r="M238" s="104">
        <f t="shared" si="13"/>
        <v>-3.5063281000000002E-2</v>
      </c>
      <c r="O238" s="66">
        <f t="shared" si="14"/>
        <v>-0.95026866666666687</v>
      </c>
    </row>
    <row r="239" spans="1:15">
      <c r="A239" s="102" t="s">
        <v>626</v>
      </c>
      <c r="B239" s="103" t="s">
        <v>1681</v>
      </c>
      <c r="C239" s="103" t="s">
        <v>2436</v>
      </c>
      <c r="D239" s="102" t="s">
        <v>2437</v>
      </c>
      <c r="E239" s="103" t="s">
        <v>209</v>
      </c>
      <c r="F239" s="102" t="s">
        <v>1612</v>
      </c>
      <c r="G239" s="103" t="s">
        <v>20</v>
      </c>
      <c r="H239" s="103">
        <v>201612</v>
      </c>
      <c r="I239" s="104">
        <v>108946.6</v>
      </c>
      <c r="J239" s="297">
        <f t="shared" si="15"/>
        <v>42705</v>
      </c>
      <c r="K239" s="67">
        <f t="shared" si="12"/>
        <v>5</v>
      </c>
      <c r="L239" s="155">
        <v>1.4833299999999999E-3</v>
      </c>
      <c r="M239" s="104">
        <f t="shared" si="13"/>
        <v>808.01880088999997</v>
      </c>
      <c r="O239" s="66">
        <f t="shared" si="14"/>
        <v>32970.872713333338</v>
      </c>
    </row>
    <row r="240" spans="1:15">
      <c r="A240" s="102" t="s">
        <v>14</v>
      </c>
      <c r="B240" s="103" t="s">
        <v>1681</v>
      </c>
      <c r="C240" s="103" t="s">
        <v>2436</v>
      </c>
      <c r="D240" s="102" t="s">
        <v>2437</v>
      </c>
      <c r="E240" s="103" t="s">
        <v>209</v>
      </c>
      <c r="F240" s="102" t="s">
        <v>1612</v>
      </c>
      <c r="G240" s="103" t="s">
        <v>20</v>
      </c>
      <c r="H240" s="103">
        <v>201612</v>
      </c>
      <c r="I240" s="104">
        <v>1797.12</v>
      </c>
      <c r="J240" s="297">
        <f t="shared" si="15"/>
        <v>42705</v>
      </c>
      <c r="K240" s="67">
        <f t="shared" si="12"/>
        <v>5</v>
      </c>
      <c r="L240" s="148">
        <v>2.23333E-3</v>
      </c>
      <c r="M240" s="104">
        <f t="shared" si="13"/>
        <v>20.067810047999998</v>
      </c>
      <c r="O240" s="66">
        <f t="shared" si="14"/>
        <v>543.86841600000002</v>
      </c>
    </row>
    <row r="241" spans="1:15">
      <c r="A241" s="102" t="s">
        <v>626</v>
      </c>
      <c r="B241" s="103" t="s">
        <v>1681</v>
      </c>
      <c r="C241" s="103" t="s">
        <v>2071</v>
      </c>
      <c r="D241" s="102" t="s">
        <v>2072</v>
      </c>
      <c r="E241" s="103" t="s">
        <v>260</v>
      </c>
      <c r="F241" s="102" t="s">
        <v>1608</v>
      </c>
      <c r="G241" s="103" t="s">
        <v>20</v>
      </c>
      <c r="H241" s="103">
        <v>201612</v>
      </c>
      <c r="I241" s="104">
        <v>-5098.3500000000004</v>
      </c>
      <c r="J241" s="297">
        <f t="shared" si="15"/>
        <v>42705</v>
      </c>
      <c r="K241" s="67">
        <f t="shared" si="12"/>
        <v>5</v>
      </c>
      <c r="L241" s="155">
        <v>1.4833299999999999E-3</v>
      </c>
      <c r="M241" s="104">
        <f t="shared" si="13"/>
        <v>-37.8126775275</v>
      </c>
      <c r="O241" s="66">
        <f t="shared" si="14"/>
        <v>-1542.9306550000003</v>
      </c>
    </row>
    <row r="242" spans="1:15">
      <c r="A242" s="102" t="s">
        <v>626</v>
      </c>
      <c r="B242" s="103" t="s">
        <v>1681</v>
      </c>
      <c r="C242" s="103" t="s">
        <v>2077</v>
      </c>
      <c r="D242" s="102" t="s">
        <v>2078</v>
      </c>
      <c r="E242" s="103" t="s">
        <v>260</v>
      </c>
      <c r="F242" s="102" t="s">
        <v>1608</v>
      </c>
      <c r="G242" s="103" t="s">
        <v>20</v>
      </c>
      <c r="H242" s="103">
        <v>201612</v>
      </c>
      <c r="I242" s="104">
        <v>647.78</v>
      </c>
      <c r="J242" s="297">
        <f t="shared" si="15"/>
        <v>42705</v>
      </c>
      <c r="K242" s="67">
        <f t="shared" si="12"/>
        <v>5</v>
      </c>
      <c r="L242" s="155">
        <v>1.4833299999999999E-3</v>
      </c>
      <c r="M242" s="104">
        <f t="shared" si="13"/>
        <v>4.8043575369999996</v>
      </c>
      <c r="O242" s="66">
        <f t="shared" si="14"/>
        <v>196.03982066666669</v>
      </c>
    </row>
    <row r="243" spans="1:15">
      <c r="A243" s="102" t="s">
        <v>626</v>
      </c>
      <c r="B243" s="103" t="s">
        <v>1681</v>
      </c>
      <c r="C243" s="103" t="s">
        <v>2390</v>
      </c>
      <c r="D243" s="102" t="s">
        <v>2391</v>
      </c>
      <c r="E243" s="103" t="s">
        <v>164</v>
      </c>
      <c r="F243" s="102" t="s">
        <v>1600</v>
      </c>
      <c r="G243" s="103" t="s">
        <v>20</v>
      </c>
      <c r="H243" s="103">
        <v>201612</v>
      </c>
      <c r="I243" s="104">
        <v>-46.74</v>
      </c>
      <c r="J243" s="297">
        <f t="shared" si="15"/>
        <v>42705</v>
      </c>
      <c r="K243" s="67">
        <f t="shared" si="12"/>
        <v>5</v>
      </c>
      <c r="L243" s="155">
        <v>1.4833299999999999E-3</v>
      </c>
      <c r="M243" s="104">
        <f t="shared" si="13"/>
        <v>-0.34665422099999998</v>
      </c>
      <c r="O243" s="66">
        <f t="shared" si="14"/>
        <v>-14.145082000000002</v>
      </c>
    </row>
    <row r="244" spans="1:15">
      <c r="A244" s="102" t="s">
        <v>14</v>
      </c>
      <c r="B244" s="103" t="s">
        <v>1681</v>
      </c>
      <c r="C244" s="103" t="s">
        <v>2390</v>
      </c>
      <c r="D244" s="102" t="s">
        <v>2391</v>
      </c>
      <c r="E244" s="103" t="s">
        <v>164</v>
      </c>
      <c r="F244" s="102" t="s">
        <v>1600</v>
      </c>
      <c r="G244" s="103" t="s">
        <v>20</v>
      </c>
      <c r="H244" s="103">
        <v>201612</v>
      </c>
      <c r="I244" s="104">
        <v>-5.33</v>
      </c>
      <c r="J244" s="297">
        <f t="shared" si="15"/>
        <v>42705</v>
      </c>
      <c r="K244" s="67">
        <f t="shared" si="12"/>
        <v>5</v>
      </c>
      <c r="L244" s="148">
        <v>2.23333E-3</v>
      </c>
      <c r="M244" s="104">
        <f t="shared" si="13"/>
        <v>-5.9518244500000005E-2</v>
      </c>
      <c r="O244" s="66">
        <f t="shared" si="14"/>
        <v>-1.613035666666667</v>
      </c>
    </row>
    <row r="245" spans="1:15">
      <c r="A245" s="102" t="s">
        <v>21</v>
      </c>
      <c r="B245" s="103" t="s">
        <v>1681</v>
      </c>
      <c r="C245" s="103" t="s">
        <v>2392</v>
      </c>
      <c r="D245" s="102" t="s">
        <v>2393</v>
      </c>
      <c r="E245" s="103" t="s">
        <v>75</v>
      </c>
      <c r="F245" s="102" t="s">
        <v>1602</v>
      </c>
      <c r="G245" s="103" t="s">
        <v>20</v>
      </c>
      <c r="H245" s="103">
        <v>201612</v>
      </c>
      <c r="I245" s="104">
        <v>1.38</v>
      </c>
      <c r="J245" s="297">
        <f t="shared" si="15"/>
        <v>42705</v>
      </c>
      <c r="K245" s="67">
        <f t="shared" si="12"/>
        <v>5</v>
      </c>
      <c r="L245" s="155">
        <v>1.4833299999999999E-3</v>
      </c>
      <c r="M245" s="104">
        <f t="shared" si="13"/>
        <v>1.0234976999999999E-2</v>
      </c>
      <c r="O245" s="66">
        <f t="shared" si="14"/>
        <v>0.41763400000000006</v>
      </c>
    </row>
    <row r="246" spans="1:15">
      <c r="A246" s="102" t="s">
        <v>626</v>
      </c>
      <c r="B246" s="103" t="s">
        <v>1681</v>
      </c>
      <c r="C246" s="103" t="s">
        <v>2392</v>
      </c>
      <c r="D246" s="102" t="s">
        <v>2393</v>
      </c>
      <c r="E246" s="103" t="s">
        <v>75</v>
      </c>
      <c r="F246" s="102" t="s">
        <v>1602</v>
      </c>
      <c r="G246" s="103" t="s">
        <v>20</v>
      </c>
      <c r="H246" s="103">
        <v>201612</v>
      </c>
      <c r="I246" s="104">
        <v>19109.57</v>
      </c>
      <c r="J246" s="297">
        <f t="shared" si="15"/>
        <v>42705</v>
      </c>
      <c r="K246" s="67">
        <f t="shared" si="12"/>
        <v>5</v>
      </c>
      <c r="L246" s="155">
        <v>1.4833299999999999E-3</v>
      </c>
      <c r="M246" s="104">
        <f t="shared" si="13"/>
        <v>141.72899234049999</v>
      </c>
      <c r="O246" s="66">
        <f t="shared" si="14"/>
        <v>5783.1928676666676</v>
      </c>
    </row>
    <row r="247" spans="1:15">
      <c r="A247" s="102" t="s">
        <v>14</v>
      </c>
      <c r="B247" s="103" t="s">
        <v>1681</v>
      </c>
      <c r="C247" s="103" t="s">
        <v>2392</v>
      </c>
      <c r="D247" s="102" t="s">
        <v>2393</v>
      </c>
      <c r="E247" s="103" t="s">
        <v>75</v>
      </c>
      <c r="F247" s="102" t="s">
        <v>1602</v>
      </c>
      <c r="G247" s="103" t="s">
        <v>20</v>
      </c>
      <c r="H247" s="103">
        <v>201612</v>
      </c>
      <c r="I247" s="104">
        <v>10.69</v>
      </c>
      <c r="J247" s="297">
        <f t="shared" si="15"/>
        <v>42705</v>
      </c>
      <c r="K247" s="67">
        <f t="shared" si="12"/>
        <v>5</v>
      </c>
      <c r="L247" s="148">
        <v>2.23333E-3</v>
      </c>
      <c r="M247" s="104">
        <f t="shared" si="13"/>
        <v>0.1193714885</v>
      </c>
      <c r="O247" s="66">
        <f t="shared" si="14"/>
        <v>3.2351503333333334</v>
      </c>
    </row>
    <row r="248" spans="1:15">
      <c r="A248" s="102" t="s">
        <v>626</v>
      </c>
      <c r="B248" s="103" t="s">
        <v>1681</v>
      </c>
      <c r="C248" s="103" t="s">
        <v>2394</v>
      </c>
      <c r="D248" s="102" t="s">
        <v>2395</v>
      </c>
      <c r="E248" s="103" t="s">
        <v>75</v>
      </c>
      <c r="F248" s="102" t="s">
        <v>1602</v>
      </c>
      <c r="G248" s="103" t="s">
        <v>20</v>
      </c>
      <c r="H248" s="103">
        <v>201612</v>
      </c>
      <c r="I248" s="104">
        <v>527.91</v>
      </c>
      <c r="J248" s="297">
        <f t="shared" si="15"/>
        <v>42705</v>
      </c>
      <c r="K248" s="67">
        <f t="shared" si="12"/>
        <v>5</v>
      </c>
      <c r="L248" s="155">
        <v>1.4833299999999999E-3</v>
      </c>
      <c r="M248" s="104">
        <f t="shared" si="13"/>
        <v>3.9153237014999993</v>
      </c>
      <c r="O248" s="66">
        <f t="shared" si="14"/>
        <v>159.76316300000002</v>
      </c>
    </row>
    <row r="249" spans="1:15">
      <c r="A249" s="102" t="s">
        <v>14</v>
      </c>
      <c r="B249" s="103" t="s">
        <v>1681</v>
      </c>
      <c r="C249" s="103" t="s">
        <v>2394</v>
      </c>
      <c r="D249" s="102" t="s">
        <v>2395</v>
      </c>
      <c r="E249" s="103" t="s">
        <v>75</v>
      </c>
      <c r="F249" s="102" t="s">
        <v>1602</v>
      </c>
      <c r="G249" s="103" t="s">
        <v>20</v>
      </c>
      <c r="H249" s="103">
        <v>201612</v>
      </c>
      <c r="I249" s="104">
        <v>22.17</v>
      </c>
      <c r="J249" s="297">
        <f t="shared" si="15"/>
        <v>42705</v>
      </c>
      <c r="K249" s="67">
        <f t="shared" si="12"/>
        <v>5</v>
      </c>
      <c r="L249" s="148">
        <v>2.23333E-3</v>
      </c>
      <c r="M249" s="104">
        <f t="shared" si="13"/>
        <v>0.24756463050000002</v>
      </c>
      <c r="O249" s="66">
        <f t="shared" si="14"/>
        <v>6.7093810000000014</v>
      </c>
    </row>
    <row r="250" spans="1:15">
      <c r="A250" s="102" t="s">
        <v>626</v>
      </c>
      <c r="B250" s="103" t="s">
        <v>1681</v>
      </c>
      <c r="C250" s="103" t="s">
        <v>2095</v>
      </c>
      <c r="D250" s="102" t="s">
        <v>2096</v>
      </c>
      <c r="E250" s="103" t="s">
        <v>164</v>
      </c>
      <c r="F250" s="102" t="s">
        <v>1600</v>
      </c>
      <c r="G250" s="103" t="s">
        <v>20</v>
      </c>
      <c r="H250" s="103">
        <v>201612</v>
      </c>
      <c r="I250" s="104">
        <v>742.14</v>
      </c>
      <c r="J250" s="297">
        <f t="shared" si="15"/>
        <v>42705</v>
      </c>
      <c r="K250" s="67">
        <f t="shared" si="12"/>
        <v>5</v>
      </c>
      <c r="L250" s="155">
        <v>1.4833299999999999E-3</v>
      </c>
      <c r="M250" s="104">
        <f t="shared" si="13"/>
        <v>5.5041926309999996</v>
      </c>
      <c r="O250" s="66">
        <f t="shared" si="14"/>
        <v>224.59630200000004</v>
      </c>
    </row>
    <row r="251" spans="1:15">
      <c r="A251" s="102" t="s">
        <v>626</v>
      </c>
      <c r="B251" s="103" t="s">
        <v>1681</v>
      </c>
      <c r="C251" s="103" t="s">
        <v>2398</v>
      </c>
      <c r="D251" s="102" t="s">
        <v>2399</v>
      </c>
      <c r="E251" s="103" t="s">
        <v>93</v>
      </c>
      <c r="F251" s="102" t="s">
        <v>1601</v>
      </c>
      <c r="G251" s="103" t="s">
        <v>20</v>
      </c>
      <c r="H251" s="103">
        <v>201612</v>
      </c>
      <c r="I251" s="104">
        <v>390.75</v>
      </c>
      <c r="J251" s="297">
        <f t="shared" si="15"/>
        <v>42705</v>
      </c>
      <c r="K251" s="67">
        <f t="shared" si="12"/>
        <v>5</v>
      </c>
      <c r="L251" s="155">
        <v>1.4833299999999999E-3</v>
      </c>
      <c r="M251" s="104">
        <f t="shared" si="13"/>
        <v>2.8980559874999998</v>
      </c>
      <c r="O251" s="66">
        <f t="shared" si="14"/>
        <v>118.25397500000001</v>
      </c>
    </row>
    <row r="252" spans="1:15">
      <c r="A252" s="102" t="s">
        <v>626</v>
      </c>
      <c r="B252" s="103" t="s">
        <v>1681</v>
      </c>
      <c r="C252" s="103" t="s">
        <v>2402</v>
      </c>
      <c r="D252" s="102" t="s">
        <v>2403</v>
      </c>
      <c r="E252" s="103" t="s">
        <v>87</v>
      </c>
      <c r="F252" s="102" t="s">
        <v>1603</v>
      </c>
      <c r="G252" s="103" t="s">
        <v>20</v>
      </c>
      <c r="H252" s="103">
        <v>201612</v>
      </c>
      <c r="I252" s="104">
        <v>1831.6</v>
      </c>
      <c r="J252" s="297">
        <f t="shared" si="15"/>
        <v>42705</v>
      </c>
      <c r="K252" s="67">
        <f t="shared" si="12"/>
        <v>5</v>
      </c>
      <c r="L252" s="155">
        <v>1.4833299999999999E-3</v>
      </c>
      <c r="M252" s="104">
        <f t="shared" si="13"/>
        <v>13.584336139999998</v>
      </c>
      <c r="O252" s="66">
        <f t="shared" si="14"/>
        <v>554.30321333333336</v>
      </c>
    </row>
    <row r="253" spans="1:15">
      <c r="A253" s="102" t="s">
        <v>14</v>
      </c>
      <c r="B253" s="103" t="s">
        <v>1681</v>
      </c>
      <c r="C253" s="103" t="s">
        <v>2402</v>
      </c>
      <c r="D253" s="102" t="s">
        <v>2403</v>
      </c>
      <c r="E253" s="103" t="s">
        <v>87</v>
      </c>
      <c r="F253" s="102" t="s">
        <v>1603</v>
      </c>
      <c r="G253" s="103" t="s">
        <v>20</v>
      </c>
      <c r="H253" s="103">
        <v>201612</v>
      </c>
      <c r="I253" s="104">
        <v>296.51</v>
      </c>
      <c r="J253" s="297">
        <f t="shared" si="15"/>
        <v>42705</v>
      </c>
      <c r="K253" s="67">
        <f t="shared" si="12"/>
        <v>5</v>
      </c>
      <c r="L253" s="148">
        <v>2.23333E-3</v>
      </c>
      <c r="M253" s="104">
        <f t="shared" si="13"/>
        <v>3.3110233915</v>
      </c>
      <c r="O253" s="66">
        <f t="shared" si="14"/>
        <v>89.733809666666673</v>
      </c>
    </row>
    <row r="254" spans="1:15">
      <c r="A254" s="102" t="s">
        <v>626</v>
      </c>
      <c r="B254" s="103" t="s">
        <v>1681</v>
      </c>
      <c r="C254" s="103" t="s">
        <v>2097</v>
      </c>
      <c r="D254" s="102" t="s">
        <v>2098</v>
      </c>
      <c r="E254" s="103" t="s">
        <v>260</v>
      </c>
      <c r="F254" s="102" t="s">
        <v>1608</v>
      </c>
      <c r="G254" s="103" t="s">
        <v>20</v>
      </c>
      <c r="H254" s="103">
        <v>201612</v>
      </c>
      <c r="I254" s="104">
        <v>5113.9799999999996</v>
      </c>
      <c r="J254" s="297">
        <f t="shared" si="15"/>
        <v>42705</v>
      </c>
      <c r="K254" s="67">
        <f t="shared" si="12"/>
        <v>5</v>
      </c>
      <c r="L254" s="155">
        <v>1.4833299999999999E-3</v>
      </c>
      <c r="M254" s="104">
        <f t="shared" si="13"/>
        <v>37.928599766999994</v>
      </c>
      <c r="O254" s="66">
        <f t="shared" si="14"/>
        <v>1547.6608140000001</v>
      </c>
    </row>
    <row r="255" spans="1:15">
      <c r="A255" s="102" t="s">
        <v>14</v>
      </c>
      <c r="B255" s="103" t="s">
        <v>1681</v>
      </c>
      <c r="C255" s="103" t="s">
        <v>2097</v>
      </c>
      <c r="D255" s="102" t="s">
        <v>2098</v>
      </c>
      <c r="E255" s="103" t="s">
        <v>260</v>
      </c>
      <c r="F255" s="102" t="s">
        <v>1608</v>
      </c>
      <c r="G255" s="103" t="s">
        <v>20</v>
      </c>
      <c r="H255" s="103">
        <v>201612</v>
      </c>
      <c r="I255" s="104">
        <v>-5113.9799999999996</v>
      </c>
      <c r="J255" s="297">
        <f t="shared" si="15"/>
        <v>42705</v>
      </c>
      <c r="K255" s="67">
        <f t="shared" si="12"/>
        <v>5</v>
      </c>
      <c r="L255" s="148">
        <v>2.23333E-3</v>
      </c>
      <c r="M255" s="104">
        <f t="shared" si="13"/>
        <v>-57.106024766999994</v>
      </c>
      <c r="O255" s="66">
        <f t="shared" si="14"/>
        <v>-1547.6608140000001</v>
      </c>
    </row>
    <row r="256" spans="1:15">
      <c r="A256" s="102" t="s">
        <v>626</v>
      </c>
      <c r="B256" s="103" t="s">
        <v>1681</v>
      </c>
      <c r="C256" s="103" t="s">
        <v>2099</v>
      </c>
      <c r="D256" s="102" t="s">
        <v>2100</v>
      </c>
      <c r="E256" s="103" t="s">
        <v>260</v>
      </c>
      <c r="F256" s="102" t="s">
        <v>1608</v>
      </c>
      <c r="G256" s="103" t="s">
        <v>20</v>
      </c>
      <c r="H256" s="103">
        <v>201612</v>
      </c>
      <c r="I256" s="104">
        <v>-1189.27</v>
      </c>
      <c r="J256" s="297">
        <f t="shared" si="15"/>
        <v>42705</v>
      </c>
      <c r="K256" s="67">
        <f t="shared" si="12"/>
        <v>5</v>
      </c>
      <c r="L256" s="155">
        <v>1.4833299999999999E-3</v>
      </c>
      <c r="M256" s="104">
        <f t="shared" si="13"/>
        <v>-8.8203993454999985</v>
      </c>
      <c r="O256" s="66">
        <f t="shared" si="14"/>
        <v>-359.91274433333336</v>
      </c>
    </row>
    <row r="257" spans="1:15">
      <c r="A257" s="102" t="s">
        <v>14</v>
      </c>
      <c r="B257" s="103" t="s">
        <v>1681</v>
      </c>
      <c r="C257" s="103" t="s">
        <v>2099</v>
      </c>
      <c r="D257" s="102" t="s">
        <v>2100</v>
      </c>
      <c r="E257" s="103" t="s">
        <v>260</v>
      </c>
      <c r="F257" s="102" t="s">
        <v>1608</v>
      </c>
      <c r="G257" s="103" t="s">
        <v>20</v>
      </c>
      <c r="H257" s="103">
        <v>201612</v>
      </c>
      <c r="I257" s="104">
        <v>1189.27</v>
      </c>
      <c r="J257" s="297">
        <f t="shared" si="15"/>
        <v>42705</v>
      </c>
      <c r="K257" s="67">
        <f t="shared" si="12"/>
        <v>5</v>
      </c>
      <c r="L257" s="148">
        <v>2.23333E-3</v>
      </c>
      <c r="M257" s="104">
        <f t="shared" si="13"/>
        <v>13.2801618455</v>
      </c>
      <c r="O257" s="66">
        <f t="shared" si="14"/>
        <v>359.91274433333336</v>
      </c>
    </row>
    <row r="258" spans="1:15">
      <c r="A258" s="102" t="s">
        <v>626</v>
      </c>
      <c r="B258" s="103" t="s">
        <v>1681</v>
      </c>
      <c r="C258" s="103" t="s">
        <v>2101</v>
      </c>
      <c r="D258" s="102" t="s">
        <v>2102</v>
      </c>
      <c r="E258" s="103" t="s">
        <v>260</v>
      </c>
      <c r="F258" s="102" t="s">
        <v>1608</v>
      </c>
      <c r="G258" s="103" t="s">
        <v>20</v>
      </c>
      <c r="H258" s="103">
        <v>201612</v>
      </c>
      <c r="I258" s="104">
        <v>4.74</v>
      </c>
      <c r="J258" s="297">
        <f t="shared" si="15"/>
        <v>42705</v>
      </c>
      <c r="K258" s="67">
        <f t="shared" ref="K258:K289" si="16">((YEAR($K$1)-YEAR(J258))*12+MONTH($K$1)-MONTH(J258))</f>
        <v>5</v>
      </c>
      <c r="L258" s="155">
        <v>1.4833299999999999E-3</v>
      </c>
      <c r="M258" s="104">
        <f t="shared" ref="M258:M289" si="17">L258*K258*I258</f>
        <v>3.5154920999999999E-2</v>
      </c>
      <c r="O258" s="66">
        <f t="shared" si="14"/>
        <v>1.4344820000000003</v>
      </c>
    </row>
    <row r="259" spans="1:15">
      <c r="A259" s="102" t="s">
        <v>626</v>
      </c>
      <c r="B259" s="103" t="s">
        <v>1681</v>
      </c>
      <c r="C259" s="103" t="s">
        <v>2404</v>
      </c>
      <c r="D259" s="102" t="s">
        <v>2405</v>
      </c>
      <c r="E259" s="103" t="s">
        <v>209</v>
      </c>
      <c r="F259" s="102" t="s">
        <v>1612</v>
      </c>
      <c r="G259" s="103" t="s">
        <v>20</v>
      </c>
      <c r="H259" s="103">
        <v>201612</v>
      </c>
      <c r="I259" s="104">
        <v>12000.25</v>
      </c>
      <c r="J259" s="297">
        <f t="shared" si="15"/>
        <v>42705</v>
      </c>
      <c r="K259" s="67">
        <f t="shared" si="16"/>
        <v>5</v>
      </c>
      <c r="L259" s="155">
        <v>1.4833299999999999E-3</v>
      </c>
      <c r="M259" s="104">
        <f t="shared" si="17"/>
        <v>89.001654162499989</v>
      </c>
      <c r="O259" s="66">
        <f t="shared" ref="O259:O289" si="18">($O$4*I259*$R$11)</f>
        <v>3631.675658333334</v>
      </c>
    </row>
    <row r="260" spans="1:15">
      <c r="A260" s="102" t="s">
        <v>626</v>
      </c>
      <c r="B260" s="103" t="s">
        <v>1681</v>
      </c>
      <c r="C260" s="103" t="s">
        <v>2273</v>
      </c>
      <c r="D260" s="102" t="s">
        <v>2274</v>
      </c>
      <c r="E260" s="103" t="s">
        <v>260</v>
      </c>
      <c r="F260" s="102" t="s">
        <v>1608</v>
      </c>
      <c r="G260" s="103" t="s">
        <v>20</v>
      </c>
      <c r="H260" s="103">
        <v>201612</v>
      </c>
      <c r="I260" s="104">
        <v>-3883.56</v>
      </c>
      <c r="J260" s="297">
        <f t="shared" si="15"/>
        <v>42705</v>
      </c>
      <c r="K260" s="67">
        <f t="shared" si="16"/>
        <v>5</v>
      </c>
      <c r="L260" s="155">
        <v>1.4833299999999999E-3</v>
      </c>
      <c r="M260" s="104">
        <f t="shared" si="17"/>
        <v>-28.803005273999997</v>
      </c>
      <c r="O260" s="66">
        <f t="shared" si="18"/>
        <v>-1175.2947080000001</v>
      </c>
    </row>
    <row r="261" spans="1:15">
      <c r="A261" s="102" t="s">
        <v>21</v>
      </c>
      <c r="B261" s="103" t="s">
        <v>1681</v>
      </c>
      <c r="C261" s="103" t="s">
        <v>2438</v>
      </c>
      <c r="D261" s="102" t="s">
        <v>2439</v>
      </c>
      <c r="E261" s="103" t="s">
        <v>260</v>
      </c>
      <c r="F261" s="102" t="s">
        <v>1608</v>
      </c>
      <c r="G261" s="103" t="s">
        <v>20</v>
      </c>
      <c r="H261" s="103">
        <v>201612</v>
      </c>
      <c r="I261" s="104">
        <v>810.66</v>
      </c>
      <c r="J261" s="297">
        <f t="shared" si="15"/>
        <v>42705</v>
      </c>
      <c r="K261" s="67">
        <f t="shared" si="16"/>
        <v>5</v>
      </c>
      <c r="L261" s="155">
        <v>1.4833299999999999E-3</v>
      </c>
      <c r="M261" s="104">
        <f t="shared" si="17"/>
        <v>6.0123814889999991</v>
      </c>
      <c r="O261" s="66">
        <f t="shared" si="18"/>
        <v>245.33273800000003</v>
      </c>
    </row>
    <row r="262" spans="1:15">
      <c r="A262" s="102" t="s">
        <v>626</v>
      </c>
      <c r="B262" s="103" t="s">
        <v>1681</v>
      </c>
      <c r="C262" s="103" t="s">
        <v>2438</v>
      </c>
      <c r="D262" s="102" t="s">
        <v>2439</v>
      </c>
      <c r="E262" s="103" t="s">
        <v>260</v>
      </c>
      <c r="F262" s="102" t="s">
        <v>1608</v>
      </c>
      <c r="G262" s="103" t="s">
        <v>20</v>
      </c>
      <c r="H262" s="103">
        <v>201612</v>
      </c>
      <c r="I262" s="104">
        <v>18841.66</v>
      </c>
      <c r="J262" s="297">
        <f t="shared" si="15"/>
        <v>42705</v>
      </c>
      <c r="K262" s="67">
        <f t="shared" si="16"/>
        <v>5</v>
      </c>
      <c r="L262" s="155">
        <v>1.4833299999999999E-3</v>
      </c>
      <c r="M262" s="104">
        <f t="shared" si="17"/>
        <v>139.74199763899998</v>
      </c>
      <c r="O262" s="66">
        <f t="shared" si="18"/>
        <v>5702.114371333334</v>
      </c>
    </row>
    <row r="263" spans="1:15">
      <c r="A263" s="102" t="s">
        <v>14</v>
      </c>
      <c r="B263" s="103" t="s">
        <v>1681</v>
      </c>
      <c r="C263" s="103" t="s">
        <v>2438</v>
      </c>
      <c r="D263" s="102" t="s">
        <v>2439</v>
      </c>
      <c r="E263" s="103" t="s">
        <v>260</v>
      </c>
      <c r="F263" s="102" t="s">
        <v>1608</v>
      </c>
      <c r="G263" s="103" t="s">
        <v>20</v>
      </c>
      <c r="H263" s="103">
        <v>201612</v>
      </c>
      <c r="I263" s="104">
        <v>130.94</v>
      </c>
      <c r="J263" s="297">
        <f t="shared" ref="J263:J287" si="19">+J262</f>
        <v>42705</v>
      </c>
      <c r="K263" s="67">
        <f t="shared" si="16"/>
        <v>5</v>
      </c>
      <c r="L263" s="148">
        <v>2.23333E-3</v>
      </c>
      <c r="M263" s="104">
        <f t="shared" si="17"/>
        <v>1.4621611510000001</v>
      </c>
      <c r="O263" s="66">
        <f t="shared" si="18"/>
        <v>39.626808666666676</v>
      </c>
    </row>
    <row r="264" spans="1:15">
      <c r="A264" s="102" t="s">
        <v>626</v>
      </c>
      <c r="B264" s="103" t="s">
        <v>1681</v>
      </c>
      <c r="C264" s="103" t="s">
        <v>2113</v>
      </c>
      <c r="D264" s="102" t="s">
        <v>2114</v>
      </c>
      <c r="E264" s="103" t="s">
        <v>87</v>
      </c>
      <c r="F264" s="102" t="s">
        <v>1603</v>
      </c>
      <c r="G264" s="103" t="s">
        <v>20</v>
      </c>
      <c r="H264" s="103">
        <v>201612</v>
      </c>
      <c r="I264" s="104">
        <v>965</v>
      </c>
      <c r="J264" s="297">
        <f t="shared" si="19"/>
        <v>42705</v>
      </c>
      <c r="K264" s="67">
        <f t="shared" si="16"/>
        <v>5</v>
      </c>
      <c r="L264" s="155">
        <v>1.4833299999999999E-3</v>
      </c>
      <c r="M264" s="104">
        <f t="shared" si="17"/>
        <v>7.1570672499999999</v>
      </c>
      <c r="O264" s="66">
        <f t="shared" si="18"/>
        <v>292.0411666666667</v>
      </c>
    </row>
    <row r="265" spans="1:15">
      <c r="A265" s="102" t="s">
        <v>626</v>
      </c>
      <c r="B265" s="103" t="s">
        <v>1681</v>
      </c>
      <c r="C265" s="103" t="s">
        <v>2406</v>
      </c>
      <c r="D265" s="102" t="s">
        <v>2407</v>
      </c>
      <c r="E265" s="103" t="s">
        <v>75</v>
      </c>
      <c r="F265" s="102" t="s">
        <v>1602</v>
      </c>
      <c r="G265" s="103" t="s">
        <v>20</v>
      </c>
      <c r="H265" s="103">
        <v>201612</v>
      </c>
      <c r="I265" s="104">
        <v>150.94</v>
      </c>
      <c r="J265" s="297">
        <f t="shared" si="19"/>
        <v>42705</v>
      </c>
      <c r="K265" s="67">
        <f t="shared" si="16"/>
        <v>5</v>
      </c>
      <c r="L265" s="155">
        <v>1.4833299999999999E-3</v>
      </c>
      <c r="M265" s="104">
        <f t="shared" si="17"/>
        <v>1.1194691509999999</v>
      </c>
      <c r="O265" s="66">
        <f t="shared" si="18"/>
        <v>45.679475333333343</v>
      </c>
    </row>
    <row r="266" spans="1:15">
      <c r="A266" s="102" t="s">
        <v>14</v>
      </c>
      <c r="B266" s="103" t="s">
        <v>1681</v>
      </c>
      <c r="C266" s="103" t="s">
        <v>2406</v>
      </c>
      <c r="D266" s="102" t="s">
        <v>2407</v>
      </c>
      <c r="E266" s="103" t="s">
        <v>75</v>
      </c>
      <c r="F266" s="102" t="s">
        <v>1602</v>
      </c>
      <c r="G266" s="103" t="s">
        <v>20</v>
      </c>
      <c r="H266" s="103">
        <v>201612</v>
      </c>
      <c r="I266" s="104">
        <v>3.56</v>
      </c>
      <c r="J266" s="297">
        <f t="shared" si="19"/>
        <v>42705</v>
      </c>
      <c r="K266" s="67">
        <f t="shared" si="16"/>
        <v>5</v>
      </c>
      <c r="L266" s="148">
        <v>2.23333E-3</v>
      </c>
      <c r="M266" s="104">
        <f t="shared" si="17"/>
        <v>3.9753273999999998E-2</v>
      </c>
      <c r="O266" s="66">
        <f t="shared" si="18"/>
        <v>1.0773746666666668</v>
      </c>
    </row>
    <row r="267" spans="1:15">
      <c r="A267" s="102" t="s">
        <v>626</v>
      </c>
      <c r="B267" s="103" t="s">
        <v>1681</v>
      </c>
      <c r="C267" s="103" t="s">
        <v>2412</v>
      </c>
      <c r="D267" s="102" t="s">
        <v>2413</v>
      </c>
      <c r="E267" s="103" t="s">
        <v>75</v>
      </c>
      <c r="F267" s="102" t="s">
        <v>1602</v>
      </c>
      <c r="G267" s="103" t="s">
        <v>20</v>
      </c>
      <c r="H267" s="103">
        <v>201612</v>
      </c>
      <c r="I267" s="104">
        <v>340.08</v>
      </c>
      <c r="J267" s="297">
        <f t="shared" si="19"/>
        <v>42705</v>
      </c>
      <c r="K267" s="67">
        <f t="shared" si="16"/>
        <v>5</v>
      </c>
      <c r="L267" s="155">
        <v>1.4833299999999999E-3</v>
      </c>
      <c r="M267" s="104">
        <f t="shared" si="17"/>
        <v>2.5222543319999997</v>
      </c>
      <c r="O267" s="66">
        <f t="shared" si="18"/>
        <v>102.919544</v>
      </c>
    </row>
    <row r="268" spans="1:15">
      <c r="A268" s="102" t="s">
        <v>14</v>
      </c>
      <c r="B268" s="103" t="s">
        <v>1681</v>
      </c>
      <c r="C268" s="103" t="s">
        <v>2412</v>
      </c>
      <c r="D268" s="102" t="s">
        <v>2413</v>
      </c>
      <c r="E268" s="103" t="s">
        <v>75</v>
      </c>
      <c r="F268" s="102" t="s">
        <v>1602</v>
      </c>
      <c r="G268" s="103" t="s">
        <v>20</v>
      </c>
      <c r="H268" s="103">
        <v>201612</v>
      </c>
      <c r="I268" s="104">
        <v>3.56</v>
      </c>
      <c r="J268" s="297">
        <f t="shared" si="19"/>
        <v>42705</v>
      </c>
      <c r="K268" s="67">
        <f t="shared" si="16"/>
        <v>5</v>
      </c>
      <c r="L268" s="148">
        <v>2.23333E-3</v>
      </c>
      <c r="M268" s="104">
        <f t="shared" si="17"/>
        <v>3.9753273999999998E-2</v>
      </c>
      <c r="O268" s="66">
        <f t="shared" si="18"/>
        <v>1.0773746666666668</v>
      </c>
    </row>
    <row r="269" spans="1:15">
      <c r="A269" s="102" t="s">
        <v>626</v>
      </c>
      <c r="B269" s="103" t="s">
        <v>1681</v>
      </c>
      <c r="C269" s="103" t="s">
        <v>2416</v>
      </c>
      <c r="D269" s="102" t="s">
        <v>2417</v>
      </c>
      <c r="E269" s="103" t="s">
        <v>164</v>
      </c>
      <c r="F269" s="102" t="s">
        <v>1600</v>
      </c>
      <c r="G269" s="103" t="s">
        <v>20</v>
      </c>
      <c r="H269" s="103">
        <v>201612</v>
      </c>
      <c r="I269" s="104">
        <v>2081.54</v>
      </c>
      <c r="J269" s="297">
        <f t="shared" si="19"/>
        <v>42705</v>
      </c>
      <c r="K269" s="67">
        <f t="shared" si="16"/>
        <v>5</v>
      </c>
      <c r="L269" s="155">
        <v>1.4833299999999999E-3</v>
      </c>
      <c r="M269" s="104">
        <f t="shared" si="17"/>
        <v>15.438053640999998</v>
      </c>
      <c r="O269" s="66">
        <f t="shared" si="18"/>
        <v>629.94338866666681</v>
      </c>
    </row>
    <row r="270" spans="1:15">
      <c r="A270" s="102" t="s">
        <v>1942</v>
      </c>
      <c r="B270" s="103" t="s">
        <v>1681</v>
      </c>
      <c r="C270" s="103" t="s">
        <v>2416</v>
      </c>
      <c r="D270" s="102" t="s">
        <v>2417</v>
      </c>
      <c r="E270" s="103" t="s">
        <v>164</v>
      </c>
      <c r="F270" s="102" t="s">
        <v>1600</v>
      </c>
      <c r="G270" s="103" t="s">
        <v>20</v>
      </c>
      <c r="H270" s="103">
        <v>201612</v>
      </c>
      <c r="I270" s="104">
        <v>4.5199999999999996</v>
      </c>
      <c r="J270" s="297">
        <f t="shared" si="19"/>
        <v>42705</v>
      </c>
      <c r="K270" s="67">
        <f t="shared" si="16"/>
        <v>5</v>
      </c>
      <c r="L270" s="155">
        <v>2.23333E-3</v>
      </c>
      <c r="M270" s="104">
        <f t="shared" si="17"/>
        <v>5.0473257999999993E-2</v>
      </c>
      <c r="O270" s="66">
        <f t="shared" si="18"/>
        <v>1.3679026666666667</v>
      </c>
    </row>
    <row r="271" spans="1:15">
      <c r="A271" s="102" t="s">
        <v>21</v>
      </c>
      <c r="B271" s="103" t="s">
        <v>1681</v>
      </c>
      <c r="C271" s="103" t="s">
        <v>2418</v>
      </c>
      <c r="D271" s="102" t="s">
        <v>2419</v>
      </c>
      <c r="E271" s="103" t="s">
        <v>75</v>
      </c>
      <c r="F271" s="102" t="s">
        <v>1602</v>
      </c>
      <c r="G271" s="103" t="s">
        <v>20</v>
      </c>
      <c r="H271" s="103">
        <v>201612</v>
      </c>
      <c r="I271" s="104">
        <v>79.400000000000006</v>
      </c>
      <c r="J271" s="297">
        <f t="shared" si="19"/>
        <v>42705</v>
      </c>
      <c r="K271" s="67">
        <f t="shared" si="16"/>
        <v>5</v>
      </c>
      <c r="L271" s="155">
        <v>1.4833299999999999E-3</v>
      </c>
      <c r="M271" s="104">
        <f t="shared" si="17"/>
        <v>0.58888200999999996</v>
      </c>
      <c r="O271" s="66">
        <f t="shared" si="18"/>
        <v>24.029086666666672</v>
      </c>
    </row>
    <row r="272" spans="1:15">
      <c r="A272" s="102" t="s">
        <v>1942</v>
      </c>
      <c r="B272" s="103" t="s">
        <v>1681</v>
      </c>
      <c r="C272" s="103" t="s">
        <v>2418</v>
      </c>
      <c r="D272" s="102" t="s">
        <v>2419</v>
      </c>
      <c r="E272" s="103" t="s">
        <v>75</v>
      </c>
      <c r="F272" s="102" t="s">
        <v>1602</v>
      </c>
      <c r="G272" s="103" t="s">
        <v>20</v>
      </c>
      <c r="H272" s="103">
        <v>201612</v>
      </c>
      <c r="I272" s="104">
        <v>0.3</v>
      </c>
      <c r="J272" s="297">
        <f t="shared" si="19"/>
        <v>42705</v>
      </c>
      <c r="K272" s="348">
        <f t="shared" si="16"/>
        <v>5</v>
      </c>
      <c r="L272" s="155">
        <v>2.23333E-3</v>
      </c>
      <c r="M272" s="349">
        <f t="shared" si="17"/>
        <v>3.3499950000000001E-3</v>
      </c>
      <c r="N272" s="350"/>
      <c r="O272" s="66">
        <f t="shared" si="18"/>
        <v>9.079000000000001E-2</v>
      </c>
    </row>
    <row r="273" spans="1:15">
      <c r="A273" s="102" t="s">
        <v>21</v>
      </c>
      <c r="B273" s="103" t="s">
        <v>1681</v>
      </c>
      <c r="C273" s="103" t="s">
        <v>2279</v>
      </c>
      <c r="D273" s="102" t="s">
        <v>2280</v>
      </c>
      <c r="E273" s="103" t="s">
        <v>87</v>
      </c>
      <c r="F273" s="102" t="s">
        <v>1603</v>
      </c>
      <c r="G273" s="103" t="s">
        <v>20</v>
      </c>
      <c r="H273" s="103">
        <v>201612</v>
      </c>
      <c r="I273" s="104">
        <v>37.68</v>
      </c>
      <c r="J273" s="297">
        <f t="shared" si="19"/>
        <v>42705</v>
      </c>
      <c r="K273" s="67">
        <f t="shared" si="16"/>
        <v>5</v>
      </c>
      <c r="L273" s="155">
        <v>1.4833299999999999E-3</v>
      </c>
      <c r="M273" s="104">
        <f t="shared" si="17"/>
        <v>0.27945937199999998</v>
      </c>
      <c r="O273" s="66">
        <f t="shared" si="18"/>
        <v>11.403224000000002</v>
      </c>
    </row>
    <row r="274" spans="1:15">
      <c r="A274" s="102" t="s">
        <v>626</v>
      </c>
      <c r="B274" s="103" t="s">
        <v>1681</v>
      </c>
      <c r="C274" s="103" t="s">
        <v>2420</v>
      </c>
      <c r="D274" s="102" t="s">
        <v>2421</v>
      </c>
      <c r="E274" s="103" t="s">
        <v>164</v>
      </c>
      <c r="F274" s="102" t="s">
        <v>1600</v>
      </c>
      <c r="G274" s="103" t="s">
        <v>20</v>
      </c>
      <c r="H274" s="103">
        <v>201612</v>
      </c>
      <c r="I274" s="104">
        <v>133.13999999999999</v>
      </c>
      <c r="J274" s="297">
        <f t="shared" si="19"/>
        <v>42705</v>
      </c>
      <c r="K274" s="67">
        <f t="shared" si="16"/>
        <v>5</v>
      </c>
      <c r="L274" s="155">
        <v>1.4833299999999999E-3</v>
      </c>
      <c r="M274" s="104">
        <f t="shared" si="17"/>
        <v>0.98745278099999978</v>
      </c>
      <c r="O274" s="66">
        <f t="shared" si="18"/>
        <v>40.292602000000002</v>
      </c>
    </row>
    <row r="275" spans="1:15">
      <c r="A275" s="102" t="s">
        <v>626</v>
      </c>
      <c r="B275" s="103" t="s">
        <v>1681</v>
      </c>
      <c r="C275" s="103" t="s">
        <v>2289</v>
      </c>
      <c r="D275" s="102" t="s">
        <v>2290</v>
      </c>
      <c r="E275" s="103" t="s">
        <v>93</v>
      </c>
      <c r="F275" s="102" t="s">
        <v>1601</v>
      </c>
      <c r="G275" s="103" t="s">
        <v>20</v>
      </c>
      <c r="H275" s="103">
        <v>201612</v>
      </c>
      <c r="I275" s="104">
        <v>24.09</v>
      </c>
      <c r="J275" s="297">
        <f t="shared" si="19"/>
        <v>42705</v>
      </c>
      <c r="K275" s="67">
        <f t="shared" si="16"/>
        <v>5</v>
      </c>
      <c r="L275" s="155">
        <v>1.4833299999999999E-3</v>
      </c>
      <c r="M275" s="104">
        <f t="shared" si="17"/>
        <v>0.17866709849999998</v>
      </c>
      <c r="O275" s="66">
        <f t="shared" si="18"/>
        <v>7.2904370000000007</v>
      </c>
    </row>
    <row r="276" spans="1:15">
      <c r="A276" s="102" t="s">
        <v>626</v>
      </c>
      <c r="B276" s="103" t="s">
        <v>1681</v>
      </c>
      <c r="C276" s="103" t="s">
        <v>2440</v>
      </c>
      <c r="D276" s="102" t="s">
        <v>2441</v>
      </c>
      <c r="E276" s="103" t="s">
        <v>75</v>
      </c>
      <c r="F276" s="102" t="s">
        <v>1602</v>
      </c>
      <c r="G276" s="103" t="s">
        <v>20</v>
      </c>
      <c r="H276" s="103">
        <v>201612</v>
      </c>
      <c r="I276" s="104">
        <v>254401.45</v>
      </c>
      <c r="J276" s="297">
        <f t="shared" si="19"/>
        <v>42705</v>
      </c>
      <c r="K276" s="67">
        <f t="shared" si="16"/>
        <v>5</v>
      </c>
      <c r="L276" s="155">
        <v>1.4833299999999999E-3</v>
      </c>
      <c r="M276" s="104">
        <f t="shared" si="17"/>
        <v>1886.8065141425</v>
      </c>
      <c r="O276" s="66">
        <f t="shared" si="18"/>
        <v>76990.358818333349</v>
      </c>
    </row>
    <row r="277" spans="1:15">
      <c r="A277" s="102" t="s">
        <v>14</v>
      </c>
      <c r="B277" s="103" t="s">
        <v>1681</v>
      </c>
      <c r="C277" s="103" t="s">
        <v>2440</v>
      </c>
      <c r="D277" s="102" t="s">
        <v>2441</v>
      </c>
      <c r="E277" s="103" t="s">
        <v>75</v>
      </c>
      <c r="F277" s="102" t="s">
        <v>1602</v>
      </c>
      <c r="G277" s="103" t="s">
        <v>20</v>
      </c>
      <c r="H277" s="103">
        <v>201612</v>
      </c>
      <c r="I277" s="104">
        <v>168434.91</v>
      </c>
      <c r="J277" s="297">
        <f t="shared" si="19"/>
        <v>42705</v>
      </c>
      <c r="K277" s="67">
        <f t="shared" si="16"/>
        <v>5</v>
      </c>
      <c r="L277" s="148">
        <v>2.23333E-3</v>
      </c>
      <c r="M277" s="104">
        <f t="shared" si="17"/>
        <v>1880.8536877515</v>
      </c>
      <c r="O277" s="66">
        <f t="shared" si="18"/>
        <v>50974.018263000005</v>
      </c>
    </row>
    <row r="278" spans="1:15">
      <c r="A278" s="102" t="s">
        <v>626</v>
      </c>
      <c r="B278" s="103" t="s">
        <v>1681</v>
      </c>
      <c r="C278" s="103" t="s">
        <v>2422</v>
      </c>
      <c r="D278" s="102" t="s">
        <v>2423</v>
      </c>
      <c r="E278" s="103" t="s">
        <v>164</v>
      </c>
      <c r="F278" s="102" t="s">
        <v>1600</v>
      </c>
      <c r="G278" s="103" t="s">
        <v>20</v>
      </c>
      <c r="H278" s="103">
        <v>201612</v>
      </c>
      <c r="I278" s="104">
        <v>21.13</v>
      </c>
      <c r="J278" s="297">
        <f t="shared" si="19"/>
        <v>42705</v>
      </c>
      <c r="K278" s="67">
        <f t="shared" si="16"/>
        <v>5</v>
      </c>
      <c r="L278" s="155">
        <v>1.4833299999999999E-3</v>
      </c>
      <c r="M278" s="104">
        <f t="shared" si="17"/>
        <v>0.15671381449999999</v>
      </c>
      <c r="O278" s="66">
        <f t="shared" si="18"/>
        <v>6.3946423333333335</v>
      </c>
    </row>
    <row r="279" spans="1:15">
      <c r="A279" s="102" t="s">
        <v>626</v>
      </c>
      <c r="B279" s="103" t="s">
        <v>1681</v>
      </c>
      <c r="C279" s="103" t="s">
        <v>2424</v>
      </c>
      <c r="D279" s="102" t="s">
        <v>2425</v>
      </c>
      <c r="E279" s="103" t="s">
        <v>93</v>
      </c>
      <c r="F279" s="102" t="s">
        <v>1601</v>
      </c>
      <c r="G279" s="103" t="s">
        <v>20</v>
      </c>
      <c r="H279" s="103">
        <v>201612</v>
      </c>
      <c r="I279" s="104">
        <v>3091.39</v>
      </c>
      <c r="J279" s="297">
        <f t="shared" si="19"/>
        <v>42705</v>
      </c>
      <c r="K279" s="67">
        <f t="shared" si="16"/>
        <v>5</v>
      </c>
      <c r="L279" s="155">
        <v>1.4833299999999999E-3</v>
      </c>
      <c r="M279" s="104">
        <f t="shared" si="17"/>
        <v>22.927757643499998</v>
      </c>
      <c r="O279" s="66">
        <f t="shared" si="18"/>
        <v>935.55766033333339</v>
      </c>
    </row>
    <row r="280" spans="1:15">
      <c r="A280" s="102" t="s">
        <v>626</v>
      </c>
      <c r="B280" s="103" t="s">
        <v>1681</v>
      </c>
      <c r="C280" s="103" t="s">
        <v>2442</v>
      </c>
      <c r="D280" s="102" t="s">
        <v>2443</v>
      </c>
      <c r="E280" s="103" t="s">
        <v>260</v>
      </c>
      <c r="F280" s="102" t="s">
        <v>1608</v>
      </c>
      <c r="G280" s="103" t="s">
        <v>20</v>
      </c>
      <c r="H280" s="103">
        <v>201612</v>
      </c>
      <c r="I280" s="104">
        <v>136272.18</v>
      </c>
      <c r="J280" s="297">
        <f t="shared" si="19"/>
        <v>42705</v>
      </c>
      <c r="K280" s="67">
        <f t="shared" si="16"/>
        <v>5</v>
      </c>
      <c r="L280" s="155">
        <v>1.4833299999999999E-3</v>
      </c>
      <c r="M280" s="104">
        <f t="shared" si="17"/>
        <v>1010.6830637969998</v>
      </c>
      <c r="O280" s="66">
        <f t="shared" si="18"/>
        <v>41240.504074000004</v>
      </c>
    </row>
    <row r="281" spans="1:15">
      <c r="A281" s="102" t="s">
        <v>14</v>
      </c>
      <c r="B281" s="103" t="s">
        <v>1681</v>
      </c>
      <c r="C281" s="103" t="s">
        <v>2442</v>
      </c>
      <c r="D281" s="102" t="s">
        <v>2443</v>
      </c>
      <c r="E281" s="103" t="s">
        <v>260</v>
      </c>
      <c r="F281" s="102" t="s">
        <v>1608</v>
      </c>
      <c r="G281" s="103" t="s">
        <v>20</v>
      </c>
      <c r="H281" s="103">
        <v>201612</v>
      </c>
      <c r="I281" s="104">
        <v>8198.89</v>
      </c>
      <c r="J281" s="297">
        <f t="shared" si="19"/>
        <v>42705</v>
      </c>
      <c r="K281" s="67">
        <f t="shared" si="16"/>
        <v>5</v>
      </c>
      <c r="L281" s="148">
        <v>2.23333E-3</v>
      </c>
      <c r="M281" s="104">
        <f t="shared" si="17"/>
        <v>91.554135018499991</v>
      </c>
      <c r="O281" s="66">
        <f t="shared" si="18"/>
        <v>2481.2574103333336</v>
      </c>
    </row>
    <row r="282" spans="1:15">
      <c r="A282" s="102" t="s">
        <v>626</v>
      </c>
      <c r="B282" s="103" t="s">
        <v>1681</v>
      </c>
      <c r="C282" s="103" t="s">
        <v>2444</v>
      </c>
      <c r="D282" s="102" t="s">
        <v>2445</v>
      </c>
      <c r="E282" s="103" t="s">
        <v>75</v>
      </c>
      <c r="F282" s="102" t="s">
        <v>1602</v>
      </c>
      <c r="G282" s="103" t="s">
        <v>20</v>
      </c>
      <c r="H282" s="103">
        <v>201612</v>
      </c>
      <c r="I282" s="104">
        <v>61311.21</v>
      </c>
      <c r="J282" s="297">
        <f t="shared" si="19"/>
        <v>42705</v>
      </c>
      <c r="K282" s="67">
        <f t="shared" si="16"/>
        <v>5</v>
      </c>
      <c r="L282" s="155">
        <v>1.4833299999999999E-3</v>
      </c>
      <c r="M282" s="104">
        <f t="shared" si="17"/>
        <v>454.72378564649995</v>
      </c>
      <c r="O282" s="66">
        <f t="shared" si="18"/>
        <v>18554.815853000004</v>
      </c>
    </row>
    <row r="283" spans="1:15">
      <c r="A283" s="102" t="s">
        <v>14</v>
      </c>
      <c r="B283" s="103" t="s">
        <v>1681</v>
      </c>
      <c r="C283" s="103" t="s">
        <v>2444</v>
      </c>
      <c r="D283" s="102" t="s">
        <v>2445</v>
      </c>
      <c r="E283" s="103" t="s">
        <v>75</v>
      </c>
      <c r="F283" s="102" t="s">
        <v>1602</v>
      </c>
      <c r="G283" s="103" t="s">
        <v>20</v>
      </c>
      <c r="H283" s="103">
        <v>201612</v>
      </c>
      <c r="I283" s="104">
        <v>33859.339999999997</v>
      </c>
      <c r="J283" s="297">
        <f t="shared" si="19"/>
        <v>42705</v>
      </c>
      <c r="K283" s="67">
        <f t="shared" si="16"/>
        <v>5</v>
      </c>
      <c r="L283" s="148">
        <v>2.23333E-3</v>
      </c>
      <c r="M283" s="104">
        <f t="shared" si="17"/>
        <v>378.09539901099998</v>
      </c>
      <c r="O283" s="66">
        <f t="shared" si="18"/>
        <v>10246.964928666666</v>
      </c>
    </row>
    <row r="284" spans="1:15">
      <c r="A284" s="102" t="s">
        <v>626</v>
      </c>
      <c r="B284" s="103" t="s">
        <v>1681</v>
      </c>
      <c r="C284" s="103" t="s">
        <v>2446</v>
      </c>
      <c r="D284" s="102" t="s">
        <v>2447</v>
      </c>
      <c r="E284" s="103" t="s">
        <v>164</v>
      </c>
      <c r="F284" s="102" t="s">
        <v>1600</v>
      </c>
      <c r="G284" s="103" t="s">
        <v>20</v>
      </c>
      <c r="H284" s="103">
        <v>201612</v>
      </c>
      <c r="I284" s="104">
        <v>25529.48</v>
      </c>
      <c r="J284" s="297">
        <f t="shared" si="19"/>
        <v>42705</v>
      </c>
      <c r="K284" s="67">
        <f t="shared" si="16"/>
        <v>5</v>
      </c>
      <c r="L284" s="155">
        <v>1.4833299999999999E-3</v>
      </c>
      <c r="M284" s="104">
        <f t="shared" si="17"/>
        <v>189.34321784199997</v>
      </c>
      <c r="O284" s="66">
        <f t="shared" si="18"/>
        <v>7726.0716306666673</v>
      </c>
    </row>
    <row r="285" spans="1:15">
      <c r="A285" s="102" t="s">
        <v>626</v>
      </c>
      <c r="B285" s="103" t="s">
        <v>1681</v>
      </c>
      <c r="C285" s="103" t="s">
        <v>2448</v>
      </c>
      <c r="D285" s="102" t="s">
        <v>2449</v>
      </c>
      <c r="E285" s="103" t="s">
        <v>260</v>
      </c>
      <c r="F285" s="102" t="s">
        <v>1608</v>
      </c>
      <c r="G285" s="103" t="s">
        <v>20</v>
      </c>
      <c r="H285" s="103">
        <v>201612</v>
      </c>
      <c r="I285" s="104">
        <v>23096.26</v>
      </c>
      <c r="J285" s="297">
        <f t="shared" si="19"/>
        <v>42705</v>
      </c>
      <c r="K285" s="67">
        <f t="shared" si="16"/>
        <v>5</v>
      </c>
      <c r="L285" s="155">
        <v>1.4833299999999999E-3</v>
      </c>
      <c r="M285" s="104">
        <f t="shared" si="17"/>
        <v>171.29687672899996</v>
      </c>
      <c r="O285" s="66">
        <f t="shared" si="18"/>
        <v>6989.698151333334</v>
      </c>
    </row>
    <row r="286" spans="1:15">
      <c r="A286" s="102" t="s">
        <v>14</v>
      </c>
      <c r="B286" s="103" t="s">
        <v>1681</v>
      </c>
      <c r="C286" s="103" t="s">
        <v>2448</v>
      </c>
      <c r="D286" s="102" t="s">
        <v>2449</v>
      </c>
      <c r="E286" s="103" t="s">
        <v>260</v>
      </c>
      <c r="F286" s="102" t="s">
        <v>1608</v>
      </c>
      <c r="G286" s="103" t="s">
        <v>20</v>
      </c>
      <c r="H286" s="103">
        <v>201612</v>
      </c>
      <c r="I286" s="104">
        <v>321.33</v>
      </c>
      <c r="J286" s="297">
        <f t="shared" si="19"/>
        <v>42705</v>
      </c>
      <c r="K286" s="67">
        <f t="shared" si="16"/>
        <v>5</v>
      </c>
      <c r="L286" s="148">
        <v>2.23333E-3</v>
      </c>
      <c r="M286" s="104">
        <f t="shared" si="17"/>
        <v>3.5881796444999998</v>
      </c>
      <c r="O286" s="66">
        <f t="shared" si="18"/>
        <v>97.245169000000004</v>
      </c>
    </row>
    <row r="287" spans="1:15">
      <c r="A287" s="102" t="s">
        <v>626</v>
      </c>
      <c r="B287" s="103" t="s">
        <v>1681</v>
      </c>
      <c r="C287" s="103" t="s">
        <v>2450</v>
      </c>
      <c r="D287" s="102" t="s">
        <v>2451</v>
      </c>
      <c r="E287" s="103" t="s">
        <v>209</v>
      </c>
      <c r="F287" s="102" t="s">
        <v>1612</v>
      </c>
      <c r="G287" s="103" t="s">
        <v>20</v>
      </c>
      <c r="H287" s="103">
        <v>201612</v>
      </c>
      <c r="I287" s="104">
        <v>32272.07</v>
      </c>
      <c r="J287" s="297">
        <f t="shared" si="19"/>
        <v>42705</v>
      </c>
      <c r="K287" s="67">
        <f t="shared" si="16"/>
        <v>5</v>
      </c>
      <c r="L287" s="155">
        <v>1.4833299999999999E-3</v>
      </c>
      <c r="M287" s="104">
        <f t="shared" si="17"/>
        <v>239.35064796549997</v>
      </c>
      <c r="O287" s="66">
        <f t="shared" si="18"/>
        <v>9766.6041176666677</v>
      </c>
    </row>
    <row r="288" spans="1:15">
      <c r="A288" s="137"/>
      <c r="B288" s="164"/>
      <c r="C288" s="164"/>
      <c r="D288" s="102" t="s">
        <v>2453</v>
      </c>
      <c r="E288" s="103"/>
      <c r="F288" s="102"/>
      <c r="G288" s="103"/>
      <c r="H288" s="103">
        <v>201702</v>
      </c>
      <c r="I288" s="104">
        <v>774474.25000000012</v>
      </c>
      <c r="J288" s="297">
        <v>42767</v>
      </c>
      <c r="K288" s="67">
        <f t="shared" si="16"/>
        <v>3</v>
      </c>
      <c r="L288" s="148">
        <v>2.23333E-3</v>
      </c>
      <c r="M288" s="104">
        <f t="shared" si="17"/>
        <v>5188.9697302575005</v>
      </c>
      <c r="O288" s="66">
        <f t="shared" si="18"/>
        <v>234381.7238583334</v>
      </c>
    </row>
    <row r="289" spans="1:15">
      <c r="A289" s="137"/>
      <c r="B289" s="164"/>
      <c r="C289" s="164"/>
      <c r="D289" s="102" t="s">
        <v>2454</v>
      </c>
      <c r="E289" s="103"/>
      <c r="F289" s="102"/>
      <c r="G289" s="103"/>
      <c r="H289" s="103">
        <v>201702</v>
      </c>
      <c r="I289" s="104">
        <v>15057552.939999999</v>
      </c>
      <c r="J289" s="297">
        <f>+J288</f>
        <v>42767</v>
      </c>
      <c r="K289" s="67">
        <f t="shared" si="16"/>
        <v>3</v>
      </c>
      <c r="L289" s="148">
        <v>1.4833299999999999E-3</v>
      </c>
      <c r="M289" s="104">
        <f t="shared" si="17"/>
        <v>67005.960007470596</v>
      </c>
      <c r="O289" s="66">
        <f t="shared" si="18"/>
        <v>4556917.4380753338</v>
      </c>
    </row>
    <row r="290" spans="1:15">
      <c r="D290" s="321"/>
      <c r="E290" s="322"/>
      <c r="F290" s="321"/>
      <c r="G290" s="322"/>
      <c r="H290" s="322"/>
      <c r="I290" s="327"/>
      <c r="J290" s="297"/>
      <c r="K290" s="330"/>
      <c r="L290" s="159"/>
      <c r="M290" s="327"/>
      <c r="O290" s="331"/>
    </row>
    <row r="291" spans="1:15" ht="17.25">
      <c r="I291" s="332">
        <f>SUM(I5:I289)</f>
        <v>18863265.579999998</v>
      </c>
      <c r="M291" s="332">
        <f>SUM(M5:M289)</f>
        <v>102994.24878897121</v>
      </c>
      <c r="O291" s="332">
        <f>SUM(O5:O289)</f>
        <v>5708652.9400273338</v>
      </c>
    </row>
    <row r="292" spans="1:15">
      <c r="A292" s="464" t="s">
        <v>14</v>
      </c>
      <c r="B292" s="465" t="str">
        <f>VLOOKUP(C292,'[10]Project Detail Query'!$A$1:$R$2830,5,FALSE)</f>
        <v>20401050360</v>
      </c>
      <c r="C292" s="466" t="s">
        <v>31</v>
      </c>
      <c r="D292" s="464" t="s">
        <v>32</v>
      </c>
      <c r="E292" s="465" t="str">
        <f>VLOOKUP(C292,'[10]Project Detail Query'!$A$1:$R$2830,6,FALSE)</f>
        <v>F0558</v>
      </c>
      <c r="F292" s="464" t="str">
        <f>VLOOKUP(C292,'[10]Project Detail Query'!$A$1:$R$2830,7,FALSE)</f>
        <v>SLRP - immediate response - company</v>
      </c>
      <c r="G292" s="465" t="s">
        <v>20</v>
      </c>
      <c r="H292" s="465">
        <v>201701</v>
      </c>
      <c r="I292" s="467">
        <v>4952.22</v>
      </c>
      <c r="J292" s="297">
        <v>42736</v>
      </c>
      <c r="K292" s="67">
        <f t="shared" ref="K292:K293" si="20">((YEAR($K$1)-YEAR(J292))*12+MONTH($K$1)-MONTH(J292))</f>
        <v>4</v>
      </c>
      <c r="L292" s="468">
        <v>2.23333E-3</v>
      </c>
      <c r="M292" s="104">
        <f t="shared" ref="M292:M354" si="21">L292*K292*I292</f>
        <v>44.239765970400001</v>
      </c>
      <c r="O292" s="66">
        <f t="shared" ref="O292:O354" si="22">($O$4*I292*$R$11)</f>
        <v>1498.7068460000003</v>
      </c>
    </row>
    <row r="293" spans="1:15">
      <c r="A293" s="464" t="s">
        <v>554</v>
      </c>
      <c r="B293" s="465" t="str">
        <f>VLOOKUP(C293,'[10]Project Detail Query'!$A$1:$R$2830,5,FALSE)</f>
        <v>20401050325</v>
      </c>
      <c r="C293" s="466" t="s">
        <v>117</v>
      </c>
      <c r="D293" s="464" t="s">
        <v>2432</v>
      </c>
      <c r="E293" s="465" t="str">
        <f>VLOOKUP(C293,'[10]Project Detail Query'!$A$1:$R$2830,6,FALSE)</f>
        <v>F0524</v>
      </c>
      <c r="F293" s="464" t="str">
        <f>VLOOKUP(C293,'[10]Project Detail Query'!$A$1:$R$2830,7,FALSE)</f>
        <v>BWO CI Joint Encapsulation ISRS (N)</v>
      </c>
      <c r="G293" s="465" t="s">
        <v>20</v>
      </c>
      <c r="H293" s="465">
        <v>201701</v>
      </c>
      <c r="I293" s="467">
        <v>37348.589999999997</v>
      </c>
      <c r="J293" s="297">
        <f>+J292</f>
        <v>42736</v>
      </c>
      <c r="K293" s="67">
        <f t="shared" si="20"/>
        <v>4</v>
      </c>
      <c r="L293" s="468">
        <v>1.4833299999999999E-3</v>
      </c>
      <c r="M293" s="104">
        <f t="shared" si="21"/>
        <v>221.60113601879996</v>
      </c>
      <c r="O293" s="66">
        <f t="shared" si="22"/>
        <v>11302.928287000001</v>
      </c>
    </row>
    <row r="294" spans="1:15">
      <c r="A294" s="464" t="s">
        <v>14</v>
      </c>
      <c r="B294" s="465" t="str">
        <f>VLOOKUP(C294,'[10]Project Detail Query'!$A$1:$R$2830,5,FALSE)</f>
        <v>20401050301</v>
      </c>
      <c r="C294" s="466" t="s">
        <v>196</v>
      </c>
      <c r="D294" s="464" t="s">
        <v>1674</v>
      </c>
      <c r="E294" s="465" t="str">
        <f>VLOOKUP(C294,'[10]Project Detail Query'!$A$1:$R$2830,6,FALSE)</f>
        <v>F0608</v>
      </c>
      <c r="F294" s="464" t="str">
        <f>VLOOKUP(C294,'[10]Project Detail Query'!$A$1:$R$2830,7,FALSE)</f>
        <v>BWO Service Line Repl - ISRS (N)</v>
      </c>
      <c r="G294" s="465" t="s">
        <v>20</v>
      </c>
      <c r="H294" s="465">
        <v>201701</v>
      </c>
      <c r="I294" s="467">
        <v>827510.98</v>
      </c>
      <c r="J294" s="297">
        <f t="shared" ref="J294:J356" si="23">+J293</f>
        <v>42736</v>
      </c>
      <c r="K294" s="67">
        <f t="shared" ref="K294:K356" si="24">((YEAR($K$1)-YEAR(J294))*12+MONTH($K$1)-MONTH(J294))</f>
        <v>4</v>
      </c>
      <c r="L294" s="468">
        <v>2.23333E-3</v>
      </c>
      <c r="M294" s="104">
        <f t="shared" si="21"/>
        <v>7392.4203878536</v>
      </c>
      <c r="O294" s="66">
        <f t="shared" si="22"/>
        <v>250432.40624733336</v>
      </c>
    </row>
    <row r="295" spans="1:15">
      <c r="A295" s="464" t="s">
        <v>14</v>
      </c>
      <c r="B295" s="465" t="str">
        <f>VLOOKUP(C295,'[10]Project Detail Query'!$A$1:$R$2830,5,FALSE)</f>
        <v>20901050301</v>
      </c>
      <c r="C295" s="466" t="s">
        <v>201</v>
      </c>
      <c r="D295" s="464" t="s">
        <v>1675</v>
      </c>
      <c r="E295" s="465" t="str">
        <f>VLOOKUP(C295,'[10]Project Detail Query'!$A$1:$R$2830,6,FALSE)</f>
        <v>F0513</v>
      </c>
      <c r="F295" s="464" t="str">
        <f>VLOOKUP(C295,'[10]Project Detail Query'!$A$1:$R$2830,7,FALSE)</f>
        <v>BWO Service Line Repl - ISRS (S)</v>
      </c>
      <c r="G295" s="465" t="s">
        <v>20</v>
      </c>
      <c r="H295" s="465">
        <v>201701</v>
      </c>
      <c r="I295" s="467">
        <v>127189.07</v>
      </c>
      <c r="J295" s="297">
        <f t="shared" si="23"/>
        <v>42736</v>
      </c>
      <c r="K295" s="67">
        <f t="shared" si="24"/>
        <v>4</v>
      </c>
      <c r="L295" s="468">
        <v>2.23333E-3</v>
      </c>
      <c r="M295" s="104">
        <f t="shared" si="21"/>
        <v>1136.2206628124</v>
      </c>
      <c r="O295" s="66">
        <f t="shared" si="22"/>
        <v>38491.652217666677</v>
      </c>
    </row>
    <row r="296" spans="1:15">
      <c r="A296" s="464" t="s">
        <v>14</v>
      </c>
      <c r="B296" s="465" t="str">
        <f>VLOOKUP(C296,'[10]Project Detail Query'!$A$1:$R$2830,5,FALSE)</f>
        <v>20401050377</v>
      </c>
      <c r="C296" s="466" t="s">
        <v>482</v>
      </c>
      <c r="D296" s="464" t="s">
        <v>483</v>
      </c>
      <c r="E296" s="465" t="str">
        <f>VLOOKUP(C296,'[10]Project Detail Query'!$A$1:$R$2830,6,FALSE)</f>
        <v>F0586</v>
      </c>
      <c r="F296" s="464" t="str">
        <f>VLOOKUP(C296,'[10]Project Detail Query'!$A$1:$R$2830,7,FALSE)</f>
        <v>SLRP - materials - contract</v>
      </c>
      <c r="G296" s="465" t="s">
        <v>20</v>
      </c>
      <c r="H296" s="465">
        <v>201701</v>
      </c>
      <c r="I296" s="467">
        <v>5</v>
      </c>
      <c r="J296" s="297">
        <f t="shared" si="23"/>
        <v>42736</v>
      </c>
      <c r="K296" s="67">
        <f t="shared" si="24"/>
        <v>4</v>
      </c>
      <c r="L296" s="468">
        <v>2.23333E-3</v>
      </c>
      <c r="M296" s="104">
        <f t="shared" si="21"/>
        <v>4.4666600000000001E-2</v>
      </c>
      <c r="O296" s="66">
        <f t="shared" si="22"/>
        <v>1.513166666666667</v>
      </c>
    </row>
    <row r="297" spans="1:15">
      <c r="A297" s="464" t="s">
        <v>14</v>
      </c>
      <c r="B297" s="465" t="str">
        <f>VLOOKUP(C297,'[10]Project Detail Query'!$A$1:$R$2830,5,FALSE)</f>
        <v>20901050377</v>
      </c>
      <c r="C297" s="466" t="s">
        <v>237</v>
      </c>
      <c r="D297" s="464" t="s">
        <v>188</v>
      </c>
      <c r="E297" s="465" t="str">
        <f>VLOOKUP(C297,'[10]Project Detail Query'!$A$1:$R$2830,6,FALSE)</f>
        <v>F0607</v>
      </c>
      <c r="F297" s="464" t="str">
        <f>VLOOKUP(C297,'[10]Project Detail Query'!$A$1:$R$2830,7,FALSE)</f>
        <v>SLRP - materials - contract</v>
      </c>
      <c r="G297" s="465" t="s">
        <v>20</v>
      </c>
      <c r="H297" s="465">
        <v>201701</v>
      </c>
      <c r="I297" s="467">
        <v>11281.39</v>
      </c>
      <c r="J297" s="297">
        <f t="shared" si="23"/>
        <v>42736</v>
      </c>
      <c r="K297" s="67">
        <f t="shared" si="24"/>
        <v>4</v>
      </c>
      <c r="L297" s="468">
        <v>2.23333E-3</v>
      </c>
      <c r="M297" s="104">
        <f t="shared" si="21"/>
        <v>100.78026691479999</v>
      </c>
      <c r="O297" s="66">
        <f t="shared" si="22"/>
        <v>3414.1246603333334</v>
      </c>
    </row>
    <row r="298" spans="1:15">
      <c r="A298" s="464" t="s">
        <v>14</v>
      </c>
      <c r="B298" s="465" t="str">
        <f>VLOOKUP(C298,'[10]Project Detail Query'!$A$1:$R$2830,5,FALSE)</f>
        <v>20801050301</v>
      </c>
      <c r="C298" s="466" t="s">
        <v>293</v>
      </c>
      <c r="D298" s="464" t="s">
        <v>1679</v>
      </c>
      <c r="E298" s="465" t="str">
        <f>VLOOKUP(C298,'[10]Project Detail Query'!$A$1:$R$2830,6,FALSE)</f>
        <v>F0659</v>
      </c>
      <c r="F298" s="464" t="str">
        <f>VLOOKUP(C298,'[10]Project Detail Query'!$A$1:$R$2830,7,FALSE)</f>
        <v>BWO Service Line Repl - ISRS (SW)</v>
      </c>
      <c r="G298" s="465" t="s">
        <v>20</v>
      </c>
      <c r="H298" s="465">
        <v>201701</v>
      </c>
      <c r="I298" s="467">
        <v>14505.39</v>
      </c>
      <c r="J298" s="297">
        <f t="shared" si="23"/>
        <v>42736</v>
      </c>
      <c r="K298" s="67">
        <f t="shared" si="24"/>
        <v>4</v>
      </c>
      <c r="L298" s="468">
        <v>2.23333E-3</v>
      </c>
      <c r="M298" s="104">
        <f t="shared" si="21"/>
        <v>129.58129059479998</v>
      </c>
      <c r="O298" s="66">
        <f t="shared" si="22"/>
        <v>4389.8145270000005</v>
      </c>
    </row>
    <row r="299" spans="1:15">
      <c r="A299" s="464" t="s">
        <v>14</v>
      </c>
      <c r="B299" s="465" t="str">
        <f>VLOOKUP(C299,'[10]Project Detail Query'!$A$1:$R$2830,5,FALSE)</f>
        <v>20501050371</v>
      </c>
      <c r="C299" s="466" t="s">
        <v>420</v>
      </c>
      <c r="D299" s="464" t="s">
        <v>50</v>
      </c>
      <c r="E299" s="465" t="str">
        <f>VLOOKUP(C299,'[10]Project Detail Query'!$A$1:$R$2830,6,FALSE)</f>
        <v>F0669</v>
      </c>
      <c r="F299" s="464" t="str">
        <f>VLOOKUP(C299,'[10]Project Detail Query'!$A$1:$R$2830,7,FALSE)</f>
        <v>SLRP - modified block by block - co</v>
      </c>
      <c r="G299" s="465" t="s">
        <v>20</v>
      </c>
      <c r="H299" s="465">
        <v>201701</v>
      </c>
      <c r="I299" s="467">
        <v>15.52</v>
      </c>
      <c r="J299" s="297">
        <f t="shared" si="23"/>
        <v>42736</v>
      </c>
      <c r="K299" s="67">
        <f t="shared" si="24"/>
        <v>4</v>
      </c>
      <c r="L299" s="468">
        <v>2.23333E-3</v>
      </c>
      <c r="M299" s="104">
        <f t="shared" si="21"/>
        <v>0.13864512639999999</v>
      </c>
      <c r="O299" s="66">
        <f t="shared" si="22"/>
        <v>4.6968693333333338</v>
      </c>
    </row>
    <row r="300" spans="1:15">
      <c r="A300" s="464" t="s">
        <v>14</v>
      </c>
      <c r="B300" s="465" t="str">
        <f>VLOOKUP(C300,'[10]Project Detail Query'!$A$1:$R$2830,5,FALSE)</f>
        <v>20901050367</v>
      </c>
      <c r="C300" s="466" t="s">
        <v>326</v>
      </c>
      <c r="D300" s="464" t="s">
        <v>327</v>
      </c>
      <c r="E300" s="465" t="str">
        <f>VLOOKUP(C300,'[10]Project Detail Query'!$A$1:$R$2830,6,FALSE)</f>
        <v>F0649</v>
      </c>
      <c r="F300" s="464" t="str">
        <f>VLOOKUP(C300,'[10]Project Detail Query'!$A$1:$R$2830,7,FALSE)</f>
        <v>SLRP - materials - company crews</v>
      </c>
      <c r="G300" s="465" t="s">
        <v>20</v>
      </c>
      <c r="H300" s="465">
        <v>201701</v>
      </c>
      <c r="I300" s="467">
        <v>5.33</v>
      </c>
      <c r="J300" s="297">
        <f t="shared" si="23"/>
        <v>42736</v>
      </c>
      <c r="K300" s="67">
        <f t="shared" si="24"/>
        <v>4</v>
      </c>
      <c r="L300" s="468">
        <v>2.23333E-3</v>
      </c>
      <c r="M300" s="104">
        <f t="shared" si="21"/>
        <v>4.7614595599999997E-2</v>
      </c>
      <c r="O300" s="66">
        <f t="shared" si="22"/>
        <v>1.613035666666667</v>
      </c>
    </row>
    <row r="301" spans="1:15">
      <c r="A301" s="464" t="s">
        <v>127</v>
      </c>
      <c r="B301" s="465" t="str">
        <f>VLOOKUP(C301,'[10]Project Detail Query'!$A$1:$R$2830,5,FALSE)</f>
        <v>20401143628</v>
      </c>
      <c r="C301" s="466" t="s">
        <v>2613</v>
      </c>
      <c r="D301" s="464" t="s">
        <v>2614</v>
      </c>
      <c r="E301" s="465" t="str">
        <f>VLOOKUP(C301,'[10]Project Detail Query'!$A$1:$R$2830,6,FALSE)</f>
        <v>F0501</v>
      </c>
      <c r="F301" s="464" t="str">
        <f>VLOOKUP(C301,'[10]Project Detail Query'!$A$1:$R$2830,7,FALSE)</f>
        <v>Station rebuild &amp; replacement</v>
      </c>
      <c r="G301" s="465" t="s">
        <v>20</v>
      </c>
      <c r="H301" s="465">
        <v>201701</v>
      </c>
      <c r="I301" s="467">
        <v>1281.1300000000001</v>
      </c>
      <c r="J301" s="297">
        <f t="shared" si="23"/>
        <v>42736</v>
      </c>
      <c r="K301" s="67">
        <f t="shared" si="24"/>
        <v>4</v>
      </c>
      <c r="L301" s="468">
        <v>2.3833299999999999E-3</v>
      </c>
      <c r="M301" s="104">
        <f t="shared" si="21"/>
        <v>12.213422251600001</v>
      </c>
      <c r="O301" s="66">
        <f t="shared" si="22"/>
        <v>387.71264233333346</v>
      </c>
    </row>
    <row r="302" spans="1:15">
      <c r="A302" s="464" t="s">
        <v>626</v>
      </c>
      <c r="B302" s="465" t="s">
        <v>1681</v>
      </c>
      <c r="C302" s="466" t="s">
        <v>1703</v>
      </c>
      <c r="D302" s="464" t="s">
        <v>1704</v>
      </c>
      <c r="E302" s="465" t="str">
        <f>VLOOKUP(C302,'[10]Project Detail Query'!$A$1:$R$2830,6,FALSE)</f>
        <v>F0599</v>
      </c>
      <c r="F302" s="464" t="str">
        <f>VLOOKUP(C302,'[10]Project Detail Query'!$A$1:$R$2830,7,FALSE)</f>
        <v>Main Replacement - ISRS (N)</v>
      </c>
      <c r="G302" s="465" t="s">
        <v>20</v>
      </c>
      <c r="H302" s="465">
        <v>201701</v>
      </c>
      <c r="I302" s="467">
        <v>4000.13</v>
      </c>
      <c r="J302" s="297">
        <f t="shared" si="23"/>
        <v>42736</v>
      </c>
      <c r="K302" s="67">
        <f t="shared" si="24"/>
        <v>4</v>
      </c>
      <c r="L302" s="472">
        <v>1.4833299999999999E-3</v>
      </c>
      <c r="M302" s="104">
        <f t="shared" si="21"/>
        <v>23.7340513316</v>
      </c>
      <c r="O302" s="66">
        <f t="shared" si="22"/>
        <v>1210.5726756666668</v>
      </c>
    </row>
    <row r="303" spans="1:15">
      <c r="A303" s="464" t="s">
        <v>626</v>
      </c>
      <c r="B303" s="465" t="s">
        <v>1681</v>
      </c>
      <c r="C303" s="466" t="s">
        <v>1705</v>
      </c>
      <c r="D303" s="464" t="s">
        <v>1706</v>
      </c>
      <c r="E303" s="465" t="str">
        <f>VLOOKUP(C303,'[10]Project Detail Query'!$A$1:$R$2830,6,FALSE)</f>
        <v>F0604</v>
      </c>
      <c r="F303" s="464" t="str">
        <f>VLOOKUP(C303,'[10]Project Detail Query'!$A$1:$R$2830,7,FALSE)</f>
        <v>Main Replacement - ISRS (S)</v>
      </c>
      <c r="G303" s="465" t="s">
        <v>20</v>
      </c>
      <c r="H303" s="465">
        <v>201701</v>
      </c>
      <c r="I303" s="467">
        <v>45382.57</v>
      </c>
      <c r="J303" s="297">
        <f t="shared" si="23"/>
        <v>42736</v>
      </c>
      <c r="K303" s="67">
        <f t="shared" si="24"/>
        <v>4</v>
      </c>
      <c r="L303" s="472">
        <v>1.4833299999999999E-3</v>
      </c>
      <c r="M303" s="104">
        <f t="shared" si="21"/>
        <v>269.26931023239996</v>
      </c>
      <c r="O303" s="66">
        <f t="shared" si="22"/>
        <v>13734.278434333335</v>
      </c>
    </row>
    <row r="304" spans="1:15">
      <c r="A304" s="464" t="s">
        <v>626</v>
      </c>
      <c r="B304" s="465" t="s">
        <v>1681</v>
      </c>
      <c r="C304" s="466" t="s">
        <v>1707</v>
      </c>
      <c r="D304" s="464" t="s">
        <v>1708</v>
      </c>
      <c r="E304" s="465" t="str">
        <f>VLOOKUP(C304,'[10]Project Detail Query'!$A$1:$R$2830,6,FALSE)</f>
        <v>F0604</v>
      </c>
      <c r="F304" s="464" t="str">
        <f>VLOOKUP(C304,'[10]Project Detail Query'!$A$1:$R$2830,7,FALSE)</f>
        <v>Main Replacement - ISRS (S)</v>
      </c>
      <c r="G304" s="465" t="s">
        <v>20</v>
      </c>
      <c r="H304" s="465">
        <v>201701</v>
      </c>
      <c r="I304" s="467">
        <v>2618.46</v>
      </c>
      <c r="J304" s="297">
        <f t="shared" si="23"/>
        <v>42736</v>
      </c>
      <c r="K304" s="67">
        <f t="shared" si="24"/>
        <v>4</v>
      </c>
      <c r="L304" s="472">
        <v>1.4833299999999999E-3</v>
      </c>
      <c r="M304" s="104">
        <f t="shared" si="21"/>
        <v>15.5361610872</v>
      </c>
      <c r="O304" s="66">
        <f t="shared" si="22"/>
        <v>792.4332780000002</v>
      </c>
    </row>
    <row r="305" spans="1:15">
      <c r="A305" s="464" t="s">
        <v>626</v>
      </c>
      <c r="B305" s="465" t="str">
        <f>VLOOKUP(C305,'[10]Project Detail Query'!$A$1:$R$2830,5,FALSE)</f>
        <v>20502144017</v>
      </c>
      <c r="C305" s="466" t="s">
        <v>2031</v>
      </c>
      <c r="D305" s="464" t="s">
        <v>2032</v>
      </c>
      <c r="E305" s="465" t="str">
        <f>VLOOKUP(C305,'[10]Project Detail Query'!$A$1:$R$2830,6,FALSE)</f>
        <v>F0544</v>
      </c>
      <c r="F305" s="464" t="str">
        <f>VLOOKUP(C305,'[10]Project Detail Query'!$A$1:$R$2830,7,FALSE)</f>
        <v>Replace bare steel main - safety re</v>
      </c>
      <c r="G305" s="465" t="s">
        <v>20</v>
      </c>
      <c r="H305" s="465">
        <v>201701</v>
      </c>
      <c r="I305" s="467">
        <v>7093.62</v>
      </c>
      <c r="J305" s="297">
        <f t="shared" si="23"/>
        <v>42736</v>
      </c>
      <c r="K305" s="67">
        <f t="shared" si="24"/>
        <v>4</v>
      </c>
      <c r="L305" s="472">
        <v>1.4833299999999999E-3</v>
      </c>
      <c r="M305" s="104">
        <f t="shared" si="21"/>
        <v>42.088717418399995</v>
      </c>
      <c r="O305" s="66">
        <f t="shared" si="22"/>
        <v>2146.7658660000002</v>
      </c>
    </row>
    <row r="306" spans="1:15">
      <c r="A306" s="464" t="s">
        <v>626</v>
      </c>
      <c r="B306" s="465" t="str">
        <f>VLOOKUP(C306,'[10]Project Detail Query'!$A$1:$R$2830,5,FALSE)</f>
        <v>20501155072</v>
      </c>
      <c r="C306" s="466" t="s">
        <v>1621</v>
      </c>
      <c r="D306" s="464" t="s">
        <v>1622</v>
      </c>
      <c r="E306" s="465" t="str">
        <f>VLOOKUP(C306,'[10]Project Detail Query'!$A$1:$R$2830,6,FALSE)</f>
        <v>F0544</v>
      </c>
      <c r="F306" s="464" t="str">
        <f>VLOOKUP(C306,'[10]Project Detail Query'!$A$1:$R$2830,7,FALSE)</f>
        <v>Replace bare steel main - safety re</v>
      </c>
      <c r="G306" s="465" t="s">
        <v>20</v>
      </c>
      <c r="H306" s="465">
        <v>201701</v>
      </c>
      <c r="I306" s="467">
        <v>18.04</v>
      </c>
      <c r="J306" s="297">
        <f t="shared" si="23"/>
        <v>42736</v>
      </c>
      <c r="K306" s="67">
        <f t="shared" si="24"/>
        <v>4</v>
      </c>
      <c r="L306" s="472">
        <v>1.4833299999999999E-3</v>
      </c>
      <c r="M306" s="104">
        <f t="shared" si="21"/>
        <v>0.1070370928</v>
      </c>
      <c r="O306" s="66">
        <f t="shared" si="22"/>
        <v>5.4595053333333334</v>
      </c>
    </row>
    <row r="307" spans="1:15">
      <c r="A307" s="464" t="s">
        <v>626</v>
      </c>
      <c r="B307" s="465" t="str">
        <f>VLOOKUP(C307,'[10]Project Detail Query'!$A$1:$R$2830,5,FALSE)</f>
        <v>20501155098</v>
      </c>
      <c r="C307" s="466" t="s">
        <v>2037</v>
      </c>
      <c r="D307" s="464" t="s">
        <v>2038</v>
      </c>
      <c r="E307" s="465" t="str">
        <f>VLOOKUP(C307,'[10]Project Detail Query'!$A$1:$R$2830,6,FALSE)</f>
        <v>F0575</v>
      </c>
      <c r="F307" s="464" t="str">
        <f>VLOOKUP(C307,'[10]Project Detail Query'!$A$1:$R$2830,7,FALSE)</f>
        <v>Replace steel &amp; plastic main</v>
      </c>
      <c r="G307" s="465" t="s">
        <v>20</v>
      </c>
      <c r="H307" s="465">
        <v>201701</v>
      </c>
      <c r="I307" s="467">
        <v>295.97000000000003</v>
      </c>
      <c r="J307" s="297">
        <f t="shared" si="23"/>
        <v>42736</v>
      </c>
      <c r="K307" s="67">
        <f t="shared" si="24"/>
        <v>4</v>
      </c>
      <c r="L307" s="472">
        <v>1.4833299999999999E-3</v>
      </c>
      <c r="M307" s="104">
        <f t="shared" si="21"/>
        <v>1.7560847204000001</v>
      </c>
      <c r="O307" s="66">
        <f t="shared" si="22"/>
        <v>89.57038766666669</v>
      </c>
    </row>
    <row r="308" spans="1:15">
      <c r="A308" s="464" t="s">
        <v>626</v>
      </c>
      <c r="B308" s="465" t="str">
        <f>VLOOKUP(C308,'[10]Project Detail Query'!$A$1:$R$2830,5,FALSE)</f>
        <v>20501155262</v>
      </c>
      <c r="C308" s="466" t="s">
        <v>2043</v>
      </c>
      <c r="D308" s="464" t="s">
        <v>2044</v>
      </c>
      <c r="E308" s="465" t="str">
        <f>VLOOKUP(C308,'[10]Project Detail Query'!$A$1:$R$2830,6,FALSE)</f>
        <v>F0544</v>
      </c>
      <c r="F308" s="464" t="str">
        <f>VLOOKUP(C308,'[10]Project Detail Query'!$A$1:$R$2830,7,FALSE)</f>
        <v>Replace bare steel main - safety re</v>
      </c>
      <c r="G308" s="465" t="s">
        <v>20</v>
      </c>
      <c r="H308" s="465">
        <v>201701</v>
      </c>
      <c r="I308" s="467">
        <v>851.63</v>
      </c>
      <c r="J308" s="297">
        <f t="shared" si="23"/>
        <v>42736</v>
      </c>
      <c r="K308" s="67">
        <f t="shared" si="24"/>
        <v>4</v>
      </c>
      <c r="L308" s="472">
        <v>1.4833299999999999E-3</v>
      </c>
      <c r="M308" s="104">
        <f t="shared" si="21"/>
        <v>5.0529933115999999</v>
      </c>
      <c r="O308" s="66">
        <f t="shared" si="22"/>
        <v>257.73162566666667</v>
      </c>
    </row>
    <row r="309" spans="1:15">
      <c r="A309" s="464" t="s">
        <v>21</v>
      </c>
      <c r="B309" s="465" t="str">
        <f>VLOOKUP(C309,'[10]Project Detail Query'!$A$1:$R$2830,5,FALSE)</f>
        <v>20901155079</v>
      </c>
      <c r="C309" s="466" t="s">
        <v>1957</v>
      </c>
      <c r="D309" s="464" t="s">
        <v>2435</v>
      </c>
      <c r="E309" s="465" t="str">
        <f>VLOOKUP(C309,'[10]Project Detail Query'!$A$1:$R$2830,6,FALSE)</f>
        <v>F0604</v>
      </c>
      <c r="F309" s="464" t="str">
        <f>VLOOKUP(C309,'[10]Project Detail Query'!$A$1:$R$2830,7,FALSE)</f>
        <v>Main Replacement - ISRS (S)</v>
      </c>
      <c r="G309" s="465" t="s">
        <v>20</v>
      </c>
      <c r="H309" s="465">
        <v>201701</v>
      </c>
      <c r="I309" s="467">
        <v>8312.1299999999992</v>
      </c>
      <c r="J309" s="297">
        <f t="shared" si="23"/>
        <v>42736</v>
      </c>
      <c r="K309" s="67">
        <f t="shared" si="24"/>
        <v>4</v>
      </c>
      <c r="L309" s="472">
        <v>1.4833299999999999E-3</v>
      </c>
      <c r="M309" s="104">
        <f t="shared" si="21"/>
        <v>49.318527171599996</v>
      </c>
      <c r="O309" s="66">
        <f t="shared" si="22"/>
        <v>2515.5276090000002</v>
      </c>
    </row>
    <row r="310" spans="1:15">
      <c r="A310" s="464" t="s">
        <v>21</v>
      </c>
      <c r="B310" s="465" t="str">
        <f>VLOOKUP(C310,'[10]Project Detail Query'!$A$1:$R$2830,5,FALSE)</f>
        <v>20401155393</v>
      </c>
      <c r="C310" s="466" t="s">
        <v>1821</v>
      </c>
      <c r="D310" s="464" t="s">
        <v>1822</v>
      </c>
      <c r="E310" s="465" t="str">
        <f>VLOOKUP(C310,'[10]Project Detail Query'!$A$1:$R$2830,6,FALSE)</f>
        <v>F0547</v>
      </c>
      <c r="F310" s="464" t="str">
        <f>VLOOKUP(C310,'[10]Project Detail Query'!$A$1:$R$2830,7,FALSE)</f>
        <v>Street &amp; Highway Relocates ISRS (N)</v>
      </c>
      <c r="G310" s="465" t="s">
        <v>20</v>
      </c>
      <c r="H310" s="465">
        <v>201701</v>
      </c>
      <c r="I310" s="467">
        <v>155.56</v>
      </c>
      <c r="J310" s="297">
        <f t="shared" si="23"/>
        <v>42736</v>
      </c>
      <c r="K310" s="67">
        <f t="shared" si="24"/>
        <v>4</v>
      </c>
      <c r="L310" s="472">
        <v>1.4833299999999999E-3</v>
      </c>
      <c r="M310" s="104">
        <f t="shared" si="21"/>
        <v>0.92298725920000002</v>
      </c>
      <c r="O310" s="66">
        <f t="shared" si="22"/>
        <v>47.077641333333339</v>
      </c>
    </row>
    <row r="311" spans="1:15">
      <c r="A311" s="464" t="s">
        <v>626</v>
      </c>
      <c r="B311" s="465" t="str">
        <f>VLOOKUP(C311,'[10]Project Detail Query'!$A$1:$R$2830,5,FALSE)</f>
        <v>20305155105</v>
      </c>
      <c r="C311" s="466" t="s">
        <v>1931</v>
      </c>
      <c r="D311" s="464" t="s">
        <v>1932</v>
      </c>
      <c r="E311" s="465" t="str">
        <f>VLOOKUP(C311,'[10]Project Detail Query'!$A$1:$R$2830,6,FALSE)</f>
        <v>F0604</v>
      </c>
      <c r="F311" s="464" t="str">
        <f>VLOOKUP(C311,'[10]Project Detail Query'!$A$1:$R$2830,7,FALSE)</f>
        <v>Main Replacement - ISRS (S)</v>
      </c>
      <c r="G311" s="465" t="s">
        <v>20</v>
      </c>
      <c r="H311" s="465">
        <v>201701</v>
      </c>
      <c r="I311" s="467">
        <v>863.33</v>
      </c>
      <c r="J311" s="297">
        <f t="shared" si="23"/>
        <v>42736</v>
      </c>
      <c r="K311" s="67">
        <f t="shared" si="24"/>
        <v>4</v>
      </c>
      <c r="L311" s="472">
        <v>1.4833299999999999E-3</v>
      </c>
      <c r="M311" s="104">
        <f t="shared" si="21"/>
        <v>5.1224131556000003</v>
      </c>
      <c r="O311" s="66">
        <f t="shared" si="22"/>
        <v>261.27243566666669</v>
      </c>
    </row>
    <row r="312" spans="1:15">
      <c r="A312" s="464" t="s">
        <v>626</v>
      </c>
      <c r="B312" s="465" t="str">
        <f>VLOOKUP(C312,'[10]Project Detail Query'!$A$1:$R$2830,5,FALSE)</f>
        <v>20902155399</v>
      </c>
      <c r="C312" s="466" t="s">
        <v>2293</v>
      </c>
      <c r="D312" s="464" t="s">
        <v>2295</v>
      </c>
      <c r="E312" s="465" t="str">
        <f>VLOOKUP(C312,'[10]Project Detail Query'!$A$1:$R$2830,6,FALSE)</f>
        <v>F0604</v>
      </c>
      <c r="F312" s="464" t="str">
        <f>VLOOKUP(C312,'[10]Project Detail Query'!$A$1:$R$2830,7,FALSE)</f>
        <v>Main Replacement - ISRS (S)</v>
      </c>
      <c r="G312" s="465" t="s">
        <v>20</v>
      </c>
      <c r="H312" s="465">
        <v>201701</v>
      </c>
      <c r="I312" s="467">
        <v>32.619999999999997</v>
      </c>
      <c r="J312" s="297">
        <f t="shared" si="23"/>
        <v>42736</v>
      </c>
      <c r="K312" s="67">
        <f t="shared" si="24"/>
        <v>4</v>
      </c>
      <c r="L312" s="472">
        <v>1.4833299999999999E-3</v>
      </c>
      <c r="M312" s="104">
        <f t="shared" si="21"/>
        <v>0.19354489839999997</v>
      </c>
      <c r="O312" s="66">
        <f t="shared" si="22"/>
        <v>9.8718993333333334</v>
      </c>
    </row>
    <row r="313" spans="1:15">
      <c r="A313" s="464" t="s">
        <v>21</v>
      </c>
      <c r="B313" s="465" t="str">
        <f>VLOOKUP(C313,'[10]Project Detail Query'!$A$1:$R$2830,5,FALSE)</f>
        <v>20401155420</v>
      </c>
      <c r="C313" s="466" t="s">
        <v>1971</v>
      </c>
      <c r="D313" s="464" t="s">
        <v>1972</v>
      </c>
      <c r="E313" s="465" t="str">
        <f>VLOOKUP(C313,'[10]Project Detail Query'!$A$1:$R$2830,6,FALSE)</f>
        <v>F0664</v>
      </c>
      <c r="F313" s="464" t="str">
        <f>VLOOKUP(C313,'[10]Project Detail Query'!$A$1:$R$2830,7,FALSE)</f>
        <v>Street &amp; Hwy Relocates ISRS (SW)</v>
      </c>
      <c r="G313" s="465" t="s">
        <v>20</v>
      </c>
      <c r="H313" s="465">
        <v>201701</v>
      </c>
      <c r="I313" s="467">
        <v>40.28</v>
      </c>
      <c r="J313" s="297">
        <f t="shared" si="23"/>
        <v>42736</v>
      </c>
      <c r="K313" s="67">
        <f t="shared" si="24"/>
        <v>4</v>
      </c>
      <c r="L313" s="472">
        <v>1.4833299999999999E-3</v>
      </c>
      <c r="M313" s="104">
        <f t="shared" si="21"/>
        <v>0.23899412959999999</v>
      </c>
      <c r="O313" s="66">
        <f t="shared" si="22"/>
        <v>12.190070666666669</v>
      </c>
    </row>
    <row r="314" spans="1:15">
      <c r="A314" s="464" t="s">
        <v>626</v>
      </c>
      <c r="B314" s="465" t="str">
        <f>VLOOKUP(C314,'[10]Project Detail Query'!$A$1:$R$2830,5,FALSE)</f>
        <v>20401155420</v>
      </c>
      <c r="C314" s="466" t="s">
        <v>1971</v>
      </c>
      <c r="D314" s="464" t="s">
        <v>1972</v>
      </c>
      <c r="E314" s="465" t="str">
        <f>VLOOKUP(C314,'[10]Project Detail Query'!$A$1:$R$2830,6,FALSE)</f>
        <v>F0664</v>
      </c>
      <c r="F314" s="464" t="str">
        <f>VLOOKUP(C314,'[10]Project Detail Query'!$A$1:$R$2830,7,FALSE)</f>
        <v>Street &amp; Hwy Relocates ISRS (SW)</v>
      </c>
      <c r="G314" s="465" t="s">
        <v>20</v>
      </c>
      <c r="H314" s="465">
        <v>201701</v>
      </c>
      <c r="I314" s="467">
        <v>1047.3599999999999</v>
      </c>
      <c r="J314" s="297">
        <f t="shared" si="23"/>
        <v>42736</v>
      </c>
      <c r="K314" s="67">
        <f t="shared" si="24"/>
        <v>4</v>
      </c>
      <c r="L314" s="472">
        <v>1.4833299999999999E-3</v>
      </c>
      <c r="M314" s="104">
        <f t="shared" si="21"/>
        <v>6.2143220351999995</v>
      </c>
      <c r="O314" s="66">
        <f t="shared" si="22"/>
        <v>316.966048</v>
      </c>
    </row>
    <row r="315" spans="1:15">
      <c r="A315" s="464" t="s">
        <v>1942</v>
      </c>
      <c r="B315" s="465" t="s">
        <v>1681</v>
      </c>
      <c r="C315" s="466" t="s">
        <v>1682</v>
      </c>
      <c r="D315" s="464" t="s">
        <v>1683</v>
      </c>
      <c r="E315" s="465" t="str">
        <f>VLOOKUP(C315,'[10]Project Detail Query'!$A$1:$R$2830,6,FALSE)</f>
        <v>F0608</v>
      </c>
      <c r="F315" s="464" t="str">
        <f>VLOOKUP(C315,'[10]Project Detail Query'!$A$1:$R$2830,7,FALSE)</f>
        <v>BWO Service Line Repl - ISRS (N)</v>
      </c>
      <c r="G315" s="465" t="s">
        <v>20</v>
      </c>
      <c r="H315" s="465">
        <v>201701</v>
      </c>
      <c r="I315" s="467">
        <v>7.01</v>
      </c>
      <c r="J315" s="297">
        <f t="shared" si="23"/>
        <v>42736</v>
      </c>
      <c r="K315" s="67">
        <f t="shared" si="24"/>
        <v>4</v>
      </c>
      <c r="L315" s="472">
        <v>2.23333E-3</v>
      </c>
      <c r="M315" s="104">
        <f t="shared" si="21"/>
        <v>6.2622573200000003E-2</v>
      </c>
      <c r="O315" s="66">
        <f t="shared" si="22"/>
        <v>2.121459666666667</v>
      </c>
    </row>
    <row r="316" spans="1:15">
      <c r="A316" s="464" t="s">
        <v>1942</v>
      </c>
      <c r="B316" s="465" t="s">
        <v>1681</v>
      </c>
      <c r="C316" s="466" t="s">
        <v>1943</v>
      </c>
      <c r="D316" s="464" t="s">
        <v>1944</v>
      </c>
      <c r="E316" s="465" t="str">
        <f>VLOOKUP(C316,'[10]Project Detail Query'!$A$1:$R$2830,6,FALSE)</f>
        <v>F0513</v>
      </c>
      <c r="F316" s="464" t="str">
        <f>VLOOKUP(C316,'[10]Project Detail Query'!$A$1:$R$2830,7,FALSE)</f>
        <v>BWO Service Line Repl - ISRS (S)</v>
      </c>
      <c r="G316" s="465" t="s">
        <v>20</v>
      </c>
      <c r="H316" s="465">
        <v>201701</v>
      </c>
      <c r="I316" s="467">
        <v>205.88</v>
      </c>
      <c r="J316" s="297">
        <f t="shared" si="23"/>
        <v>42736</v>
      </c>
      <c r="K316" s="67">
        <f t="shared" si="24"/>
        <v>4</v>
      </c>
      <c r="L316" s="472">
        <v>2.23333E-3</v>
      </c>
      <c r="M316" s="104">
        <f t="shared" si="21"/>
        <v>1.8391919215999999</v>
      </c>
      <c r="O316" s="66">
        <f t="shared" si="22"/>
        <v>62.306150666666674</v>
      </c>
    </row>
    <row r="317" spans="1:15">
      <c r="A317" s="464" t="s">
        <v>1942</v>
      </c>
      <c r="B317" s="465" t="s">
        <v>1681</v>
      </c>
      <c r="C317" s="466" t="s">
        <v>1976</v>
      </c>
      <c r="D317" s="464" t="s">
        <v>1977</v>
      </c>
      <c r="E317" s="465" t="str">
        <f>VLOOKUP(C317,'[10]Project Detail Query'!$A$1:$R$2830,6,FALSE)</f>
        <v>F0659</v>
      </c>
      <c r="F317" s="464" t="str">
        <f>VLOOKUP(C317,'[10]Project Detail Query'!$A$1:$R$2830,7,FALSE)</f>
        <v>BWO Service Line Repl - ISRS (SW)</v>
      </c>
      <c r="G317" s="465" t="s">
        <v>20</v>
      </c>
      <c r="H317" s="465">
        <v>201701</v>
      </c>
      <c r="I317" s="467">
        <v>3961.9</v>
      </c>
      <c r="J317" s="297">
        <f t="shared" si="23"/>
        <v>42736</v>
      </c>
      <c r="K317" s="67">
        <f t="shared" si="24"/>
        <v>4</v>
      </c>
      <c r="L317" s="472">
        <v>2.23333E-3</v>
      </c>
      <c r="M317" s="104">
        <f t="shared" si="21"/>
        <v>35.392920508000003</v>
      </c>
      <c r="O317" s="66">
        <f t="shared" si="22"/>
        <v>1199.0030033333335</v>
      </c>
    </row>
    <row r="318" spans="1:15">
      <c r="A318" s="464" t="s">
        <v>626</v>
      </c>
      <c r="B318" s="465" t="str">
        <f>VLOOKUP(C318,'[10]Project Detail Query'!$A$1:$R$2830,5,FALSE)</f>
        <v>20501155526</v>
      </c>
      <c r="C318" s="466" t="s">
        <v>1946</v>
      </c>
      <c r="D318" s="464" t="s">
        <v>1947</v>
      </c>
      <c r="E318" s="465" t="str">
        <f>VLOOKUP(C318,'[10]Project Detail Query'!$A$1:$R$2830,6,FALSE)</f>
        <v>F0664</v>
      </c>
      <c r="F318" s="464" t="str">
        <f>VLOOKUP(C318,'[10]Project Detail Query'!$A$1:$R$2830,7,FALSE)</f>
        <v>Street &amp; Hwy Relocates ISRS (SW)</v>
      </c>
      <c r="G318" s="465" t="s">
        <v>20</v>
      </c>
      <c r="H318" s="465">
        <v>201701</v>
      </c>
      <c r="I318" s="467">
        <v>6763.48</v>
      </c>
      <c r="J318" s="297">
        <f t="shared" si="23"/>
        <v>42736</v>
      </c>
      <c r="K318" s="67">
        <f t="shared" si="24"/>
        <v>4</v>
      </c>
      <c r="L318" s="472">
        <v>1.4833299999999999E-3</v>
      </c>
      <c r="M318" s="104">
        <f t="shared" si="21"/>
        <v>40.129891153599999</v>
      </c>
      <c r="O318" s="66">
        <f t="shared" si="22"/>
        <v>2046.8544973333335</v>
      </c>
    </row>
    <row r="319" spans="1:15">
      <c r="A319" s="464" t="s">
        <v>626</v>
      </c>
      <c r="B319" s="465" t="str">
        <f>VLOOKUP(C319,'[10]Project Detail Query'!$A$1:$R$2830,5,FALSE)</f>
        <v>20902155379</v>
      </c>
      <c r="C319" s="466" t="s">
        <v>2331</v>
      </c>
      <c r="D319" s="464" t="s">
        <v>2053</v>
      </c>
      <c r="E319" s="465" t="str">
        <f>VLOOKUP(C319,'[10]Project Detail Query'!$A$1:$R$2830,6,FALSE)</f>
        <v>F0604</v>
      </c>
      <c r="F319" s="464" t="str">
        <f>VLOOKUP(C319,'[10]Project Detail Query'!$A$1:$R$2830,7,FALSE)</f>
        <v>Main Replacement - ISRS (S)</v>
      </c>
      <c r="G319" s="465" t="s">
        <v>20</v>
      </c>
      <c r="H319" s="465">
        <v>201701</v>
      </c>
      <c r="I319" s="467">
        <v>9700.67</v>
      </c>
      <c r="J319" s="297">
        <f t="shared" si="23"/>
        <v>42736</v>
      </c>
      <c r="K319" s="67">
        <f t="shared" si="24"/>
        <v>4</v>
      </c>
      <c r="L319" s="472">
        <v>1.4833299999999999E-3</v>
      </c>
      <c r="M319" s="104">
        <f t="shared" si="21"/>
        <v>57.557179324399996</v>
      </c>
      <c r="O319" s="66">
        <f t="shared" si="22"/>
        <v>2935.7460976666671</v>
      </c>
    </row>
    <row r="320" spans="1:15">
      <c r="A320" s="464" t="s">
        <v>21</v>
      </c>
      <c r="B320" s="465" t="s">
        <v>1681</v>
      </c>
      <c r="C320" s="466" t="s">
        <v>2257</v>
      </c>
      <c r="D320" s="464" t="s">
        <v>2258</v>
      </c>
      <c r="E320" s="465" t="str">
        <f>VLOOKUP(C320,'[10]Project Detail Query'!$A$1:$R$2830,6,FALSE)</f>
        <v>F0664</v>
      </c>
      <c r="F320" s="464" t="str">
        <f>VLOOKUP(C320,'[10]Project Detail Query'!$A$1:$R$2830,7,FALSE)</f>
        <v>Street &amp; Hwy Relocates ISRS (SW)</v>
      </c>
      <c r="G320" s="465" t="s">
        <v>20</v>
      </c>
      <c r="H320" s="465">
        <v>201701</v>
      </c>
      <c r="I320" s="467">
        <v>20.309999999999999</v>
      </c>
      <c r="J320" s="297">
        <f t="shared" ref="J320:J383" si="25">+J319</f>
        <v>42736</v>
      </c>
      <c r="K320" s="67">
        <f t="shared" ref="K320:K383" si="26">((YEAR($K$1)-YEAR(J320))*12+MONTH($K$1)-MONTH(J320))</f>
        <v>4</v>
      </c>
      <c r="L320" s="472">
        <v>1.4833299999999999E-3</v>
      </c>
      <c r="M320" s="104">
        <f t="shared" si="21"/>
        <v>0.12050572919999998</v>
      </c>
      <c r="O320" s="66">
        <f t="shared" si="22"/>
        <v>6.1464829999999999</v>
      </c>
    </row>
    <row r="321" spans="1:15">
      <c r="A321" s="464" t="s">
        <v>626</v>
      </c>
      <c r="B321" s="465" t="s">
        <v>1681</v>
      </c>
      <c r="C321" s="466" t="s">
        <v>2257</v>
      </c>
      <c r="D321" s="464" t="s">
        <v>2258</v>
      </c>
      <c r="E321" s="465" t="str">
        <f>VLOOKUP(C321,'[10]Project Detail Query'!$A$1:$R$2830,6,FALSE)</f>
        <v>F0664</v>
      </c>
      <c r="F321" s="464" t="str">
        <f>VLOOKUP(C321,'[10]Project Detail Query'!$A$1:$R$2830,7,FALSE)</f>
        <v>Street &amp; Hwy Relocates ISRS (SW)</v>
      </c>
      <c r="G321" s="465" t="s">
        <v>20</v>
      </c>
      <c r="H321" s="465">
        <v>201701</v>
      </c>
      <c r="I321" s="467">
        <v>475.81</v>
      </c>
      <c r="J321" s="297">
        <f t="shared" si="25"/>
        <v>42736</v>
      </c>
      <c r="K321" s="67">
        <f t="shared" si="26"/>
        <v>4</v>
      </c>
      <c r="L321" s="472">
        <v>1.4833299999999999E-3</v>
      </c>
      <c r="M321" s="104">
        <f t="shared" si="21"/>
        <v>2.8231329891999999</v>
      </c>
      <c r="O321" s="66">
        <f t="shared" si="22"/>
        <v>143.99596633333334</v>
      </c>
    </row>
    <row r="322" spans="1:15">
      <c r="A322" s="464" t="s">
        <v>626</v>
      </c>
      <c r="B322" s="465" t="s">
        <v>1681</v>
      </c>
      <c r="C322" s="466" t="s">
        <v>2001</v>
      </c>
      <c r="D322" s="464" t="s">
        <v>2002</v>
      </c>
      <c r="E322" s="465" t="str">
        <f>VLOOKUP(C322,'[10]Project Detail Query'!$A$1:$R$2830,6,FALSE)</f>
        <v>F0599</v>
      </c>
      <c r="F322" s="464" t="str">
        <f>VLOOKUP(C322,'[10]Project Detail Query'!$A$1:$R$2830,7,FALSE)</f>
        <v>Main Replacement - ISRS (N)</v>
      </c>
      <c r="G322" s="465" t="s">
        <v>20</v>
      </c>
      <c r="H322" s="465">
        <v>201701</v>
      </c>
      <c r="I322" s="467">
        <v>-3984.54</v>
      </c>
      <c r="J322" s="297">
        <f t="shared" si="25"/>
        <v>42736</v>
      </c>
      <c r="K322" s="67">
        <f t="shared" si="26"/>
        <v>4</v>
      </c>
      <c r="L322" s="472">
        <v>1.4833299999999999E-3</v>
      </c>
      <c r="M322" s="104">
        <f t="shared" si="21"/>
        <v>-23.6415508728</v>
      </c>
      <c r="O322" s="66">
        <f t="shared" si="22"/>
        <v>-1205.8546220000001</v>
      </c>
    </row>
    <row r="323" spans="1:15">
      <c r="A323" s="464" t="s">
        <v>14</v>
      </c>
      <c r="B323" s="465" t="s">
        <v>1681</v>
      </c>
      <c r="C323" s="466" t="s">
        <v>2001</v>
      </c>
      <c r="D323" s="464" t="s">
        <v>2002</v>
      </c>
      <c r="E323" s="465" t="str">
        <f>VLOOKUP(C323,'[10]Project Detail Query'!$A$1:$R$2830,6,FALSE)</f>
        <v>F0599</v>
      </c>
      <c r="F323" s="464" t="str">
        <f>VLOOKUP(C323,'[10]Project Detail Query'!$A$1:$R$2830,7,FALSE)</f>
        <v>Main Replacement - ISRS (N)</v>
      </c>
      <c r="G323" s="465" t="s">
        <v>20</v>
      </c>
      <c r="H323" s="465">
        <v>201701</v>
      </c>
      <c r="I323" s="467">
        <v>3984.54</v>
      </c>
      <c r="J323" s="297">
        <f t="shared" si="25"/>
        <v>42736</v>
      </c>
      <c r="K323" s="67">
        <f t="shared" si="26"/>
        <v>4</v>
      </c>
      <c r="L323" s="468">
        <v>2.23333E-3</v>
      </c>
      <c r="M323" s="104">
        <f t="shared" si="21"/>
        <v>35.595170872799997</v>
      </c>
      <c r="O323" s="66">
        <f t="shared" si="22"/>
        <v>1205.8546220000001</v>
      </c>
    </row>
    <row r="324" spans="1:15">
      <c r="A324" s="464" t="s">
        <v>626</v>
      </c>
      <c r="B324" s="465" t="s">
        <v>1681</v>
      </c>
      <c r="C324" s="466" t="s">
        <v>2259</v>
      </c>
      <c r="D324" s="464" t="s">
        <v>2260</v>
      </c>
      <c r="E324" s="465" t="str">
        <f>VLOOKUP(C324,'[10]Project Detail Query'!$A$1:$R$2830,6,FALSE)</f>
        <v>F0578</v>
      </c>
      <c r="F324" s="464" t="str">
        <f>VLOOKUP(C324,'[10]Project Detail Query'!$A$1:$R$2830,7,FALSE)</f>
        <v>Street &amp; Highway Relocates ISRS (S)</v>
      </c>
      <c r="G324" s="465" t="s">
        <v>20</v>
      </c>
      <c r="H324" s="465">
        <v>201701</v>
      </c>
      <c r="I324" s="467">
        <v>3.48</v>
      </c>
      <c r="J324" s="297">
        <f t="shared" si="25"/>
        <v>42736</v>
      </c>
      <c r="K324" s="67">
        <f t="shared" si="26"/>
        <v>4</v>
      </c>
      <c r="L324" s="472">
        <v>1.4833299999999999E-3</v>
      </c>
      <c r="M324" s="104">
        <f t="shared" si="21"/>
        <v>2.0647953599999998E-2</v>
      </c>
      <c r="O324" s="66">
        <f t="shared" si="22"/>
        <v>1.0531640000000002</v>
      </c>
    </row>
    <row r="325" spans="1:15">
      <c r="A325" s="464" t="s">
        <v>21</v>
      </c>
      <c r="B325" s="465" t="s">
        <v>1681</v>
      </c>
      <c r="C325" s="466" t="s">
        <v>2003</v>
      </c>
      <c r="D325" s="464" t="s">
        <v>2004</v>
      </c>
      <c r="E325" s="465" t="str">
        <f>VLOOKUP(C325,'[10]Project Detail Query'!$A$1:$R$2830,6,FALSE)</f>
        <v>F0599</v>
      </c>
      <c r="F325" s="464" t="str">
        <f>VLOOKUP(C325,'[10]Project Detail Query'!$A$1:$R$2830,7,FALSE)</f>
        <v>Main Replacement - ISRS (N)</v>
      </c>
      <c r="G325" s="465" t="s">
        <v>20</v>
      </c>
      <c r="H325" s="465">
        <v>201701</v>
      </c>
      <c r="I325" s="467">
        <v>675.32</v>
      </c>
      <c r="J325" s="297">
        <f t="shared" si="25"/>
        <v>42736</v>
      </c>
      <c r="K325" s="67">
        <f t="shared" si="26"/>
        <v>4</v>
      </c>
      <c r="L325" s="472">
        <v>1.4833299999999999E-3</v>
      </c>
      <c r="M325" s="104">
        <f t="shared" si="21"/>
        <v>4.0068896623999999</v>
      </c>
      <c r="O325" s="66">
        <f t="shared" si="22"/>
        <v>204.37434266666671</v>
      </c>
    </row>
    <row r="326" spans="1:15">
      <c r="A326" s="464" t="s">
        <v>626</v>
      </c>
      <c r="B326" s="465" t="s">
        <v>1681</v>
      </c>
      <c r="C326" s="466" t="s">
        <v>2003</v>
      </c>
      <c r="D326" s="464" t="s">
        <v>2004</v>
      </c>
      <c r="E326" s="465" t="str">
        <f>VLOOKUP(C326,'[10]Project Detail Query'!$A$1:$R$2830,6,FALSE)</f>
        <v>F0599</v>
      </c>
      <c r="F326" s="464" t="str">
        <f>VLOOKUP(C326,'[10]Project Detail Query'!$A$1:$R$2830,7,FALSE)</f>
        <v>Main Replacement - ISRS (N)</v>
      </c>
      <c r="G326" s="465" t="s">
        <v>20</v>
      </c>
      <c r="H326" s="465">
        <v>201701</v>
      </c>
      <c r="I326" s="467">
        <v>-15.48</v>
      </c>
      <c r="J326" s="297">
        <f t="shared" si="25"/>
        <v>42736</v>
      </c>
      <c r="K326" s="67">
        <f t="shared" si="26"/>
        <v>4</v>
      </c>
      <c r="L326" s="472">
        <v>1.4833299999999999E-3</v>
      </c>
      <c r="M326" s="104">
        <f t="shared" si="21"/>
        <v>-9.1847793600000005E-2</v>
      </c>
      <c r="O326" s="66">
        <f t="shared" si="22"/>
        <v>-4.6847640000000004</v>
      </c>
    </row>
    <row r="327" spans="1:15">
      <c r="A327" s="464" t="s">
        <v>14</v>
      </c>
      <c r="B327" s="465" t="s">
        <v>1681</v>
      </c>
      <c r="C327" s="466" t="s">
        <v>2003</v>
      </c>
      <c r="D327" s="464" t="s">
        <v>2004</v>
      </c>
      <c r="E327" s="465" t="str">
        <f>VLOOKUP(C327,'[10]Project Detail Query'!$A$1:$R$2830,6,FALSE)</f>
        <v>F0599</v>
      </c>
      <c r="F327" s="464" t="str">
        <f>VLOOKUP(C327,'[10]Project Detail Query'!$A$1:$R$2830,7,FALSE)</f>
        <v>Main Replacement - ISRS (N)</v>
      </c>
      <c r="G327" s="465" t="s">
        <v>20</v>
      </c>
      <c r="H327" s="465">
        <v>201701</v>
      </c>
      <c r="I327" s="467">
        <v>-659.84</v>
      </c>
      <c r="J327" s="297">
        <f t="shared" si="25"/>
        <v>42736</v>
      </c>
      <c r="K327" s="67">
        <f t="shared" si="26"/>
        <v>4</v>
      </c>
      <c r="L327" s="468">
        <v>2.23333E-3</v>
      </c>
      <c r="M327" s="104">
        <f t="shared" si="21"/>
        <v>-5.8945618688000003</v>
      </c>
      <c r="O327" s="66">
        <f t="shared" si="22"/>
        <v>-199.6895786666667</v>
      </c>
    </row>
    <row r="328" spans="1:15">
      <c r="A328" s="464" t="s">
        <v>626</v>
      </c>
      <c r="B328" s="465" t="s">
        <v>1681</v>
      </c>
      <c r="C328" s="466" t="s">
        <v>2311</v>
      </c>
      <c r="D328" s="464" t="s">
        <v>2312</v>
      </c>
      <c r="E328" s="465" t="str">
        <f>VLOOKUP(C328,'[10]Project Detail Query'!$A$1:$R$2830,6,FALSE)</f>
        <v>F0578</v>
      </c>
      <c r="F328" s="464" t="str">
        <f>VLOOKUP(C328,'[10]Project Detail Query'!$A$1:$R$2830,7,FALSE)</f>
        <v>Street &amp; Highway Relocates ISRS (S)</v>
      </c>
      <c r="G328" s="465" t="s">
        <v>20</v>
      </c>
      <c r="H328" s="465">
        <v>201701</v>
      </c>
      <c r="I328" s="467">
        <v>8.06</v>
      </c>
      <c r="J328" s="297">
        <f t="shared" si="25"/>
        <v>42736</v>
      </c>
      <c r="K328" s="67">
        <f t="shared" si="26"/>
        <v>4</v>
      </c>
      <c r="L328" s="472">
        <v>1.4833299999999999E-3</v>
      </c>
      <c r="M328" s="104">
        <f t="shared" si="21"/>
        <v>4.7822559200000003E-2</v>
      </c>
      <c r="O328" s="66">
        <f t="shared" si="22"/>
        <v>2.439224666666667</v>
      </c>
    </row>
    <row r="329" spans="1:15">
      <c r="A329" s="464" t="s">
        <v>14</v>
      </c>
      <c r="B329" s="465" t="s">
        <v>1681</v>
      </c>
      <c r="C329" s="466" t="s">
        <v>2311</v>
      </c>
      <c r="D329" s="464" t="s">
        <v>2312</v>
      </c>
      <c r="E329" s="465" t="str">
        <f>VLOOKUP(C329,'[10]Project Detail Query'!$A$1:$R$2830,6,FALSE)</f>
        <v>F0578</v>
      </c>
      <c r="F329" s="464" t="str">
        <f>VLOOKUP(C329,'[10]Project Detail Query'!$A$1:$R$2830,7,FALSE)</f>
        <v>Street &amp; Highway Relocates ISRS (S)</v>
      </c>
      <c r="G329" s="465" t="s">
        <v>20</v>
      </c>
      <c r="H329" s="465">
        <v>201701</v>
      </c>
      <c r="I329" s="467">
        <v>0.15</v>
      </c>
      <c r="J329" s="297">
        <f t="shared" si="25"/>
        <v>42736</v>
      </c>
      <c r="K329" s="67">
        <f t="shared" si="26"/>
        <v>4</v>
      </c>
      <c r="L329" s="468">
        <v>2.23333E-3</v>
      </c>
      <c r="M329" s="104">
        <f t="shared" si="21"/>
        <v>1.339998E-3</v>
      </c>
      <c r="O329" s="66">
        <f t="shared" si="22"/>
        <v>4.5395000000000005E-2</v>
      </c>
    </row>
    <row r="330" spans="1:15">
      <c r="A330" s="464" t="s">
        <v>626</v>
      </c>
      <c r="B330" s="465" t="s">
        <v>1681</v>
      </c>
      <c r="C330" s="466" t="s">
        <v>2313</v>
      </c>
      <c r="D330" s="464" t="s">
        <v>2314</v>
      </c>
      <c r="E330" s="465" t="str">
        <f>VLOOKUP(C330,'[10]Project Detail Query'!$A$1:$R$2830,6,FALSE)</f>
        <v>F0572</v>
      </c>
      <c r="F330" s="464" t="str">
        <f>VLOOKUP(C330,'[10]Project Detail Query'!$A$1:$R$2830,7,FALSE)</f>
        <v>Main Replacement - ISRS (SW)</v>
      </c>
      <c r="G330" s="465" t="s">
        <v>20</v>
      </c>
      <c r="H330" s="465">
        <v>201701</v>
      </c>
      <c r="I330" s="467">
        <v>74.540000000000006</v>
      </c>
      <c r="J330" s="297">
        <f t="shared" si="25"/>
        <v>42736</v>
      </c>
      <c r="K330" s="67">
        <f t="shared" si="26"/>
        <v>4</v>
      </c>
      <c r="L330" s="472">
        <v>1.4833299999999999E-3</v>
      </c>
      <c r="M330" s="104">
        <f t="shared" si="21"/>
        <v>0.44226967280000001</v>
      </c>
      <c r="O330" s="66">
        <f t="shared" si="22"/>
        <v>22.558288666666673</v>
      </c>
    </row>
    <row r="331" spans="1:15">
      <c r="A331" s="464" t="s">
        <v>21</v>
      </c>
      <c r="B331" s="465" t="s">
        <v>1681</v>
      </c>
      <c r="C331" s="466" t="s">
        <v>2315</v>
      </c>
      <c r="D331" s="464" t="s">
        <v>2316</v>
      </c>
      <c r="E331" s="465" t="str">
        <f>VLOOKUP(C331,'[10]Project Detail Query'!$A$1:$R$2830,6,FALSE)</f>
        <v>F0599</v>
      </c>
      <c r="F331" s="464" t="str">
        <f>VLOOKUP(C331,'[10]Project Detail Query'!$A$1:$R$2830,7,FALSE)</f>
        <v>Main Replacement - ISRS (N)</v>
      </c>
      <c r="G331" s="465" t="s">
        <v>20</v>
      </c>
      <c r="H331" s="465">
        <v>201701</v>
      </c>
      <c r="I331" s="467">
        <v>-0.02</v>
      </c>
      <c r="J331" s="297">
        <f t="shared" si="25"/>
        <v>42736</v>
      </c>
      <c r="K331" s="67">
        <f t="shared" si="26"/>
        <v>4</v>
      </c>
      <c r="L331" s="472">
        <v>1.4833299999999999E-3</v>
      </c>
      <c r="M331" s="104">
        <f t="shared" si="21"/>
        <v>-1.1866639999999999E-4</v>
      </c>
      <c r="O331" s="66">
        <f t="shared" si="22"/>
        <v>-6.052666666666668E-3</v>
      </c>
    </row>
    <row r="332" spans="1:15">
      <c r="A332" s="464" t="s">
        <v>626</v>
      </c>
      <c r="B332" s="465" t="s">
        <v>1681</v>
      </c>
      <c r="C332" s="466" t="s">
        <v>2315</v>
      </c>
      <c r="D332" s="464" t="s">
        <v>2316</v>
      </c>
      <c r="E332" s="465" t="str">
        <f>VLOOKUP(C332,'[10]Project Detail Query'!$A$1:$R$2830,6,FALSE)</f>
        <v>F0599</v>
      </c>
      <c r="F332" s="464" t="str">
        <f>VLOOKUP(C332,'[10]Project Detail Query'!$A$1:$R$2830,7,FALSE)</f>
        <v>Main Replacement - ISRS (N)</v>
      </c>
      <c r="G332" s="465" t="s">
        <v>20</v>
      </c>
      <c r="H332" s="465">
        <v>201701</v>
      </c>
      <c r="I332" s="467">
        <v>-41.35</v>
      </c>
      <c r="J332" s="297">
        <f t="shared" si="25"/>
        <v>42736</v>
      </c>
      <c r="K332" s="67">
        <f t="shared" si="26"/>
        <v>4</v>
      </c>
      <c r="L332" s="472">
        <v>1.4833299999999999E-3</v>
      </c>
      <c r="M332" s="104">
        <f t="shared" si="21"/>
        <v>-0.24534278200000001</v>
      </c>
      <c r="O332" s="66">
        <f t="shared" si="22"/>
        <v>-12.513888333333336</v>
      </c>
    </row>
    <row r="333" spans="1:15">
      <c r="A333" s="464" t="s">
        <v>14</v>
      </c>
      <c r="B333" s="465" t="s">
        <v>1681</v>
      </c>
      <c r="C333" s="466" t="s">
        <v>2315</v>
      </c>
      <c r="D333" s="464" t="s">
        <v>2316</v>
      </c>
      <c r="E333" s="465" t="str">
        <f>VLOOKUP(C333,'[10]Project Detail Query'!$A$1:$R$2830,6,FALSE)</f>
        <v>F0599</v>
      </c>
      <c r="F333" s="464" t="str">
        <f>VLOOKUP(C333,'[10]Project Detail Query'!$A$1:$R$2830,7,FALSE)</f>
        <v>Main Replacement - ISRS (N)</v>
      </c>
      <c r="G333" s="465" t="s">
        <v>20</v>
      </c>
      <c r="H333" s="465">
        <v>201701</v>
      </c>
      <c r="I333" s="467">
        <v>-17.739999999999998</v>
      </c>
      <c r="J333" s="297">
        <f t="shared" si="25"/>
        <v>42736</v>
      </c>
      <c r="K333" s="67">
        <f t="shared" si="26"/>
        <v>4</v>
      </c>
      <c r="L333" s="468">
        <v>2.23333E-3</v>
      </c>
      <c r="M333" s="104">
        <f t="shared" si="21"/>
        <v>-0.15847709679999999</v>
      </c>
      <c r="O333" s="66">
        <f t="shared" si="22"/>
        <v>-5.3687153333333333</v>
      </c>
    </row>
    <row r="334" spans="1:15">
      <c r="A334" s="464" t="s">
        <v>626</v>
      </c>
      <c r="B334" s="465" t="s">
        <v>1681</v>
      </c>
      <c r="C334" s="466" t="s">
        <v>2334</v>
      </c>
      <c r="D334" s="464" t="s">
        <v>2335</v>
      </c>
      <c r="E334" s="465" t="str">
        <f>VLOOKUP(C334,'[10]Project Detail Query'!$A$1:$R$2830,6,FALSE)</f>
        <v>F0599</v>
      </c>
      <c r="F334" s="464" t="str">
        <f>VLOOKUP(C334,'[10]Project Detail Query'!$A$1:$R$2830,7,FALSE)</f>
        <v>Main Replacement - ISRS (N)</v>
      </c>
      <c r="G334" s="465" t="s">
        <v>20</v>
      </c>
      <c r="H334" s="465">
        <v>201701</v>
      </c>
      <c r="I334" s="467">
        <v>-488.97</v>
      </c>
      <c r="J334" s="297">
        <f t="shared" si="25"/>
        <v>42736</v>
      </c>
      <c r="K334" s="67">
        <f t="shared" si="26"/>
        <v>4</v>
      </c>
      <c r="L334" s="472">
        <v>1.4833299999999999E-3</v>
      </c>
      <c r="M334" s="104">
        <f t="shared" si="21"/>
        <v>-2.9012154803999999</v>
      </c>
      <c r="O334" s="66">
        <f t="shared" si="22"/>
        <v>-147.97862100000003</v>
      </c>
    </row>
    <row r="335" spans="1:15">
      <c r="A335" s="464" t="s">
        <v>626</v>
      </c>
      <c r="B335" s="465" t="s">
        <v>1681</v>
      </c>
      <c r="C335" s="466" t="s">
        <v>2336</v>
      </c>
      <c r="D335" s="464" t="s">
        <v>2337</v>
      </c>
      <c r="E335" s="465" t="str">
        <f>VLOOKUP(C335,'[10]Project Detail Query'!$A$1:$R$2830,6,FALSE)</f>
        <v>F0599</v>
      </c>
      <c r="F335" s="464" t="str">
        <f>VLOOKUP(C335,'[10]Project Detail Query'!$A$1:$R$2830,7,FALSE)</f>
        <v>Main Replacement - ISRS (N)</v>
      </c>
      <c r="G335" s="465" t="s">
        <v>20</v>
      </c>
      <c r="H335" s="465">
        <v>201701</v>
      </c>
      <c r="I335" s="467">
        <v>303.64999999999998</v>
      </c>
      <c r="J335" s="297">
        <f t="shared" si="25"/>
        <v>42736</v>
      </c>
      <c r="K335" s="67">
        <f t="shared" si="26"/>
        <v>4</v>
      </c>
      <c r="L335" s="472">
        <v>1.4833299999999999E-3</v>
      </c>
      <c r="M335" s="104">
        <f t="shared" si="21"/>
        <v>1.8016526179999999</v>
      </c>
      <c r="O335" s="66">
        <f t="shared" si="22"/>
        <v>91.894611666666677</v>
      </c>
    </row>
    <row r="336" spans="1:15">
      <c r="A336" s="464" t="s">
        <v>14</v>
      </c>
      <c r="B336" s="465" t="s">
        <v>1681</v>
      </c>
      <c r="C336" s="466" t="s">
        <v>2336</v>
      </c>
      <c r="D336" s="464" t="s">
        <v>2337</v>
      </c>
      <c r="E336" s="465" t="str">
        <f>VLOOKUP(C336,'[10]Project Detail Query'!$A$1:$R$2830,6,FALSE)</f>
        <v>F0599</v>
      </c>
      <c r="F336" s="464" t="str">
        <f>VLOOKUP(C336,'[10]Project Detail Query'!$A$1:$R$2830,7,FALSE)</f>
        <v>Main Replacement - ISRS (N)</v>
      </c>
      <c r="G336" s="465" t="s">
        <v>20</v>
      </c>
      <c r="H336" s="465">
        <v>201701</v>
      </c>
      <c r="I336" s="467">
        <v>1.26</v>
      </c>
      <c r="J336" s="297">
        <f t="shared" si="25"/>
        <v>42736</v>
      </c>
      <c r="K336" s="67">
        <f t="shared" si="26"/>
        <v>4</v>
      </c>
      <c r="L336" s="468">
        <v>2.23333E-3</v>
      </c>
      <c r="M336" s="104">
        <f t="shared" si="21"/>
        <v>1.12559832E-2</v>
      </c>
      <c r="O336" s="66">
        <f t="shared" si="22"/>
        <v>0.38131800000000005</v>
      </c>
    </row>
    <row r="337" spans="1:15">
      <c r="A337" s="464" t="s">
        <v>626</v>
      </c>
      <c r="B337" s="465" t="s">
        <v>1681</v>
      </c>
      <c r="C337" s="466" t="s">
        <v>2338</v>
      </c>
      <c r="D337" s="464" t="s">
        <v>2339</v>
      </c>
      <c r="E337" s="465" t="str">
        <f>VLOOKUP(C337,'[10]Project Detail Query'!$A$1:$R$2830,6,FALSE)</f>
        <v>F0599</v>
      </c>
      <c r="F337" s="464" t="str">
        <f>VLOOKUP(C337,'[10]Project Detail Query'!$A$1:$R$2830,7,FALSE)</f>
        <v>Main Replacement - ISRS (N)</v>
      </c>
      <c r="G337" s="465" t="s">
        <v>20</v>
      </c>
      <c r="H337" s="465">
        <v>201701</v>
      </c>
      <c r="I337" s="467">
        <v>486.4</v>
      </c>
      <c r="J337" s="297">
        <f t="shared" si="25"/>
        <v>42736</v>
      </c>
      <c r="K337" s="67">
        <f t="shared" si="26"/>
        <v>4</v>
      </c>
      <c r="L337" s="472">
        <v>1.4833299999999999E-3</v>
      </c>
      <c r="M337" s="104">
        <f t="shared" si="21"/>
        <v>2.8859668479999998</v>
      </c>
      <c r="O337" s="66">
        <f t="shared" si="22"/>
        <v>147.20085333333336</v>
      </c>
    </row>
    <row r="338" spans="1:15">
      <c r="A338" s="464" t="s">
        <v>14</v>
      </c>
      <c r="B338" s="465" t="s">
        <v>1681</v>
      </c>
      <c r="C338" s="466" t="s">
        <v>2338</v>
      </c>
      <c r="D338" s="464" t="s">
        <v>2339</v>
      </c>
      <c r="E338" s="465" t="str">
        <f>VLOOKUP(C338,'[10]Project Detail Query'!$A$1:$R$2830,6,FALSE)</f>
        <v>F0599</v>
      </c>
      <c r="F338" s="464" t="str">
        <f>VLOOKUP(C338,'[10]Project Detail Query'!$A$1:$R$2830,7,FALSE)</f>
        <v>Main Replacement - ISRS (N)</v>
      </c>
      <c r="G338" s="465" t="s">
        <v>20</v>
      </c>
      <c r="H338" s="465">
        <v>201701</v>
      </c>
      <c r="I338" s="467">
        <v>3.63</v>
      </c>
      <c r="J338" s="297">
        <f t="shared" si="25"/>
        <v>42736</v>
      </c>
      <c r="K338" s="67">
        <f t="shared" si="26"/>
        <v>4</v>
      </c>
      <c r="L338" s="468">
        <v>2.23333E-3</v>
      </c>
      <c r="M338" s="104">
        <f t="shared" si="21"/>
        <v>3.2427951599999998E-2</v>
      </c>
      <c r="O338" s="66">
        <f t="shared" si="22"/>
        <v>1.0985590000000001</v>
      </c>
    </row>
    <row r="339" spans="1:15">
      <c r="A339" s="464" t="s">
        <v>626</v>
      </c>
      <c r="B339" s="465" t="s">
        <v>1681</v>
      </c>
      <c r="C339" s="466" t="s">
        <v>2340</v>
      </c>
      <c r="D339" s="464" t="s">
        <v>2341</v>
      </c>
      <c r="E339" s="465" t="str">
        <f>VLOOKUP(C339,'[10]Project Detail Query'!$A$1:$R$2830,6,FALSE)</f>
        <v>F0572</v>
      </c>
      <c r="F339" s="464" t="str">
        <f>VLOOKUP(C339,'[10]Project Detail Query'!$A$1:$R$2830,7,FALSE)</f>
        <v>Main Replacement - ISRS (SW)</v>
      </c>
      <c r="G339" s="465" t="s">
        <v>20</v>
      </c>
      <c r="H339" s="465">
        <v>201701</v>
      </c>
      <c r="I339" s="467">
        <v>2565.36</v>
      </c>
      <c r="J339" s="297">
        <f t="shared" si="25"/>
        <v>42736</v>
      </c>
      <c r="K339" s="67">
        <f t="shared" si="26"/>
        <v>4</v>
      </c>
      <c r="L339" s="472">
        <v>1.4833299999999999E-3</v>
      </c>
      <c r="M339" s="104">
        <f t="shared" si="21"/>
        <v>15.221101795200001</v>
      </c>
      <c r="O339" s="66">
        <f t="shared" si="22"/>
        <v>776.36344800000018</v>
      </c>
    </row>
    <row r="340" spans="1:15">
      <c r="A340" s="464" t="s">
        <v>14</v>
      </c>
      <c r="B340" s="465" t="s">
        <v>1681</v>
      </c>
      <c r="C340" s="466" t="s">
        <v>2340</v>
      </c>
      <c r="D340" s="464" t="s">
        <v>2341</v>
      </c>
      <c r="E340" s="465" t="str">
        <f>VLOOKUP(C340,'[10]Project Detail Query'!$A$1:$R$2830,6,FALSE)</f>
        <v>F0572</v>
      </c>
      <c r="F340" s="464" t="str">
        <f>VLOOKUP(C340,'[10]Project Detail Query'!$A$1:$R$2830,7,FALSE)</f>
        <v>Main Replacement - ISRS (SW)</v>
      </c>
      <c r="G340" s="465" t="s">
        <v>20</v>
      </c>
      <c r="H340" s="465">
        <v>201701</v>
      </c>
      <c r="I340" s="467">
        <v>38.31</v>
      </c>
      <c r="J340" s="297">
        <f t="shared" si="25"/>
        <v>42736</v>
      </c>
      <c r="K340" s="67">
        <f t="shared" si="26"/>
        <v>4</v>
      </c>
      <c r="L340" s="468">
        <v>2.23333E-3</v>
      </c>
      <c r="M340" s="104">
        <f t="shared" si="21"/>
        <v>0.34223548920000002</v>
      </c>
      <c r="O340" s="66">
        <f t="shared" si="22"/>
        <v>11.593883000000003</v>
      </c>
    </row>
    <row r="341" spans="1:15">
      <c r="A341" s="464" t="s">
        <v>626</v>
      </c>
      <c r="B341" s="465" t="s">
        <v>1681</v>
      </c>
      <c r="C341" s="466" t="s">
        <v>2342</v>
      </c>
      <c r="D341" s="464" t="s">
        <v>2343</v>
      </c>
      <c r="E341" s="465" t="str">
        <f>VLOOKUP(C341,'[10]Project Detail Query'!$A$1:$R$2830,6,FALSE)</f>
        <v>F0604</v>
      </c>
      <c r="F341" s="464" t="str">
        <f>VLOOKUP(C341,'[10]Project Detail Query'!$A$1:$R$2830,7,FALSE)</f>
        <v>Main Replacement - ISRS (S)</v>
      </c>
      <c r="G341" s="465" t="s">
        <v>20</v>
      </c>
      <c r="H341" s="465">
        <v>201701</v>
      </c>
      <c r="I341" s="467">
        <v>12879.68</v>
      </c>
      <c r="J341" s="297">
        <f t="shared" si="25"/>
        <v>42736</v>
      </c>
      <c r="K341" s="67">
        <f t="shared" si="26"/>
        <v>4</v>
      </c>
      <c r="L341" s="472">
        <v>1.4833299999999999E-3</v>
      </c>
      <c r="M341" s="104">
        <f t="shared" si="21"/>
        <v>76.419262937599996</v>
      </c>
      <c r="O341" s="66">
        <f t="shared" si="22"/>
        <v>3897.8204906666674</v>
      </c>
    </row>
    <row r="342" spans="1:15">
      <c r="A342" s="464" t="s">
        <v>14</v>
      </c>
      <c r="B342" s="465" t="s">
        <v>1681</v>
      </c>
      <c r="C342" s="466" t="s">
        <v>2342</v>
      </c>
      <c r="D342" s="464" t="s">
        <v>2343</v>
      </c>
      <c r="E342" s="465" t="str">
        <f>VLOOKUP(C342,'[10]Project Detail Query'!$A$1:$R$2830,6,FALSE)</f>
        <v>F0604</v>
      </c>
      <c r="F342" s="464" t="str">
        <f>VLOOKUP(C342,'[10]Project Detail Query'!$A$1:$R$2830,7,FALSE)</f>
        <v>Main Replacement - ISRS (S)</v>
      </c>
      <c r="G342" s="465" t="s">
        <v>20</v>
      </c>
      <c r="H342" s="465">
        <v>201701</v>
      </c>
      <c r="I342" s="467">
        <v>0.51</v>
      </c>
      <c r="J342" s="297">
        <f t="shared" si="25"/>
        <v>42736</v>
      </c>
      <c r="K342" s="67">
        <f t="shared" si="26"/>
        <v>4</v>
      </c>
      <c r="L342" s="468">
        <v>2.23333E-3</v>
      </c>
      <c r="M342" s="104">
        <f t="shared" si="21"/>
        <v>4.5559931999999996E-3</v>
      </c>
      <c r="O342" s="66">
        <f t="shared" si="22"/>
        <v>0.15434300000000004</v>
      </c>
    </row>
    <row r="343" spans="1:15">
      <c r="A343" s="464" t="s">
        <v>626</v>
      </c>
      <c r="B343" s="465" t="s">
        <v>1681</v>
      </c>
      <c r="C343" s="466" t="s">
        <v>2344</v>
      </c>
      <c r="D343" s="464" t="s">
        <v>2345</v>
      </c>
      <c r="E343" s="465" t="str">
        <f>VLOOKUP(C343,'[10]Project Detail Query'!$A$1:$R$2830,6,FALSE)</f>
        <v>F0604</v>
      </c>
      <c r="F343" s="464" t="str">
        <f>VLOOKUP(C343,'[10]Project Detail Query'!$A$1:$R$2830,7,FALSE)</f>
        <v>Main Replacement - ISRS (S)</v>
      </c>
      <c r="G343" s="465" t="s">
        <v>20</v>
      </c>
      <c r="H343" s="465">
        <v>201701</v>
      </c>
      <c r="I343" s="467">
        <v>85.91</v>
      </c>
      <c r="J343" s="297">
        <f t="shared" si="25"/>
        <v>42736</v>
      </c>
      <c r="K343" s="67">
        <f t="shared" si="26"/>
        <v>4</v>
      </c>
      <c r="L343" s="472">
        <v>1.4833299999999999E-3</v>
      </c>
      <c r="M343" s="104">
        <f t="shared" si="21"/>
        <v>0.50973152119999998</v>
      </c>
      <c r="O343" s="66">
        <f t="shared" si="22"/>
        <v>25.999229666666672</v>
      </c>
    </row>
    <row r="344" spans="1:15">
      <c r="A344" s="464" t="s">
        <v>14</v>
      </c>
      <c r="B344" s="465" t="s">
        <v>1681</v>
      </c>
      <c r="C344" s="466" t="s">
        <v>2344</v>
      </c>
      <c r="D344" s="464" t="s">
        <v>2345</v>
      </c>
      <c r="E344" s="465" t="str">
        <f>VLOOKUP(C344,'[10]Project Detail Query'!$A$1:$R$2830,6,FALSE)</f>
        <v>F0604</v>
      </c>
      <c r="F344" s="464" t="str">
        <f>VLOOKUP(C344,'[10]Project Detail Query'!$A$1:$R$2830,7,FALSE)</f>
        <v>Main Replacement - ISRS (S)</v>
      </c>
      <c r="G344" s="465" t="s">
        <v>20</v>
      </c>
      <c r="H344" s="465">
        <v>201701</v>
      </c>
      <c r="I344" s="467">
        <v>0.01</v>
      </c>
      <c r="J344" s="297">
        <f t="shared" si="25"/>
        <v>42736</v>
      </c>
      <c r="K344" s="67">
        <f t="shared" si="26"/>
        <v>4</v>
      </c>
      <c r="L344" s="468">
        <v>2.23333E-3</v>
      </c>
      <c r="M344" s="104">
        <f t="shared" si="21"/>
        <v>8.9333199999999994E-5</v>
      </c>
      <c r="O344" s="66">
        <f t="shared" si="22"/>
        <v>3.026333333333334E-3</v>
      </c>
    </row>
    <row r="345" spans="1:15">
      <c r="A345" s="464" t="s">
        <v>626</v>
      </c>
      <c r="B345" s="465" t="s">
        <v>1681</v>
      </c>
      <c r="C345" s="466" t="s">
        <v>2346</v>
      </c>
      <c r="D345" s="464" t="s">
        <v>2347</v>
      </c>
      <c r="E345" s="465" t="str">
        <f>VLOOKUP(C345,'[10]Project Detail Query'!$A$1:$R$2830,6,FALSE)</f>
        <v>F0604</v>
      </c>
      <c r="F345" s="464" t="str">
        <f>VLOOKUP(C345,'[10]Project Detail Query'!$A$1:$R$2830,7,FALSE)</f>
        <v>Main Replacement - ISRS (S)</v>
      </c>
      <c r="G345" s="465" t="s">
        <v>20</v>
      </c>
      <c r="H345" s="465">
        <v>201701</v>
      </c>
      <c r="I345" s="467">
        <v>-13345.28</v>
      </c>
      <c r="J345" s="297">
        <f t="shared" si="25"/>
        <v>42736</v>
      </c>
      <c r="K345" s="67">
        <f t="shared" si="26"/>
        <v>4</v>
      </c>
      <c r="L345" s="472">
        <v>1.4833299999999999E-3</v>
      </c>
      <c r="M345" s="104">
        <f t="shared" si="21"/>
        <v>-79.181816729600001</v>
      </c>
      <c r="O345" s="66">
        <f t="shared" si="22"/>
        <v>-4038.7265706666676</v>
      </c>
    </row>
    <row r="346" spans="1:15">
      <c r="A346" s="464" t="s">
        <v>626</v>
      </c>
      <c r="B346" s="465" t="s">
        <v>1681</v>
      </c>
      <c r="C346" s="466" t="s">
        <v>2348</v>
      </c>
      <c r="D346" s="464" t="s">
        <v>2349</v>
      </c>
      <c r="E346" s="465" t="str">
        <f>VLOOKUP(C346,'[10]Project Detail Query'!$A$1:$R$2830,6,FALSE)</f>
        <v>F0604</v>
      </c>
      <c r="F346" s="464" t="str">
        <f>VLOOKUP(C346,'[10]Project Detail Query'!$A$1:$R$2830,7,FALSE)</f>
        <v>Main Replacement - ISRS (S)</v>
      </c>
      <c r="G346" s="465" t="s">
        <v>20</v>
      </c>
      <c r="H346" s="465">
        <v>201701</v>
      </c>
      <c r="I346" s="467">
        <v>131.35</v>
      </c>
      <c r="J346" s="297">
        <f t="shared" si="25"/>
        <v>42736</v>
      </c>
      <c r="K346" s="67">
        <f t="shared" si="26"/>
        <v>4</v>
      </c>
      <c r="L346" s="472">
        <v>1.4833299999999999E-3</v>
      </c>
      <c r="M346" s="104">
        <f t="shared" si="21"/>
        <v>0.77934158199999992</v>
      </c>
      <c r="O346" s="66">
        <f t="shared" si="22"/>
        <v>39.750888333333336</v>
      </c>
    </row>
    <row r="347" spans="1:15">
      <c r="A347" s="464" t="s">
        <v>14</v>
      </c>
      <c r="B347" s="465" t="s">
        <v>1681</v>
      </c>
      <c r="C347" s="466" t="s">
        <v>2348</v>
      </c>
      <c r="D347" s="464" t="s">
        <v>2349</v>
      </c>
      <c r="E347" s="465" t="str">
        <f>VLOOKUP(C347,'[10]Project Detail Query'!$A$1:$R$2830,6,FALSE)</f>
        <v>F0604</v>
      </c>
      <c r="F347" s="464" t="str">
        <f>VLOOKUP(C347,'[10]Project Detail Query'!$A$1:$R$2830,7,FALSE)</f>
        <v>Main Replacement - ISRS (S)</v>
      </c>
      <c r="G347" s="465" t="s">
        <v>20</v>
      </c>
      <c r="H347" s="465">
        <v>201701</v>
      </c>
      <c r="I347" s="467">
        <v>0.05</v>
      </c>
      <c r="J347" s="297">
        <f t="shared" si="25"/>
        <v>42736</v>
      </c>
      <c r="K347" s="67">
        <f t="shared" si="26"/>
        <v>4</v>
      </c>
      <c r="L347" s="468">
        <v>2.23333E-3</v>
      </c>
      <c r="M347" s="104">
        <f t="shared" si="21"/>
        <v>4.4666600000000002E-4</v>
      </c>
      <c r="O347" s="66">
        <f t="shared" si="22"/>
        <v>1.513166666666667E-2</v>
      </c>
    </row>
    <row r="348" spans="1:15">
      <c r="A348" s="464" t="s">
        <v>626</v>
      </c>
      <c r="B348" s="465" t="s">
        <v>1681</v>
      </c>
      <c r="C348" s="466" t="s">
        <v>2350</v>
      </c>
      <c r="D348" s="464" t="s">
        <v>2351</v>
      </c>
      <c r="E348" s="465" t="str">
        <f>VLOOKUP(C348,'[10]Project Detail Query'!$A$1:$R$2830,6,FALSE)</f>
        <v>F0604</v>
      </c>
      <c r="F348" s="464" t="str">
        <f>VLOOKUP(C348,'[10]Project Detail Query'!$A$1:$R$2830,7,FALSE)</f>
        <v>Main Replacement - ISRS (S)</v>
      </c>
      <c r="G348" s="465" t="s">
        <v>20</v>
      </c>
      <c r="H348" s="465">
        <v>201701</v>
      </c>
      <c r="I348" s="467">
        <v>2471.62</v>
      </c>
      <c r="J348" s="297">
        <f t="shared" si="25"/>
        <v>42736</v>
      </c>
      <c r="K348" s="67">
        <f t="shared" si="26"/>
        <v>4</v>
      </c>
      <c r="L348" s="472">
        <v>1.4833299999999999E-3</v>
      </c>
      <c r="M348" s="104">
        <f t="shared" si="21"/>
        <v>14.664912378399999</v>
      </c>
      <c r="O348" s="66">
        <f t="shared" si="22"/>
        <v>747.99459933333344</v>
      </c>
    </row>
    <row r="349" spans="1:15">
      <c r="A349" s="464" t="s">
        <v>626</v>
      </c>
      <c r="B349" s="465" t="s">
        <v>1681</v>
      </c>
      <c r="C349" s="466" t="s">
        <v>2352</v>
      </c>
      <c r="D349" s="464" t="s">
        <v>2353</v>
      </c>
      <c r="E349" s="465" t="str">
        <f>VLOOKUP(C349,'[10]Project Detail Query'!$A$1:$R$2830,6,FALSE)</f>
        <v>F0604</v>
      </c>
      <c r="F349" s="464" t="str">
        <f>VLOOKUP(C349,'[10]Project Detail Query'!$A$1:$R$2830,7,FALSE)</f>
        <v>Main Replacement - ISRS (S)</v>
      </c>
      <c r="G349" s="465" t="s">
        <v>20</v>
      </c>
      <c r="H349" s="465">
        <v>201701</v>
      </c>
      <c r="I349" s="467">
        <v>9679.6299999999992</v>
      </c>
      <c r="J349" s="297">
        <f t="shared" si="25"/>
        <v>42736</v>
      </c>
      <c r="K349" s="67">
        <f t="shared" si="26"/>
        <v>4</v>
      </c>
      <c r="L349" s="472">
        <v>1.4833299999999999E-3</v>
      </c>
      <c r="M349" s="104">
        <f t="shared" si="21"/>
        <v>57.432342271599993</v>
      </c>
      <c r="O349" s="66">
        <f t="shared" si="22"/>
        <v>2929.3786923333332</v>
      </c>
    </row>
    <row r="350" spans="1:15">
      <c r="A350" s="464" t="s">
        <v>14</v>
      </c>
      <c r="B350" s="465" t="s">
        <v>1681</v>
      </c>
      <c r="C350" s="466" t="s">
        <v>2352</v>
      </c>
      <c r="D350" s="464" t="s">
        <v>2353</v>
      </c>
      <c r="E350" s="465" t="str">
        <f>VLOOKUP(C350,'[10]Project Detail Query'!$A$1:$R$2830,6,FALSE)</f>
        <v>F0604</v>
      </c>
      <c r="F350" s="464" t="str">
        <f>VLOOKUP(C350,'[10]Project Detail Query'!$A$1:$R$2830,7,FALSE)</f>
        <v>Main Replacement - ISRS (S)</v>
      </c>
      <c r="G350" s="465" t="s">
        <v>20</v>
      </c>
      <c r="H350" s="465">
        <v>201701</v>
      </c>
      <c r="I350" s="467">
        <v>15.76</v>
      </c>
      <c r="J350" s="297">
        <f t="shared" si="25"/>
        <v>42736</v>
      </c>
      <c r="K350" s="67">
        <f t="shared" si="26"/>
        <v>4</v>
      </c>
      <c r="L350" s="468">
        <v>2.23333E-3</v>
      </c>
      <c r="M350" s="104">
        <f t="shared" si="21"/>
        <v>0.1407891232</v>
      </c>
      <c r="O350" s="66">
        <f t="shared" si="22"/>
        <v>4.7695013333333343</v>
      </c>
    </row>
    <row r="351" spans="1:15">
      <c r="A351" s="464" t="s">
        <v>626</v>
      </c>
      <c r="B351" s="465" t="s">
        <v>1681</v>
      </c>
      <c r="C351" s="466" t="s">
        <v>2354</v>
      </c>
      <c r="D351" s="464" t="s">
        <v>2355</v>
      </c>
      <c r="E351" s="465" t="str">
        <f>VLOOKUP(C351,'[10]Project Detail Query'!$A$1:$R$2830,6,FALSE)</f>
        <v>F0599</v>
      </c>
      <c r="F351" s="464" t="str">
        <f>VLOOKUP(C351,'[10]Project Detail Query'!$A$1:$R$2830,7,FALSE)</f>
        <v>Main Replacement - ISRS (N)</v>
      </c>
      <c r="G351" s="465" t="s">
        <v>20</v>
      </c>
      <c r="H351" s="465">
        <v>201701</v>
      </c>
      <c r="I351" s="467">
        <v>190.04</v>
      </c>
      <c r="J351" s="297">
        <f t="shared" si="25"/>
        <v>42736</v>
      </c>
      <c r="K351" s="67">
        <f t="shared" si="26"/>
        <v>4</v>
      </c>
      <c r="L351" s="472">
        <v>1.4833299999999999E-3</v>
      </c>
      <c r="M351" s="104">
        <f t="shared" si="21"/>
        <v>1.1275681328</v>
      </c>
      <c r="O351" s="66">
        <f t="shared" si="22"/>
        <v>57.512438666666675</v>
      </c>
    </row>
    <row r="352" spans="1:15">
      <c r="A352" s="464" t="s">
        <v>626</v>
      </c>
      <c r="B352" s="465" t="s">
        <v>1681</v>
      </c>
      <c r="C352" s="466" t="s">
        <v>2358</v>
      </c>
      <c r="D352" s="464" t="s">
        <v>2359</v>
      </c>
      <c r="E352" s="465" t="str">
        <f>VLOOKUP(C352,'[10]Project Detail Query'!$A$1:$R$2830,6,FALSE)</f>
        <v>F0604</v>
      </c>
      <c r="F352" s="464" t="str">
        <f>VLOOKUP(C352,'[10]Project Detail Query'!$A$1:$R$2830,7,FALSE)</f>
        <v>Main Replacement - ISRS (S)</v>
      </c>
      <c r="G352" s="465" t="s">
        <v>20</v>
      </c>
      <c r="H352" s="465">
        <v>201701</v>
      </c>
      <c r="I352" s="467">
        <v>1243.8599999999999</v>
      </c>
      <c r="J352" s="297">
        <f t="shared" si="25"/>
        <v>42736</v>
      </c>
      <c r="K352" s="67">
        <f t="shared" si="26"/>
        <v>4</v>
      </c>
      <c r="L352" s="472">
        <v>1.4833299999999999E-3</v>
      </c>
      <c r="M352" s="104">
        <f t="shared" si="21"/>
        <v>7.3802194151999991</v>
      </c>
      <c r="O352" s="66">
        <f t="shared" si="22"/>
        <v>376.43349800000004</v>
      </c>
    </row>
    <row r="353" spans="1:15">
      <c r="A353" s="464" t="s">
        <v>14</v>
      </c>
      <c r="B353" s="465" t="s">
        <v>1681</v>
      </c>
      <c r="C353" s="466" t="s">
        <v>2358</v>
      </c>
      <c r="D353" s="464" t="s">
        <v>2359</v>
      </c>
      <c r="E353" s="465" t="str">
        <f>VLOOKUP(C353,'[10]Project Detail Query'!$A$1:$R$2830,6,FALSE)</f>
        <v>F0604</v>
      </c>
      <c r="F353" s="464" t="str">
        <f>VLOOKUP(C353,'[10]Project Detail Query'!$A$1:$R$2830,7,FALSE)</f>
        <v>Main Replacement - ISRS (S)</v>
      </c>
      <c r="G353" s="465" t="s">
        <v>20</v>
      </c>
      <c r="H353" s="465">
        <v>201701</v>
      </c>
      <c r="I353" s="467">
        <v>14.01</v>
      </c>
      <c r="J353" s="297">
        <f t="shared" si="25"/>
        <v>42736</v>
      </c>
      <c r="K353" s="67">
        <f t="shared" si="26"/>
        <v>4</v>
      </c>
      <c r="L353" s="468">
        <v>2.23333E-3</v>
      </c>
      <c r="M353" s="104">
        <f t="shared" si="21"/>
        <v>0.12515581319999999</v>
      </c>
      <c r="O353" s="66">
        <f t="shared" si="22"/>
        <v>4.2398930000000004</v>
      </c>
    </row>
    <row r="354" spans="1:15">
      <c r="A354" s="464" t="s">
        <v>626</v>
      </c>
      <c r="B354" s="465" t="s">
        <v>1681</v>
      </c>
      <c r="C354" s="466" t="s">
        <v>2360</v>
      </c>
      <c r="D354" s="464" t="s">
        <v>2361</v>
      </c>
      <c r="E354" s="465" t="str">
        <f>VLOOKUP(C354,'[10]Project Detail Query'!$A$1:$R$2830,6,FALSE)</f>
        <v>F0604</v>
      </c>
      <c r="F354" s="464" t="str">
        <f>VLOOKUP(C354,'[10]Project Detail Query'!$A$1:$R$2830,7,FALSE)</f>
        <v>Main Replacement - ISRS (S)</v>
      </c>
      <c r="G354" s="465" t="s">
        <v>20</v>
      </c>
      <c r="H354" s="465">
        <v>201701</v>
      </c>
      <c r="I354" s="467">
        <v>738.94</v>
      </c>
      <c r="J354" s="297">
        <f t="shared" si="25"/>
        <v>42736</v>
      </c>
      <c r="K354" s="67">
        <f t="shared" si="26"/>
        <v>4</v>
      </c>
      <c r="L354" s="472">
        <v>1.4833299999999999E-3</v>
      </c>
      <c r="M354" s="104">
        <f t="shared" si="21"/>
        <v>4.3843674807999999</v>
      </c>
      <c r="O354" s="66">
        <f t="shared" si="22"/>
        <v>223.62787533333338</v>
      </c>
    </row>
    <row r="355" spans="1:15">
      <c r="A355" s="464" t="s">
        <v>14</v>
      </c>
      <c r="B355" s="465" t="s">
        <v>1681</v>
      </c>
      <c r="C355" s="466" t="s">
        <v>2360</v>
      </c>
      <c r="D355" s="464" t="s">
        <v>2361</v>
      </c>
      <c r="E355" s="465" t="str">
        <f>VLOOKUP(C355,'[10]Project Detail Query'!$A$1:$R$2830,6,FALSE)</f>
        <v>F0604</v>
      </c>
      <c r="F355" s="464" t="str">
        <f>VLOOKUP(C355,'[10]Project Detail Query'!$A$1:$R$2830,7,FALSE)</f>
        <v>Main Replacement - ISRS (S)</v>
      </c>
      <c r="G355" s="465" t="s">
        <v>20</v>
      </c>
      <c r="H355" s="465">
        <v>201701</v>
      </c>
      <c r="I355" s="467">
        <v>9.6300000000000008</v>
      </c>
      <c r="J355" s="297">
        <f t="shared" si="25"/>
        <v>42736</v>
      </c>
      <c r="K355" s="67">
        <f t="shared" si="26"/>
        <v>4</v>
      </c>
      <c r="L355" s="468">
        <v>2.23333E-3</v>
      </c>
      <c r="M355" s="104">
        <f t="shared" ref="M355:M418" si="27">L355*K355*I355</f>
        <v>8.60278716E-2</v>
      </c>
      <c r="O355" s="66">
        <f t="shared" ref="O355:O418" si="28">($O$4*I355*$R$11)</f>
        <v>2.9143590000000006</v>
      </c>
    </row>
    <row r="356" spans="1:15">
      <c r="A356" s="464" t="s">
        <v>626</v>
      </c>
      <c r="B356" s="465" t="s">
        <v>1681</v>
      </c>
      <c r="C356" s="466" t="s">
        <v>2362</v>
      </c>
      <c r="D356" s="464" t="s">
        <v>2363</v>
      </c>
      <c r="E356" s="465" t="str">
        <f>VLOOKUP(C356,'[10]Project Detail Query'!$A$1:$R$2830,6,FALSE)</f>
        <v>F0604</v>
      </c>
      <c r="F356" s="464" t="str">
        <f>VLOOKUP(C356,'[10]Project Detail Query'!$A$1:$R$2830,7,FALSE)</f>
        <v>Main Replacement - ISRS (S)</v>
      </c>
      <c r="G356" s="465" t="s">
        <v>20</v>
      </c>
      <c r="H356" s="465">
        <v>201701</v>
      </c>
      <c r="I356" s="467">
        <v>5617.49</v>
      </c>
      <c r="J356" s="297">
        <f t="shared" si="25"/>
        <v>42736</v>
      </c>
      <c r="K356" s="67">
        <f t="shared" si="26"/>
        <v>4</v>
      </c>
      <c r="L356" s="472">
        <v>1.4833299999999999E-3</v>
      </c>
      <c r="M356" s="104">
        <f t="shared" si="27"/>
        <v>33.3303657668</v>
      </c>
      <c r="O356" s="66">
        <f t="shared" si="28"/>
        <v>1700.039723666667</v>
      </c>
    </row>
    <row r="357" spans="1:15">
      <c r="A357" s="464" t="s">
        <v>14</v>
      </c>
      <c r="B357" s="465" t="s">
        <v>1681</v>
      </c>
      <c r="C357" s="466" t="s">
        <v>2362</v>
      </c>
      <c r="D357" s="464" t="s">
        <v>2363</v>
      </c>
      <c r="E357" s="465" t="str">
        <f>VLOOKUP(C357,'[10]Project Detail Query'!$A$1:$R$2830,6,FALSE)</f>
        <v>F0604</v>
      </c>
      <c r="F357" s="464" t="str">
        <f>VLOOKUP(C357,'[10]Project Detail Query'!$A$1:$R$2830,7,FALSE)</f>
        <v>Main Replacement - ISRS (S)</v>
      </c>
      <c r="G357" s="465" t="s">
        <v>20</v>
      </c>
      <c r="H357" s="465">
        <v>201701</v>
      </c>
      <c r="I357" s="467">
        <v>96.25</v>
      </c>
      <c r="J357" s="297">
        <f t="shared" si="25"/>
        <v>42736</v>
      </c>
      <c r="K357" s="67">
        <f t="shared" si="26"/>
        <v>4</v>
      </c>
      <c r="L357" s="468">
        <v>2.23333E-3</v>
      </c>
      <c r="M357" s="104">
        <f t="shared" si="27"/>
        <v>0.85983204999999996</v>
      </c>
      <c r="O357" s="66">
        <f t="shared" si="28"/>
        <v>29.128458333333338</v>
      </c>
    </row>
    <row r="358" spans="1:15">
      <c r="A358" s="464" t="s">
        <v>626</v>
      </c>
      <c r="B358" s="465" t="s">
        <v>1681</v>
      </c>
      <c r="C358" s="466" t="s">
        <v>2364</v>
      </c>
      <c r="D358" s="464" t="s">
        <v>2365</v>
      </c>
      <c r="E358" s="465" t="str">
        <f>VLOOKUP(C358,'[10]Project Detail Query'!$A$1:$R$2830,6,FALSE)</f>
        <v>F0604</v>
      </c>
      <c r="F358" s="464" t="str">
        <f>VLOOKUP(C358,'[10]Project Detail Query'!$A$1:$R$2830,7,FALSE)</f>
        <v>Main Replacement - ISRS (S)</v>
      </c>
      <c r="G358" s="465" t="s">
        <v>20</v>
      </c>
      <c r="H358" s="465">
        <v>201701</v>
      </c>
      <c r="I358" s="467">
        <v>5988</v>
      </c>
      <c r="J358" s="297">
        <f t="shared" si="25"/>
        <v>42736</v>
      </c>
      <c r="K358" s="67">
        <f t="shared" si="26"/>
        <v>4</v>
      </c>
      <c r="L358" s="472">
        <v>1.4833299999999999E-3</v>
      </c>
      <c r="M358" s="104">
        <f t="shared" si="27"/>
        <v>35.528720159999999</v>
      </c>
      <c r="O358" s="66">
        <f t="shared" si="28"/>
        <v>1812.1684000000005</v>
      </c>
    </row>
    <row r="359" spans="1:15">
      <c r="A359" s="464" t="s">
        <v>14</v>
      </c>
      <c r="B359" s="465" t="s">
        <v>1681</v>
      </c>
      <c r="C359" s="466" t="s">
        <v>2364</v>
      </c>
      <c r="D359" s="464" t="s">
        <v>2365</v>
      </c>
      <c r="E359" s="465" t="str">
        <f>VLOOKUP(C359,'[10]Project Detail Query'!$A$1:$R$2830,6,FALSE)</f>
        <v>F0604</v>
      </c>
      <c r="F359" s="464" t="str">
        <f>VLOOKUP(C359,'[10]Project Detail Query'!$A$1:$R$2830,7,FALSE)</f>
        <v>Main Replacement - ISRS (S)</v>
      </c>
      <c r="G359" s="465" t="s">
        <v>20</v>
      </c>
      <c r="H359" s="465">
        <v>201701</v>
      </c>
      <c r="I359" s="467">
        <v>61.52</v>
      </c>
      <c r="J359" s="297">
        <f t="shared" si="25"/>
        <v>42736</v>
      </c>
      <c r="K359" s="67">
        <f t="shared" si="26"/>
        <v>4</v>
      </c>
      <c r="L359" s="468">
        <v>2.23333E-3</v>
      </c>
      <c r="M359" s="104">
        <f t="shared" si="27"/>
        <v>0.54957784640000007</v>
      </c>
      <c r="O359" s="66">
        <f t="shared" si="28"/>
        <v>18.618002666666669</v>
      </c>
    </row>
    <row r="360" spans="1:15">
      <c r="A360" s="464" t="s">
        <v>21</v>
      </c>
      <c r="B360" s="465" t="s">
        <v>1681</v>
      </c>
      <c r="C360" s="466" t="s">
        <v>2366</v>
      </c>
      <c r="D360" s="464" t="s">
        <v>2367</v>
      </c>
      <c r="E360" s="465" t="str">
        <f>VLOOKUP(C360,'[10]Project Detail Query'!$A$1:$R$2830,6,FALSE)</f>
        <v>F0604</v>
      </c>
      <c r="F360" s="464" t="str">
        <f>VLOOKUP(C360,'[10]Project Detail Query'!$A$1:$R$2830,7,FALSE)</f>
        <v>Main Replacement - ISRS (S)</v>
      </c>
      <c r="G360" s="465" t="s">
        <v>20</v>
      </c>
      <c r="H360" s="465">
        <v>201701</v>
      </c>
      <c r="I360" s="467">
        <v>0.18</v>
      </c>
      <c r="J360" s="297">
        <f t="shared" si="25"/>
        <v>42736</v>
      </c>
      <c r="K360" s="67">
        <f t="shared" si="26"/>
        <v>4</v>
      </c>
      <c r="L360" s="472">
        <v>1.4833299999999999E-3</v>
      </c>
      <c r="M360" s="104">
        <f t="shared" si="27"/>
        <v>1.0679976E-3</v>
      </c>
      <c r="O360" s="66">
        <f t="shared" si="28"/>
        <v>5.4474000000000009E-2</v>
      </c>
    </row>
    <row r="361" spans="1:15">
      <c r="A361" s="464" t="s">
        <v>626</v>
      </c>
      <c r="B361" s="465" t="s">
        <v>1681</v>
      </c>
      <c r="C361" s="466" t="s">
        <v>2366</v>
      </c>
      <c r="D361" s="464" t="s">
        <v>2367</v>
      </c>
      <c r="E361" s="465" t="str">
        <f>VLOOKUP(C361,'[10]Project Detail Query'!$A$1:$R$2830,6,FALSE)</f>
        <v>F0604</v>
      </c>
      <c r="F361" s="464" t="str">
        <f>VLOOKUP(C361,'[10]Project Detail Query'!$A$1:$R$2830,7,FALSE)</f>
        <v>Main Replacement - ISRS (S)</v>
      </c>
      <c r="G361" s="465" t="s">
        <v>20</v>
      </c>
      <c r="H361" s="465">
        <v>201701</v>
      </c>
      <c r="I361" s="467">
        <v>1153.8900000000001</v>
      </c>
      <c r="J361" s="297">
        <f t="shared" si="25"/>
        <v>42736</v>
      </c>
      <c r="K361" s="67">
        <f t="shared" si="26"/>
        <v>4</v>
      </c>
      <c r="L361" s="472">
        <v>1.4833299999999999E-3</v>
      </c>
      <c r="M361" s="104">
        <f t="shared" si="27"/>
        <v>6.8463986148</v>
      </c>
      <c r="O361" s="66">
        <f t="shared" si="28"/>
        <v>349.20557700000006</v>
      </c>
    </row>
    <row r="362" spans="1:15">
      <c r="A362" s="464" t="s">
        <v>14</v>
      </c>
      <c r="B362" s="465" t="s">
        <v>1681</v>
      </c>
      <c r="C362" s="466" t="s">
        <v>2366</v>
      </c>
      <c r="D362" s="464" t="s">
        <v>2367</v>
      </c>
      <c r="E362" s="465" t="str">
        <f>VLOOKUP(C362,'[10]Project Detail Query'!$A$1:$R$2830,6,FALSE)</f>
        <v>F0604</v>
      </c>
      <c r="F362" s="464" t="str">
        <f>VLOOKUP(C362,'[10]Project Detail Query'!$A$1:$R$2830,7,FALSE)</f>
        <v>Main Replacement - ISRS (S)</v>
      </c>
      <c r="G362" s="465" t="s">
        <v>20</v>
      </c>
      <c r="H362" s="465">
        <v>201701</v>
      </c>
      <c r="I362" s="467">
        <v>1.5</v>
      </c>
      <c r="J362" s="297">
        <f t="shared" si="25"/>
        <v>42736</v>
      </c>
      <c r="K362" s="67">
        <f t="shared" si="26"/>
        <v>4</v>
      </c>
      <c r="L362" s="468">
        <v>2.23333E-3</v>
      </c>
      <c r="M362" s="104">
        <f t="shared" si="27"/>
        <v>1.3399979999999999E-2</v>
      </c>
      <c r="O362" s="66">
        <f t="shared" si="28"/>
        <v>0.45395000000000002</v>
      </c>
    </row>
    <row r="363" spans="1:15">
      <c r="A363" s="464" t="s">
        <v>21</v>
      </c>
      <c r="B363" s="465" t="s">
        <v>1681</v>
      </c>
      <c r="C363" s="466" t="s">
        <v>2368</v>
      </c>
      <c r="D363" s="464" t="s">
        <v>2369</v>
      </c>
      <c r="E363" s="465" t="str">
        <f>VLOOKUP(C363,'[10]Project Detail Query'!$A$1:$R$2830,6,FALSE)</f>
        <v>F0604</v>
      </c>
      <c r="F363" s="464" t="str">
        <f>VLOOKUP(C363,'[10]Project Detail Query'!$A$1:$R$2830,7,FALSE)</f>
        <v>Main Replacement - ISRS (S)</v>
      </c>
      <c r="G363" s="465" t="s">
        <v>20</v>
      </c>
      <c r="H363" s="465">
        <v>201701</v>
      </c>
      <c r="I363" s="467">
        <v>0.13</v>
      </c>
      <c r="J363" s="297">
        <f t="shared" si="25"/>
        <v>42736</v>
      </c>
      <c r="K363" s="67">
        <f t="shared" si="26"/>
        <v>4</v>
      </c>
      <c r="L363" s="472">
        <v>1.4833299999999999E-3</v>
      </c>
      <c r="M363" s="104">
        <f t="shared" si="27"/>
        <v>7.7133159999999998E-4</v>
      </c>
      <c r="O363" s="66">
        <f t="shared" si="28"/>
        <v>3.934233333333334E-2</v>
      </c>
    </row>
    <row r="364" spans="1:15">
      <c r="A364" s="464" t="s">
        <v>626</v>
      </c>
      <c r="B364" s="465" t="s">
        <v>1681</v>
      </c>
      <c r="C364" s="466" t="s">
        <v>2368</v>
      </c>
      <c r="D364" s="464" t="s">
        <v>2369</v>
      </c>
      <c r="E364" s="465" t="str">
        <f>VLOOKUP(C364,'[10]Project Detail Query'!$A$1:$R$2830,6,FALSE)</f>
        <v>F0604</v>
      </c>
      <c r="F364" s="464" t="str">
        <f>VLOOKUP(C364,'[10]Project Detail Query'!$A$1:$R$2830,7,FALSE)</f>
        <v>Main Replacement - ISRS (S)</v>
      </c>
      <c r="G364" s="465" t="s">
        <v>20</v>
      </c>
      <c r="H364" s="465">
        <v>201701</v>
      </c>
      <c r="I364" s="467">
        <v>1429.74</v>
      </c>
      <c r="J364" s="297">
        <f t="shared" si="25"/>
        <v>42736</v>
      </c>
      <c r="K364" s="67">
        <f t="shared" si="26"/>
        <v>4</v>
      </c>
      <c r="L364" s="472">
        <v>1.4833299999999999E-3</v>
      </c>
      <c r="M364" s="104">
        <f t="shared" si="27"/>
        <v>8.4831049368000002</v>
      </c>
      <c r="O364" s="66">
        <f t="shared" si="28"/>
        <v>432.68698200000006</v>
      </c>
    </row>
    <row r="365" spans="1:15">
      <c r="A365" s="464" t="s">
        <v>14</v>
      </c>
      <c r="B365" s="465" t="s">
        <v>1681</v>
      </c>
      <c r="C365" s="466" t="s">
        <v>2368</v>
      </c>
      <c r="D365" s="464" t="s">
        <v>2369</v>
      </c>
      <c r="E365" s="465" t="str">
        <f>VLOOKUP(C365,'[10]Project Detail Query'!$A$1:$R$2830,6,FALSE)</f>
        <v>F0604</v>
      </c>
      <c r="F365" s="464" t="str">
        <f>VLOOKUP(C365,'[10]Project Detail Query'!$A$1:$R$2830,7,FALSE)</f>
        <v>Main Replacement - ISRS (S)</v>
      </c>
      <c r="G365" s="465" t="s">
        <v>20</v>
      </c>
      <c r="H365" s="465">
        <v>201701</v>
      </c>
      <c r="I365" s="467">
        <v>2.36</v>
      </c>
      <c r="J365" s="297">
        <f t="shared" si="25"/>
        <v>42736</v>
      </c>
      <c r="K365" s="67">
        <f t="shared" si="26"/>
        <v>4</v>
      </c>
      <c r="L365" s="468">
        <v>2.23333E-3</v>
      </c>
      <c r="M365" s="104">
        <f t="shared" si="27"/>
        <v>2.1082635199999998E-2</v>
      </c>
      <c r="O365" s="66">
        <f t="shared" si="28"/>
        <v>0.71421466666666678</v>
      </c>
    </row>
    <row r="366" spans="1:15">
      <c r="A366" s="464" t="s">
        <v>626</v>
      </c>
      <c r="B366" s="465" t="s">
        <v>1681</v>
      </c>
      <c r="C366" s="466" t="s">
        <v>2370</v>
      </c>
      <c r="D366" s="464" t="s">
        <v>2371</v>
      </c>
      <c r="E366" s="465" t="str">
        <f>VLOOKUP(C366,'[10]Project Detail Query'!$A$1:$R$2830,6,FALSE)</f>
        <v>F0604</v>
      </c>
      <c r="F366" s="464" t="str">
        <f>VLOOKUP(C366,'[10]Project Detail Query'!$A$1:$R$2830,7,FALSE)</f>
        <v>Main Replacement - ISRS (S)</v>
      </c>
      <c r="G366" s="465" t="s">
        <v>20</v>
      </c>
      <c r="H366" s="465">
        <v>201701</v>
      </c>
      <c r="I366" s="467">
        <v>1176.47</v>
      </c>
      <c r="J366" s="297">
        <f t="shared" si="25"/>
        <v>42736</v>
      </c>
      <c r="K366" s="67">
        <f t="shared" si="26"/>
        <v>4</v>
      </c>
      <c r="L366" s="472">
        <v>1.4833299999999999E-3</v>
      </c>
      <c r="M366" s="104">
        <f t="shared" si="27"/>
        <v>6.9803729803999994</v>
      </c>
      <c r="O366" s="66">
        <f t="shared" si="28"/>
        <v>356.03903766666673</v>
      </c>
    </row>
    <row r="367" spans="1:15">
      <c r="A367" s="464" t="s">
        <v>14</v>
      </c>
      <c r="B367" s="465" t="s">
        <v>1681</v>
      </c>
      <c r="C367" s="466" t="s">
        <v>2370</v>
      </c>
      <c r="D367" s="464" t="s">
        <v>2371</v>
      </c>
      <c r="E367" s="465" t="str">
        <f>VLOOKUP(C367,'[10]Project Detail Query'!$A$1:$R$2830,6,FALSE)</f>
        <v>F0604</v>
      </c>
      <c r="F367" s="464" t="str">
        <f>VLOOKUP(C367,'[10]Project Detail Query'!$A$1:$R$2830,7,FALSE)</f>
        <v>Main Replacement - ISRS (S)</v>
      </c>
      <c r="G367" s="465" t="s">
        <v>20</v>
      </c>
      <c r="H367" s="465">
        <v>201701</v>
      </c>
      <c r="I367" s="467">
        <v>0.1</v>
      </c>
      <c r="J367" s="297">
        <f t="shared" si="25"/>
        <v>42736</v>
      </c>
      <c r="K367" s="67">
        <f t="shared" si="26"/>
        <v>4</v>
      </c>
      <c r="L367" s="468">
        <v>2.23333E-3</v>
      </c>
      <c r="M367" s="104">
        <f t="shared" si="27"/>
        <v>8.9333200000000005E-4</v>
      </c>
      <c r="O367" s="66">
        <f t="shared" si="28"/>
        <v>3.026333333333334E-2</v>
      </c>
    </row>
    <row r="368" spans="1:15">
      <c r="A368" s="464" t="s">
        <v>626</v>
      </c>
      <c r="B368" s="465" t="s">
        <v>1681</v>
      </c>
      <c r="C368" s="466" t="s">
        <v>2317</v>
      </c>
      <c r="D368" s="464" t="s">
        <v>2318</v>
      </c>
      <c r="E368" s="465" t="str">
        <f>VLOOKUP(C368,'[10]Project Detail Query'!$A$1:$R$2830,6,FALSE)</f>
        <v>F0604</v>
      </c>
      <c r="F368" s="464" t="str">
        <f>VLOOKUP(C368,'[10]Project Detail Query'!$A$1:$R$2830,7,FALSE)</f>
        <v>Main Replacement - ISRS (S)</v>
      </c>
      <c r="G368" s="465" t="s">
        <v>20</v>
      </c>
      <c r="H368" s="465">
        <v>201701</v>
      </c>
      <c r="I368" s="467">
        <v>-8.61</v>
      </c>
      <c r="J368" s="297">
        <f t="shared" si="25"/>
        <v>42736</v>
      </c>
      <c r="K368" s="67">
        <f t="shared" si="26"/>
        <v>4</v>
      </c>
      <c r="L368" s="472">
        <v>1.4833299999999999E-3</v>
      </c>
      <c r="M368" s="104">
        <f t="shared" si="27"/>
        <v>-5.1085885199999993E-2</v>
      </c>
      <c r="O368" s="66">
        <f t="shared" si="28"/>
        <v>-2.6056729999999999</v>
      </c>
    </row>
    <row r="369" spans="1:15">
      <c r="A369" s="464" t="s">
        <v>626</v>
      </c>
      <c r="B369" s="465" t="s">
        <v>1681</v>
      </c>
      <c r="C369" s="466" t="s">
        <v>2009</v>
      </c>
      <c r="D369" s="464" t="s">
        <v>2010</v>
      </c>
      <c r="E369" s="465" t="str">
        <f>VLOOKUP(C369,'[10]Project Detail Query'!$A$1:$R$2830,6,FALSE)</f>
        <v>F0572</v>
      </c>
      <c r="F369" s="464" t="str">
        <f>VLOOKUP(C369,'[10]Project Detail Query'!$A$1:$R$2830,7,FALSE)</f>
        <v>Main Replacement - ISRS (SW)</v>
      </c>
      <c r="G369" s="465" t="s">
        <v>20</v>
      </c>
      <c r="H369" s="465">
        <v>201701</v>
      </c>
      <c r="I369" s="467">
        <v>6.2</v>
      </c>
      <c r="J369" s="297">
        <f t="shared" si="25"/>
        <v>42736</v>
      </c>
      <c r="K369" s="67">
        <f t="shared" si="26"/>
        <v>4</v>
      </c>
      <c r="L369" s="472">
        <v>1.4833299999999999E-3</v>
      </c>
      <c r="M369" s="104">
        <f t="shared" si="27"/>
        <v>3.6786583999999997E-2</v>
      </c>
      <c r="O369" s="66">
        <f t="shared" si="28"/>
        <v>1.8763266666666669</v>
      </c>
    </row>
    <row r="370" spans="1:15">
      <c r="A370" s="464" t="s">
        <v>14</v>
      </c>
      <c r="B370" s="465" t="s">
        <v>1681</v>
      </c>
      <c r="C370" s="466" t="s">
        <v>2009</v>
      </c>
      <c r="D370" s="464" t="s">
        <v>2010</v>
      </c>
      <c r="E370" s="465" t="str">
        <f>VLOOKUP(C370,'[10]Project Detail Query'!$A$1:$R$2830,6,FALSE)</f>
        <v>F0572</v>
      </c>
      <c r="F370" s="464" t="str">
        <f>VLOOKUP(C370,'[10]Project Detail Query'!$A$1:$R$2830,7,FALSE)</f>
        <v>Main Replacement - ISRS (SW)</v>
      </c>
      <c r="G370" s="465" t="s">
        <v>20</v>
      </c>
      <c r="H370" s="465">
        <v>201701</v>
      </c>
      <c r="I370" s="467">
        <v>0.15</v>
      </c>
      <c r="J370" s="297">
        <f t="shared" si="25"/>
        <v>42736</v>
      </c>
      <c r="K370" s="67">
        <f t="shared" si="26"/>
        <v>4</v>
      </c>
      <c r="L370" s="468">
        <v>2.23333E-3</v>
      </c>
      <c r="M370" s="104">
        <f t="shared" si="27"/>
        <v>1.339998E-3</v>
      </c>
      <c r="O370" s="66">
        <f t="shared" si="28"/>
        <v>4.5395000000000005E-2</v>
      </c>
    </row>
    <row r="371" spans="1:15">
      <c r="A371" s="464" t="s">
        <v>626</v>
      </c>
      <c r="B371" s="465" t="s">
        <v>1681</v>
      </c>
      <c r="C371" s="466" t="s">
        <v>2265</v>
      </c>
      <c r="D371" s="464" t="s">
        <v>2266</v>
      </c>
      <c r="E371" s="465" t="str">
        <f>VLOOKUP(C371,'[10]Project Detail Query'!$A$1:$R$2830,6,FALSE)</f>
        <v>F0599</v>
      </c>
      <c r="F371" s="464" t="str">
        <f>VLOOKUP(C371,'[10]Project Detail Query'!$A$1:$R$2830,7,FALSE)</f>
        <v>Main Replacement - ISRS (N)</v>
      </c>
      <c r="G371" s="465" t="s">
        <v>20</v>
      </c>
      <c r="H371" s="465">
        <v>201701</v>
      </c>
      <c r="I371" s="467">
        <v>23.51</v>
      </c>
      <c r="J371" s="297">
        <f t="shared" si="25"/>
        <v>42736</v>
      </c>
      <c r="K371" s="67">
        <f t="shared" si="26"/>
        <v>4</v>
      </c>
      <c r="L371" s="472">
        <v>1.4833299999999999E-3</v>
      </c>
      <c r="M371" s="104">
        <f t="shared" si="27"/>
        <v>0.1394923532</v>
      </c>
      <c r="O371" s="66">
        <f t="shared" si="28"/>
        <v>7.1149096666666676</v>
      </c>
    </row>
    <row r="372" spans="1:15">
      <c r="A372" s="464" t="s">
        <v>626</v>
      </c>
      <c r="B372" s="465" t="s">
        <v>1681</v>
      </c>
      <c r="C372" s="466" t="s">
        <v>2319</v>
      </c>
      <c r="D372" s="464" t="s">
        <v>2320</v>
      </c>
      <c r="E372" s="465" t="str">
        <f>VLOOKUP(C372,'[10]Project Detail Query'!$A$1:$R$2830,6,FALSE)</f>
        <v>F0599</v>
      </c>
      <c r="F372" s="464" t="str">
        <f>VLOOKUP(C372,'[10]Project Detail Query'!$A$1:$R$2830,7,FALSE)</f>
        <v>Main Replacement - ISRS (N)</v>
      </c>
      <c r="G372" s="465" t="s">
        <v>20</v>
      </c>
      <c r="H372" s="465">
        <v>201701</v>
      </c>
      <c r="I372" s="467">
        <v>57.13</v>
      </c>
      <c r="J372" s="297">
        <f t="shared" si="25"/>
        <v>42736</v>
      </c>
      <c r="K372" s="67">
        <f t="shared" si="26"/>
        <v>4</v>
      </c>
      <c r="L372" s="472">
        <v>1.4833299999999999E-3</v>
      </c>
      <c r="M372" s="104">
        <f t="shared" si="27"/>
        <v>0.33897057159999999</v>
      </c>
      <c r="O372" s="66">
        <f t="shared" si="28"/>
        <v>17.289442333333337</v>
      </c>
    </row>
    <row r="373" spans="1:15">
      <c r="A373" s="464" t="s">
        <v>14</v>
      </c>
      <c r="B373" s="465" t="s">
        <v>1681</v>
      </c>
      <c r="C373" s="466" t="s">
        <v>2319</v>
      </c>
      <c r="D373" s="464" t="s">
        <v>2320</v>
      </c>
      <c r="E373" s="465" t="str">
        <f>VLOOKUP(C373,'[10]Project Detail Query'!$A$1:$R$2830,6,FALSE)</f>
        <v>F0599</v>
      </c>
      <c r="F373" s="464" t="str">
        <f>VLOOKUP(C373,'[10]Project Detail Query'!$A$1:$R$2830,7,FALSE)</f>
        <v>Main Replacement - ISRS (N)</v>
      </c>
      <c r="G373" s="465" t="s">
        <v>20</v>
      </c>
      <c r="H373" s="465">
        <v>201701</v>
      </c>
      <c r="I373" s="467">
        <v>1.61</v>
      </c>
      <c r="J373" s="297">
        <f t="shared" si="25"/>
        <v>42736</v>
      </c>
      <c r="K373" s="67">
        <f t="shared" si="26"/>
        <v>4</v>
      </c>
      <c r="L373" s="468">
        <v>2.23333E-3</v>
      </c>
      <c r="M373" s="104">
        <f t="shared" si="27"/>
        <v>1.43826452E-2</v>
      </c>
      <c r="O373" s="66">
        <f t="shared" si="28"/>
        <v>0.48723966666666679</v>
      </c>
    </row>
    <row r="374" spans="1:15">
      <c r="A374" s="464" t="s">
        <v>626</v>
      </c>
      <c r="B374" s="465" t="s">
        <v>1681</v>
      </c>
      <c r="C374" s="466" t="s">
        <v>2321</v>
      </c>
      <c r="D374" s="464" t="s">
        <v>2322</v>
      </c>
      <c r="E374" s="465" t="str">
        <f>VLOOKUP(C374,'[10]Project Detail Query'!$A$1:$R$2830,6,FALSE)</f>
        <v>F0599</v>
      </c>
      <c r="F374" s="464" t="str">
        <f>VLOOKUP(C374,'[10]Project Detail Query'!$A$1:$R$2830,7,FALSE)</f>
        <v>Main Replacement - ISRS (N)</v>
      </c>
      <c r="G374" s="465" t="s">
        <v>20</v>
      </c>
      <c r="H374" s="465">
        <v>201701</v>
      </c>
      <c r="I374" s="467">
        <v>602.58000000000004</v>
      </c>
      <c r="J374" s="297">
        <f t="shared" si="25"/>
        <v>42736</v>
      </c>
      <c r="K374" s="67">
        <f t="shared" si="26"/>
        <v>4</v>
      </c>
      <c r="L374" s="472">
        <v>1.4833299999999999E-3</v>
      </c>
      <c r="M374" s="104">
        <f t="shared" si="27"/>
        <v>3.5752999656000002</v>
      </c>
      <c r="O374" s="66">
        <f t="shared" si="28"/>
        <v>182.36079400000003</v>
      </c>
    </row>
    <row r="375" spans="1:15">
      <c r="A375" s="464" t="s">
        <v>14</v>
      </c>
      <c r="B375" s="465" t="s">
        <v>1681</v>
      </c>
      <c r="C375" s="466" t="s">
        <v>2321</v>
      </c>
      <c r="D375" s="464" t="s">
        <v>2322</v>
      </c>
      <c r="E375" s="465" t="str">
        <f>VLOOKUP(C375,'[10]Project Detail Query'!$A$1:$R$2830,6,FALSE)</f>
        <v>F0599</v>
      </c>
      <c r="F375" s="464" t="str">
        <f>VLOOKUP(C375,'[10]Project Detail Query'!$A$1:$R$2830,7,FALSE)</f>
        <v>Main Replacement - ISRS (N)</v>
      </c>
      <c r="G375" s="465" t="s">
        <v>20</v>
      </c>
      <c r="H375" s="465">
        <v>201701</v>
      </c>
      <c r="I375" s="467">
        <v>5.31</v>
      </c>
      <c r="J375" s="297">
        <f t="shared" si="25"/>
        <v>42736</v>
      </c>
      <c r="K375" s="67">
        <f t="shared" si="26"/>
        <v>4</v>
      </c>
      <c r="L375" s="468">
        <v>2.23333E-3</v>
      </c>
      <c r="M375" s="104">
        <f t="shared" si="27"/>
        <v>4.7435929199999997E-2</v>
      </c>
      <c r="O375" s="66">
        <f t="shared" si="28"/>
        <v>1.6069830000000001</v>
      </c>
    </row>
    <row r="376" spans="1:15">
      <c r="A376" s="464" t="s">
        <v>626</v>
      </c>
      <c r="B376" s="465" t="s">
        <v>1681</v>
      </c>
      <c r="C376" s="466" t="s">
        <v>2372</v>
      </c>
      <c r="D376" s="464" t="s">
        <v>2373</v>
      </c>
      <c r="E376" s="465" t="str">
        <f>VLOOKUP(C376,'[10]Project Detail Query'!$A$1:$R$2830,6,FALSE)</f>
        <v>F0599</v>
      </c>
      <c r="F376" s="464" t="str">
        <f>VLOOKUP(C376,'[10]Project Detail Query'!$A$1:$R$2830,7,FALSE)</f>
        <v>Main Replacement - ISRS (N)</v>
      </c>
      <c r="G376" s="465" t="s">
        <v>20</v>
      </c>
      <c r="H376" s="465">
        <v>201701</v>
      </c>
      <c r="I376" s="467">
        <v>3811.11</v>
      </c>
      <c r="J376" s="297">
        <f t="shared" si="25"/>
        <v>42736</v>
      </c>
      <c r="K376" s="67">
        <f t="shared" si="26"/>
        <v>4</v>
      </c>
      <c r="L376" s="472">
        <v>1.4833299999999999E-3</v>
      </c>
      <c r="M376" s="104">
        <f t="shared" si="27"/>
        <v>22.612535185199999</v>
      </c>
      <c r="O376" s="66">
        <f t="shared" si="28"/>
        <v>1153.3689230000002</v>
      </c>
    </row>
    <row r="377" spans="1:15">
      <c r="A377" s="464" t="s">
        <v>14</v>
      </c>
      <c r="B377" s="465" t="s">
        <v>1681</v>
      </c>
      <c r="C377" s="466" t="s">
        <v>2372</v>
      </c>
      <c r="D377" s="464" t="s">
        <v>2373</v>
      </c>
      <c r="E377" s="465" t="str">
        <f>VLOOKUP(C377,'[10]Project Detail Query'!$A$1:$R$2830,6,FALSE)</f>
        <v>F0599</v>
      </c>
      <c r="F377" s="464" t="str">
        <f>VLOOKUP(C377,'[10]Project Detail Query'!$A$1:$R$2830,7,FALSE)</f>
        <v>Main Replacement - ISRS (N)</v>
      </c>
      <c r="G377" s="465" t="s">
        <v>20</v>
      </c>
      <c r="H377" s="465">
        <v>201701</v>
      </c>
      <c r="I377" s="467">
        <v>47.27</v>
      </c>
      <c r="J377" s="297">
        <f t="shared" si="25"/>
        <v>42736</v>
      </c>
      <c r="K377" s="67">
        <f t="shared" si="26"/>
        <v>4</v>
      </c>
      <c r="L377" s="468">
        <v>2.23333E-3</v>
      </c>
      <c r="M377" s="104">
        <f t="shared" si="27"/>
        <v>0.4222780364</v>
      </c>
      <c r="O377" s="66">
        <f t="shared" si="28"/>
        <v>14.305477666666668</v>
      </c>
    </row>
    <row r="378" spans="1:15">
      <c r="A378" s="464" t="s">
        <v>626</v>
      </c>
      <c r="B378" s="465" t="s">
        <v>1681</v>
      </c>
      <c r="C378" s="466" t="s">
        <v>2374</v>
      </c>
      <c r="D378" s="464" t="s">
        <v>2375</v>
      </c>
      <c r="E378" s="465" t="str">
        <f>VLOOKUP(C378,'[10]Project Detail Query'!$A$1:$R$2830,6,FALSE)</f>
        <v>F0599</v>
      </c>
      <c r="F378" s="464" t="str">
        <f>VLOOKUP(C378,'[10]Project Detail Query'!$A$1:$R$2830,7,FALSE)</f>
        <v>Main Replacement - ISRS (N)</v>
      </c>
      <c r="G378" s="465" t="s">
        <v>20</v>
      </c>
      <c r="H378" s="465">
        <v>201701</v>
      </c>
      <c r="I378" s="467">
        <v>110.94</v>
      </c>
      <c r="J378" s="297">
        <f t="shared" si="25"/>
        <v>42736</v>
      </c>
      <c r="K378" s="67">
        <f t="shared" si="26"/>
        <v>4</v>
      </c>
      <c r="L378" s="472">
        <v>1.4833299999999999E-3</v>
      </c>
      <c r="M378" s="104">
        <f t="shared" si="27"/>
        <v>0.65824252080000001</v>
      </c>
      <c r="O378" s="66">
        <f t="shared" si="28"/>
        <v>33.574142000000002</v>
      </c>
    </row>
    <row r="379" spans="1:15">
      <c r="A379" s="464" t="s">
        <v>14</v>
      </c>
      <c r="B379" s="465" t="s">
        <v>1681</v>
      </c>
      <c r="C379" s="466" t="s">
        <v>2374</v>
      </c>
      <c r="D379" s="464" t="s">
        <v>2375</v>
      </c>
      <c r="E379" s="465" t="str">
        <f>VLOOKUP(C379,'[10]Project Detail Query'!$A$1:$R$2830,6,FALSE)</f>
        <v>F0599</v>
      </c>
      <c r="F379" s="464" t="str">
        <f>VLOOKUP(C379,'[10]Project Detail Query'!$A$1:$R$2830,7,FALSE)</f>
        <v>Main Replacement - ISRS (N)</v>
      </c>
      <c r="G379" s="465" t="s">
        <v>20</v>
      </c>
      <c r="H379" s="465">
        <v>201701</v>
      </c>
      <c r="I379" s="467">
        <v>29.85</v>
      </c>
      <c r="J379" s="297">
        <f t="shared" si="25"/>
        <v>42736</v>
      </c>
      <c r="K379" s="67">
        <f t="shared" si="26"/>
        <v>4</v>
      </c>
      <c r="L379" s="468">
        <v>2.23333E-3</v>
      </c>
      <c r="M379" s="104">
        <f t="shared" si="27"/>
        <v>0.266659602</v>
      </c>
      <c r="O379" s="66">
        <f t="shared" si="28"/>
        <v>9.0336050000000014</v>
      </c>
    </row>
    <row r="380" spans="1:15">
      <c r="A380" s="464" t="s">
        <v>626</v>
      </c>
      <c r="B380" s="465" t="s">
        <v>1681</v>
      </c>
      <c r="C380" s="466" t="s">
        <v>2376</v>
      </c>
      <c r="D380" s="464" t="s">
        <v>2377</v>
      </c>
      <c r="E380" s="465" t="str">
        <f>VLOOKUP(C380,'[10]Project Detail Query'!$A$1:$R$2830,6,FALSE)</f>
        <v>F0599</v>
      </c>
      <c r="F380" s="464" t="str">
        <f>VLOOKUP(C380,'[10]Project Detail Query'!$A$1:$R$2830,7,FALSE)</f>
        <v>Main Replacement - ISRS (N)</v>
      </c>
      <c r="G380" s="465" t="s">
        <v>20</v>
      </c>
      <c r="H380" s="465">
        <v>201701</v>
      </c>
      <c r="I380" s="467">
        <v>26.29</v>
      </c>
      <c r="J380" s="297">
        <f t="shared" si="25"/>
        <v>42736</v>
      </c>
      <c r="K380" s="67">
        <f t="shared" si="26"/>
        <v>4</v>
      </c>
      <c r="L380" s="472">
        <v>1.4833299999999999E-3</v>
      </c>
      <c r="M380" s="104">
        <f t="shared" si="27"/>
        <v>0.15598698279999998</v>
      </c>
      <c r="O380" s="66">
        <f t="shared" si="28"/>
        <v>7.956230333333334</v>
      </c>
    </row>
    <row r="381" spans="1:15">
      <c r="A381" s="464" t="s">
        <v>14</v>
      </c>
      <c r="B381" s="465" t="s">
        <v>1681</v>
      </c>
      <c r="C381" s="466" t="s">
        <v>2376</v>
      </c>
      <c r="D381" s="464" t="s">
        <v>2377</v>
      </c>
      <c r="E381" s="465" t="str">
        <f>VLOOKUP(C381,'[10]Project Detail Query'!$A$1:$R$2830,6,FALSE)</f>
        <v>F0599</v>
      </c>
      <c r="F381" s="464" t="str">
        <f>VLOOKUP(C381,'[10]Project Detail Query'!$A$1:$R$2830,7,FALSE)</f>
        <v>Main Replacement - ISRS (N)</v>
      </c>
      <c r="G381" s="465" t="s">
        <v>20</v>
      </c>
      <c r="H381" s="465">
        <v>201701</v>
      </c>
      <c r="I381" s="467">
        <v>3.81</v>
      </c>
      <c r="J381" s="297">
        <f t="shared" si="25"/>
        <v>42736</v>
      </c>
      <c r="K381" s="67">
        <f t="shared" si="26"/>
        <v>4</v>
      </c>
      <c r="L381" s="468">
        <v>2.23333E-3</v>
      </c>
      <c r="M381" s="104">
        <f t="shared" si="27"/>
        <v>3.4035949199999999E-2</v>
      </c>
      <c r="O381" s="66">
        <f t="shared" si="28"/>
        <v>1.1530330000000002</v>
      </c>
    </row>
    <row r="382" spans="1:15">
      <c r="A382" s="464" t="s">
        <v>626</v>
      </c>
      <c r="B382" s="465" t="s">
        <v>1681</v>
      </c>
      <c r="C382" s="466" t="s">
        <v>2378</v>
      </c>
      <c r="D382" s="464" t="s">
        <v>2379</v>
      </c>
      <c r="E382" s="465" t="str">
        <f>VLOOKUP(C382,'[10]Project Detail Query'!$A$1:$R$2830,6,FALSE)</f>
        <v>F0547</v>
      </c>
      <c r="F382" s="464" t="str">
        <f>VLOOKUP(C382,'[10]Project Detail Query'!$A$1:$R$2830,7,FALSE)</f>
        <v>Street &amp; Highway Relocates ISRS (N)</v>
      </c>
      <c r="G382" s="465" t="s">
        <v>20</v>
      </c>
      <c r="H382" s="465">
        <v>201701</v>
      </c>
      <c r="I382" s="467">
        <v>13.53</v>
      </c>
      <c r="J382" s="297">
        <f t="shared" si="25"/>
        <v>42736</v>
      </c>
      <c r="K382" s="67">
        <f t="shared" si="26"/>
        <v>4</v>
      </c>
      <c r="L382" s="472">
        <v>1.4833299999999999E-3</v>
      </c>
      <c r="M382" s="104">
        <f t="shared" si="27"/>
        <v>8.0277819599999994E-2</v>
      </c>
      <c r="O382" s="66">
        <f t="shared" si="28"/>
        <v>4.0946290000000003</v>
      </c>
    </row>
    <row r="383" spans="1:15">
      <c r="A383" s="464" t="s">
        <v>14</v>
      </c>
      <c r="B383" s="465" t="s">
        <v>1681</v>
      </c>
      <c r="C383" s="466" t="s">
        <v>2378</v>
      </c>
      <c r="D383" s="464" t="s">
        <v>2379</v>
      </c>
      <c r="E383" s="465" t="str">
        <f>VLOOKUP(C383,'[10]Project Detail Query'!$A$1:$R$2830,6,FALSE)</f>
        <v>F0547</v>
      </c>
      <c r="F383" s="464" t="str">
        <f>VLOOKUP(C383,'[10]Project Detail Query'!$A$1:$R$2830,7,FALSE)</f>
        <v>Street &amp; Highway Relocates ISRS (N)</v>
      </c>
      <c r="G383" s="465" t="s">
        <v>20</v>
      </c>
      <c r="H383" s="465">
        <v>201701</v>
      </c>
      <c r="I383" s="467">
        <v>2.83</v>
      </c>
      <c r="J383" s="297">
        <f t="shared" si="25"/>
        <v>42736</v>
      </c>
      <c r="K383" s="67">
        <f t="shared" si="26"/>
        <v>4</v>
      </c>
      <c r="L383" s="468">
        <v>2.23333E-3</v>
      </c>
      <c r="M383" s="104">
        <f t="shared" si="27"/>
        <v>2.52812956E-2</v>
      </c>
      <c r="O383" s="66">
        <f t="shared" si="28"/>
        <v>0.85645233333333337</v>
      </c>
    </row>
    <row r="384" spans="1:15">
      <c r="A384" s="464" t="s">
        <v>626</v>
      </c>
      <c r="B384" s="465" t="s">
        <v>1681</v>
      </c>
      <c r="C384" s="466" t="s">
        <v>2380</v>
      </c>
      <c r="D384" s="464" t="s">
        <v>2381</v>
      </c>
      <c r="E384" s="465" t="str">
        <f>VLOOKUP(C384,'[10]Project Detail Query'!$A$1:$R$2830,6,FALSE)</f>
        <v>F0599</v>
      </c>
      <c r="F384" s="464" t="str">
        <f>VLOOKUP(C384,'[10]Project Detail Query'!$A$1:$R$2830,7,FALSE)</f>
        <v>Main Replacement - ISRS (N)</v>
      </c>
      <c r="G384" s="465" t="s">
        <v>20</v>
      </c>
      <c r="H384" s="465">
        <v>201701</v>
      </c>
      <c r="I384" s="467">
        <v>53.03</v>
      </c>
      <c r="J384" s="297">
        <f t="shared" ref="J384:J447" si="29">+J383</f>
        <v>42736</v>
      </c>
      <c r="K384" s="67">
        <f t="shared" ref="K384:K447" si="30">((YEAR($K$1)-YEAR(J384))*12+MONTH($K$1)-MONTH(J384))</f>
        <v>4</v>
      </c>
      <c r="L384" s="472">
        <v>1.4833299999999999E-3</v>
      </c>
      <c r="M384" s="104">
        <f t="shared" si="27"/>
        <v>0.31464395959999997</v>
      </c>
      <c r="O384" s="66">
        <f t="shared" si="28"/>
        <v>16.048645666666669</v>
      </c>
    </row>
    <row r="385" spans="1:15">
      <c r="A385" s="464" t="s">
        <v>1942</v>
      </c>
      <c r="B385" s="465" t="s">
        <v>1681</v>
      </c>
      <c r="C385" s="466" t="s">
        <v>2380</v>
      </c>
      <c r="D385" s="464" t="s">
        <v>2381</v>
      </c>
      <c r="E385" s="465" t="str">
        <f>VLOOKUP(C385,'[10]Project Detail Query'!$A$1:$R$2830,6,FALSE)</f>
        <v>F0599</v>
      </c>
      <c r="F385" s="464" t="str">
        <f>VLOOKUP(C385,'[10]Project Detail Query'!$A$1:$R$2830,7,FALSE)</f>
        <v>Main Replacement - ISRS (N)</v>
      </c>
      <c r="G385" s="465" t="s">
        <v>20</v>
      </c>
      <c r="H385" s="465">
        <v>201701</v>
      </c>
      <c r="I385" s="467">
        <v>0.15</v>
      </c>
      <c r="J385" s="297">
        <f t="shared" si="29"/>
        <v>42736</v>
      </c>
      <c r="K385" s="67">
        <f t="shared" si="30"/>
        <v>4</v>
      </c>
      <c r="L385" s="472">
        <v>2.23333E-3</v>
      </c>
      <c r="M385" s="104">
        <f t="shared" si="27"/>
        <v>1.339998E-3</v>
      </c>
      <c r="O385" s="66">
        <f t="shared" si="28"/>
        <v>4.5395000000000005E-2</v>
      </c>
    </row>
    <row r="386" spans="1:15">
      <c r="A386" s="464" t="s">
        <v>14</v>
      </c>
      <c r="B386" s="465" t="s">
        <v>1681</v>
      </c>
      <c r="C386" s="466" t="s">
        <v>2380</v>
      </c>
      <c r="D386" s="464" t="s">
        <v>2381</v>
      </c>
      <c r="E386" s="465" t="str">
        <f>VLOOKUP(C386,'[10]Project Detail Query'!$A$1:$R$2830,6,FALSE)</f>
        <v>F0599</v>
      </c>
      <c r="F386" s="464" t="str">
        <f>VLOOKUP(C386,'[10]Project Detail Query'!$A$1:$R$2830,7,FALSE)</f>
        <v>Main Replacement - ISRS (N)</v>
      </c>
      <c r="G386" s="465" t="s">
        <v>20</v>
      </c>
      <c r="H386" s="465">
        <v>201701</v>
      </c>
      <c r="I386" s="467">
        <v>12.09</v>
      </c>
      <c r="J386" s="297">
        <f t="shared" si="29"/>
        <v>42736</v>
      </c>
      <c r="K386" s="67">
        <f t="shared" si="30"/>
        <v>4</v>
      </c>
      <c r="L386" s="468">
        <v>2.23333E-3</v>
      </c>
      <c r="M386" s="104">
        <f t="shared" si="27"/>
        <v>0.1080038388</v>
      </c>
      <c r="O386" s="66">
        <f t="shared" si="28"/>
        <v>3.6588370000000006</v>
      </c>
    </row>
    <row r="387" spans="1:15">
      <c r="A387" s="464" t="s">
        <v>626</v>
      </c>
      <c r="B387" s="465" t="s">
        <v>1681</v>
      </c>
      <c r="C387" s="466" t="s">
        <v>2382</v>
      </c>
      <c r="D387" s="464" t="s">
        <v>2383</v>
      </c>
      <c r="E387" s="465" t="str">
        <f>VLOOKUP(C387,'[10]Project Detail Query'!$A$1:$R$2830,6,FALSE)</f>
        <v>F0599</v>
      </c>
      <c r="F387" s="464" t="str">
        <f>VLOOKUP(C387,'[10]Project Detail Query'!$A$1:$R$2830,7,FALSE)</f>
        <v>Main Replacement - ISRS (N)</v>
      </c>
      <c r="G387" s="465" t="s">
        <v>20</v>
      </c>
      <c r="H387" s="465">
        <v>201701</v>
      </c>
      <c r="I387" s="467">
        <v>1716.01</v>
      </c>
      <c r="J387" s="297">
        <f t="shared" si="29"/>
        <v>42736</v>
      </c>
      <c r="K387" s="67">
        <f t="shared" si="30"/>
        <v>4</v>
      </c>
      <c r="L387" s="472">
        <v>1.4833299999999999E-3</v>
      </c>
      <c r="M387" s="104">
        <f t="shared" si="27"/>
        <v>10.181636453199999</v>
      </c>
      <c r="O387" s="66">
        <f t="shared" si="28"/>
        <v>519.32182633333343</v>
      </c>
    </row>
    <row r="388" spans="1:15">
      <c r="A388" s="464" t="s">
        <v>1942</v>
      </c>
      <c r="B388" s="465" t="s">
        <v>1681</v>
      </c>
      <c r="C388" s="466" t="s">
        <v>2382</v>
      </c>
      <c r="D388" s="464" t="s">
        <v>2383</v>
      </c>
      <c r="E388" s="465" t="str">
        <f>VLOOKUP(C388,'[10]Project Detail Query'!$A$1:$R$2830,6,FALSE)</f>
        <v>F0599</v>
      </c>
      <c r="F388" s="464" t="str">
        <f>VLOOKUP(C388,'[10]Project Detail Query'!$A$1:$R$2830,7,FALSE)</f>
        <v>Main Replacement - ISRS (N)</v>
      </c>
      <c r="G388" s="465" t="s">
        <v>20</v>
      </c>
      <c r="H388" s="465">
        <v>201701</v>
      </c>
      <c r="I388" s="467">
        <v>5.32</v>
      </c>
      <c r="J388" s="297">
        <f t="shared" si="29"/>
        <v>42736</v>
      </c>
      <c r="K388" s="67">
        <f t="shared" si="30"/>
        <v>4</v>
      </c>
      <c r="L388" s="472">
        <v>2.23333E-3</v>
      </c>
      <c r="M388" s="104">
        <f t="shared" si="27"/>
        <v>4.7525262400000004E-2</v>
      </c>
      <c r="O388" s="66">
        <f t="shared" si="28"/>
        <v>1.6100093333333336</v>
      </c>
    </row>
    <row r="389" spans="1:15">
      <c r="A389" s="464" t="s">
        <v>14</v>
      </c>
      <c r="B389" s="465" t="s">
        <v>1681</v>
      </c>
      <c r="C389" s="466" t="s">
        <v>2382</v>
      </c>
      <c r="D389" s="464" t="s">
        <v>2383</v>
      </c>
      <c r="E389" s="465" t="str">
        <f>VLOOKUP(C389,'[10]Project Detail Query'!$A$1:$R$2830,6,FALSE)</f>
        <v>F0599</v>
      </c>
      <c r="F389" s="464" t="str">
        <f>VLOOKUP(C389,'[10]Project Detail Query'!$A$1:$R$2830,7,FALSE)</f>
        <v>Main Replacement - ISRS (N)</v>
      </c>
      <c r="G389" s="465" t="s">
        <v>20</v>
      </c>
      <c r="H389" s="465">
        <v>201701</v>
      </c>
      <c r="I389" s="467">
        <v>202.55</v>
      </c>
      <c r="J389" s="297">
        <f t="shared" si="29"/>
        <v>42736</v>
      </c>
      <c r="K389" s="67">
        <f t="shared" si="30"/>
        <v>4</v>
      </c>
      <c r="L389" s="468">
        <v>2.23333E-3</v>
      </c>
      <c r="M389" s="104">
        <f t="shared" si="27"/>
        <v>1.8094439660000001</v>
      </c>
      <c r="O389" s="66">
        <f t="shared" si="28"/>
        <v>61.298381666666678</v>
      </c>
    </row>
    <row r="390" spans="1:15">
      <c r="A390" s="464" t="s">
        <v>626</v>
      </c>
      <c r="B390" s="465" t="s">
        <v>1681</v>
      </c>
      <c r="C390" s="466" t="s">
        <v>2267</v>
      </c>
      <c r="D390" s="464" t="s">
        <v>2268</v>
      </c>
      <c r="E390" s="465" t="str">
        <f>VLOOKUP(C390,'[10]Project Detail Query'!$A$1:$R$2830,6,FALSE)</f>
        <v>F0572</v>
      </c>
      <c r="F390" s="464" t="str">
        <f>VLOOKUP(C390,'[10]Project Detail Query'!$A$1:$R$2830,7,FALSE)</f>
        <v>Main Replacement - ISRS (SW)</v>
      </c>
      <c r="G390" s="465" t="s">
        <v>20</v>
      </c>
      <c r="H390" s="465">
        <v>201701</v>
      </c>
      <c r="I390" s="467">
        <v>88.8</v>
      </c>
      <c r="J390" s="297">
        <f t="shared" si="29"/>
        <v>42736</v>
      </c>
      <c r="K390" s="67">
        <f t="shared" si="30"/>
        <v>4</v>
      </c>
      <c r="L390" s="472">
        <v>1.4833299999999999E-3</v>
      </c>
      <c r="M390" s="104">
        <f t="shared" si="27"/>
        <v>0.52687881599999997</v>
      </c>
      <c r="O390" s="66">
        <f t="shared" si="28"/>
        <v>26.873840000000001</v>
      </c>
    </row>
    <row r="391" spans="1:15">
      <c r="A391" s="464" t="s">
        <v>14</v>
      </c>
      <c r="B391" s="465" t="s">
        <v>1681</v>
      </c>
      <c r="C391" s="466" t="s">
        <v>2267</v>
      </c>
      <c r="D391" s="464" t="s">
        <v>2268</v>
      </c>
      <c r="E391" s="465" t="str">
        <f>VLOOKUP(C391,'[10]Project Detail Query'!$A$1:$R$2830,6,FALSE)</f>
        <v>F0572</v>
      </c>
      <c r="F391" s="464" t="str">
        <f>VLOOKUP(C391,'[10]Project Detail Query'!$A$1:$R$2830,7,FALSE)</f>
        <v>Main Replacement - ISRS (SW)</v>
      </c>
      <c r="G391" s="465" t="s">
        <v>20</v>
      </c>
      <c r="H391" s="465">
        <v>201701</v>
      </c>
      <c r="I391" s="467">
        <v>18.399999999999999</v>
      </c>
      <c r="J391" s="297">
        <f t="shared" si="29"/>
        <v>42736</v>
      </c>
      <c r="K391" s="67">
        <f t="shared" si="30"/>
        <v>4</v>
      </c>
      <c r="L391" s="468">
        <v>2.23333E-3</v>
      </c>
      <c r="M391" s="104">
        <f t="shared" si="27"/>
        <v>0.16437308799999997</v>
      </c>
      <c r="O391" s="66">
        <f t="shared" si="28"/>
        <v>5.5684533333333341</v>
      </c>
    </row>
    <row r="392" spans="1:15">
      <c r="A392" s="464" t="s">
        <v>626</v>
      </c>
      <c r="B392" s="465" t="s">
        <v>1681</v>
      </c>
      <c r="C392" s="466" t="s">
        <v>2384</v>
      </c>
      <c r="D392" s="464" t="s">
        <v>2385</v>
      </c>
      <c r="E392" s="465" t="str">
        <f>VLOOKUP(C392,'[10]Project Detail Query'!$A$1:$R$2830,6,FALSE)</f>
        <v>F0572</v>
      </c>
      <c r="F392" s="464" t="str">
        <f>VLOOKUP(C392,'[10]Project Detail Query'!$A$1:$R$2830,7,FALSE)</f>
        <v>Main Replacement - ISRS (SW)</v>
      </c>
      <c r="G392" s="465" t="s">
        <v>20</v>
      </c>
      <c r="H392" s="465">
        <v>201701</v>
      </c>
      <c r="I392" s="467">
        <v>-450.28</v>
      </c>
      <c r="J392" s="297">
        <f t="shared" si="29"/>
        <v>42736</v>
      </c>
      <c r="K392" s="67">
        <f t="shared" si="30"/>
        <v>4</v>
      </c>
      <c r="L392" s="472">
        <v>1.4833299999999999E-3</v>
      </c>
      <c r="M392" s="104">
        <f t="shared" si="27"/>
        <v>-2.6716553295999996</v>
      </c>
      <c r="O392" s="66">
        <f t="shared" si="28"/>
        <v>-136.26973733333335</v>
      </c>
    </row>
    <row r="393" spans="1:15">
      <c r="A393" s="464" t="s">
        <v>14</v>
      </c>
      <c r="B393" s="465" t="s">
        <v>1681</v>
      </c>
      <c r="C393" s="466" t="s">
        <v>2384</v>
      </c>
      <c r="D393" s="464" t="s">
        <v>2385</v>
      </c>
      <c r="E393" s="465" t="str">
        <f>VLOOKUP(C393,'[10]Project Detail Query'!$A$1:$R$2830,6,FALSE)</f>
        <v>F0572</v>
      </c>
      <c r="F393" s="464" t="str">
        <f>VLOOKUP(C393,'[10]Project Detail Query'!$A$1:$R$2830,7,FALSE)</f>
        <v>Main Replacement - ISRS (SW)</v>
      </c>
      <c r="G393" s="465" t="s">
        <v>20</v>
      </c>
      <c r="H393" s="465">
        <v>201701</v>
      </c>
      <c r="I393" s="467">
        <v>-12.11</v>
      </c>
      <c r="J393" s="297">
        <f t="shared" si="29"/>
        <v>42736</v>
      </c>
      <c r="K393" s="67">
        <f t="shared" si="30"/>
        <v>4</v>
      </c>
      <c r="L393" s="468">
        <v>2.23333E-3</v>
      </c>
      <c r="M393" s="104">
        <f t="shared" si="27"/>
        <v>-0.10818250519999999</v>
      </c>
      <c r="O393" s="66">
        <f t="shared" si="28"/>
        <v>-3.6648896666666668</v>
      </c>
    </row>
    <row r="394" spans="1:15">
      <c r="A394" s="464" t="s">
        <v>626</v>
      </c>
      <c r="B394" s="465" t="s">
        <v>1681</v>
      </c>
      <c r="C394" s="466" t="s">
        <v>2386</v>
      </c>
      <c r="D394" s="464" t="s">
        <v>2387</v>
      </c>
      <c r="E394" s="465" t="str">
        <f>VLOOKUP(C394,'[10]Project Detail Query'!$A$1:$R$2830,6,FALSE)</f>
        <v>F0572</v>
      </c>
      <c r="F394" s="464" t="str">
        <f>VLOOKUP(C394,'[10]Project Detail Query'!$A$1:$R$2830,7,FALSE)</f>
        <v>Main Replacement - ISRS (SW)</v>
      </c>
      <c r="G394" s="465" t="s">
        <v>20</v>
      </c>
      <c r="H394" s="465">
        <v>201701</v>
      </c>
      <c r="I394" s="467">
        <v>3244.74</v>
      </c>
      <c r="J394" s="297">
        <f t="shared" si="29"/>
        <v>42736</v>
      </c>
      <c r="K394" s="67">
        <f t="shared" si="30"/>
        <v>4</v>
      </c>
      <c r="L394" s="472">
        <v>1.4833299999999999E-3</v>
      </c>
      <c r="M394" s="104">
        <f t="shared" si="27"/>
        <v>19.252080736799996</v>
      </c>
      <c r="O394" s="66">
        <f t="shared" si="28"/>
        <v>981.96648200000004</v>
      </c>
    </row>
    <row r="395" spans="1:15">
      <c r="A395" s="464" t="s">
        <v>14</v>
      </c>
      <c r="B395" s="465" t="s">
        <v>1681</v>
      </c>
      <c r="C395" s="466" t="s">
        <v>2386</v>
      </c>
      <c r="D395" s="464" t="s">
        <v>2387</v>
      </c>
      <c r="E395" s="465" t="str">
        <f>VLOOKUP(C395,'[10]Project Detail Query'!$A$1:$R$2830,6,FALSE)</f>
        <v>F0572</v>
      </c>
      <c r="F395" s="464" t="str">
        <f>VLOOKUP(C395,'[10]Project Detail Query'!$A$1:$R$2830,7,FALSE)</f>
        <v>Main Replacement - ISRS (SW)</v>
      </c>
      <c r="G395" s="465" t="s">
        <v>20</v>
      </c>
      <c r="H395" s="465">
        <v>201701</v>
      </c>
      <c r="I395" s="467">
        <v>2.3199999999999998</v>
      </c>
      <c r="J395" s="297">
        <f t="shared" si="29"/>
        <v>42736</v>
      </c>
      <c r="K395" s="67">
        <f t="shared" si="30"/>
        <v>4</v>
      </c>
      <c r="L395" s="468">
        <v>2.23333E-3</v>
      </c>
      <c r="M395" s="104">
        <f t="shared" si="27"/>
        <v>2.0725302399999999E-2</v>
      </c>
      <c r="O395" s="66">
        <f t="shared" si="28"/>
        <v>0.70210933333333336</v>
      </c>
    </row>
    <row r="396" spans="1:15">
      <c r="A396" s="464" t="s">
        <v>626</v>
      </c>
      <c r="B396" s="465" t="s">
        <v>1681</v>
      </c>
      <c r="C396" s="466" t="s">
        <v>2436</v>
      </c>
      <c r="D396" s="464" t="s">
        <v>2437</v>
      </c>
      <c r="E396" s="465" t="str">
        <f>VLOOKUP(C396,'[10]Project Detail Query'!$A$1:$R$2830,6,FALSE)</f>
        <v>F0578</v>
      </c>
      <c r="F396" s="464" t="str">
        <f>VLOOKUP(C396,'[10]Project Detail Query'!$A$1:$R$2830,7,FALSE)</f>
        <v>Street &amp; Highway Relocates ISRS (S)</v>
      </c>
      <c r="G396" s="465" t="s">
        <v>20</v>
      </c>
      <c r="H396" s="465">
        <v>201701</v>
      </c>
      <c r="I396" s="467">
        <v>5435.91</v>
      </c>
      <c r="J396" s="297">
        <f t="shared" si="29"/>
        <v>42736</v>
      </c>
      <c r="K396" s="67">
        <f t="shared" si="30"/>
        <v>4</v>
      </c>
      <c r="L396" s="472">
        <v>1.4833299999999999E-3</v>
      </c>
      <c r="M396" s="104">
        <f t="shared" si="27"/>
        <v>32.252993521199997</v>
      </c>
      <c r="O396" s="66">
        <f t="shared" si="28"/>
        <v>1645.0875630000003</v>
      </c>
    </row>
    <row r="397" spans="1:15">
      <c r="A397" s="464" t="s">
        <v>14</v>
      </c>
      <c r="B397" s="465" t="s">
        <v>1681</v>
      </c>
      <c r="C397" s="466" t="s">
        <v>2436</v>
      </c>
      <c r="D397" s="464" t="s">
        <v>2437</v>
      </c>
      <c r="E397" s="465" t="str">
        <f>VLOOKUP(C397,'[10]Project Detail Query'!$A$1:$R$2830,6,FALSE)</f>
        <v>F0578</v>
      </c>
      <c r="F397" s="464" t="str">
        <f>VLOOKUP(C397,'[10]Project Detail Query'!$A$1:$R$2830,7,FALSE)</f>
        <v>Street &amp; Highway Relocates ISRS (S)</v>
      </c>
      <c r="G397" s="465" t="s">
        <v>20</v>
      </c>
      <c r="H397" s="465">
        <v>201701</v>
      </c>
      <c r="I397" s="467">
        <v>89.67</v>
      </c>
      <c r="J397" s="297">
        <f t="shared" si="29"/>
        <v>42736</v>
      </c>
      <c r="K397" s="67">
        <f t="shared" si="30"/>
        <v>4</v>
      </c>
      <c r="L397" s="468">
        <v>2.23333E-3</v>
      </c>
      <c r="M397" s="104">
        <f t="shared" si="27"/>
        <v>0.80105080439999998</v>
      </c>
      <c r="O397" s="66">
        <f t="shared" si="28"/>
        <v>27.137131000000004</v>
      </c>
    </row>
    <row r="398" spans="1:15">
      <c r="A398" s="464" t="s">
        <v>21</v>
      </c>
      <c r="B398" s="465" t="s">
        <v>1681</v>
      </c>
      <c r="C398" s="466" t="s">
        <v>2075</v>
      </c>
      <c r="D398" s="464" t="s">
        <v>2076</v>
      </c>
      <c r="E398" s="465" t="str">
        <f>VLOOKUP(C398,'[10]Project Detail Query'!$A$1:$R$2830,6,FALSE)</f>
        <v>F0604</v>
      </c>
      <c r="F398" s="464" t="str">
        <f>VLOOKUP(C398,'[10]Project Detail Query'!$A$1:$R$2830,7,FALSE)</f>
        <v>Main Replacement - ISRS (S)</v>
      </c>
      <c r="G398" s="465" t="s">
        <v>20</v>
      </c>
      <c r="H398" s="465">
        <v>201701</v>
      </c>
      <c r="I398" s="467">
        <v>-8549.7800000000007</v>
      </c>
      <c r="J398" s="297">
        <f t="shared" si="29"/>
        <v>42736</v>
      </c>
      <c r="K398" s="67">
        <f t="shared" si="30"/>
        <v>4</v>
      </c>
      <c r="L398" s="472">
        <v>1.4833299999999999E-3</v>
      </c>
      <c r="M398" s="104">
        <f t="shared" si="27"/>
        <v>-50.728580669599999</v>
      </c>
      <c r="O398" s="66">
        <f t="shared" si="28"/>
        <v>-2587.4484206666671</v>
      </c>
    </row>
    <row r="399" spans="1:15">
      <c r="A399" s="464" t="s">
        <v>626</v>
      </c>
      <c r="B399" s="465" t="s">
        <v>1681</v>
      </c>
      <c r="C399" s="466" t="s">
        <v>2015</v>
      </c>
      <c r="D399" s="464" t="s">
        <v>2016</v>
      </c>
      <c r="E399" s="465" t="str">
        <f>VLOOKUP(C399,'[10]Project Detail Query'!$A$1:$R$2830,6,FALSE)</f>
        <v>F0599</v>
      </c>
      <c r="F399" s="464" t="str">
        <f>VLOOKUP(C399,'[10]Project Detail Query'!$A$1:$R$2830,7,FALSE)</f>
        <v>Main Replacement - ISRS (N)</v>
      </c>
      <c r="G399" s="465" t="s">
        <v>20</v>
      </c>
      <c r="H399" s="465">
        <v>201701</v>
      </c>
      <c r="I399" s="467">
        <v>2354.12</v>
      </c>
      <c r="J399" s="297">
        <f t="shared" si="29"/>
        <v>42736</v>
      </c>
      <c r="K399" s="67">
        <f t="shared" si="30"/>
        <v>4</v>
      </c>
      <c r="L399" s="472">
        <v>1.4833299999999999E-3</v>
      </c>
      <c r="M399" s="104">
        <f t="shared" si="27"/>
        <v>13.967747278399999</v>
      </c>
      <c r="O399" s="66">
        <f t="shared" si="28"/>
        <v>712.43518266666672</v>
      </c>
    </row>
    <row r="400" spans="1:15">
      <c r="A400" s="464" t="s">
        <v>14</v>
      </c>
      <c r="B400" s="465" t="s">
        <v>1681</v>
      </c>
      <c r="C400" s="466" t="s">
        <v>2015</v>
      </c>
      <c r="D400" s="464" t="s">
        <v>2016</v>
      </c>
      <c r="E400" s="465" t="str">
        <f>VLOOKUP(C400,'[10]Project Detail Query'!$A$1:$R$2830,6,FALSE)</f>
        <v>F0599</v>
      </c>
      <c r="F400" s="464" t="str">
        <f>VLOOKUP(C400,'[10]Project Detail Query'!$A$1:$R$2830,7,FALSE)</f>
        <v>Main Replacement - ISRS (N)</v>
      </c>
      <c r="G400" s="465" t="s">
        <v>20</v>
      </c>
      <c r="H400" s="465">
        <v>201701</v>
      </c>
      <c r="I400" s="467">
        <v>-2354.12</v>
      </c>
      <c r="J400" s="297">
        <f t="shared" si="29"/>
        <v>42736</v>
      </c>
      <c r="K400" s="67">
        <f t="shared" si="30"/>
        <v>4</v>
      </c>
      <c r="L400" s="468">
        <v>2.23333E-3</v>
      </c>
      <c r="M400" s="104">
        <f t="shared" si="27"/>
        <v>-21.030107278399999</v>
      </c>
      <c r="O400" s="66">
        <f t="shared" si="28"/>
        <v>-712.43518266666672</v>
      </c>
    </row>
    <row r="401" spans="1:15">
      <c r="A401" s="464" t="s">
        <v>626</v>
      </c>
      <c r="B401" s="465" t="s">
        <v>1681</v>
      </c>
      <c r="C401" s="466" t="s">
        <v>2077</v>
      </c>
      <c r="D401" s="464" t="s">
        <v>2078</v>
      </c>
      <c r="E401" s="465" t="str">
        <f>VLOOKUP(C401,'[10]Project Detail Query'!$A$1:$R$2830,6,FALSE)</f>
        <v>F0572</v>
      </c>
      <c r="F401" s="464" t="str">
        <f>VLOOKUP(C401,'[10]Project Detail Query'!$A$1:$R$2830,7,FALSE)</f>
        <v>Main Replacement - ISRS (SW)</v>
      </c>
      <c r="G401" s="465" t="s">
        <v>20</v>
      </c>
      <c r="H401" s="465">
        <v>201701</v>
      </c>
      <c r="I401" s="467">
        <v>501</v>
      </c>
      <c r="J401" s="297">
        <f t="shared" si="29"/>
        <v>42736</v>
      </c>
      <c r="K401" s="67">
        <f t="shared" si="30"/>
        <v>4</v>
      </c>
      <c r="L401" s="472">
        <v>1.4833299999999999E-3</v>
      </c>
      <c r="M401" s="104">
        <f t="shared" si="27"/>
        <v>2.9725933199999997</v>
      </c>
      <c r="O401" s="66">
        <f t="shared" si="28"/>
        <v>151.61930000000004</v>
      </c>
    </row>
    <row r="402" spans="1:15">
      <c r="A402" s="464" t="s">
        <v>626</v>
      </c>
      <c r="B402" s="465" t="s">
        <v>1681</v>
      </c>
      <c r="C402" s="466" t="s">
        <v>2079</v>
      </c>
      <c r="D402" s="464" t="s">
        <v>2080</v>
      </c>
      <c r="E402" s="465" t="str">
        <f>VLOOKUP(C402,'[10]Project Detail Query'!$A$1:$R$2830,6,FALSE)</f>
        <v>F0604</v>
      </c>
      <c r="F402" s="464" t="str">
        <f>VLOOKUP(C402,'[10]Project Detail Query'!$A$1:$R$2830,7,FALSE)</f>
        <v>Main Replacement - ISRS (S)</v>
      </c>
      <c r="G402" s="465" t="s">
        <v>20</v>
      </c>
      <c r="H402" s="465">
        <v>201701</v>
      </c>
      <c r="I402" s="467">
        <v>3380.21</v>
      </c>
      <c r="J402" s="297">
        <f t="shared" si="29"/>
        <v>42736</v>
      </c>
      <c r="K402" s="67">
        <f t="shared" si="30"/>
        <v>4</v>
      </c>
      <c r="L402" s="472">
        <v>1.4833299999999999E-3</v>
      </c>
      <c r="M402" s="104">
        <f t="shared" si="27"/>
        <v>20.055867597199999</v>
      </c>
      <c r="O402" s="66">
        <f t="shared" si="28"/>
        <v>1022.9642196666668</v>
      </c>
    </row>
    <row r="403" spans="1:15">
      <c r="A403" s="464" t="s">
        <v>626</v>
      </c>
      <c r="B403" s="465" t="s">
        <v>1681</v>
      </c>
      <c r="C403" s="466" t="s">
        <v>2390</v>
      </c>
      <c r="D403" s="464" t="s">
        <v>2391</v>
      </c>
      <c r="E403" s="465" t="str">
        <f>VLOOKUP(C403,'[10]Project Detail Query'!$A$1:$R$2830,6,FALSE)</f>
        <v>F0599</v>
      </c>
      <c r="F403" s="464" t="str">
        <f>VLOOKUP(C403,'[10]Project Detail Query'!$A$1:$R$2830,7,FALSE)</f>
        <v>Main Replacement - ISRS (N)</v>
      </c>
      <c r="G403" s="465" t="s">
        <v>20</v>
      </c>
      <c r="H403" s="465">
        <v>201701</v>
      </c>
      <c r="I403" s="467">
        <v>2.5099999999999998</v>
      </c>
      <c r="J403" s="297">
        <f t="shared" si="29"/>
        <v>42736</v>
      </c>
      <c r="K403" s="67">
        <f t="shared" si="30"/>
        <v>4</v>
      </c>
      <c r="L403" s="472">
        <v>1.4833299999999999E-3</v>
      </c>
      <c r="M403" s="104">
        <f t="shared" si="27"/>
        <v>1.4892633199999998E-2</v>
      </c>
      <c r="O403" s="66">
        <f t="shared" si="28"/>
        <v>0.75960966666666663</v>
      </c>
    </row>
    <row r="404" spans="1:15">
      <c r="A404" s="464" t="s">
        <v>14</v>
      </c>
      <c r="B404" s="465" t="s">
        <v>1681</v>
      </c>
      <c r="C404" s="466" t="s">
        <v>2390</v>
      </c>
      <c r="D404" s="464" t="s">
        <v>2391</v>
      </c>
      <c r="E404" s="465" t="str">
        <f>VLOOKUP(C404,'[10]Project Detail Query'!$A$1:$R$2830,6,FALSE)</f>
        <v>F0599</v>
      </c>
      <c r="F404" s="464" t="str">
        <f>VLOOKUP(C404,'[10]Project Detail Query'!$A$1:$R$2830,7,FALSE)</f>
        <v>Main Replacement - ISRS (N)</v>
      </c>
      <c r="G404" s="465" t="s">
        <v>20</v>
      </c>
      <c r="H404" s="465">
        <v>201701</v>
      </c>
      <c r="I404" s="467">
        <v>0.27</v>
      </c>
      <c r="J404" s="297">
        <f t="shared" si="29"/>
        <v>42736</v>
      </c>
      <c r="K404" s="67">
        <f t="shared" si="30"/>
        <v>4</v>
      </c>
      <c r="L404" s="468">
        <v>2.23333E-3</v>
      </c>
      <c r="M404" s="104">
        <f t="shared" si="27"/>
        <v>2.4119964000000002E-3</v>
      </c>
      <c r="O404" s="66">
        <f t="shared" si="28"/>
        <v>8.1711000000000006E-2</v>
      </c>
    </row>
    <row r="405" spans="1:15">
      <c r="A405" s="464" t="s">
        <v>21</v>
      </c>
      <c r="B405" s="465" t="s">
        <v>1681</v>
      </c>
      <c r="C405" s="466" t="s">
        <v>2017</v>
      </c>
      <c r="D405" s="464" t="s">
        <v>2018</v>
      </c>
      <c r="E405" s="465" t="str">
        <f>VLOOKUP(C405,'[10]Project Detail Query'!$A$1:$R$2830,6,FALSE)</f>
        <v>F0547</v>
      </c>
      <c r="F405" s="464" t="str">
        <f>VLOOKUP(C405,'[10]Project Detail Query'!$A$1:$R$2830,7,FALSE)</f>
        <v>Street &amp; Highway Relocates ISRS (N)</v>
      </c>
      <c r="G405" s="465" t="s">
        <v>20</v>
      </c>
      <c r="H405" s="465">
        <v>201701</v>
      </c>
      <c r="I405" s="467">
        <v>-5617.38</v>
      </c>
      <c r="J405" s="297">
        <f t="shared" si="29"/>
        <v>42736</v>
      </c>
      <c r="K405" s="67">
        <f t="shared" si="30"/>
        <v>4</v>
      </c>
      <c r="L405" s="472">
        <v>1.4833299999999999E-3</v>
      </c>
      <c r="M405" s="104">
        <f t="shared" si="27"/>
        <v>-33.329713101599999</v>
      </c>
      <c r="O405" s="66">
        <f t="shared" si="28"/>
        <v>-1700.0064340000001</v>
      </c>
    </row>
    <row r="406" spans="1:15">
      <c r="A406" s="464" t="s">
        <v>626</v>
      </c>
      <c r="B406" s="465" t="s">
        <v>1681</v>
      </c>
      <c r="C406" s="466" t="s">
        <v>2081</v>
      </c>
      <c r="D406" s="464" t="s">
        <v>2082</v>
      </c>
      <c r="E406" s="465" t="str">
        <f>VLOOKUP(C406,'[10]Project Detail Query'!$A$1:$R$2830,6,FALSE)</f>
        <v>F0604</v>
      </c>
      <c r="F406" s="464" t="str">
        <f>VLOOKUP(C406,'[10]Project Detail Query'!$A$1:$R$2830,7,FALSE)</f>
        <v>Main Replacement - ISRS (S)</v>
      </c>
      <c r="G406" s="465" t="s">
        <v>20</v>
      </c>
      <c r="H406" s="465">
        <v>201701</v>
      </c>
      <c r="I406" s="467">
        <v>35289.279999999999</v>
      </c>
      <c r="J406" s="297">
        <f t="shared" si="29"/>
        <v>42736</v>
      </c>
      <c r="K406" s="67">
        <f t="shared" si="30"/>
        <v>4</v>
      </c>
      <c r="L406" s="472">
        <v>1.4833299999999999E-3</v>
      </c>
      <c r="M406" s="104">
        <f t="shared" si="27"/>
        <v>209.38259080959998</v>
      </c>
      <c r="O406" s="66">
        <f t="shared" si="28"/>
        <v>10679.712437333335</v>
      </c>
    </row>
    <row r="407" spans="1:15">
      <c r="A407" s="464" t="s">
        <v>626</v>
      </c>
      <c r="B407" s="465" t="s">
        <v>1681</v>
      </c>
      <c r="C407" s="466" t="s">
        <v>2085</v>
      </c>
      <c r="D407" s="464" t="s">
        <v>2086</v>
      </c>
      <c r="E407" s="465" t="str">
        <f>VLOOKUP(C407,'[10]Project Detail Query'!$A$1:$R$2830,6,FALSE)</f>
        <v>F0599</v>
      </c>
      <c r="F407" s="464" t="str">
        <f>VLOOKUP(C407,'[10]Project Detail Query'!$A$1:$R$2830,7,FALSE)</f>
        <v>Main Replacement - ISRS (N)</v>
      </c>
      <c r="G407" s="465" t="s">
        <v>20</v>
      </c>
      <c r="H407" s="465">
        <v>201701</v>
      </c>
      <c r="I407" s="467">
        <v>22066.43</v>
      </c>
      <c r="J407" s="297">
        <f t="shared" si="29"/>
        <v>42736</v>
      </c>
      <c r="K407" s="67">
        <f t="shared" si="30"/>
        <v>4</v>
      </c>
      <c r="L407" s="472">
        <v>1.4833299999999999E-3</v>
      </c>
      <c r="M407" s="104">
        <f t="shared" si="27"/>
        <v>130.9271904476</v>
      </c>
      <c r="O407" s="66">
        <f t="shared" si="28"/>
        <v>6678.0372656666677</v>
      </c>
    </row>
    <row r="408" spans="1:15">
      <c r="A408" s="464" t="s">
        <v>21</v>
      </c>
      <c r="B408" s="465" t="s">
        <v>1681</v>
      </c>
      <c r="C408" s="466" t="s">
        <v>2392</v>
      </c>
      <c r="D408" s="464" t="s">
        <v>2393</v>
      </c>
      <c r="E408" s="465" t="str">
        <f>VLOOKUP(C408,'[10]Project Detail Query'!$A$1:$R$2830,6,FALSE)</f>
        <v>F0604</v>
      </c>
      <c r="F408" s="464" t="str">
        <f>VLOOKUP(C408,'[10]Project Detail Query'!$A$1:$R$2830,7,FALSE)</f>
        <v>Main Replacement - ISRS (S)</v>
      </c>
      <c r="G408" s="465" t="s">
        <v>20</v>
      </c>
      <c r="H408" s="465">
        <v>201701</v>
      </c>
      <c r="I408" s="467">
        <v>7.0000000000000007E-2</v>
      </c>
      <c r="J408" s="297">
        <f t="shared" si="29"/>
        <v>42736</v>
      </c>
      <c r="K408" s="67">
        <f t="shared" si="30"/>
        <v>4</v>
      </c>
      <c r="L408" s="472">
        <v>1.4833299999999999E-3</v>
      </c>
      <c r="M408" s="104">
        <f t="shared" si="27"/>
        <v>4.153324E-4</v>
      </c>
      <c r="O408" s="66">
        <f t="shared" si="28"/>
        <v>2.118433333333334E-2</v>
      </c>
    </row>
    <row r="409" spans="1:15">
      <c r="A409" s="464" t="s">
        <v>626</v>
      </c>
      <c r="B409" s="465" t="s">
        <v>1681</v>
      </c>
      <c r="C409" s="466" t="s">
        <v>2392</v>
      </c>
      <c r="D409" s="464" t="s">
        <v>2393</v>
      </c>
      <c r="E409" s="465" t="str">
        <f>VLOOKUP(C409,'[10]Project Detail Query'!$A$1:$R$2830,6,FALSE)</f>
        <v>F0604</v>
      </c>
      <c r="F409" s="464" t="str">
        <f>VLOOKUP(C409,'[10]Project Detail Query'!$A$1:$R$2830,7,FALSE)</f>
        <v>Main Replacement - ISRS (S)</v>
      </c>
      <c r="G409" s="465" t="s">
        <v>20</v>
      </c>
      <c r="H409" s="465">
        <v>201701</v>
      </c>
      <c r="I409" s="467">
        <v>1077.8900000000001</v>
      </c>
      <c r="J409" s="297">
        <f t="shared" si="29"/>
        <v>42736</v>
      </c>
      <c r="K409" s="67">
        <f t="shared" si="30"/>
        <v>4</v>
      </c>
      <c r="L409" s="472">
        <v>1.4833299999999999E-3</v>
      </c>
      <c r="M409" s="104">
        <f t="shared" si="27"/>
        <v>6.3954662948000003</v>
      </c>
      <c r="O409" s="66">
        <f t="shared" si="28"/>
        <v>326.20544366666678</v>
      </c>
    </row>
    <row r="410" spans="1:15">
      <c r="A410" s="464" t="s">
        <v>14</v>
      </c>
      <c r="B410" s="465" t="s">
        <v>1681</v>
      </c>
      <c r="C410" s="466" t="s">
        <v>2392</v>
      </c>
      <c r="D410" s="464" t="s">
        <v>2393</v>
      </c>
      <c r="E410" s="465" t="str">
        <f>VLOOKUP(C410,'[10]Project Detail Query'!$A$1:$R$2830,6,FALSE)</f>
        <v>F0604</v>
      </c>
      <c r="F410" s="464" t="str">
        <f>VLOOKUP(C410,'[10]Project Detail Query'!$A$1:$R$2830,7,FALSE)</f>
        <v>Main Replacement - ISRS (S)</v>
      </c>
      <c r="G410" s="465" t="s">
        <v>20</v>
      </c>
      <c r="H410" s="465">
        <v>201701</v>
      </c>
      <c r="I410" s="467">
        <v>0.6</v>
      </c>
      <c r="J410" s="297">
        <f t="shared" si="29"/>
        <v>42736</v>
      </c>
      <c r="K410" s="67">
        <f t="shared" si="30"/>
        <v>4</v>
      </c>
      <c r="L410" s="468">
        <v>2.23333E-3</v>
      </c>
      <c r="M410" s="104">
        <f t="shared" si="27"/>
        <v>5.3599920000000001E-3</v>
      </c>
      <c r="O410" s="66">
        <f t="shared" si="28"/>
        <v>0.18158000000000002</v>
      </c>
    </row>
    <row r="411" spans="1:15">
      <c r="A411" s="464" t="s">
        <v>626</v>
      </c>
      <c r="B411" s="465" t="s">
        <v>1681</v>
      </c>
      <c r="C411" s="466" t="s">
        <v>2394</v>
      </c>
      <c r="D411" s="464" t="s">
        <v>2395</v>
      </c>
      <c r="E411" s="465" t="str">
        <f>VLOOKUP(C411,'[10]Project Detail Query'!$A$1:$R$2830,6,FALSE)</f>
        <v>F0604</v>
      </c>
      <c r="F411" s="464" t="str">
        <f>VLOOKUP(C411,'[10]Project Detail Query'!$A$1:$R$2830,7,FALSE)</f>
        <v>Main Replacement - ISRS (S)</v>
      </c>
      <c r="G411" s="465" t="s">
        <v>20</v>
      </c>
      <c r="H411" s="465">
        <v>201701</v>
      </c>
      <c r="I411" s="467">
        <v>13188.47</v>
      </c>
      <c r="J411" s="297">
        <f t="shared" si="29"/>
        <v>42736</v>
      </c>
      <c r="K411" s="67">
        <f t="shared" si="30"/>
        <v>4</v>
      </c>
      <c r="L411" s="472">
        <v>1.4833299999999999E-3</v>
      </c>
      <c r="M411" s="104">
        <f t="shared" si="27"/>
        <v>78.251412820399992</v>
      </c>
      <c r="O411" s="66">
        <f t="shared" si="28"/>
        <v>3991.270637666667</v>
      </c>
    </row>
    <row r="412" spans="1:15">
      <c r="A412" s="464" t="s">
        <v>14</v>
      </c>
      <c r="B412" s="465" t="s">
        <v>1681</v>
      </c>
      <c r="C412" s="466" t="s">
        <v>2394</v>
      </c>
      <c r="D412" s="464" t="s">
        <v>2395</v>
      </c>
      <c r="E412" s="465" t="str">
        <f>VLOOKUP(C412,'[10]Project Detail Query'!$A$1:$R$2830,6,FALSE)</f>
        <v>F0604</v>
      </c>
      <c r="F412" s="464" t="str">
        <f>VLOOKUP(C412,'[10]Project Detail Query'!$A$1:$R$2830,7,FALSE)</f>
        <v>Main Replacement - ISRS (S)</v>
      </c>
      <c r="G412" s="465" t="s">
        <v>20</v>
      </c>
      <c r="H412" s="465">
        <v>201701</v>
      </c>
      <c r="I412" s="467">
        <v>553.69000000000005</v>
      </c>
      <c r="J412" s="297">
        <f t="shared" si="29"/>
        <v>42736</v>
      </c>
      <c r="K412" s="67">
        <f t="shared" si="30"/>
        <v>4</v>
      </c>
      <c r="L412" s="468">
        <v>2.23333E-3</v>
      </c>
      <c r="M412" s="104">
        <f t="shared" si="27"/>
        <v>4.9462899508000007</v>
      </c>
      <c r="O412" s="66">
        <f t="shared" si="28"/>
        <v>167.56505033333337</v>
      </c>
    </row>
    <row r="413" spans="1:15">
      <c r="A413" s="464" t="s">
        <v>626</v>
      </c>
      <c r="B413" s="465" t="s">
        <v>1681</v>
      </c>
      <c r="C413" s="466" t="s">
        <v>2269</v>
      </c>
      <c r="D413" s="464" t="s">
        <v>2270</v>
      </c>
      <c r="E413" s="465" t="str">
        <f>VLOOKUP(C413,'[10]Project Detail Query'!$A$1:$R$2830,6,FALSE)</f>
        <v>F0664</v>
      </c>
      <c r="F413" s="464" t="str">
        <f>VLOOKUP(C413,'[10]Project Detail Query'!$A$1:$R$2830,7,FALSE)</f>
        <v>Street &amp; Hwy Relocates ISRS (SW)</v>
      </c>
      <c r="G413" s="465" t="s">
        <v>20</v>
      </c>
      <c r="H413" s="465">
        <v>201701</v>
      </c>
      <c r="I413" s="467">
        <v>6177.59</v>
      </c>
      <c r="J413" s="297">
        <f t="shared" si="29"/>
        <v>42736</v>
      </c>
      <c r="K413" s="67">
        <f t="shared" si="30"/>
        <v>4</v>
      </c>
      <c r="L413" s="472">
        <v>1.4833299999999999E-3</v>
      </c>
      <c r="M413" s="104">
        <f t="shared" si="27"/>
        <v>36.653618298799998</v>
      </c>
      <c r="O413" s="66">
        <f t="shared" si="28"/>
        <v>1869.544653666667</v>
      </c>
    </row>
    <row r="414" spans="1:15">
      <c r="A414" s="464" t="s">
        <v>626</v>
      </c>
      <c r="B414" s="465" t="s">
        <v>1681</v>
      </c>
      <c r="C414" s="466" t="s">
        <v>2398</v>
      </c>
      <c r="D414" s="464" t="s">
        <v>2399</v>
      </c>
      <c r="E414" s="465" t="str">
        <f>VLOOKUP(C414,'[10]Project Detail Query'!$A$1:$R$2830,6,FALSE)</f>
        <v>F0664</v>
      </c>
      <c r="F414" s="464" t="str">
        <f>VLOOKUP(C414,'[10]Project Detail Query'!$A$1:$R$2830,7,FALSE)</f>
        <v>Street &amp; Hwy Relocates ISRS (SW)</v>
      </c>
      <c r="G414" s="465" t="s">
        <v>20</v>
      </c>
      <c r="H414" s="465">
        <v>201701</v>
      </c>
      <c r="I414" s="467">
        <v>269.49</v>
      </c>
      <c r="J414" s="297">
        <f t="shared" si="29"/>
        <v>42736</v>
      </c>
      <c r="K414" s="67">
        <f t="shared" si="30"/>
        <v>4</v>
      </c>
      <c r="L414" s="472">
        <v>1.4833299999999999E-3</v>
      </c>
      <c r="M414" s="104">
        <f t="shared" si="27"/>
        <v>1.5989704067999999</v>
      </c>
      <c r="O414" s="66">
        <f t="shared" si="28"/>
        <v>81.556657000000016</v>
      </c>
    </row>
    <row r="415" spans="1:15">
      <c r="A415" s="464" t="s">
        <v>21</v>
      </c>
      <c r="B415" s="465" t="s">
        <v>1681</v>
      </c>
      <c r="C415" s="466" t="s">
        <v>2615</v>
      </c>
      <c r="D415" s="464" t="s">
        <v>2616</v>
      </c>
      <c r="E415" s="465" t="str">
        <f>VLOOKUP(C415,'[10]Project Detail Query'!$A$1:$R$2830,6,FALSE)</f>
        <v>F0664</v>
      </c>
      <c r="F415" s="464" t="str">
        <f>VLOOKUP(C415,'[10]Project Detail Query'!$A$1:$R$2830,7,FALSE)</f>
        <v>Street &amp; Hwy Relocates ISRS (SW)</v>
      </c>
      <c r="G415" s="465" t="s">
        <v>20</v>
      </c>
      <c r="H415" s="465">
        <v>201701</v>
      </c>
      <c r="I415" s="467">
        <v>157687.14000000001</v>
      </c>
      <c r="J415" s="297">
        <f t="shared" si="29"/>
        <v>42736</v>
      </c>
      <c r="K415" s="67">
        <f t="shared" si="30"/>
        <v>4</v>
      </c>
      <c r="L415" s="472">
        <v>1.4833299999999999E-3</v>
      </c>
      <c r="M415" s="104">
        <f t="shared" si="27"/>
        <v>935.6082615048</v>
      </c>
      <c r="O415" s="66">
        <f t="shared" si="28"/>
        <v>47721.384802000008</v>
      </c>
    </row>
    <row r="416" spans="1:15">
      <c r="A416" s="464" t="s">
        <v>626</v>
      </c>
      <c r="B416" s="465" t="s">
        <v>1681</v>
      </c>
      <c r="C416" s="466" t="s">
        <v>2615</v>
      </c>
      <c r="D416" s="464" t="s">
        <v>2616</v>
      </c>
      <c r="E416" s="465" t="str">
        <f>VLOOKUP(C416,'[10]Project Detail Query'!$A$1:$R$2830,6,FALSE)</f>
        <v>F0664</v>
      </c>
      <c r="F416" s="464" t="str">
        <f>VLOOKUP(C416,'[10]Project Detail Query'!$A$1:$R$2830,7,FALSE)</f>
        <v>Street &amp; Hwy Relocates ISRS (SW)</v>
      </c>
      <c r="G416" s="465" t="s">
        <v>20</v>
      </c>
      <c r="H416" s="465">
        <v>201701</v>
      </c>
      <c r="I416" s="467">
        <v>100887.84</v>
      </c>
      <c r="J416" s="297">
        <f t="shared" si="29"/>
        <v>42736</v>
      </c>
      <c r="K416" s="67">
        <f t="shared" si="30"/>
        <v>4</v>
      </c>
      <c r="L416" s="472">
        <v>1.4833299999999999E-3</v>
      </c>
      <c r="M416" s="104">
        <f t="shared" si="27"/>
        <v>598.59983882879999</v>
      </c>
      <c r="O416" s="66">
        <f t="shared" si="28"/>
        <v>30532.023312000001</v>
      </c>
    </row>
    <row r="417" spans="1:15">
      <c r="A417" s="464" t="s">
        <v>14</v>
      </c>
      <c r="B417" s="465" t="s">
        <v>1681</v>
      </c>
      <c r="C417" s="466" t="s">
        <v>2615</v>
      </c>
      <c r="D417" s="464" t="s">
        <v>2616</v>
      </c>
      <c r="E417" s="465" t="str">
        <f>VLOOKUP(C417,'[10]Project Detail Query'!$A$1:$R$2830,6,FALSE)</f>
        <v>F0664</v>
      </c>
      <c r="F417" s="464" t="str">
        <f>VLOOKUP(C417,'[10]Project Detail Query'!$A$1:$R$2830,7,FALSE)</f>
        <v>Street &amp; Hwy Relocates ISRS (SW)</v>
      </c>
      <c r="G417" s="465" t="s">
        <v>20</v>
      </c>
      <c r="H417" s="465">
        <v>201701</v>
      </c>
      <c r="I417" s="467">
        <v>3344.44</v>
      </c>
      <c r="J417" s="297">
        <f t="shared" si="29"/>
        <v>42736</v>
      </c>
      <c r="K417" s="67">
        <f t="shared" si="30"/>
        <v>4</v>
      </c>
      <c r="L417" s="468">
        <v>2.23333E-3</v>
      </c>
      <c r="M417" s="104">
        <f t="shared" si="27"/>
        <v>29.8769527408</v>
      </c>
      <c r="O417" s="66">
        <f t="shared" si="28"/>
        <v>1012.1390253333335</v>
      </c>
    </row>
    <row r="418" spans="1:15">
      <c r="A418" s="464" t="s">
        <v>626</v>
      </c>
      <c r="B418" s="465" t="s">
        <v>1681</v>
      </c>
      <c r="C418" s="466" t="s">
        <v>2402</v>
      </c>
      <c r="D418" s="464" t="s">
        <v>2403</v>
      </c>
      <c r="E418" s="465" t="str">
        <f>VLOOKUP(C418,'[10]Project Detail Query'!$A$1:$R$2830,6,FALSE)</f>
        <v>F0547</v>
      </c>
      <c r="F418" s="464" t="str">
        <f>VLOOKUP(C418,'[10]Project Detail Query'!$A$1:$R$2830,7,FALSE)</f>
        <v>Street &amp; Highway Relocates ISRS (N)</v>
      </c>
      <c r="G418" s="465" t="s">
        <v>20</v>
      </c>
      <c r="H418" s="465">
        <v>201701</v>
      </c>
      <c r="I418" s="467">
        <v>1546.21</v>
      </c>
      <c r="J418" s="297">
        <f t="shared" si="29"/>
        <v>42736</v>
      </c>
      <c r="K418" s="67">
        <f t="shared" si="30"/>
        <v>4</v>
      </c>
      <c r="L418" s="472">
        <v>1.4833299999999999E-3</v>
      </c>
      <c r="M418" s="104">
        <f t="shared" si="27"/>
        <v>9.1741587171999992</v>
      </c>
      <c r="O418" s="66">
        <f t="shared" si="28"/>
        <v>467.93468633333339</v>
      </c>
    </row>
    <row r="419" spans="1:15">
      <c r="A419" s="464" t="s">
        <v>14</v>
      </c>
      <c r="B419" s="465" t="s">
        <v>1681</v>
      </c>
      <c r="C419" s="466" t="s">
        <v>2402</v>
      </c>
      <c r="D419" s="464" t="s">
        <v>2403</v>
      </c>
      <c r="E419" s="465" t="str">
        <f>VLOOKUP(C419,'[10]Project Detail Query'!$A$1:$R$2830,6,FALSE)</f>
        <v>F0547</v>
      </c>
      <c r="F419" s="464" t="str">
        <f>VLOOKUP(C419,'[10]Project Detail Query'!$A$1:$R$2830,7,FALSE)</f>
        <v>Street &amp; Highway Relocates ISRS (N)</v>
      </c>
      <c r="G419" s="465" t="s">
        <v>20</v>
      </c>
      <c r="H419" s="465">
        <v>201701</v>
      </c>
      <c r="I419" s="467">
        <v>250.3</v>
      </c>
      <c r="J419" s="297">
        <f t="shared" si="29"/>
        <v>42736</v>
      </c>
      <c r="K419" s="67">
        <f t="shared" si="30"/>
        <v>4</v>
      </c>
      <c r="L419" s="468">
        <v>2.23333E-3</v>
      </c>
      <c r="M419" s="104">
        <f t="shared" ref="M419:M470" si="31">L419*K419*I419</f>
        <v>2.2360099959999999</v>
      </c>
      <c r="O419" s="66">
        <f t="shared" ref="O419:O470" si="32">($O$4*I419*$R$11)</f>
        <v>75.749123333333358</v>
      </c>
    </row>
    <row r="420" spans="1:15">
      <c r="A420" s="464" t="s">
        <v>626</v>
      </c>
      <c r="B420" s="465" t="s">
        <v>1681</v>
      </c>
      <c r="C420" s="466" t="s">
        <v>2101</v>
      </c>
      <c r="D420" s="464" t="s">
        <v>2102</v>
      </c>
      <c r="E420" s="465" t="str">
        <f>VLOOKUP(C420,'[10]Project Detail Query'!$A$1:$R$2830,6,FALSE)</f>
        <v>F0572</v>
      </c>
      <c r="F420" s="464" t="str">
        <f>VLOOKUP(C420,'[10]Project Detail Query'!$A$1:$R$2830,7,FALSE)</f>
        <v>Main Replacement - ISRS (SW)</v>
      </c>
      <c r="G420" s="465" t="s">
        <v>20</v>
      </c>
      <c r="H420" s="465">
        <v>201701</v>
      </c>
      <c r="I420" s="467">
        <v>3.86</v>
      </c>
      <c r="J420" s="297">
        <f t="shared" si="29"/>
        <v>42736</v>
      </c>
      <c r="K420" s="67">
        <f t="shared" si="30"/>
        <v>4</v>
      </c>
      <c r="L420" s="472">
        <v>1.4833299999999999E-3</v>
      </c>
      <c r="M420" s="104">
        <f t="shared" si="31"/>
        <v>2.2902615199999997E-2</v>
      </c>
      <c r="O420" s="66">
        <f t="shared" si="32"/>
        <v>1.1681646666666667</v>
      </c>
    </row>
    <row r="421" spans="1:15">
      <c r="A421" s="464" t="s">
        <v>626</v>
      </c>
      <c r="B421" s="465" t="s">
        <v>1681</v>
      </c>
      <c r="C421" s="466" t="s">
        <v>2404</v>
      </c>
      <c r="D421" s="464" t="s">
        <v>2405</v>
      </c>
      <c r="E421" s="465" t="str">
        <f>VLOOKUP(C421,'[10]Project Detail Query'!$A$1:$R$2830,6,FALSE)</f>
        <v>F0578</v>
      </c>
      <c r="F421" s="464" t="str">
        <f>VLOOKUP(C421,'[10]Project Detail Query'!$A$1:$R$2830,7,FALSE)</f>
        <v>Street &amp; Highway Relocates ISRS (S)</v>
      </c>
      <c r="G421" s="465" t="s">
        <v>20</v>
      </c>
      <c r="H421" s="465">
        <v>201701</v>
      </c>
      <c r="I421" s="467">
        <v>8626.34</v>
      </c>
      <c r="J421" s="297">
        <f t="shared" si="29"/>
        <v>42736</v>
      </c>
      <c r="K421" s="67">
        <f t="shared" si="30"/>
        <v>4</v>
      </c>
      <c r="L421" s="472">
        <v>1.4833299999999999E-3</v>
      </c>
      <c r="M421" s="104">
        <f t="shared" si="31"/>
        <v>51.182835648800001</v>
      </c>
      <c r="O421" s="66">
        <f t="shared" si="32"/>
        <v>2610.6180286666672</v>
      </c>
    </row>
    <row r="422" spans="1:15">
      <c r="A422" s="464" t="s">
        <v>626</v>
      </c>
      <c r="B422" s="465" t="s">
        <v>1681</v>
      </c>
      <c r="C422" s="466" t="s">
        <v>2617</v>
      </c>
      <c r="D422" s="464" t="s">
        <v>2618</v>
      </c>
      <c r="E422" s="465" t="str">
        <f>VLOOKUP(C422,'[10]Project Detail Query'!$A$1:$R$2830,6,FALSE)</f>
        <v>F0572</v>
      </c>
      <c r="F422" s="464" t="str">
        <f>VLOOKUP(C422,'[10]Project Detail Query'!$A$1:$R$2830,7,FALSE)</f>
        <v>Main Replacement - ISRS (SW)</v>
      </c>
      <c r="G422" s="465" t="s">
        <v>20</v>
      </c>
      <c r="H422" s="465">
        <v>201701</v>
      </c>
      <c r="I422" s="467">
        <v>53855.89</v>
      </c>
      <c r="J422" s="297">
        <f t="shared" si="29"/>
        <v>42736</v>
      </c>
      <c r="K422" s="67">
        <f t="shared" si="30"/>
        <v>4</v>
      </c>
      <c r="L422" s="472">
        <v>1.4833299999999999E-3</v>
      </c>
      <c r="M422" s="104">
        <f t="shared" si="31"/>
        <v>319.54422925479997</v>
      </c>
      <c r="O422" s="66">
        <f t="shared" si="32"/>
        <v>16298.587510333335</v>
      </c>
    </row>
    <row r="423" spans="1:15">
      <c r="A423" s="464" t="s">
        <v>14</v>
      </c>
      <c r="B423" s="465" t="s">
        <v>1681</v>
      </c>
      <c r="C423" s="466" t="s">
        <v>2617</v>
      </c>
      <c r="D423" s="464" t="s">
        <v>2618</v>
      </c>
      <c r="E423" s="465" t="str">
        <f>VLOOKUP(C423,'[10]Project Detail Query'!$A$1:$R$2830,6,FALSE)</f>
        <v>F0572</v>
      </c>
      <c r="F423" s="464" t="str">
        <f>VLOOKUP(C423,'[10]Project Detail Query'!$A$1:$R$2830,7,FALSE)</f>
        <v>Main Replacement - ISRS (SW)</v>
      </c>
      <c r="G423" s="465" t="s">
        <v>20</v>
      </c>
      <c r="H423" s="465">
        <v>201701</v>
      </c>
      <c r="I423" s="467">
        <v>9867.07</v>
      </c>
      <c r="J423" s="297">
        <f t="shared" si="29"/>
        <v>42736</v>
      </c>
      <c r="K423" s="67">
        <f t="shared" si="30"/>
        <v>4</v>
      </c>
      <c r="L423" s="468">
        <v>2.23333E-3</v>
      </c>
      <c r="M423" s="104">
        <f t="shared" si="31"/>
        <v>88.145693772399994</v>
      </c>
      <c r="O423" s="66">
        <f t="shared" si="32"/>
        <v>2986.1042843333335</v>
      </c>
    </row>
    <row r="424" spans="1:15">
      <c r="A424" s="464" t="s">
        <v>626</v>
      </c>
      <c r="B424" s="465" t="s">
        <v>1681</v>
      </c>
      <c r="C424" s="466" t="s">
        <v>2273</v>
      </c>
      <c r="D424" s="464" t="s">
        <v>2274</v>
      </c>
      <c r="E424" s="465" t="str">
        <f>VLOOKUP(C424,'[10]Project Detail Query'!$A$1:$R$2830,6,FALSE)</f>
        <v>F0572</v>
      </c>
      <c r="F424" s="464" t="str">
        <f>VLOOKUP(C424,'[10]Project Detail Query'!$A$1:$R$2830,7,FALSE)</f>
        <v>Main Replacement - ISRS (SW)</v>
      </c>
      <c r="G424" s="465" t="s">
        <v>20</v>
      </c>
      <c r="H424" s="465">
        <v>201701</v>
      </c>
      <c r="I424" s="467">
        <v>4040.93</v>
      </c>
      <c r="J424" s="297">
        <f t="shared" si="29"/>
        <v>42736</v>
      </c>
      <c r="K424" s="67">
        <f t="shared" si="30"/>
        <v>4</v>
      </c>
      <c r="L424" s="472">
        <v>1.4833299999999999E-3</v>
      </c>
      <c r="M424" s="104">
        <f t="shared" si="31"/>
        <v>23.976130787599999</v>
      </c>
      <c r="O424" s="66">
        <f t="shared" si="32"/>
        <v>1222.9201156666668</v>
      </c>
    </row>
    <row r="425" spans="1:15">
      <c r="A425" s="464" t="s">
        <v>626</v>
      </c>
      <c r="B425" s="465" t="s">
        <v>1681</v>
      </c>
      <c r="C425" s="466" t="s">
        <v>2619</v>
      </c>
      <c r="D425" s="464" t="s">
        <v>2620</v>
      </c>
      <c r="E425" s="465" t="str">
        <f>VLOOKUP(C425,'[10]Project Detail Query'!$A$1:$R$2830,6,FALSE)</f>
        <v>F0572</v>
      </c>
      <c r="F425" s="464" t="str">
        <f>VLOOKUP(C425,'[10]Project Detail Query'!$A$1:$R$2830,7,FALSE)</f>
        <v>Main Replacement - ISRS (SW)</v>
      </c>
      <c r="G425" s="465" t="s">
        <v>20</v>
      </c>
      <c r="H425" s="465">
        <v>201701</v>
      </c>
      <c r="I425" s="467">
        <v>102696.47</v>
      </c>
      <c r="J425" s="297">
        <f t="shared" si="29"/>
        <v>42736</v>
      </c>
      <c r="K425" s="67">
        <f t="shared" si="30"/>
        <v>4</v>
      </c>
      <c r="L425" s="472">
        <v>1.4833299999999999E-3</v>
      </c>
      <c r="M425" s="104">
        <f t="shared" si="31"/>
        <v>609.33101938039999</v>
      </c>
      <c r="O425" s="66">
        <f t="shared" si="32"/>
        <v>31079.375037666672</v>
      </c>
    </row>
    <row r="426" spans="1:15">
      <c r="A426" s="464" t="s">
        <v>626</v>
      </c>
      <c r="B426" s="465" t="s">
        <v>1681</v>
      </c>
      <c r="C426" s="466" t="s">
        <v>2621</v>
      </c>
      <c r="D426" s="464" t="s">
        <v>2622</v>
      </c>
      <c r="E426" s="465" t="str">
        <f>VLOOKUP(C426,'[10]Project Detail Query'!$A$1:$R$2830,6,FALSE)</f>
        <v>F0572</v>
      </c>
      <c r="F426" s="464" t="str">
        <f>VLOOKUP(C426,'[10]Project Detail Query'!$A$1:$R$2830,7,FALSE)</f>
        <v>Main Replacement - ISRS (SW)</v>
      </c>
      <c r="G426" s="465" t="s">
        <v>20</v>
      </c>
      <c r="H426" s="465">
        <v>201701</v>
      </c>
      <c r="I426" s="467">
        <v>110570.44</v>
      </c>
      <c r="J426" s="297">
        <f t="shared" si="29"/>
        <v>42736</v>
      </c>
      <c r="K426" s="67">
        <f t="shared" si="30"/>
        <v>4</v>
      </c>
      <c r="L426" s="472">
        <v>1.4833299999999999E-3</v>
      </c>
      <c r="M426" s="104">
        <f t="shared" si="31"/>
        <v>656.04980306079995</v>
      </c>
      <c r="O426" s="66">
        <f t="shared" si="32"/>
        <v>33462.300825333339</v>
      </c>
    </row>
    <row r="427" spans="1:15">
      <c r="A427" s="464" t="s">
        <v>21</v>
      </c>
      <c r="B427" s="465" t="s">
        <v>1681</v>
      </c>
      <c r="C427" s="466" t="s">
        <v>2438</v>
      </c>
      <c r="D427" s="464" t="s">
        <v>2439</v>
      </c>
      <c r="E427" s="465" t="str">
        <f>VLOOKUP(C427,'[10]Project Detail Query'!$A$1:$R$2830,6,FALSE)</f>
        <v>F0572</v>
      </c>
      <c r="F427" s="464" t="str">
        <f>VLOOKUP(C427,'[10]Project Detail Query'!$A$1:$R$2830,7,FALSE)</f>
        <v>Main Replacement - ISRS (SW)</v>
      </c>
      <c r="G427" s="465" t="s">
        <v>20</v>
      </c>
      <c r="H427" s="465">
        <v>201701</v>
      </c>
      <c r="I427" s="467">
        <v>-83.04</v>
      </c>
      <c r="J427" s="297">
        <f t="shared" si="29"/>
        <v>42736</v>
      </c>
      <c r="K427" s="67">
        <f t="shared" si="30"/>
        <v>4</v>
      </c>
      <c r="L427" s="472">
        <v>1.4833299999999999E-3</v>
      </c>
      <c r="M427" s="104">
        <f t="shared" si="31"/>
        <v>-0.49270289280000001</v>
      </c>
      <c r="O427" s="66">
        <f t="shared" si="32"/>
        <v>-25.130672000000004</v>
      </c>
    </row>
    <row r="428" spans="1:15">
      <c r="A428" s="464" t="s">
        <v>626</v>
      </c>
      <c r="B428" s="465" t="s">
        <v>1681</v>
      </c>
      <c r="C428" s="466" t="s">
        <v>2438</v>
      </c>
      <c r="D428" s="464" t="s">
        <v>2439</v>
      </c>
      <c r="E428" s="465" t="str">
        <f>VLOOKUP(C428,'[10]Project Detail Query'!$A$1:$R$2830,6,FALSE)</f>
        <v>F0572</v>
      </c>
      <c r="F428" s="464" t="str">
        <f>VLOOKUP(C428,'[10]Project Detail Query'!$A$1:$R$2830,7,FALSE)</f>
        <v>Main Replacement - ISRS (SW)</v>
      </c>
      <c r="G428" s="465" t="s">
        <v>20</v>
      </c>
      <c r="H428" s="465">
        <v>201701</v>
      </c>
      <c r="I428" s="467">
        <v>-1929.84</v>
      </c>
      <c r="J428" s="297">
        <f t="shared" si="29"/>
        <v>42736</v>
      </c>
      <c r="K428" s="67">
        <f t="shared" si="30"/>
        <v>4</v>
      </c>
      <c r="L428" s="472">
        <v>1.4833299999999999E-3</v>
      </c>
      <c r="M428" s="104">
        <f t="shared" si="31"/>
        <v>-11.450358268799999</v>
      </c>
      <c r="O428" s="66">
        <f t="shared" si="32"/>
        <v>-584.0339120000001</v>
      </c>
    </row>
    <row r="429" spans="1:15">
      <c r="A429" s="464" t="s">
        <v>14</v>
      </c>
      <c r="B429" s="465" t="s">
        <v>1681</v>
      </c>
      <c r="C429" s="466" t="s">
        <v>2438</v>
      </c>
      <c r="D429" s="464" t="s">
        <v>2439</v>
      </c>
      <c r="E429" s="465" t="str">
        <f>VLOOKUP(C429,'[10]Project Detail Query'!$A$1:$R$2830,6,FALSE)</f>
        <v>F0572</v>
      </c>
      <c r="F429" s="464" t="str">
        <f>VLOOKUP(C429,'[10]Project Detail Query'!$A$1:$R$2830,7,FALSE)</f>
        <v>Main Replacement - ISRS (SW)</v>
      </c>
      <c r="G429" s="465" t="s">
        <v>20</v>
      </c>
      <c r="H429" s="465">
        <v>201701</v>
      </c>
      <c r="I429" s="467">
        <v>-13.4</v>
      </c>
      <c r="J429" s="297">
        <f t="shared" si="29"/>
        <v>42736</v>
      </c>
      <c r="K429" s="67">
        <f t="shared" si="30"/>
        <v>4</v>
      </c>
      <c r="L429" s="468">
        <v>2.23333E-3</v>
      </c>
      <c r="M429" s="104">
        <f t="shared" si="31"/>
        <v>-0.119706488</v>
      </c>
      <c r="O429" s="66">
        <f t="shared" si="32"/>
        <v>-4.0552866666666674</v>
      </c>
    </row>
    <row r="430" spans="1:15">
      <c r="A430" s="464" t="s">
        <v>626</v>
      </c>
      <c r="B430" s="465" t="s">
        <v>1681</v>
      </c>
      <c r="C430" s="466" t="s">
        <v>2623</v>
      </c>
      <c r="D430" s="464" t="s">
        <v>2624</v>
      </c>
      <c r="E430" s="465" t="str">
        <f>VLOOKUP(C430,'[10]Project Detail Query'!$A$1:$R$2830,6,FALSE)</f>
        <v>F0572</v>
      </c>
      <c r="F430" s="464" t="str">
        <f>VLOOKUP(C430,'[10]Project Detail Query'!$A$1:$R$2830,7,FALSE)</f>
        <v>Main Replacement - ISRS (SW)</v>
      </c>
      <c r="G430" s="465" t="s">
        <v>20</v>
      </c>
      <c r="H430" s="465">
        <v>201701</v>
      </c>
      <c r="I430" s="467">
        <v>758734.36</v>
      </c>
      <c r="J430" s="297">
        <f t="shared" si="29"/>
        <v>42736</v>
      </c>
      <c r="K430" s="67">
        <f t="shared" si="30"/>
        <v>4</v>
      </c>
      <c r="L430" s="472">
        <v>1.4833299999999999E-3</v>
      </c>
      <c r="M430" s="104">
        <f t="shared" si="31"/>
        <v>4501.8137528751995</v>
      </c>
      <c r="O430" s="66">
        <f t="shared" si="32"/>
        <v>229618.30848133337</v>
      </c>
    </row>
    <row r="431" spans="1:15">
      <c r="A431" s="464" t="s">
        <v>626</v>
      </c>
      <c r="B431" s="465" t="s">
        <v>1681</v>
      </c>
      <c r="C431" s="466" t="s">
        <v>2113</v>
      </c>
      <c r="D431" s="464" t="s">
        <v>2114</v>
      </c>
      <c r="E431" s="465" t="str">
        <f>VLOOKUP(C431,'[10]Project Detail Query'!$A$1:$R$2830,6,FALSE)</f>
        <v>F0547</v>
      </c>
      <c r="F431" s="464" t="str">
        <f>VLOOKUP(C431,'[10]Project Detail Query'!$A$1:$R$2830,7,FALSE)</f>
        <v>Street &amp; Highway Relocates ISRS (N)</v>
      </c>
      <c r="G431" s="465" t="s">
        <v>20</v>
      </c>
      <c r="H431" s="465">
        <v>201701</v>
      </c>
      <c r="I431" s="467">
        <v>328.11</v>
      </c>
      <c r="J431" s="297">
        <f t="shared" si="29"/>
        <v>42736</v>
      </c>
      <c r="K431" s="67">
        <f t="shared" si="30"/>
        <v>4</v>
      </c>
      <c r="L431" s="472">
        <v>1.4833299999999999E-3</v>
      </c>
      <c r="M431" s="104">
        <f t="shared" si="31"/>
        <v>1.9467816252000001</v>
      </c>
      <c r="O431" s="66">
        <f t="shared" si="32"/>
        <v>99.297023000000024</v>
      </c>
    </row>
    <row r="432" spans="1:15">
      <c r="A432" s="464" t="s">
        <v>626</v>
      </c>
      <c r="B432" s="465" t="s">
        <v>1681</v>
      </c>
      <c r="C432" s="466" t="s">
        <v>2406</v>
      </c>
      <c r="D432" s="464" t="s">
        <v>2407</v>
      </c>
      <c r="E432" s="465" t="str">
        <f>VLOOKUP(C432,'[10]Project Detail Query'!$A$1:$R$2830,6,FALSE)</f>
        <v>F0604</v>
      </c>
      <c r="F432" s="464" t="str">
        <f>VLOOKUP(C432,'[10]Project Detail Query'!$A$1:$R$2830,7,FALSE)</f>
        <v>Main Replacement - ISRS (S)</v>
      </c>
      <c r="G432" s="465" t="s">
        <v>20</v>
      </c>
      <c r="H432" s="465">
        <v>201701</v>
      </c>
      <c r="I432" s="467">
        <v>16044.94</v>
      </c>
      <c r="J432" s="297">
        <f t="shared" si="29"/>
        <v>42736</v>
      </c>
      <c r="K432" s="67">
        <f t="shared" si="30"/>
        <v>4</v>
      </c>
      <c r="L432" s="472">
        <v>1.4833299999999999E-3</v>
      </c>
      <c r="M432" s="104">
        <f t="shared" si="31"/>
        <v>95.199763400799995</v>
      </c>
      <c r="O432" s="66">
        <f t="shared" si="32"/>
        <v>4855.7336753333338</v>
      </c>
    </row>
    <row r="433" spans="1:15">
      <c r="A433" s="464" t="s">
        <v>14</v>
      </c>
      <c r="B433" s="465" t="s">
        <v>1681</v>
      </c>
      <c r="C433" s="466" t="s">
        <v>2406</v>
      </c>
      <c r="D433" s="464" t="s">
        <v>2407</v>
      </c>
      <c r="E433" s="465" t="str">
        <f>VLOOKUP(C433,'[10]Project Detail Query'!$A$1:$R$2830,6,FALSE)</f>
        <v>F0604</v>
      </c>
      <c r="F433" s="464" t="str">
        <f>VLOOKUP(C433,'[10]Project Detail Query'!$A$1:$R$2830,7,FALSE)</f>
        <v>Main Replacement - ISRS (S)</v>
      </c>
      <c r="G433" s="465" t="s">
        <v>20</v>
      </c>
      <c r="H433" s="465">
        <v>201701</v>
      </c>
      <c r="I433" s="467">
        <v>377.84</v>
      </c>
      <c r="J433" s="297">
        <f t="shared" si="29"/>
        <v>42736</v>
      </c>
      <c r="K433" s="67">
        <f t="shared" si="30"/>
        <v>4</v>
      </c>
      <c r="L433" s="468">
        <v>2.23333E-3</v>
      </c>
      <c r="M433" s="104">
        <f t="shared" si="31"/>
        <v>3.3753656287999996</v>
      </c>
      <c r="O433" s="66">
        <f t="shared" si="32"/>
        <v>114.34697866666667</v>
      </c>
    </row>
    <row r="434" spans="1:15">
      <c r="A434" s="464" t="s">
        <v>626</v>
      </c>
      <c r="B434" s="465" t="s">
        <v>1681</v>
      </c>
      <c r="C434" s="466" t="s">
        <v>2275</v>
      </c>
      <c r="D434" s="464" t="s">
        <v>2276</v>
      </c>
      <c r="E434" s="465" t="str">
        <f>VLOOKUP(C434,'[10]Project Detail Query'!$A$1:$R$2830,6,FALSE)</f>
        <v>F0604</v>
      </c>
      <c r="F434" s="464" t="str">
        <f>VLOOKUP(C434,'[10]Project Detail Query'!$A$1:$R$2830,7,FALSE)</f>
        <v>Main Replacement - ISRS (S)</v>
      </c>
      <c r="G434" s="465" t="s">
        <v>20</v>
      </c>
      <c r="H434" s="465">
        <v>201701</v>
      </c>
      <c r="I434" s="467">
        <v>4763.95</v>
      </c>
      <c r="J434" s="297">
        <f t="shared" si="29"/>
        <v>42736</v>
      </c>
      <c r="K434" s="67">
        <f t="shared" si="30"/>
        <v>4</v>
      </c>
      <c r="L434" s="472">
        <v>1.4833299999999999E-3</v>
      </c>
      <c r="M434" s="104">
        <f t="shared" si="31"/>
        <v>28.266039813999999</v>
      </c>
      <c r="O434" s="66">
        <f t="shared" si="32"/>
        <v>1441.7300683333335</v>
      </c>
    </row>
    <row r="435" spans="1:15">
      <c r="A435" s="464" t="s">
        <v>626</v>
      </c>
      <c r="B435" s="465" t="s">
        <v>1681</v>
      </c>
      <c r="C435" s="466" t="s">
        <v>2625</v>
      </c>
      <c r="D435" s="464" t="s">
        <v>2626</v>
      </c>
      <c r="E435" s="465" t="str">
        <f>VLOOKUP(C435,'[10]Project Detail Query'!$A$1:$R$2830,6,FALSE)</f>
        <v>F0572</v>
      </c>
      <c r="F435" s="464" t="str">
        <f>VLOOKUP(C435,'[10]Project Detail Query'!$A$1:$R$2830,7,FALSE)</f>
        <v>Main Replacement - ISRS (SW)</v>
      </c>
      <c r="G435" s="465" t="s">
        <v>20</v>
      </c>
      <c r="H435" s="465">
        <v>201701</v>
      </c>
      <c r="I435" s="467">
        <v>71166.27</v>
      </c>
      <c r="J435" s="297">
        <f t="shared" si="29"/>
        <v>42736</v>
      </c>
      <c r="K435" s="67">
        <f t="shared" si="30"/>
        <v>4</v>
      </c>
      <c r="L435" s="472">
        <v>1.4833299999999999E-3</v>
      </c>
      <c r="M435" s="104">
        <f t="shared" si="31"/>
        <v>422.25225311640003</v>
      </c>
      <c r="O435" s="66">
        <f t="shared" si="32"/>
        <v>21537.285511000002</v>
      </c>
    </row>
    <row r="436" spans="1:15">
      <c r="A436" s="464" t="s">
        <v>626</v>
      </c>
      <c r="B436" s="465" t="s">
        <v>1681</v>
      </c>
      <c r="C436" s="466" t="s">
        <v>2412</v>
      </c>
      <c r="D436" s="464" t="s">
        <v>2413</v>
      </c>
      <c r="E436" s="465" t="str">
        <f>VLOOKUP(C436,'[10]Project Detail Query'!$A$1:$R$2830,6,FALSE)</f>
        <v>F0604</v>
      </c>
      <c r="F436" s="464" t="str">
        <f>VLOOKUP(C436,'[10]Project Detail Query'!$A$1:$R$2830,7,FALSE)</f>
        <v>Main Replacement - ISRS (S)</v>
      </c>
      <c r="G436" s="465" t="s">
        <v>20</v>
      </c>
      <c r="H436" s="465">
        <v>201701</v>
      </c>
      <c r="I436" s="467">
        <v>13723.97</v>
      </c>
      <c r="J436" s="297">
        <f t="shared" si="29"/>
        <v>42736</v>
      </c>
      <c r="K436" s="67">
        <f t="shared" si="30"/>
        <v>4</v>
      </c>
      <c r="L436" s="472">
        <v>1.4833299999999999E-3</v>
      </c>
      <c r="M436" s="104">
        <f t="shared" si="31"/>
        <v>81.428705680399986</v>
      </c>
      <c r="O436" s="66">
        <f t="shared" si="32"/>
        <v>4153.3307876666677</v>
      </c>
    </row>
    <row r="437" spans="1:15">
      <c r="A437" s="464" t="s">
        <v>14</v>
      </c>
      <c r="B437" s="465" t="s">
        <v>1681</v>
      </c>
      <c r="C437" s="466" t="s">
        <v>2412</v>
      </c>
      <c r="D437" s="464" t="s">
        <v>2413</v>
      </c>
      <c r="E437" s="465" t="str">
        <f>VLOOKUP(C437,'[10]Project Detail Query'!$A$1:$R$2830,6,FALSE)</f>
        <v>F0604</v>
      </c>
      <c r="F437" s="464" t="str">
        <f>VLOOKUP(C437,'[10]Project Detail Query'!$A$1:$R$2830,7,FALSE)</f>
        <v>Main Replacement - ISRS (S)</v>
      </c>
      <c r="G437" s="465" t="s">
        <v>20</v>
      </c>
      <c r="H437" s="465">
        <v>201701</v>
      </c>
      <c r="I437" s="467">
        <v>144.16</v>
      </c>
      <c r="J437" s="297">
        <f t="shared" si="29"/>
        <v>42736</v>
      </c>
      <c r="K437" s="67">
        <f t="shared" si="30"/>
        <v>4</v>
      </c>
      <c r="L437" s="468">
        <v>2.23333E-3</v>
      </c>
      <c r="M437" s="104">
        <f t="shared" si="31"/>
        <v>1.2878274111999999</v>
      </c>
      <c r="O437" s="66">
        <f t="shared" si="32"/>
        <v>43.627621333333337</v>
      </c>
    </row>
    <row r="438" spans="1:15">
      <c r="A438" s="464" t="s">
        <v>626</v>
      </c>
      <c r="B438" s="465" t="s">
        <v>1681</v>
      </c>
      <c r="C438" s="466" t="s">
        <v>2277</v>
      </c>
      <c r="D438" s="464" t="s">
        <v>2278</v>
      </c>
      <c r="E438" s="465" t="str">
        <f>VLOOKUP(C438,'[10]Project Detail Query'!$A$1:$R$2830,6,FALSE)</f>
        <v>F0604</v>
      </c>
      <c r="F438" s="464" t="str">
        <f>VLOOKUP(C438,'[10]Project Detail Query'!$A$1:$R$2830,7,FALSE)</f>
        <v>Main Replacement - ISRS (S)</v>
      </c>
      <c r="G438" s="465" t="s">
        <v>20</v>
      </c>
      <c r="H438" s="465">
        <v>201701</v>
      </c>
      <c r="I438" s="467">
        <v>1759.03</v>
      </c>
      <c r="J438" s="297">
        <f t="shared" si="29"/>
        <v>42736</v>
      </c>
      <c r="K438" s="67">
        <f t="shared" si="30"/>
        <v>4</v>
      </c>
      <c r="L438" s="472">
        <v>1.4833299999999999E-3</v>
      </c>
      <c r="M438" s="104">
        <f t="shared" si="31"/>
        <v>10.436887879599999</v>
      </c>
      <c r="O438" s="66">
        <f t="shared" si="32"/>
        <v>532.3411123333334</v>
      </c>
    </row>
    <row r="439" spans="1:15">
      <c r="A439" s="464" t="s">
        <v>14</v>
      </c>
      <c r="B439" s="465" t="s">
        <v>1681</v>
      </c>
      <c r="C439" s="466" t="s">
        <v>2277</v>
      </c>
      <c r="D439" s="464" t="s">
        <v>2278</v>
      </c>
      <c r="E439" s="465" t="str">
        <f>VLOOKUP(C439,'[10]Project Detail Query'!$A$1:$R$2830,6,FALSE)</f>
        <v>F0604</v>
      </c>
      <c r="F439" s="464" t="str">
        <f>VLOOKUP(C439,'[10]Project Detail Query'!$A$1:$R$2830,7,FALSE)</f>
        <v>Main Replacement - ISRS (S)</v>
      </c>
      <c r="G439" s="465" t="s">
        <v>20</v>
      </c>
      <c r="H439" s="465">
        <v>201701</v>
      </c>
      <c r="I439" s="467">
        <v>89.18</v>
      </c>
      <c r="J439" s="297">
        <f t="shared" si="29"/>
        <v>42736</v>
      </c>
      <c r="K439" s="67">
        <f t="shared" si="30"/>
        <v>4</v>
      </c>
      <c r="L439" s="468">
        <v>2.23333E-3</v>
      </c>
      <c r="M439" s="104">
        <f t="shared" si="31"/>
        <v>0.79667347760000007</v>
      </c>
      <c r="O439" s="66">
        <f t="shared" si="32"/>
        <v>26.988840666666672</v>
      </c>
    </row>
    <row r="440" spans="1:15">
      <c r="A440" s="464" t="s">
        <v>626</v>
      </c>
      <c r="B440" s="465" t="s">
        <v>1681</v>
      </c>
      <c r="C440" s="466" t="s">
        <v>2416</v>
      </c>
      <c r="D440" s="464" t="s">
        <v>2417</v>
      </c>
      <c r="E440" s="465" t="str">
        <f>VLOOKUP(C440,'[10]Project Detail Query'!$A$1:$R$2830,6,FALSE)</f>
        <v>F0599</v>
      </c>
      <c r="F440" s="464" t="str">
        <f>VLOOKUP(C440,'[10]Project Detail Query'!$A$1:$R$2830,7,FALSE)</f>
        <v>Main Replacement - ISRS (N)</v>
      </c>
      <c r="G440" s="465" t="s">
        <v>20</v>
      </c>
      <c r="H440" s="465">
        <v>201701</v>
      </c>
      <c r="I440" s="467">
        <v>1607.54</v>
      </c>
      <c r="J440" s="297">
        <f t="shared" si="29"/>
        <v>42736</v>
      </c>
      <c r="K440" s="67">
        <f t="shared" si="30"/>
        <v>4</v>
      </c>
      <c r="L440" s="472">
        <v>1.4833299999999999E-3</v>
      </c>
      <c r="M440" s="104">
        <f t="shared" si="31"/>
        <v>9.5380492327999988</v>
      </c>
      <c r="O440" s="66">
        <f t="shared" si="32"/>
        <v>486.49518866666671</v>
      </c>
    </row>
    <row r="441" spans="1:15">
      <c r="A441" s="464" t="s">
        <v>1942</v>
      </c>
      <c r="B441" s="465" t="s">
        <v>1681</v>
      </c>
      <c r="C441" s="466" t="s">
        <v>2416</v>
      </c>
      <c r="D441" s="464" t="s">
        <v>2417</v>
      </c>
      <c r="E441" s="465" t="str">
        <f>VLOOKUP(C441,'[10]Project Detail Query'!$A$1:$R$2830,6,FALSE)</f>
        <v>F0599</v>
      </c>
      <c r="F441" s="464" t="str">
        <f>VLOOKUP(C441,'[10]Project Detail Query'!$A$1:$R$2830,7,FALSE)</f>
        <v>Main Replacement - ISRS (N)</v>
      </c>
      <c r="G441" s="465" t="s">
        <v>20</v>
      </c>
      <c r="H441" s="465">
        <v>201701</v>
      </c>
      <c r="I441" s="467">
        <v>3.5</v>
      </c>
      <c r="J441" s="297">
        <f t="shared" si="29"/>
        <v>42736</v>
      </c>
      <c r="K441" s="67">
        <f t="shared" si="30"/>
        <v>4</v>
      </c>
      <c r="L441" s="472">
        <v>2.23333E-3</v>
      </c>
      <c r="M441" s="104">
        <f t="shared" si="31"/>
        <v>3.1266620000000002E-2</v>
      </c>
      <c r="O441" s="66">
        <f t="shared" si="32"/>
        <v>1.0592166666666667</v>
      </c>
    </row>
    <row r="442" spans="1:15">
      <c r="A442" s="464" t="s">
        <v>21</v>
      </c>
      <c r="B442" s="465" t="s">
        <v>1681</v>
      </c>
      <c r="C442" s="466" t="s">
        <v>2418</v>
      </c>
      <c r="D442" s="464" t="s">
        <v>2419</v>
      </c>
      <c r="E442" s="465" t="str">
        <f>VLOOKUP(C442,'[10]Project Detail Query'!$A$1:$R$2830,6,FALSE)</f>
        <v>F0604</v>
      </c>
      <c r="F442" s="464" t="str">
        <f>VLOOKUP(C442,'[10]Project Detail Query'!$A$1:$R$2830,7,FALSE)</f>
        <v>Main Replacement - ISRS (S)</v>
      </c>
      <c r="G442" s="465" t="s">
        <v>20</v>
      </c>
      <c r="H442" s="465">
        <v>201701</v>
      </c>
      <c r="I442" s="467">
        <v>578.55999999999995</v>
      </c>
      <c r="J442" s="297">
        <f t="shared" si="29"/>
        <v>42736</v>
      </c>
      <c r="K442" s="67">
        <f t="shared" si="30"/>
        <v>4</v>
      </c>
      <c r="L442" s="472">
        <v>1.4833299999999999E-3</v>
      </c>
      <c r="M442" s="104">
        <f t="shared" si="31"/>
        <v>3.4327816191999996</v>
      </c>
      <c r="O442" s="66">
        <f t="shared" si="32"/>
        <v>175.09154133333334</v>
      </c>
    </row>
    <row r="443" spans="1:15">
      <c r="A443" s="464" t="s">
        <v>1942</v>
      </c>
      <c r="B443" s="465" t="s">
        <v>1681</v>
      </c>
      <c r="C443" s="466" t="s">
        <v>2418</v>
      </c>
      <c r="D443" s="464" t="s">
        <v>2419</v>
      </c>
      <c r="E443" s="465" t="str">
        <f>VLOOKUP(C443,'[10]Project Detail Query'!$A$1:$R$2830,6,FALSE)</f>
        <v>F0604</v>
      </c>
      <c r="F443" s="464" t="str">
        <f>VLOOKUP(C443,'[10]Project Detail Query'!$A$1:$R$2830,7,FALSE)</f>
        <v>Main Replacement - ISRS (S)</v>
      </c>
      <c r="G443" s="465" t="s">
        <v>20</v>
      </c>
      <c r="H443" s="465">
        <v>201701</v>
      </c>
      <c r="I443" s="467">
        <v>2.21</v>
      </c>
      <c r="J443" s="297">
        <f t="shared" si="29"/>
        <v>42736</v>
      </c>
      <c r="K443" s="67">
        <f t="shared" si="30"/>
        <v>4</v>
      </c>
      <c r="L443" s="472">
        <v>2.23333E-3</v>
      </c>
      <c r="M443" s="104">
        <f t="shared" si="31"/>
        <v>1.97426372E-2</v>
      </c>
      <c r="O443" s="66">
        <f t="shared" si="32"/>
        <v>0.66881966666666681</v>
      </c>
    </row>
    <row r="444" spans="1:15">
      <c r="A444" s="464" t="s">
        <v>21</v>
      </c>
      <c r="B444" s="465" t="s">
        <v>1681</v>
      </c>
      <c r="C444" s="466" t="s">
        <v>2279</v>
      </c>
      <c r="D444" s="464" t="s">
        <v>2280</v>
      </c>
      <c r="E444" s="465" t="str">
        <f>VLOOKUP(C444,'[10]Project Detail Query'!$A$1:$R$2830,6,FALSE)</f>
        <v>F0547</v>
      </c>
      <c r="F444" s="464" t="str">
        <f>VLOOKUP(C444,'[10]Project Detail Query'!$A$1:$R$2830,7,FALSE)</f>
        <v>Street &amp; Highway Relocates ISRS (N)</v>
      </c>
      <c r="G444" s="465" t="s">
        <v>20</v>
      </c>
      <c r="H444" s="465">
        <v>201701</v>
      </c>
      <c r="I444" s="467">
        <v>24.27</v>
      </c>
      <c r="J444" s="297">
        <f t="shared" si="29"/>
        <v>42736</v>
      </c>
      <c r="K444" s="67">
        <f t="shared" si="30"/>
        <v>4</v>
      </c>
      <c r="L444" s="472">
        <v>1.4833299999999999E-3</v>
      </c>
      <c r="M444" s="104">
        <f t="shared" si="31"/>
        <v>0.1440016764</v>
      </c>
      <c r="O444" s="66">
        <f t="shared" si="32"/>
        <v>7.3449110000000006</v>
      </c>
    </row>
    <row r="445" spans="1:15">
      <c r="A445" s="464" t="s">
        <v>626</v>
      </c>
      <c r="B445" s="465" t="s">
        <v>1681</v>
      </c>
      <c r="C445" s="466" t="s">
        <v>2420</v>
      </c>
      <c r="D445" s="464" t="s">
        <v>2421</v>
      </c>
      <c r="E445" s="465" t="str">
        <f>VLOOKUP(C445,'[10]Project Detail Query'!$A$1:$R$2830,6,FALSE)</f>
        <v>F0599</v>
      </c>
      <c r="F445" s="464" t="str">
        <f>VLOOKUP(C445,'[10]Project Detail Query'!$A$1:$R$2830,7,FALSE)</f>
        <v>Main Replacement - ISRS (N)</v>
      </c>
      <c r="G445" s="465" t="s">
        <v>20</v>
      </c>
      <c r="H445" s="465">
        <v>201701</v>
      </c>
      <c r="I445" s="467">
        <v>71.39</v>
      </c>
      <c r="J445" s="297">
        <f t="shared" si="29"/>
        <v>42736</v>
      </c>
      <c r="K445" s="67">
        <f t="shared" si="30"/>
        <v>4</v>
      </c>
      <c r="L445" s="472">
        <v>1.4833299999999999E-3</v>
      </c>
      <c r="M445" s="104">
        <f t="shared" si="31"/>
        <v>0.42357971480000001</v>
      </c>
      <c r="O445" s="66">
        <f t="shared" si="32"/>
        <v>21.604993666666669</v>
      </c>
    </row>
    <row r="446" spans="1:15">
      <c r="A446" s="464" t="s">
        <v>626</v>
      </c>
      <c r="B446" s="465" t="s">
        <v>1681</v>
      </c>
      <c r="C446" s="466" t="s">
        <v>2285</v>
      </c>
      <c r="D446" s="464" t="s">
        <v>2286</v>
      </c>
      <c r="E446" s="465" t="str">
        <f>VLOOKUP(C446,'[10]Project Detail Query'!$A$1:$R$2830,6,FALSE)</f>
        <v>F0572</v>
      </c>
      <c r="F446" s="464" t="str">
        <f>VLOOKUP(C446,'[10]Project Detail Query'!$A$1:$R$2830,7,FALSE)</f>
        <v>Main Replacement - ISRS (SW)</v>
      </c>
      <c r="G446" s="465" t="s">
        <v>20</v>
      </c>
      <c r="H446" s="465">
        <v>201701</v>
      </c>
      <c r="I446" s="467">
        <v>-1077.1500000000001</v>
      </c>
      <c r="J446" s="297">
        <f t="shared" si="29"/>
        <v>42736</v>
      </c>
      <c r="K446" s="67">
        <f t="shared" si="30"/>
        <v>4</v>
      </c>
      <c r="L446" s="472">
        <v>1.4833299999999999E-3</v>
      </c>
      <c r="M446" s="104">
        <f t="shared" si="31"/>
        <v>-6.3910756380000002</v>
      </c>
      <c r="O446" s="66">
        <f t="shared" si="32"/>
        <v>-325.98149500000011</v>
      </c>
    </row>
    <row r="447" spans="1:15">
      <c r="A447" s="464" t="s">
        <v>14</v>
      </c>
      <c r="B447" s="465" t="s">
        <v>1681</v>
      </c>
      <c r="C447" s="466" t="s">
        <v>2285</v>
      </c>
      <c r="D447" s="464" t="s">
        <v>2286</v>
      </c>
      <c r="E447" s="465" t="str">
        <f>VLOOKUP(C447,'[10]Project Detail Query'!$A$1:$R$2830,6,FALSE)</f>
        <v>F0572</v>
      </c>
      <c r="F447" s="464" t="str">
        <f>VLOOKUP(C447,'[10]Project Detail Query'!$A$1:$R$2830,7,FALSE)</f>
        <v>Main Replacement - ISRS (SW)</v>
      </c>
      <c r="G447" s="465" t="s">
        <v>20</v>
      </c>
      <c r="H447" s="465">
        <v>201701</v>
      </c>
      <c r="I447" s="467">
        <v>-18.04</v>
      </c>
      <c r="J447" s="297">
        <f t="shared" si="29"/>
        <v>42736</v>
      </c>
      <c r="K447" s="67">
        <f t="shared" si="30"/>
        <v>4</v>
      </c>
      <c r="L447" s="468">
        <v>2.23333E-3</v>
      </c>
      <c r="M447" s="104">
        <f t="shared" si="31"/>
        <v>-0.16115709279999998</v>
      </c>
      <c r="O447" s="66">
        <f t="shared" si="32"/>
        <v>-5.4595053333333334</v>
      </c>
    </row>
    <row r="448" spans="1:15">
      <c r="A448" s="464" t="s">
        <v>626</v>
      </c>
      <c r="B448" s="465" t="s">
        <v>1681</v>
      </c>
      <c r="C448" s="466" t="s">
        <v>2289</v>
      </c>
      <c r="D448" s="464" t="s">
        <v>2290</v>
      </c>
      <c r="E448" s="465" t="str">
        <f>VLOOKUP(C448,'[10]Project Detail Query'!$A$1:$R$2830,6,FALSE)</f>
        <v>F0664</v>
      </c>
      <c r="F448" s="464" t="str">
        <f>VLOOKUP(C448,'[10]Project Detail Query'!$A$1:$R$2830,7,FALSE)</f>
        <v>Street &amp; Hwy Relocates ISRS (SW)</v>
      </c>
      <c r="G448" s="465" t="s">
        <v>20</v>
      </c>
      <c r="H448" s="465">
        <v>201701</v>
      </c>
      <c r="I448" s="467">
        <v>17.98</v>
      </c>
      <c r="J448" s="297">
        <f t="shared" ref="J448:J470" si="33">+J447</f>
        <v>42736</v>
      </c>
      <c r="K448" s="67">
        <f t="shared" ref="K448:K470" si="34">((YEAR($K$1)-YEAR(J448))*12+MONTH($K$1)-MONTH(J448))</f>
        <v>4</v>
      </c>
      <c r="L448" s="472">
        <v>1.4833299999999999E-3</v>
      </c>
      <c r="M448" s="104">
        <f t="shared" si="31"/>
        <v>0.1066810936</v>
      </c>
      <c r="O448" s="66">
        <f t="shared" si="32"/>
        <v>5.4413473333333346</v>
      </c>
    </row>
    <row r="449" spans="1:15">
      <c r="A449" s="464" t="s">
        <v>626</v>
      </c>
      <c r="B449" s="465" t="s">
        <v>1681</v>
      </c>
      <c r="C449" s="466" t="s">
        <v>2440</v>
      </c>
      <c r="D449" s="464" t="s">
        <v>2441</v>
      </c>
      <c r="E449" s="465" t="str">
        <f>VLOOKUP(C449,'[10]Project Detail Query'!$A$1:$R$2830,6,FALSE)</f>
        <v>F0604</v>
      </c>
      <c r="F449" s="464" t="str">
        <f>VLOOKUP(C449,'[10]Project Detail Query'!$A$1:$R$2830,7,FALSE)</f>
        <v>Main Replacement - ISRS (S)</v>
      </c>
      <c r="G449" s="465" t="s">
        <v>20</v>
      </c>
      <c r="H449" s="465">
        <v>201701</v>
      </c>
      <c r="I449" s="467">
        <v>5089.6099999999997</v>
      </c>
      <c r="J449" s="297">
        <f t="shared" si="33"/>
        <v>42736</v>
      </c>
      <c r="K449" s="67">
        <f t="shared" si="34"/>
        <v>4</v>
      </c>
      <c r="L449" s="472">
        <v>1.4833299999999999E-3</v>
      </c>
      <c r="M449" s="104">
        <f t="shared" si="31"/>
        <v>30.198284805199997</v>
      </c>
      <c r="O449" s="66">
        <f t="shared" si="32"/>
        <v>1540.2856396666668</v>
      </c>
    </row>
    <row r="450" spans="1:15">
      <c r="A450" s="464" t="s">
        <v>14</v>
      </c>
      <c r="B450" s="465" t="s">
        <v>1681</v>
      </c>
      <c r="C450" s="466" t="s">
        <v>2440</v>
      </c>
      <c r="D450" s="464" t="s">
        <v>2441</v>
      </c>
      <c r="E450" s="465" t="str">
        <f>VLOOKUP(C450,'[10]Project Detail Query'!$A$1:$R$2830,6,FALSE)</f>
        <v>F0604</v>
      </c>
      <c r="F450" s="464" t="str">
        <f>VLOOKUP(C450,'[10]Project Detail Query'!$A$1:$R$2830,7,FALSE)</f>
        <v>Main Replacement - ISRS (S)</v>
      </c>
      <c r="G450" s="465" t="s">
        <v>20</v>
      </c>
      <c r="H450" s="465">
        <v>201701</v>
      </c>
      <c r="I450" s="467">
        <v>3369.75</v>
      </c>
      <c r="J450" s="297">
        <f t="shared" si="33"/>
        <v>42736</v>
      </c>
      <c r="K450" s="67">
        <f t="shared" si="34"/>
        <v>4</v>
      </c>
      <c r="L450" s="468">
        <v>2.23333E-3</v>
      </c>
      <c r="M450" s="104">
        <f t="shared" si="31"/>
        <v>30.10305507</v>
      </c>
      <c r="O450" s="66">
        <f t="shared" si="32"/>
        <v>1019.7986750000001</v>
      </c>
    </row>
    <row r="451" spans="1:15">
      <c r="A451" s="464" t="s">
        <v>626</v>
      </c>
      <c r="B451" s="465" t="s">
        <v>1681</v>
      </c>
      <c r="C451" s="466" t="s">
        <v>2627</v>
      </c>
      <c r="D451" s="464" t="s">
        <v>2628</v>
      </c>
      <c r="E451" s="465" t="str">
        <f>VLOOKUP(C451,'[10]Project Detail Query'!$A$1:$R$2830,6,FALSE)</f>
        <v>F0599</v>
      </c>
      <c r="F451" s="464" t="str">
        <f>VLOOKUP(C451,'[10]Project Detail Query'!$A$1:$R$2830,7,FALSE)</f>
        <v>Main Replacement - ISRS (N)</v>
      </c>
      <c r="G451" s="465" t="s">
        <v>20</v>
      </c>
      <c r="H451" s="465">
        <v>201701</v>
      </c>
      <c r="I451" s="467">
        <v>12024.92</v>
      </c>
      <c r="J451" s="297">
        <f t="shared" si="33"/>
        <v>42736</v>
      </c>
      <c r="K451" s="67">
        <f t="shared" si="34"/>
        <v>4</v>
      </c>
      <c r="L451" s="472">
        <v>1.4833299999999999E-3</v>
      </c>
      <c r="M451" s="104">
        <f t="shared" si="31"/>
        <v>71.347698334399993</v>
      </c>
      <c r="O451" s="66">
        <f t="shared" si="32"/>
        <v>3639.1416226666674</v>
      </c>
    </row>
    <row r="452" spans="1:15">
      <c r="A452" s="464" t="s">
        <v>626</v>
      </c>
      <c r="B452" s="465" t="s">
        <v>1681</v>
      </c>
      <c r="C452" s="466" t="s">
        <v>2422</v>
      </c>
      <c r="D452" s="464" t="s">
        <v>2423</v>
      </c>
      <c r="E452" s="465" t="str">
        <f>VLOOKUP(C452,'[10]Project Detail Query'!$A$1:$R$2830,6,FALSE)</f>
        <v>F0599</v>
      </c>
      <c r="F452" s="464" t="str">
        <f>VLOOKUP(C452,'[10]Project Detail Query'!$A$1:$R$2830,7,FALSE)</f>
        <v>Main Replacement - ISRS (N)</v>
      </c>
      <c r="G452" s="465" t="s">
        <v>20</v>
      </c>
      <c r="H452" s="465">
        <v>201701</v>
      </c>
      <c r="I452" s="467">
        <v>11.79</v>
      </c>
      <c r="J452" s="297">
        <f t="shared" si="33"/>
        <v>42736</v>
      </c>
      <c r="K452" s="67">
        <f t="shared" si="34"/>
        <v>4</v>
      </c>
      <c r="L452" s="472">
        <v>1.4833299999999999E-3</v>
      </c>
      <c r="M452" s="104">
        <f t="shared" si="31"/>
        <v>6.9953842799999985E-2</v>
      </c>
      <c r="O452" s="66">
        <f t="shared" si="32"/>
        <v>3.5680470000000004</v>
      </c>
    </row>
    <row r="453" spans="1:15">
      <c r="A453" s="464" t="s">
        <v>626</v>
      </c>
      <c r="B453" s="465" t="s">
        <v>1681</v>
      </c>
      <c r="C453" s="466" t="s">
        <v>2629</v>
      </c>
      <c r="D453" s="464" t="s">
        <v>2630</v>
      </c>
      <c r="E453" s="465" t="str">
        <f>VLOOKUP(C453,'[10]Project Detail Query'!$A$1:$R$2830,6,FALSE)</f>
        <v>F0578</v>
      </c>
      <c r="F453" s="464" t="str">
        <f>VLOOKUP(C453,'[10]Project Detail Query'!$A$1:$R$2830,7,FALSE)</f>
        <v>Street &amp; Highway Relocates ISRS (S)</v>
      </c>
      <c r="G453" s="465" t="s">
        <v>20</v>
      </c>
      <c r="H453" s="465">
        <v>201701</v>
      </c>
      <c r="I453" s="467">
        <v>193296.78</v>
      </c>
      <c r="J453" s="297">
        <f t="shared" si="33"/>
        <v>42736</v>
      </c>
      <c r="K453" s="67">
        <f t="shared" si="34"/>
        <v>4</v>
      </c>
      <c r="L453" s="472">
        <v>1.4833299999999999E-3</v>
      </c>
      <c r="M453" s="104">
        <f t="shared" si="31"/>
        <v>1146.8916507095998</v>
      </c>
      <c r="O453" s="66">
        <f t="shared" si="32"/>
        <v>58498.048854000008</v>
      </c>
    </row>
    <row r="454" spans="1:15">
      <c r="A454" s="464" t="s">
        <v>14</v>
      </c>
      <c r="B454" s="465" t="s">
        <v>1681</v>
      </c>
      <c r="C454" s="466" t="s">
        <v>2629</v>
      </c>
      <c r="D454" s="464" t="s">
        <v>2630</v>
      </c>
      <c r="E454" s="465" t="str">
        <f>VLOOKUP(C454,'[10]Project Detail Query'!$A$1:$R$2830,6,FALSE)</f>
        <v>F0578</v>
      </c>
      <c r="F454" s="464" t="str">
        <f>VLOOKUP(C454,'[10]Project Detail Query'!$A$1:$R$2830,7,FALSE)</f>
        <v>Street &amp; Highway Relocates ISRS (S)</v>
      </c>
      <c r="G454" s="465" t="s">
        <v>20</v>
      </c>
      <c r="H454" s="465">
        <v>201701</v>
      </c>
      <c r="I454" s="467">
        <v>38180.239999999998</v>
      </c>
      <c r="J454" s="297">
        <f t="shared" si="33"/>
        <v>42736</v>
      </c>
      <c r="K454" s="67">
        <f t="shared" si="34"/>
        <v>4</v>
      </c>
      <c r="L454" s="468">
        <v>2.23333E-3</v>
      </c>
      <c r="M454" s="104">
        <f t="shared" si="31"/>
        <v>341.07630159679996</v>
      </c>
      <c r="O454" s="66">
        <f t="shared" si="32"/>
        <v>11554.613298666669</v>
      </c>
    </row>
    <row r="455" spans="1:15">
      <c r="A455" s="464" t="s">
        <v>626</v>
      </c>
      <c r="B455" s="465" t="s">
        <v>1681</v>
      </c>
      <c r="C455" s="466" t="s">
        <v>2424</v>
      </c>
      <c r="D455" s="464" t="s">
        <v>2425</v>
      </c>
      <c r="E455" s="465" t="str">
        <f>VLOOKUP(C455,'[10]Project Detail Query'!$A$1:$R$2830,6,FALSE)</f>
        <v>F0664</v>
      </c>
      <c r="F455" s="464" t="str">
        <f>VLOOKUP(C455,'[10]Project Detail Query'!$A$1:$R$2830,7,FALSE)</f>
        <v>Street &amp; Hwy Relocates ISRS (SW)</v>
      </c>
      <c r="G455" s="465" t="s">
        <v>20</v>
      </c>
      <c r="H455" s="465">
        <v>201701</v>
      </c>
      <c r="I455" s="467">
        <v>40.79</v>
      </c>
      <c r="J455" s="297">
        <f t="shared" si="33"/>
        <v>42736</v>
      </c>
      <c r="K455" s="67">
        <f t="shared" si="34"/>
        <v>4</v>
      </c>
      <c r="L455" s="472">
        <v>1.4833299999999999E-3</v>
      </c>
      <c r="M455" s="104">
        <f t="shared" si="31"/>
        <v>0.24202012279999999</v>
      </c>
      <c r="O455" s="66">
        <f t="shared" si="32"/>
        <v>12.344413666666668</v>
      </c>
    </row>
    <row r="456" spans="1:15">
      <c r="A456" s="464" t="s">
        <v>626</v>
      </c>
      <c r="B456" s="465" t="s">
        <v>1681</v>
      </c>
      <c r="C456" s="466" t="s">
        <v>2631</v>
      </c>
      <c r="D456" s="464" t="s">
        <v>2632</v>
      </c>
      <c r="E456" s="465" t="str">
        <f>VLOOKUP(C456,'[10]Project Detail Query'!$A$1:$R$2830,6,FALSE)</f>
        <v>F0572</v>
      </c>
      <c r="F456" s="464" t="str">
        <f>VLOOKUP(C456,'[10]Project Detail Query'!$A$1:$R$2830,7,FALSE)</f>
        <v>Main Replacement - ISRS (SW)</v>
      </c>
      <c r="G456" s="465" t="s">
        <v>20</v>
      </c>
      <c r="H456" s="465">
        <v>201701</v>
      </c>
      <c r="I456" s="467">
        <v>112153.2</v>
      </c>
      <c r="J456" s="297">
        <f t="shared" si="33"/>
        <v>42736</v>
      </c>
      <c r="K456" s="67">
        <f t="shared" si="34"/>
        <v>4</v>
      </c>
      <c r="L456" s="472">
        <v>1.4833299999999999E-3</v>
      </c>
      <c r="M456" s="104">
        <f t="shared" si="31"/>
        <v>665.4408246239999</v>
      </c>
      <c r="O456" s="66">
        <f t="shared" si="32"/>
        <v>33941.296760000005</v>
      </c>
    </row>
    <row r="457" spans="1:15">
      <c r="A457" s="464" t="s">
        <v>626</v>
      </c>
      <c r="B457" s="465" t="s">
        <v>1681</v>
      </c>
      <c r="C457" s="466" t="s">
        <v>2442</v>
      </c>
      <c r="D457" s="464" t="s">
        <v>2443</v>
      </c>
      <c r="E457" s="465" t="str">
        <f>VLOOKUP(C457,'[10]Project Detail Query'!$A$1:$R$2830,6,FALSE)</f>
        <v>F0572</v>
      </c>
      <c r="F457" s="464" t="str">
        <f>VLOOKUP(C457,'[10]Project Detail Query'!$A$1:$R$2830,7,FALSE)</f>
        <v>Main Replacement - ISRS (SW)</v>
      </c>
      <c r="G457" s="465" t="s">
        <v>20</v>
      </c>
      <c r="H457" s="465">
        <v>201701</v>
      </c>
      <c r="I457" s="467">
        <v>18683.849999999999</v>
      </c>
      <c r="J457" s="297">
        <f t="shared" si="33"/>
        <v>42736</v>
      </c>
      <c r="K457" s="67">
        <f t="shared" si="34"/>
        <v>4</v>
      </c>
      <c r="L457" s="472">
        <v>1.4833299999999999E-3</v>
      </c>
      <c r="M457" s="104">
        <f t="shared" si="31"/>
        <v>110.85726088199999</v>
      </c>
      <c r="O457" s="66">
        <f t="shared" si="32"/>
        <v>5654.3558050000001</v>
      </c>
    </row>
    <row r="458" spans="1:15">
      <c r="A458" s="464" t="s">
        <v>14</v>
      </c>
      <c r="B458" s="465" t="s">
        <v>1681</v>
      </c>
      <c r="C458" s="466" t="s">
        <v>2442</v>
      </c>
      <c r="D458" s="464" t="s">
        <v>2443</v>
      </c>
      <c r="E458" s="465" t="str">
        <f>VLOOKUP(C458,'[10]Project Detail Query'!$A$1:$R$2830,6,FALSE)</f>
        <v>F0572</v>
      </c>
      <c r="F458" s="464" t="str">
        <f>VLOOKUP(C458,'[10]Project Detail Query'!$A$1:$R$2830,7,FALSE)</f>
        <v>Main Replacement - ISRS (SW)</v>
      </c>
      <c r="G458" s="465" t="s">
        <v>20</v>
      </c>
      <c r="H458" s="465">
        <v>201701</v>
      </c>
      <c r="I458" s="467">
        <v>1124.1199999999999</v>
      </c>
      <c r="J458" s="297">
        <f t="shared" si="33"/>
        <v>42736</v>
      </c>
      <c r="K458" s="67">
        <f t="shared" si="34"/>
        <v>4</v>
      </c>
      <c r="L458" s="468">
        <v>2.23333E-3</v>
      </c>
      <c r="M458" s="104">
        <f t="shared" si="31"/>
        <v>10.042123678399999</v>
      </c>
      <c r="O458" s="66">
        <f t="shared" si="32"/>
        <v>340.19618266666669</v>
      </c>
    </row>
    <row r="459" spans="1:15">
      <c r="A459" s="464" t="s">
        <v>626</v>
      </c>
      <c r="B459" s="465" t="s">
        <v>1681</v>
      </c>
      <c r="C459" s="466" t="s">
        <v>2444</v>
      </c>
      <c r="D459" s="464" t="s">
        <v>2445</v>
      </c>
      <c r="E459" s="465" t="str">
        <f>VLOOKUP(C459,'[10]Project Detail Query'!$A$1:$R$2830,6,FALSE)</f>
        <v>F0604</v>
      </c>
      <c r="F459" s="464" t="str">
        <f>VLOOKUP(C459,'[10]Project Detail Query'!$A$1:$R$2830,7,FALSE)</f>
        <v>Main Replacement - ISRS (S)</v>
      </c>
      <c r="G459" s="465" t="s">
        <v>20</v>
      </c>
      <c r="H459" s="465">
        <v>201701</v>
      </c>
      <c r="I459" s="467">
        <v>19593.61</v>
      </c>
      <c r="J459" s="297">
        <f t="shared" si="33"/>
        <v>42736</v>
      </c>
      <c r="K459" s="67">
        <f t="shared" si="34"/>
        <v>4</v>
      </c>
      <c r="L459" s="472">
        <v>1.4833299999999999E-3</v>
      </c>
      <c r="M459" s="104">
        <f t="shared" si="31"/>
        <v>116.25515808519999</v>
      </c>
      <c r="O459" s="66">
        <f t="shared" si="32"/>
        <v>5929.6795063333348</v>
      </c>
    </row>
    <row r="460" spans="1:15">
      <c r="A460" s="464" t="s">
        <v>14</v>
      </c>
      <c r="B460" s="465" t="s">
        <v>1681</v>
      </c>
      <c r="C460" s="466" t="s">
        <v>2444</v>
      </c>
      <c r="D460" s="464" t="s">
        <v>2445</v>
      </c>
      <c r="E460" s="465" t="str">
        <f>VLOOKUP(C460,'[10]Project Detail Query'!$A$1:$R$2830,6,FALSE)</f>
        <v>F0604</v>
      </c>
      <c r="F460" s="464" t="str">
        <f>VLOOKUP(C460,'[10]Project Detail Query'!$A$1:$R$2830,7,FALSE)</f>
        <v>Main Replacement - ISRS (S)</v>
      </c>
      <c r="G460" s="465" t="s">
        <v>20</v>
      </c>
      <c r="H460" s="465">
        <v>201701</v>
      </c>
      <c r="I460" s="467">
        <v>10820.64</v>
      </c>
      <c r="J460" s="297">
        <f t="shared" si="33"/>
        <v>42736</v>
      </c>
      <c r="K460" s="67">
        <f t="shared" si="34"/>
        <v>4</v>
      </c>
      <c r="L460" s="468">
        <v>2.23333E-3</v>
      </c>
      <c r="M460" s="104">
        <f t="shared" si="31"/>
        <v>96.664239724799998</v>
      </c>
      <c r="O460" s="66">
        <f t="shared" si="32"/>
        <v>3274.6863520000006</v>
      </c>
    </row>
    <row r="461" spans="1:15">
      <c r="A461" s="464" t="s">
        <v>626</v>
      </c>
      <c r="B461" s="465" t="s">
        <v>1681</v>
      </c>
      <c r="C461" s="466" t="s">
        <v>2446</v>
      </c>
      <c r="D461" s="464" t="s">
        <v>2447</v>
      </c>
      <c r="E461" s="465" t="str">
        <f>VLOOKUP(C461,'[10]Project Detail Query'!$A$1:$R$2830,6,FALSE)</f>
        <v>F0599</v>
      </c>
      <c r="F461" s="464" t="str">
        <f>VLOOKUP(C461,'[10]Project Detail Query'!$A$1:$R$2830,7,FALSE)</f>
        <v>Main Replacement - ISRS (N)</v>
      </c>
      <c r="G461" s="465" t="s">
        <v>20</v>
      </c>
      <c r="H461" s="465">
        <v>201701</v>
      </c>
      <c r="I461" s="467">
        <v>270.52</v>
      </c>
      <c r="J461" s="297">
        <f t="shared" si="33"/>
        <v>42736</v>
      </c>
      <c r="K461" s="67">
        <f t="shared" si="34"/>
        <v>4</v>
      </c>
      <c r="L461" s="472">
        <v>1.4833299999999999E-3</v>
      </c>
      <c r="M461" s="104">
        <f t="shared" si="31"/>
        <v>1.6050817263999999</v>
      </c>
      <c r="O461" s="66">
        <f t="shared" si="32"/>
        <v>81.868369333333334</v>
      </c>
    </row>
    <row r="462" spans="1:15">
      <c r="A462" s="464" t="s">
        <v>626</v>
      </c>
      <c r="B462" s="465" t="s">
        <v>1681</v>
      </c>
      <c r="C462" s="466" t="s">
        <v>2448</v>
      </c>
      <c r="D462" s="464" t="s">
        <v>2449</v>
      </c>
      <c r="E462" s="465" t="str">
        <f>VLOOKUP(C462,'[10]Project Detail Query'!$A$1:$R$2830,6,FALSE)</f>
        <v>F0572</v>
      </c>
      <c r="F462" s="464" t="str">
        <f>VLOOKUP(C462,'[10]Project Detail Query'!$A$1:$R$2830,7,FALSE)</f>
        <v>Main Replacement - ISRS (SW)</v>
      </c>
      <c r="G462" s="465" t="s">
        <v>20</v>
      </c>
      <c r="H462" s="465">
        <v>201701</v>
      </c>
      <c r="I462" s="467">
        <v>4342.34</v>
      </c>
      <c r="J462" s="297">
        <f t="shared" si="33"/>
        <v>42736</v>
      </c>
      <c r="K462" s="67">
        <f t="shared" si="34"/>
        <v>4</v>
      </c>
      <c r="L462" s="472">
        <v>1.4833299999999999E-3</v>
      </c>
      <c r="M462" s="104">
        <f t="shared" si="31"/>
        <v>25.7644927688</v>
      </c>
      <c r="O462" s="66">
        <f t="shared" si="32"/>
        <v>1314.1368286666668</v>
      </c>
    </row>
    <row r="463" spans="1:15">
      <c r="A463" s="464" t="s">
        <v>14</v>
      </c>
      <c r="B463" s="465" t="s">
        <v>1681</v>
      </c>
      <c r="C463" s="466" t="s">
        <v>2448</v>
      </c>
      <c r="D463" s="464" t="s">
        <v>2449</v>
      </c>
      <c r="E463" s="465" t="str">
        <f>VLOOKUP(C463,'[10]Project Detail Query'!$A$1:$R$2830,6,FALSE)</f>
        <v>F0572</v>
      </c>
      <c r="F463" s="464" t="str">
        <f>VLOOKUP(C463,'[10]Project Detail Query'!$A$1:$R$2830,7,FALSE)</f>
        <v>Main Replacement - ISRS (SW)</v>
      </c>
      <c r="G463" s="465" t="s">
        <v>20</v>
      </c>
      <c r="H463" s="465">
        <v>201701</v>
      </c>
      <c r="I463" s="467">
        <v>60.42</v>
      </c>
      <c r="J463" s="297">
        <f t="shared" si="33"/>
        <v>42736</v>
      </c>
      <c r="K463" s="67">
        <f t="shared" si="34"/>
        <v>4</v>
      </c>
      <c r="L463" s="468">
        <v>2.23333E-3</v>
      </c>
      <c r="M463" s="104">
        <f t="shared" si="31"/>
        <v>0.53975119439999997</v>
      </c>
      <c r="O463" s="66">
        <f t="shared" si="32"/>
        <v>18.285106000000003</v>
      </c>
    </row>
    <row r="464" spans="1:15">
      <c r="A464" s="464" t="s">
        <v>626</v>
      </c>
      <c r="B464" s="465" t="s">
        <v>1681</v>
      </c>
      <c r="C464" s="466" t="s">
        <v>2633</v>
      </c>
      <c r="D464" s="464" t="s">
        <v>2634</v>
      </c>
      <c r="E464" s="465" t="str">
        <f>VLOOKUP(C464,'[10]Project Detail Query'!$A$1:$R$2830,6,FALSE)</f>
        <v>F0572</v>
      </c>
      <c r="F464" s="464" t="str">
        <f>VLOOKUP(C464,'[10]Project Detail Query'!$A$1:$R$2830,7,FALSE)</f>
        <v>Main Replacement - ISRS (SW)</v>
      </c>
      <c r="G464" s="465" t="s">
        <v>20</v>
      </c>
      <c r="H464" s="465">
        <v>201701</v>
      </c>
      <c r="I464" s="467">
        <v>69653.63</v>
      </c>
      <c r="J464" s="297">
        <f t="shared" si="33"/>
        <v>42736</v>
      </c>
      <c r="K464" s="67">
        <f t="shared" si="34"/>
        <v>4</v>
      </c>
      <c r="L464" s="472">
        <v>1.4833299999999999E-3</v>
      </c>
      <c r="M464" s="104">
        <f t="shared" si="31"/>
        <v>413.27727595160002</v>
      </c>
      <c r="O464" s="66">
        <f t="shared" si="32"/>
        <v>21079.510225666669</v>
      </c>
    </row>
    <row r="465" spans="1:15">
      <c r="A465" s="464" t="s">
        <v>626</v>
      </c>
      <c r="B465" s="465" t="s">
        <v>1681</v>
      </c>
      <c r="C465" s="466" t="s">
        <v>2635</v>
      </c>
      <c r="D465" s="464" t="s">
        <v>2636</v>
      </c>
      <c r="E465" s="465" t="str">
        <f>VLOOKUP(C465,'[10]Project Detail Query'!$A$1:$R$2830,6,FALSE)</f>
        <v>F0572</v>
      </c>
      <c r="F465" s="464" t="str">
        <f>VLOOKUP(C465,'[10]Project Detail Query'!$A$1:$R$2830,7,FALSE)</f>
        <v>Main Replacement - ISRS (SW)</v>
      </c>
      <c r="G465" s="465" t="s">
        <v>20</v>
      </c>
      <c r="H465" s="465">
        <v>201701</v>
      </c>
      <c r="I465" s="467">
        <v>83586.63</v>
      </c>
      <c r="J465" s="297">
        <f t="shared" si="33"/>
        <v>42736</v>
      </c>
      <c r="K465" s="67">
        <f t="shared" si="34"/>
        <v>4</v>
      </c>
      <c r="L465" s="472">
        <v>1.4833299999999999E-3</v>
      </c>
      <c r="M465" s="104">
        <f t="shared" si="31"/>
        <v>495.94622351160001</v>
      </c>
      <c r="O465" s="66">
        <f t="shared" si="32"/>
        <v>25296.100459000008</v>
      </c>
    </row>
    <row r="466" spans="1:15">
      <c r="A466" s="464" t="s">
        <v>21</v>
      </c>
      <c r="B466" s="465" t="s">
        <v>1681</v>
      </c>
      <c r="C466" s="466" t="s">
        <v>2637</v>
      </c>
      <c r="D466" s="464" t="s">
        <v>2638</v>
      </c>
      <c r="E466" s="465" t="str">
        <f>VLOOKUP(C466,'[10]Project Detail Query'!$A$1:$R$2830,6,FALSE)</f>
        <v>F0572</v>
      </c>
      <c r="F466" s="464" t="str">
        <f>VLOOKUP(C466,'[10]Project Detail Query'!$A$1:$R$2830,7,FALSE)</f>
        <v>Main Replacement - ISRS (SW)</v>
      </c>
      <c r="G466" s="465" t="s">
        <v>20</v>
      </c>
      <c r="H466" s="465">
        <v>201701</v>
      </c>
      <c r="I466" s="467">
        <v>892.71</v>
      </c>
      <c r="J466" s="297">
        <f t="shared" si="33"/>
        <v>42736</v>
      </c>
      <c r="K466" s="67">
        <f t="shared" si="34"/>
        <v>4</v>
      </c>
      <c r="L466" s="472">
        <v>1.4833299999999999E-3</v>
      </c>
      <c r="M466" s="104">
        <f t="shared" si="31"/>
        <v>5.2967340971999999</v>
      </c>
      <c r="O466" s="66">
        <f t="shared" si="32"/>
        <v>270.16380300000003</v>
      </c>
    </row>
    <row r="467" spans="1:15">
      <c r="A467" s="464" t="s">
        <v>626</v>
      </c>
      <c r="B467" s="465" t="s">
        <v>1681</v>
      </c>
      <c r="C467" s="466" t="s">
        <v>2637</v>
      </c>
      <c r="D467" s="464" t="s">
        <v>2638</v>
      </c>
      <c r="E467" s="465" t="str">
        <f>VLOOKUP(C467,'[10]Project Detail Query'!$A$1:$R$2830,6,FALSE)</f>
        <v>F0572</v>
      </c>
      <c r="F467" s="464" t="str">
        <f>VLOOKUP(C467,'[10]Project Detail Query'!$A$1:$R$2830,7,FALSE)</f>
        <v>Main Replacement - ISRS (SW)</v>
      </c>
      <c r="G467" s="465" t="s">
        <v>20</v>
      </c>
      <c r="H467" s="465">
        <v>201701</v>
      </c>
      <c r="I467" s="467">
        <v>105840.43</v>
      </c>
      <c r="J467" s="297">
        <f t="shared" si="33"/>
        <v>42736</v>
      </c>
      <c r="K467" s="67">
        <f t="shared" si="34"/>
        <v>4</v>
      </c>
      <c r="L467" s="472">
        <v>1.4833299999999999E-3</v>
      </c>
      <c r="M467" s="104">
        <f t="shared" si="31"/>
        <v>627.98514012759995</v>
      </c>
      <c r="O467" s="66">
        <f t="shared" si="32"/>
        <v>32030.842132333335</v>
      </c>
    </row>
    <row r="468" spans="1:15">
      <c r="A468" s="464" t="s">
        <v>14</v>
      </c>
      <c r="B468" s="465" t="s">
        <v>1681</v>
      </c>
      <c r="C468" s="466" t="s">
        <v>2637</v>
      </c>
      <c r="D468" s="464" t="s">
        <v>2638</v>
      </c>
      <c r="E468" s="465" t="str">
        <f>VLOOKUP(C468,'[10]Project Detail Query'!$A$1:$R$2830,6,FALSE)</f>
        <v>F0572</v>
      </c>
      <c r="F468" s="464" t="str">
        <f>VLOOKUP(C468,'[10]Project Detail Query'!$A$1:$R$2830,7,FALSE)</f>
        <v>Main Replacement - ISRS (SW)</v>
      </c>
      <c r="G468" s="465" t="s">
        <v>20</v>
      </c>
      <c r="H468" s="465">
        <v>201701</v>
      </c>
      <c r="I468" s="467">
        <v>16541.11</v>
      </c>
      <c r="J468" s="297">
        <f t="shared" si="33"/>
        <v>42736</v>
      </c>
      <c r="K468" s="67">
        <f t="shared" si="34"/>
        <v>4</v>
      </c>
      <c r="L468" s="468">
        <v>2.23333E-3</v>
      </c>
      <c r="M468" s="104">
        <f t="shared" si="31"/>
        <v>147.76702878520001</v>
      </c>
      <c r="O468" s="66">
        <f t="shared" si="32"/>
        <v>5005.8912563333342</v>
      </c>
    </row>
    <row r="469" spans="1:15">
      <c r="A469" s="464" t="s">
        <v>626</v>
      </c>
      <c r="B469" s="465" t="s">
        <v>1681</v>
      </c>
      <c r="C469" s="466" t="s">
        <v>2639</v>
      </c>
      <c r="D469" s="464" t="s">
        <v>2640</v>
      </c>
      <c r="E469" s="465" t="str">
        <f>VLOOKUP(C469,'[10]Project Detail Query'!$A$1:$R$2830,6,FALSE)</f>
        <v>F0599</v>
      </c>
      <c r="F469" s="464" t="str">
        <f>VLOOKUP(C469,'[10]Project Detail Query'!$A$1:$R$2830,7,FALSE)</f>
        <v>Main Replacement - ISRS (N)</v>
      </c>
      <c r="G469" s="465" t="s">
        <v>20</v>
      </c>
      <c r="H469" s="465">
        <v>201701</v>
      </c>
      <c r="I469" s="467">
        <v>24537.77</v>
      </c>
      <c r="J469" s="297">
        <f t="shared" si="33"/>
        <v>42736</v>
      </c>
      <c r="K469" s="67">
        <f t="shared" si="34"/>
        <v>4</v>
      </c>
      <c r="L469" s="472">
        <v>1.4833299999999999E-3</v>
      </c>
      <c r="M469" s="104">
        <f t="shared" si="31"/>
        <v>145.59044149639999</v>
      </c>
      <c r="O469" s="66">
        <f t="shared" si="32"/>
        <v>7425.9471276666682</v>
      </c>
    </row>
    <row r="470" spans="1:15">
      <c r="A470" s="464" t="s">
        <v>626</v>
      </c>
      <c r="B470" s="465" t="s">
        <v>1681</v>
      </c>
      <c r="C470" s="466" t="s">
        <v>2450</v>
      </c>
      <c r="D470" s="464" t="s">
        <v>2451</v>
      </c>
      <c r="E470" s="465" t="str">
        <f>VLOOKUP(C470,'[10]Project Detail Query'!$A$1:$R$2830,6,FALSE)</f>
        <v>F0578</v>
      </c>
      <c r="F470" s="464" t="str">
        <f>VLOOKUP(C470,'[10]Project Detail Query'!$A$1:$R$2830,7,FALSE)</f>
        <v>Street &amp; Highway Relocates ISRS (S)</v>
      </c>
      <c r="G470" s="465" t="s">
        <v>20</v>
      </c>
      <c r="H470" s="465">
        <v>201701</v>
      </c>
      <c r="I470" s="467">
        <v>2349.27</v>
      </c>
      <c r="J470" s="297">
        <f t="shared" si="33"/>
        <v>42736</v>
      </c>
      <c r="K470" s="67">
        <f t="shared" si="34"/>
        <v>4</v>
      </c>
      <c r="L470" s="472">
        <v>1.4833299999999999E-3</v>
      </c>
      <c r="M470" s="104">
        <f t="shared" si="31"/>
        <v>13.938970676399999</v>
      </c>
      <c r="O470" s="66">
        <f t="shared" si="32"/>
        <v>710.96741100000008</v>
      </c>
    </row>
    <row r="472" spans="1:15">
      <c r="I472" s="314">
        <f>SUM(I291:I470)</f>
        <v>22237424.36999999</v>
      </c>
      <c r="M472" s="314">
        <f>SUM(M291:M470)</f>
        <v>126246.65938885396</v>
      </c>
      <c r="O472" s="314">
        <f>SUM(O291:O470)</f>
        <v>6729785.8618410006</v>
      </c>
    </row>
  </sheetData>
  <sortState ref="A5:Q294">
    <sortCondition ref="H5:H294"/>
    <sortCondition ref="C5:C294"/>
  </sortState>
  <mergeCells count="9">
    <mergeCell ref="J4:M4"/>
    <mergeCell ref="S5:U5"/>
    <mergeCell ref="J1:J3"/>
    <mergeCell ref="L1:L3"/>
    <mergeCell ref="M1:M3"/>
    <mergeCell ref="N1:O1"/>
    <mergeCell ref="K2:K3"/>
    <mergeCell ref="N2:N3"/>
    <mergeCell ref="O2:O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17"/>
  <sheetViews>
    <sheetView workbookViewId="0">
      <selection activeCell="C13" sqref="C13"/>
    </sheetView>
  </sheetViews>
  <sheetFormatPr defaultColWidth="15.7109375" defaultRowHeight="12.75"/>
  <cols>
    <col min="1" max="1" width="44.7109375" style="200" customWidth="1"/>
    <col min="2" max="2" width="5" style="200" customWidth="1"/>
    <col min="3" max="258" width="15.7109375" style="200"/>
    <col min="259" max="259" width="44.7109375" style="200" customWidth="1"/>
    <col min="260" max="260" width="5" style="200" customWidth="1"/>
    <col min="261" max="514" width="15.7109375" style="200"/>
    <col min="515" max="515" width="44.7109375" style="200" customWidth="1"/>
    <col min="516" max="516" width="5" style="200" customWidth="1"/>
    <col min="517" max="770" width="15.7109375" style="200"/>
    <col min="771" max="771" width="44.7109375" style="200" customWidth="1"/>
    <col min="772" max="772" width="5" style="200" customWidth="1"/>
    <col min="773" max="1026" width="15.7109375" style="200"/>
    <col min="1027" max="1027" width="44.7109375" style="200" customWidth="1"/>
    <col min="1028" max="1028" width="5" style="200" customWidth="1"/>
    <col min="1029" max="1282" width="15.7109375" style="200"/>
    <col min="1283" max="1283" width="44.7109375" style="200" customWidth="1"/>
    <col min="1284" max="1284" width="5" style="200" customWidth="1"/>
    <col min="1285" max="1538" width="15.7109375" style="200"/>
    <col min="1539" max="1539" width="44.7109375" style="200" customWidth="1"/>
    <col min="1540" max="1540" width="5" style="200" customWidth="1"/>
    <col min="1541" max="1794" width="15.7109375" style="200"/>
    <col min="1795" max="1795" width="44.7109375" style="200" customWidth="1"/>
    <col min="1796" max="1796" width="5" style="200" customWidth="1"/>
    <col min="1797" max="2050" width="15.7109375" style="200"/>
    <col min="2051" max="2051" width="44.7109375" style="200" customWidth="1"/>
    <col min="2052" max="2052" width="5" style="200" customWidth="1"/>
    <col min="2053" max="2306" width="15.7109375" style="200"/>
    <col min="2307" max="2307" width="44.7109375" style="200" customWidth="1"/>
    <col min="2308" max="2308" width="5" style="200" customWidth="1"/>
    <col min="2309" max="2562" width="15.7109375" style="200"/>
    <col min="2563" max="2563" width="44.7109375" style="200" customWidth="1"/>
    <col min="2564" max="2564" width="5" style="200" customWidth="1"/>
    <col min="2565" max="2818" width="15.7109375" style="200"/>
    <col min="2819" max="2819" width="44.7109375" style="200" customWidth="1"/>
    <col min="2820" max="2820" width="5" style="200" customWidth="1"/>
    <col min="2821" max="3074" width="15.7109375" style="200"/>
    <col min="3075" max="3075" width="44.7109375" style="200" customWidth="1"/>
    <col min="3076" max="3076" width="5" style="200" customWidth="1"/>
    <col min="3077" max="3330" width="15.7109375" style="200"/>
    <col min="3331" max="3331" width="44.7109375" style="200" customWidth="1"/>
    <col min="3332" max="3332" width="5" style="200" customWidth="1"/>
    <col min="3333" max="3586" width="15.7109375" style="200"/>
    <col min="3587" max="3587" width="44.7109375" style="200" customWidth="1"/>
    <col min="3588" max="3588" width="5" style="200" customWidth="1"/>
    <col min="3589" max="3842" width="15.7109375" style="200"/>
    <col min="3843" max="3843" width="44.7109375" style="200" customWidth="1"/>
    <col min="3844" max="3844" width="5" style="200" customWidth="1"/>
    <col min="3845" max="4098" width="15.7109375" style="200"/>
    <col min="4099" max="4099" width="44.7109375" style="200" customWidth="1"/>
    <col min="4100" max="4100" width="5" style="200" customWidth="1"/>
    <col min="4101" max="4354" width="15.7109375" style="200"/>
    <col min="4355" max="4355" width="44.7109375" style="200" customWidth="1"/>
    <col min="4356" max="4356" width="5" style="200" customWidth="1"/>
    <col min="4357" max="4610" width="15.7109375" style="200"/>
    <col min="4611" max="4611" width="44.7109375" style="200" customWidth="1"/>
    <col min="4612" max="4612" width="5" style="200" customWidth="1"/>
    <col min="4613" max="4866" width="15.7109375" style="200"/>
    <col min="4867" max="4867" width="44.7109375" style="200" customWidth="1"/>
    <col min="4868" max="4868" width="5" style="200" customWidth="1"/>
    <col min="4869" max="5122" width="15.7109375" style="200"/>
    <col min="5123" max="5123" width="44.7109375" style="200" customWidth="1"/>
    <col min="5124" max="5124" width="5" style="200" customWidth="1"/>
    <col min="5125" max="5378" width="15.7109375" style="200"/>
    <col min="5379" max="5379" width="44.7109375" style="200" customWidth="1"/>
    <col min="5380" max="5380" width="5" style="200" customWidth="1"/>
    <col min="5381" max="5634" width="15.7109375" style="200"/>
    <col min="5635" max="5635" width="44.7109375" style="200" customWidth="1"/>
    <col min="5636" max="5636" width="5" style="200" customWidth="1"/>
    <col min="5637" max="5890" width="15.7109375" style="200"/>
    <col min="5891" max="5891" width="44.7109375" style="200" customWidth="1"/>
    <col min="5892" max="5892" width="5" style="200" customWidth="1"/>
    <col min="5893" max="6146" width="15.7109375" style="200"/>
    <col min="6147" max="6147" width="44.7109375" style="200" customWidth="1"/>
    <col min="6148" max="6148" width="5" style="200" customWidth="1"/>
    <col min="6149" max="6402" width="15.7109375" style="200"/>
    <col min="6403" max="6403" width="44.7109375" style="200" customWidth="1"/>
    <col min="6404" max="6404" width="5" style="200" customWidth="1"/>
    <col min="6405" max="6658" width="15.7109375" style="200"/>
    <col min="6659" max="6659" width="44.7109375" style="200" customWidth="1"/>
    <col min="6660" max="6660" width="5" style="200" customWidth="1"/>
    <col min="6661" max="6914" width="15.7109375" style="200"/>
    <col min="6915" max="6915" width="44.7109375" style="200" customWidth="1"/>
    <col min="6916" max="6916" width="5" style="200" customWidth="1"/>
    <col min="6917" max="7170" width="15.7109375" style="200"/>
    <col min="7171" max="7171" width="44.7109375" style="200" customWidth="1"/>
    <col min="7172" max="7172" width="5" style="200" customWidth="1"/>
    <col min="7173" max="7426" width="15.7109375" style="200"/>
    <col min="7427" max="7427" width="44.7109375" style="200" customWidth="1"/>
    <col min="7428" max="7428" width="5" style="200" customWidth="1"/>
    <col min="7429" max="7682" width="15.7109375" style="200"/>
    <col min="7683" max="7683" width="44.7109375" style="200" customWidth="1"/>
    <col min="7684" max="7684" width="5" style="200" customWidth="1"/>
    <col min="7685" max="7938" width="15.7109375" style="200"/>
    <col min="7939" max="7939" width="44.7109375" style="200" customWidth="1"/>
    <col min="7940" max="7940" width="5" style="200" customWidth="1"/>
    <col min="7941" max="8194" width="15.7109375" style="200"/>
    <col min="8195" max="8195" width="44.7109375" style="200" customWidth="1"/>
    <col min="8196" max="8196" width="5" style="200" customWidth="1"/>
    <col min="8197" max="8450" width="15.7109375" style="200"/>
    <col min="8451" max="8451" width="44.7109375" style="200" customWidth="1"/>
    <col min="8452" max="8452" width="5" style="200" customWidth="1"/>
    <col min="8453" max="8706" width="15.7109375" style="200"/>
    <col min="8707" max="8707" width="44.7109375" style="200" customWidth="1"/>
    <col min="8708" max="8708" width="5" style="200" customWidth="1"/>
    <col min="8709" max="8962" width="15.7109375" style="200"/>
    <col min="8963" max="8963" width="44.7109375" style="200" customWidth="1"/>
    <col min="8964" max="8964" width="5" style="200" customWidth="1"/>
    <col min="8965" max="9218" width="15.7109375" style="200"/>
    <col min="9219" max="9219" width="44.7109375" style="200" customWidth="1"/>
    <col min="9220" max="9220" width="5" style="200" customWidth="1"/>
    <col min="9221" max="9474" width="15.7109375" style="200"/>
    <col min="9475" max="9475" width="44.7109375" style="200" customWidth="1"/>
    <col min="9476" max="9476" width="5" style="200" customWidth="1"/>
    <col min="9477" max="9730" width="15.7109375" style="200"/>
    <col min="9731" max="9731" width="44.7109375" style="200" customWidth="1"/>
    <col min="9732" max="9732" width="5" style="200" customWidth="1"/>
    <col min="9733" max="9986" width="15.7109375" style="200"/>
    <col min="9987" max="9987" width="44.7109375" style="200" customWidth="1"/>
    <col min="9988" max="9988" width="5" style="200" customWidth="1"/>
    <col min="9989" max="10242" width="15.7109375" style="200"/>
    <col min="10243" max="10243" width="44.7109375" style="200" customWidth="1"/>
    <col min="10244" max="10244" width="5" style="200" customWidth="1"/>
    <col min="10245" max="10498" width="15.7109375" style="200"/>
    <col min="10499" max="10499" width="44.7109375" style="200" customWidth="1"/>
    <col min="10500" max="10500" width="5" style="200" customWidth="1"/>
    <col min="10501" max="10754" width="15.7109375" style="200"/>
    <col min="10755" max="10755" width="44.7109375" style="200" customWidth="1"/>
    <col min="10756" max="10756" width="5" style="200" customWidth="1"/>
    <col min="10757" max="11010" width="15.7109375" style="200"/>
    <col min="11011" max="11011" width="44.7109375" style="200" customWidth="1"/>
    <col min="11012" max="11012" width="5" style="200" customWidth="1"/>
    <col min="11013" max="11266" width="15.7109375" style="200"/>
    <col min="11267" max="11267" width="44.7109375" style="200" customWidth="1"/>
    <col min="11268" max="11268" width="5" style="200" customWidth="1"/>
    <col min="11269" max="11522" width="15.7109375" style="200"/>
    <col min="11523" max="11523" width="44.7109375" style="200" customWidth="1"/>
    <col min="11524" max="11524" width="5" style="200" customWidth="1"/>
    <col min="11525" max="11778" width="15.7109375" style="200"/>
    <col min="11779" max="11779" width="44.7109375" style="200" customWidth="1"/>
    <col min="11780" max="11780" width="5" style="200" customWidth="1"/>
    <col min="11781" max="12034" width="15.7109375" style="200"/>
    <col min="12035" max="12035" width="44.7109375" style="200" customWidth="1"/>
    <col min="12036" max="12036" width="5" style="200" customWidth="1"/>
    <col min="12037" max="12290" width="15.7109375" style="200"/>
    <col min="12291" max="12291" width="44.7109375" style="200" customWidth="1"/>
    <col min="12292" max="12292" width="5" style="200" customWidth="1"/>
    <col min="12293" max="12546" width="15.7109375" style="200"/>
    <col min="12547" max="12547" width="44.7109375" style="200" customWidth="1"/>
    <col min="12548" max="12548" width="5" style="200" customWidth="1"/>
    <col min="12549" max="12802" width="15.7109375" style="200"/>
    <col min="12803" max="12803" width="44.7109375" style="200" customWidth="1"/>
    <col min="12804" max="12804" width="5" style="200" customWidth="1"/>
    <col min="12805" max="13058" width="15.7109375" style="200"/>
    <col min="13059" max="13059" width="44.7109375" style="200" customWidth="1"/>
    <col min="13060" max="13060" width="5" style="200" customWidth="1"/>
    <col min="13061" max="13314" width="15.7109375" style="200"/>
    <col min="13315" max="13315" width="44.7109375" style="200" customWidth="1"/>
    <col min="13316" max="13316" width="5" style="200" customWidth="1"/>
    <col min="13317" max="13570" width="15.7109375" style="200"/>
    <col min="13571" max="13571" width="44.7109375" style="200" customWidth="1"/>
    <col min="13572" max="13572" width="5" style="200" customWidth="1"/>
    <col min="13573" max="13826" width="15.7109375" style="200"/>
    <col min="13827" max="13827" width="44.7109375" style="200" customWidth="1"/>
    <col min="13828" max="13828" width="5" style="200" customWidth="1"/>
    <col min="13829" max="14082" width="15.7109375" style="200"/>
    <col min="14083" max="14083" width="44.7109375" style="200" customWidth="1"/>
    <col min="14084" max="14084" width="5" style="200" customWidth="1"/>
    <col min="14085" max="14338" width="15.7109375" style="200"/>
    <col min="14339" max="14339" width="44.7109375" style="200" customWidth="1"/>
    <col min="14340" max="14340" width="5" style="200" customWidth="1"/>
    <col min="14341" max="14594" width="15.7109375" style="200"/>
    <col min="14595" max="14595" width="44.7109375" style="200" customWidth="1"/>
    <col min="14596" max="14596" width="5" style="200" customWidth="1"/>
    <col min="14597" max="14850" width="15.7109375" style="200"/>
    <col min="14851" max="14851" width="44.7109375" style="200" customWidth="1"/>
    <col min="14852" max="14852" width="5" style="200" customWidth="1"/>
    <col min="14853" max="15106" width="15.7109375" style="200"/>
    <col min="15107" max="15107" width="44.7109375" style="200" customWidth="1"/>
    <col min="15108" max="15108" width="5" style="200" customWidth="1"/>
    <col min="15109" max="15362" width="15.7109375" style="200"/>
    <col min="15363" max="15363" width="44.7109375" style="200" customWidth="1"/>
    <col min="15364" max="15364" width="5" style="200" customWidth="1"/>
    <col min="15365" max="15618" width="15.7109375" style="200"/>
    <col min="15619" max="15619" width="44.7109375" style="200" customWidth="1"/>
    <col min="15620" max="15620" width="5" style="200" customWidth="1"/>
    <col min="15621" max="15874" width="15.7109375" style="200"/>
    <col min="15875" max="15875" width="44.7109375" style="200" customWidth="1"/>
    <col min="15876" max="15876" width="5" style="200" customWidth="1"/>
    <col min="15877" max="16130" width="15.7109375" style="200"/>
    <col min="16131" max="16131" width="44.7109375" style="200" customWidth="1"/>
    <col min="16132" max="16132" width="5" style="200" customWidth="1"/>
    <col min="16133" max="16384" width="15.7109375" style="200"/>
  </cols>
  <sheetData>
    <row r="1" spans="1:8">
      <c r="A1" s="455" t="s">
        <v>2138</v>
      </c>
      <c r="B1" s="455"/>
      <c r="C1" s="455"/>
      <c r="D1" s="455"/>
      <c r="E1" s="455"/>
      <c r="F1" s="455"/>
      <c r="G1" s="455"/>
      <c r="H1" s="455"/>
    </row>
    <row r="2" spans="1:8">
      <c r="A2" s="455" t="s">
        <v>2139</v>
      </c>
      <c r="B2" s="455"/>
      <c r="C2" s="455"/>
      <c r="D2" s="455"/>
      <c r="E2" s="455"/>
      <c r="F2" s="455"/>
      <c r="G2" s="455"/>
      <c r="H2" s="455"/>
    </row>
    <row r="3" spans="1:8">
      <c r="A3" s="456" t="s">
        <v>2140</v>
      </c>
      <c r="B3" s="456"/>
      <c r="C3" s="456"/>
      <c r="D3" s="456"/>
      <c r="E3" s="456"/>
      <c r="F3" s="456"/>
      <c r="G3" s="456"/>
      <c r="H3" s="456"/>
    </row>
    <row r="4" spans="1:8">
      <c r="A4" s="201"/>
    </row>
    <row r="5" spans="1:8">
      <c r="A5" s="202" t="s">
        <v>2141</v>
      </c>
      <c r="B5" s="203"/>
      <c r="C5" s="204">
        <v>0.35</v>
      </c>
      <c r="D5" s="205"/>
      <c r="E5" s="205"/>
      <c r="F5" s="203"/>
      <c r="G5" s="203"/>
      <c r="H5" s="203"/>
    </row>
    <row r="6" spans="1:8" ht="13.5" thickBot="1">
      <c r="A6" s="202" t="s">
        <v>2142</v>
      </c>
      <c r="B6" s="203"/>
      <c r="C6" s="206">
        <v>0.38388600000000001</v>
      </c>
      <c r="D6" s="205"/>
      <c r="E6" s="205"/>
      <c r="F6" s="203"/>
      <c r="G6" s="203"/>
      <c r="H6" s="203"/>
    </row>
    <row r="7" spans="1:8">
      <c r="A7" s="203"/>
      <c r="B7" s="203"/>
      <c r="C7" s="203"/>
      <c r="D7" s="203"/>
      <c r="E7" s="203"/>
      <c r="F7" s="203"/>
      <c r="G7" s="203"/>
      <c r="H7" s="203"/>
    </row>
    <row r="8" spans="1:8">
      <c r="A8" s="202"/>
      <c r="B8" s="203"/>
      <c r="C8" s="207" t="s">
        <v>2143</v>
      </c>
      <c r="D8" s="207" t="s">
        <v>2144</v>
      </c>
      <c r="E8" s="207" t="s">
        <v>2145</v>
      </c>
      <c r="F8" s="207" t="s">
        <v>2146</v>
      </c>
      <c r="G8" s="207" t="s">
        <v>2212</v>
      </c>
      <c r="H8" s="207" t="s">
        <v>2598</v>
      </c>
    </row>
    <row r="9" spans="1:8">
      <c r="A9" s="202" t="s">
        <v>2213</v>
      </c>
      <c r="B9" s="203"/>
      <c r="C9" s="208">
        <f>+'Depr-DIT Current'!O472</f>
        <v>6729785.8618410006</v>
      </c>
      <c r="D9" s="209">
        <f>+'Depr-DIT GR-2015-0025'!T1369</f>
        <v>195926.5937429624</v>
      </c>
      <c r="E9" s="209">
        <f>+'Depr-DIT GO-2015-0270'!R924</f>
        <v>338390.58833332465</v>
      </c>
      <c r="F9" s="209">
        <f>+'Depr-DIT GO-2015-0343'!R1372</f>
        <v>269338.24836792494</v>
      </c>
      <c r="G9" s="209">
        <f>+'Depr-DIT GO-2016-0197'!R926</f>
        <v>406810.68150907708</v>
      </c>
      <c r="H9" s="208">
        <f>+'Depr-DIT GO-2016-0332'!Q1750</f>
        <v>3593702.8229623581</v>
      </c>
    </row>
    <row r="10" spans="1:8">
      <c r="A10" s="202" t="s">
        <v>2147</v>
      </c>
      <c r="B10" s="203"/>
      <c r="C10" s="210">
        <f>+'Depr-DIT GO-2016-0332'!O1750</f>
        <v>0</v>
      </c>
      <c r="D10" s="210">
        <f>+'Depr-DIT GR-2015-0025'!R1369</f>
        <v>0</v>
      </c>
      <c r="E10" s="210">
        <f>+'Depr-DIT GO-2015-0270'!P924</f>
        <v>0</v>
      </c>
      <c r="F10" s="210">
        <f>+'Depr-DIT GO-2015-0343'!P1372</f>
        <v>0</v>
      </c>
      <c r="G10" s="210">
        <f>+'Depr-DIT GO-2016-0197'!P926</f>
        <v>0</v>
      </c>
      <c r="H10" s="210">
        <f>+'Depr-DIT GO-2016-0332'!O1750</f>
        <v>0</v>
      </c>
    </row>
    <row r="11" spans="1:8">
      <c r="A11" s="202" t="s">
        <v>2148</v>
      </c>
      <c r="B11" s="203"/>
      <c r="C11" s="211">
        <f t="shared" ref="C11:H11" si="0">+C9+C10</f>
        <v>6729785.8618410006</v>
      </c>
      <c r="D11" s="211">
        <f t="shared" si="0"/>
        <v>195926.5937429624</v>
      </c>
      <c r="E11" s="211">
        <f t="shared" si="0"/>
        <v>338390.58833332465</v>
      </c>
      <c r="F11" s="211">
        <f t="shared" si="0"/>
        <v>269338.24836792494</v>
      </c>
      <c r="G11" s="211">
        <f t="shared" si="0"/>
        <v>406810.68150907708</v>
      </c>
      <c r="H11" s="211">
        <f t="shared" si="0"/>
        <v>3593702.8229623581</v>
      </c>
    </row>
    <row r="12" spans="1:8">
      <c r="A12" s="202" t="s">
        <v>2149</v>
      </c>
      <c r="B12" s="203"/>
      <c r="C12" s="212">
        <f>+'Depr-DIT Current'!M472</f>
        <v>126246.65938885396</v>
      </c>
      <c r="D12" s="212">
        <f>+'Depr-DIT GR-2015-0025'!N1369</f>
        <v>144253.38015458497</v>
      </c>
      <c r="E12" s="212">
        <f>+'Depr-DIT GO-2015-0270'!N924</f>
        <v>219072.21798640408</v>
      </c>
      <c r="F12" s="212">
        <f>+'Depr-DIT GO-2015-0343'!N1372</f>
        <v>181544.45206188402</v>
      </c>
      <c r="G12" s="212">
        <f>+'Depr-DIT GO-2016-0197'!N926</f>
        <v>237630.24116165107</v>
      </c>
      <c r="H12" s="212">
        <f>+'Depr-DIT GO-2016-0332'!M1750</f>
        <v>333085.61108907242</v>
      </c>
    </row>
    <row r="13" spans="1:8">
      <c r="A13" s="202"/>
      <c r="B13" s="203"/>
      <c r="C13" s="203"/>
      <c r="D13" s="203"/>
      <c r="E13" s="203"/>
      <c r="F13" s="203"/>
      <c r="G13" s="203"/>
      <c r="H13" s="203"/>
    </row>
    <row r="14" spans="1:8" ht="13.5" thickBot="1">
      <c r="A14" s="202" t="s">
        <v>2150</v>
      </c>
      <c r="B14" s="203"/>
      <c r="C14" s="213">
        <f t="shared" ref="C14:H14" si="1">+C11-C12</f>
        <v>6603539.2024521464</v>
      </c>
      <c r="D14" s="213">
        <f t="shared" si="1"/>
        <v>51673.213588377432</v>
      </c>
      <c r="E14" s="213">
        <f t="shared" si="1"/>
        <v>119318.37034692056</v>
      </c>
      <c r="F14" s="213">
        <f t="shared" si="1"/>
        <v>87793.796306040924</v>
      </c>
      <c r="G14" s="213">
        <f t="shared" si="1"/>
        <v>169180.44034742602</v>
      </c>
      <c r="H14" s="213">
        <f t="shared" si="1"/>
        <v>3260617.2118732855</v>
      </c>
    </row>
    <row r="15" spans="1:8" ht="13.5" thickTop="1">
      <c r="A15" s="202"/>
      <c r="B15" s="203"/>
      <c r="C15" s="203"/>
      <c r="D15" s="203"/>
      <c r="E15" s="203"/>
      <c r="F15" s="203"/>
      <c r="G15" s="203"/>
      <c r="H15" s="203"/>
    </row>
    <row r="16" spans="1:8" ht="13.5" thickBot="1">
      <c r="A16" s="202" t="s">
        <v>2151</v>
      </c>
      <c r="B16" s="203"/>
      <c r="C16" s="213">
        <f t="shared" ref="C16:H16" si="2">+C14*$C$6</f>
        <v>2535006.2502725446</v>
      </c>
      <c r="D16" s="213">
        <f t="shared" si="2"/>
        <v>19836.623271587858</v>
      </c>
      <c r="E16" s="213">
        <f t="shared" si="2"/>
        <v>45804.651918997952</v>
      </c>
      <c r="F16" s="213">
        <f t="shared" si="2"/>
        <v>33702.809288740827</v>
      </c>
      <c r="G16" s="213">
        <f t="shared" si="2"/>
        <v>64946.002523211988</v>
      </c>
      <c r="H16" s="213">
        <f t="shared" si="2"/>
        <v>1251705.298997188</v>
      </c>
    </row>
    <row r="17" spans="1:8" ht="13.5" thickTop="1">
      <c r="A17" s="202"/>
      <c r="B17" s="203"/>
      <c r="C17" s="203"/>
      <c r="D17" s="203"/>
      <c r="E17" s="203"/>
      <c r="F17" s="203"/>
      <c r="G17" s="203"/>
      <c r="H17" s="203"/>
    </row>
  </sheetData>
  <mergeCells count="3">
    <mergeCell ref="A1:H1"/>
    <mergeCell ref="A2:H2"/>
    <mergeCell ref="A3:H3"/>
  </mergeCells>
  <printOptions horizontalCentered="1"/>
  <pageMargins left="0.75" right="0.75" top="1" bottom="1" header="0.5" footer="0.5"/>
  <pageSetup scale="84" orientation="landscape" r:id="rId1"/>
  <headerFooter alignWithMargins="0">
    <oddHeader xml:space="preserve">&amp;R&amp;"Arial,Bold"Appendix A
Page 4&amp;"Arial,Regular"
</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3"/>
  <sheetViews>
    <sheetView workbookViewId="0">
      <selection activeCell="P694" sqref="P694"/>
    </sheetView>
  </sheetViews>
  <sheetFormatPr defaultRowHeight="12.75"/>
  <cols>
    <col min="1" max="1" width="1" style="200" customWidth="1"/>
    <col min="2" max="2" width="0.5703125" style="200" customWidth="1"/>
    <col min="3" max="3" width="20.140625" style="200" customWidth="1"/>
    <col min="4" max="4" width="3.28515625" style="200" customWidth="1"/>
    <col min="5" max="5" width="11.42578125" style="200" bestFit="1" customWidth="1"/>
    <col min="6" max="6" width="3.5703125" style="200" customWidth="1"/>
    <col min="7" max="7" width="11" style="200" bestFit="1" customWidth="1"/>
    <col min="8" max="8" width="3.5703125" style="200" customWidth="1"/>
    <col min="9" max="9" width="9.7109375" style="200" bestFit="1" customWidth="1"/>
    <col min="10" max="10" width="3.28515625" style="200" customWidth="1"/>
    <col min="11" max="11" width="10.7109375" style="200" bestFit="1" customWidth="1"/>
    <col min="12" max="256" width="9.140625" style="200"/>
    <col min="257" max="257" width="1" style="200" customWidth="1"/>
    <col min="258" max="258" width="0.5703125" style="200" customWidth="1"/>
    <col min="259" max="259" width="20.140625" style="200" customWidth="1"/>
    <col min="260" max="260" width="3.28515625" style="200" customWidth="1"/>
    <col min="261" max="261" width="11.42578125" style="200" bestFit="1" customWidth="1"/>
    <col min="262" max="262" width="3.5703125" style="200" customWidth="1"/>
    <col min="263" max="263" width="11" style="200" bestFit="1" customWidth="1"/>
    <col min="264" max="264" width="3.5703125" style="200" customWidth="1"/>
    <col min="265" max="265" width="9.7109375" style="200" bestFit="1" customWidth="1"/>
    <col min="266" max="266" width="3.28515625" style="200" customWidth="1"/>
    <col min="267" max="267" width="10.7109375" style="200" bestFit="1" customWidth="1"/>
    <col min="268" max="512" width="9.140625" style="200"/>
    <col min="513" max="513" width="1" style="200" customWidth="1"/>
    <col min="514" max="514" width="0.5703125" style="200" customWidth="1"/>
    <col min="515" max="515" width="20.140625" style="200" customWidth="1"/>
    <col min="516" max="516" width="3.28515625" style="200" customWidth="1"/>
    <col min="517" max="517" width="11.42578125" style="200" bestFit="1" customWidth="1"/>
    <col min="518" max="518" width="3.5703125" style="200" customWidth="1"/>
    <col min="519" max="519" width="11" style="200" bestFit="1" customWidth="1"/>
    <col min="520" max="520" width="3.5703125" style="200" customWidth="1"/>
    <col min="521" max="521" width="9.7109375" style="200" bestFit="1" customWidth="1"/>
    <col min="522" max="522" width="3.28515625" style="200" customWidth="1"/>
    <col min="523" max="523" width="10.7109375" style="200" bestFit="1" customWidth="1"/>
    <col min="524" max="768" width="9.140625" style="200"/>
    <col min="769" max="769" width="1" style="200" customWidth="1"/>
    <col min="770" max="770" width="0.5703125" style="200" customWidth="1"/>
    <col min="771" max="771" width="20.140625" style="200" customWidth="1"/>
    <col min="772" max="772" width="3.28515625" style="200" customWidth="1"/>
    <col min="773" max="773" width="11.42578125" style="200" bestFit="1" customWidth="1"/>
    <col min="774" max="774" width="3.5703125" style="200" customWidth="1"/>
    <col min="775" max="775" width="11" style="200" bestFit="1" customWidth="1"/>
    <col min="776" max="776" width="3.5703125" style="200" customWidth="1"/>
    <col min="777" max="777" width="9.7109375" style="200" bestFit="1" customWidth="1"/>
    <col min="778" max="778" width="3.28515625" style="200" customWidth="1"/>
    <col min="779" max="779" width="10.7109375" style="200" bestFit="1" customWidth="1"/>
    <col min="780" max="1024" width="9.140625" style="200"/>
    <col min="1025" max="1025" width="1" style="200" customWidth="1"/>
    <col min="1026" max="1026" width="0.5703125" style="200" customWidth="1"/>
    <col min="1027" max="1027" width="20.140625" style="200" customWidth="1"/>
    <col min="1028" max="1028" width="3.28515625" style="200" customWidth="1"/>
    <col min="1029" max="1029" width="11.42578125" style="200" bestFit="1" customWidth="1"/>
    <col min="1030" max="1030" width="3.5703125" style="200" customWidth="1"/>
    <col min="1031" max="1031" width="11" style="200" bestFit="1" customWidth="1"/>
    <col min="1032" max="1032" width="3.5703125" style="200" customWidth="1"/>
    <col min="1033" max="1033" width="9.7109375" style="200" bestFit="1" customWidth="1"/>
    <col min="1034" max="1034" width="3.28515625" style="200" customWidth="1"/>
    <col min="1035" max="1035" width="10.7109375" style="200" bestFit="1" customWidth="1"/>
    <col min="1036" max="1280" width="9.140625" style="200"/>
    <col min="1281" max="1281" width="1" style="200" customWidth="1"/>
    <col min="1282" max="1282" width="0.5703125" style="200" customWidth="1"/>
    <col min="1283" max="1283" width="20.140625" style="200" customWidth="1"/>
    <col min="1284" max="1284" width="3.28515625" style="200" customWidth="1"/>
    <col min="1285" max="1285" width="11.42578125" style="200" bestFit="1" customWidth="1"/>
    <col min="1286" max="1286" width="3.5703125" style="200" customWidth="1"/>
    <col min="1287" max="1287" width="11" style="200" bestFit="1" customWidth="1"/>
    <col min="1288" max="1288" width="3.5703125" style="200" customWidth="1"/>
    <col min="1289" max="1289" width="9.7109375" style="200" bestFit="1" customWidth="1"/>
    <col min="1290" max="1290" width="3.28515625" style="200" customWidth="1"/>
    <col min="1291" max="1291" width="10.7109375" style="200" bestFit="1" customWidth="1"/>
    <col min="1292" max="1536" width="9.140625" style="200"/>
    <col min="1537" max="1537" width="1" style="200" customWidth="1"/>
    <col min="1538" max="1538" width="0.5703125" style="200" customWidth="1"/>
    <col min="1539" max="1539" width="20.140625" style="200" customWidth="1"/>
    <col min="1540" max="1540" width="3.28515625" style="200" customWidth="1"/>
    <col min="1541" max="1541" width="11.42578125" style="200" bestFit="1" customWidth="1"/>
    <col min="1542" max="1542" width="3.5703125" style="200" customWidth="1"/>
    <col min="1543" max="1543" width="11" style="200" bestFit="1" customWidth="1"/>
    <col min="1544" max="1544" width="3.5703125" style="200" customWidth="1"/>
    <col min="1545" max="1545" width="9.7109375" style="200" bestFit="1" customWidth="1"/>
    <col min="1546" max="1546" width="3.28515625" style="200" customWidth="1"/>
    <col min="1547" max="1547" width="10.7109375" style="200" bestFit="1" customWidth="1"/>
    <col min="1548" max="1792" width="9.140625" style="200"/>
    <col min="1793" max="1793" width="1" style="200" customWidth="1"/>
    <col min="1794" max="1794" width="0.5703125" style="200" customWidth="1"/>
    <col min="1795" max="1795" width="20.140625" style="200" customWidth="1"/>
    <col min="1796" max="1796" width="3.28515625" style="200" customWidth="1"/>
    <col min="1797" max="1797" width="11.42578125" style="200" bestFit="1" customWidth="1"/>
    <col min="1798" max="1798" width="3.5703125" style="200" customWidth="1"/>
    <col min="1799" max="1799" width="11" style="200" bestFit="1" customWidth="1"/>
    <col min="1800" max="1800" width="3.5703125" style="200" customWidth="1"/>
    <col min="1801" max="1801" width="9.7109375" style="200" bestFit="1" customWidth="1"/>
    <col min="1802" max="1802" width="3.28515625" style="200" customWidth="1"/>
    <col min="1803" max="1803" width="10.7109375" style="200" bestFit="1" customWidth="1"/>
    <col min="1804" max="2048" width="9.140625" style="200"/>
    <col min="2049" max="2049" width="1" style="200" customWidth="1"/>
    <col min="2050" max="2050" width="0.5703125" style="200" customWidth="1"/>
    <col min="2051" max="2051" width="20.140625" style="200" customWidth="1"/>
    <col min="2052" max="2052" width="3.28515625" style="200" customWidth="1"/>
    <col min="2053" max="2053" width="11.42578125" style="200" bestFit="1" customWidth="1"/>
    <col min="2054" max="2054" width="3.5703125" style="200" customWidth="1"/>
    <col min="2055" max="2055" width="11" style="200" bestFit="1" customWidth="1"/>
    <col min="2056" max="2056" width="3.5703125" style="200" customWidth="1"/>
    <col min="2057" max="2057" width="9.7109375" style="200" bestFit="1" customWidth="1"/>
    <col min="2058" max="2058" width="3.28515625" style="200" customWidth="1"/>
    <col min="2059" max="2059" width="10.7109375" style="200" bestFit="1" customWidth="1"/>
    <col min="2060" max="2304" width="9.140625" style="200"/>
    <col min="2305" max="2305" width="1" style="200" customWidth="1"/>
    <col min="2306" max="2306" width="0.5703125" style="200" customWidth="1"/>
    <col min="2307" max="2307" width="20.140625" style="200" customWidth="1"/>
    <col min="2308" max="2308" width="3.28515625" style="200" customWidth="1"/>
    <col min="2309" max="2309" width="11.42578125" style="200" bestFit="1" customWidth="1"/>
    <col min="2310" max="2310" width="3.5703125" style="200" customWidth="1"/>
    <col min="2311" max="2311" width="11" style="200" bestFit="1" customWidth="1"/>
    <col min="2312" max="2312" width="3.5703125" style="200" customWidth="1"/>
    <col min="2313" max="2313" width="9.7109375" style="200" bestFit="1" customWidth="1"/>
    <col min="2314" max="2314" width="3.28515625" style="200" customWidth="1"/>
    <col min="2315" max="2315" width="10.7109375" style="200" bestFit="1" customWidth="1"/>
    <col min="2316" max="2560" width="9.140625" style="200"/>
    <col min="2561" max="2561" width="1" style="200" customWidth="1"/>
    <col min="2562" max="2562" width="0.5703125" style="200" customWidth="1"/>
    <col min="2563" max="2563" width="20.140625" style="200" customWidth="1"/>
    <col min="2564" max="2564" width="3.28515625" style="200" customWidth="1"/>
    <col min="2565" max="2565" width="11.42578125" style="200" bestFit="1" customWidth="1"/>
    <col min="2566" max="2566" width="3.5703125" style="200" customWidth="1"/>
    <col min="2567" max="2567" width="11" style="200" bestFit="1" customWidth="1"/>
    <col min="2568" max="2568" width="3.5703125" style="200" customWidth="1"/>
    <col min="2569" max="2569" width="9.7109375" style="200" bestFit="1" customWidth="1"/>
    <col min="2570" max="2570" width="3.28515625" style="200" customWidth="1"/>
    <col min="2571" max="2571" width="10.7109375" style="200" bestFit="1" customWidth="1"/>
    <col min="2572" max="2816" width="9.140625" style="200"/>
    <col min="2817" max="2817" width="1" style="200" customWidth="1"/>
    <col min="2818" max="2818" width="0.5703125" style="200" customWidth="1"/>
    <col min="2819" max="2819" width="20.140625" style="200" customWidth="1"/>
    <col min="2820" max="2820" width="3.28515625" style="200" customWidth="1"/>
    <col min="2821" max="2821" width="11.42578125" style="200" bestFit="1" customWidth="1"/>
    <col min="2822" max="2822" width="3.5703125" style="200" customWidth="1"/>
    <col min="2823" max="2823" width="11" style="200" bestFit="1" customWidth="1"/>
    <col min="2824" max="2824" width="3.5703125" style="200" customWidth="1"/>
    <col min="2825" max="2825" width="9.7109375" style="200" bestFit="1" customWidth="1"/>
    <col min="2826" max="2826" width="3.28515625" style="200" customWidth="1"/>
    <col min="2827" max="2827" width="10.7109375" style="200" bestFit="1" customWidth="1"/>
    <col min="2828" max="3072" width="9.140625" style="200"/>
    <col min="3073" max="3073" width="1" style="200" customWidth="1"/>
    <col min="3074" max="3074" width="0.5703125" style="200" customWidth="1"/>
    <col min="3075" max="3075" width="20.140625" style="200" customWidth="1"/>
    <col min="3076" max="3076" width="3.28515625" style="200" customWidth="1"/>
    <col min="3077" max="3077" width="11.42578125" style="200" bestFit="1" customWidth="1"/>
    <col min="3078" max="3078" width="3.5703125" style="200" customWidth="1"/>
    <col min="3079" max="3079" width="11" style="200" bestFit="1" customWidth="1"/>
    <col min="3080" max="3080" width="3.5703125" style="200" customWidth="1"/>
    <col min="3081" max="3081" width="9.7109375" style="200" bestFit="1" customWidth="1"/>
    <col min="3082" max="3082" width="3.28515625" style="200" customWidth="1"/>
    <col min="3083" max="3083" width="10.7109375" style="200" bestFit="1" customWidth="1"/>
    <col min="3084" max="3328" width="9.140625" style="200"/>
    <col min="3329" max="3329" width="1" style="200" customWidth="1"/>
    <col min="3330" max="3330" width="0.5703125" style="200" customWidth="1"/>
    <col min="3331" max="3331" width="20.140625" style="200" customWidth="1"/>
    <col min="3332" max="3332" width="3.28515625" style="200" customWidth="1"/>
    <col min="3333" max="3333" width="11.42578125" style="200" bestFit="1" customWidth="1"/>
    <col min="3334" max="3334" width="3.5703125" style="200" customWidth="1"/>
    <col min="3335" max="3335" width="11" style="200" bestFit="1" customWidth="1"/>
    <col min="3336" max="3336" width="3.5703125" style="200" customWidth="1"/>
    <col min="3337" max="3337" width="9.7109375" style="200" bestFit="1" customWidth="1"/>
    <col min="3338" max="3338" width="3.28515625" style="200" customWidth="1"/>
    <col min="3339" max="3339" width="10.7109375" style="200" bestFit="1" customWidth="1"/>
    <col min="3340" max="3584" width="9.140625" style="200"/>
    <col min="3585" max="3585" width="1" style="200" customWidth="1"/>
    <col min="3586" max="3586" width="0.5703125" style="200" customWidth="1"/>
    <col min="3587" max="3587" width="20.140625" style="200" customWidth="1"/>
    <col min="3588" max="3588" width="3.28515625" style="200" customWidth="1"/>
    <col min="3589" max="3589" width="11.42578125" style="200" bestFit="1" customWidth="1"/>
    <col min="3590" max="3590" width="3.5703125" style="200" customWidth="1"/>
    <col min="3591" max="3591" width="11" style="200" bestFit="1" customWidth="1"/>
    <col min="3592" max="3592" width="3.5703125" style="200" customWidth="1"/>
    <col min="3593" max="3593" width="9.7109375" style="200" bestFit="1" customWidth="1"/>
    <col min="3594" max="3594" width="3.28515625" style="200" customWidth="1"/>
    <col min="3595" max="3595" width="10.7109375" style="200" bestFit="1" customWidth="1"/>
    <col min="3596" max="3840" width="9.140625" style="200"/>
    <col min="3841" max="3841" width="1" style="200" customWidth="1"/>
    <col min="3842" max="3842" width="0.5703125" style="200" customWidth="1"/>
    <col min="3843" max="3843" width="20.140625" style="200" customWidth="1"/>
    <col min="3844" max="3844" width="3.28515625" style="200" customWidth="1"/>
    <col min="3845" max="3845" width="11.42578125" style="200" bestFit="1" customWidth="1"/>
    <col min="3846" max="3846" width="3.5703125" style="200" customWidth="1"/>
    <col min="3847" max="3847" width="11" style="200" bestFit="1" customWidth="1"/>
    <col min="3848" max="3848" width="3.5703125" style="200" customWidth="1"/>
    <col min="3849" max="3849" width="9.7109375" style="200" bestFit="1" customWidth="1"/>
    <col min="3850" max="3850" width="3.28515625" style="200" customWidth="1"/>
    <col min="3851" max="3851" width="10.7109375" style="200" bestFit="1" customWidth="1"/>
    <col min="3852" max="4096" width="9.140625" style="200"/>
    <col min="4097" max="4097" width="1" style="200" customWidth="1"/>
    <col min="4098" max="4098" width="0.5703125" style="200" customWidth="1"/>
    <col min="4099" max="4099" width="20.140625" style="200" customWidth="1"/>
    <col min="4100" max="4100" width="3.28515625" style="200" customWidth="1"/>
    <col min="4101" max="4101" width="11.42578125" style="200" bestFit="1" customWidth="1"/>
    <col min="4102" max="4102" width="3.5703125" style="200" customWidth="1"/>
    <col min="4103" max="4103" width="11" style="200" bestFit="1" customWidth="1"/>
    <col min="4104" max="4104" width="3.5703125" style="200" customWidth="1"/>
    <col min="4105" max="4105" width="9.7109375" style="200" bestFit="1" customWidth="1"/>
    <col min="4106" max="4106" width="3.28515625" style="200" customWidth="1"/>
    <col min="4107" max="4107" width="10.7109375" style="200" bestFit="1" customWidth="1"/>
    <col min="4108" max="4352" width="9.140625" style="200"/>
    <col min="4353" max="4353" width="1" style="200" customWidth="1"/>
    <col min="4354" max="4354" width="0.5703125" style="200" customWidth="1"/>
    <col min="4355" max="4355" width="20.140625" style="200" customWidth="1"/>
    <col min="4356" max="4356" width="3.28515625" style="200" customWidth="1"/>
    <col min="4357" max="4357" width="11.42578125" style="200" bestFit="1" customWidth="1"/>
    <col min="4358" max="4358" width="3.5703125" style="200" customWidth="1"/>
    <col min="4359" max="4359" width="11" style="200" bestFit="1" customWidth="1"/>
    <col min="4360" max="4360" width="3.5703125" style="200" customWidth="1"/>
    <col min="4361" max="4361" width="9.7109375" style="200" bestFit="1" customWidth="1"/>
    <col min="4362" max="4362" width="3.28515625" style="200" customWidth="1"/>
    <col min="4363" max="4363" width="10.7109375" style="200" bestFit="1" customWidth="1"/>
    <col min="4364" max="4608" width="9.140625" style="200"/>
    <col min="4609" max="4609" width="1" style="200" customWidth="1"/>
    <col min="4610" max="4610" width="0.5703125" style="200" customWidth="1"/>
    <col min="4611" max="4611" width="20.140625" style="200" customWidth="1"/>
    <col min="4612" max="4612" width="3.28515625" style="200" customWidth="1"/>
    <col min="4613" max="4613" width="11.42578125" style="200" bestFit="1" customWidth="1"/>
    <col min="4614" max="4614" width="3.5703125" style="200" customWidth="1"/>
    <col min="4615" max="4615" width="11" style="200" bestFit="1" customWidth="1"/>
    <col min="4616" max="4616" width="3.5703125" style="200" customWidth="1"/>
    <col min="4617" max="4617" width="9.7109375" style="200" bestFit="1" customWidth="1"/>
    <col min="4618" max="4618" width="3.28515625" style="200" customWidth="1"/>
    <col min="4619" max="4619" width="10.7109375" style="200" bestFit="1" customWidth="1"/>
    <col min="4620" max="4864" width="9.140625" style="200"/>
    <col min="4865" max="4865" width="1" style="200" customWidth="1"/>
    <col min="4866" max="4866" width="0.5703125" style="200" customWidth="1"/>
    <col min="4867" max="4867" width="20.140625" style="200" customWidth="1"/>
    <col min="4868" max="4868" width="3.28515625" style="200" customWidth="1"/>
    <col min="4869" max="4869" width="11.42578125" style="200" bestFit="1" customWidth="1"/>
    <col min="4870" max="4870" width="3.5703125" style="200" customWidth="1"/>
    <col min="4871" max="4871" width="11" style="200" bestFit="1" customWidth="1"/>
    <col min="4872" max="4872" width="3.5703125" style="200" customWidth="1"/>
    <col min="4873" max="4873" width="9.7109375" style="200" bestFit="1" customWidth="1"/>
    <col min="4874" max="4874" width="3.28515625" style="200" customWidth="1"/>
    <col min="4875" max="4875" width="10.7109375" style="200" bestFit="1" customWidth="1"/>
    <col min="4876" max="5120" width="9.140625" style="200"/>
    <col min="5121" max="5121" width="1" style="200" customWidth="1"/>
    <col min="5122" max="5122" width="0.5703125" style="200" customWidth="1"/>
    <col min="5123" max="5123" width="20.140625" style="200" customWidth="1"/>
    <col min="5124" max="5124" width="3.28515625" style="200" customWidth="1"/>
    <col min="5125" max="5125" width="11.42578125" style="200" bestFit="1" customWidth="1"/>
    <col min="5126" max="5126" width="3.5703125" style="200" customWidth="1"/>
    <col min="5127" max="5127" width="11" style="200" bestFit="1" customWidth="1"/>
    <col min="5128" max="5128" width="3.5703125" style="200" customWidth="1"/>
    <col min="5129" max="5129" width="9.7109375" style="200" bestFit="1" customWidth="1"/>
    <col min="5130" max="5130" width="3.28515625" style="200" customWidth="1"/>
    <col min="5131" max="5131" width="10.7109375" style="200" bestFit="1" customWidth="1"/>
    <col min="5132" max="5376" width="9.140625" style="200"/>
    <col min="5377" max="5377" width="1" style="200" customWidth="1"/>
    <col min="5378" max="5378" width="0.5703125" style="200" customWidth="1"/>
    <col min="5379" max="5379" width="20.140625" style="200" customWidth="1"/>
    <col min="5380" max="5380" width="3.28515625" style="200" customWidth="1"/>
    <col min="5381" max="5381" width="11.42578125" style="200" bestFit="1" customWidth="1"/>
    <col min="5382" max="5382" width="3.5703125" style="200" customWidth="1"/>
    <col min="5383" max="5383" width="11" style="200" bestFit="1" customWidth="1"/>
    <col min="5384" max="5384" width="3.5703125" style="200" customWidth="1"/>
    <col min="5385" max="5385" width="9.7109375" style="200" bestFit="1" customWidth="1"/>
    <col min="5386" max="5386" width="3.28515625" style="200" customWidth="1"/>
    <col min="5387" max="5387" width="10.7109375" style="200" bestFit="1" customWidth="1"/>
    <col min="5388" max="5632" width="9.140625" style="200"/>
    <col min="5633" max="5633" width="1" style="200" customWidth="1"/>
    <col min="5634" max="5634" width="0.5703125" style="200" customWidth="1"/>
    <col min="5635" max="5635" width="20.140625" style="200" customWidth="1"/>
    <col min="5636" max="5636" width="3.28515625" style="200" customWidth="1"/>
    <col min="5637" max="5637" width="11.42578125" style="200" bestFit="1" customWidth="1"/>
    <col min="5638" max="5638" width="3.5703125" style="200" customWidth="1"/>
    <col min="5639" max="5639" width="11" style="200" bestFit="1" customWidth="1"/>
    <col min="5640" max="5640" width="3.5703125" style="200" customWidth="1"/>
    <col min="5641" max="5641" width="9.7109375" style="200" bestFit="1" customWidth="1"/>
    <col min="5642" max="5642" width="3.28515625" style="200" customWidth="1"/>
    <col min="5643" max="5643" width="10.7109375" style="200" bestFit="1" customWidth="1"/>
    <col min="5644" max="5888" width="9.140625" style="200"/>
    <col min="5889" max="5889" width="1" style="200" customWidth="1"/>
    <col min="5890" max="5890" width="0.5703125" style="200" customWidth="1"/>
    <col min="5891" max="5891" width="20.140625" style="200" customWidth="1"/>
    <col min="5892" max="5892" width="3.28515625" style="200" customWidth="1"/>
    <col min="5893" max="5893" width="11.42578125" style="200" bestFit="1" customWidth="1"/>
    <col min="5894" max="5894" width="3.5703125" style="200" customWidth="1"/>
    <col min="5895" max="5895" width="11" style="200" bestFit="1" customWidth="1"/>
    <col min="5896" max="5896" width="3.5703125" style="200" customWidth="1"/>
    <col min="5897" max="5897" width="9.7109375" style="200" bestFit="1" customWidth="1"/>
    <col min="5898" max="5898" width="3.28515625" style="200" customWidth="1"/>
    <col min="5899" max="5899" width="10.7109375" style="200" bestFit="1" customWidth="1"/>
    <col min="5900" max="6144" width="9.140625" style="200"/>
    <col min="6145" max="6145" width="1" style="200" customWidth="1"/>
    <col min="6146" max="6146" width="0.5703125" style="200" customWidth="1"/>
    <col min="6147" max="6147" width="20.140625" style="200" customWidth="1"/>
    <col min="6148" max="6148" width="3.28515625" style="200" customWidth="1"/>
    <col min="6149" max="6149" width="11.42578125" style="200" bestFit="1" customWidth="1"/>
    <col min="6150" max="6150" width="3.5703125" style="200" customWidth="1"/>
    <col min="6151" max="6151" width="11" style="200" bestFit="1" customWidth="1"/>
    <col min="6152" max="6152" width="3.5703125" style="200" customWidth="1"/>
    <col min="6153" max="6153" width="9.7109375" style="200" bestFit="1" customWidth="1"/>
    <col min="6154" max="6154" width="3.28515625" style="200" customWidth="1"/>
    <col min="6155" max="6155" width="10.7109375" style="200" bestFit="1" customWidth="1"/>
    <col min="6156" max="6400" width="9.140625" style="200"/>
    <col min="6401" max="6401" width="1" style="200" customWidth="1"/>
    <col min="6402" max="6402" width="0.5703125" style="200" customWidth="1"/>
    <col min="6403" max="6403" width="20.140625" style="200" customWidth="1"/>
    <col min="6404" max="6404" width="3.28515625" style="200" customWidth="1"/>
    <col min="6405" max="6405" width="11.42578125" style="200" bestFit="1" customWidth="1"/>
    <col min="6406" max="6406" width="3.5703125" style="200" customWidth="1"/>
    <col min="6407" max="6407" width="11" style="200" bestFit="1" customWidth="1"/>
    <col min="6408" max="6408" width="3.5703125" style="200" customWidth="1"/>
    <col min="6409" max="6409" width="9.7109375" style="200" bestFit="1" customWidth="1"/>
    <col min="6410" max="6410" width="3.28515625" style="200" customWidth="1"/>
    <col min="6411" max="6411" width="10.7109375" style="200" bestFit="1" customWidth="1"/>
    <col min="6412" max="6656" width="9.140625" style="200"/>
    <col min="6657" max="6657" width="1" style="200" customWidth="1"/>
    <col min="6658" max="6658" width="0.5703125" style="200" customWidth="1"/>
    <col min="6659" max="6659" width="20.140625" style="200" customWidth="1"/>
    <col min="6660" max="6660" width="3.28515625" style="200" customWidth="1"/>
    <col min="6661" max="6661" width="11.42578125" style="200" bestFit="1" customWidth="1"/>
    <col min="6662" max="6662" width="3.5703125" style="200" customWidth="1"/>
    <col min="6663" max="6663" width="11" style="200" bestFit="1" customWidth="1"/>
    <col min="6664" max="6664" width="3.5703125" style="200" customWidth="1"/>
    <col min="6665" max="6665" width="9.7109375" style="200" bestFit="1" customWidth="1"/>
    <col min="6666" max="6666" width="3.28515625" style="200" customWidth="1"/>
    <col min="6667" max="6667" width="10.7109375" style="200" bestFit="1" customWidth="1"/>
    <col min="6668" max="6912" width="9.140625" style="200"/>
    <col min="6913" max="6913" width="1" style="200" customWidth="1"/>
    <col min="6914" max="6914" width="0.5703125" style="200" customWidth="1"/>
    <col min="6915" max="6915" width="20.140625" style="200" customWidth="1"/>
    <col min="6916" max="6916" width="3.28515625" style="200" customWidth="1"/>
    <col min="6917" max="6917" width="11.42578125" style="200" bestFit="1" customWidth="1"/>
    <col min="6918" max="6918" width="3.5703125" style="200" customWidth="1"/>
    <col min="6919" max="6919" width="11" style="200" bestFit="1" customWidth="1"/>
    <col min="6920" max="6920" width="3.5703125" style="200" customWidth="1"/>
    <col min="6921" max="6921" width="9.7109375" style="200" bestFit="1" customWidth="1"/>
    <col min="6922" max="6922" width="3.28515625" style="200" customWidth="1"/>
    <col min="6923" max="6923" width="10.7109375" style="200" bestFit="1" customWidth="1"/>
    <col min="6924" max="7168" width="9.140625" style="200"/>
    <col min="7169" max="7169" width="1" style="200" customWidth="1"/>
    <col min="7170" max="7170" width="0.5703125" style="200" customWidth="1"/>
    <col min="7171" max="7171" width="20.140625" style="200" customWidth="1"/>
    <col min="7172" max="7172" width="3.28515625" style="200" customWidth="1"/>
    <col min="7173" max="7173" width="11.42578125" style="200" bestFit="1" customWidth="1"/>
    <col min="7174" max="7174" width="3.5703125" style="200" customWidth="1"/>
    <col min="7175" max="7175" width="11" style="200" bestFit="1" customWidth="1"/>
    <col min="7176" max="7176" width="3.5703125" style="200" customWidth="1"/>
    <col min="7177" max="7177" width="9.7109375" style="200" bestFit="1" customWidth="1"/>
    <col min="7178" max="7178" width="3.28515625" style="200" customWidth="1"/>
    <col min="7179" max="7179" width="10.7109375" style="200" bestFit="1" customWidth="1"/>
    <col min="7180" max="7424" width="9.140625" style="200"/>
    <col min="7425" max="7425" width="1" style="200" customWidth="1"/>
    <col min="7426" max="7426" width="0.5703125" style="200" customWidth="1"/>
    <col min="7427" max="7427" width="20.140625" style="200" customWidth="1"/>
    <col min="7428" max="7428" width="3.28515625" style="200" customWidth="1"/>
    <col min="7429" max="7429" width="11.42578125" style="200" bestFit="1" customWidth="1"/>
    <col min="7430" max="7430" width="3.5703125" style="200" customWidth="1"/>
    <col min="7431" max="7431" width="11" style="200" bestFit="1" customWidth="1"/>
    <col min="7432" max="7432" width="3.5703125" style="200" customWidth="1"/>
    <col min="7433" max="7433" width="9.7109375" style="200" bestFit="1" customWidth="1"/>
    <col min="7434" max="7434" width="3.28515625" style="200" customWidth="1"/>
    <col min="7435" max="7435" width="10.7109375" style="200" bestFit="1" customWidth="1"/>
    <col min="7436" max="7680" width="9.140625" style="200"/>
    <col min="7681" max="7681" width="1" style="200" customWidth="1"/>
    <col min="7682" max="7682" width="0.5703125" style="200" customWidth="1"/>
    <col min="7683" max="7683" width="20.140625" style="200" customWidth="1"/>
    <col min="7684" max="7684" width="3.28515625" style="200" customWidth="1"/>
    <col min="7685" max="7685" width="11.42578125" style="200" bestFit="1" customWidth="1"/>
    <col min="7686" max="7686" width="3.5703125" style="200" customWidth="1"/>
    <col min="7687" max="7687" width="11" style="200" bestFit="1" customWidth="1"/>
    <col min="7688" max="7688" width="3.5703125" style="200" customWidth="1"/>
    <col min="7689" max="7689" width="9.7109375" style="200" bestFit="1" customWidth="1"/>
    <col min="7690" max="7690" width="3.28515625" style="200" customWidth="1"/>
    <col min="7691" max="7691" width="10.7109375" style="200" bestFit="1" customWidth="1"/>
    <col min="7692" max="7936" width="9.140625" style="200"/>
    <col min="7937" max="7937" width="1" style="200" customWidth="1"/>
    <col min="7938" max="7938" width="0.5703125" style="200" customWidth="1"/>
    <col min="7939" max="7939" width="20.140625" style="200" customWidth="1"/>
    <col min="7940" max="7940" width="3.28515625" style="200" customWidth="1"/>
    <col min="7941" max="7941" width="11.42578125" style="200" bestFit="1" customWidth="1"/>
    <col min="7942" max="7942" width="3.5703125" style="200" customWidth="1"/>
    <col min="7943" max="7943" width="11" style="200" bestFit="1" customWidth="1"/>
    <col min="7944" max="7944" width="3.5703125" style="200" customWidth="1"/>
    <col min="7945" max="7945" width="9.7109375" style="200" bestFit="1" customWidth="1"/>
    <col min="7946" max="7946" width="3.28515625" style="200" customWidth="1"/>
    <col min="7947" max="7947" width="10.7109375" style="200" bestFit="1" customWidth="1"/>
    <col min="7948" max="8192" width="9.140625" style="200"/>
    <col min="8193" max="8193" width="1" style="200" customWidth="1"/>
    <col min="8194" max="8194" width="0.5703125" style="200" customWidth="1"/>
    <col min="8195" max="8195" width="20.140625" style="200" customWidth="1"/>
    <col min="8196" max="8196" width="3.28515625" style="200" customWidth="1"/>
    <col min="8197" max="8197" width="11.42578125" style="200" bestFit="1" customWidth="1"/>
    <col min="8198" max="8198" width="3.5703125" style="200" customWidth="1"/>
    <col min="8199" max="8199" width="11" style="200" bestFit="1" customWidth="1"/>
    <col min="8200" max="8200" width="3.5703125" style="200" customWidth="1"/>
    <col min="8201" max="8201" width="9.7109375" style="200" bestFit="1" customWidth="1"/>
    <col min="8202" max="8202" width="3.28515625" style="200" customWidth="1"/>
    <col min="8203" max="8203" width="10.7109375" style="200" bestFit="1" customWidth="1"/>
    <col min="8204" max="8448" width="9.140625" style="200"/>
    <col min="8449" max="8449" width="1" style="200" customWidth="1"/>
    <col min="8450" max="8450" width="0.5703125" style="200" customWidth="1"/>
    <col min="8451" max="8451" width="20.140625" style="200" customWidth="1"/>
    <col min="8452" max="8452" width="3.28515625" style="200" customWidth="1"/>
    <col min="8453" max="8453" width="11.42578125" style="200" bestFit="1" customWidth="1"/>
    <col min="8454" max="8454" width="3.5703125" style="200" customWidth="1"/>
    <col min="8455" max="8455" width="11" style="200" bestFit="1" customWidth="1"/>
    <col min="8456" max="8456" width="3.5703125" style="200" customWidth="1"/>
    <col min="8457" max="8457" width="9.7109375" style="200" bestFit="1" customWidth="1"/>
    <col min="8458" max="8458" width="3.28515625" style="200" customWidth="1"/>
    <col min="8459" max="8459" width="10.7109375" style="200" bestFit="1" customWidth="1"/>
    <col min="8460" max="8704" width="9.140625" style="200"/>
    <col min="8705" max="8705" width="1" style="200" customWidth="1"/>
    <col min="8706" max="8706" width="0.5703125" style="200" customWidth="1"/>
    <col min="8707" max="8707" width="20.140625" style="200" customWidth="1"/>
    <col min="8708" max="8708" width="3.28515625" style="200" customWidth="1"/>
    <col min="8709" max="8709" width="11.42578125" style="200" bestFit="1" customWidth="1"/>
    <col min="8710" max="8710" width="3.5703125" style="200" customWidth="1"/>
    <col min="8711" max="8711" width="11" style="200" bestFit="1" customWidth="1"/>
    <col min="8712" max="8712" width="3.5703125" style="200" customWidth="1"/>
    <col min="8713" max="8713" width="9.7109375" style="200" bestFit="1" customWidth="1"/>
    <col min="8714" max="8714" width="3.28515625" style="200" customWidth="1"/>
    <col min="8715" max="8715" width="10.7109375" style="200" bestFit="1" customWidth="1"/>
    <col min="8716" max="8960" width="9.140625" style="200"/>
    <col min="8961" max="8961" width="1" style="200" customWidth="1"/>
    <col min="8962" max="8962" width="0.5703125" style="200" customWidth="1"/>
    <col min="8963" max="8963" width="20.140625" style="200" customWidth="1"/>
    <col min="8964" max="8964" width="3.28515625" style="200" customWidth="1"/>
    <col min="8965" max="8965" width="11.42578125" style="200" bestFit="1" customWidth="1"/>
    <col min="8966" max="8966" width="3.5703125" style="200" customWidth="1"/>
    <col min="8967" max="8967" width="11" style="200" bestFit="1" customWidth="1"/>
    <col min="8968" max="8968" width="3.5703125" style="200" customWidth="1"/>
    <col min="8969" max="8969" width="9.7109375" style="200" bestFit="1" customWidth="1"/>
    <col min="8970" max="8970" width="3.28515625" style="200" customWidth="1"/>
    <col min="8971" max="8971" width="10.7109375" style="200" bestFit="1" customWidth="1"/>
    <col min="8972" max="9216" width="9.140625" style="200"/>
    <col min="9217" max="9217" width="1" style="200" customWidth="1"/>
    <col min="9218" max="9218" width="0.5703125" style="200" customWidth="1"/>
    <col min="9219" max="9219" width="20.140625" style="200" customWidth="1"/>
    <col min="9220" max="9220" width="3.28515625" style="200" customWidth="1"/>
    <col min="9221" max="9221" width="11.42578125" style="200" bestFit="1" customWidth="1"/>
    <col min="9222" max="9222" width="3.5703125" style="200" customWidth="1"/>
    <col min="9223" max="9223" width="11" style="200" bestFit="1" customWidth="1"/>
    <col min="9224" max="9224" width="3.5703125" style="200" customWidth="1"/>
    <col min="9225" max="9225" width="9.7109375" style="200" bestFit="1" customWidth="1"/>
    <col min="9226" max="9226" width="3.28515625" style="200" customWidth="1"/>
    <col min="9227" max="9227" width="10.7109375" style="200" bestFit="1" customWidth="1"/>
    <col min="9228" max="9472" width="9.140625" style="200"/>
    <col min="9473" max="9473" width="1" style="200" customWidth="1"/>
    <col min="9474" max="9474" width="0.5703125" style="200" customWidth="1"/>
    <col min="9475" max="9475" width="20.140625" style="200" customWidth="1"/>
    <col min="9476" max="9476" width="3.28515625" style="200" customWidth="1"/>
    <col min="9477" max="9477" width="11.42578125" style="200" bestFit="1" customWidth="1"/>
    <col min="9478" max="9478" width="3.5703125" style="200" customWidth="1"/>
    <col min="9479" max="9479" width="11" style="200" bestFit="1" customWidth="1"/>
    <col min="9480" max="9480" width="3.5703125" style="200" customWidth="1"/>
    <col min="9481" max="9481" width="9.7109375" style="200" bestFit="1" customWidth="1"/>
    <col min="9482" max="9482" width="3.28515625" style="200" customWidth="1"/>
    <col min="9483" max="9483" width="10.7109375" style="200" bestFit="1" customWidth="1"/>
    <col min="9484" max="9728" width="9.140625" style="200"/>
    <col min="9729" max="9729" width="1" style="200" customWidth="1"/>
    <col min="9730" max="9730" width="0.5703125" style="200" customWidth="1"/>
    <col min="9731" max="9731" width="20.140625" style="200" customWidth="1"/>
    <col min="9732" max="9732" width="3.28515625" style="200" customWidth="1"/>
    <col min="9733" max="9733" width="11.42578125" style="200" bestFit="1" customWidth="1"/>
    <col min="9734" max="9734" width="3.5703125" style="200" customWidth="1"/>
    <col min="9735" max="9735" width="11" style="200" bestFit="1" customWidth="1"/>
    <col min="9736" max="9736" width="3.5703125" style="200" customWidth="1"/>
    <col min="9737" max="9737" width="9.7109375" style="200" bestFit="1" customWidth="1"/>
    <col min="9738" max="9738" width="3.28515625" style="200" customWidth="1"/>
    <col min="9739" max="9739" width="10.7109375" style="200" bestFit="1" customWidth="1"/>
    <col min="9740" max="9984" width="9.140625" style="200"/>
    <col min="9985" max="9985" width="1" style="200" customWidth="1"/>
    <col min="9986" max="9986" width="0.5703125" style="200" customWidth="1"/>
    <col min="9987" max="9987" width="20.140625" style="200" customWidth="1"/>
    <col min="9988" max="9988" width="3.28515625" style="200" customWidth="1"/>
    <col min="9989" max="9989" width="11.42578125" style="200" bestFit="1" customWidth="1"/>
    <col min="9990" max="9990" width="3.5703125" style="200" customWidth="1"/>
    <col min="9991" max="9991" width="11" style="200" bestFit="1" customWidth="1"/>
    <col min="9992" max="9992" width="3.5703125" style="200" customWidth="1"/>
    <col min="9993" max="9993" width="9.7109375" style="200" bestFit="1" customWidth="1"/>
    <col min="9994" max="9994" width="3.28515625" style="200" customWidth="1"/>
    <col min="9995" max="9995" width="10.7109375" style="200" bestFit="1" customWidth="1"/>
    <col min="9996" max="10240" width="9.140625" style="200"/>
    <col min="10241" max="10241" width="1" style="200" customWidth="1"/>
    <col min="10242" max="10242" width="0.5703125" style="200" customWidth="1"/>
    <col min="10243" max="10243" width="20.140625" style="200" customWidth="1"/>
    <col min="10244" max="10244" width="3.28515625" style="200" customWidth="1"/>
    <col min="10245" max="10245" width="11.42578125" style="200" bestFit="1" customWidth="1"/>
    <col min="10246" max="10246" width="3.5703125" style="200" customWidth="1"/>
    <col min="10247" max="10247" width="11" style="200" bestFit="1" customWidth="1"/>
    <col min="10248" max="10248" width="3.5703125" style="200" customWidth="1"/>
    <col min="10249" max="10249" width="9.7109375" style="200" bestFit="1" customWidth="1"/>
    <col min="10250" max="10250" width="3.28515625" style="200" customWidth="1"/>
    <col min="10251" max="10251" width="10.7109375" style="200" bestFit="1" customWidth="1"/>
    <col min="10252" max="10496" width="9.140625" style="200"/>
    <col min="10497" max="10497" width="1" style="200" customWidth="1"/>
    <col min="10498" max="10498" width="0.5703125" style="200" customWidth="1"/>
    <col min="10499" max="10499" width="20.140625" style="200" customWidth="1"/>
    <col min="10500" max="10500" width="3.28515625" style="200" customWidth="1"/>
    <col min="10501" max="10501" width="11.42578125" style="200" bestFit="1" customWidth="1"/>
    <col min="10502" max="10502" width="3.5703125" style="200" customWidth="1"/>
    <col min="10503" max="10503" width="11" style="200" bestFit="1" customWidth="1"/>
    <col min="10504" max="10504" width="3.5703125" style="200" customWidth="1"/>
    <col min="10505" max="10505" width="9.7109375" style="200" bestFit="1" customWidth="1"/>
    <col min="10506" max="10506" width="3.28515625" style="200" customWidth="1"/>
    <col min="10507" max="10507" width="10.7109375" style="200" bestFit="1" customWidth="1"/>
    <col min="10508" max="10752" width="9.140625" style="200"/>
    <col min="10753" max="10753" width="1" style="200" customWidth="1"/>
    <col min="10754" max="10754" width="0.5703125" style="200" customWidth="1"/>
    <col min="10755" max="10755" width="20.140625" style="200" customWidth="1"/>
    <col min="10756" max="10756" width="3.28515625" style="200" customWidth="1"/>
    <col min="10757" max="10757" width="11.42578125" style="200" bestFit="1" customWidth="1"/>
    <col min="10758" max="10758" width="3.5703125" style="200" customWidth="1"/>
    <col min="10759" max="10759" width="11" style="200" bestFit="1" customWidth="1"/>
    <col min="10760" max="10760" width="3.5703125" style="200" customWidth="1"/>
    <col min="10761" max="10761" width="9.7109375" style="200" bestFit="1" customWidth="1"/>
    <col min="10762" max="10762" width="3.28515625" style="200" customWidth="1"/>
    <col min="10763" max="10763" width="10.7109375" style="200" bestFit="1" customWidth="1"/>
    <col min="10764" max="11008" width="9.140625" style="200"/>
    <col min="11009" max="11009" width="1" style="200" customWidth="1"/>
    <col min="11010" max="11010" width="0.5703125" style="200" customWidth="1"/>
    <col min="11011" max="11011" width="20.140625" style="200" customWidth="1"/>
    <col min="11012" max="11012" width="3.28515625" style="200" customWidth="1"/>
    <col min="11013" max="11013" width="11.42578125" style="200" bestFit="1" customWidth="1"/>
    <col min="11014" max="11014" width="3.5703125" style="200" customWidth="1"/>
    <col min="11015" max="11015" width="11" style="200" bestFit="1" customWidth="1"/>
    <col min="11016" max="11016" width="3.5703125" style="200" customWidth="1"/>
    <col min="11017" max="11017" width="9.7109375" style="200" bestFit="1" customWidth="1"/>
    <col min="11018" max="11018" width="3.28515625" style="200" customWidth="1"/>
    <col min="11019" max="11019" width="10.7109375" style="200" bestFit="1" customWidth="1"/>
    <col min="11020" max="11264" width="9.140625" style="200"/>
    <col min="11265" max="11265" width="1" style="200" customWidth="1"/>
    <col min="11266" max="11266" width="0.5703125" style="200" customWidth="1"/>
    <col min="11267" max="11267" width="20.140625" style="200" customWidth="1"/>
    <col min="11268" max="11268" width="3.28515625" style="200" customWidth="1"/>
    <col min="11269" max="11269" width="11.42578125" style="200" bestFit="1" customWidth="1"/>
    <col min="11270" max="11270" width="3.5703125" style="200" customWidth="1"/>
    <col min="11271" max="11271" width="11" style="200" bestFit="1" customWidth="1"/>
    <col min="11272" max="11272" width="3.5703125" style="200" customWidth="1"/>
    <col min="11273" max="11273" width="9.7109375" style="200" bestFit="1" customWidth="1"/>
    <col min="11274" max="11274" width="3.28515625" style="200" customWidth="1"/>
    <col min="11275" max="11275" width="10.7109375" style="200" bestFit="1" customWidth="1"/>
    <col min="11276" max="11520" width="9.140625" style="200"/>
    <col min="11521" max="11521" width="1" style="200" customWidth="1"/>
    <col min="11522" max="11522" width="0.5703125" style="200" customWidth="1"/>
    <col min="11523" max="11523" width="20.140625" style="200" customWidth="1"/>
    <col min="11524" max="11524" width="3.28515625" style="200" customWidth="1"/>
    <col min="11525" max="11525" width="11.42578125" style="200" bestFit="1" customWidth="1"/>
    <col min="11526" max="11526" width="3.5703125" style="200" customWidth="1"/>
    <col min="11527" max="11527" width="11" style="200" bestFit="1" customWidth="1"/>
    <col min="11528" max="11528" width="3.5703125" style="200" customWidth="1"/>
    <col min="11529" max="11529" width="9.7109375" style="200" bestFit="1" customWidth="1"/>
    <col min="11530" max="11530" width="3.28515625" style="200" customWidth="1"/>
    <col min="11531" max="11531" width="10.7109375" style="200" bestFit="1" customWidth="1"/>
    <col min="11532" max="11776" width="9.140625" style="200"/>
    <col min="11777" max="11777" width="1" style="200" customWidth="1"/>
    <col min="11778" max="11778" width="0.5703125" style="200" customWidth="1"/>
    <col min="11779" max="11779" width="20.140625" style="200" customWidth="1"/>
    <col min="11780" max="11780" width="3.28515625" style="200" customWidth="1"/>
    <col min="11781" max="11781" width="11.42578125" style="200" bestFit="1" customWidth="1"/>
    <col min="11782" max="11782" width="3.5703125" style="200" customWidth="1"/>
    <col min="11783" max="11783" width="11" style="200" bestFit="1" customWidth="1"/>
    <col min="11784" max="11784" width="3.5703125" style="200" customWidth="1"/>
    <col min="11785" max="11785" width="9.7109375" style="200" bestFit="1" customWidth="1"/>
    <col min="11786" max="11786" width="3.28515625" style="200" customWidth="1"/>
    <col min="11787" max="11787" width="10.7109375" style="200" bestFit="1" customWidth="1"/>
    <col min="11788" max="12032" width="9.140625" style="200"/>
    <col min="12033" max="12033" width="1" style="200" customWidth="1"/>
    <col min="12034" max="12034" width="0.5703125" style="200" customWidth="1"/>
    <col min="12035" max="12035" width="20.140625" style="200" customWidth="1"/>
    <col min="12036" max="12036" width="3.28515625" style="200" customWidth="1"/>
    <col min="12037" max="12037" width="11.42578125" style="200" bestFit="1" customWidth="1"/>
    <col min="12038" max="12038" width="3.5703125" style="200" customWidth="1"/>
    <col min="12039" max="12039" width="11" style="200" bestFit="1" customWidth="1"/>
    <col min="12040" max="12040" width="3.5703125" style="200" customWidth="1"/>
    <col min="12041" max="12041" width="9.7109375" style="200" bestFit="1" customWidth="1"/>
    <col min="12042" max="12042" width="3.28515625" style="200" customWidth="1"/>
    <col min="12043" max="12043" width="10.7109375" style="200" bestFit="1" customWidth="1"/>
    <col min="12044" max="12288" width="9.140625" style="200"/>
    <col min="12289" max="12289" width="1" style="200" customWidth="1"/>
    <col min="12290" max="12290" width="0.5703125" style="200" customWidth="1"/>
    <col min="12291" max="12291" width="20.140625" style="200" customWidth="1"/>
    <col min="12292" max="12292" width="3.28515625" style="200" customWidth="1"/>
    <col min="12293" max="12293" width="11.42578125" style="200" bestFit="1" customWidth="1"/>
    <col min="12294" max="12294" width="3.5703125" style="200" customWidth="1"/>
    <col min="12295" max="12295" width="11" style="200" bestFit="1" customWidth="1"/>
    <col min="12296" max="12296" width="3.5703125" style="200" customWidth="1"/>
    <col min="12297" max="12297" width="9.7109375" style="200" bestFit="1" customWidth="1"/>
    <col min="12298" max="12298" width="3.28515625" style="200" customWidth="1"/>
    <col min="12299" max="12299" width="10.7109375" style="200" bestFit="1" customWidth="1"/>
    <col min="12300" max="12544" width="9.140625" style="200"/>
    <col min="12545" max="12545" width="1" style="200" customWidth="1"/>
    <col min="12546" max="12546" width="0.5703125" style="200" customWidth="1"/>
    <col min="12547" max="12547" width="20.140625" style="200" customWidth="1"/>
    <col min="12548" max="12548" width="3.28515625" style="200" customWidth="1"/>
    <col min="12549" max="12549" width="11.42578125" style="200" bestFit="1" customWidth="1"/>
    <col min="12550" max="12550" width="3.5703125" style="200" customWidth="1"/>
    <col min="12551" max="12551" width="11" style="200" bestFit="1" customWidth="1"/>
    <col min="12552" max="12552" width="3.5703125" style="200" customWidth="1"/>
    <col min="12553" max="12553" width="9.7109375" style="200" bestFit="1" customWidth="1"/>
    <col min="12554" max="12554" width="3.28515625" style="200" customWidth="1"/>
    <col min="12555" max="12555" width="10.7109375" style="200" bestFit="1" customWidth="1"/>
    <col min="12556" max="12800" width="9.140625" style="200"/>
    <col min="12801" max="12801" width="1" style="200" customWidth="1"/>
    <col min="12802" max="12802" width="0.5703125" style="200" customWidth="1"/>
    <col min="12803" max="12803" width="20.140625" style="200" customWidth="1"/>
    <col min="12804" max="12804" width="3.28515625" style="200" customWidth="1"/>
    <col min="12805" max="12805" width="11.42578125" style="200" bestFit="1" customWidth="1"/>
    <col min="12806" max="12806" width="3.5703125" style="200" customWidth="1"/>
    <col min="12807" max="12807" width="11" style="200" bestFit="1" customWidth="1"/>
    <col min="12808" max="12808" width="3.5703125" style="200" customWidth="1"/>
    <col min="12809" max="12809" width="9.7109375" style="200" bestFit="1" customWidth="1"/>
    <col min="12810" max="12810" width="3.28515625" style="200" customWidth="1"/>
    <col min="12811" max="12811" width="10.7109375" style="200" bestFit="1" customWidth="1"/>
    <col min="12812" max="13056" width="9.140625" style="200"/>
    <col min="13057" max="13057" width="1" style="200" customWidth="1"/>
    <col min="13058" max="13058" width="0.5703125" style="200" customWidth="1"/>
    <col min="13059" max="13059" width="20.140625" style="200" customWidth="1"/>
    <col min="13060" max="13060" width="3.28515625" style="200" customWidth="1"/>
    <col min="13061" max="13061" width="11.42578125" style="200" bestFit="1" customWidth="1"/>
    <col min="13062" max="13062" width="3.5703125" style="200" customWidth="1"/>
    <col min="13063" max="13063" width="11" style="200" bestFit="1" customWidth="1"/>
    <col min="13064" max="13064" width="3.5703125" style="200" customWidth="1"/>
    <col min="13065" max="13065" width="9.7109375" style="200" bestFit="1" customWidth="1"/>
    <col min="13066" max="13066" width="3.28515625" style="200" customWidth="1"/>
    <col min="13067" max="13067" width="10.7109375" style="200" bestFit="1" customWidth="1"/>
    <col min="13068" max="13312" width="9.140625" style="200"/>
    <col min="13313" max="13313" width="1" style="200" customWidth="1"/>
    <col min="13314" max="13314" width="0.5703125" style="200" customWidth="1"/>
    <col min="13315" max="13315" width="20.140625" style="200" customWidth="1"/>
    <col min="13316" max="13316" width="3.28515625" style="200" customWidth="1"/>
    <col min="13317" max="13317" width="11.42578125" style="200" bestFit="1" customWidth="1"/>
    <col min="13318" max="13318" width="3.5703125" style="200" customWidth="1"/>
    <col min="13319" max="13319" width="11" style="200" bestFit="1" customWidth="1"/>
    <col min="13320" max="13320" width="3.5703125" style="200" customWidth="1"/>
    <col min="13321" max="13321" width="9.7109375" style="200" bestFit="1" customWidth="1"/>
    <col min="13322" max="13322" width="3.28515625" style="200" customWidth="1"/>
    <col min="13323" max="13323" width="10.7109375" style="200" bestFit="1" customWidth="1"/>
    <col min="13324" max="13568" width="9.140625" style="200"/>
    <col min="13569" max="13569" width="1" style="200" customWidth="1"/>
    <col min="13570" max="13570" width="0.5703125" style="200" customWidth="1"/>
    <col min="13571" max="13571" width="20.140625" style="200" customWidth="1"/>
    <col min="13572" max="13572" width="3.28515625" style="200" customWidth="1"/>
    <col min="13573" max="13573" width="11.42578125" style="200" bestFit="1" customWidth="1"/>
    <col min="13574" max="13574" width="3.5703125" style="200" customWidth="1"/>
    <col min="13575" max="13575" width="11" style="200" bestFit="1" customWidth="1"/>
    <col min="13576" max="13576" width="3.5703125" style="200" customWidth="1"/>
    <col min="13577" max="13577" width="9.7109375" style="200" bestFit="1" customWidth="1"/>
    <col min="13578" max="13578" width="3.28515625" style="200" customWidth="1"/>
    <col min="13579" max="13579" width="10.7109375" style="200" bestFit="1" customWidth="1"/>
    <col min="13580" max="13824" width="9.140625" style="200"/>
    <col min="13825" max="13825" width="1" style="200" customWidth="1"/>
    <col min="13826" max="13826" width="0.5703125" style="200" customWidth="1"/>
    <col min="13827" max="13827" width="20.140625" style="200" customWidth="1"/>
    <col min="13828" max="13828" width="3.28515625" style="200" customWidth="1"/>
    <col min="13829" max="13829" width="11.42578125" style="200" bestFit="1" customWidth="1"/>
    <col min="13830" max="13830" width="3.5703125" style="200" customWidth="1"/>
    <col min="13831" max="13831" width="11" style="200" bestFit="1" customWidth="1"/>
    <col min="13832" max="13832" width="3.5703125" style="200" customWidth="1"/>
    <col min="13833" max="13833" width="9.7109375" style="200" bestFit="1" customWidth="1"/>
    <col min="13834" max="13834" width="3.28515625" style="200" customWidth="1"/>
    <col min="13835" max="13835" width="10.7109375" style="200" bestFit="1" customWidth="1"/>
    <col min="13836" max="14080" width="9.140625" style="200"/>
    <col min="14081" max="14081" width="1" style="200" customWidth="1"/>
    <col min="14082" max="14082" width="0.5703125" style="200" customWidth="1"/>
    <col min="14083" max="14083" width="20.140625" style="200" customWidth="1"/>
    <col min="14084" max="14084" width="3.28515625" style="200" customWidth="1"/>
    <col min="14085" max="14085" width="11.42578125" style="200" bestFit="1" customWidth="1"/>
    <col min="14086" max="14086" width="3.5703125" style="200" customWidth="1"/>
    <col min="14087" max="14087" width="11" style="200" bestFit="1" customWidth="1"/>
    <col min="14088" max="14088" width="3.5703125" style="200" customWidth="1"/>
    <col min="14089" max="14089" width="9.7109375" style="200" bestFit="1" customWidth="1"/>
    <col min="14090" max="14090" width="3.28515625" style="200" customWidth="1"/>
    <col min="14091" max="14091" width="10.7109375" style="200" bestFit="1" customWidth="1"/>
    <col min="14092" max="14336" width="9.140625" style="200"/>
    <col min="14337" max="14337" width="1" style="200" customWidth="1"/>
    <col min="14338" max="14338" width="0.5703125" style="200" customWidth="1"/>
    <col min="14339" max="14339" width="20.140625" style="200" customWidth="1"/>
    <col min="14340" max="14340" width="3.28515625" style="200" customWidth="1"/>
    <col min="14341" max="14341" width="11.42578125" style="200" bestFit="1" customWidth="1"/>
    <col min="14342" max="14342" width="3.5703125" style="200" customWidth="1"/>
    <col min="14343" max="14343" width="11" style="200" bestFit="1" customWidth="1"/>
    <col min="14344" max="14344" width="3.5703125" style="200" customWidth="1"/>
    <col min="14345" max="14345" width="9.7109375" style="200" bestFit="1" customWidth="1"/>
    <col min="14346" max="14346" width="3.28515625" style="200" customWidth="1"/>
    <col min="14347" max="14347" width="10.7109375" style="200" bestFit="1" customWidth="1"/>
    <col min="14348" max="14592" width="9.140625" style="200"/>
    <col min="14593" max="14593" width="1" style="200" customWidth="1"/>
    <col min="14594" max="14594" width="0.5703125" style="200" customWidth="1"/>
    <col min="14595" max="14595" width="20.140625" style="200" customWidth="1"/>
    <col min="14596" max="14596" width="3.28515625" style="200" customWidth="1"/>
    <col min="14597" max="14597" width="11.42578125" style="200" bestFit="1" customWidth="1"/>
    <col min="14598" max="14598" width="3.5703125" style="200" customWidth="1"/>
    <col min="14599" max="14599" width="11" style="200" bestFit="1" customWidth="1"/>
    <col min="14600" max="14600" width="3.5703125" style="200" customWidth="1"/>
    <col min="14601" max="14601" width="9.7109375" style="200" bestFit="1" customWidth="1"/>
    <col min="14602" max="14602" width="3.28515625" style="200" customWidth="1"/>
    <col min="14603" max="14603" width="10.7109375" style="200" bestFit="1" customWidth="1"/>
    <col min="14604" max="14848" width="9.140625" style="200"/>
    <col min="14849" max="14849" width="1" style="200" customWidth="1"/>
    <col min="14850" max="14850" width="0.5703125" style="200" customWidth="1"/>
    <col min="14851" max="14851" width="20.140625" style="200" customWidth="1"/>
    <col min="14852" max="14852" width="3.28515625" style="200" customWidth="1"/>
    <col min="14853" max="14853" width="11.42578125" style="200" bestFit="1" customWidth="1"/>
    <col min="14854" max="14854" width="3.5703125" style="200" customWidth="1"/>
    <col min="14855" max="14855" width="11" style="200" bestFit="1" customWidth="1"/>
    <col min="14856" max="14856" width="3.5703125" style="200" customWidth="1"/>
    <col min="14857" max="14857" width="9.7109375" style="200" bestFit="1" customWidth="1"/>
    <col min="14858" max="14858" width="3.28515625" style="200" customWidth="1"/>
    <col min="14859" max="14859" width="10.7109375" style="200" bestFit="1" customWidth="1"/>
    <col min="14860" max="15104" width="9.140625" style="200"/>
    <col min="15105" max="15105" width="1" style="200" customWidth="1"/>
    <col min="15106" max="15106" width="0.5703125" style="200" customWidth="1"/>
    <col min="15107" max="15107" width="20.140625" style="200" customWidth="1"/>
    <col min="15108" max="15108" width="3.28515625" style="200" customWidth="1"/>
    <col min="15109" max="15109" width="11.42578125" style="200" bestFit="1" customWidth="1"/>
    <col min="15110" max="15110" width="3.5703125" style="200" customWidth="1"/>
    <col min="15111" max="15111" width="11" style="200" bestFit="1" customWidth="1"/>
    <col min="15112" max="15112" width="3.5703125" style="200" customWidth="1"/>
    <col min="15113" max="15113" width="9.7109375" style="200" bestFit="1" customWidth="1"/>
    <col min="15114" max="15114" width="3.28515625" style="200" customWidth="1"/>
    <col min="15115" max="15115" width="10.7109375" style="200" bestFit="1" customWidth="1"/>
    <col min="15116" max="15360" width="9.140625" style="200"/>
    <col min="15361" max="15361" width="1" style="200" customWidth="1"/>
    <col min="15362" max="15362" width="0.5703125" style="200" customWidth="1"/>
    <col min="15363" max="15363" width="20.140625" style="200" customWidth="1"/>
    <col min="15364" max="15364" width="3.28515625" style="200" customWidth="1"/>
    <col min="15365" max="15365" width="11.42578125" style="200" bestFit="1" customWidth="1"/>
    <col min="15366" max="15366" width="3.5703125" style="200" customWidth="1"/>
    <col min="15367" max="15367" width="11" style="200" bestFit="1" customWidth="1"/>
    <col min="15368" max="15368" width="3.5703125" style="200" customWidth="1"/>
    <col min="15369" max="15369" width="9.7109375" style="200" bestFit="1" customWidth="1"/>
    <col min="15370" max="15370" width="3.28515625" style="200" customWidth="1"/>
    <col min="15371" max="15371" width="10.7109375" style="200" bestFit="1" customWidth="1"/>
    <col min="15372" max="15616" width="9.140625" style="200"/>
    <col min="15617" max="15617" width="1" style="200" customWidth="1"/>
    <col min="15618" max="15618" width="0.5703125" style="200" customWidth="1"/>
    <col min="15619" max="15619" width="20.140625" style="200" customWidth="1"/>
    <col min="15620" max="15620" width="3.28515625" style="200" customWidth="1"/>
    <col min="15621" max="15621" width="11.42578125" style="200" bestFit="1" customWidth="1"/>
    <col min="15622" max="15622" width="3.5703125" style="200" customWidth="1"/>
    <col min="15623" max="15623" width="11" style="200" bestFit="1" customWidth="1"/>
    <col min="15624" max="15624" width="3.5703125" style="200" customWidth="1"/>
    <col min="15625" max="15625" width="9.7109375" style="200" bestFit="1" customWidth="1"/>
    <col min="15626" max="15626" width="3.28515625" style="200" customWidth="1"/>
    <col min="15627" max="15627" width="10.7109375" style="200" bestFit="1" customWidth="1"/>
    <col min="15628" max="15872" width="9.140625" style="200"/>
    <col min="15873" max="15873" width="1" style="200" customWidth="1"/>
    <col min="15874" max="15874" width="0.5703125" style="200" customWidth="1"/>
    <col min="15875" max="15875" width="20.140625" style="200" customWidth="1"/>
    <col min="15876" max="15876" width="3.28515625" style="200" customWidth="1"/>
    <col min="15877" max="15877" width="11.42578125" style="200" bestFit="1" customWidth="1"/>
    <col min="15878" max="15878" width="3.5703125" style="200" customWidth="1"/>
    <col min="15879" max="15879" width="11" style="200" bestFit="1" customWidth="1"/>
    <col min="15880" max="15880" width="3.5703125" style="200" customWidth="1"/>
    <col min="15881" max="15881" width="9.7109375" style="200" bestFit="1" customWidth="1"/>
    <col min="15882" max="15882" width="3.28515625" style="200" customWidth="1"/>
    <col min="15883" max="15883" width="10.7109375" style="200" bestFit="1" customWidth="1"/>
    <col min="15884" max="16128" width="9.140625" style="200"/>
    <col min="16129" max="16129" width="1" style="200" customWidth="1"/>
    <col min="16130" max="16130" width="0.5703125" style="200" customWidth="1"/>
    <col min="16131" max="16131" width="20.140625" style="200" customWidth="1"/>
    <col min="16132" max="16132" width="3.28515625" style="200" customWidth="1"/>
    <col min="16133" max="16133" width="11.42578125" style="200" bestFit="1" customWidth="1"/>
    <col min="16134" max="16134" width="3.5703125" style="200" customWidth="1"/>
    <col min="16135" max="16135" width="11" style="200" bestFit="1" customWidth="1"/>
    <col min="16136" max="16136" width="3.5703125" style="200" customWidth="1"/>
    <col min="16137" max="16137" width="9.7109375" style="200" bestFit="1" customWidth="1"/>
    <col min="16138" max="16138" width="3.28515625" style="200" customWidth="1"/>
    <col min="16139" max="16139" width="10.7109375" style="200" bestFit="1" customWidth="1"/>
    <col min="16140" max="16384" width="9.140625" style="200"/>
  </cols>
  <sheetData>
    <row r="1" spans="1:12">
      <c r="A1" s="455" t="s">
        <v>2138</v>
      </c>
      <c r="B1" s="455"/>
      <c r="C1" s="455"/>
      <c r="D1" s="455"/>
      <c r="E1" s="455"/>
      <c r="F1" s="455"/>
      <c r="G1" s="455"/>
      <c r="H1" s="455"/>
      <c r="I1" s="455"/>
      <c r="J1" s="455"/>
      <c r="K1" s="455"/>
    </row>
    <row r="2" spans="1:12">
      <c r="A2" s="455" t="s">
        <v>2152</v>
      </c>
      <c r="B2" s="455"/>
      <c r="C2" s="455"/>
      <c r="D2" s="455"/>
      <c r="E2" s="455"/>
      <c r="F2" s="455"/>
      <c r="G2" s="455"/>
      <c r="H2" s="455"/>
      <c r="I2" s="455"/>
      <c r="J2" s="455"/>
      <c r="K2" s="455"/>
    </row>
    <row r="3" spans="1:12">
      <c r="A3" s="214"/>
    </row>
    <row r="4" spans="1:12">
      <c r="A4" s="214"/>
    </row>
    <row r="5" spans="1:12">
      <c r="I5" s="215"/>
      <c r="K5" s="215"/>
    </row>
    <row r="6" spans="1:12" ht="27.75" customHeight="1">
      <c r="C6" s="457" t="s">
        <v>2153</v>
      </c>
      <c r="D6" s="457"/>
      <c r="E6" s="457"/>
      <c r="F6" s="457"/>
      <c r="G6" s="457"/>
      <c r="H6" s="457"/>
      <c r="I6" s="457"/>
      <c r="J6" s="457"/>
      <c r="K6" s="457"/>
    </row>
    <row r="7" spans="1:12">
      <c r="C7" s="216"/>
      <c r="E7" s="216"/>
      <c r="G7" s="216"/>
      <c r="I7" s="216"/>
      <c r="K7" s="216"/>
    </row>
    <row r="8" spans="1:12">
      <c r="A8" s="217"/>
    </row>
    <row r="9" spans="1:12">
      <c r="E9" s="218"/>
      <c r="G9" s="219"/>
      <c r="I9" s="220"/>
      <c r="K9" s="218"/>
    </row>
    <row r="10" spans="1:12">
      <c r="E10" s="218"/>
      <c r="G10" s="219"/>
      <c r="I10" s="220"/>
      <c r="K10" s="221"/>
    </row>
    <row r="11" spans="1:12">
      <c r="E11" s="218"/>
      <c r="G11" s="219"/>
      <c r="I11" s="220"/>
      <c r="K11" s="221"/>
    </row>
    <row r="12" spans="1:12">
      <c r="E12" s="218"/>
      <c r="F12" s="218"/>
      <c r="G12" s="218"/>
      <c r="H12" s="218"/>
      <c r="I12" s="222"/>
      <c r="J12" s="218"/>
      <c r="K12" s="218"/>
      <c r="L12" s="218"/>
    </row>
    <row r="13" spans="1:12">
      <c r="E13" s="218"/>
      <c r="F13" s="218"/>
      <c r="G13" s="218"/>
      <c r="H13" s="218"/>
      <c r="I13" s="218"/>
      <c r="J13" s="218"/>
      <c r="K13" s="218"/>
      <c r="L13" s="218"/>
    </row>
    <row r="14" spans="1:12">
      <c r="E14" s="218"/>
      <c r="F14" s="218"/>
      <c r="G14" s="218"/>
      <c r="H14" s="218"/>
      <c r="I14" s="218"/>
      <c r="J14" s="218"/>
      <c r="K14" s="218"/>
      <c r="L14" s="218"/>
    </row>
    <row r="15" spans="1:12">
      <c r="C15" s="223"/>
    </row>
    <row r="16" spans="1:12">
      <c r="A16" s="217"/>
    </row>
    <row r="17" spans="1:11">
      <c r="E17" s="218"/>
      <c r="G17" s="218"/>
      <c r="I17" s="218"/>
      <c r="K17" s="218"/>
    </row>
    <row r="18" spans="1:11">
      <c r="E18" s="218"/>
      <c r="G18" s="218"/>
      <c r="I18" s="218"/>
      <c r="K18" s="221"/>
    </row>
    <row r="19" spans="1:11">
      <c r="E19" s="218"/>
      <c r="G19" s="218"/>
      <c r="I19" s="218"/>
      <c r="K19" s="221"/>
    </row>
    <row r="20" spans="1:11">
      <c r="I20" s="224"/>
    </row>
    <row r="21" spans="1:11">
      <c r="I21" s="224"/>
    </row>
    <row r="22" spans="1:11">
      <c r="A22" s="217"/>
      <c r="I22" s="225"/>
    </row>
    <row r="23" spans="1:11">
      <c r="I23" s="224"/>
    </row>
  </sheetData>
  <mergeCells count="3">
    <mergeCell ref="A1:K1"/>
    <mergeCell ref="A2:K2"/>
    <mergeCell ref="C6:K6"/>
  </mergeCells>
  <printOptions horizontalCentered="1"/>
  <pageMargins left="0.75" right="0.75" top="1" bottom="1" header="0.5" footer="0.5"/>
  <pageSetup orientation="portrait" r:id="rId1"/>
  <headerFooter alignWithMargins="0">
    <oddHeader xml:space="preserve">&amp;R&amp;"Arial,Bold"Appendix A
Page 5 </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44"/>
  <sheetViews>
    <sheetView workbookViewId="0">
      <selection activeCell="J18" sqref="J18"/>
    </sheetView>
  </sheetViews>
  <sheetFormatPr defaultColWidth="13.7109375" defaultRowHeight="12.75"/>
  <cols>
    <col min="1" max="1" width="44.7109375" style="226" customWidth="1"/>
    <col min="2" max="2" width="3.140625" style="226" customWidth="1"/>
    <col min="3" max="3" width="17" style="226" bestFit="1" customWidth="1"/>
    <col min="4" max="4" width="3.5703125" style="226" customWidth="1"/>
    <col min="5" max="5" width="16.42578125" style="226" bestFit="1" customWidth="1"/>
    <col min="6" max="6" width="3.7109375" style="226" customWidth="1"/>
    <col min="7" max="7" width="15" style="226" bestFit="1" customWidth="1"/>
    <col min="8" max="8" width="3.42578125" style="226" customWidth="1"/>
    <col min="9" max="9" width="16.5703125" style="226" bestFit="1" customWidth="1"/>
    <col min="10" max="256" width="13.7109375" style="226"/>
    <col min="257" max="257" width="44.7109375" style="226" customWidth="1"/>
    <col min="258" max="258" width="3.140625" style="226" customWidth="1"/>
    <col min="259" max="259" width="15" style="226" bestFit="1" customWidth="1"/>
    <col min="260" max="260" width="3.5703125" style="226" customWidth="1"/>
    <col min="261" max="261" width="15" style="226" bestFit="1" customWidth="1"/>
    <col min="262" max="262" width="3.7109375" style="226" customWidth="1"/>
    <col min="263" max="263" width="15" style="226" bestFit="1" customWidth="1"/>
    <col min="264" max="264" width="3.42578125" style="226" customWidth="1"/>
    <col min="265" max="265" width="16.5703125" style="226" bestFit="1" customWidth="1"/>
    <col min="266" max="512" width="13.7109375" style="226"/>
    <col min="513" max="513" width="44.7109375" style="226" customWidth="1"/>
    <col min="514" max="514" width="3.140625" style="226" customWidth="1"/>
    <col min="515" max="515" width="15" style="226" bestFit="1" customWidth="1"/>
    <col min="516" max="516" width="3.5703125" style="226" customWidth="1"/>
    <col min="517" max="517" width="15" style="226" bestFit="1" customWidth="1"/>
    <col min="518" max="518" width="3.7109375" style="226" customWidth="1"/>
    <col min="519" max="519" width="15" style="226" bestFit="1" customWidth="1"/>
    <col min="520" max="520" width="3.42578125" style="226" customWidth="1"/>
    <col min="521" max="521" width="16.5703125" style="226" bestFit="1" customWidth="1"/>
    <col min="522" max="768" width="13.7109375" style="226"/>
    <col min="769" max="769" width="44.7109375" style="226" customWidth="1"/>
    <col min="770" max="770" width="3.140625" style="226" customWidth="1"/>
    <col min="771" max="771" width="15" style="226" bestFit="1" customWidth="1"/>
    <col min="772" max="772" width="3.5703125" style="226" customWidth="1"/>
    <col min="773" max="773" width="15" style="226" bestFit="1" customWidth="1"/>
    <col min="774" max="774" width="3.7109375" style="226" customWidth="1"/>
    <col min="775" max="775" width="15" style="226" bestFit="1" customWidth="1"/>
    <col min="776" max="776" width="3.42578125" style="226" customWidth="1"/>
    <col min="777" max="777" width="16.5703125" style="226" bestFit="1" customWidth="1"/>
    <col min="778" max="1024" width="13.7109375" style="226"/>
    <col min="1025" max="1025" width="44.7109375" style="226" customWidth="1"/>
    <col min="1026" max="1026" width="3.140625" style="226" customWidth="1"/>
    <col min="1027" max="1027" width="15" style="226" bestFit="1" customWidth="1"/>
    <col min="1028" max="1028" width="3.5703125" style="226" customWidth="1"/>
    <col min="1029" max="1029" width="15" style="226" bestFit="1" customWidth="1"/>
    <col min="1030" max="1030" width="3.7109375" style="226" customWidth="1"/>
    <col min="1031" max="1031" width="15" style="226" bestFit="1" customWidth="1"/>
    <col min="1032" max="1032" width="3.42578125" style="226" customWidth="1"/>
    <col min="1033" max="1033" width="16.5703125" style="226" bestFit="1" customWidth="1"/>
    <col min="1034" max="1280" width="13.7109375" style="226"/>
    <col min="1281" max="1281" width="44.7109375" style="226" customWidth="1"/>
    <col min="1282" max="1282" width="3.140625" style="226" customWidth="1"/>
    <col min="1283" max="1283" width="15" style="226" bestFit="1" customWidth="1"/>
    <col min="1284" max="1284" width="3.5703125" style="226" customWidth="1"/>
    <col min="1285" max="1285" width="15" style="226" bestFit="1" customWidth="1"/>
    <col min="1286" max="1286" width="3.7109375" style="226" customWidth="1"/>
    <col min="1287" max="1287" width="15" style="226" bestFit="1" customWidth="1"/>
    <col min="1288" max="1288" width="3.42578125" style="226" customWidth="1"/>
    <col min="1289" max="1289" width="16.5703125" style="226" bestFit="1" customWidth="1"/>
    <col min="1290" max="1536" width="13.7109375" style="226"/>
    <col min="1537" max="1537" width="44.7109375" style="226" customWidth="1"/>
    <col min="1538" max="1538" width="3.140625" style="226" customWidth="1"/>
    <col min="1539" max="1539" width="15" style="226" bestFit="1" customWidth="1"/>
    <col min="1540" max="1540" width="3.5703125" style="226" customWidth="1"/>
    <col min="1541" max="1541" width="15" style="226" bestFit="1" customWidth="1"/>
    <col min="1542" max="1542" width="3.7109375" style="226" customWidth="1"/>
    <col min="1543" max="1543" width="15" style="226" bestFit="1" customWidth="1"/>
    <col min="1544" max="1544" width="3.42578125" style="226" customWidth="1"/>
    <col min="1545" max="1545" width="16.5703125" style="226" bestFit="1" customWidth="1"/>
    <col min="1546" max="1792" width="13.7109375" style="226"/>
    <col min="1793" max="1793" width="44.7109375" style="226" customWidth="1"/>
    <col min="1794" max="1794" width="3.140625" style="226" customWidth="1"/>
    <col min="1795" max="1795" width="15" style="226" bestFit="1" customWidth="1"/>
    <col min="1796" max="1796" width="3.5703125" style="226" customWidth="1"/>
    <col min="1797" max="1797" width="15" style="226" bestFit="1" customWidth="1"/>
    <col min="1798" max="1798" width="3.7109375" style="226" customWidth="1"/>
    <col min="1799" max="1799" width="15" style="226" bestFit="1" customWidth="1"/>
    <col min="1800" max="1800" width="3.42578125" style="226" customWidth="1"/>
    <col min="1801" max="1801" width="16.5703125" style="226" bestFit="1" customWidth="1"/>
    <col min="1802" max="2048" width="13.7109375" style="226"/>
    <col min="2049" max="2049" width="44.7109375" style="226" customWidth="1"/>
    <col min="2050" max="2050" width="3.140625" style="226" customWidth="1"/>
    <col min="2051" max="2051" width="15" style="226" bestFit="1" customWidth="1"/>
    <col min="2052" max="2052" width="3.5703125" style="226" customWidth="1"/>
    <col min="2053" max="2053" width="15" style="226" bestFit="1" customWidth="1"/>
    <col min="2054" max="2054" width="3.7109375" style="226" customWidth="1"/>
    <col min="2055" max="2055" width="15" style="226" bestFit="1" customWidth="1"/>
    <col min="2056" max="2056" width="3.42578125" style="226" customWidth="1"/>
    <col min="2057" max="2057" width="16.5703125" style="226" bestFit="1" customWidth="1"/>
    <col min="2058" max="2304" width="13.7109375" style="226"/>
    <col min="2305" max="2305" width="44.7109375" style="226" customWidth="1"/>
    <col min="2306" max="2306" width="3.140625" style="226" customWidth="1"/>
    <col min="2307" max="2307" width="15" style="226" bestFit="1" customWidth="1"/>
    <col min="2308" max="2308" width="3.5703125" style="226" customWidth="1"/>
    <col min="2309" max="2309" width="15" style="226" bestFit="1" customWidth="1"/>
    <col min="2310" max="2310" width="3.7109375" style="226" customWidth="1"/>
    <col min="2311" max="2311" width="15" style="226" bestFit="1" customWidth="1"/>
    <col min="2312" max="2312" width="3.42578125" style="226" customWidth="1"/>
    <col min="2313" max="2313" width="16.5703125" style="226" bestFit="1" customWidth="1"/>
    <col min="2314" max="2560" width="13.7109375" style="226"/>
    <col min="2561" max="2561" width="44.7109375" style="226" customWidth="1"/>
    <col min="2562" max="2562" width="3.140625" style="226" customWidth="1"/>
    <col min="2563" max="2563" width="15" style="226" bestFit="1" customWidth="1"/>
    <col min="2564" max="2564" width="3.5703125" style="226" customWidth="1"/>
    <col min="2565" max="2565" width="15" style="226" bestFit="1" customWidth="1"/>
    <col min="2566" max="2566" width="3.7109375" style="226" customWidth="1"/>
    <col min="2567" max="2567" width="15" style="226" bestFit="1" customWidth="1"/>
    <col min="2568" max="2568" width="3.42578125" style="226" customWidth="1"/>
    <col min="2569" max="2569" width="16.5703125" style="226" bestFit="1" customWidth="1"/>
    <col min="2570" max="2816" width="13.7109375" style="226"/>
    <col min="2817" max="2817" width="44.7109375" style="226" customWidth="1"/>
    <col min="2818" max="2818" width="3.140625" style="226" customWidth="1"/>
    <col min="2819" max="2819" width="15" style="226" bestFit="1" customWidth="1"/>
    <col min="2820" max="2820" width="3.5703125" style="226" customWidth="1"/>
    <col min="2821" max="2821" width="15" style="226" bestFit="1" customWidth="1"/>
    <col min="2822" max="2822" width="3.7109375" style="226" customWidth="1"/>
    <col min="2823" max="2823" width="15" style="226" bestFit="1" customWidth="1"/>
    <col min="2824" max="2824" width="3.42578125" style="226" customWidth="1"/>
    <col min="2825" max="2825" width="16.5703125" style="226" bestFit="1" customWidth="1"/>
    <col min="2826" max="3072" width="13.7109375" style="226"/>
    <col min="3073" max="3073" width="44.7109375" style="226" customWidth="1"/>
    <col min="3074" max="3074" width="3.140625" style="226" customWidth="1"/>
    <col min="3075" max="3075" width="15" style="226" bestFit="1" customWidth="1"/>
    <col min="3076" max="3076" width="3.5703125" style="226" customWidth="1"/>
    <col min="3077" max="3077" width="15" style="226" bestFit="1" customWidth="1"/>
    <col min="3078" max="3078" width="3.7109375" style="226" customWidth="1"/>
    <col min="3079" max="3079" width="15" style="226" bestFit="1" customWidth="1"/>
    <col min="3080" max="3080" width="3.42578125" style="226" customWidth="1"/>
    <col min="3081" max="3081" width="16.5703125" style="226" bestFit="1" customWidth="1"/>
    <col min="3082" max="3328" width="13.7109375" style="226"/>
    <col min="3329" max="3329" width="44.7109375" style="226" customWidth="1"/>
    <col min="3330" max="3330" width="3.140625" style="226" customWidth="1"/>
    <col min="3331" max="3331" width="15" style="226" bestFit="1" customWidth="1"/>
    <col min="3332" max="3332" width="3.5703125" style="226" customWidth="1"/>
    <col min="3333" max="3333" width="15" style="226" bestFit="1" customWidth="1"/>
    <col min="3334" max="3334" width="3.7109375" style="226" customWidth="1"/>
    <col min="3335" max="3335" width="15" style="226" bestFit="1" customWidth="1"/>
    <col min="3336" max="3336" width="3.42578125" style="226" customWidth="1"/>
    <col min="3337" max="3337" width="16.5703125" style="226" bestFit="1" customWidth="1"/>
    <col min="3338" max="3584" width="13.7109375" style="226"/>
    <col min="3585" max="3585" width="44.7109375" style="226" customWidth="1"/>
    <col min="3586" max="3586" width="3.140625" style="226" customWidth="1"/>
    <col min="3587" max="3587" width="15" style="226" bestFit="1" customWidth="1"/>
    <col min="3588" max="3588" width="3.5703125" style="226" customWidth="1"/>
    <col min="3589" max="3589" width="15" style="226" bestFit="1" customWidth="1"/>
    <col min="3590" max="3590" width="3.7109375" style="226" customWidth="1"/>
    <col min="3591" max="3591" width="15" style="226" bestFit="1" customWidth="1"/>
    <col min="3592" max="3592" width="3.42578125" style="226" customWidth="1"/>
    <col min="3593" max="3593" width="16.5703125" style="226" bestFit="1" customWidth="1"/>
    <col min="3594" max="3840" width="13.7109375" style="226"/>
    <col min="3841" max="3841" width="44.7109375" style="226" customWidth="1"/>
    <col min="3842" max="3842" width="3.140625" style="226" customWidth="1"/>
    <col min="3843" max="3843" width="15" style="226" bestFit="1" customWidth="1"/>
    <col min="3844" max="3844" width="3.5703125" style="226" customWidth="1"/>
    <col min="3845" max="3845" width="15" style="226" bestFit="1" customWidth="1"/>
    <col min="3846" max="3846" width="3.7109375" style="226" customWidth="1"/>
    <col min="3847" max="3847" width="15" style="226" bestFit="1" customWidth="1"/>
    <col min="3848" max="3848" width="3.42578125" style="226" customWidth="1"/>
    <col min="3849" max="3849" width="16.5703125" style="226" bestFit="1" customWidth="1"/>
    <col min="3850" max="4096" width="13.7109375" style="226"/>
    <col min="4097" max="4097" width="44.7109375" style="226" customWidth="1"/>
    <col min="4098" max="4098" width="3.140625" style="226" customWidth="1"/>
    <col min="4099" max="4099" width="15" style="226" bestFit="1" customWidth="1"/>
    <col min="4100" max="4100" width="3.5703125" style="226" customWidth="1"/>
    <col min="4101" max="4101" width="15" style="226" bestFit="1" customWidth="1"/>
    <col min="4102" max="4102" width="3.7109375" style="226" customWidth="1"/>
    <col min="4103" max="4103" width="15" style="226" bestFit="1" customWidth="1"/>
    <col min="4104" max="4104" width="3.42578125" style="226" customWidth="1"/>
    <col min="4105" max="4105" width="16.5703125" style="226" bestFit="1" customWidth="1"/>
    <col min="4106" max="4352" width="13.7109375" style="226"/>
    <col min="4353" max="4353" width="44.7109375" style="226" customWidth="1"/>
    <col min="4354" max="4354" width="3.140625" style="226" customWidth="1"/>
    <col min="4355" max="4355" width="15" style="226" bestFit="1" customWidth="1"/>
    <col min="4356" max="4356" width="3.5703125" style="226" customWidth="1"/>
    <col min="4357" max="4357" width="15" style="226" bestFit="1" customWidth="1"/>
    <col min="4358" max="4358" width="3.7109375" style="226" customWidth="1"/>
    <col min="4359" max="4359" width="15" style="226" bestFit="1" customWidth="1"/>
    <col min="4360" max="4360" width="3.42578125" style="226" customWidth="1"/>
    <col min="4361" max="4361" width="16.5703125" style="226" bestFit="1" customWidth="1"/>
    <col min="4362" max="4608" width="13.7109375" style="226"/>
    <col min="4609" max="4609" width="44.7109375" style="226" customWidth="1"/>
    <col min="4610" max="4610" width="3.140625" style="226" customWidth="1"/>
    <col min="4611" max="4611" width="15" style="226" bestFit="1" customWidth="1"/>
    <col min="4612" max="4612" width="3.5703125" style="226" customWidth="1"/>
    <col min="4613" max="4613" width="15" style="226" bestFit="1" customWidth="1"/>
    <col min="4614" max="4614" width="3.7109375" style="226" customWidth="1"/>
    <col min="4615" max="4615" width="15" style="226" bestFit="1" customWidth="1"/>
    <col min="4616" max="4616" width="3.42578125" style="226" customWidth="1"/>
    <col min="4617" max="4617" width="16.5703125" style="226" bestFit="1" customWidth="1"/>
    <col min="4618" max="4864" width="13.7109375" style="226"/>
    <col min="4865" max="4865" width="44.7109375" style="226" customWidth="1"/>
    <col min="4866" max="4866" width="3.140625" style="226" customWidth="1"/>
    <col min="4867" max="4867" width="15" style="226" bestFit="1" customWidth="1"/>
    <col min="4868" max="4868" width="3.5703125" style="226" customWidth="1"/>
    <col min="4869" max="4869" width="15" style="226" bestFit="1" customWidth="1"/>
    <col min="4870" max="4870" width="3.7109375" style="226" customWidth="1"/>
    <col min="4871" max="4871" width="15" style="226" bestFit="1" customWidth="1"/>
    <col min="4872" max="4872" width="3.42578125" style="226" customWidth="1"/>
    <col min="4873" max="4873" width="16.5703125" style="226" bestFit="1" customWidth="1"/>
    <col min="4874" max="5120" width="13.7109375" style="226"/>
    <col min="5121" max="5121" width="44.7109375" style="226" customWidth="1"/>
    <col min="5122" max="5122" width="3.140625" style="226" customWidth="1"/>
    <col min="5123" max="5123" width="15" style="226" bestFit="1" customWidth="1"/>
    <col min="5124" max="5124" width="3.5703125" style="226" customWidth="1"/>
    <col min="5125" max="5125" width="15" style="226" bestFit="1" customWidth="1"/>
    <col min="5126" max="5126" width="3.7109375" style="226" customWidth="1"/>
    <col min="5127" max="5127" width="15" style="226" bestFit="1" customWidth="1"/>
    <col min="5128" max="5128" width="3.42578125" style="226" customWidth="1"/>
    <col min="5129" max="5129" width="16.5703125" style="226" bestFit="1" customWidth="1"/>
    <col min="5130" max="5376" width="13.7109375" style="226"/>
    <col min="5377" max="5377" width="44.7109375" style="226" customWidth="1"/>
    <col min="5378" max="5378" width="3.140625" style="226" customWidth="1"/>
    <col min="5379" max="5379" width="15" style="226" bestFit="1" customWidth="1"/>
    <col min="5380" max="5380" width="3.5703125" style="226" customWidth="1"/>
    <col min="5381" max="5381" width="15" style="226" bestFit="1" customWidth="1"/>
    <col min="5382" max="5382" width="3.7109375" style="226" customWidth="1"/>
    <col min="5383" max="5383" width="15" style="226" bestFit="1" customWidth="1"/>
    <col min="5384" max="5384" width="3.42578125" style="226" customWidth="1"/>
    <col min="5385" max="5385" width="16.5703125" style="226" bestFit="1" customWidth="1"/>
    <col min="5386" max="5632" width="13.7109375" style="226"/>
    <col min="5633" max="5633" width="44.7109375" style="226" customWidth="1"/>
    <col min="5634" max="5634" width="3.140625" style="226" customWidth="1"/>
    <col min="5635" max="5635" width="15" style="226" bestFit="1" customWidth="1"/>
    <col min="5636" max="5636" width="3.5703125" style="226" customWidth="1"/>
    <col min="5637" max="5637" width="15" style="226" bestFit="1" customWidth="1"/>
    <col min="5638" max="5638" width="3.7109375" style="226" customWidth="1"/>
    <col min="5639" max="5639" width="15" style="226" bestFit="1" customWidth="1"/>
    <col min="5640" max="5640" width="3.42578125" style="226" customWidth="1"/>
    <col min="5641" max="5641" width="16.5703125" style="226" bestFit="1" customWidth="1"/>
    <col min="5642" max="5888" width="13.7109375" style="226"/>
    <col min="5889" max="5889" width="44.7109375" style="226" customWidth="1"/>
    <col min="5890" max="5890" width="3.140625" style="226" customWidth="1"/>
    <col min="5891" max="5891" width="15" style="226" bestFit="1" customWidth="1"/>
    <col min="5892" max="5892" width="3.5703125" style="226" customWidth="1"/>
    <col min="5893" max="5893" width="15" style="226" bestFit="1" customWidth="1"/>
    <col min="5894" max="5894" width="3.7109375" style="226" customWidth="1"/>
    <col min="5895" max="5895" width="15" style="226" bestFit="1" customWidth="1"/>
    <col min="5896" max="5896" width="3.42578125" style="226" customWidth="1"/>
    <col min="5897" max="5897" width="16.5703125" style="226" bestFit="1" customWidth="1"/>
    <col min="5898" max="6144" width="13.7109375" style="226"/>
    <col min="6145" max="6145" width="44.7109375" style="226" customWidth="1"/>
    <col min="6146" max="6146" width="3.140625" style="226" customWidth="1"/>
    <col min="6147" max="6147" width="15" style="226" bestFit="1" customWidth="1"/>
    <col min="6148" max="6148" width="3.5703125" style="226" customWidth="1"/>
    <col min="6149" max="6149" width="15" style="226" bestFit="1" customWidth="1"/>
    <col min="6150" max="6150" width="3.7109375" style="226" customWidth="1"/>
    <col min="6151" max="6151" width="15" style="226" bestFit="1" customWidth="1"/>
    <col min="6152" max="6152" width="3.42578125" style="226" customWidth="1"/>
    <col min="6153" max="6153" width="16.5703125" style="226" bestFit="1" customWidth="1"/>
    <col min="6154" max="6400" width="13.7109375" style="226"/>
    <col min="6401" max="6401" width="44.7109375" style="226" customWidth="1"/>
    <col min="6402" max="6402" width="3.140625" style="226" customWidth="1"/>
    <col min="6403" max="6403" width="15" style="226" bestFit="1" customWidth="1"/>
    <col min="6404" max="6404" width="3.5703125" style="226" customWidth="1"/>
    <col min="6405" max="6405" width="15" style="226" bestFit="1" customWidth="1"/>
    <col min="6406" max="6406" width="3.7109375" style="226" customWidth="1"/>
    <col min="6407" max="6407" width="15" style="226" bestFit="1" customWidth="1"/>
    <col min="6408" max="6408" width="3.42578125" style="226" customWidth="1"/>
    <col min="6409" max="6409" width="16.5703125" style="226" bestFit="1" customWidth="1"/>
    <col min="6410" max="6656" width="13.7109375" style="226"/>
    <col min="6657" max="6657" width="44.7109375" style="226" customWidth="1"/>
    <col min="6658" max="6658" width="3.140625" style="226" customWidth="1"/>
    <col min="6659" max="6659" width="15" style="226" bestFit="1" customWidth="1"/>
    <col min="6660" max="6660" width="3.5703125" style="226" customWidth="1"/>
    <col min="6661" max="6661" width="15" style="226" bestFit="1" customWidth="1"/>
    <col min="6662" max="6662" width="3.7109375" style="226" customWidth="1"/>
    <col min="6663" max="6663" width="15" style="226" bestFit="1" customWidth="1"/>
    <col min="6664" max="6664" width="3.42578125" style="226" customWidth="1"/>
    <col min="6665" max="6665" width="16.5703125" style="226" bestFit="1" customWidth="1"/>
    <col min="6666" max="6912" width="13.7109375" style="226"/>
    <col min="6913" max="6913" width="44.7109375" style="226" customWidth="1"/>
    <col min="6914" max="6914" width="3.140625" style="226" customWidth="1"/>
    <col min="6915" max="6915" width="15" style="226" bestFit="1" customWidth="1"/>
    <col min="6916" max="6916" width="3.5703125" style="226" customWidth="1"/>
    <col min="6917" max="6917" width="15" style="226" bestFit="1" customWidth="1"/>
    <col min="6918" max="6918" width="3.7109375" style="226" customWidth="1"/>
    <col min="6919" max="6919" width="15" style="226" bestFit="1" customWidth="1"/>
    <col min="6920" max="6920" width="3.42578125" style="226" customWidth="1"/>
    <col min="6921" max="6921" width="16.5703125" style="226" bestFit="1" customWidth="1"/>
    <col min="6922" max="7168" width="13.7109375" style="226"/>
    <col min="7169" max="7169" width="44.7109375" style="226" customWidth="1"/>
    <col min="7170" max="7170" width="3.140625" style="226" customWidth="1"/>
    <col min="7171" max="7171" width="15" style="226" bestFit="1" customWidth="1"/>
    <col min="7172" max="7172" width="3.5703125" style="226" customWidth="1"/>
    <col min="7173" max="7173" width="15" style="226" bestFit="1" customWidth="1"/>
    <col min="7174" max="7174" width="3.7109375" style="226" customWidth="1"/>
    <col min="7175" max="7175" width="15" style="226" bestFit="1" customWidth="1"/>
    <col min="7176" max="7176" width="3.42578125" style="226" customWidth="1"/>
    <col min="7177" max="7177" width="16.5703125" style="226" bestFit="1" customWidth="1"/>
    <col min="7178" max="7424" width="13.7109375" style="226"/>
    <col min="7425" max="7425" width="44.7109375" style="226" customWidth="1"/>
    <col min="7426" max="7426" width="3.140625" style="226" customWidth="1"/>
    <col min="7427" max="7427" width="15" style="226" bestFit="1" customWidth="1"/>
    <col min="7428" max="7428" width="3.5703125" style="226" customWidth="1"/>
    <col min="7429" max="7429" width="15" style="226" bestFit="1" customWidth="1"/>
    <col min="7430" max="7430" width="3.7109375" style="226" customWidth="1"/>
    <col min="7431" max="7431" width="15" style="226" bestFit="1" customWidth="1"/>
    <col min="7432" max="7432" width="3.42578125" style="226" customWidth="1"/>
    <col min="7433" max="7433" width="16.5703125" style="226" bestFit="1" customWidth="1"/>
    <col min="7434" max="7680" width="13.7109375" style="226"/>
    <col min="7681" max="7681" width="44.7109375" style="226" customWidth="1"/>
    <col min="7682" max="7682" width="3.140625" style="226" customWidth="1"/>
    <col min="7683" max="7683" width="15" style="226" bestFit="1" customWidth="1"/>
    <col min="7684" max="7684" width="3.5703125" style="226" customWidth="1"/>
    <col min="7685" max="7685" width="15" style="226" bestFit="1" customWidth="1"/>
    <col min="7686" max="7686" width="3.7109375" style="226" customWidth="1"/>
    <col min="7687" max="7687" width="15" style="226" bestFit="1" customWidth="1"/>
    <col min="7688" max="7688" width="3.42578125" style="226" customWidth="1"/>
    <col min="7689" max="7689" width="16.5703125" style="226" bestFit="1" customWidth="1"/>
    <col min="7690" max="7936" width="13.7109375" style="226"/>
    <col min="7937" max="7937" width="44.7109375" style="226" customWidth="1"/>
    <col min="7938" max="7938" width="3.140625" style="226" customWidth="1"/>
    <col min="7939" max="7939" width="15" style="226" bestFit="1" customWidth="1"/>
    <col min="7940" max="7940" width="3.5703125" style="226" customWidth="1"/>
    <col min="7941" max="7941" width="15" style="226" bestFit="1" customWidth="1"/>
    <col min="7942" max="7942" width="3.7109375" style="226" customWidth="1"/>
    <col min="7943" max="7943" width="15" style="226" bestFit="1" customWidth="1"/>
    <col min="7944" max="7944" width="3.42578125" style="226" customWidth="1"/>
    <col min="7945" max="7945" width="16.5703125" style="226" bestFit="1" customWidth="1"/>
    <col min="7946" max="8192" width="13.7109375" style="226"/>
    <col min="8193" max="8193" width="44.7109375" style="226" customWidth="1"/>
    <col min="8194" max="8194" width="3.140625" style="226" customWidth="1"/>
    <col min="8195" max="8195" width="15" style="226" bestFit="1" customWidth="1"/>
    <col min="8196" max="8196" width="3.5703125" style="226" customWidth="1"/>
    <col min="8197" max="8197" width="15" style="226" bestFit="1" customWidth="1"/>
    <col min="8198" max="8198" width="3.7109375" style="226" customWidth="1"/>
    <col min="8199" max="8199" width="15" style="226" bestFit="1" customWidth="1"/>
    <col min="8200" max="8200" width="3.42578125" style="226" customWidth="1"/>
    <col min="8201" max="8201" width="16.5703125" style="226" bestFit="1" customWidth="1"/>
    <col min="8202" max="8448" width="13.7109375" style="226"/>
    <col min="8449" max="8449" width="44.7109375" style="226" customWidth="1"/>
    <col min="8450" max="8450" width="3.140625" style="226" customWidth="1"/>
    <col min="8451" max="8451" width="15" style="226" bestFit="1" customWidth="1"/>
    <col min="8452" max="8452" width="3.5703125" style="226" customWidth="1"/>
    <col min="8453" max="8453" width="15" style="226" bestFit="1" customWidth="1"/>
    <col min="8454" max="8454" width="3.7109375" style="226" customWidth="1"/>
    <col min="8455" max="8455" width="15" style="226" bestFit="1" customWidth="1"/>
    <col min="8456" max="8456" width="3.42578125" style="226" customWidth="1"/>
    <col min="8457" max="8457" width="16.5703125" style="226" bestFit="1" customWidth="1"/>
    <col min="8458" max="8704" width="13.7109375" style="226"/>
    <col min="8705" max="8705" width="44.7109375" style="226" customWidth="1"/>
    <col min="8706" max="8706" width="3.140625" style="226" customWidth="1"/>
    <col min="8707" max="8707" width="15" style="226" bestFit="1" customWidth="1"/>
    <col min="8708" max="8708" width="3.5703125" style="226" customWidth="1"/>
    <col min="8709" max="8709" width="15" style="226" bestFit="1" customWidth="1"/>
    <col min="8710" max="8710" width="3.7109375" style="226" customWidth="1"/>
    <col min="8711" max="8711" width="15" style="226" bestFit="1" customWidth="1"/>
    <col min="8712" max="8712" width="3.42578125" style="226" customWidth="1"/>
    <col min="8713" max="8713" width="16.5703125" style="226" bestFit="1" customWidth="1"/>
    <col min="8714" max="8960" width="13.7109375" style="226"/>
    <col min="8961" max="8961" width="44.7109375" style="226" customWidth="1"/>
    <col min="8962" max="8962" width="3.140625" style="226" customWidth="1"/>
    <col min="8963" max="8963" width="15" style="226" bestFit="1" customWidth="1"/>
    <col min="8964" max="8964" width="3.5703125" style="226" customWidth="1"/>
    <col min="8965" max="8965" width="15" style="226" bestFit="1" customWidth="1"/>
    <col min="8966" max="8966" width="3.7109375" style="226" customWidth="1"/>
    <col min="8967" max="8967" width="15" style="226" bestFit="1" customWidth="1"/>
    <col min="8968" max="8968" width="3.42578125" style="226" customWidth="1"/>
    <col min="8969" max="8969" width="16.5703125" style="226" bestFit="1" customWidth="1"/>
    <col min="8970" max="9216" width="13.7109375" style="226"/>
    <col min="9217" max="9217" width="44.7109375" style="226" customWidth="1"/>
    <col min="9218" max="9218" width="3.140625" style="226" customWidth="1"/>
    <col min="9219" max="9219" width="15" style="226" bestFit="1" customWidth="1"/>
    <col min="9220" max="9220" width="3.5703125" style="226" customWidth="1"/>
    <col min="9221" max="9221" width="15" style="226" bestFit="1" customWidth="1"/>
    <col min="9222" max="9222" width="3.7109375" style="226" customWidth="1"/>
    <col min="9223" max="9223" width="15" style="226" bestFit="1" customWidth="1"/>
    <col min="9224" max="9224" width="3.42578125" style="226" customWidth="1"/>
    <col min="9225" max="9225" width="16.5703125" style="226" bestFit="1" customWidth="1"/>
    <col min="9226" max="9472" width="13.7109375" style="226"/>
    <col min="9473" max="9473" width="44.7109375" style="226" customWidth="1"/>
    <col min="9474" max="9474" width="3.140625" style="226" customWidth="1"/>
    <col min="9475" max="9475" width="15" style="226" bestFit="1" customWidth="1"/>
    <col min="9476" max="9476" width="3.5703125" style="226" customWidth="1"/>
    <col min="9477" max="9477" width="15" style="226" bestFit="1" customWidth="1"/>
    <col min="9478" max="9478" width="3.7109375" style="226" customWidth="1"/>
    <col min="9479" max="9479" width="15" style="226" bestFit="1" customWidth="1"/>
    <col min="9480" max="9480" width="3.42578125" style="226" customWidth="1"/>
    <col min="9481" max="9481" width="16.5703125" style="226" bestFit="1" customWidth="1"/>
    <col min="9482" max="9728" width="13.7109375" style="226"/>
    <col min="9729" max="9729" width="44.7109375" style="226" customWidth="1"/>
    <col min="9730" max="9730" width="3.140625" style="226" customWidth="1"/>
    <col min="9731" max="9731" width="15" style="226" bestFit="1" customWidth="1"/>
    <col min="9732" max="9732" width="3.5703125" style="226" customWidth="1"/>
    <col min="9733" max="9733" width="15" style="226" bestFit="1" customWidth="1"/>
    <col min="9734" max="9734" width="3.7109375" style="226" customWidth="1"/>
    <col min="9735" max="9735" width="15" style="226" bestFit="1" customWidth="1"/>
    <col min="9736" max="9736" width="3.42578125" style="226" customWidth="1"/>
    <col min="9737" max="9737" width="16.5703125" style="226" bestFit="1" customWidth="1"/>
    <col min="9738" max="9984" width="13.7109375" style="226"/>
    <col min="9985" max="9985" width="44.7109375" style="226" customWidth="1"/>
    <col min="9986" max="9986" width="3.140625" style="226" customWidth="1"/>
    <col min="9987" max="9987" width="15" style="226" bestFit="1" customWidth="1"/>
    <col min="9988" max="9988" width="3.5703125" style="226" customWidth="1"/>
    <col min="9989" max="9989" width="15" style="226" bestFit="1" customWidth="1"/>
    <col min="9990" max="9990" width="3.7109375" style="226" customWidth="1"/>
    <col min="9991" max="9991" width="15" style="226" bestFit="1" customWidth="1"/>
    <col min="9992" max="9992" width="3.42578125" style="226" customWidth="1"/>
    <col min="9993" max="9993" width="16.5703125" style="226" bestFit="1" customWidth="1"/>
    <col min="9994" max="10240" width="13.7109375" style="226"/>
    <col min="10241" max="10241" width="44.7109375" style="226" customWidth="1"/>
    <col min="10242" max="10242" width="3.140625" style="226" customWidth="1"/>
    <col min="10243" max="10243" width="15" style="226" bestFit="1" customWidth="1"/>
    <col min="10244" max="10244" width="3.5703125" style="226" customWidth="1"/>
    <col min="10245" max="10245" width="15" style="226" bestFit="1" customWidth="1"/>
    <col min="10246" max="10246" width="3.7109375" style="226" customWidth="1"/>
    <col min="10247" max="10247" width="15" style="226" bestFit="1" customWidth="1"/>
    <col min="10248" max="10248" width="3.42578125" style="226" customWidth="1"/>
    <col min="10249" max="10249" width="16.5703125" style="226" bestFit="1" customWidth="1"/>
    <col min="10250" max="10496" width="13.7109375" style="226"/>
    <col min="10497" max="10497" width="44.7109375" style="226" customWidth="1"/>
    <col min="10498" max="10498" width="3.140625" style="226" customWidth="1"/>
    <col min="10499" max="10499" width="15" style="226" bestFit="1" customWidth="1"/>
    <col min="10500" max="10500" width="3.5703125" style="226" customWidth="1"/>
    <col min="10501" max="10501" width="15" style="226" bestFit="1" customWidth="1"/>
    <col min="10502" max="10502" width="3.7109375" style="226" customWidth="1"/>
    <col min="10503" max="10503" width="15" style="226" bestFit="1" customWidth="1"/>
    <col min="10504" max="10504" width="3.42578125" style="226" customWidth="1"/>
    <col min="10505" max="10505" width="16.5703125" style="226" bestFit="1" customWidth="1"/>
    <col min="10506" max="10752" width="13.7109375" style="226"/>
    <col min="10753" max="10753" width="44.7109375" style="226" customWidth="1"/>
    <col min="10754" max="10754" width="3.140625" style="226" customWidth="1"/>
    <col min="10755" max="10755" width="15" style="226" bestFit="1" customWidth="1"/>
    <col min="10756" max="10756" width="3.5703125" style="226" customWidth="1"/>
    <col min="10757" max="10757" width="15" style="226" bestFit="1" customWidth="1"/>
    <col min="10758" max="10758" width="3.7109375" style="226" customWidth="1"/>
    <col min="10759" max="10759" width="15" style="226" bestFit="1" customWidth="1"/>
    <col min="10760" max="10760" width="3.42578125" style="226" customWidth="1"/>
    <col min="10761" max="10761" width="16.5703125" style="226" bestFit="1" customWidth="1"/>
    <col min="10762" max="11008" width="13.7109375" style="226"/>
    <col min="11009" max="11009" width="44.7109375" style="226" customWidth="1"/>
    <col min="11010" max="11010" width="3.140625" style="226" customWidth="1"/>
    <col min="11011" max="11011" width="15" style="226" bestFit="1" customWidth="1"/>
    <col min="11012" max="11012" width="3.5703125" style="226" customWidth="1"/>
    <col min="11013" max="11013" width="15" style="226" bestFit="1" customWidth="1"/>
    <col min="11014" max="11014" width="3.7109375" style="226" customWidth="1"/>
    <col min="11015" max="11015" width="15" style="226" bestFit="1" customWidth="1"/>
    <col min="11016" max="11016" width="3.42578125" style="226" customWidth="1"/>
    <col min="11017" max="11017" width="16.5703125" style="226" bestFit="1" customWidth="1"/>
    <col min="11018" max="11264" width="13.7109375" style="226"/>
    <col min="11265" max="11265" width="44.7109375" style="226" customWidth="1"/>
    <col min="11266" max="11266" width="3.140625" style="226" customWidth="1"/>
    <col min="11267" max="11267" width="15" style="226" bestFit="1" customWidth="1"/>
    <col min="11268" max="11268" width="3.5703125" style="226" customWidth="1"/>
    <col min="11269" max="11269" width="15" style="226" bestFit="1" customWidth="1"/>
    <col min="11270" max="11270" width="3.7109375" style="226" customWidth="1"/>
    <col min="11271" max="11271" width="15" style="226" bestFit="1" customWidth="1"/>
    <col min="11272" max="11272" width="3.42578125" style="226" customWidth="1"/>
    <col min="11273" max="11273" width="16.5703125" style="226" bestFit="1" customWidth="1"/>
    <col min="11274" max="11520" width="13.7109375" style="226"/>
    <col min="11521" max="11521" width="44.7109375" style="226" customWidth="1"/>
    <col min="11522" max="11522" width="3.140625" style="226" customWidth="1"/>
    <col min="11523" max="11523" width="15" style="226" bestFit="1" customWidth="1"/>
    <col min="11524" max="11524" width="3.5703125" style="226" customWidth="1"/>
    <col min="11525" max="11525" width="15" style="226" bestFit="1" customWidth="1"/>
    <col min="11526" max="11526" width="3.7109375" style="226" customWidth="1"/>
    <col min="11527" max="11527" width="15" style="226" bestFit="1" customWidth="1"/>
    <col min="11528" max="11528" width="3.42578125" style="226" customWidth="1"/>
    <col min="11529" max="11529" width="16.5703125" style="226" bestFit="1" customWidth="1"/>
    <col min="11530" max="11776" width="13.7109375" style="226"/>
    <col min="11777" max="11777" width="44.7109375" style="226" customWidth="1"/>
    <col min="11778" max="11778" width="3.140625" style="226" customWidth="1"/>
    <col min="11779" max="11779" width="15" style="226" bestFit="1" customWidth="1"/>
    <col min="11780" max="11780" width="3.5703125" style="226" customWidth="1"/>
    <col min="11781" max="11781" width="15" style="226" bestFit="1" customWidth="1"/>
    <col min="11782" max="11782" width="3.7109375" style="226" customWidth="1"/>
    <col min="11783" max="11783" width="15" style="226" bestFit="1" customWidth="1"/>
    <col min="11784" max="11784" width="3.42578125" style="226" customWidth="1"/>
    <col min="11785" max="11785" width="16.5703125" style="226" bestFit="1" customWidth="1"/>
    <col min="11786" max="12032" width="13.7109375" style="226"/>
    <col min="12033" max="12033" width="44.7109375" style="226" customWidth="1"/>
    <col min="12034" max="12034" width="3.140625" style="226" customWidth="1"/>
    <col min="12035" max="12035" width="15" style="226" bestFit="1" customWidth="1"/>
    <col min="12036" max="12036" width="3.5703125" style="226" customWidth="1"/>
    <col min="12037" max="12037" width="15" style="226" bestFit="1" customWidth="1"/>
    <col min="12038" max="12038" width="3.7109375" style="226" customWidth="1"/>
    <col min="12039" max="12039" width="15" style="226" bestFit="1" customWidth="1"/>
    <col min="12040" max="12040" width="3.42578125" style="226" customWidth="1"/>
    <col min="12041" max="12041" width="16.5703125" style="226" bestFit="1" customWidth="1"/>
    <col min="12042" max="12288" width="13.7109375" style="226"/>
    <col min="12289" max="12289" width="44.7109375" style="226" customWidth="1"/>
    <col min="12290" max="12290" width="3.140625" style="226" customWidth="1"/>
    <col min="12291" max="12291" width="15" style="226" bestFit="1" customWidth="1"/>
    <col min="12292" max="12292" width="3.5703125" style="226" customWidth="1"/>
    <col min="12293" max="12293" width="15" style="226" bestFit="1" customWidth="1"/>
    <col min="12294" max="12294" width="3.7109375" style="226" customWidth="1"/>
    <col min="12295" max="12295" width="15" style="226" bestFit="1" customWidth="1"/>
    <col min="12296" max="12296" width="3.42578125" style="226" customWidth="1"/>
    <col min="12297" max="12297" width="16.5703125" style="226" bestFit="1" customWidth="1"/>
    <col min="12298" max="12544" width="13.7109375" style="226"/>
    <col min="12545" max="12545" width="44.7109375" style="226" customWidth="1"/>
    <col min="12546" max="12546" width="3.140625" style="226" customWidth="1"/>
    <col min="12547" max="12547" width="15" style="226" bestFit="1" customWidth="1"/>
    <col min="12548" max="12548" width="3.5703125" style="226" customWidth="1"/>
    <col min="12549" max="12549" width="15" style="226" bestFit="1" customWidth="1"/>
    <col min="12550" max="12550" width="3.7109375" style="226" customWidth="1"/>
    <col min="12551" max="12551" width="15" style="226" bestFit="1" customWidth="1"/>
    <col min="12552" max="12552" width="3.42578125" style="226" customWidth="1"/>
    <col min="12553" max="12553" width="16.5703125" style="226" bestFit="1" customWidth="1"/>
    <col min="12554" max="12800" width="13.7109375" style="226"/>
    <col min="12801" max="12801" width="44.7109375" style="226" customWidth="1"/>
    <col min="12802" max="12802" width="3.140625" style="226" customWidth="1"/>
    <col min="12803" max="12803" width="15" style="226" bestFit="1" customWidth="1"/>
    <col min="12804" max="12804" width="3.5703125" style="226" customWidth="1"/>
    <col min="12805" max="12805" width="15" style="226" bestFit="1" customWidth="1"/>
    <col min="12806" max="12806" width="3.7109375" style="226" customWidth="1"/>
    <col min="12807" max="12807" width="15" style="226" bestFit="1" customWidth="1"/>
    <col min="12808" max="12808" width="3.42578125" style="226" customWidth="1"/>
    <col min="12809" max="12809" width="16.5703125" style="226" bestFit="1" customWidth="1"/>
    <col min="12810" max="13056" width="13.7109375" style="226"/>
    <col min="13057" max="13057" width="44.7109375" style="226" customWidth="1"/>
    <col min="13058" max="13058" width="3.140625" style="226" customWidth="1"/>
    <col min="13059" max="13059" width="15" style="226" bestFit="1" customWidth="1"/>
    <col min="13060" max="13060" width="3.5703125" style="226" customWidth="1"/>
    <col min="13061" max="13061" width="15" style="226" bestFit="1" customWidth="1"/>
    <col min="13062" max="13062" width="3.7109375" style="226" customWidth="1"/>
    <col min="13063" max="13063" width="15" style="226" bestFit="1" customWidth="1"/>
    <col min="13064" max="13064" width="3.42578125" style="226" customWidth="1"/>
    <col min="13065" max="13065" width="16.5703125" style="226" bestFit="1" customWidth="1"/>
    <col min="13066" max="13312" width="13.7109375" style="226"/>
    <col min="13313" max="13313" width="44.7109375" style="226" customWidth="1"/>
    <col min="13314" max="13314" width="3.140625" style="226" customWidth="1"/>
    <col min="13315" max="13315" width="15" style="226" bestFit="1" customWidth="1"/>
    <col min="13316" max="13316" width="3.5703125" style="226" customWidth="1"/>
    <col min="13317" max="13317" width="15" style="226" bestFit="1" customWidth="1"/>
    <col min="13318" max="13318" width="3.7109375" style="226" customWidth="1"/>
    <col min="13319" max="13319" width="15" style="226" bestFit="1" customWidth="1"/>
    <col min="13320" max="13320" width="3.42578125" style="226" customWidth="1"/>
    <col min="13321" max="13321" width="16.5703125" style="226" bestFit="1" customWidth="1"/>
    <col min="13322" max="13568" width="13.7109375" style="226"/>
    <col min="13569" max="13569" width="44.7109375" style="226" customWidth="1"/>
    <col min="13570" max="13570" width="3.140625" style="226" customWidth="1"/>
    <col min="13571" max="13571" width="15" style="226" bestFit="1" customWidth="1"/>
    <col min="13572" max="13572" width="3.5703125" style="226" customWidth="1"/>
    <col min="13573" max="13573" width="15" style="226" bestFit="1" customWidth="1"/>
    <col min="13574" max="13574" width="3.7109375" style="226" customWidth="1"/>
    <col min="13575" max="13575" width="15" style="226" bestFit="1" customWidth="1"/>
    <col min="13576" max="13576" width="3.42578125" style="226" customWidth="1"/>
    <col min="13577" max="13577" width="16.5703125" style="226" bestFit="1" customWidth="1"/>
    <col min="13578" max="13824" width="13.7109375" style="226"/>
    <col min="13825" max="13825" width="44.7109375" style="226" customWidth="1"/>
    <col min="13826" max="13826" width="3.140625" style="226" customWidth="1"/>
    <col min="13827" max="13827" width="15" style="226" bestFit="1" customWidth="1"/>
    <col min="13828" max="13828" width="3.5703125" style="226" customWidth="1"/>
    <col min="13829" max="13829" width="15" style="226" bestFit="1" customWidth="1"/>
    <col min="13830" max="13830" width="3.7109375" style="226" customWidth="1"/>
    <col min="13831" max="13831" width="15" style="226" bestFit="1" customWidth="1"/>
    <col min="13832" max="13832" width="3.42578125" style="226" customWidth="1"/>
    <col min="13833" max="13833" width="16.5703125" style="226" bestFit="1" customWidth="1"/>
    <col min="13834" max="14080" width="13.7109375" style="226"/>
    <col min="14081" max="14081" width="44.7109375" style="226" customWidth="1"/>
    <col min="14082" max="14082" width="3.140625" style="226" customWidth="1"/>
    <col min="14083" max="14083" width="15" style="226" bestFit="1" customWidth="1"/>
    <col min="14084" max="14084" width="3.5703125" style="226" customWidth="1"/>
    <col min="14085" max="14085" width="15" style="226" bestFit="1" customWidth="1"/>
    <col min="14086" max="14086" width="3.7109375" style="226" customWidth="1"/>
    <col min="14087" max="14087" width="15" style="226" bestFit="1" customWidth="1"/>
    <col min="14088" max="14088" width="3.42578125" style="226" customWidth="1"/>
    <col min="14089" max="14089" width="16.5703125" style="226" bestFit="1" customWidth="1"/>
    <col min="14090" max="14336" width="13.7109375" style="226"/>
    <col min="14337" max="14337" width="44.7109375" style="226" customWidth="1"/>
    <col min="14338" max="14338" width="3.140625" style="226" customWidth="1"/>
    <col min="14339" max="14339" width="15" style="226" bestFit="1" customWidth="1"/>
    <col min="14340" max="14340" width="3.5703125" style="226" customWidth="1"/>
    <col min="14341" max="14341" width="15" style="226" bestFit="1" customWidth="1"/>
    <col min="14342" max="14342" width="3.7109375" style="226" customWidth="1"/>
    <col min="14343" max="14343" width="15" style="226" bestFit="1" customWidth="1"/>
    <col min="14344" max="14344" width="3.42578125" style="226" customWidth="1"/>
    <col min="14345" max="14345" width="16.5703125" style="226" bestFit="1" customWidth="1"/>
    <col min="14346" max="14592" width="13.7109375" style="226"/>
    <col min="14593" max="14593" width="44.7109375" style="226" customWidth="1"/>
    <col min="14594" max="14594" width="3.140625" style="226" customWidth="1"/>
    <col min="14595" max="14595" width="15" style="226" bestFit="1" customWidth="1"/>
    <col min="14596" max="14596" width="3.5703125" style="226" customWidth="1"/>
    <col min="14597" max="14597" width="15" style="226" bestFit="1" customWidth="1"/>
    <col min="14598" max="14598" width="3.7109375" style="226" customWidth="1"/>
    <col min="14599" max="14599" width="15" style="226" bestFit="1" customWidth="1"/>
    <col min="14600" max="14600" width="3.42578125" style="226" customWidth="1"/>
    <col min="14601" max="14601" width="16.5703125" style="226" bestFit="1" customWidth="1"/>
    <col min="14602" max="14848" width="13.7109375" style="226"/>
    <col min="14849" max="14849" width="44.7109375" style="226" customWidth="1"/>
    <col min="14850" max="14850" width="3.140625" style="226" customWidth="1"/>
    <col min="14851" max="14851" width="15" style="226" bestFit="1" customWidth="1"/>
    <col min="14852" max="14852" width="3.5703125" style="226" customWidth="1"/>
    <col min="14853" max="14853" width="15" style="226" bestFit="1" customWidth="1"/>
    <col min="14854" max="14854" width="3.7109375" style="226" customWidth="1"/>
    <col min="14855" max="14855" width="15" style="226" bestFit="1" customWidth="1"/>
    <col min="14856" max="14856" width="3.42578125" style="226" customWidth="1"/>
    <col min="14857" max="14857" width="16.5703125" style="226" bestFit="1" customWidth="1"/>
    <col min="14858" max="15104" width="13.7109375" style="226"/>
    <col min="15105" max="15105" width="44.7109375" style="226" customWidth="1"/>
    <col min="15106" max="15106" width="3.140625" style="226" customWidth="1"/>
    <col min="15107" max="15107" width="15" style="226" bestFit="1" customWidth="1"/>
    <col min="15108" max="15108" width="3.5703125" style="226" customWidth="1"/>
    <col min="15109" max="15109" width="15" style="226" bestFit="1" customWidth="1"/>
    <col min="15110" max="15110" width="3.7109375" style="226" customWidth="1"/>
    <col min="15111" max="15111" width="15" style="226" bestFit="1" customWidth="1"/>
    <col min="15112" max="15112" width="3.42578125" style="226" customWidth="1"/>
    <col min="15113" max="15113" width="16.5703125" style="226" bestFit="1" customWidth="1"/>
    <col min="15114" max="15360" width="13.7109375" style="226"/>
    <col min="15361" max="15361" width="44.7109375" style="226" customWidth="1"/>
    <col min="15362" max="15362" width="3.140625" style="226" customWidth="1"/>
    <col min="15363" max="15363" width="15" style="226" bestFit="1" customWidth="1"/>
    <col min="15364" max="15364" width="3.5703125" style="226" customWidth="1"/>
    <col min="15365" max="15365" width="15" style="226" bestFit="1" customWidth="1"/>
    <col min="15366" max="15366" width="3.7109375" style="226" customWidth="1"/>
    <col min="15367" max="15367" width="15" style="226" bestFit="1" customWidth="1"/>
    <col min="15368" max="15368" width="3.42578125" style="226" customWidth="1"/>
    <col min="15369" max="15369" width="16.5703125" style="226" bestFit="1" customWidth="1"/>
    <col min="15370" max="15616" width="13.7109375" style="226"/>
    <col min="15617" max="15617" width="44.7109375" style="226" customWidth="1"/>
    <col min="15618" max="15618" width="3.140625" style="226" customWidth="1"/>
    <col min="15619" max="15619" width="15" style="226" bestFit="1" customWidth="1"/>
    <col min="15620" max="15620" width="3.5703125" style="226" customWidth="1"/>
    <col min="15621" max="15621" width="15" style="226" bestFit="1" customWidth="1"/>
    <col min="15622" max="15622" width="3.7109375" style="226" customWidth="1"/>
    <col min="15623" max="15623" width="15" style="226" bestFit="1" customWidth="1"/>
    <col min="15624" max="15624" width="3.42578125" style="226" customWidth="1"/>
    <col min="15625" max="15625" width="16.5703125" style="226" bestFit="1" customWidth="1"/>
    <col min="15626" max="15872" width="13.7109375" style="226"/>
    <col min="15873" max="15873" width="44.7109375" style="226" customWidth="1"/>
    <col min="15874" max="15874" width="3.140625" style="226" customWidth="1"/>
    <col min="15875" max="15875" width="15" style="226" bestFit="1" customWidth="1"/>
    <col min="15876" max="15876" width="3.5703125" style="226" customWidth="1"/>
    <col min="15877" max="15877" width="15" style="226" bestFit="1" customWidth="1"/>
    <col min="15878" max="15878" width="3.7109375" style="226" customWidth="1"/>
    <col min="15879" max="15879" width="15" style="226" bestFit="1" customWidth="1"/>
    <col min="15880" max="15880" width="3.42578125" style="226" customWidth="1"/>
    <col min="15881" max="15881" width="16.5703125" style="226" bestFit="1" customWidth="1"/>
    <col min="15882" max="16128" width="13.7109375" style="226"/>
    <col min="16129" max="16129" width="44.7109375" style="226" customWidth="1"/>
    <col min="16130" max="16130" width="3.140625" style="226" customWidth="1"/>
    <col min="16131" max="16131" width="15" style="226" bestFit="1" customWidth="1"/>
    <col min="16132" max="16132" width="3.5703125" style="226" customWidth="1"/>
    <col min="16133" max="16133" width="15" style="226" bestFit="1" customWidth="1"/>
    <col min="16134" max="16134" width="3.7109375" style="226" customWidth="1"/>
    <col min="16135" max="16135" width="15" style="226" bestFit="1" customWidth="1"/>
    <col min="16136" max="16136" width="3.42578125" style="226" customWidth="1"/>
    <col min="16137" max="16137" width="16.5703125" style="226" bestFit="1" customWidth="1"/>
    <col min="16138" max="16384" width="13.7109375" style="226"/>
  </cols>
  <sheetData>
    <row r="1" spans="1:3">
      <c r="A1" s="456" t="s">
        <v>2138</v>
      </c>
      <c r="B1" s="456"/>
      <c r="C1" s="456"/>
    </row>
    <row r="2" spans="1:3">
      <c r="A2" s="456" t="s">
        <v>2154</v>
      </c>
      <c r="B2" s="456"/>
      <c r="C2" s="456"/>
    </row>
    <row r="3" spans="1:3">
      <c r="A3" s="456" t="s">
        <v>2155</v>
      </c>
      <c r="B3" s="456"/>
      <c r="C3" s="456"/>
    </row>
    <row r="4" spans="1:3">
      <c r="A4" s="201"/>
    </row>
    <row r="7" spans="1:3">
      <c r="A7" s="227" t="s">
        <v>2600</v>
      </c>
      <c r="B7" s="228"/>
      <c r="C7" s="229">
        <f>6344158.65+5660704.28+34149746.38</f>
        <v>46154609.310000002</v>
      </c>
    </row>
    <row r="8" spans="1:3">
      <c r="A8" s="227" t="s">
        <v>2601</v>
      </c>
      <c r="B8" s="228"/>
      <c r="C8" s="229">
        <f>+'New Wo Detailed Descr Rev'!G289</f>
        <v>3031238.3900000015</v>
      </c>
    </row>
    <row r="9" spans="1:3">
      <c r="A9" s="228" t="s">
        <v>2606</v>
      </c>
      <c r="B9" s="228"/>
      <c r="C9" s="229">
        <f>'MGE ISRS Retire Nov and Dec 16'!I52</f>
        <v>-300851.66000000003</v>
      </c>
    </row>
    <row r="10" spans="1:3">
      <c r="A10" s="228" t="s">
        <v>2607</v>
      </c>
      <c r="B10" s="228"/>
      <c r="C10" s="368">
        <f>-1472546.82-391658.31-705346.07</f>
        <v>-2569551.2000000002</v>
      </c>
    </row>
    <row r="11" spans="1:3">
      <c r="A11" s="228"/>
      <c r="B11" s="228"/>
      <c r="C11" s="228"/>
    </row>
    <row r="12" spans="1:3">
      <c r="A12" s="228" t="s">
        <v>2456</v>
      </c>
      <c r="B12" s="228"/>
      <c r="C12" s="229">
        <f>SUM(C7:C10)</f>
        <v>46315444.840000004</v>
      </c>
    </row>
    <row r="13" spans="1:3">
      <c r="A13" s="228" t="s">
        <v>2464</v>
      </c>
      <c r="B13" s="228"/>
      <c r="C13" s="229">
        <f>+G44</f>
        <v>61245299.129999995</v>
      </c>
    </row>
    <row r="14" spans="1:3">
      <c r="A14" s="228" t="s">
        <v>2457</v>
      </c>
      <c r="B14" s="228"/>
      <c r="C14" s="368">
        <f>-C13*0.02</f>
        <v>-1224905.9826</v>
      </c>
    </row>
    <row r="15" spans="1:3">
      <c r="A15" s="228" t="s">
        <v>2458</v>
      </c>
      <c r="B15" s="228"/>
      <c r="C15" s="369">
        <f>+C12+C13+C14</f>
        <v>106335837.9874</v>
      </c>
    </row>
    <row r="16" spans="1:3" ht="15">
      <c r="A16" t="s">
        <v>2459</v>
      </c>
      <c r="B16"/>
      <c r="C16" s="370">
        <v>0.32</v>
      </c>
    </row>
    <row r="17" spans="1:7" ht="15">
      <c r="A17" t="s">
        <v>2460</v>
      </c>
      <c r="B17"/>
      <c r="C17" s="371">
        <v>8.3204656531943602E-2</v>
      </c>
      <c r="E17" s="373"/>
    </row>
    <row r="18" spans="1:7" ht="15">
      <c r="A18"/>
      <c r="B18"/>
    </row>
    <row r="19" spans="1:7">
      <c r="A19" s="228" t="s">
        <v>2461</v>
      </c>
      <c r="B19" s="228"/>
      <c r="C19" s="229">
        <f>+C15*C16*C17</f>
        <v>2831243.8005689653</v>
      </c>
    </row>
    <row r="20" spans="1:7">
      <c r="A20" s="226" t="s">
        <v>2462</v>
      </c>
      <c r="C20" s="368">
        <v>1920581</v>
      </c>
    </row>
    <row r="21" spans="1:7">
      <c r="A21" s="200"/>
      <c r="B21" s="200"/>
      <c r="C21" s="216"/>
    </row>
    <row r="22" spans="1:7" ht="15">
      <c r="A22" s="200" t="s">
        <v>2463</v>
      </c>
      <c r="B22" s="200"/>
      <c r="C22" s="372">
        <f>+C19-C20</f>
        <v>910662.80056896526</v>
      </c>
    </row>
    <row r="31" spans="1:7">
      <c r="C31" s="415" t="s">
        <v>2603</v>
      </c>
      <c r="D31" s="415"/>
      <c r="E31" s="415" t="s">
        <v>2177</v>
      </c>
      <c r="F31" s="415"/>
      <c r="G31" s="415" t="s">
        <v>2610</v>
      </c>
    </row>
    <row r="32" spans="1:7">
      <c r="A32" s="226" t="s">
        <v>2144</v>
      </c>
      <c r="C32" s="226">
        <v>13840900.26</v>
      </c>
      <c r="E32" s="226">
        <v>1322519.3700000001</v>
      </c>
    </row>
    <row r="33" spans="1:7">
      <c r="A33" s="226" t="s">
        <v>2145</v>
      </c>
      <c r="C33" s="226">
        <v>22304879.600000001</v>
      </c>
      <c r="E33" s="226">
        <v>1855776.43</v>
      </c>
    </row>
    <row r="34" spans="1:7">
      <c r="A34" s="226" t="s">
        <v>2146</v>
      </c>
      <c r="C34" s="226">
        <v>17602129.32</v>
      </c>
      <c r="E34" s="226">
        <v>1299991.3899999999</v>
      </c>
    </row>
    <row r="35" spans="1:7">
      <c r="A35" s="226" t="s">
        <v>2212</v>
      </c>
      <c r="C35" s="226">
        <v>24696659.41</v>
      </c>
      <c r="E35" s="226">
        <v>1813123.72</v>
      </c>
    </row>
    <row r="36" spans="1:7">
      <c r="A36" s="226" t="s">
        <v>2598</v>
      </c>
      <c r="C36" s="414">
        <v>34149746.380000003</v>
      </c>
      <c r="E36" s="414">
        <v>1472546.82</v>
      </c>
    </row>
    <row r="37" spans="1:7">
      <c r="A37" s="226" t="s">
        <v>2604</v>
      </c>
      <c r="C37" s="226">
        <f>SUM(C32:C36)</f>
        <v>112594314.97</v>
      </c>
      <c r="E37" s="226">
        <f>SUM(E32:E36)</f>
        <v>7763957.7299999995</v>
      </c>
    </row>
    <row r="39" spans="1:7">
      <c r="A39" s="226" t="s">
        <v>2602</v>
      </c>
      <c r="C39" s="414">
        <v>3031238.39</v>
      </c>
      <c r="E39" s="414">
        <v>300851.65999999997</v>
      </c>
    </row>
    <row r="40" spans="1:7">
      <c r="A40" s="226" t="s">
        <v>2605</v>
      </c>
      <c r="C40" s="226">
        <f>+C37+C39</f>
        <v>115625553.36</v>
      </c>
      <c r="E40" s="226">
        <f>+E37+E39</f>
        <v>8064809.3899999997</v>
      </c>
    </row>
    <row r="42" spans="1:7">
      <c r="A42" s="226" t="s">
        <v>2608</v>
      </c>
      <c r="C42" s="414">
        <f>+C7+C8</f>
        <v>49185847.700000003</v>
      </c>
      <c r="E42" s="414">
        <f>-C9-C10</f>
        <v>2870402.8600000003</v>
      </c>
      <c r="G42" s="414">
        <f>+C42-E42</f>
        <v>46315444.840000004</v>
      </c>
    </row>
    <row r="44" spans="1:7">
      <c r="A44" s="226" t="s">
        <v>2609</v>
      </c>
      <c r="C44" s="414">
        <f>+C40-C42</f>
        <v>66439705.659999996</v>
      </c>
      <c r="E44" s="414">
        <f>+E40-E42</f>
        <v>5194406.5299999993</v>
      </c>
      <c r="G44" s="414">
        <f>+C44-E44</f>
        <v>61245299.129999995</v>
      </c>
    </row>
  </sheetData>
  <mergeCells count="3">
    <mergeCell ref="A1:C1"/>
    <mergeCell ref="A2:C2"/>
    <mergeCell ref="A3:C3"/>
  </mergeCells>
  <printOptions horizontalCentered="1"/>
  <pageMargins left="0" right="0" top="1" bottom="1" header="0.5" footer="0.5"/>
  <pageSetup orientation="portrait" r:id="rId1"/>
  <headerFooter alignWithMargins="0">
    <oddHeader>&amp;R&amp;"Arial,Bold"Appendix A
Page 3</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33"/>
  <sheetViews>
    <sheetView workbookViewId="0">
      <selection activeCell="E9" sqref="E9"/>
    </sheetView>
  </sheetViews>
  <sheetFormatPr defaultRowHeight="12.75"/>
  <cols>
    <col min="1" max="1" width="45.28515625" style="200" customWidth="1"/>
    <col min="2" max="2" width="19.5703125" style="200" customWidth="1"/>
    <col min="3" max="3" width="8" style="200" customWidth="1"/>
    <col min="4" max="4" width="9.140625" style="200"/>
    <col min="5" max="5" width="16.85546875" style="200" customWidth="1"/>
    <col min="6" max="6" width="9.140625" style="200"/>
    <col min="7" max="7" width="11.28515625" style="200" bestFit="1" customWidth="1"/>
    <col min="8" max="8" width="17" style="200" customWidth="1"/>
    <col min="9" max="9" width="10.28515625" style="200" bestFit="1" customWidth="1"/>
    <col min="10" max="252" width="9.140625" style="200"/>
    <col min="253" max="253" width="45.28515625" style="200" customWidth="1"/>
    <col min="254" max="254" width="19.5703125" style="200" customWidth="1"/>
    <col min="255" max="255" width="8" style="200" customWidth="1"/>
    <col min="256" max="256" width="9.140625" style="200"/>
    <col min="257" max="257" width="16.85546875" style="200" customWidth="1"/>
    <col min="258" max="508" width="9.140625" style="200"/>
    <col min="509" max="509" width="45.28515625" style="200" customWidth="1"/>
    <col min="510" max="510" width="19.5703125" style="200" customWidth="1"/>
    <col min="511" max="511" width="8" style="200" customWidth="1"/>
    <col min="512" max="512" width="9.140625" style="200"/>
    <col min="513" max="513" width="16.85546875" style="200" customWidth="1"/>
    <col min="514" max="764" width="9.140625" style="200"/>
    <col min="765" max="765" width="45.28515625" style="200" customWidth="1"/>
    <col min="766" max="766" width="19.5703125" style="200" customWidth="1"/>
    <col min="767" max="767" width="8" style="200" customWidth="1"/>
    <col min="768" max="768" width="9.140625" style="200"/>
    <col min="769" max="769" width="16.85546875" style="200" customWidth="1"/>
    <col min="770" max="1020" width="9.140625" style="200"/>
    <col min="1021" max="1021" width="45.28515625" style="200" customWidth="1"/>
    <col min="1022" max="1022" width="19.5703125" style="200" customWidth="1"/>
    <col min="1023" max="1023" width="8" style="200" customWidth="1"/>
    <col min="1024" max="1024" width="9.140625" style="200"/>
    <col min="1025" max="1025" width="16.85546875" style="200" customWidth="1"/>
    <col min="1026" max="1276" width="9.140625" style="200"/>
    <col min="1277" max="1277" width="45.28515625" style="200" customWidth="1"/>
    <col min="1278" max="1278" width="19.5703125" style="200" customWidth="1"/>
    <col min="1279" max="1279" width="8" style="200" customWidth="1"/>
    <col min="1280" max="1280" width="9.140625" style="200"/>
    <col min="1281" max="1281" width="16.85546875" style="200" customWidth="1"/>
    <col min="1282" max="1532" width="9.140625" style="200"/>
    <col min="1533" max="1533" width="45.28515625" style="200" customWidth="1"/>
    <col min="1534" max="1534" width="19.5703125" style="200" customWidth="1"/>
    <col min="1535" max="1535" width="8" style="200" customWidth="1"/>
    <col min="1536" max="1536" width="9.140625" style="200"/>
    <col min="1537" max="1537" width="16.85546875" style="200" customWidth="1"/>
    <col min="1538" max="1788" width="9.140625" style="200"/>
    <col min="1789" max="1789" width="45.28515625" style="200" customWidth="1"/>
    <col min="1790" max="1790" width="19.5703125" style="200" customWidth="1"/>
    <col min="1791" max="1791" width="8" style="200" customWidth="1"/>
    <col min="1792" max="1792" width="9.140625" style="200"/>
    <col min="1793" max="1793" width="16.85546875" style="200" customWidth="1"/>
    <col min="1794" max="2044" width="9.140625" style="200"/>
    <col min="2045" max="2045" width="45.28515625" style="200" customWidth="1"/>
    <col min="2046" max="2046" width="19.5703125" style="200" customWidth="1"/>
    <col min="2047" max="2047" width="8" style="200" customWidth="1"/>
    <col min="2048" max="2048" width="9.140625" style="200"/>
    <col min="2049" max="2049" width="16.85546875" style="200" customWidth="1"/>
    <col min="2050" max="2300" width="9.140625" style="200"/>
    <col min="2301" max="2301" width="45.28515625" style="200" customWidth="1"/>
    <col min="2302" max="2302" width="19.5703125" style="200" customWidth="1"/>
    <col min="2303" max="2303" width="8" style="200" customWidth="1"/>
    <col min="2304" max="2304" width="9.140625" style="200"/>
    <col min="2305" max="2305" width="16.85546875" style="200" customWidth="1"/>
    <col min="2306" max="2556" width="9.140625" style="200"/>
    <col min="2557" max="2557" width="45.28515625" style="200" customWidth="1"/>
    <col min="2558" max="2558" width="19.5703125" style="200" customWidth="1"/>
    <col min="2559" max="2559" width="8" style="200" customWidth="1"/>
    <col min="2560" max="2560" width="9.140625" style="200"/>
    <col min="2561" max="2561" width="16.85546875" style="200" customWidth="1"/>
    <col min="2562" max="2812" width="9.140625" style="200"/>
    <col min="2813" max="2813" width="45.28515625" style="200" customWidth="1"/>
    <col min="2814" max="2814" width="19.5703125" style="200" customWidth="1"/>
    <col min="2815" max="2815" width="8" style="200" customWidth="1"/>
    <col min="2816" max="2816" width="9.140625" style="200"/>
    <col min="2817" max="2817" width="16.85546875" style="200" customWidth="1"/>
    <col min="2818" max="3068" width="9.140625" style="200"/>
    <col min="3069" max="3069" width="45.28515625" style="200" customWidth="1"/>
    <col min="3070" max="3070" width="19.5703125" style="200" customWidth="1"/>
    <col min="3071" max="3071" width="8" style="200" customWidth="1"/>
    <col min="3072" max="3072" width="9.140625" style="200"/>
    <col min="3073" max="3073" width="16.85546875" style="200" customWidth="1"/>
    <col min="3074" max="3324" width="9.140625" style="200"/>
    <col min="3325" max="3325" width="45.28515625" style="200" customWidth="1"/>
    <col min="3326" max="3326" width="19.5703125" style="200" customWidth="1"/>
    <col min="3327" max="3327" width="8" style="200" customWidth="1"/>
    <col min="3328" max="3328" width="9.140625" style="200"/>
    <col min="3329" max="3329" width="16.85546875" style="200" customWidth="1"/>
    <col min="3330" max="3580" width="9.140625" style="200"/>
    <col min="3581" max="3581" width="45.28515625" style="200" customWidth="1"/>
    <col min="3582" max="3582" width="19.5703125" style="200" customWidth="1"/>
    <col min="3583" max="3583" width="8" style="200" customWidth="1"/>
    <col min="3584" max="3584" width="9.140625" style="200"/>
    <col min="3585" max="3585" width="16.85546875" style="200" customWidth="1"/>
    <col min="3586" max="3836" width="9.140625" style="200"/>
    <col min="3837" max="3837" width="45.28515625" style="200" customWidth="1"/>
    <col min="3838" max="3838" width="19.5703125" style="200" customWidth="1"/>
    <col min="3839" max="3839" width="8" style="200" customWidth="1"/>
    <col min="3840" max="3840" width="9.140625" style="200"/>
    <col min="3841" max="3841" width="16.85546875" style="200" customWidth="1"/>
    <col min="3842" max="4092" width="9.140625" style="200"/>
    <col min="4093" max="4093" width="45.28515625" style="200" customWidth="1"/>
    <col min="4094" max="4094" width="19.5703125" style="200" customWidth="1"/>
    <col min="4095" max="4095" width="8" style="200" customWidth="1"/>
    <col min="4096" max="4096" width="9.140625" style="200"/>
    <col min="4097" max="4097" width="16.85546875" style="200" customWidth="1"/>
    <col min="4098" max="4348" width="9.140625" style="200"/>
    <col min="4349" max="4349" width="45.28515625" style="200" customWidth="1"/>
    <col min="4350" max="4350" width="19.5703125" style="200" customWidth="1"/>
    <col min="4351" max="4351" width="8" style="200" customWidth="1"/>
    <col min="4352" max="4352" width="9.140625" style="200"/>
    <col min="4353" max="4353" width="16.85546875" style="200" customWidth="1"/>
    <col min="4354" max="4604" width="9.140625" style="200"/>
    <col min="4605" max="4605" width="45.28515625" style="200" customWidth="1"/>
    <col min="4606" max="4606" width="19.5703125" style="200" customWidth="1"/>
    <col min="4607" max="4607" width="8" style="200" customWidth="1"/>
    <col min="4608" max="4608" width="9.140625" style="200"/>
    <col min="4609" max="4609" width="16.85546875" style="200" customWidth="1"/>
    <col min="4610" max="4860" width="9.140625" style="200"/>
    <col min="4861" max="4861" width="45.28515625" style="200" customWidth="1"/>
    <col min="4862" max="4862" width="19.5703125" style="200" customWidth="1"/>
    <col min="4863" max="4863" width="8" style="200" customWidth="1"/>
    <col min="4864" max="4864" width="9.140625" style="200"/>
    <col min="4865" max="4865" width="16.85546875" style="200" customWidth="1"/>
    <col min="4866" max="5116" width="9.140625" style="200"/>
    <col min="5117" max="5117" width="45.28515625" style="200" customWidth="1"/>
    <col min="5118" max="5118" width="19.5703125" style="200" customWidth="1"/>
    <col min="5119" max="5119" width="8" style="200" customWidth="1"/>
    <col min="5120" max="5120" width="9.140625" style="200"/>
    <col min="5121" max="5121" width="16.85546875" style="200" customWidth="1"/>
    <col min="5122" max="5372" width="9.140625" style="200"/>
    <col min="5373" max="5373" width="45.28515625" style="200" customWidth="1"/>
    <col min="5374" max="5374" width="19.5703125" style="200" customWidth="1"/>
    <col min="5375" max="5375" width="8" style="200" customWidth="1"/>
    <col min="5376" max="5376" width="9.140625" style="200"/>
    <col min="5377" max="5377" width="16.85546875" style="200" customWidth="1"/>
    <col min="5378" max="5628" width="9.140625" style="200"/>
    <col min="5629" max="5629" width="45.28515625" style="200" customWidth="1"/>
    <col min="5630" max="5630" width="19.5703125" style="200" customWidth="1"/>
    <col min="5631" max="5631" width="8" style="200" customWidth="1"/>
    <col min="5632" max="5632" width="9.140625" style="200"/>
    <col min="5633" max="5633" width="16.85546875" style="200" customWidth="1"/>
    <col min="5634" max="5884" width="9.140625" style="200"/>
    <col min="5885" max="5885" width="45.28515625" style="200" customWidth="1"/>
    <col min="5886" max="5886" width="19.5703125" style="200" customWidth="1"/>
    <col min="5887" max="5887" width="8" style="200" customWidth="1"/>
    <col min="5888" max="5888" width="9.140625" style="200"/>
    <col min="5889" max="5889" width="16.85546875" style="200" customWidth="1"/>
    <col min="5890" max="6140" width="9.140625" style="200"/>
    <col min="6141" max="6141" width="45.28515625" style="200" customWidth="1"/>
    <col min="6142" max="6142" width="19.5703125" style="200" customWidth="1"/>
    <col min="6143" max="6143" width="8" style="200" customWidth="1"/>
    <col min="6144" max="6144" width="9.140625" style="200"/>
    <col min="6145" max="6145" width="16.85546875" style="200" customWidth="1"/>
    <col min="6146" max="6396" width="9.140625" style="200"/>
    <col min="6397" max="6397" width="45.28515625" style="200" customWidth="1"/>
    <col min="6398" max="6398" width="19.5703125" style="200" customWidth="1"/>
    <col min="6399" max="6399" width="8" style="200" customWidth="1"/>
    <col min="6400" max="6400" width="9.140625" style="200"/>
    <col min="6401" max="6401" width="16.85546875" style="200" customWidth="1"/>
    <col min="6402" max="6652" width="9.140625" style="200"/>
    <col min="6653" max="6653" width="45.28515625" style="200" customWidth="1"/>
    <col min="6654" max="6654" width="19.5703125" style="200" customWidth="1"/>
    <col min="6655" max="6655" width="8" style="200" customWidth="1"/>
    <col min="6656" max="6656" width="9.140625" style="200"/>
    <col min="6657" max="6657" width="16.85546875" style="200" customWidth="1"/>
    <col min="6658" max="6908" width="9.140625" style="200"/>
    <col min="6909" max="6909" width="45.28515625" style="200" customWidth="1"/>
    <col min="6910" max="6910" width="19.5703125" style="200" customWidth="1"/>
    <col min="6911" max="6911" width="8" style="200" customWidth="1"/>
    <col min="6912" max="6912" width="9.140625" style="200"/>
    <col min="6913" max="6913" width="16.85546875" style="200" customWidth="1"/>
    <col min="6914" max="7164" width="9.140625" style="200"/>
    <col min="7165" max="7165" width="45.28515625" style="200" customWidth="1"/>
    <col min="7166" max="7166" width="19.5703125" style="200" customWidth="1"/>
    <col min="7167" max="7167" width="8" style="200" customWidth="1"/>
    <col min="7168" max="7168" width="9.140625" style="200"/>
    <col min="7169" max="7169" width="16.85546875" style="200" customWidth="1"/>
    <col min="7170" max="7420" width="9.140625" style="200"/>
    <col min="7421" max="7421" width="45.28515625" style="200" customWidth="1"/>
    <col min="7422" max="7422" width="19.5703125" style="200" customWidth="1"/>
    <col min="7423" max="7423" width="8" style="200" customWidth="1"/>
    <col min="7424" max="7424" width="9.140625" style="200"/>
    <col min="7425" max="7425" width="16.85546875" style="200" customWidth="1"/>
    <col min="7426" max="7676" width="9.140625" style="200"/>
    <col min="7677" max="7677" width="45.28515625" style="200" customWidth="1"/>
    <col min="7678" max="7678" width="19.5703125" style="200" customWidth="1"/>
    <col min="7679" max="7679" width="8" style="200" customWidth="1"/>
    <col min="7680" max="7680" width="9.140625" style="200"/>
    <col min="7681" max="7681" width="16.85546875" style="200" customWidth="1"/>
    <col min="7682" max="7932" width="9.140625" style="200"/>
    <col min="7933" max="7933" width="45.28515625" style="200" customWidth="1"/>
    <col min="7934" max="7934" width="19.5703125" style="200" customWidth="1"/>
    <col min="7935" max="7935" width="8" style="200" customWidth="1"/>
    <col min="7936" max="7936" width="9.140625" style="200"/>
    <col min="7937" max="7937" width="16.85546875" style="200" customWidth="1"/>
    <col min="7938" max="8188" width="9.140625" style="200"/>
    <col min="8189" max="8189" width="45.28515625" style="200" customWidth="1"/>
    <col min="8190" max="8190" width="19.5703125" style="200" customWidth="1"/>
    <col min="8191" max="8191" width="8" style="200" customWidth="1"/>
    <col min="8192" max="8192" width="9.140625" style="200"/>
    <col min="8193" max="8193" width="16.85546875" style="200" customWidth="1"/>
    <col min="8194" max="8444" width="9.140625" style="200"/>
    <col min="8445" max="8445" width="45.28515625" style="200" customWidth="1"/>
    <col min="8446" max="8446" width="19.5703125" style="200" customWidth="1"/>
    <col min="8447" max="8447" width="8" style="200" customWidth="1"/>
    <col min="8448" max="8448" width="9.140625" style="200"/>
    <col min="8449" max="8449" width="16.85546875" style="200" customWidth="1"/>
    <col min="8450" max="8700" width="9.140625" style="200"/>
    <col min="8701" max="8701" width="45.28515625" style="200" customWidth="1"/>
    <col min="8702" max="8702" width="19.5703125" style="200" customWidth="1"/>
    <col min="8703" max="8703" width="8" style="200" customWidth="1"/>
    <col min="8704" max="8704" width="9.140625" style="200"/>
    <col min="8705" max="8705" width="16.85546875" style="200" customWidth="1"/>
    <col min="8706" max="8956" width="9.140625" style="200"/>
    <col min="8957" max="8957" width="45.28515625" style="200" customWidth="1"/>
    <col min="8958" max="8958" width="19.5703125" style="200" customWidth="1"/>
    <col min="8959" max="8959" width="8" style="200" customWidth="1"/>
    <col min="8960" max="8960" width="9.140625" style="200"/>
    <col min="8961" max="8961" width="16.85546875" style="200" customWidth="1"/>
    <col min="8962" max="9212" width="9.140625" style="200"/>
    <col min="9213" max="9213" width="45.28515625" style="200" customWidth="1"/>
    <col min="9214" max="9214" width="19.5703125" style="200" customWidth="1"/>
    <col min="9215" max="9215" width="8" style="200" customWidth="1"/>
    <col min="9216" max="9216" width="9.140625" style="200"/>
    <col min="9217" max="9217" width="16.85546875" style="200" customWidth="1"/>
    <col min="9218" max="9468" width="9.140625" style="200"/>
    <col min="9469" max="9469" width="45.28515625" style="200" customWidth="1"/>
    <col min="9470" max="9470" width="19.5703125" style="200" customWidth="1"/>
    <col min="9471" max="9471" width="8" style="200" customWidth="1"/>
    <col min="9472" max="9472" width="9.140625" style="200"/>
    <col min="9473" max="9473" width="16.85546875" style="200" customWidth="1"/>
    <col min="9474" max="9724" width="9.140625" style="200"/>
    <col min="9725" max="9725" width="45.28515625" style="200" customWidth="1"/>
    <col min="9726" max="9726" width="19.5703125" style="200" customWidth="1"/>
    <col min="9727" max="9727" width="8" style="200" customWidth="1"/>
    <col min="9728" max="9728" width="9.140625" style="200"/>
    <col min="9729" max="9729" width="16.85546875" style="200" customWidth="1"/>
    <col min="9730" max="9980" width="9.140625" style="200"/>
    <col min="9981" max="9981" width="45.28515625" style="200" customWidth="1"/>
    <col min="9982" max="9982" width="19.5703125" style="200" customWidth="1"/>
    <col min="9983" max="9983" width="8" style="200" customWidth="1"/>
    <col min="9984" max="9984" width="9.140625" style="200"/>
    <col min="9985" max="9985" width="16.85546875" style="200" customWidth="1"/>
    <col min="9986" max="10236" width="9.140625" style="200"/>
    <col min="10237" max="10237" width="45.28515625" style="200" customWidth="1"/>
    <col min="10238" max="10238" width="19.5703125" style="200" customWidth="1"/>
    <col min="10239" max="10239" width="8" style="200" customWidth="1"/>
    <col min="10240" max="10240" width="9.140625" style="200"/>
    <col min="10241" max="10241" width="16.85546875" style="200" customWidth="1"/>
    <col min="10242" max="10492" width="9.140625" style="200"/>
    <col min="10493" max="10493" width="45.28515625" style="200" customWidth="1"/>
    <col min="10494" max="10494" width="19.5703125" style="200" customWidth="1"/>
    <col min="10495" max="10495" width="8" style="200" customWidth="1"/>
    <col min="10496" max="10496" width="9.140625" style="200"/>
    <col min="10497" max="10497" width="16.85546875" style="200" customWidth="1"/>
    <col min="10498" max="10748" width="9.140625" style="200"/>
    <col min="10749" max="10749" width="45.28515625" style="200" customWidth="1"/>
    <col min="10750" max="10750" width="19.5703125" style="200" customWidth="1"/>
    <col min="10751" max="10751" width="8" style="200" customWidth="1"/>
    <col min="10752" max="10752" width="9.140625" style="200"/>
    <col min="10753" max="10753" width="16.85546875" style="200" customWidth="1"/>
    <col min="10754" max="11004" width="9.140625" style="200"/>
    <col min="11005" max="11005" width="45.28515625" style="200" customWidth="1"/>
    <col min="11006" max="11006" width="19.5703125" style="200" customWidth="1"/>
    <col min="11007" max="11007" width="8" style="200" customWidth="1"/>
    <col min="11008" max="11008" width="9.140625" style="200"/>
    <col min="11009" max="11009" width="16.85546875" style="200" customWidth="1"/>
    <col min="11010" max="11260" width="9.140625" style="200"/>
    <col min="11261" max="11261" width="45.28515625" style="200" customWidth="1"/>
    <col min="11262" max="11262" width="19.5703125" style="200" customWidth="1"/>
    <col min="11263" max="11263" width="8" style="200" customWidth="1"/>
    <col min="11264" max="11264" width="9.140625" style="200"/>
    <col min="11265" max="11265" width="16.85546875" style="200" customWidth="1"/>
    <col min="11266" max="11516" width="9.140625" style="200"/>
    <col min="11517" max="11517" width="45.28515625" style="200" customWidth="1"/>
    <col min="11518" max="11518" width="19.5703125" style="200" customWidth="1"/>
    <col min="11519" max="11519" width="8" style="200" customWidth="1"/>
    <col min="11520" max="11520" width="9.140625" style="200"/>
    <col min="11521" max="11521" width="16.85546875" style="200" customWidth="1"/>
    <col min="11522" max="11772" width="9.140625" style="200"/>
    <col min="11773" max="11773" width="45.28515625" style="200" customWidth="1"/>
    <col min="11774" max="11774" width="19.5703125" style="200" customWidth="1"/>
    <col min="11775" max="11775" width="8" style="200" customWidth="1"/>
    <col min="11776" max="11776" width="9.140625" style="200"/>
    <col min="11777" max="11777" width="16.85546875" style="200" customWidth="1"/>
    <col min="11778" max="12028" width="9.140625" style="200"/>
    <col min="12029" max="12029" width="45.28515625" style="200" customWidth="1"/>
    <col min="12030" max="12030" width="19.5703125" style="200" customWidth="1"/>
    <col min="12031" max="12031" width="8" style="200" customWidth="1"/>
    <col min="12032" max="12032" width="9.140625" style="200"/>
    <col min="12033" max="12033" width="16.85546875" style="200" customWidth="1"/>
    <col min="12034" max="12284" width="9.140625" style="200"/>
    <col min="12285" max="12285" width="45.28515625" style="200" customWidth="1"/>
    <col min="12286" max="12286" width="19.5703125" style="200" customWidth="1"/>
    <col min="12287" max="12287" width="8" style="200" customWidth="1"/>
    <col min="12288" max="12288" width="9.140625" style="200"/>
    <col min="12289" max="12289" width="16.85546875" style="200" customWidth="1"/>
    <col min="12290" max="12540" width="9.140625" style="200"/>
    <col min="12541" max="12541" width="45.28515625" style="200" customWidth="1"/>
    <col min="12542" max="12542" width="19.5703125" style="200" customWidth="1"/>
    <col min="12543" max="12543" width="8" style="200" customWidth="1"/>
    <col min="12544" max="12544" width="9.140625" style="200"/>
    <col min="12545" max="12545" width="16.85546875" style="200" customWidth="1"/>
    <col min="12546" max="12796" width="9.140625" style="200"/>
    <col min="12797" max="12797" width="45.28515625" style="200" customWidth="1"/>
    <col min="12798" max="12798" width="19.5703125" style="200" customWidth="1"/>
    <col min="12799" max="12799" width="8" style="200" customWidth="1"/>
    <col min="12800" max="12800" width="9.140625" style="200"/>
    <col min="12801" max="12801" width="16.85546875" style="200" customWidth="1"/>
    <col min="12802" max="13052" width="9.140625" style="200"/>
    <col min="13053" max="13053" width="45.28515625" style="200" customWidth="1"/>
    <col min="13054" max="13054" width="19.5703125" style="200" customWidth="1"/>
    <col min="13055" max="13055" width="8" style="200" customWidth="1"/>
    <col min="13056" max="13056" width="9.140625" style="200"/>
    <col min="13057" max="13057" width="16.85546875" style="200" customWidth="1"/>
    <col min="13058" max="13308" width="9.140625" style="200"/>
    <col min="13309" max="13309" width="45.28515625" style="200" customWidth="1"/>
    <col min="13310" max="13310" width="19.5703125" style="200" customWidth="1"/>
    <col min="13311" max="13311" width="8" style="200" customWidth="1"/>
    <col min="13312" max="13312" width="9.140625" style="200"/>
    <col min="13313" max="13313" width="16.85546875" style="200" customWidth="1"/>
    <col min="13314" max="13564" width="9.140625" style="200"/>
    <col min="13565" max="13565" width="45.28515625" style="200" customWidth="1"/>
    <col min="13566" max="13566" width="19.5703125" style="200" customWidth="1"/>
    <col min="13567" max="13567" width="8" style="200" customWidth="1"/>
    <col min="13568" max="13568" width="9.140625" style="200"/>
    <col min="13569" max="13569" width="16.85546875" style="200" customWidth="1"/>
    <col min="13570" max="13820" width="9.140625" style="200"/>
    <col min="13821" max="13821" width="45.28515625" style="200" customWidth="1"/>
    <col min="13822" max="13822" width="19.5703125" style="200" customWidth="1"/>
    <col min="13823" max="13823" width="8" style="200" customWidth="1"/>
    <col min="13824" max="13824" width="9.140625" style="200"/>
    <col min="13825" max="13825" width="16.85546875" style="200" customWidth="1"/>
    <col min="13826" max="14076" width="9.140625" style="200"/>
    <col min="14077" max="14077" width="45.28515625" style="200" customWidth="1"/>
    <col min="14078" max="14078" width="19.5703125" style="200" customWidth="1"/>
    <col min="14079" max="14079" width="8" style="200" customWidth="1"/>
    <col min="14080" max="14080" width="9.140625" style="200"/>
    <col min="14081" max="14081" width="16.85546875" style="200" customWidth="1"/>
    <col min="14082" max="14332" width="9.140625" style="200"/>
    <col min="14333" max="14333" width="45.28515625" style="200" customWidth="1"/>
    <col min="14334" max="14334" width="19.5703125" style="200" customWidth="1"/>
    <col min="14335" max="14335" width="8" style="200" customWidth="1"/>
    <col min="14336" max="14336" width="9.140625" style="200"/>
    <col min="14337" max="14337" width="16.85546875" style="200" customWidth="1"/>
    <col min="14338" max="14588" width="9.140625" style="200"/>
    <col min="14589" max="14589" width="45.28515625" style="200" customWidth="1"/>
    <col min="14590" max="14590" width="19.5703125" style="200" customWidth="1"/>
    <col min="14591" max="14591" width="8" style="200" customWidth="1"/>
    <col min="14592" max="14592" width="9.140625" style="200"/>
    <col min="14593" max="14593" width="16.85546875" style="200" customWidth="1"/>
    <col min="14594" max="14844" width="9.140625" style="200"/>
    <col min="14845" max="14845" width="45.28515625" style="200" customWidth="1"/>
    <col min="14846" max="14846" width="19.5703125" style="200" customWidth="1"/>
    <col min="14847" max="14847" width="8" style="200" customWidth="1"/>
    <col min="14848" max="14848" width="9.140625" style="200"/>
    <col min="14849" max="14849" width="16.85546875" style="200" customWidth="1"/>
    <col min="14850" max="15100" width="9.140625" style="200"/>
    <col min="15101" max="15101" width="45.28515625" style="200" customWidth="1"/>
    <col min="15102" max="15102" width="19.5703125" style="200" customWidth="1"/>
    <col min="15103" max="15103" width="8" style="200" customWidth="1"/>
    <col min="15104" max="15104" width="9.140625" style="200"/>
    <col min="15105" max="15105" width="16.85546875" style="200" customWidth="1"/>
    <col min="15106" max="15356" width="9.140625" style="200"/>
    <col min="15357" max="15357" width="45.28515625" style="200" customWidth="1"/>
    <col min="15358" max="15358" width="19.5703125" style="200" customWidth="1"/>
    <col min="15359" max="15359" width="8" style="200" customWidth="1"/>
    <col min="15360" max="15360" width="9.140625" style="200"/>
    <col min="15361" max="15361" width="16.85546875" style="200" customWidth="1"/>
    <col min="15362" max="15612" width="9.140625" style="200"/>
    <col min="15613" max="15613" width="45.28515625" style="200" customWidth="1"/>
    <col min="15614" max="15614" width="19.5703125" style="200" customWidth="1"/>
    <col min="15615" max="15615" width="8" style="200" customWidth="1"/>
    <col min="15616" max="15616" width="9.140625" style="200"/>
    <col min="15617" max="15617" width="16.85546875" style="200" customWidth="1"/>
    <col min="15618" max="15868" width="9.140625" style="200"/>
    <col min="15869" max="15869" width="45.28515625" style="200" customWidth="1"/>
    <col min="15870" max="15870" width="19.5703125" style="200" customWidth="1"/>
    <col min="15871" max="15871" width="8" style="200" customWidth="1"/>
    <col min="15872" max="15872" width="9.140625" style="200"/>
    <col min="15873" max="15873" width="16.85546875" style="200" customWidth="1"/>
    <col min="15874" max="16124" width="9.140625" style="200"/>
    <col min="16125" max="16125" width="45.28515625" style="200" customWidth="1"/>
    <col min="16126" max="16126" width="19.5703125" style="200" customWidth="1"/>
    <col min="16127" max="16127" width="8" style="200" customWidth="1"/>
    <col min="16128" max="16128" width="9.140625" style="200"/>
    <col min="16129" max="16129" width="16.85546875" style="200" customWidth="1"/>
    <col min="16130" max="16384" width="9.140625" style="200"/>
  </cols>
  <sheetData>
    <row r="1" spans="1:10" ht="15.75">
      <c r="A1" s="458" t="s">
        <v>2138</v>
      </c>
      <c r="B1" s="458"/>
      <c r="C1" s="458"/>
      <c r="D1" s="458"/>
      <c r="E1" s="458"/>
    </row>
    <row r="2" spans="1:10" ht="15.75">
      <c r="A2" s="458" t="s">
        <v>2156</v>
      </c>
      <c r="B2" s="458"/>
      <c r="C2" s="458"/>
      <c r="D2" s="458"/>
      <c r="E2" s="458"/>
    </row>
    <row r="3" spans="1:10">
      <c r="A3" s="455"/>
      <c r="B3" s="455"/>
      <c r="C3" s="455"/>
      <c r="D3" s="455"/>
      <c r="E3" s="455"/>
    </row>
    <row r="4" spans="1:10">
      <c r="A4" s="203"/>
      <c r="B4" s="203"/>
      <c r="C4" s="203"/>
      <c r="D4" s="203"/>
      <c r="E4" s="230" t="s">
        <v>2157</v>
      </c>
      <c r="F4" s="203"/>
      <c r="G4" s="203"/>
      <c r="H4" s="203"/>
      <c r="I4" s="203"/>
      <c r="J4" s="203"/>
    </row>
    <row r="5" spans="1:10">
      <c r="A5" s="231" t="s">
        <v>2158</v>
      </c>
      <c r="B5" s="231"/>
      <c r="C5" s="203"/>
      <c r="D5" s="203"/>
      <c r="E5" s="230" t="s">
        <v>2159</v>
      </c>
      <c r="F5" s="203"/>
      <c r="G5" s="203"/>
      <c r="H5" s="203"/>
      <c r="I5" s="203"/>
      <c r="J5" s="203"/>
    </row>
    <row r="6" spans="1:10">
      <c r="A6" s="231"/>
      <c r="B6" s="231"/>
      <c r="C6" s="203"/>
      <c r="D6" s="203"/>
      <c r="E6" s="232"/>
      <c r="F6" s="203"/>
      <c r="G6" s="203"/>
      <c r="H6" s="203"/>
      <c r="I6" s="203"/>
      <c r="J6" s="203"/>
    </row>
    <row r="7" spans="1:10">
      <c r="A7" s="231" t="s">
        <v>2160</v>
      </c>
      <c r="B7" s="231"/>
      <c r="C7" s="203"/>
      <c r="D7" s="233"/>
      <c r="E7" s="234"/>
      <c r="F7" s="203"/>
      <c r="G7" s="203"/>
      <c r="H7" s="203"/>
      <c r="I7" s="203"/>
      <c r="J7" s="203"/>
    </row>
    <row r="8" spans="1:10">
      <c r="A8" s="235" t="s">
        <v>2161</v>
      </c>
      <c r="B8" s="235"/>
      <c r="C8" s="203"/>
      <c r="D8" s="233"/>
      <c r="E8" s="236"/>
      <c r="F8" s="203"/>
      <c r="G8" s="203"/>
      <c r="H8" s="203"/>
      <c r="I8" s="237"/>
      <c r="J8" s="203"/>
    </row>
    <row r="9" spans="1:10">
      <c r="A9" s="203" t="s">
        <v>2162</v>
      </c>
      <c r="B9" s="203"/>
      <c r="C9" s="203"/>
      <c r="D9" s="233"/>
      <c r="E9" s="238">
        <f>+summary!B17</f>
        <v>22237424.370000001</v>
      </c>
      <c r="F9" s="203"/>
      <c r="G9" s="203"/>
      <c r="H9" s="239"/>
      <c r="I9" s="240"/>
      <c r="J9" s="203"/>
    </row>
    <row r="10" spans="1:10">
      <c r="A10" s="203" t="s">
        <v>2163</v>
      </c>
      <c r="B10" s="203"/>
      <c r="C10" s="203"/>
      <c r="D10" s="233"/>
      <c r="E10" s="317">
        <f>-SUM('MGE - Deferred Taxes'!D16:H16)</f>
        <v>-1415995.3859997266</v>
      </c>
      <c r="F10" s="203"/>
      <c r="G10" s="203"/>
      <c r="H10" s="203"/>
      <c r="I10" s="240"/>
      <c r="J10" s="203"/>
    </row>
    <row r="11" spans="1:10">
      <c r="A11" s="241" t="s">
        <v>2164</v>
      </c>
      <c r="B11" s="203"/>
      <c r="C11" s="203"/>
      <c r="D11" s="233"/>
      <c r="E11" s="317">
        <f>-SUM('MGE - Deferred Taxes'!D12:H12)</f>
        <v>-1115585.9024535967</v>
      </c>
      <c r="F11" s="203"/>
      <c r="G11" s="203"/>
      <c r="H11" s="203"/>
      <c r="I11" s="240"/>
      <c r="J11" s="203"/>
    </row>
    <row r="12" spans="1:10">
      <c r="A12" s="203" t="s">
        <v>2165</v>
      </c>
      <c r="B12" s="203"/>
      <c r="C12" s="203"/>
      <c r="D12" s="233"/>
      <c r="E12" s="317">
        <f>-'MGE - Deferred Taxes'!C16</f>
        <v>-2535006.2502725446</v>
      </c>
      <c r="F12" s="203"/>
      <c r="G12" s="203"/>
      <c r="H12" s="203"/>
      <c r="I12" s="240"/>
      <c r="J12" s="203"/>
    </row>
    <row r="13" spans="1:10">
      <c r="A13" s="241" t="s">
        <v>2166</v>
      </c>
      <c r="B13" s="203"/>
      <c r="C13" s="203"/>
      <c r="D13" s="233"/>
      <c r="E13" s="318">
        <f>-'MGE - Deferred Taxes'!C12</f>
        <v>-126246.65938885396</v>
      </c>
      <c r="F13" s="203"/>
    </row>
    <row r="14" spans="1:10">
      <c r="A14" s="241"/>
      <c r="B14" s="241"/>
      <c r="C14" s="203"/>
      <c r="D14" s="233"/>
      <c r="E14" s="236"/>
      <c r="F14" s="203"/>
      <c r="G14" s="203"/>
      <c r="H14" s="203"/>
      <c r="I14" s="203"/>
      <c r="J14" s="203"/>
    </row>
    <row r="15" spans="1:10">
      <c r="A15" s="202" t="s">
        <v>2167</v>
      </c>
      <c r="B15" s="202"/>
      <c r="C15" s="203"/>
      <c r="D15" s="233"/>
      <c r="E15" s="238">
        <f>SUM(E9:E14)</f>
        <v>17044590.171885274</v>
      </c>
      <c r="F15" s="203"/>
      <c r="G15" s="203"/>
      <c r="H15" s="203"/>
      <c r="I15" s="203"/>
      <c r="J15" s="203"/>
    </row>
    <row r="16" spans="1:10">
      <c r="A16" s="202" t="s">
        <v>2168</v>
      </c>
      <c r="B16" s="202"/>
      <c r="C16" s="203"/>
      <c r="D16" s="233"/>
      <c r="E16" s="242">
        <v>9.7500000000000003E-2</v>
      </c>
      <c r="F16" s="203"/>
      <c r="G16" s="203"/>
      <c r="H16" s="203"/>
      <c r="I16" s="203"/>
      <c r="J16" s="203"/>
    </row>
    <row r="17" spans="1:10">
      <c r="A17" s="202"/>
      <c r="B17" s="202"/>
      <c r="C17" s="203"/>
      <c r="D17" s="233"/>
      <c r="E17" s="243"/>
      <c r="F17" s="203"/>
      <c r="G17" s="203"/>
      <c r="H17" s="203"/>
      <c r="I17" s="203"/>
      <c r="J17" s="203"/>
    </row>
    <row r="18" spans="1:10">
      <c r="A18" s="202" t="s">
        <v>2169</v>
      </c>
      <c r="B18" s="203"/>
      <c r="C18" s="203"/>
      <c r="D18" s="233"/>
      <c r="E18" s="238">
        <f>+E15*E16</f>
        <v>1661847.5417588144</v>
      </c>
      <c r="F18" s="203"/>
    </row>
    <row r="19" spans="1:10" ht="15">
      <c r="A19" s="202" t="s">
        <v>2170</v>
      </c>
      <c r="B19" s="244"/>
      <c r="C19" s="203"/>
      <c r="D19" s="203"/>
      <c r="E19" s="245">
        <f>+summary!E17</f>
        <v>415832.00000000006</v>
      </c>
      <c r="F19" s="203"/>
      <c r="G19" s="203" t="s">
        <v>2171</v>
      </c>
      <c r="H19" s="203"/>
      <c r="I19" s="203"/>
      <c r="J19" s="203">
        <f>1/(1-0.383886)</f>
        <v>1.6230762488760195</v>
      </c>
    </row>
    <row r="20" spans="1:10" ht="15">
      <c r="A20" s="202" t="s">
        <v>2599</v>
      </c>
      <c r="B20" s="244"/>
      <c r="C20" s="203"/>
      <c r="D20" s="203"/>
      <c r="E20" s="245">
        <f>-Reconciliation!E74</f>
        <v>119666.02452054527</v>
      </c>
      <c r="F20" s="203"/>
      <c r="G20" s="203"/>
      <c r="H20" s="203"/>
      <c r="I20" s="203"/>
      <c r="J20" s="203"/>
    </row>
    <row r="21" spans="1:10">
      <c r="A21" s="202" t="s">
        <v>2172</v>
      </c>
      <c r="B21" s="203"/>
      <c r="C21" s="203"/>
      <c r="D21" s="203"/>
      <c r="E21" s="245">
        <f>+'Property Taxes'!C22</f>
        <v>910662.80056896526</v>
      </c>
      <c r="F21" s="203"/>
      <c r="G21" s="246" t="s">
        <v>2173</v>
      </c>
      <c r="H21" s="203"/>
      <c r="I21" s="203"/>
      <c r="J21" s="203"/>
    </row>
    <row r="22" spans="1:10">
      <c r="A22" s="202"/>
      <c r="B22" s="203"/>
      <c r="C22" s="203"/>
      <c r="D22" s="203"/>
      <c r="E22" s="227"/>
      <c r="F22" s="203"/>
      <c r="G22" s="203"/>
      <c r="H22" s="203"/>
      <c r="I22" s="203"/>
      <c r="J22" s="203"/>
    </row>
    <row r="23" spans="1:10" ht="13.5" thickBot="1">
      <c r="A23" s="202" t="s">
        <v>2174</v>
      </c>
      <c r="B23" s="203"/>
      <c r="C23" s="203"/>
      <c r="D23" s="203"/>
      <c r="E23" s="305">
        <f>SUM(E18:E22)</f>
        <v>3108008.3668483249</v>
      </c>
      <c r="F23" s="203"/>
      <c r="G23" s="239"/>
      <c r="H23" s="203"/>
      <c r="I23" s="203"/>
      <c r="J23" s="203"/>
    </row>
    <row r="24" spans="1:10" ht="13.5" thickTop="1">
      <c r="A24" s="203"/>
      <c r="B24" s="203"/>
      <c r="C24" s="203"/>
      <c r="D24" s="203"/>
      <c r="E24" s="203"/>
      <c r="F24" s="203"/>
      <c r="G24" s="203"/>
      <c r="H24" s="203"/>
      <c r="I24" s="203"/>
      <c r="J24" s="203"/>
    </row>
    <row r="25" spans="1:10">
      <c r="E25" s="247"/>
    </row>
    <row r="27" spans="1:10">
      <c r="E27" s="247"/>
    </row>
    <row r="33" spans="5:5">
      <c r="E33" s="226"/>
    </row>
  </sheetData>
  <mergeCells count="3">
    <mergeCell ref="A1:E1"/>
    <mergeCell ref="A2:E2"/>
    <mergeCell ref="A3:E3"/>
  </mergeCells>
  <printOptions horizontalCentered="1"/>
  <pageMargins left="0.75" right="0.75" top="1" bottom="1" header="0.5" footer="0.5"/>
  <pageSetup scale="90" orientation="portrait" r:id="rId1"/>
  <headerFooter alignWithMargins="0">
    <oddHeader>&amp;R&amp;"Arial,Bold"Appendix A
Page 2</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26"/>
  <sheetViews>
    <sheetView topLeftCell="A2" workbookViewId="0">
      <selection activeCell="E19" sqref="E19"/>
    </sheetView>
  </sheetViews>
  <sheetFormatPr defaultColWidth="9.140625" defaultRowHeight="12"/>
  <cols>
    <col min="1" max="1" width="55.5703125" style="249" bestFit="1" customWidth="1"/>
    <col min="2" max="8" width="12.7109375" style="249" customWidth="1"/>
    <col min="9" max="16384" width="9.140625" style="249"/>
  </cols>
  <sheetData>
    <row r="1" spans="1:9" ht="15.75">
      <c r="A1" s="459" t="s">
        <v>2138</v>
      </c>
      <c r="B1" s="459"/>
      <c r="C1" s="459"/>
      <c r="D1" s="459"/>
      <c r="E1" s="459"/>
      <c r="F1" s="248"/>
      <c r="G1" s="248"/>
      <c r="H1" s="248"/>
    </row>
    <row r="2" spans="1:9" ht="15.75">
      <c r="A2" s="459" t="s">
        <v>2175</v>
      </c>
      <c r="B2" s="459"/>
      <c r="C2" s="459"/>
      <c r="D2" s="459"/>
      <c r="E2" s="459"/>
      <c r="F2" s="248"/>
      <c r="G2" s="248"/>
      <c r="H2" s="248"/>
    </row>
    <row r="3" spans="1:9" ht="15">
      <c r="A3" s="250"/>
      <c r="B3" s="250"/>
      <c r="C3" s="250"/>
      <c r="D3" s="250"/>
      <c r="E3" s="250"/>
      <c r="F3" s="250"/>
      <c r="G3" s="250"/>
      <c r="H3" s="250"/>
    </row>
    <row r="4" spans="1:9" ht="15">
      <c r="A4" s="250"/>
      <c r="B4" s="250"/>
      <c r="C4" s="250"/>
      <c r="D4" s="250"/>
      <c r="E4" s="250"/>
      <c r="F4" s="250"/>
      <c r="G4" s="250"/>
      <c r="H4" s="250"/>
    </row>
    <row r="5" spans="1:9" ht="15">
      <c r="A5" s="251"/>
      <c r="B5" s="251"/>
      <c r="C5" s="251"/>
      <c r="D5" s="252"/>
      <c r="E5" s="252"/>
      <c r="F5" s="252"/>
      <c r="G5" s="252"/>
      <c r="H5" s="252"/>
    </row>
    <row r="6" spans="1:9" ht="15">
      <c r="A6" s="251"/>
      <c r="B6" s="251"/>
      <c r="C6" s="251"/>
      <c r="D6" s="252"/>
      <c r="E6" s="252"/>
      <c r="F6" s="252"/>
      <c r="G6" s="252"/>
      <c r="H6" s="252"/>
    </row>
    <row r="7" spans="1:9" ht="15">
      <c r="A7" s="253"/>
      <c r="B7" s="254" t="s">
        <v>2176</v>
      </c>
      <c r="C7" s="254" t="s">
        <v>2177</v>
      </c>
      <c r="D7" s="254" t="s">
        <v>2178</v>
      </c>
      <c r="E7" s="254" t="s">
        <v>2179</v>
      </c>
      <c r="H7" s="255"/>
      <c r="I7" s="255"/>
    </row>
    <row r="8" spans="1:9" ht="15">
      <c r="A8" s="253"/>
      <c r="B8" s="253"/>
      <c r="C8" s="253"/>
      <c r="D8" s="253"/>
      <c r="E8" s="253"/>
      <c r="H8" s="255"/>
      <c r="I8" s="255"/>
    </row>
    <row r="9" spans="1:9" ht="15">
      <c r="A9" s="253"/>
      <c r="B9" s="253"/>
      <c r="C9" s="253"/>
      <c r="D9" s="253"/>
      <c r="E9" s="253"/>
      <c r="H9" s="255"/>
      <c r="I9" s="255"/>
    </row>
    <row r="10" spans="1:9" ht="15.75">
      <c r="A10" s="256" t="s">
        <v>2180</v>
      </c>
      <c r="B10" s="257"/>
      <c r="C10" s="257"/>
      <c r="D10" s="258"/>
      <c r="E10" s="259"/>
      <c r="H10" s="255"/>
      <c r="I10" s="255"/>
    </row>
    <row r="11" spans="1:9" ht="15.75">
      <c r="A11" s="260" t="s">
        <v>2181</v>
      </c>
      <c r="B11" s="261">
        <f>+'ISRS Addns Nov-Jan 2017 Sorted'!I300+'ISRS Addns Nov-Jan 2017 Sorted'!I494</f>
        <v>765750.27</v>
      </c>
      <c r="C11" s="261"/>
      <c r="D11" s="261">
        <f>-(+'ISRS Addns Nov-Jan 2017 Sorted'!L300+'ISRS Addns Nov-Jan 2017 Sorted'!L494)</f>
        <v>-5133.8099999999995</v>
      </c>
      <c r="E11" s="261">
        <f>(+'ISRS Addns Nov-Jan 2017 Sorted'!M300+'ISRS Addns Nov-Jan 2017 Sorted'!M494)</f>
        <v>13973</v>
      </c>
      <c r="H11" s="255"/>
      <c r="I11" s="262"/>
    </row>
    <row r="12" spans="1:9" ht="15.75">
      <c r="A12" s="260" t="s">
        <v>2182</v>
      </c>
      <c r="B12" s="261">
        <f>+'ISRS Addns Nov-Jan 2017 Sorted'!I236+'ISRS Addns Nov-Jan 2017 Sorted'!I243+'ISRS Addns Nov-Jan 2017 Sorted'!I247+'ISRS Addns Nov-Jan 2017 Sorted'!I259+'ISRS Addns Nov-Jan 2017 Sorted'!I497+'ISRS Addns Nov-Jan 2017 Sorted'!I446+'ISRS Addns Nov-Jan 2017 Sorted'!I453+'ISRS Addns Nov-Jan 2017 Sorted'!I460+'ISRS Addns Nov-Jan 2017 Sorted'!I463</f>
        <v>18211392.330000002</v>
      </c>
      <c r="C12" s="261"/>
      <c r="D12" s="261">
        <f>-(+'ISRS Addns Nov-Jan 2017 Sorted'!L236+'ISRS Addns Nov-Jan 2017 Sorted'!L243+'ISRS Addns Nov-Jan 2017 Sorted'!L247+'ISRS Addns Nov-Jan 2017 Sorted'!L259+'ISRS Addns Nov-Jan 2017 Sorted'!L497+'ISRS Addns Nov-Jan 2017 Sorted'!L446+'ISRS Addns Nov-Jan 2017 Sorted'!L453+'ISRS Addns Nov-Jan 2017 Sorted'!L460+'ISRS Addns Nov-Jan 2017 Sorted'!L463)</f>
        <v>-90087.85</v>
      </c>
      <c r="E12" s="261">
        <f>(+'ISRS Addns Nov-Jan 2017 Sorted'!M236+'ISRS Addns Nov-Jan 2017 Sorted'!M243+'ISRS Addns Nov-Jan 2017 Sorted'!M247+'ISRS Addns Nov-Jan 2017 Sorted'!M259+'ISRS Addns Nov-Jan 2017 Sorted'!M497+'ISRS Addns Nov-Jan 2017 Sorted'!M446+'ISRS Addns Nov-Jan 2017 Sorted'!M453+'ISRS Addns Nov-Jan 2017 Sorted'!M460+'ISRS Addns Nov-Jan 2017 Sorted'!M463)</f>
        <v>328434.60000000009</v>
      </c>
      <c r="H12" s="255"/>
      <c r="I12" s="262"/>
    </row>
    <row r="13" spans="1:9" ht="15.75">
      <c r="A13" s="260" t="s">
        <v>936</v>
      </c>
      <c r="B13" s="261">
        <f>+'ISRS Addns Nov-Jan 2017 Sorted'!I7+'ISRS Addns Nov-Jan 2017 Sorted'!I303</f>
        <v>375635.77</v>
      </c>
      <c r="C13" s="261"/>
      <c r="D13" s="261">
        <f>-(+'ISRS Addns Nov-Jan 2017 Sorted'!L7+'ISRS Addns Nov-Jan 2017 Sorted'!L303)</f>
        <v>-3093.14</v>
      </c>
      <c r="E13" s="261">
        <f>(+'ISRS Addns Nov-Jan 2017 Sorted'!M7+'ISRS Addns Nov-Jan 2017 Sorted'!M303)</f>
        <v>6686.3</v>
      </c>
      <c r="H13" s="255"/>
      <c r="I13" s="262"/>
    </row>
    <row r="14" spans="1:9" ht="15.75">
      <c r="A14" s="260" t="s">
        <v>2183</v>
      </c>
      <c r="B14" s="261"/>
      <c r="C14" s="261"/>
      <c r="D14" s="261"/>
      <c r="E14" s="261"/>
      <c r="H14" s="255"/>
      <c r="I14" s="262"/>
    </row>
    <row r="15" spans="1:9" ht="15.75">
      <c r="A15" s="260" t="s">
        <v>2184</v>
      </c>
      <c r="B15" s="261">
        <f>+'ISRS Addns Nov-Jan 2017 Sorted'!I20+'ISRS Addns Nov-Jan 2017 Sorted'!I311+'ISRS Addns Nov-Jan 2017 Sorted'!I496</f>
        <v>2884646</v>
      </c>
      <c r="C15" s="261"/>
      <c r="D15" s="261">
        <f>-(+'ISRS Addns Nov-Jan 2017 Sorted'!L20+'ISRS Addns Nov-Jan 2017 Sorted'!L311+'ISRS Addns Nov-Jan 2017 Sorted'!L496)</f>
        <v>-27931.920000000002</v>
      </c>
      <c r="E15" s="261">
        <f>+'ISRS Addns Nov-Jan 2017 Sorted'!M20+'ISRS Addns Nov-Jan 2017 Sorted'!M311+'ISRS Addns Nov-Jan 2017 Sorted'!M496</f>
        <v>77308.41</v>
      </c>
      <c r="H15" s="255"/>
      <c r="I15" s="262"/>
    </row>
    <row r="16" spans="1:9" ht="15.75">
      <c r="A16" s="260" t="s">
        <v>2177</v>
      </c>
      <c r="C16" s="261">
        <f>+'MGE ISRS Retire Nov 16 - Jan 17'!I80</f>
        <v>-428199.85000000003</v>
      </c>
      <c r="D16" s="261"/>
      <c r="E16" s="261">
        <f>+'MGE ISRS Retire Nov 16 - Jan 17'!M80</f>
        <v>-10570.31</v>
      </c>
      <c r="H16" s="255"/>
      <c r="I16" s="262"/>
    </row>
    <row r="17" spans="1:9" ht="16.5" thickBot="1">
      <c r="A17" s="260" t="s">
        <v>922</v>
      </c>
      <c r="B17" s="263">
        <f>SUM(B11:B16)</f>
        <v>22237424.370000001</v>
      </c>
      <c r="C17" s="263">
        <f>SUM(C11:C16)</f>
        <v>-428199.85000000003</v>
      </c>
      <c r="D17" s="263">
        <f>SUM(D11:D16)</f>
        <v>-126246.72</v>
      </c>
      <c r="E17" s="263">
        <f>SUM(E11:E16)</f>
        <v>415832.00000000006</v>
      </c>
      <c r="H17" s="255"/>
      <c r="I17" s="255"/>
    </row>
    <row r="18" spans="1:9" ht="12.75" thickTop="1">
      <c r="A18" s="259"/>
      <c r="B18" s="259"/>
      <c r="C18" s="259"/>
      <c r="D18" s="258"/>
      <c r="E18" s="259"/>
      <c r="H18" s="255"/>
      <c r="I18" s="255"/>
    </row>
    <row r="19" spans="1:9">
      <c r="A19" s="264"/>
      <c r="B19" s="265"/>
      <c r="C19" s="264"/>
      <c r="D19" s="264"/>
      <c r="E19" s="265"/>
      <c r="F19" s="266"/>
      <c r="G19" s="264"/>
      <c r="H19" s="264"/>
    </row>
    <row r="20" spans="1:9">
      <c r="E20" s="267"/>
    </row>
    <row r="21" spans="1:9">
      <c r="B21" s="261"/>
      <c r="E21" s="267"/>
    </row>
    <row r="22" spans="1:9">
      <c r="B22" s="261"/>
    </row>
    <row r="23" spans="1:9">
      <c r="B23" s="261"/>
    </row>
    <row r="24" spans="1:9">
      <c r="B24" s="261"/>
    </row>
    <row r="25" spans="1:9">
      <c r="B25" s="261"/>
    </row>
    <row r="26" spans="1:9">
      <c r="B26" s="261"/>
    </row>
  </sheetData>
  <mergeCells count="2">
    <mergeCell ref="A1:E1"/>
    <mergeCell ref="A2:E2"/>
  </mergeCells>
  <printOptions horizontalCentered="1"/>
  <pageMargins left="0.7" right="0.7" top="0.75" bottom="0.75" header="0.3" footer="0.3"/>
  <pageSetup fitToHeight="0" orientation="landscape" r:id="rId1"/>
  <headerFooter>
    <oddHeader>&amp;R&amp;"-,Bold"Appendix A
Page 1</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0"/>
  <sheetViews>
    <sheetView tabSelected="1" workbookViewId="0">
      <selection activeCell="I8" sqref="I8"/>
    </sheetView>
  </sheetViews>
  <sheetFormatPr defaultRowHeight="12.75"/>
  <cols>
    <col min="1" max="1" width="25.7109375" style="200" customWidth="1"/>
    <col min="2" max="2" width="8.5703125" style="200" customWidth="1"/>
    <col min="3" max="4" width="16" style="200" customWidth="1"/>
    <col min="5" max="5" width="14.5703125" style="200" customWidth="1"/>
    <col min="6" max="6" width="14.140625" style="200" customWidth="1"/>
    <col min="7" max="7" width="11.5703125" style="200" customWidth="1"/>
    <col min="8" max="8" width="13.5703125" style="200" customWidth="1"/>
    <col min="9" max="10" width="13.7109375" style="200" customWidth="1"/>
    <col min="11" max="257" width="9.140625" style="200"/>
    <col min="258" max="258" width="23.85546875" style="200" customWidth="1"/>
    <col min="259" max="259" width="8.5703125" style="200" customWidth="1"/>
    <col min="260" max="260" width="16" style="200" customWidth="1"/>
    <col min="261" max="261" width="14.5703125" style="200" customWidth="1"/>
    <col min="262" max="262" width="14.140625" style="200" customWidth="1"/>
    <col min="263" max="263" width="11.5703125" style="200" customWidth="1"/>
    <col min="264" max="264" width="13.5703125" style="200" customWidth="1"/>
    <col min="265" max="266" width="13.7109375" style="200" customWidth="1"/>
    <col min="267" max="513" width="9.140625" style="200"/>
    <col min="514" max="514" width="23.85546875" style="200" customWidth="1"/>
    <col min="515" max="515" width="8.5703125" style="200" customWidth="1"/>
    <col min="516" max="516" width="16" style="200" customWidth="1"/>
    <col min="517" max="517" width="14.5703125" style="200" customWidth="1"/>
    <col min="518" max="518" width="14.140625" style="200" customWidth="1"/>
    <col min="519" max="519" width="11.5703125" style="200" customWidth="1"/>
    <col min="520" max="520" width="13.5703125" style="200" customWidth="1"/>
    <col min="521" max="522" width="13.7109375" style="200" customWidth="1"/>
    <col min="523" max="769" width="9.140625" style="200"/>
    <col min="770" max="770" width="23.85546875" style="200" customWidth="1"/>
    <col min="771" max="771" width="8.5703125" style="200" customWidth="1"/>
    <col min="772" max="772" width="16" style="200" customWidth="1"/>
    <col min="773" max="773" width="14.5703125" style="200" customWidth="1"/>
    <col min="774" max="774" width="14.140625" style="200" customWidth="1"/>
    <col min="775" max="775" width="11.5703125" style="200" customWidth="1"/>
    <col min="776" max="776" width="13.5703125" style="200" customWidth="1"/>
    <col min="777" max="778" width="13.7109375" style="200" customWidth="1"/>
    <col min="779" max="1025" width="9.140625" style="200"/>
    <col min="1026" max="1026" width="23.85546875" style="200" customWidth="1"/>
    <col min="1027" max="1027" width="8.5703125" style="200" customWidth="1"/>
    <col min="1028" max="1028" width="16" style="200" customWidth="1"/>
    <col min="1029" max="1029" width="14.5703125" style="200" customWidth="1"/>
    <col min="1030" max="1030" width="14.140625" style="200" customWidth="1"/>
    <col min="1031" max="1031" width="11.5703125" style="200" customWidth="1"/>
    <col min="1032" max="1032" width="13.5703125" style="200" customWidth="1"/>
    <col min="1033" max="1034" width="13.7109375" style="200" customWidth="1"/>
    <col min="1035" max="1281" width="9.140625" style="200"/>
    <col min="1282" max="1282" width="23.85546875" style="200" customWidth="1"/>
    <col min="1283" max="1283" width="8.5703125" style="200" customWidth="1"/>
    <col min="1284" max="1284" width="16" style="200" customWidth="1"/>
    <col min="1285" max="1285" width="14.5703125" style="200" customWidth="1"/>
    <col min="1286" max="1286" width="14.140625" style="200" customWidth="1"/>
    <col min="1287" max="1287" width="11.5703125" style="200" customWidth="1"/>
    <col min="1288" max="1288" width="13.5703125" style="200" customWidth="1"/>
    <col min="1289" max="1290" width="13.7109375" style="200" customWidth="1"/>
    <col min="1291" max="1537" width="9.140625" style="200"/>
    <col min="1538" max="1538" width="23.85546875" style="200" customWidth="1"/>
    <col min="1539" max="1539" width="8.5703125" style="200" customWidth="1"/>
    <col min="1540" max="1540" width="16" style="200" customWidth="1"/>
    <col min="1541" max="1541" width="14.5703125" style="200" customWidth="1"/>
    <col min="1542" max="1542" width="14.140625" style="200" customWidth="1"/>
    <col min="1543" max="1543" width="11.5703125" style="200" customWidth="1"/>
    <col min="1544" max="1544" width="13.5703125" style="200" customWidth="1"/>
    <col min="1545" max="1546" width="13.7109375" style="200" customWidth="1"/>
    <col min="1547" max="1793" width="9.140625" style="200"/>
    <col min="1794" max="1794" width="23.85546875" style="200" customWidth="1"/>
    <col min="1795" max="1795" width="8.5703125" style="200" customWidth="1"/>
    <col min="1796" max="1796" width="16" style="200" customWidth="1"/>
    <col min="1797" max="1797" width="14.5703125" style="200" customWidth="1"/>
    <col min="1798" max="1798" width="14.140625" style="200" customWidth="1"/>
    <col min="1799" max="1799" width="11.5703125" style="200" customWidth="1"/>
    <col min="1800" max="1800" width="13.5703125" style="200" customWidth="1"/>
    <col min="1801" max="1802" width="13.7109375" style="200" customWidth="1"/>
    <col min="1803" max="2049" width="9.140625" style="200"/>
    <col min="2050" max="2050" width="23.85546875" style="200" customWidth="1"/>
    <col min="2051" max="2051" width="8.5703125" style="200" customWidth="1"/>
    <col min="2052" max="2052" width="16" style="200" customWidth="1"/>
    <col min="2053" max="2053" width="14.5703125" style="200" customWidth="1"/>
    <col min="2054" max="2054" width="14.140625" style="200" customWidth="1"/>
    <col min="2055" max="2055" width="11.5703125" style="200" customWidth="1"/>
    <col min="2056" max="2056" width="13.5703125" style="200" customWidth="1"/>
    <col min="2057" max="2058" width="13.7109375" style="200" customWidth="1"/>
    <col min="2059" max="2305" width="9.140625" style="200"/>
    <col min="2306" max="2306" width="23.85546875" style="200" customWidth="1"/>
    <col min="2307" max="2307" width="8.5703125" style="200" customWidth="1"/>
    <col min="2308" max="2308" width="16" style="200" customWidth="1"/>
    <col min="2309" max="2309" width="14.5703125" style="200" customWidth="1"/>
    <col min="2310" max="2310" width="14.140625" style="200" customWidth="1"/>
    <col min="2311" max="2311" width="11.5703125" style="200" customWidth="1"/>
    <col min="2312" max="2312" width="13.5703125" style="200" customWidth="1"/>
    <col min="2313" max="2314" width="13.7109375" style="200" customWidth="1"/>
    <col min="2315" max="2561" width="9.140625" style="200"/>
    <col min="2562" max="2562" width="23.85546875" style="200" customWidth="1"/>
    <col min="2563" max="2563" width="8.5703125" style="200" customWidth="1"/>
    <col min="2564" max="2564" width="16" style="200" customWidth="1"/>
    <col min="2565" max="2565" width="14.5703125" style="200" customWidth="1"/>
    <col min="2566" max="2566" width="14.140625" style="200" customWidth="1"/>
    <col min="2567" max="2567" width="11.5703125" style="200" customWidth="1"/>
    <col min="2568" max="2568" width="13.5703125" style="200" customWidth="1"/>
    <col min="2569" max="2570" width="13.7109375" style="200" customWidth="1"/>
    <col min="2571" max="2817" width="9.140625" style="200"/>
    <col min="2818" max="2818" width="23.85546875" style="200" customWidth="1"/>
    <col min="2819" max="2819" width="8.5703125" style="200" customWidth="1"/>
    <col min="2820" max="2820" width="16" style="200" customWidth="1"/>
    <col min="2821" max="2821" width="14.5703125" style="200" customWidth="1"/>
    <col min="2822" max="2822" width="14.140625" style="200" customWidth="1"/>
    <col min="2823" max="2823" width="11.5703125" style="200" customWidth="1"/>
    <col min="2824" max="2824" width="13.5703125" style="200" customWidth="1"/>
    <col min="2825" max="2826" width="13.7109375" style="200" customWidth="1"/>
    <col min="2827" max="3073" width="9.140625" style="200"/>
    <col min="3074" max="3074" width="23.85546875" style="200" customWidth="1"/>
    <col min="3075" max="3075" width="8.5703125" style="200" customWidth="1"/>
    <col min="3076" max="3076" width="16" style="200" customWidth="1"/>
    <col min="3077" max="3077" width="14.5703125" style="200" customWidth="1"/>
    <col min="3078" max="3078" width="14.140625" style="200" customWidth="1"/>
    <col min="3079" max="3079" width="11.5703125" style="200" customWidth="1"/>
    <col min="3080" max="3080" width="13.5703125" style="200" customWidth="1"/>
    <col min="3081" max="3082" width="13.7109375" style="200" customWidth="1"/>
    <col min="3083" max="3329" width="9.140625" style="200"/>
    <col min="3330" max="3330" width="23.85546875" style="200" customWidth="1"/>
    <col min="3331" max="3331" width="8.5703125" style="200" customWidth="1"/>
    <col min="3332" max="3332" width="16" style="200" customWidth="1"/>
    <col min="3333" max="3333" width="14.5703125" style="200" customWidth="1"/>
    <col min="3334" max="3334" width="14.140625" style="200" customWidth="1"/>
    <col min="3335" max="3335" width="11.5703125" style="200" customWidth="1"/>
    <col min="3336" max="3336" width="13.5703125" style="200" customWidth="1"/>
    <col min="3337" max="3338" width="13.7109375" style="200" customWidth="1"/>
    <col min="3339" max="3585" width="9.140625" style="200"/>
    <col min="3586" max="3586" width="23.85546875" style="200" customWidth="1"/>
    <col min="3587" max="3587" width="8.5703125" style="200" customWidth="1"/>
    <col min="3588" max="3588" width="16" style="200" customWidth="1"/>
    <col min="3589" max="3589" width="14.5703125" style="200" customWidth="1"/>
    <col min="3590" max="3590" width="14.140625" style="200" customWidth="1"/>
    <col min="3591" max="3591" width="11.5703125" style="200" customWidth="1"/>
    <col min="3592" max="3592" width="13.5703125" style="200" customWidth="1"/>
    <col min="3593" max="3594" width="13.7109375" style="200" customWidth="1"/>
    <col min="3595" max="3841" width="9.140625" style="200"/>
    <col min="3842" max="3842" width="23.85546875" style="200" customWidth="1"/>
    <col min="3843" max="3843" width="8.5703125" style="200" customWidth="1"/>
    <col min="3844" max="3844" width="16" style="200" customWidth="1"/>
    <col min="3845" max="3845" width="14.5703125" style="200" customWidth="1"/>
    <col min="3846" max="3846" width="14.140625" style="200" customWidth="1"/>
    <col min="3847" max="3847" width="11.5703125" style="200" customWidth="1"/>
    <col min="3848" max="3848" width="13.5703125" style="200" customWidth="1"/>
    <col min="3849" max="3850" width="13.7109375" style="200" customWidth="1"/>
    <col min="3851" max="4097" width="9.140625" style="200"/>
    <col min="4098" max="4098" width="23.85546875" style="200" customWidth="1"/>
    <col min="4099" max="4099" width="8.5703125" style="200" customWidth="1"/>
    <col min="4100" max="4100" width="16" style="200" customWidth="1"/>
    <col min="4101" max="4101" width="14.5703125" style="200" customWidth="1"/>
    <col min="4102" max="4102" width="14.140625" style="200" customWidth="1"/>
    <col min="4103" max="4103" width="11.5703125" style="200" customWidth="1"/>
    <col min="4104" max="4104" width="13.5703125" style="200" customWidth="1"/>
    <col min="4105" max="4106" width="13.7109375" style="200" customWidth="1"/>
    <col min="4107" max="4353" width="9.140625" style="200"/>
    <col min="4354" max="4354" width="23.85546875" style="200" customWidth="1"/>
    <col min="4355" max="4355" width="8.5703125" style="200" customWidth="1"/>
    <col min="4356" max="4356" width="16" style="200" customWidth="1"/>
    <col min="4357" max="4357" width="14.5703125" style="200" customWidth="1"/>
    <col min="4358" max="4358" width="14.140625" style="200" customWidth="1"/>
    <col min="4359" max="4359" width="11.5703125" style="200" customWidth="1"/>
    <col min="4360" max="4360" width="13.5703125" style="200" customWidth="1"/>
    <col min="4361" max="4362" width="13.7109375" style="200" customWidth="1"/>
    <col min="4363" max="4609" width="9.140625" style="200"/>
    <col min="4610" max="4610" width="23.85546875" style="200" customWidth="1"/>
    <col min="4611" max="4611" width="8.5703125" style="200" customWidth="1"/>
    <col min="4612" max="4612" width="16" style="200" customWidth="1"/>
    <col min="4613" max="4613" width="14.5703125" style="200" customWidth="1"/>
    <col min="4614" max="4614" width="14.140625" style="200" customWidth="1"/>
    <col min="4615" max="4615" width="11.5703125" style="200" customWidth="1"/>
    <col min="4616" max="4616" width="13.5703125" style="200" customWidth="1"/>
    <col min="4617" max="4618" width="13.7109375" style="200" customWidth="1"/>
    <col min="4619" max="4865" width="9.140625" style="200"/>
    <col min="4866" max="4866" width="23.85546875" style="200" customWidth="1"/>
    <col min="4867" max="4867" width="8.5703125" style="200" customWidth="1"/>
    <col min="4868" max="4868" width="16" style="200" customWidth="1"/>
    <col min="4869" max="4869" width="14.5703125" style="200" customWidth="1"/>
    <col min="4870" max="4870" width="14.140625" style="200" customWidth="1"/>
    <col min="4871" max="4871" width="11.5703125" style="200" customWidth="1"/>
    <col min="4872" max="4872" width="13.5703125" style="200" customWidth="1"/>
    <col min="4873" max="4874" width="13.7109375" style="200" customWidth="1"/>
    <col min="4875" max="5121" width="9.140625" style="200"/>
    <col min="5122" max="5122" width="23.85546875" style="200" customWidth="1"/>
    <col min="5123" max="5123" width="8.5703125" style="200" customWidth="1"/>
    <col min="5124" max="5124" width="16" style="200" customWidth="1"/>
    <col min="5125" max="5125" width="14.5703125" style="200" customWidth="1"/>
    <col min="5126" max="5126" width="14.140625" style="200" customWidth="1"/>
    <col min="5127" max="5127" width="11.5703125" style="200" customWidth="1"/>
    <col min="5128" max="5128" width="13.5703125" style="200" customWidth="1"/>
    <col min="5129" max="5130" width="13.7109375" style="200" customWidth="1"/>
    <col min="5131" max="5377" width="9.140625" style="200"/>
    <col min="5378" max="5378" width="23.85546875" style="200" customWidth="1"/>
    <col min="5379" max="5379" width="8.5703125" style="200" customWidth="1"/>
    <col min="5380" max="5380" width="16" style="200" customWidth="1"/>
    <col min="5381" max="5381" width="14.5703125" style="200" customWidth="1"/>
    <col min="5382" max="5382" width="14.140625" style="200" customWidth="1"/>
    <col min="5383" max="5383" width="11.5703125" style="200" customWidth="1"/>
    <col min="5384" max="5384" width="13.5703125" style="200" customWidth="1"/>
    <col min="5385" max="5386" width="13.7109375" style="200" customWidth="1"/>
    <col min="5387" max="5633" width="9.140625" style="200"/>
    <col min="5634" max="5634" width="23.85546875" style="200" customWidth="1"/>
    <col min="5635" max="5635" width="8.5703125" style="200" customWidth="1"/>
    <col min="5636" max="5636" width="16" style="200" customWidth="1"/>
    <col min="5637" max="5637" width="14.5703125" style="200" customWidth="1"/>
    <col min="5638" max="5638" width="14.140625" style="200" customWidth="1"/>
    <col min="5639" max="5639" width="11.5703125" style="200" customWidth="1"/>
    <col min="5640" max="5640" width="13.5703125" style="200" customWidth="1"/>
    <col min="5641" max="5642" width="13.7109375" style="200" customWidth="1"/>
    <col min="5643" max="5889" width="9.140625" style="200"/>
    <col min="5890" max="5890" width="23.85546875" style="200" customWidth="1"/>
    <col min="5891" max="5891" width="8.5703125" style="200" customWidth="1"/>
    <col min="5892" max="5892" width="16" style="200" customWidth="1"/>
    <col min="5893" max="5893" width="14.5703125" style="200" customWidth="1"/>
    <col min="5894" max="5894" width="14.140625" style="200" customWidth="1"/>
    <col min="5895" max="5895" width="11.5703125" style="200" customWidth="1"/>
    <col min="5896" max="5896" width="13.5703125" style="200" customWidth="1"/>
    <col min="5897" max="5898" width="13.7109375" style="200" customWidth="1"/>
    <col min="5899" max="6145" width="9.140625" style="200"/>
    <col min="6146" max="6146" width="23.85546875" style="200" customWidth="1"/>
    <col min="6147" max="6147" width="8.5703125" style="200" customWidth="1"/>
    <col min="6148" max="6148" width="16" style="200" customWidth="1"/>
    <col min="6149" max="6149" width="14.5703125" style="200" customWidth="1"/>
    <col min="6150" max="6150" width="14.140625" style="200" customWidth="1"/>
    <col min="6151" max="6151" width="11.5703125" style="200" customWidth="1"/>
    <col min="6152" max="6152" width="13.5703125" style="200" customWidth="1"/>
    <col min="6153" max="6154" width="13.7109375" style="200" customWidth="1"/>
    <col min="6155" max="6401" width="9.140625" style="200"/>
    <col min="6402" max="6402" width="23.85546875" style="200" customWidth="1"/>
    <col min="6403" max="6403" width="8.5703125" style="200" customWidth="1"/>
    <col min="6404" max="6404" width="16" style="200" customWidth="1"/>
    <col min="6405" max="6405" width="14.5703125" style="200" customWidth="1"/>
    <col min="6406" max="6406" width="14.140625" style="200" customWidth="1"/>
    <col min="6407" max="6407" width="11.5703125" style="200" customWidth="1"/>
    <col min="6408" max="6408" width="13.5703125" style="200" customWidth="1"/>
    <col min="6409" max="6410" width="13.7109375" style="200" customWidth="1"/>
    <col min="6411" max="6657" width="9.140625" style="200"/>
    <col min="6658" max="6658" width="23.85546875" style="200" customWidth="1"/>
    <col min="6659" max="6659" width="8.5703125" style="200" customWidth="1"/>
    <col min="6660" max="6660" width="16" style="200" customWidth="1"/>
    <col min="6661" max="6661" width="14.5703125" style="200" customWidth="1"/>
    <col min="6662" max="6662" width="14.140625" style="200" customWidth="1"/>
    <col min="6663" max="6663" width="11.5703125" style="200" customWidth="1"/>
    <col min="6664" max="6664" width="13.5703125" style="200" customWidth="1"/>
    <col min="6665" max="6666" width="13.7109375" style="200" customWidth="1"/>
    <col min="6667" max="6913" width="9.140625" style="200"/>
    <col min="6914" max="6914" width="23.85546875" style="200" customWidth="1"/>
    <col min="6915" max="6915" width="8.5703125" style="200" customWidth="1"/>
    <col min="6916" max="6916" width="16" style="200" customWidth="1"/>
    <col min="6917" max="6917" width="14.5703125" style="200" customWidth="1"/>
    <col min="6918" max="6918" width="14.140625" style="200" customWidth="1"/>
    <col min="6919" max="6919" width="11.5703125" style="200" customWidth="1"/>
    <col min="6920" max="6920" width="13.5703125" style="200" customWidth="1"/>
    <col min="6921" max="6922" width="13.7109375" style="200" customWidth="1"/>
    <col min="6923" max="7169" width="9.140625" style="200"/>
    <col min="7170" max="7170" width="23.85546875" style="200" customWidth="1"/>
    <col min="7171" max="7171" width="8.5703125" style="200" customWidth="1"/>
    <col min="7172" max="7172" width="16" style="200" customWidth="1"/>
    <col min="7173" max="7173" width="14.5703125" style="200" customWidth="1"/>
    <col min="7174" max="7174" width="14.140625" style="200" customWidth="1"/>
    <col min="7175" max="7175" width="11.5703125" style="200" customWidth="1"/>
    <col min="7176" max="7176" width="13.5703125" style="200" customWidth="1"/>
    <col min="7177" max="7178" width="13.7109375" style="200" customWidth="1"/>
    <col min="7179" max="7425" width="9.140625" style="200"/>
    <col min="7426" max="7426" width="23.85546875" style="200" customWidth="1"/>
    <col min="7427" max="7427" width="8.5703125" style="200" customWidth="1"/>
    <col min="7428" max="7428" width="16" style="200" customWidth="1"/>
    <col min="7429" max="7429" width="14.5703125" style="200" customWidth="1"/>
    <col min="7430" max="7430" width="14.140625" style="200" customWidth="1"/>
    <col min="7431" max="7431" width="11.5703125" style="200" customWidth="1"/>
    <col min="7432" max="7432" width="13.5703125" style="200" customWidth="1"/>
    <col min="7433" max="7434" width="13.7109375" style="200" customWidth="1"/>
    <col min="7435" max="7681" width="9.140625" style="200"/>
    <col min="7682" max="7682" width="23.85546875" style="200" customWidth="1"/>
    <col min="7683" max="7683" width="8.5703125" style="200" customWidth="1"/>
    <col min="7684" max="7684" width="16" style="200" customWidth="1"/>
    <col min="7685" max="7685" width="14.5703125" style="200" customWidth="1"/>
    <col min="7686" max="7686" width="14.140625" style="200" customWidth="1"/>
    <col min="7687" max="7687" width="11.5703125" style="200" customWidth="1"/>
    <col min="7688" max="7688" width="13.5703125" style="200" customWidth="1"/>
    <col min="7689" max="7690" width="13.7109375" style="200" customWidth="1"/>
    <col min="7691" max="7937" width="9.140625" style="200"/>
    <col min="7938" max="7938" width="23.85546875" style="200" customWidth="1"/>
    <col min="7939" max="7939" width="8.5703125" style="200" customWidth="1"/>
    <col min="7940" max="7940" width="16" style="200" customWidth="1"/>
    <col min="7941" max="7941" width="14.5703125" style="200" customWidth="1"/>
    <col min="7942" max="7942" width="14.140625" style="200" customWidth="1"/>
    <col min="7943" max="7943" width="11.5703125" style="200" customWidth="1"/>
    <col min="7944" max="7944" width="13.5703125" style="200" customWidth="1"/>
    <col min="7945" max="7946" width="13.7109375" style="200" customWidth="1"/>
    <col min="7947" max="8193" width="9.140625" style="200"/>
    <col min="8194" max="8194" width="23.85546875" style="200" customWidth="1"/>
    <col min="8195" max="8195" width="8.5703125" style="200" customWidth="1"/>
    <col min="8196" max="8196" width="16" style="200" customWidth="1"/>
    <col min="8197" max="8197" width="14.5703125" style="200" customWidth="1"/>
    <col min="8198" max="8198" width="14.140625" style="200" customWidth="1"/>
    <col min="8199" max="8199" width="11.5703125" style="200" customWidth="1"/>
    <col min="8200" max="8200" width="13.5703125" style="200" customWidth="1"/>
    <col min="8201" max="8202" width="13.7109375" style="200" customWidth="1"/>
    <col min="8203" max="8449" width="9.140625" style="200"/>
    <col min="8450" max="8450" width="23.85546875" style="200" customWidth="1"/>
    <col min="8451" max="8451" width="8.5703125" style="200" customWidth="1"/>
    <col min="8452" max="8452" width="16" style="200" customWidth="1"/>
    <col min="8453" max="8453" width="14.5703125" style="200" customWidth="1"/>
    <col min="8454" max="8454" width="14.140625" style="200" customWidth="1"/>
    <col min="8455" max="8455" width="11.5703125" style="200" customWidth="1"/>
    <col min="8456" max="8456" width="13.5703125" style="200" customWidth="1"/>
    <col min="8457" max="8458" width="13.7109375" style="200" customWidth="1"/>
    <col min="8459" max="8705" width="9.140625" style="200"/>
    <col min="8706" max="8706" width="23.85546875" style="200" customWidth="1"/>
    <col min="8707" max="8707" width="8.5703125" style="200" customWidth="1"/>
    <col min="8708" max="8708" width="16" style="200" customWidth="1"/>
    <col min="8709" max="8709" width="14.5703125" style="200" customWidth="1"/>
    <col min="8710" max="8710" width="14.140625" style="200" customWidth="1"/>
    <col min="8711" max="8711" width="11.5703125" style="200" customWidth="1"/>
    <col min="8712" max="8712" width="13.5703125" style="200" customWidth="1"/>
    <col min="8713" max="8714" width="13.7109375" style="200" customWidth="1"/>
    <col min="8715" max="8961" width="9.140625" style="200"/>
    <col min="8962" max="8962" width="23.85546875" style="200" customWidth="1"/>
    <col min="8963" max="8963" width="8.5703125" style="200" customWidth="1"/>
    <col min="8964" max="8964" width="16" style="200" customWidth="1"/>
    <col min="8965" max="8965" width="14.5703125" style="200" customWidth="1"/>
    <col min="8966" max="8966" width="14.140625" style="200" customWidth="1"/>
    <col min="8967" max="8967" width="11.5703125" style="200" customWidth="1"/>
    <col min="8968" max="8968" width="13.5703125" style="200" customWidth="1"/>
    <col min="8969" max="8970" width="13.7109375" style="200" customWidth="1"/>
    <col min="8971" max="9217" width="9.140625" style="200"/>
    <col min="9218" max="9218" width="23.85546875" style="200" customWidth="1"/>
    <col min="9219" max="9219" width="8.5703125" style="200" customWidth="1"/>
    <col min="9220" max="9220" width="16" style="200" customWidth="1"/>
    <col min="9221" max="9221" width="14.5703125" style="200" customWidth="1"/>
    <col min="9222" max="9222" width="14.140625" style="200" customWidth="1"/>
    <col min="9223" max="9223" width="11.5703125" style="200" customWidth="1"/>
    <col min="9224" max="9224" width="13.5703125" style="200" customWidth="1"/>
    <col min="9225" max="9226" width="13.7109375" style="200" customWidth="1"/>
    <col min="9227" max="9473" width="9.140625" style="200"/>
    <col min="9474" max="9474" width="23.85546875" style="200" customWidth="1"/>
    <col min="9475" max="9475" width="8.5703125" style="200" customWidth="1"/>
    <col min="9476" max="9476" width="16" style="200" customWidth="1"/>
    <col min="9477" max="9477" width="14.5703125" style="200" customWidth="1"/>
    <col min="9478" max="9478" width="14.140625" style="200" customWidth="1"/>
    <col min="9479" max="9479" width="11.5703125" style="200" customWidth="1"/>
    <col min="9480" max="9480" width="13.5703125" style="200" customWidth="1"/>
    <col min="9481" max="9482" width="13.7109375" style="200" customWidth="1"/>
    <col min="9483" max="9729" width="9.140625" style="200"/>
    <col min="9730" max="9730" width="23.85546875" style="200" customWidth="1"/>
    <col min="9731" max="9731" width="8.5703125" style="200" customWidth="1"/>
    <col min="9732" max="9732" width="16" style="200" customWidth="1"/>
    <col min="9733" max="9733" width="14.5703125" style="200" customWidth="1"/>
    <col min="9734" max="9734" width="14.140625" style="200" customWidth="1"/>
    <col min="9735" max="9735" width="11.5703125" style="200" customWidth="1"/>
    <col min="9736" max="9736" width="13.5703125" style="200" customWidth="1"/>
    <col min="9737" max="9738" width="13.7109375" style="200" customWidth="1"/>
    <col min="9739" max="9985" width="9.140625" style="200"/>
    <col min="9986" max="9986" width="23.85546875" style="200" customWidth="1"/>
    <col min="9987" max="9987" width="8.5703125" style="200" customWidth="1"/>
    <col min="9988" max="9988" width="16" style="200" customWidth="1"/>
    <col min="9989" max="9989" width="14.5703125" style="200" customWidth="1"/>
    <col min="9990" max="9990" width="14.140625" style="200" customWidth="1"/>
    <col min="9991" max="9991" width="11.5703125" style="200" customWidth="1"/>
    <col min="9992" max="9992" width="13.5703125" style="200" customWidth="1"/>
    <col min="9993" max="9994" width="13.7109375" style="200" customWidth="1"/>
    <col min="9995" max="10241" width="9.140625" style="200"/>
    <col min="10242" max="10242" width="23.85546875" style="200" customWidth="1"/>
    <col min="10243" max="10243" width="8.5703125" style="200" customWidth="1"/>
    <col min="10244" max="10244" width="16" style="200" customWidth="1"/>
    <col min="10245" max="10245" width="14.5703125" style="200" customWidth="1"/>
    <col min="10246" max="10246" width="14.140625" style="200" customWidth="1"/>
    <col min="10247" max="10247" width="11.5703125" style="200" customWidth="1"/>
    <col min="10248" max="10248" width="13.5703125" style="200" customWidth="1"/>
    <col min="10249" max="10250" width="13.7109375" style="200" customWidth="1"/>
    <col min="10251" max="10497" width="9.140625" style="200"/>
    <col min="10498" max="10498" width="23.85546875" style="200" customWidth="1"/>
    <col min="10499" max="10499" width="8.5703125" style="200" customWidth="1"/>
    <col min="10500" max="10500" width="16" style="200" customWidth="1"/>
    <col min="10501" max="10501" width="14.5703125" style="200" customWidth="1"/>
    <col min="10502" max="10502" width="14.140625" style="200" customWidth="1"/>
    <col min="10503" max="10503" width="11.5703125" style="200" customWidth="1"/>
    <col min="10504" max="10504" width="13.5703125" style="200" customWidth="1"/>
    <col min="10505" max="10506" width="13.7109375" style="200" customWidth="1"/>
    <col min="10507" max="10753" width="9.140625" style="200"/>
    <col min="10754" max="10754" width="23.85546875" style="200" customWidth="1"/>
    <col min="10755" max="10755" width="8.5703125" style="200" customWidth="1"/>
    <col min="10756" max="10756" width="16" style="200" customWidth="1"/>
    <col min="10757" max="10757" width="14.5703125" style="200" customWidth="1"/>
    <col min="10758" max="10758" width="14.140625" style="200" customWidth="1"/>
    <col min="10759" max="10759" width="11.5703125" style="200" customWidth="1"/>
    <col min="10760" max="10760" width="13.5703125" style="200" customWidth="1"/>
    <col min="10761" max="10762" width="13.7109375" style="200" customWidth="1"/>
    <col min="10763" max="11009" width="9.140625" style="200"/>
    <col min="11010" max="11010" width="23.85546875" style="200" customWidth="1"/>
    <col min="11011" max="11011" width="8.5703125" style="200" customWidth="1"/>
    <col min="11012" max="11012" width="16" style="200" customWidth="1"/>
    <col min="11013" max="11013" width="14.5703125" style="200" customWidth="1"/>
    <col min="11014" max="11014" width="14.140625" style="200" customWidth="1"/>
    <col min="11015" max="11015" width="11.5703125" style="200" customWidth="1"/>
    <col min="11016" max="11016" width="13.5703125" style="200" customWidth="1"/>
    <col min="11017" max="11018" width="13.7109375" style="200" customWidth="1"/>
    <col min="11019" max="11265" width="9.140625" style="200"/>
    <col min="11266" max="11266" width="23.85546875" style="200" customWidth="1"/>
    <col min="11267" max="11267" width="8.5703125" style="200" customWidth="1"/>
    <col min="11268" max="11268" width="16" style="200" customWidth="1"/>
    <col min="11269" max="11269" width="14.5703125" style="200" customWidth="1"/>
    <col min="11270" max="11270" width="14.140625" style="200" customWidth="1"/>
    <col min="11271" max="11271" width="11.5703125" style="200" customWidth="1"/>
    <col min="11272" max="11272" width="13.5703125" style="200" customWidth="1"/>
    <col min="11273" max="11274" width="13.7109375" style="200" customWidth="1"/>
    <col min="11275" max="11521" width="9.140625" style="200"/>
    <col min="11522" max="11522" width="23.85546875" style="200" customWidth="1"/>
    <col min="11523" max="11523" width="8.5703125" style="200" customWidth="1"/>
    <col min="11524" max="11524" width="16" style="200" customWidth="1"/>
    <col min="11525" max="11525" width="14.5703125" style="200" customWidth="1"/>
    <col min="11526" max="11526" width="14.140625" style="200" customWidth="1"/>
    <col min="11527" max="11527" width="11.5703125" style="200" customWidth="1"/>
    <col min="11528" max="11528" width="13.5703125" style="200" customWidth="1"/>
    <col min="11529" max="11530" width="13.7109375" style="200" customWidth="1"/>
    <col min="11531" max="11777" width="9.140625" style="200"/>
    <col min="11778" max="11778" width="23.85546875" style="200" customWidth="1"/>
    <col min="11779" max="11779" width="8.5703125" style="200" customWidth="1"/>
    <col min="11780" max="11780" width="16" style="200" customWidth="1"/>
    <col min="11781" max="11781" width="14.5703125" style="200" customWidth="1"/>
    <col min="11782" max="11782" width="14.140625" style="200" customWidth="1"/>
    <col min="11783" max="11783" width="11.5703125" style="200" customWidth="1"/>
    <col min="11784" max="11784" width="13.5703125" style="200" customWidth="1"/>
    <col min="11785" max="11786" width="13.7109375" style="200" customWidth="1"/>
    <col min="11787" max="12033" width="9.140625" style="200"/>
    <col min="12034" max="12034" width="23.85546875" style="200" customWidth="1"/>
    <col min="12035" max="12035" width="8.5703125" style="200" customWidth="1"/>
    <col min="12036" max="12036" width="16" style="200" customWidth="1"/>
    <col min="12037" max="12037" width="14.5703125" style="200" customWidth="1"/>
    <col min="12038" max="12038" width="14.140625" style="200" customWidth="1"/>
    <col min="12039" max="12039" width="11.5703125" style="200" customWidth="1"/>
    <col min="12040" max="12040" width="13.5703125" style="200" customWidth="1"/>
    <col min="12041" max="12042" width="13.7109375" style="200" customWidth="1"/>
    <col min="12043" max="12289" width="9.140625" style="200"/>
    <col min="12290" max="12290" width="23.85546875" style="200" customWidth="1"/>
    <col min="12291" max="12291" width="8.5703125" style="200" customWidth="1"/>
    <col min="12292" max="12292" width="16" style="200" customWidth="1"/>
    <col min="12293" max="12293" width="14.5703125" style="200" customWidth="1"/>
    <col min="12294" max="12294" width="14.140625" style="200" customWidth="1"/>
    <col min="12295" max="12295" width="11.5703125" style="200" customWidth="1"/>
    <col min="12296" max="12296" width="13.5703125" style="200" customWidth="1"/>
    <col min="12297" max="12298" width="13.7109375" style="200" customWidth="1"/>
    <col min="12299" max="12545" width="9.140625" style="200"/>
    <col min="12546" max="12546" width="23.85546875" style="200" customWidth="1"/>
    <col min="12547" max="12547" width="8.5703125" style="200" customWidth="1"/>
    <col min="12548" max="12548" width="16" style="200" customWidth="1"/>
    <col min="12549" max="12549" width="14.5703125" style="200" customWidth="1"/>
    <col min="12550" max="12550" width="14.140625" style="200" customWidth="1"/>
    <col min="12551" max="12551" width="11.5703125" style="200" customWidth="1"/>
    <col min="12552" max="12552" width="13.5703125" style="200" customWidth="1"/>
    <col min="12553" max="12554" width="13.7109375" style="200" customWidth="1"/>
    <col min="12555" max="12801" width="9.140625" style="200"/>
    <col min="12802" max="12802" width="23.85546875" style="200" customWidth="1"/>
    <col min="12803" max="12803" width="8.5703125" style="200" customWidth="1"/>
    <col min="12804" max="12804" width="16" style="200" customWidth="1"/>
    <col min="12805" max="12805" width="14.5703125" style="200" customWidth="1"/>
    <col min="12806" max="12806" width="14.140625" style="200" customWidth="1"/>
    <col min="12807" max="12807" width="11.5703125" style="200" customWidth="1"/>
    <col min="12808" max="12808" width="13.5703125" style="200" customWidth="1"/>
    <col min="12809" max="12810" width="13.7109375" style="200" customWidth="1"/>
    <col min="12811" max="13057" width="9.140625" style="200"/>
    <col min="13058" max="13058" width="23.85546875" style="200" customWidth="1"/>
    <col min="13059" max="13059" width="8.5703125" style="200" customWidth="1"/>
    <col min="13060" max="13060" width="16" style="200" customWidth="1"/>
    <col min="13061" max="13061" width="14.5703125" style="200" customWidth="1"/>
    <col min="13062" max="13062" width="14.140625" style="200" customWidth="1"/>
    <col min="13063" max="13063" width="11.5703125" style="200" customWidth="1"/>
    <col min="13064" max="13064" width="13.5703125" style="200" customWidth="1"/>
    <col min="13065" max="13066" width="13.7109375" style="200" customWidth="1"/>
    <col min="13067" max="13313" width="9.140625" style="200"/>
    <col min="13314" max="13314" width="23.85546875" style="200" customWidth="1"/>
    <col min="13315" max="13315" width="8.5703125" style="200" customWidth="1"/>
    <col min="13316" max="13316" width="16" style="200" customWidth="1"/>
    <col min="13317" max="13317" width="14.5703125" style="200" customWidth="1"/>
    <col min="13318" max="13318" width="14.140625" style="200" customWidth="1"/>
    <col min="13319" max="13319" width="11.5703125" style="200" customWidth="1"/>
    <col min="13320" max="13320" width="13.5703125" style="200" customWidth="1"/>
    <col min="13321" max="13322" width="13.7109375" style="200" customWidth="1"/>
    <col min="13323" max="13569" width="9.140625" style="200"/>
    <col min="13570" max="13570" width="23.85546875" style="200" customWidth="1"/>
    <col min="13571" max="13571" width="8.5703125" style="200" customWidth="1"/>
    <col min="13572" max="13572" width="16" style="200" customWidth="1"/>
    <col min="13573" max="13573" width="14.5703125" style="200" customWidth="1"/>
    <col min="13574" max="13574" width="14.140625" style="200" customWidth="1"/>
    <col min="13575" max="13575" width="11.5703125" style="200" customWidth="1"/>
    <col min="13576" max="13576" width="13.5703125" style="200" customWidth="1"/>
    <col min="13577" max="13578" width="13.7109375" style="200" customWidth="1"/>
    <col min="13579" max="13825" width="9.140625" style="200"/>
    <col min="13826" max="13826" width="23.85546875" style="200" customWidth="1"/>
    <col min="13827" max="13827" width="8.5703125" style="200" customWidth="1"/>
    <col min="13828" max="13828" width="16" style="200" customWidth="1"/>
    <col min="13829" max="13829" width="14.5703125" style="200" customWidth="1"/>
    <col min="13830" max="13830" width="14.140625" style="200" customWidth="1"/>
    <col min="13831" max="13831" width="11.5703125" style="200" customWidth="1"/>
    <col min="13832" max="13832" width="13.5703125" style="200" customWidth="1"/>
    <col min="13833" max="13834" width="13.7109375" style="200" customWidth="1"/>
    <col min="13835" max="14081" width="9.140625" style="200"/>
    <col min="14082" max="14082" width="23.85546875" style="200" customWidth="1"/>
    <col min="14083" max="14083" width="8.5703125" style="200" customWidth="1"/>
    <col min="14084" max="14084" width="16" style="200" customWidth="1"/>
    <col min="14085" max="14085" width="14.5703125" style="200" customWidth="1"/>
    <col min="14086" max="14086" width="14.140625" style="200" customWidth="1"/>
    <col min="14087" max="14087" width="11.5703125" style="200" customWidth="1"/>
    <col min="14088" max="14088" width="13.5703125" style="200" customWidth="1"/>
    <col min="14089" max="14090" width="13.7109375" style="200" customWidth="1"/>
    <col min="14091" max="14337" width="9.140625" style="200"/>
    <col min="14338" max="14338" width="23.85546875" style="200" customWidth="1"/>
    <col min="14339" max="14339" width="8.5703125" style="200" customWidth="1"/>
    <col min="14340" max="14340" width="16" style="200" customWidth="1"/>
    <col min="14341" max="14341" width="14.5703125" style="200" customWidth="1"/>
    <col min="14342" max="14342" width="14.140625" style="200" customWidth="1"/>
    <col min="14343" max="14343" width="11.5703125" style="200" customWidth="1"/>
    <col min="14344" max="14344" width="13.5703125" style="200" customWidth="1"/>
    <col min="14345" max="14346" width="13.7109375" style="200" customWidth="1"/>
    <col min="14347" max="14593" width="9.140625" style="200"/>
    <col min="14594" max="14594" width="23.85546875" style="200" customWidth="1"/>
    <col min="14595" max="14595" width="8.5703125" style="200" customWidth="1"/>
    <col min="14596" max="14596" width="16" style="200" customWidth="1"/>
    <col min="14597" max="14597" width="14.5703125" style="200" customWidth="1"/>
    <col min="14598" max="14598" width="14.140625" style="200" customWidth="1"/>
    <col min="14599" max="14599" width="11.5703125" style="200" customWidth="1"/>
    <col min="14600" max="14600" width="13.5703125" style="200" customWidth="1"/>
    <col min="14601" max="14602" width="13.7109375" style="200" customWidth="1"/>
    <col min="14603" max="14849" width="9.140625" style="200"/>
    <col min="14850" max="14850" width="23.85546875" style="200" customWidth="1"/>
    <col min="14851" max="14851" width="8.5703125" style="200" customWidth="1"/>
    <col min="14852" max="14852" width="16" style="200" customWidth="1"/>
    <col min="14853" max="14853" width="14.5703125" style="200" customWidth="1"/>
    <col min="14854" max="14854" width="14.140625" style="200" customWidth="1"/>
    <col min="14855" max="14855" width="11.5703125" style="200" customWidth="1"/>
    <col min="14856" max="14856" width="13.5703125" style="200" customWidth="1"/>
    <col min="14857" max="14858" width="13.7109375" style="200" customWidth="1"/>
    <col min="14859" max="15105" width="9.140625" style="200"/>
    <col min="15106" max="15106" width="23.85546875" style="200" customWidth="1"/>
    <col min="15107" max="15107" width="8.5703125" style="200" customWidth="1"/>
    <col min="15108" max="15108" width="16" style="200" customWidth="1"/>
    <col min="15109" max="15109" width="14.5703125" style="200" customWidth="1"/>
    <col min="15110" max="15110" width="14.140625" style="200" customWidth="1"/>
    <col min="15111" max="15111" width="11.5703125" style="200" customWidth="1"/>
    <col min="15112" max="15112" width="13.5703125" style="200" customWidth="1"/>
    <col min="15113" max="15114" width="13.7109375" style="200" customWidth="1"/>
    <col min="15115" max="15361" width="9.140625" style="200"/>
    <col min="15362" max="15362" width="23.85546875" style="200" customWidth="1"/>
    <col min="15363" max="15363" width="8.5703125" style="200" customWidth="1"/>
    <col min="15364" max="15364" width="16" style="200" customWidth="1"/>
    <col min="15365" max="15365" width="14.5703125" style="200" customWidth="1"/>
    <col min="15366" max="15366" width="14.140625" style="200" customWidth="1"/>
    <col min="15367" max="15367" width="11.5703125" style="200" customWidth="1"/>
    <col min="15368" max="15368" width="13.5703125" style="200" customWidth="1"/>
    <col min="15369" max="15370" width="13.7109375" style="200" customWidth="1"/>
    <col min="15371" max="15617" width="9.140625" style="200"/>
    <col min="15618" max="15618" width="23.85546875" style="200" customWidth="1"/>
    <col min="15619" max="15619" width="8.5703125" style="200" customWidth="1"/>
    <col min="15620" max="15620" width="16" style="200" customWidth="1"/>
    <col min="15621" max="15621" width="14.5703125" style="200" customWidth="1"/>
    <col min="15622" max="15622" width="14.140625" style="200" customWidth="1"/>
    <col min="15623" max="15623" width="11.5703125" style="200" customWidth="1"/>
    <col min="15624" max="15624" width="13.5703125" style="200" customWidth="1"/>
    <col min="15625" max="15626" width="13.7109375" style="200" customWidth="1"/>
    <col min="15627" max="15873" width="9.140625" style="200"/>
    <col min="15874" max="15874" width="23.85546875" style="200" customWidth="1"/>
    <col min="15875" max="15875" width="8.5703125" style="200" customWidth="1"/>
    <col min="15876" max="15876" width="16" style="200" customWidth="1"/>
    <col min="15877" max="15877" width="14.5703125" style="200" customWidth="1"/>
    <col min="15878" max="15878" width="14.140625" style="200" customWidth="1"/>
    <col min="15879" max="15879" width="11.5703125" style="200" customWidth="1"/>
    <col min="15880" max="15880" width="13.5703125" style="200" customWidth="1"/>
    <col min="15881" max="15882" width="13.7109375" style="200" customWidth="1"/>
    <col min="15883" max="16129" width="9.140625" style="200"/>
    <col min="16130" max="16130" width="23.85546875" style="200" customWidth="1"/>
    <col min="16131" max="16131" width="8.5703125" style="200" customWidth="1"/>
    <col min="16132" max="16132" width="16" style="200" customWidth="1"/>
    <col min="16133" max="16133" width="14.5703125" style="200" customWidth="1"/>
    <col min="16134" max="16134" width="14.140625" style="200" customWidth="1"/>
    <col min="16135" max="16135" width="11.5703125" style="200" customWidth="1"/>
    <col min="16136" max="16136" width="13.5703125" style="200" customWidth="1"/>
    <col min="16137" max="16138" width="13.7109375" style="200" customWidth="1"/>
    <col min="16139" max="16384" width="9.140625" style="200"/>
  </cols>
  <sheetData>
    <row r="1" spans="1:12">
      <c r="A1" s="268" t="s">
        <v>2138</v>
      </c>
      <c r="B1" s="268"/>
      <c r="C1" s="268"/>
      <c r="D1" s="268"/>
      <c r="E1" s="268"/>
      <c r="F1" s="268"/>
      <c r="G1" s="268"/>
      <c r="H1" s="268"/>
      <c r="I1" s="228"/>
      <c r="J1" s="228"/>
    </row>
    <row r="2" spans="1:12" ht="12.75" customHeight="1">
      <c r="A2" s="268" t="s">
        <v>2185</v>
      </c>
      <c r="B2" s="268"/>
      <c r="C2" s="268"/>
      <c r="D2" s="268"/>
      <c r="E2" s="268"/>
      <c r="F2" s="268"/>
      <c r="G2" s="268"/>
      <c r="H2" s="268"/>
      <c r="I2" s="228"/>
      <c r="J2" s="228"/>
    </row>
    <row r="3" spans="1:12" ht="12.75" customHeight="1">
      <c r="A3" s="268" t="s">
        <v>2155</v>
      </c>
      <c r="B3" s="268"/>
      <c r="C3" s="268"/>
      <c r="D3" s="268"/>
      <c r="E3" s="268"/>
      <c r="F3" s="268"/>
      <c r="G3" s="268"/>
      <c r="H3" s="268"/>
      <c r="I3" s="228"/>
      <c r="J3" s="228"/>
    </row>
    <row r="4" spans="1:12" ht="12.75" customHeight="1">
      <c r="A4" s="202"/>
      <c r="B4" s="228"/>
      <c r="C4" s="228"/>
      <c r="D4" s="228"/>
      <c r="E4" s="228"/>
      <c r="F4" s="228"/>
      <c r="G4" s="228"/>
      <c r="H4" s="228"/>
      <c r="I4" s="228"/>
      <c r="J4" s="228"/>
    </row>
    <row r="5" spans="1:12" ht="12.75" customHeight="1">
      <c r="A5" s="202" t="s">
        <v>2186</v>
      </c>
      <c r="B5" s="228"/>
      <c r="C5" s="228">
        <f>+'Rev Req 9.75%'!E23</f>
        <v>3108008.3668483249</v>
      </c>
      <c r="D5" s="228"/>
      <c r="E5" s="228"/>
      <c r="F5" s="228"/>
      <c r="G5" s="228"/>
      <c r="H5" s="228"/>
      <c r="I5" s="228"/>
      <c r="J5" s="228"/>
    </row>
    <row r="6" spans="1:12" ht="12.75" customHeight="1">
      <c r="A6" s="202" t="s">
        <v>2598</v>
      </c>
      <c r="B6" s="228"/>
      <c r="C6" s="269">
        <f>+'[4]Rev Req 9.75%'!$E$22</f>
        <v>3186297.64094075</v>
      </c>
      <c r="D6" s="228"/>
      <c r="E6" s="228"/>
      <c r="F6" s="228"/>
      <c r="G6" s="228"/>
      <c r="H6" s="228"/>
      <c r="I6" s="228"/>
      <c r="J6" s="228"/>
    </row>
    <row r="7" spans="1:12" ht="12.75" customHeight="1">
      <c r="A7" s="202" t="s">
        <v>2212</v>
      </c>
      <c r="C7" s="247">
        <f>+'[5]Rev Req 9.75%'!$E$23</f>
        <v>3570050.0068891952</v>
      </c>
      <c r="D7" s="228"/>
      <c r="E7" s="228"/>
      <c r="F7" s="228"/>
      <c r="G7" s="228"/>
      <c r="H7" s="228"/>
      <c r="I7" s="228"/>
      <c r="J7" s="228"/>
    </row>
    <row r="8" spans="1:12">
      <c r="A8" s="202" t="s">
        <v>2146</v>
      </c>
      <c r="B8" s="228"/>
      <c r="C8" s="269">
        <f>+'[6]Rev Req 9.75%'!E23</f>
        <v>1878151.2819919055</v>
      </c>
      <c r="D8" s="228"/>
      <c r="E8" s="228"/>
      <c r="F8" s="228"/>
      <c r="G8" s="228"/>
      <c r="H8" s="228"/>
      <c r="I8" s="228"/>
      <c r="J8" s="228"/>
    </row>
    <row r="9" spans="1:12">
      <c r="A9" s="202" t="s">
        <v>2187</v>
      </c>
      <c r="B9" s="228"/>
      <c r="C9" s="269">
        <f>+'[7]Rev Req 9.75%'!E23</f>
        <v>2814926.2071011243</v>
      </c>
      <c r="D9" s="228"/>
      <c r="E9" s="228"/>
      <c r="F9" s="228"/>
      <c r="G9" s="228"/>
      <c r="H9" s="228"/>
      <c r="I9" s="228"/>
      <c r="J9" s="228"/>
    </row>
    <row r="10" spans="1:12" ht="25.5">
      <c r="A10" s="270" t="s">
        <v>2188</v>
      </c>
      <c r="B10" s="228"/>
      <c r="C10" s="229">
        <f>+'[8]Rev Req 9.75%'!E21</f>
        <v>1990295.4582998087</v>
      </c>
      <c r="D10" s="271"/>
      <c r="E10" s="228"/>
      <c r="F10" s="228"/>
      <c r="G10" s="228"/>
      <c r="H10" s="228"/>
      <c r="I10" s="228"/>
      <c r="J10" s="228"/>
    </row>
    <row r="11" spans="1:12" ht="26.25" thickBot="1">
      <c r="A11" s="270" t="s">
        <v>2189</v>
      </c>
      <c r="B11" s="228"/>
      <c r="C11" s="272">
        <f>SUM(C5:C10)</f>
        <v>16547728.96207111</v>
      </c>
      <c r="D11" s="228"/>
      <c r="E11" s="228"/>
      <c r="F11" s="228"/>
      <c r="G11" s="228"/>
      <c r="H11" s="228"/>
      <c r="I11" s="228"/>
      <c r="J11" s="228"/>
    </row>
    <row r="12" spans="1:12" ht="13.5" thickTop="1">
      <c r="A12" s="202"/>
      <c r="B12" s="228"/>
      <c r="C12" s="229"/>
      <c r="D12" s="229"/>
      <c r="E12" s="228"/>
      <c r="F12" s="228"/>
      <c r="G12" s="228"/>
      <c r="H12" s="228"/>
      <c r="I12" s="228"/>
      <c r="J12" s="228"/>
    </row>
    <row r="13" spans="1:12">
      <c r="A13" s="202"/>
      <c r="B13" s="228"/>
      <c r="C13" s="228"/>
      <c r="D13" s="228"/>
      <c r="E13" s="228"/>
      <c r="F13" s="273"/>
      <c r="G13" s="230"/>
      <c r="H13" s="228"/>
      <c r="I13" s="228"/>
      <c r="J13" s="228"/>
    </row>
    <row r="14" spans="1:12">
      <c r="A14" s="202"/>
      <c r="B14" s="228"/>
      <c r="C14" s="274" t="s">
        <v>2190</v>
      </c>
      <c r="D14" s="274" t="s">
        <v>2191</v>
      </c>
      <c r="E14" s="273"/>
      <c r="F14" s="273" t="s">
        <v>2192</v>
      </c>
      <c r="G14" s="230" t="s">
        <v>2193</v>
      </c>
      <c r="H14" s="273" t="s">
        <v>2193</v>
      </c>
      <c r="I14" s="228"/>
      <c r="J14" s="273" t="s">
        <v>2194</v>
      </c>
    </row>
    <row r="15" spans="1:12">
      <c r="A15" s="203"/>
      <c r="B15" s="203"/>
      <c r="C15" s="275" t="s">
        <v>2195</v>
      </c>
      <c r="D15" s="275" t="s">
        <v>2196</v>
      </c>
      <c r="E15" s="275" t="s">
        <v>2197</v>
      </c>
      <c r="F15" s="275" t="s">
        <v>2198</v>
      </c>
      <c r="G15" s="276" t="s">
        <v>2199</v>
      </c>
      <c r="H15" s="277" t="s">
        <v>2200</v>
      </c>
      <c r="I15" s="228"/>
      <c r="J15" s="277" t="s">
        <v>2201</v>
      </c>
      <c r="L15" s="278"/>
    </row>
    <row r="16" spans="1:12">
      <c r="A16" s="203" t="s">
        <v>2202</v>
      </c>
      <c r="B16" s="203"/>
      <c r="C16" s="279">
        <f>+Customers!D6</f>
        <v>445941</v>
      </c>
      <c r="D16" s="280">
        <v>23</v>
      </c>
      <c r="E16" s="229">
        <f>C16/C$24*C$11</f>
        <v>14534070.217292732</v>
      </c>
      <c r="F16" s="281">
        <f>+D16/D16</f>
        <v>1</v>
      </c>
      <c r="G16" s="282">
        <f>E28</f>
        <v>2.4293804233959797</v>
      </c>
      <c r="H16" s="229">
        <f>C16*G16*12</f>
        <v>13000324.02467552</v>
      </c>
      <c r="I16" s="228"/>
      <c r="J16" s="228">
        <f>+C16*F16</f>
        <v>445941</v>
      </c>
    </row>
    <row r="17" spans="1:12">
      <c r="A17" s="203"/>
      <c r="B17" s="203"/>
      <c r="C17" s="283"/>
      <c r="D17" s="280"/>
      <c r="E17" s="229"/>
      <c r="F17" s="281"/>
      <c r="G17" s="282"/>
      <c r="H17" s="229"/>
      <c r="I17" s="228"/>
      <c r="J17" s="228"/>
      <c r="L17" s="278"/>
    </row>
    <row r="18" spans="1:12">
      <c r="A18" s="203" t="s">
        <v>2203</v>
      </c>
      <c r="B18" s="203"/>
      <c r="C18" s="283">
        <f>+Customers!D7</f>
        <v>57881</v>
      </c>
      <c r="D18" s="280">
        <v>34</v>
      </c>
      <c r="E18" s="229">
        <f>C18/C$24*C$11</f>
        <v>1886452.508845611</v>
      </c>
      <c r="F18" s="281">
        <f>+D18/D16</f>
        <v>1.4782608695652173</v>
      </c>
      <c r="G18" s="282">
        <f>E28*F18</f>
        <v>3.5912580171940567</v>
      </c>
      <c r="H18" s="229">
        <f>C18*G18*12</f>
        <v>2494387.2635185104</v>
      </c>
      <c r="I18" s="228"/>
      <c r="J18" s="228">
        <f>+C18*F18</f>
        <v>85563.217391304337</v>
      </c>
    </row>
    <row r="19" spans="1:12">
      <c r="A19" s="203"/>
      <c r="B19" s="203"/>
      <c r="C19" s="283"/>
      <c r="D19" s="280"/>
      <c r="E19" s="229"/>
      <c r="F19" s="281"/>
      <c r="G19" s="282"/>
      <c r="H19" s="229"/>
      <c r="I19" s="228"/>
      <c r="J19" s="228"/>
      <c r="L19" s="278"/>
    </row>
    <row r="20" spans="1:12">
      <c r="A20" s="203" t="s">
        <v>2204</v>
      </c>
      <c r="B20" s="203"/>
      <c r="C20" s="283">
        <f>+Customers!D8</f>
        <v>3421</v>
      </c>
      <c r="D20" s="280">
        <v>115.4</v>
      </c>
      <c r="E20" s="229">
        <f>C20/C$24*C$11</f>
        <v>111496.93392928311</v>
      </c>
      <c r="F20" s="281">
        <f>+D20/D16</f>
        <v>5.017391304347826</v>
      </c>
      <c r="G20" s="282">
        <f>E28*F20</f>
        <v>12.189152211299829</v>
      </c>
      <c r="H20" s="229">
        <f>C20*G20*12</f>
        <v>500389.0765782806</v>
      </c>
      <c r="I20" s="228"/>
      <c r="J20" s="228">
        <f>+C20*F20</f>
        <v>17164.495652173911</v>
      </c>
    </row>
    <row r="21" spans="1:12">
      <c r="A21" s="203"/>
      <c r="B21" s="203"/>
      <c r="C21" s="283"/>
      <c r="D21" s="280"/>
      <c r="E21" s="229"/>
      <c r="F21" s="281"/>
      <c r="G21" s="282"/>
      <c r="H21" s="229"/>
      <c r="I21" s="228"/>
      <c r="J21" s="228"/>
      <c r="L21" s="278"/>
    </row>
    <row r="22" spans="1:12">
      <c r="A22" s="203" t="s">
        <v>2205</v>
      </c>
      <c r="B22" s="203"/>
      <c r="C22" s="283">
        <f>+Customers!D9</f>
        <v>482</v>
      </c>
      <c r="D22" s="280">
        <v>904.56</v>
      </c>
      <c r="E22" s="229">
        <f>C22/C$24*C$11</f>
        <v>15709.302003482742</v>
      </c>
      <c r="F22" s="281">
        <f>+D22/D16</f>
        <v>39.328695652173913</v>
      </c>
      <c r="G22" s="282">
        <f>E28*F22</f>
        <v>95.54436329508988</v>
      </c>
      <c r="H22" s="229">
        <f>C22*G22*12</f>
        <v>552628.59729879978</v>
      </c>
      <c r="I22" s="228"/>
      <c r="J22" s="228">
        <f>+C22*F22</f>
        <v>18956.431304347825</v>
      </c>
    </row>
    <row r="23" spans="1:12">
      <c r="A23" s="203"/>
      <c r="B23" s="203"/>
      <c r="C23" s="203"/>
      <c r="D23" s="203"/>
      <c r="E23" s="203"/>
      <c r="F23" s="203"/>
      <c r="G23" s="202"/>
      <c r="H23" s="203"/>
      <c r="I23" s="228"/>
      <c r="J23" s="210"/>
    </row>
    <row r="24" spans="1:12" ht="13.5" thickBot="1">
      <c r="A24" s="203"/>
      <c r="B24" s="203"/>
      <c r="C24" s="284">
        <f>SUM(C16:C22)</f>
        <v>507725</v>
      </c>
      <c r="D24" s="284"/>
      <c r="E24" s="272">
        <f>SUM(E16:E22)</f>
        <v>16547728.962071108</v>
      </c>
      <c r="F24" s="203"/>
      <c r="G24" s="203"/>
      <c r="H24" s="272">
        <f>SUM(H16:H22)</f>
        <v>16547728.96207111</v>
      </c>
      <c r="I24" s="228"/>
      <c r="J24" s="283">
        <f>SUM(J16:J22)</f>
        <v>567625.14434782602</v>
      </c>
    </row>
    <row r="25" spans="1:12" ht="13.5" thickTop="1">
      <c r="A25" s="203"/>
      <c r="B25" s="203"/>
      <c r="C25" s="203"/>
      <c r="D25" s="203"/>
      <c r="E25" s="229"/>
      <c r="F25" s="203"/>
      <c r="G25" s="203"/>
      <c r="H25" s="228"/>
      <c r="I25" s="228"/>
      <c r="J25" s="228"/>
    </row>
    <row r="26" spans="1:12" ht="13.5" thickBot="1">
      <c r="A26" s="203"/>
      <c r="B26" s="203"/>
      <c r="C26" s="285" t="s">
        <v>2206</v>
      </c>
      <c r="D26" s="285"/>
      <c r="E26" s="286">
        <f>E24/C24/12</f>
        <v>2.715992739191345</v>
      </c>
      <c r="F26" s="203"/>
      <c r="G26" s="203"/>
      <c r="H26" s="228"/>
      <c r="I26" s="228"/>
      <c r="J26" s="228"/>
    </row>
    <row r="27" spans="1:12" ht="13.5" thickTop="1">
      <c r="A27" s="203"/>
      <c r="B27" s="203"/>
      <c r="C27" s="203"/>
      <c r="D27" s="203"/>
      <c r="E27" s="203"/>
      <c r="F27" s="228"/>
      <c r="G27" s="203"/>
      <c r="H27" s="203"/>
      <c r="I27" s="203"/>
      <c r="J27" s="287"/>
    </row>
    <row r="28" spans="1:12" ht="13.5" thickBot="1">
      <c r="A28" s="203"/>
      <c r="B28" s="203"/>
      <c r="C28" s="285" t="s">
        <v>2207</v>
      </c>
      <c r="D28" s="285"/>
      <c r="E28" s="286">
        <f>+E24/J24/12</f>
        <v>2.4293804233959797</v>
      </c>
      <c r="F28" s="203"/>
      <c r="G28" s="203"/>
      <c r="H28" s="203"/>
      <c r="I28" s="203"/>
      <c r="J28" s="228"/>
    </row>
    <row r="29" spans="1:12" ht="13.5" thickTop="1">
      <c r="J29" s="226"/>
    </row>
    <row r="39" ht="26.45" customHeight="1"/>
    <row r="40" ht="18" customHeight="1"/>
  </sheetData>
  <printOptions horizontalCentered="1"/>
  <pageMargins left="0.75" right="0.75" top="1" bottom="1" header="0.5" footer="0.5"/>
  <pageSetup orientation="landscape" r:id="rId1"/>
  <headerFooter alignWithMargins="0">
    <oddHeader xml:space="preserve">&amp;R&amp;"Arial,Bold"Appendix A
Page 6
</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2"/>
  <sheetViews>
    <sheetView workbookViewId="0">
      <selection activeCell="A4" sqref="A4"/>
    </sheetView>
  </sheetViews>
  <sheetFormatPr defaultRowHeight="12.75"/>
  <cols>
    <col min="1" max="1" width="26.5703125" style="200" customWidth="1"/>
    <col min="2" max="3" width="9.140625" style="200"/>
    <col min="4" max="4" width="11.28515625" style="200" bestFit="1" customWidth="1"/>
    <col min="5" max="256" width="9.140625" style="200"/>
    <col min="257" max="257" width="26.5703125" style="200" customWidth="1"/>
    <col min="258" max="259" width="9.140625" style="200"/>
    <col min="260" max="260" width="11.28515625" style="200" bestFit="1" customWidth="1"/>
    <col min="261" max="512" width="9.140625" style="200"/>
    <col min="513" max="513" width="26.5703125" style="200" customWidth="1"/>
    <col min="514" max="515" width="9.140625" style="200"/>
    <col min="516" max="516" width="11.28515625" style="200" bestFit="1" customWidth="1"/>
    <col min="517" max="768" width="9.140625" style="200"/>
    <col min="769" max="769" width="26.5703125" style="200" customWidth="1"/>
    <col min="770" max="771" width="9.140625" style="200"/>
    <col min="772" max="772" width="11.28515625" style="200" bestFit="1" customWidth="1"/>
    <col min="773" max="1024" width="9.140625" style="200"/>
    <col min="1025" max="1025" width="26.5703125" style="200" customWidth="1"/>
    <col min="1026" max="1027" width="9.140625" style="200"/>
    <col min="1028" max="1028" width="11.28515625" style="200" bestFit="1" customWidth="1"/>
    <col min="1029" max="1280" width="9.140625" style="200"/>
    <col min="1281" max="1281" width="26.5703125" style="200" customWidth="1"/>
    <col min="1282" max="1283" width="9.140625" style="200"/>
    <col min="1284" max="1284" width="11.28515625" style="200" bestFit="1" customWidth="1"/>
    <col min="1285" max="1536" width="9.140625" style="200"/>
    <col min="1537" max="1537" width="26.5703125" style="200" customWidth="1"/>
    <col min="1538" max="1539" width="9.140625" style="200"/>
    <col min="1540" max="1540" width="11.28515625" style="200" bestFit="1" customWidth="1"/>
    <col min="1541" max="1792" width="9.140625" style="200"/>
    <col min="1793" max="1793" width="26.5703125" style="200" customWidth="1"/>
    <col min="1794" max="1795" width="9.140625" style="200"/>
    <col min="1796" max="1796" width="11.28515625" style="200" bestFit="1" customWidth="1"/>
    <col min="1797" max="2048" width="9.140625" style="200"/>
    <col min="2049" max="2049" width="26.5703125" style="200" customWidth="1"/>
    <col min="2050" max="2051" width="9.140625" style="200"/>
    <col min="2052" max="2052" width="11.28515625" style="200" bestFit="1" customWidth="1"/>
    <col min="2053" max="2304" width="9.140625" style="200"/>
    <col min="2305" max="2305" width="26.5703125" style="200" customWidth="1"/>
    <col min="2306" max="2307" width="9.140625" style="200"/>
    <col min="2308" max="2308" width="11.28515625" style="200" bestFit="1" customWidth="1"/>
    <col min="2309" max="2560" width="9.140625" style="200"/>
    <col min="2561" max="2561" width="26.5703125" style="200" customWidth="1"/>
    <col min="2562" max="2563" width="9.140625" style="200"/>
    <col min="2564" max="2564" width="11.28515625" style="200" bestFit="1" customWidth="1"/>
    <col min="2565" max="2816" width="9.140625" style="200"/>
    <col min="2817" max="2817" width="26.5703125" style="200" customWidth="1"/>
    <col min="2818" max="2819" width="9.140625" style="200"/>
    <col min="2820" max="2820" width="11.28515625" style="200" bestFit="1" customWidth="1"/>
    <col min="2821" max="3072" width="9.140625" style="200"/>
    <col min="3073" max="3073" width="26.5703125" style="200" customWidth="1"/>
    <col min="3074" max="3075" width="9.140625" style="200"/>
    <col min="3076" max="3076" width="11.28515625" style="200" bestFit="1" customWidth="1"/>
    <col min="3077" max="3328" width="9.140625" style="200"/>
    <col min="3329" max="3329" width="26.5703125" style="200" customWidth="1"/>
    <col min="3330" max="3331" width="9.140625" style="200"/>
    <col min="3332" max="3332" width="11.28515625" style="200" bestFit="1" customWidth="1"/>
    <col min="3333" max="3584" width="9.140625" style="200"/>
    <col min="3585" max="3585" width="26.5703125" style="200" customWidth="1"/>
    <col min="3586" max="3587" width="9.140625" style="200"/>
    <col min="3588" max="3588" width="11.28515625" style="200" bestFit="1" customWidth="1"/>
    <col min="3589" max="3840" width="9.140625" style="200"/>
    <col min="3841" max="3841" width="26.5703125" style="200" customWidth="1"/>
    <col min="3842" max="3843" width="9.140625" style="200"/>
    <col min="3844" max="3844" width="11.28515625" style="200" bestFit="1" customWidth="1"/>
    <col min="3845" max="4096" width="9.140625" style="200"/>
    <col min="4097" max="4097" width="26.5703125" style="200" customWidth="1"/>
    <col min="4098" max="4099" width="9.140625" style="200"/>
    <col min="4100" max="4100" width="11.28515625" style="200" bestFit="1" customWidth="1"/>
    <col min="4101" max="4352" width="9.140625" style="200"/>
    <col min="4353" max="4353" width="26.5703125" style="200" customWidth="1"/>
    <col min="4354" max="4355" width="9.140625" style="200"/>
    <col min="4356" max="4356" width="11.28515625" style="200" bestFit="1" customWidth="1"/>
    <col min="4357" max="4608" width="9.140625" style="200"/>
    <col min="4609" max="4609" width="26.5703125" style="200" customWidth="1"/>
    <col min="4610" max="4611" width="9.140625" style="200"/>
    <col min="4612" max="4612" width="11.28515625" style="200" bestFit="1" customWidth="1"/>
    <col min="4613" max="4864" width="9.140625" style="200"/>
    <col min="4865" max="4865" width="26.5703125" style="200" customWidth="1"/>
    <col min="4866" max="4867" width="9.140625" style="200"/>
    <col min="4868" max="4868" width="11.28515625" style="200" bestFit="1" customWidth="1"/>
    <col min="4869" max="5120" width="9.140625" style="200"/>
    <col min="5121" max="5121" width="26.5703125" style="200" customWidth="1"/>
    <col min="5122" max="5123" width="9.140625" style="200"/>
    <col min="5124" max="5124" width="11.28515625" style="200" bestFit="1" customWidth="1"/>
    <col min="5125" max="5376" width="9.140625" style="200"/>
    <col min="5377" max="5377" width="26.5703125" style="200" customWidth="1"/>
    <col min="5378" max="5379" width="9.140625" style="200"/>
    <col min="5380" max="5380" width="11.28515625" style="200" bestFit="1" customWidth="1"/>
    <col min="5381" max="5632" width="9.140625" style="200"/>
    <col min="5633" max="5633" width="26.5703125" style="200" customWidth="1"/>
    <col min="5634" max="5635" width="9.140625" style="200"/>
    <col min="5636" max="5636" width="11.28515625" style="200" bestFit="1" customWidth="1"/>
    <col min="5637" max="5888" width="9.140625" style="200"/>
    <col min="5889" max="5889" width="26.5703125" style="200" customWidth="1"/>
    <col min="5890" max="5891" width="9.140625" style="200"/>
    <col min="5892" max="5892" width="11.28515625" style="200" bestFit="1" customWidth="1"/>
    <col min="5893" max="6144" width="9.140625" style="200"/>
    <col min="6145" max="6145" width="26.5703125" style="200" customWidth="1"/>
    <col min="6146" max="6147" width="9.140625" style="200"/>
    <col min="6148" max="6148" width="11.28515625" style="200" bestFit="1" customWidth="1"/>
    <col min="6149" max="6400" width="9.140625" style="200"/>
    <col min="6401" max="6401" width="26.5703125" style="200" customWidth="1"/>
    <col min="6402" max="6403" width="9.140625" style="200"/>
    <col min="6404" max="6404" width="11.28515625" style="200" bestFit="1" customWidth="1"/>
    <col min="6405" max="6656" width="9.140625" style="200"/>
    <col min="6657" max="6657" width="26.5703125" style="200" customWidth="1"/>
    <col min="6658" max="6659" width="9.140625" style="200"/>
    <col min="6660" max="6660" width="11.28515625" style="200" bestFit="1" customWidth="1"/>
    <col min="6661" max="6912" width="9.140625" style="200"/>
    <col min="6913" max="6913" width="26.5703125" style="200" customWidth="1"/>
    <col min="6914" max="6915" width="9.140625" style="200"/>
    <col min="6916" max="6916" width="11.28515625" style="200" bestFit="1" customWidth="1"/>
    <col min="6917" max="7168" width="9.140625" style="200"/>
    <col min="7169" max="7169" width="26.5703125" style="200" customWidth="1"/>
    <col min="7170" max="7171" width="9.140625" style="200"/>
    <col min="7172" max="7172" width="11.28515625" style="200" bestFit="1" customWidth="1"/>
    <col min="7173" max="7424" width="9.140625" style="200"/>
    <col min="7425" max="7425" width="26.5703125" style="200" customWidth="1"/>
    <col min="7426" max="7427" width="9.140625" style="200"/>
    <col min="7428" max="7428" width="11.28515625" style="200" bestFit="1" customWidth="1"/>
    <col min="7429" max="7680" width="9.140625" style="200"/>
    <col min="7681" max="7681" width="26.5703125" style="200" customWidth="1"/>
    <col min="7682" max="7683" width="9.140625" style="200"/>
    <col min="7684" max="7684" width="11.28515625" style="200" bestFit="1" customWidth="1"/>
    <col min="7685" max="7936" width="9.140625" style="200"/>
    <col min="7937" max="7937" width="26.5703125" style="200" customWidth="1"/>
    <col min="7938" max="7939" width="9.140625" style="200"/>
    <col min="7940" max="7940" width="11.28515625" style="200" bestFit="1" customWidth="1"/>
    <col min="7941" max="8192" width="9.140625" style="200"/>
    <col min="8193" max="8193" width="26.5703125" style="200" customWidth="1"/>
    <col min="8194" max="8195" width="9.140625" style="200"/>
    <col min="8196" max="8196" width="11.28515625" style="200" bestFit="1" customWidth="1"/>
    <col min="8197" max="8448" width="9.140625" style="200"/>
    <col min="8449" max="8449" width="26.5703125" style="200" customWidth="1"/>
    <col min="8450" max="8451" width="9.140625" style="200"/>
    <col min="8452" max="8452" width="11.28515625" style="200" bestFit="1" customWidth="1"/>
    <col min="8453" max="8704" width="9.140625" style="200"/>
    <col min="8705" max="8705" width="26.5703125" style="200" customWidth="1"/>
    <col min="8706" max="8707" width="9.140625" style="200"/>
    <col min="8708" max="8708" width="11.28515625" style="200" bestFit="1" customWidth="1"/>
    <col min="8709" max="8960" width="9.140625" style="200"/>
    <col min="8961" max="8961" width="26.5703125" style="200" customWidth="1"/>
    <col min="8962" max="8963" width="9.140625" style="200"/>
    <col min="8964" max="8964" width="11.28515625" style="200" bestFit="1" customWidth="1"/>
    <col min="8965" max="9216" width="9.140625" style="200"/>
    <col min="9217" max="9217" width="26.5703125" style="200" customWidth="1"/>
    <col min="9218" max="9219" width="9.140625" style="200"/>
    <col min="9220" max="9220" width="11.28515625" style="200" bestFit="1" customWidth="1"/>
    <col min="9221" max="9472" width="9.140625" style="200"/>
    <col min="9473" max="9473" width="26.5703125" style="200" customWidth="1"/>
    <col min="9474" max="9475" width="9.140625" style="200"/>
    <col min="9476" max="9476" width="11.28515625" style="200" bestFit="1" customWidth="1"/>
    <col min="9477" max="9728" width="9.140625" style="200"/>
    <col min="9729" max="9729" width="26.5703125" style="200" customWidth="1"/>
    <col min="9730" max="9731" width="9.140625" style="200"/>
    <col min="9732" max="9732" width="11.28515625" style="200" bestFit="1" customWidth="1"/>
    <col min="9733" max="9984" width="9.140625" style="200"/>
    <col min="9985" max="9985" width="26.5703125" style="200" customWidth="1"/>
    <col min="9986" max="9987" width="9.140625" style="200"/>
    <col min="9988" max="9988" width="11.28515625" style="200" bestFit="1" customWidth="1"/>
    <col min="9989" max="10240" width="9.140625" style="200"/>
    <col min="10241" max="10241" width="26.5703125" style="200" customWidth="1"/>
    <col min="10242" max="10243" width="9.140625" style="200"/>
    <col min="10244" max="10244" width="11.28515625" style="200" bestFit="1" customWidth="1"/>
    <col min="10245" max="10496" width="9.140625" style="200"/>
    <col min="10497" max="10497" width="26.5703125" style="200" customWidth="1"/>
    <col min="10498" max="10499" width="9.140625" style="200"/>
    <col min="10500" max="10500" width="11.28515625" style="200" bestFit="1" customWidth="1"/>
    <col min="10501" max="10752" width="9.140625" style="200"/>
    <col min="10753" max="10753" width="26.5703125" style="200" customWidth="1"/>
    <col min="10754" max="10755" width="9.140625" style="200"/>
    <col min="10756" max="10756" width="11.28515625" style="200" bestFit="1" customWidth="1"/>
    <col min="10757" max="11008" width="9.140625" style="200"/>
    <col min="11009" max="11009" width="26.5703125" style="200" customWidth="1"/>
    <col min="11010" max="11011" width="9.140625" style="200"/>
    <col min="11012" max="11012" width="11.28515625" style="200" bestFit="1" customWidth="1"/>
    <col min="11013" max="11264" width="9.140625" style="200"/>
    <col min="11265" max="11265" width="26.5703125" style="200" customWidth="1"/>
    <col min="11266" max="11267" width="9.140625" style="200"/>
    <col min="11268" max="11268" width="11.28515625" style="200" bestFit="1" customWidth="1"/>
    <col min="11269" max="11520" width="9.140625" style="200"/>
    <col min="11521" max="11521" width="26.5703125" style="200" customWidth="1"/>
    <col min="11522" max="11523" width="9.140625" style="200"/>
    <col min="11524" max="11524" width="11.28515625" style="200" bestFit="1" customWidth="1"/>
    <col min="11525" max="11776" width="9.140625" style="200"/>
    <col min="11777" max="11777" width="26.5703125" style="200" customWidth="1"/>
    <col min="11778" max="11779" width="9.140625" style="200"/>
    <col min="11780" max="11780" width="11.28515625" style="200" bestFit="1" customWidth="1"/>
    <col min="11781" max="12032" width="9.140625" style="200"/>
    <col min="12033" max="12033" width="26.5703125" style="200" customWidth="1"/>
    <col min="12034" max="12035" width="9.140625" style="200"/>
    <col min="12036" max="12036" width="11.28515625" style="200" bestFit="1" customWidth="1"/>
    <col min="12037" max="12288" width="9.140625" style="200"/>
    <col min="12289" max="12289" width="26.5703125" style="200" customWidth="1"/>
    <col min="12290" max="12291" width="9.140625" style="200"/>
    <col min="12292" max="12292" width="11.28515625" style="200" bestFit="1" customWidth="1"/>
    <col min="12293" max="12544" width="9.140625" style="200"/>
    <col min="12545" max="12545" width="26.5703125" style="200" customWidth="1"/>
    <col min="12546" max="12547" width="9.140625" style="200"/>
    <col min="12548" max="12548" width="11.28515625" style="200" bestFit="1" customWidth="1"/>
    <col min="12549" max="12800" width="9.140625" style="200"/>
    <col min="12801" max="12801" width="26.5703125" style="200" customWidth="1"/>
    <col min="12802" max="12803" width="9.140625" style="200"/>
    <col min="12804" max="12804" width="11.28515625" style="200" bestFit="1" customWidth="1"/>
    <col min="12805" max="13056" width="9.140625" style="200"/>
    <col min="13057" max="13057" width="26.5703125" style="200" customWidth="1"/>
    <col min="13058" max="13059" width="9.140625" style="200"/>
    <col min="13060" max="13060" width="11.28515625" style="200" bestFit="1" customWidth="1"/>
    <col min="13061" max="13312" width="9.140625" style="200"/>
    <col min="13313" max="13313" width="26.5703125" style="200" customWidth="1"/>
    <col min="13314" max="13315" width="9.140625" style="200"/>
    <col min="13316" max="13316" width="11.28515625" style="200" bestFit="1" customWidth="1"/>
    <col min="13317" max="13568" width="9.140625" style="200"/>
    <col min="13569" max="13569" width="26.5703125" style="200" customWidth="1"/>
    <col min="13570" max="13571" width="9.140625" style="200"/>
    <col min="13572" max="13572" width="11.28515625" style="200" bestFit="1" customWidth="1"/>
    <col min="13573" max="13824" width="9.140625" style="200"/>
    <col min="13825" max="13825" width="26.5703125" style="200" customWidth="1"/>
    <col min="13826" max="13827" width="9.140625" style="200"/>
    <col min="13828" max="13828" width="11.28515625" style="200" bestFit="1" customWidth="1"/>
    <col min="13829" max="14080" width="9.140625" style="200"/>
    <col min="14081" max="14081" width="26.5703125" style="200" customWidth="1"/>
    <col min="14082" max="14083" width="9.140625" style="200"/>
    <col min="14084" max="14084" width="11.28515625" style="200" bestFit="1" customWidth="1"/>
    <col min="14085" max="14336" width="9.140625" style="200"/>
    <col min="14337" max="14337" width="26.5703125" style="200" customWidth="1"/>
    <col min="14338" max="14339" width="9.140625" style="200"/>
    <col min="14340" max="14340" width="11.28515625" style="200" bestFit="1" customWidth="1"/>
    <col min="14341" max="14592" width="9.140625" style="200"/>
    <col min="14593" max="14593" width="26.5703125" style="200" customWidth="1"/>
    <col min="14594" max="14595" width="9.140625" style="200"/>
    <col min="14596" max="14596" width="11.28515625" style="200" bestFit="1" customWidth="1"/>
    <col min="14597" max="14848" width="9.140625" style="200"/>
    <col min="14849" max="14849" width="26.5703125" style="200" customWidth="1"/>
    <col min="14850" max="14851" width="9.140625" style="200"/>
    <col min="14852" max="14852" width="11.28515625" style="200" bestFit="1" customWidth="1"/>
    <col min="14853" max="15104" width="9.140625" style="200"/>
    <col min="15105" max="15105" width="26.5703125" style="200" customWidth="1"/>
    <col min="15106" max="15107" width="9.140625" style="200"/>
    <col min="15108" max="15108" width="11.28515625" style="200" bestFit="1" customWidth="1"/>
    <col min="15109" max="15360" width="9.140625" style="200"/>
    <col min="15361" max="15361" width="26.5703125" style="200" customWidth="1"/>
    <col min="15362" max="15363" width="9.140625" style="200"/>
    <col min="15364" max="15364" width="11.28515625" style="200" bestFit="1" customWidth="1"/>
    <col min="15365" max="15616" width="9.140625" style="200"/>
    <col min="15617" max="15617" width="26.5703125" style="200" customWidth="1"/>
    <col min="15618" max="15619" width="9.140625" style="200"/>
    <col min="15620" max="15620" width="11.28515625" style="200" bestFit="1" customWidth="1"/>
    <col min="15621" max="15872" width="9.140625" style="200"/>
    <col min="15873" max="15873" width="26.5703125" style="200" customWidth="1"/>
    <col min="15874" max="15875" width="9.140625" style="200"/>
    <col min="15876" max="15876" width="11.28515625" style="200" bestFit="1" customWidth="1"/>
    <col min="15877" max="16128" width="9.140625" style="200"/>
    <col min="16129" max="16129" width="26.5703125" style="200" customWidth="1"/>
    <col min="16130" max="16131" width="9.140625" style="200"/>
    <col min="16132" max="16132" width="11.28515625" style="200" bestFit="1" customWidth="1"/>
    <col min="16133" max="16384" width="9.140625" style="200"/>
  </cols>
  <sheetData>
    <row r="1" spans="1:11">
      <c r="A1" s="455" t="s">
        <v>2138</v>
      </c>
      <c r="B1" s="455"/>
      <c r="C1" s="455"/>
      <c r="D1" s="455"/>
    </row>
    <row r="2" spans="1:11">
      <c r="A2" s="455" t="s">
        <v>2208</v>
      </c>
      <c r="B2" s="455"/>
      <c r="C2" s="455"/>
      <c r="D2" s="455"/>
    </row>
    <row r="3" spans="1:11">
      <c r="A3" s="460" t="s">
        <v>2211</v>
      </c>
      <c r="B3" s="455"/>
      <c r="C3" s="455"/>
      <c r="D3" s="455"/>
    </row>
    <row r="6" spans="1:11">
      <c r="A6" s="200" t="s">
        <v>2202</v>
      </c>
      <c r="C6" s="288"/>
      <c r="D6" s="289">
        <v>445941</v>
      </c>
      <c r="E6" s="290"/>
      <c r="J6" s="288"/>
      <c r="K6" s="290"/>
    </row>
    <row r="7" spans="1:11">
      <c r="A7" s="200" t="s">
        <v>2203</v>
      </c>
      <c r="B7" s="288"/>
      <c r="D7" s="289">
        <v>57881</v>
      </c>
      <c r="E7" s="290"/>
      <c r="I7" s="288"/>
      <c r="K7" s="290"/>
    </row>
    <row r="8" spans="1:11">
      <c r="A8" s="200" t="s">
        <v>2209</v>
      </c>
      <c r="D8" s="289">
        <v>3421</v>
      </c>
      <c r="E8" s="290"/>
      <c r="K8" s="290"/>
    </row>
    <row r="9" spans="1:11">
      <c r="A9" s="200" t="s">
        <v>2210</v>
      </c>
      <c r="D9" s="291">
        <v>482</v>
      </c>
      <c r="K9" s="290"/>
    </row>
    <row r="10" spans="1:11">
      <c r="D10" s="290"/>
      <c r="E10" s="290"/>
      <c r="F10" s="226"/>
      <c r="G10" s="226"/>
      <c r="K10" s="290"/>
    </row>
    <row r="11" spans="1:11" ht="13.5" thickBot="1">
      <c r="A11" s="200" t="s">
        <v>89</v>
      </c>
      <c r="B11" s="288"/>
      <c r="D11" s="292">
        <f>SUM(D6:D9)</f>
        <v>507725</v>
      </c>
      <c r="E11" s="290"/>
      <c r="I11" s="288"/>
      <c r="K11" s="290"/>
    </row>
    <row r="12" spans="1:11" ht="13.5" thickTop="1"/>
  </sheetData>
  <mergeCells count="3">
    <mergeCell ref="A1:D1"/>
    <mergeCell ref="A2:D2"/>
    <mergeCell ref="A3:D3"/>
  </mergeCells>
  <printOptions horizontalCentered="1"/>
  <pageMargins left="0.75" right="0.75" top="1" bottom="1" header="0.5" footer="0.5"/>
  <pageSetup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E80"/>
  <sheetViews>
    <sheetView topLeftCell="A55" workbookViewId="0">
      <selection activeCell="W81" sqref="W81"/>
    </sheetView>
  </sheetViews>
  <sheetFormatPr defaultColWidth="9.140625" defaultRowHeight="12.75"/>
  <cols>
    <col min="1" max="1" width="9.140625" style="200"/>
    <col min="2" max="2" width="16.140625" style="200" customWidth="1"/>
    <col min="3" max="3" width="10.140625" style="200" bestFit="1" customWidth="1"/>
    <col min="4" max="4" width="10.7109375" style="200" bestFit="1" customWidth="1"/>
    <col min="5" max="5" width="15" style="200" bestFit="1" customWidth="1"/>
    <col min="6" max="16384" width="9.140625" style="200"/>
  </cols>
  <sheetData>
    <row r="1" spans="1:5">
      <c r="A1" s="201" t="s">
        <v>2138</v>
      </c>
    </row>
    <row r="2" spans="1:5">
      <c r="A2" s="201" t="s">
        <v>2465</v>
      </c>
    </row>
    <row r="3" spans="1:5">
      <c r="A3" s="201" t="s">
        <v>2482</v>
      </c>
    </row>
    <row r="6" spans="1:5">
      <c r="C6" s="461" t="s">
        <v>2466</v>
      </c>
      <c r="D6" s="461"/>
      <c r="E6" s="461"/>
    </row>
    <row r="7" spans="1:5">
      <c r="A7" s="217" t="s">
        <v>2467</v>
      </c>
    </row>
    <row r="8" spans="1:5">
      <c r="A8" s="200" t="s">
        <v>2468</v>
      </c>
      <c r="C8" s="374">
        <v>41760</v>
      </c>
      <c r="E8" s="374"/>
    </row>
    <row r="9" spans="1:5">
      <c r="A9" s="200" t="s">
        <v>2469</v>
      </c>
      <c r="C9" s="374">
        <v>41930</v>
      </c>
      <c r="E9" s="374"/>
    </row>
    <row r="10" spans="1:5">
      <c r="A10" s="200" t="s">
        <v>2470</v>
      </c>
      <c r="D10" s="200">
        <f>+C9-C8</f>
        <v>170</v>
      </c>
      <c r="E10" s="375"/>
    </row>
    <row r="11" spans="1:5">
      <c r="A11" s="200" t="s">
        <v>2471</v>
      </c>
      <c r="D11" s="200">
        <v>365</v>
      </c>
    </row>
    <row r="13" spans="1:5" ht="13.5" thickBot="1">
      <c r="A13" s="200" t="s">
        <v>2472</v>
      </c>
      <c r="D13" s="376">
        <f>+D10/D11</f>
        <v>0.46575342465753422</v>
      </c>
    </row>
    <row r="14" spans="1:5" ht="13.5" thickTop="1"/>
    <row r="15" spans="1:5" ht="13.5" thickBot="1">
      <c r="A15" s="200" t="s">
        <v>2473</v>
      </c>
      <c r="D15" s="377">
        <v>0</v>
      </c>
    </row>
    <row r="16" spans="1:5" ht="13.5" thickTop="1"/>
    <row r="17" spans="1:5">
      <c r="A17" s="223" t="s">
        <v>2474</v>
      </c>
      <c r="E17" s="378">
        <f>+D15*D13</f>
        <v>0</v>
      </c>
    </row>
    <row r="19" spans="1:5">
      <c r="A19" s="217" t="s">
        <v>2144</v>
      </c>
    </row>
    <row r="20" spans="1:5">
      <c r="A20" s="200" t="s">
        <v>2468</v>
      </c>
      <c r="C20" s="374">
        <v>41930</v>
      </c>
      <c r="E20" s="374"/>
    </row>
    <row r="21" spans="1:5">
      <c r="A21" s="223" t="s">
        <v>2475</v>
      </c>
      <c r="C21" s="374">
        <v>42146</v>
      </c>
      <c r="E21" s="374"/>
    </row>
    <row r="22" spans="1:5">
      <c r="A22" s="200" t="s">
        <v>2470</v>
      </c>
      <c r="D22" s="200">
        <f>+C21-C20</f>
        <v>216</v>
      </c>
      <c r="E22" s="375"/>
    </row>
    <row r="23" spans="1:5">
      <c r="A23" s="200" t="s">
        <v>2471</v>
      </c>
      <c r="D23" s="200">
        <v>365</v>
      </c>
    </row>
    <row r="25" spans="1:5" ht="13.5" thickBot="1">
      <c r="A25" s="200" t="s">
        <v>2472</v>
      </c>
      <c r="D25" s="376">
        <f>+D22/D23</f>
        <v>0.59178082191780823</v>
      </c>
    </row>
    <row r="26" spans="1:5" ht="13.5" thickTop="1"/>
    <row r="27" spans="1:5" ht="13.5" thickBot="1">
      <c r="A27" s="200" t="s">
        <v>2473</v>
      </c>
      <c r="D27" s="377">
        <f>1990296-416198</f>
        <v>1574098</v>
      </c>
    </row>
    <row r="28" spans="1:5" ht="13.5" thickTop="1"/>
    <row r="29" spans="1:5">
      <c r="A29" s="223" t="s">
        <v>2476</v>
      </c>
      <c r="E29" s="378">
        <f>+D27*D25</f>
        <v>931521.00821917807</v>
      </c>
    </row>
    <row r="30" spans="1:5">
      <c r="D30" s="379"/>
    </row>
    <row r="31" spans="1:5">
      <c r="A31" s="217" t="s">
        <v>2145</v>
      </c>
    </row>
    <row r="32" spans="1:5">
      <c r="A32" s="200" t="s">
        <v>2468</v>
      </c>
      <c r="C32" s="374">
        <v>42146</v>
      </c>
      <c r="E32" s="374"/>
    </row>
    <row r="33" spans="1:5">
      <c r="A33" s="223" t="s">
        <v>2475</v>
      </c>
      <c r="C33" s="374">
        <v>42339</v>
      </c>
      <c r="E33" s="374"/>
    </row>
    <row r="34" spans="1:5">
      <c r="A34" s="200" t="s">
        <v>2470</v>
      </c>
      <c r="D34" s="200">
        <f>+C33-C32</f>
        <v>193</v>
      </c>
      <c r="E34" s="375"/>
    </row>
    <row r="35" spans="1:5">
      <c r="A35" s="200" t="s">
        <v>2471</v>
      </c>
      <c r="D35" s="200">
        <v>365</v>
      </c>
    </row>
    <row r="37" spans="1:5" ht="13.5" thickBot="1">
      <c r="A37" s="200" t="s">
        <v>2472</v>
      </c>
      <c r="D37" s="376">
        <f>+D34/D35</f>
        <v>0.52876712328767128</v>
      </c>
    </row>
    <row r="38" spans="1:5" ht="13.5" thickTop="1"/>
    <row r="39" spans="1:5" ht="13.5" thickBot="1">
      <c r="A39" s="200" t="s">
        <v>2473</v>
      </c>
      <c r="D39" s="377">
        <f>+D27+2814296</f>
        <v>4388394</v>
      </c>
    </row>
    <row r="40" spans="1:5" ht="13.5" thickTop="1"/>
    <row r="41" spans="1:5">
      <c r="A41" s="223" t="s">
        <v>2477</v>
      </c>
      <c r="E41" s="378">
        <f>+D39*D37</f>
        <v>2320438.4712328771</v>
      </c>
    </row>
    <row r="42" spans="1:5">
      <c r="A42" s="223"/>
      <c r="E42" s="379"/>
    </row>
    <row r="43" spans="1:5">
      <c r="A43" s="217" t="s">
        <v>2146</v>
      </c>
    </row>
    <row r="44" spans="1:5">
      <c r="A44" s="200" t="s">
        <v>2468</v>
      </c>
      <c r="C44" s="374">
        <v>42339</v>
      </c>
      <c r="E44" s="374"/>
    </row>
    <row r="45" spans="1:5">
      <c r="A45" s="223" t="s">
        <v>2475</v>
      </c>
      <c r="C45" s="374">
        <v>42521</v>
      </c>
      <c r="E45" s="374"/>
    </row>
    <row r="46" spans="1:5">
      <c r="A46" s="200" t="s">
        <v>2470</v>
      </c>
      <c r="D46" s="200">
        <f>+C45-C44</f>
        <v>182</v>
      </c>
      <c r="E46" s="375"/>
    </row>
    <row r="47" spans="1:5">
      <c r="A47" s="200" t="s">
        <v>2471</v>
      </c>
      <c r="D47" s="200">
        <v>365</v>
      </c>
    </row>
    <row r="49" spans="1:5" ht="13.5" thickBot="1">
      <c r="A49" s="200" t="s">
        <v>2472</v>
      </c>
      <c r="D49" s="376">
        <f>+D46/D47</f>
        <v>0.49863013698630138</v>
      </c>
    </row>
    <row r="50" spans="1:5" ht="13.5" thickTop="1"/>
    <row r="51" spans="1:5" ht="13.5" thickBot="1">
      <c r="A51" s="200" t="s">
        <v>2473</v>
      </c>
      <c r="D51" s="377">
        <f>+D39+1878151</f>
        <v>6266545</v>
      </c>
    </row>
    <row r="52" spans="1:5" ht="13.5" thickTop="1"/>
    <row r="53" spans="1:5">
      <c r="A53" s="223" t="s">
        <v>2478</v>
      </c>
      <c r="E53" s="378">
        <f>+D51*D49</f>
        <v>3124688.1917808219</v>
      </c>
    </row>
    <row r="54" spans="1:5">
      <c r="A54" s="223"/>
      <c r="E54" s="379"/>
    </row>
    <row r="55" spans="1:5">
      <c r="A55" s="217" t="s">
        <v>2212</v>
      </c>
    </row>
    <row r="56" spans="1:5">
      <c r="A56" s="200" t="s">
        <v>2468</v>
      </c>
      <c r="C56" s="374">
        <v>42521</v>
      </c>
      <c r="E56" s="374"/>
    </row>
    <row r="57" spans="1:5">
      <c r="A57" s="223" t="s">
        <v>2475</v>
      </c>
      <c r="C57" s="374">
        <v>42735</v>
      </c>
      <c r="E57" s="374"/>
    </row>
    <row r="58" spans="1:5">
      <c r="A58" s="200" t="s">
        <v>2470</v>
      </c>
      <c r="D58" s="200">
        <f>+C57-C56</f>
        <v>214</v>
      </c>
      <c r="E58" s="375"/>
    </row>
    <row r="59" spans="1:5">
      <c r="A59" s="200" t="s">
        <v>2471</v>
      </c>
      <c r="D59" s="200">
        <v>365</v>
      </c>
    </row>
    <row r="61" spans="1:5" ht="13.5" thickBot="1">
      <c r="A61" s="200" t="s">
        <v>2472</v>
      </c>
      <c r="D61" s="376">
        <f>+D58/D59</f>
        <v>0.58630136986301373</v>
      </c>
    </row>
    <row r="62" spans="1:5" ht="13.5" thickTop="1"/>
    <row r="63" spans="1:5" ht="13.5" thickBot="1">
      <c r="A63" s="200" t="s">
        <v>2473</v>
      </c>
      <c r="D63" s="377">
        <f>+D51+3570050</f>
        <v>9836595</v>
      </c>
    </row>
    <row r="64" spans="1:5" ht="13.5" thickTop="1"/>
    <row r="65" spans="1:5">
      <c r="A65" s="223" t="s">
        <v>2478</v>
      </c>
      <c r="E65" s="378">
        <f>+D63*D61</f>
        <v>5767209.1232876712</v>
      </c>
    </row>
    <row r="66" spans="1:5">
      <c r="A66" s="223"/>
      <c r="E66" s="379"/>
    </row>
    <row r="67" spans="1:5">
      <c r="A67" s="223"/>
    </row>
    <row r="68" spans="1:5">
      <c r="A68" s="223"/>
    </row>
    <row r="69" spans="1:5">
      <c r="A69" s="223" t="s">
        <v>2479</v>
      </c>
      <c r="E69" s="378">
        <v>416198</v>
      </c>
    </row>
    <row r="70" spans="1:5">
      <c r="A70" s="223"/>
      <c r="E70" s="379"/>
    </row>
    <row r="72" spans="1:5">
      <c r="A72" s="200" t="s">
        <v>2480</v>
      </c>
      <c r="E72" s="384">
        <f>+[9]Actual!$B$48</f>
        <v>12440388.770000003</v>
      </c>
    </row>
    <row r="74" spans="1:5" ht="13.5" thickBot="1">
      <c r="A74" s="200" t="s">
        <v>2481</v>
      </c>
      <c r="E74" s="380">
        <f>+E72-E17-E29-E41-E53-E65-E69</f>
        <v>-119666.02452054527</v>
      </c>
    </row>
    <row r="75" spans="1:5" ht="13.5" thickTop="1"/>
    <row r="77" spans="1:5">
      <c r="E77" s="381"/>
    </row>
    <row r="78" spans="1:5">
      <c r="E78" s="382"/>
    </row>
    <row r="80" spans="1:5">
      <c r="E80" s="383"/>
    </row>
  </sheetData>
  <mergeCells count="1">
    <mergeCell ref="C6:E6"/>
  </mergeCells>
  <pageMargins left="0.75" right="0.75" top="1" bottom="1" header="0.5" footer="0.5"/>
  <pageSetup scale="52" fitToHeight="0" orientation="landscape" horizontalDpi="300" verticalDpi="300" r:id="rId1"/>
  <headerFooter alignWithMargins="0">
    <oddHeader>&amp;L&amp;"Arial,Bold"GO-2009-0302&amp;C&amp;"Arial,Bold"Missouri Gas Energy&amp;R&amp;"Arial,Bold"MGE Workpapers</oddHeader>
    <oddFooter>&amp;L&amp;"Arial,Bold"&amp;D&amp;C&amp;"Arial,Bold"&amp;A&amp;R&amp;"Arial,Bold"Page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W502"/>
  <sheetViews>
    <sheetView topLeftCell="D1" zoomScale="70" zoomScaleNormal="70" workbookViewId="0">
      <pane ySplit="4" topLeftCell="A469" activePane="bottomLeft" state="frozen"/>
      <selection pane="bottomLeft" activeCell="M501" sqref="M501"/>
    </sheetView>
  </sheetViews>
  <sheetFormatPr defaultColWidth="9.140625" defaultRowHeight="15"/>
  <cols>
    <col min="1" max="1" width="39.85546875" style="137" bestFit="1" customWidth="1"/>
    <col min="2" max="2" width="16.42578125" style="164" hidden="1"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18.28515625" style="164" customWidth="1"/>
    <col min="9" max="9" width="21.140625" style="165" bestFit="1" customWidth="1"/>
    <col min="10" max="10" width="10.140625" style="137" customWidth="1"/>
    <col min="11" max="11" width="14.7109375" style="137" customWidth="1"/>
    <col min="12" max="12" width="15.5703125" style="137" customWidth="1"/>
    <col min="13" max="13" width="16" style="137" customWidth="1"/>
    <col min="14" max="14" width="24.5703125" style="137" customWidth="1"/>
    <col min="15" max="15" width="61.5703125" style="137" customWidth="1"/>
    <col min="16" max="16384" width="9.140625" style="137"/>
  </cols>
  <sheetData>
    <row r="1" spans="1:23">
      <c r="A1" s="133" t="s">
        <v>0</v>
      </c>
      <c r="B1" s="134"/>
      <c r="C1" s="134"/>
      <c r="D1" s="135"/>
      <c r="E1" s="134"/>
      <c r="F1" s="135"/>
      <c r="G1" s="134"/>
      <c r="H1" s="134"/>
      <c r="I1" s="136"/>
      <c r="J1" s="135"/>
      <c r="K1" s="135"/>
      <c r="L1" s="135"/>
      <c r="M1" s="135"/>
      <c r="N1" s="135"/>
    </row>
    <row r="2" spans="1:23">
      <c r="A2" s="133" t="s">
        <v>2611</v>
      </c>
      <c r="B2" s="134"/>
      <c r="C2" s="134"/>
      <c r="D2" s="135"/>
      <c r="E2" s="134"/>
      <c r="F2" s="135"/>
      <c r="G2" s="134"/>
      <c r="H2" s="134"/>
      <c r="I2" s="136"/>
      <c r="J2" s="135"/>
      <c r="K2" s="135"/>
      <c r="L2" s="135"/>
      <c r="M2" s="135"/>
      <c r="N2" s="135"/>
      <c r="P2" s="144" t="s">
        <v>2025</v>
      </c>
      <c r="Q2" s="149">
        <v>201611</v>
      </c>
      <c r="R2" s="149">
        <v>201612</v>
      </c>
      <c r="S2" s="149">
        <v>201701</v>
      </c>
      <c r="T2" s="149">
        <v>201702</v>
      </c>
      <c r="U2" s="149">
        <v>201703</v>
      </c>
      <c r="V2" s="149">
        <v>201704</v>
      </c>
      <c r="W2" s="149">
        <v>201705</v>
      </c>
    </row>
    <row r="3" spans="1:23">
      <c r="A3" s="135"/>
      <c r="B3" s="134"/>
      <c r="C3" s="134"/>
      <c r="D3" s="135"/>
      <c r="E3" s="134"/>
      <c r="F3" s="135"/>
      <c r="G3" s="134"/>
      <c r="H3" s="134"/>
      <c r="I3" s="136"/>
      <c r="J3" s="135"/>
      <c r="K3" s="135"/>
      <c r="L3" s="135"/>
      <c r="M3" s="135"/>
      <c r="N3" s="135"/>
      <c r="P3" s="144" t="s">
        <v>2020</v>
      </c>
      <c r="Q3" s="144">
        <v>6</v>
      </c>
      <c r="R3" s="144">
        <v>5</v>
      </c>
      <c r="S3" s="144">
        <v>4</v>
      </c>
      <c r="T3" s="144">
        <v>3</v>
      </c>
      <c r="U3" s="144">
        <v>2</v>
      </c>
      <c r="V3" s="144">
        <v>1</v>
      </c>
      <c r="W3" s="144">
        <v>0</v>
      </c>
    </row>
    <row r="4" spans="1:23"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row>
    <row r="5" spans="1:23" ht="15" customHeight="1">
      <c r="A5" s="102" t="s">
        <v>554</v>
      </c>
      <c r="B5" s="103" t="s">
        <v>116</v>
      </c>
      <c r="C5" s="103" t="s">
        <v>117</v>
      </c>
      <c r="D5" s="102" t="s">
        <v>118</v>
      </c>
      <c r="E5" s="103" t="s">
        <v>119</v>
      </c>
      <c r="F5" s="102" t="s">
        <v>1605</v>
      </c>
      <c r="G5" s="103" t="s">
        <v>20</v>
      </c>
      <c r="H5" s="103">
        <v>201611</v>
      </c>
      <c r="I5" s="104">
        <v>244437.36</v>
      </c>
      <c r="J5" s="144">
        <f>HLOOKUP(H5,$Q$2:$W$3,2)</f>
        <v>6</v>
      </c>
      <c r="K5" s="148">
        <v>1.4833299999999999E-3</v>
      </c>
      <c r="L5" s="154">
        <f>ROUND(I5*J5*K5,2)</f>
        <v>2175.4899999999998</v>
      </c>
      <c r="M5" s="154">
        <f>ROUND(I5*K5*12,2)</f>
        <v>4350.9799999999996</v>
      </c>
      <c r="N5" s="145"/>
      <c r="O5" s="168" t="str">
        <f>VLOOKUP(C5,'New Wo Detailed Descr Rev'!$A$5:$D$287,4)</f>
        <v>BWO-Encapsulation Cast Iron Joints - Encapsulation of Cast Iron Joints</v>
      </c>
    </row>
    <row r="6" spans="1:23" ht="15" customHeight="1">
      <c r="A6" s="102" t="s">
        <v>554</v>
      </c>
      <c r="B6" s="103" t="s">
        <v>116</v>
      </c>
      <c r="C6" s="103" t="s">
        <v>117</v>
      </c>
      <c r="D6" s="102" t="s">
        <v>2432</v>
      </c>
      <c r="E6" s="103" t="s">
        <v>119</v>
      </c>
      <c r="F6" s="102" t="s">
        <v>1605</v>
      </c>
      <c r="G6" s="103" t="s">
        <v>20</v>
      </c>
      <c r="H6" s="103">
        <v>201612</v>
      </c>
      <c r="I6" s="104">
        <v>93849.82</v>
      </c>
      <c r="J6" s="144">
        <f>HLOOKUP(H6,$Q$2:$W$3,2)</f>
        <v>5</v>
      </c>
      <c r="K6" s="148">
        <v>1.4833299999999999E-3</v>
      </c>
      <c r="L6" s="154">
        <f>ROUND(I6*J6*K6,2)</f>
        <v>696.05</v>
      </c>
      <c r="M6" s="154">
        <f>ROUND(I6*K6*12,2)</f>
        <v>1670.52</v>
      </c>
      <c r="N6" s="145"/>
      <c r="O6" s="168" t="str">
        <f>VLOOKUP(C6,'New Wo Detailed Descr Rev'!$A$5:$D$287,4)</f>
        <v>BWO-Encapsulation Cast Iron Joints - Encapsulation of Cast Iron Joints</v>
      </c>
    </row>
    <row r="7" spans="1:23" ht="15" customHeight="1">
      <c r="A7" s="102"/>
      <c r="B7" s="103"/>
      <c r="C7" s="103"/>
      <c r="D7" s="102"/>
      <c r="E7" s="103"/>
      <c r="F7" s="329" t="s">
        <v>2329</v>
      </c>
      <c r="G7" s="404"/>
      <c r="H7" s="404"/>
      <c r="I7" s="312">
        <f>SUM(I5:I6)</f>
        <v>338287.18</v>
      </c>
      <c r="J7" s="405"/>
      <c r="K7" s="406"/>
      <c r="L7" s="312">
        <f>SUM(L5:L6)</f>
        <v>2871.54</v>
      </c>
      <c r="M7" s="312">
        <f>SUM(M5:M6)</f>
        <v>6021.5</v>
      </c>
      <c r="N7" s="145"/>
      <c r="O7" s="168"/>
    </row>
    <row r="8" spans="1:23" ht="15" customHeight="1">
      <c r="A8" s="102"/>
      <c r="B8" s="103"/>
      <c r="C8" s="103"/>
      <c r="D8" s="102"/>
      <c r="E8" s="103"/>
      <c r="F8" s="102"/>
      <c r="G8" s="103"/>
      <c r="H8" s="103"/>
      <c r="I8" s="104"/>
      <c r="J8" s="144"/>
      <c r="K8" s="148"/>
      <c r="L8" s="154"/>
      <c r="M8" s="154"/>
      <c r="N8" s="145"/>
      <c r="O8" s="168"/>
    </row>
    <row r="9" spans="1:23" ht="15" customHeight="1">
      <c r="A9" s="102" t="s">
        <v>14</v>
      </c>
      <c r="B9" s="103" t="s">
        <v>195</v>
      </c>
      <c r="C9" s="103" t="s">
        <v>196</v>
      </c>
      <c r="D9" s="102" t="s">
        <v>1674</v>
      </c>
      <c r="E9" s="103" t="s">
        <v>198</v>
      </c>
      <c r="F9" s="102" t="s">
        <v>1610</v>
      </c>
      <c r="G9" s="103" t="s">
        <v>20</v>
      </c>
      <c r="H9" s="103">
        <v>201611</v>
      </c>
      <c r="I9" s="104">
        <v>487210.4</v>
      </c>
      <c r="J9" s="144">
        <f t="shared" ref="J9:J19" si="0">HLOOKUP(H9,$Q$2:$W$3,2)</f>
        <v>6</v>
      </c>
      <c r="K9" s="148">
        <v>2.23333E-3</v>
      </c>
      <c r="L9" s="154">
        <f t="shared" ref="L9:L19" si="1">ROUND(I9*J9*K9,2)</f>
        <v>6528.61</v>
      </c>
      <c r="M9" s="154">
        <f t="shared" ref="M9:M19" si="2">ROUND(I9*K9*12,2)</f>
        <v>13057.22</v>
      </c>
      <c r="N9" s="145"/>
      <c r="O9" s="168" t="str">
        <f>VLOOKUP(C9,'New Wo Detailed Descr Rev'!$A$5:$D$287,4)</f>
        <v>BWO-Replace Service w/ Plastic (North Region) - Project Type:B</v>
      </c>
    </row>
    <row r="10" spans="1:23" ht="15" customHeight="1">
      <c r="A10" s="102" t="s">
        <v>14</v>
      </c>
      <c r="B10" s="103" t="s">
        <v>195</v>
      </c>
      <c r="C10" s="103" t="s">
        <v>196</v>
      </c>
      <c r="D10" s="102" t="s">
        <v>1674</v>
      </c>
      <c r="E10" s="103" t="s">
        <v>198</v>
      </c>
      <c r="F10" s="102" t="s">
        <v>1610</v>
      </c>
      <c r="G10" s="103" t="s">
        <v>20</v>
      </c>
      <c r="H10" s="103">
        <v>201612</v>
      </c>
      <c r="I10" s="104">
        <v>359592.56</v>
      </c>
      <c r="J10" s="144">
        <f t="shared" si="0"/>
        <v>5</v>
      </c>
      <c r="K10" s="148">
        <v>2.23333E-3</v>
      </c>
      <c r="L10" s="154">
        <f t="shared" si="1"/>
        <v>4015.44</v>
      </c>
      <c r="M10" s="154">
        <f t="shared" si="2"/>
        <v>9637.07</v>
      </c>
      <c r="N10" s="145"/>
      <c r="O10" s="168" t="str">
        <f>VLOOKUP(C10,'New Wo Detailed Descr Rev'!$A$5:$D$287,4)</f>
        <v>BWO-Replace Service w/ Plastic (North Region) - Project Type:B</v>
      </c>
    </row>
    <row r="11" spans="1:23" ht="15" customHeight="1">
      <c r="A11" s="102" t="s">
        <v>14</v>
      </c>
      <c r="B11" s="103" t="s">
        <v>2433</v>
      </c>
      <c r="C11" s="103" t="s">
        <v>2434</v>
      </c>
      <c r="D11" s="102" t="s">
        <v>197</v>
      </c>
      <c r="E11" s="103" t="s">
        <v>198</v>
      </c>
      <c r="F11" s="102" t="s">
        <v>1610</v>
      </c>
      <c r="G11" s="103" t="s">
        <v>20</v>
      </c>
      <c r="H11" s="103">
        <v>201612</v>
      </c>
      <c r="I11" s="104">
        <v>800</v>
      </c>
      <c r="J11" s="144">
        <f t="shared" si="0"/>
        <v>5</v>
      </c>
      <c r="K11" s="148">
        <v>2.23333E-3</v>
      </c>
      <c r="L11" s="154">
        <f t="shared" si="1"/>
        <v>8.93</v>
      </c>
      <c r="M11" s="154">
        <f t="shared" si="2"/>
        <v>21.44</v>
      </c>
      <c r="N11" s="145"/>
      <c r="O11" s="168" t="str">
        <f>VLOOKUP(C11,'New Wo Detailed Descr Rev'!$A$5:$D$287,4)</f>
        <v>BWO-REPLACE SERVICE - Project Type:B</v>
      </c>
    </row>
    <row r="12" spans="1:23" ht="15" customHeight="1">
      <c r="A12" s="102" t="s">
        <v>1942</v>
      </c>
      <c r="B12" s="103" t="s">
        <v>1681</v>
      </c>
      <c r="C12" s="103" t="s">
        <v>1682</v>
      </c>
      <c r="D12" s="102" t="s">
        <v>1683</v>
      </c>
      <c r="E12" s="103" t="s">
        <v>198</v>
      </c>
      <c r="F12" s="102" t="s">
        <v>1610</v>
      </c>
      <c r="G12" s="103" t="s">
        <v>20</v>
      </c>
      <c r="H12" s="103">
        <v>201612</v>
      </c>
      <c r="I12" s="104">
        <v>469.24</v>
      </c>
      <c r="J12" s="144">
        <f t="shared" si="0"/>
        <v>5</v>
      </c>
      <c r="K12" s="155">
        <v>2.23333E-3</v>
      </c>
      <c r="L12" s="154">
        <f t="shared" si="1"/>
        <v>5.24</v>
      </c>
      <c r="M12" s="154">
        <f t="shared" si="2"/>
        <v>12.58</v>
      </c>
      <c r="N12" s="145"/>
      <c r="O12" s="168" t="str">
        <f>VLOOKUP(C12,'New Wo Detailed Descr Rev'!$A$5:$D$287,4)</f>
        <v>BWO- Replace Service with Steel (North Region) - Replace service lines with steel - North Region</v>
      </c>
    </row>
    <row r="13" spans="1:23" ht="15" customHeight="1">
      <c r="A13" s="102" t="s">
        <v>14</v>
      </c>
      <c r="B13" s="103" t="s">
        <v>200</v>
      </c>
      <c r="C13" s="103" t="s">
        <v>201</v>
      </c>
      <c r="D13" s="102" t="s">
        <v>1675</v>
      </c>
      <c r="E13" s="103" t="s">
        <v>202</v>
      </c>
      <c r="F13" s="102" t="s">
        <v>1611</v>
      </c>
      <c r="G13" s="103" t="s">
        <v>20</v>
      </c>
      <c r="H13" s="103">
        <v>201611</v>
      </c>
      <c r="I13" s="104">
        <v>68282.350000000006</v>
      </c>
      <c r="J13" s="144">
        <f t="shared" si="0"/>
        <v>6</v>
      </c>
      <c r="K13" s="148">
        <v>2.23333E-3</v>
      </c>
      <c r="L13" s="154">
        <f t="shared" si="1"/>
        <v>914.98</v>
      </c>
      <c r="M13" s="154">
        <f t="shared" si="2"/>
        <v>1829.96</v>
      </c>
      <c r="N13" s="145"/>
      <c r="O13" s="168" t="str">
        <f>VLOOKUP(C13,'New Wo Detailed Descr Rev'!$A$5:$D$287,4)</f>
        <v>BWO-Replace Service w/ Plastic (South Region) - Project Type:B</v>
      </c>
    </row>
    <row r="14" spans="1:23" ht="15" customHeight="1">
      <c r="A14" s="102" t="s">
        <v>14</v>
      </c>
      <c r="B14" s="103" t="s">
        <v>200</v>
      </c>
      <c r="C14" s="103" t="s">
        <v>201</v>
      </c>
      <c r="D14" s="102" t="s">
        <v>1675</v>
      </c>
      <c r="E14" s="103" t="s">
        <v>202</v>
      </c>
      <c r="F14" s="102" t="s">
        <v>1611</v>
      </c>
      <c r="G14" s="103" t="s">
        <v>20</v>
      </c>
      <c r="H14" s="103">
        <v>201612</v>
      </c>
      <c r="I14" s="104">
        <v>138136.6</v>
      </c>
      <c r="J14" s="144">
        <f t="shared" si="0"/>
        <v>5</v>
      </c>
      <c r="K14" s="148">
        <v>2.23333E-3</v>
      </c>
      <c r="L14" s="154">
        <f t="shared" si="1"/>
        <v>1542.52</v>
      </c>
      <c r="M14" s="154">
        <f t="shared" si="2"/>
        <v>3702.06</v>
      </c>
      <c r="N14" s="145"/>
      <c r="O14" s="168" t="str">
        <f>VLOOKUP(C14,'New Wo Detailed Descr Rev'!$A$5:$D$287,4)</f>
        <v>BWO-Replace Service w/ Plastic (South Region) - Project Type:B</v>
      </c>
    </row>
    <row r="15" spans="1:23" ht="15" customHeight="1">
      <c r="A15" s="102" t="s">
        <v>1942</v>
      </c>
      <c r="B15" s="103" t="s">
        <v>1681</v>
      </c>
      <c r="C15" s="103" t="s">
        <v>1943</v>
      </c>
      <c r="D15" s="102" t="s">
        <v>1944</v>
      </c>
      <c r="E15" s="103" t="s">
        <v>202</v>
      </c>
      <c r="F15" s="102" t="s">
        <v>1611</v>
      </c>
      <c r="G15" s="103" t="s">
        <v>20</v>
      </c>
      <c r="H15" s="103">
        <v>201611</v>
      </c>
      <c r="I15" s="104">
        <v>-41.15</v>
      </c>
      <c r="J15" s="144">
        <f t="shared" si="0"/>
        <v>6</v>
      </c>
      <c r="K15" s="155">
        <v>2.23333E-3</v>
      </c>
      <c r="L15" s="154">
        <f t="shared" si="1"/>
        <v>-0.55000000000000004</v>
      </c>
      <c r="M15" s="154">
        <f t="shared" si="2"/>
        <v>-1.1000000000000001</v>
      </c>
      <c r="N15" s="145"/>
      <c r="O15" s="168" t="str">
        <f>VLOOKUP(C15,'New Wo Detailed Descr Rev'!$A$5:$D$287,4)</f>
        <v>BWO-Replace Service with Steel (South Region) - BWO-Replace Service with Steel (South Region)</v>
      </c>
    </row>
    <row r="16" spans="1:23" ht="15" customHeight="1">
      <c r="A16" s="102" t="s">
        <v>1942</v>
      </c>
      <c r="B16" s="103" t="s">
        <v>1681</v>
      </c>
      <c r="C16" s="103" t="s">
        <v>1943</v>
      </c>
      <c r="D16" s="102" t="s">
        <v>1944</v>
      </c>
      <c r="E16" s="103" t="s">
        <v>202</v>
      </c>
      <c r="F16" s="102" t="s">
        <v>1611</v>
      </c>
      <c r="G16" s="103" t="s">
        <v>20</v>
      </c>
      <c r="H16" s="103">
        <v>201612</v>
      </c>
      <c r="I16" s="104">
        <v>273.69</v>
      </c>
      <c r="J16" s="144">
        <f t="shared" si="0"/>
        <v>5</v>
      </c>
      <c r="K16" s="155">
        <v>2.23333E-3</v>
      </c>
      <c r="L16" s="154">
        <f t="shared" si="1"/>
        <v>3.06</v>
      </c>
      <c r="M16" s="154">
        <f t="shared" si="2"/>
        <v>7.33</v>
      </c>
      <c r="N16" s="145"/>
      <c r="O16" s="168" t="str">
        <f>VLOOKUP(C16,'New Wo Detailed Descr Rev'!$A$5:$D$287,4)</f>
        <v>BWO-Replace Service with Steel (South Region) - BWO-Replace Service with Steel (South Region)</v>
      </c>
    </row>
    <row r="17" spans="1:15" ht="15" customHeight="1">
      <c r="A17" s="102" t="s">
        <v>14</v>
      </c>
      <c r="B17" s="103" t="s">
        <v>292</v>
      </c>
      <c r="C17" s="103" t="s">
        <v>293</v>
      </c>
      <c r="D17" s="102" t="s">
        <v>1679</v>
      </c>
      <c r="E17" s="103" t="s">
        <v>294</v>
      </c>
      <c r="F17" s="102" t="s">
        <v>1613</v>
      </c>
      <c r="G17" s="103" t="s">
        <v>20</v>
      </c>
      <c r="H17" s="103">
        <v>201611</v>
      </c>
      <c r="I17" s="104">
        <v>50506.33</v>
      </c>
      <c r="J17" s="144">
        <f t="shared" si="0"/>
        <v>6</v>
      </c>
      <c r="K17" s="148">
        <v>2.23333E-3</v>
      </c>
      <c r="L17" s="154">
        <f t="shared" si="1"/>
        <v>676.78</v>
      </c>
      <c r="M17" s="154">
        <f t="shared" si="2"/>
        <v>1353.57</v>
      </c>
      <c r="N17" s="145"/>
      <c r="O17" s="168" t="str">
        <f>VLOOKUP(C17,'New Wo Detailed Descr Rev'!$A$5:$D$287,4)</f>
        <v>BWO-Replace Service w/ Plastic (Southwest Region) - Project Type:B</v>
      </c>
    </row>
    <row r="18" spans="1:15" ht="15" customHeight="1">
      <c r="A18" s="102" t="s">
        <v>14</v>
      </c>
      <c r="B18" s="103" t="s">
        <v>292</v>
      </c>
      <c r="C18" s="103" t="s">
        <v>293</v>
      </c>
      <c r="D18" s="102" t="s">
        <v>1679</v>
      </c>
      <c r="E18" s="103" t="s">
        <v>294</v>
      </c>
      <c r="F18" s="102" t="s">
        <v>1613</v>
      </c>
      <c r="G18" s="103" t="s">
        <v>20</v>
      </c>
      <c r="H18" s="103">
        <v>201612</v>
      </c>
      <c r="I18" s="104">
        <v>24886.94</v>
      </c>
      <c r="J18" s="144">
        <f t="shared" si="0"/>
        <v>5</v>
      </c>
      <c r="K18" s="148">
        <v>2.23333E-3</v>
      </c>
      <c r="L18" s="154">
        <f t="shared" si="1"/>
        <v>277.89999999999998</v>
      </c>
      <c r="M18" s="154">
        <f t="shared" si="2"/>
        <v>666.97</v>
      </c>
      <c r="N18" s="145"/>
      <c r="O18" s="168" t="str">
        <f>VLOOKUP(C18,'New Wo Detailed Descr Rev'!$A$5:$D$287,4)</f>
        <v>BWO-Replace Service w/ Plastic (Southwest Region) - Project Type:B</v>
      </c>
    </row>
    <row r="19" spans="1:15" ht="15" customHeight="1">
      <c r="A19" s="102" t="s">
        <v>1942</v>
      </c>
      <c r="B19" s="103" t="s">
        <v>1681</v>
      </c>
      <c r="C19" s="103" t="s">
        <v>1976</v>
      </c>
      <c r="D19" s="102" t="s">
        <v>1977</v>
      </c>
      <c r="E19" s="103" t="s">
        <v>294</v>
      </c>
      <c r="F19" s="102" t="s">
        <v>1613</v>
      </c>
      <c r="G19" s="103" t="s">
        <v>20</v>
      </c>
      <c r="H19" s="103">
        <v>201612</v>
      </c>
      <c r="I19" s="104">
        <v>6674.56</v>
      </c>
      <c r="J19" s="144">
        <f t="shared" si="0"/>
        <v>5</v>
      </c>
      <c r="K19" s="155">
        <v>2.23333E-3</v>
      </c>
      <c r="L19" s="154">
        <f t="shared" si="1"/>
        <v>74.53</v>
      </c>
      <c r="M19" s="154">
        <f t="shared" si="2"/>
        <v>178.88</v>
      </c>
      <c r="N19" s="145"/>
      <c r="O19" s="168" t="str">
        <f>VLOOKUP(C19,'New Wo Detailed Descr Rev'!$A$5:$D$287,4)</f>
        <v>BWO-Replace Svc w/ Steel (Southwest) - BWO-Replace Svc w/ Steel (Southwest)</v>
      </c>
    </row>
    <row r="20" spans="1:15" ht="15" customHeight="1">
      <c r="A20" s="102"/>
      <c r="B20" s="103"/>
      <c r="C20" s="103"/>
      <c r="D20" s="102"/>
      <c r="E20" s="103"/>
      <c r="F20" s="329" t="s">
        <v>2591</v>
      </c>
      <c r="G20" s="404"/>
      <c r="H20" s="404"/>
      <c r="I20" s="312">
        <f>SUM(I9:I19)</f>
        <v>1136791.52</v>
      </c>
      <c r="J20" s="405"/>
      <c r="K20" s="407"/>
      <c r="L20" s="312">
        <f>SUM(L9:L19)</f>
        <v>14047.44</v>
      </c>
      <c r="M20" s="312">
        <f>SUM(M9:M19)</f>
        <v>30465.980000000007</v>
      </c>
      <c r="N20" s="145"/>
      <c r="O20" s="168"/>
    </row>
    <row r="21" spans="1:15" ht="15" customHeight="1">
      <c r="A21" s="102"/>
      <c r="B21" s="103"/>
      <c r="C21" s="103"/>
      <c r="D21" s="102"/>
      <c r="E21" s="103"/>
      <c r="F21" s="102"/>
      <c r="G21" s="103"/>
      <c r="H21" s="103"/>
      <c r="I21" s="104"/>
      <c r="J21" s="144"/>
      <c r="K21" s="155"/>
      <c r="L21" s="154"/>
      <c r="M21" s="154"/>
      <c r="N21" s="145"/>
      <c r="O21" s="168"/>
    </row>
    <row r="22" spans="1:15" ht="15" customHeight="1">
      <c r="A22" s="102" t="s">
        <v>626</v>
      </c>
      <c r="B22" s="103" t="s">
        <v>1681</v>
      </c>
      <c r="C22" s="103" t="s">
        <v>1703</v>
      </c>
      <c r="D22" s="102" t="s">
        <v>1704</v>
      </c>
      <c r="E22" s="103" t="s">
        <v>164</v>
      </c>
      <c r="F22" s="102" t="s">
        <v>1600</v>
      </c>
      <c r="G22" s="103" t="s">
        <v>20</v>
      </c>
      <c r="H22" s="103">
        <v>201611</v>
      </c>
      <c r="I22" s="104">
        <v>471.84</v>
      </c>
      <c r="J22" s="144">
        <f t="shared" ref="J22:J85" si="3">HLOOKUP(H22,$Q$2:$W$3,2)</f>
        <v>6</v>
      </c>
      <c r="K22" s="155">
        <v>1.4833299999999999E-3</v>
      </c>
      <c r="L22" s="154">
        <f t="shared" ref="L22:L85" si="4">ROUND(I22*J22*K22,2)</f>
        <v>4.2</v>
      </c>
      <c r="M22" s="154">
        <f t="shared" ref="M22:M85" si="5">ROUND(I22*K22*12,2)</f>
        <v>8.4</v>
      </c>
      <c r="N22" s="145"/>
      <c r="O22" s="168" t="str">
        <f>VLOOKUP(C22,'New Wo Detailed Descr Rev'!$A$5:$D$287,4)</f>
        <v>BWO Main Installed Mtce North Region - For short replacements of main done on emergency basis - North Region</v>
      </c>
    </row>
    <row r="23" spans="1:15" ht="15" customHeight="1">
      <c r="A23" s="102" t="s">
        <v>626</v>
      </c>
      <c r="B23" s="103" t="s">
        <v>1681</v>
      </c>
      <c r="C23" s="103" t="s">
        <v>1703</v>
      </c>
      <c r="D23" s="102" t="s">
        <v>1704</v>
      </c>
      <c r="E23" s="103" t="s">
        <v>164</v>
      </c>
      <c r="F23" s="102" t="s">
        <v>1600</v>
      </c>
      <c r="G23" s="103" t="s">
        <v>20</v>
      </c>
      <c r="H23" s="103">
        <v>201612</v>
      </c>
      <c r="I23" s="104">
        <v>8031.33</v>
      </c>
      <c r="J23" s="144">
        <f t="shared" si="3"/>
        <v>5</v>
      </c>
      <c r="K23" s="155">
        <v>1.4833299999999999E-3</v>
      </c>
      <c r="L23" s="154">
        <f t="shared" si="4"/>
        <v>59.57</v>
      </c>
      <c r="M23" s="154">
        <f t="shared" si="5"/>
        <v>142.96</v>
      </c>
      <c r="N23" s="145"/>
      <c r="O23" s="168" t="str">
        <f>VLOOKUP(C23,'New Wo Detailed Descr Rev'!$A$5:$D$287,4)</f>
        <v>BWO Main Installed Mtce North Region - For short replacements of main done on emergency basis - North Region</v>
      </c>
    </row>
    <row r="24" spans="1:15" ht="15" customHeight="1">
      <c r="A24" s="102" t="s">
        <v>21</v>
      </c>
      <c r="B24" s="103" t="s">
        <v>1681</v>
      </c>
      <c r="C24" s="103" t="s">
        <v>2003</v>
      </c>
      <c r="D24" s="102" t="s">
        <v>2004</v>
      </c>
      <c r="E24" s="103" t="s">
        <v>164</v>
      </c>
      <c r="F24" s="102" t="s">
        <v>1600</v>
      </c>
      <c r="G24" s="103" t="s">
        <v>20</v>
      </c>
      <c r="H24" s="103">
        <v>201611</v>
      </c>
      <c r="I24" s="104">
        <v>1138.8699999999999</v>
      </c>
      <c r="J24" s="144">
        <f t="shared" si="3"/>
        <v>6</v>
      </c>
      <c r="K24" s="155">
        <v>1.4833299999999999E-3</v>
      </c>
      <c r="L24" s="154">
        <f t="shared" si="4"/>
        <v>10.14</v>
      </c>
      <c r="M24" s="154">
        <f t="shared" si="5"/>
        <v>20.27</v>
      </c>
      <c r="N24" s="145"/>
      <c r="O24" s="168" t="str">
        <f>VLOOKUP(C24,'New Wo Detailed Descr Rev'!$A$5:$D$287,4)</f>
        <v>Install 200ft of 6in PE and abandon 200ft of 8in cast iron at 2021 Elmwood due to Angle of Repose. Due 11/13/2015 - 0</v>
      </c>
    </row>
    <row r="25" spans="1:15" ht="15" customHeight="1">
      <c r="A25" s="102" t="s">
        <v>626</v>
      </c>
      <c r="B25" s="103" t="s">
        <v>1681</v>
      </c>
      <c r="C25" s="103" t="s">
        <v>2003</v>
      </c>
      <c r="D25" s="102" t="s">
        <v>2004</v>
      </c>
      <c r="E25" s="103" t="s">
        <v>164</v>
      </c>
      <c r="F25" s="102" t="s">
        <v>1600</v>
      </c>
      <c r="G25" s="103" t="s">
        <v>20</v>
      </c>
      <c r="H25" s="103">
        <v>201611</v>
      </c>
      <c r="I25" s="104">
        <v>23447.360000000001</v>
      </c>
      <c r="J25" s="144">
        <f t="shared" si="3"/>
        <v>6</v>
      </c>
      <c r="K25" s="155">
        <v>1.4833299999999999E-3</v>
      </c>
      <c r="L25" s="154">
        <f t="shared" si="4"/>
        <v>208.68</v>
      </c>
      <c r="M25" s="154">
        <f t="shared" si="5"/>
        <v>417.36</v>
      </c>
      <c r="N25" s="145"/>
      <c r="O25" s="168" t="str">
        <f>VLOOKUP(C25,'New Wo Detailed Descr Rev'!$A$5:$D$287,4)</f>
        <v>Install 200ft of 6in PE and abandon 200ft of 8in cast iron at 2021 Elmwood due to Angle of Repose. Due 11/13/2015 - 0</v>
      </c>
    </row>
    <row r="26" spans="1:15" ht="15" customHeight="1">
      <c r="A26" s="102" t="s">
        <v>14</v>
      </c>
      <c r="B26" s="103" t="s">
        <v>1681</v>
      </c>
      <c r="C26" s="103" t="s">
        <v>2003</v>
      </c>
      <c r="D26" s="102" t="s">
        <v>2004</v>
      </c>
      <c r="E26" s="103" t="s">
        <v>164</v>
      </c>
      <c r="F26" s="102" t="s">
        <v>1600</v>
      </c>
      <c r="G26" s="103" t="s">
        <v>20</v>
      </c>
      <c r="H26" s="103">
        <v>201611</v>
      </c>
      <c r="I26" s="104">
        <v>1128.8499999999999</v>
      </c>
      <c r="J26" s="144">
        <f t="shared" si="3"/>
        <v>6</v>
      </c>
      <c r="K26" s="148">
        <v>2.23333E-3</v>
      </c>
      <c r="L26" s="154">
        <f t="shared" si="4"/>
        <v>15.13</v>
      </c>
      <c r="M26" s="154">
        <f t="shared" si="5"/>
        <v>30.25</v>
      </c>
      <c r="N26" s="145"/>
      <c r="O26" s="168" t="str">
        <f>VLOOKUP(C26,'New Wo Detailed Descr Rev'!$A$5:$D$287,4)</f>
        <v>Install 200ft of 6in PE and abandon 200ft of 8in cast iron at 2021 Elmwood due to Angle of Repose. Due 11/13/2015 - 0</v>
      </c>
    </row>
    <row r="27" spans="1:15" ht="15" customHeight="1">
      <c r="A27" s="102" t="s">
        <v>21</v>
      </c>
      <c r="B27" s="103" t="s">
        <v>1681</v>
      </c>
      <c r="C27" s="103" t="s">
        <v>2315</v>
      </c>
      <c r="D27" s="102" t="s">
        <v>2316</v>
      </c>
      <c r="E27" s="103" t="s">
        <v>164</v>
      </c>
      <c r="F27" s="102" t="s">
        <v>1600</v>
      </c>
      <c r="G27" s="103" t="s">
        <v>20</v>
      </c>
      <c r="H27" s="103">
        <v>201611</v>
      </c>
      <c r="I27" s="104">
        <v>0.06</v>
      </c>
      <c r="J27" s="144">
        <f t="shared" si="3"/>
        <v>6</v>
      </c>
      <c r="K27" s="155">
        <v>1.4833299999999999E-3</v>
      </c>
      <c r="L27" s="154">
        <f t="shared" si="4"/>
        <v>0</v>
      </c>
      <c r="M27" s="154">
        <f t="shared" si="5"/>
        <v>0</v>
      </c>
      <c r="N27" s="145"/>
      <c r="O27" s="168" t="str">
        <f>VLOOKUP(C27,'New Wo Detailed Descr Rev'!$A$5:$D$287,4)</f>
        <v>Install 6439' of 2'' PE and 3027' of 4'' PE. Abandon 230' of 2'' PL, 220' of 2’’ ST, 28’ of 4’’ PL, 4024’ of 4’’ STL, 4944’ of 6’’ CI, 320’ of 6’’ STL. Existing PE main in the project area will be uprated. - FY16 Main replacement program for St. Joseph, MO</v>
      </c>
    </row>
    <row r="28" spans="1:15" ht="15" customHeight="1">
      <c r="A28" s="102" t="s">
        <v>626</v>
      </c>
      <c r="B28" s="103" t="s">
        <v>1681</v>
      </c>
      <c r="C28" s="103" t="s">
        <v>2315</v>
      </c>
      <c r="D28" s="102" t="s">
        <v>2316</v>
      </c>
      <c r="E28" s="103" t="s">
        <v>164</v>
      </c>
      <c r="F28" s="102" t="s">
        <v>1600</v>
      </c>
      <c r="G28" s="103" t="s">
        <v>20</v>
      </c>
      <c r="H28" s="103">
        <v>201611</v>
      </c>
      <c r="I28" s="104">
        <v>118.87</v>
      </c>
      <c r="J28" s="144">
        <f t="shared" si="3"/>
        <v>6</v>
      </c>
      <c r="K28" s="155">
        <v>1.4833299999999999E-3</v>
      </c>
      <c r="L28" s="154">
        <f t="shared" si="4"/>
        <v>1.06</v>
      </c>
      <c r="M28" s="154">
        <f t="shared" si="5"/>
        <v>2.12</v>
      </c>
      <c r="N28" s="145"/>
      <c r="O28" s="168" t="str">
        <f>VLOOKUP(C28,'New Wo Detailed Descr Rev'!$A$5:$D$287,4)</f>
        <v>Install 6439' of 2'' PE and 3027' of 4'' PE. Abandon 230' of 2'' PL, 220' of 2’’ ST, 28’ of 4’’ PL, 4024’ of 4’’ STL, 4944’ of 6’’ CI, 320’ of 6’’ STL. Existing PE main in the project area will be uprated. - FY16 Main replacement program for St. Joseph, MO</v>
      </c>
    </row>
    <row r="29" spans="1:15" ht="15" customHeight="1">
      <c r="A29" s="102" t="s">
        <v>14</v>
      </c>
      <c r="B29" s="103" t="s">
        <v>1681</v>
      </c>
      <c r="C29" s="103" t="s">
        <v>2315</v>
      </c>
      <c r="D29" s="102" t="s">
        <v>2316</v>
      </c>
      <c r="E29" s="103" t="s">
        <v>164</v>
      </c>
      <c r="F29" s="102" t="s">
        <v>1600</v>
      </c>
      <c r="G29" s="103" t="s">
        <v>20</v>
      </c>
      <c r="H29" s="103">
        <v>201611</v>
      </c>
      <c r="I29" s="104">
        <v>50.94</v>
      </c>
      <c r="J29" s="144">
        <f t="shared" si="3"/>
        <v>6</v>
      </c>
      <c r="K29" s="148">
        <v>2.23333E-3</v>
      </c>
      <c r="L29" s="154">
        <f t="shared" si="4"/>
        <v>0.68</v>
      </c>
      <c r="M29" s="154">
        <f t="shared" si="5"/>
        <v>1.37</v>
      </c>
      <c r="N29" s="145"/>
      <c r="O29" s="168" t="str">
        <f>VLOOKUP(C29,'New Wo Detailed Descr Rev'!$A$5:$D$287,4)</f>
        <v>Install 6439' of 2'' PE and 3027' of 4'' PE. Abandon 230' of 2'' PL, 220' of 2’’ ST, 28’ of 4’’ PL, 4024’ of 4’’ STL, 4944’ of 6’’ CI, 320’ of 6’’ STL. Existing PE main in the project area will be uprated. - FY16 Main replacement program for St. Joseph, MO</v>
      </c>
    </row>
    <row r="30" spans="1:15" ht="15" customHeight="1">
      <c r="A30" s="102" t="s">
        <v>21</v>
      </c>
      <c r="B30" s="103" t="s">
        <v>1681</v>
      </c>
      <c r="C30" s="103" t="s">
        <v>2315</v>
      </c>
      <c r="D30" s="102" t="s">
        <v>2316</v>
      </c>
      <c r="E30" s="103" t="s">
        <v>164</v>
      </c>
      <c r="F30" s="102" t="s">
        <v>1600</v>
      </c>
      <c r="G30" s="103" t="s">
        <v>20</v>
      </c>
      <c r="H30" s="103">
        <v>201612</v>
      </c>
      <c r="I30" s="104">
        <v>-0.01</v>
      </c>
      <c r="J30" s="144">
        <f t="shared" si="3"/>
        <v>5</v>
      </c>
      <c r="K30" s="155">
        <v>1.4833299999999999E-3</v>
      </c>
      <c r="L30" s="154">
        <f t="shared" si="4"/>
        <v>0</v>
      </c>
      <c r="M30" s="154">
        <f t="shared" si="5"/>
        <v>0</v>
      </c>
      <c r="N30" s="145"/>
      <c r="O30" s="168" t="str">
        <f>VLOOKUP(C30,'New Wo Detailed Descr Rev'!$A$5:$D$287,4)</f>
        <v>Install 6439' of 2'' PE and 3027' of 4'' PE. Abandon 230' of 2'' PL, 220' of 2’’ ST, 28’ of 4’’ PL, 4024’ of 4’’ STL, 4944’ of 6’’ CI, 320’ of 6’’ STL. Existing PE main in the project area will be uprated. - FY16 Main replacement program for St. Joseph, MO</v>
      </c>
    </row>
    <row r="31" spans="1:15" ht="15" customHeight="1">
      <c r="A31" s="102" t="s">
        <v>626</v>
      </c>
      <c r="B31" s="103" t="s">
        <v>1681</v>
      </c>
      <c r="C31" s="103" t="s">
        <v>2315</v>
      </c>
      <c r="D31" s="102" t="s">
        <v>2316</v>
      </c>
      <c r="E31" s="103" t="s">
        <v>164</v>
      </c>
      <c r="F31" s="102" t="s">
        <v>1600</v>
      </c>
      <c r="G31" s="103" t="s">
        <v>20</v>
      </c>
      <c r="H31" s="103">
        <v>201612</v>
      </c>
      <c r="I31" s="104">
        <v>-13.77</v>
      </c>
      <c r="J31" s="144">
        <f t="shared" si="3"/>
        <v>5</v>
      </c>
      <c r="K31" s="155">
        <v>1.4833299999999999E-3</v>
      </c>
      <c r="L31" s="154">
        <f t="shared" si="4"/>
        <v>-0.1</v>
      </c>
      <c r="M31" s="154">
        <f t="shared" si="5"/>
        <v>-0.25</v>
      </c>
      <c r="N31" s="145"/>
      <c r="O31" s="168" t="str">
        <f>VLOOKUP(C31,'New Wo Detailed Descr Rev'!$A$5:$D$287,4)</f>
        <v>Install 6439' of 2'' PE and 3027' of 4'' PE. Abandon 230' of 2'' PL, 220' of 2’’ ST, 28’ of 4’’ PL, 4024’ of 4’’ STL, 4944’ of 6’’ CI, 320’ of 6’’ STL. Existing PE main in the project area will be uprated. - FY16 Main replacement program for St. Joseph, MO</v>
      </c>
    </row>
    <row r="32" spans="1:15" ht="15" customHeight="1">
      <c r="A32" s="102" t="s">
        <v>14</v>
      </c>
      <c r="B32" s="103" t="s">
        <v>1681</v>
      </c>
      <c r="C32" s="103" t="s">
        <v>2315</v>
      </c>
      <c r="D32" s="102" t="s">
        <v>2316</v>
      </c>
      <c r="E32" s="103" t="s">
        <v>164</v>
      </c>
      <c r="F32" s="102" t="s">
        <v>1600</v>
      </c>
      <c r="G32" s="103" t="s">
        <v>20</v>
      </c>
      <c r="H32" s="103">
        <v>201612</v>
      </c>
      <c r="I32" s="104">
        <v>-5.89</v>
      </c>
      <c r="J32" s="144">
        <f t="shared" si="3"/>
        <v>5</v>
      </c>
      <c r="K32" s="148">
        <v>2.23333E-3</v>
      </c>
      <c r="L32" s="154">
        <f t="shared" si="4"/>
        <v>-7.0000000000000007E-2</v>
      </c>
      <c r="M32" s="154">
        <f t="shared" si="5"/>
        <v>-0.16</v>
      </c>
      <c r="N32" s="145"/>
      <c r="O32" s="168" t="str">
        <f>VLOOKUP(C32,'New Wo Detailed Descr Rev'!$A$5:$D$287,4)</f>
        <v>Install 6439' of 2'' PE and 3027' of 4'' PE. Abandon 230' of 2'' PL, 220' of 2’’ ST, 28’ of 4’’ PL, 4024’ of 4’’ STL, 4944’ of 6’’ CI, 320’ of 6’’ STL. Existing PE main in the project area will be uprated. - FY16 Main replacement program for St. Joseph, MO</v>
      </c>
    </row>
    <row r="33" spans="1:15" ht="15" customHeight="1">
      <c r="A33" s="102" t="s">
        <v>626</v>
      </c>
      <c r="B33" s="103" t="s">
        <v>1681</v>
      </c>
      <c r="C33" s="103" t="s">
        <v>2334</v>
      </c>
      <c r="D33" s="102" t="s">
        <v>2335</v>
      </c>
      <c r="E33" s="103" t="s">
        <v>164</v>
      </c>
      <c r="F33" s="102" t="s">
        <v>1600</v>
      </c>
      <c r="G33" s="103" t="s">
        <v>20</v>
      </c>
      <c r="H33" s="103">
        <v>201611</v>
      </c>
      <c r="I33" s="104">
        <v>4048.93</v>
      </c>
      <c r="J33" s="144">
        <f t="shared" si="3"/>
        <v>6</v>
      </c>
      <c r="K33" s="155">
        <v>1.4833299999999999E-3</v>
      </c>
      <c r="L33" s="154">
        <f t="shared" si="4"/>
        <v>36.04</v>
      </c>
      <c r="M33" s="154">
        <f t="shared" si="5"/>
        <v>72.069999999999993</v>
      </c>
      <c r="N33" s="145"/>
      <c r="O33" s="168" t="str">
        <f>VLOOKUP(C33,'New Wo Detailed Descr Rev'!$A$5:$D$287,4)</f>
        <v>Install 1450 ft of 4 in and 355 ft of 2 in PL IP main on E Mill St and W Liberty Dr. Abandon 58 ft of 4 in PL, 255 ft of 2 in Steel, 9 ft of 4 in Steel, 760 ft of 5 in Steel, and 609 ft of 6 in Steel main at the same location. - Total Service Estimate: 20 Service Tie-Overs.  Main is being installed as part of the FY 2016 Bare Steel Replacement Program.</v>
      </c>
    </row>
    <row r="34" spans="1:15" ht="15" customHeight="1">
      <c r="A34" s="102" t="s">
        <v>626</v>
      </c>
      <c r="B34" s="103" t="s">
        <v>1681</v>
      </c>
      <c r="C34" s="103" t="s">
        <v>2334</v>
      </c>
      <c r="D34" s="102" t="s">
        <v>2335</v>
      </c>
      <c r="E34" s="103" t="s">
        <v>164</v>
      </c>
      <c r="F34" s="102" t="s">
        <v>1600</v>
      </c>
      <c r="G34" s="103" t="s">
        <v>20</v>
      </c>
      <c r="H34" s="103">
        <v>201612</v>
      </c>
      <c r="I34" s="104">
        <v>1529.02</v>
      </c>
      <c r="J34" s="144">
        <f t="shared" si="3"/>
        <v>5</v>
      </c>
      <c r="K34" s="155">
        <v>1.4833299999999999E-3</v>
      </c>
      <c r="L34" s="154">
        <f t="shared" si="4"/>
        <v>11.34</v>
      </c>
      <c r="M34" s="154">
        <f t="shared" si="5"/>
        <v>27.22</v>
      </c>
      <c r="N34" s="145"/>
      <c r="O34" s="168" t="str">
        <f>VLOOKUP(C34,'New Wo Detailed Descr Rev'!$A$5:$D$287,4)</f>
        <v>Install 1450 ft of 4 in and 355 ft of 2 in PL IP main on E Mill St and W Liberty Dr. Abandon 58 ft of 4 in PL, 255 ft of 2 in Steel, 9 ft of 4 in Steel, 760 ft of 5 in Steel, and 609 ft of 6 in Steel main at the same location. - Total Service Estimate: 20 Service Tie-Overs.  Main is being installed as part of the FY 2016 Bare Steel Replacement Program.</v>
      </c>
    </row>
    <row r="35" spans="1:15" ht="15" customHeight="1">
      <c r="A35" s="102" t="s">
        <v>626</v>
      </c>
      <c r="B35" s="103" t="s">
        <v>1681</v>
      </c>
      <c r="C35" s="103" t="s">
        <v>2336</v>
      </c>
      <c r="D35" s="102" t="s">
        <v>2337</v>
      </c>
      <c r="E35" s="103" t="s">
        <v>164</v>
      </c>
      <c r="F35" s="102" t="s">
        <v>1600</v>
      </c>
      <c r="G35" s="103" t="s">
        <v>20</v>
      </c>
      <c r="H35" s="103">
        <v>201611</v>
      </c>
      <c r="I35" s="104">
        <v>-11961.6</v>
      </c>
      <c r="J35" s="144">
        <f t="shared" si="3"/>
        <v>6</v>
      </c>
      <c r="K35" s="155">
        <v>1.4833299999999999E-3</v>
      </c>
      <c r="L35" s="154">
        <f t="shared" si="4"/>
        <v>-106.46</v>
      </c>
      <c r="M35" s="154">
        <f t="shared" si="5"/>
        <v>-212.92</v>
      </c>
      <c r="N35" s="145"/>
      <c r="O35" s="168" t="str">
        <f>VLOOKUP(C35,'New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36" spans="1:15" ht="15" customHeight="1">
      <c r="A36" s="102" t="s">
        <v>14</v>
      </c>
      <c r="B36" s="103" t="s">
        <v>1681</v>
      </c>
      <c r="C36" s="103" t="s">
        <v>2336</v>
      </c>
      <c r="D36" s="102" t="s">
        <v>2337</v>
      </c>
      <c r="E36" s="103" t="s">
        <v>164</v>
      </c>
      <c r="F36" s="102" t="s">
        <v>1600</v>
      </c>
      <c r="G36" s="103" t="s">
        <v>20</v>
      </c>
      <c r="H36" s="103">
        <v>201611</v>
      </c>
      <c r="I36" s="104">
        <v>-49.55</v>
      </c>
      <c r="J36" s="144">
        <f t="shared" si="3"/>
        <v>6</v>
      </c>
      <c r="K36" s="148">
        <v>2.23333E-3</v>
      </c>
      <c r="L36" s="154">
        <f t="shared" si="4"/>
        <v>-0.66</v>
      </c>
      <c r="M36" s="154">
        <f t="shared" si="5"/>
        <v>-1.33</v>
      </c>
      <c r="N36" s="145"/>
      <c r="O36" s="168" t="str">
        <f>VLOOKUP(C36,'New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37" spans="1:15" ht="15" customHeight="1">
      <c r="A37" s="102" t="s">
        <v>626</v>
      </c>
      <c r="B37" s="103" t="s">
        <v>1681</v>
      </c>
      <c r="C37" s="103" t="s">
        <v>2336</v>
      </c>
      <c r="D37" s="102" t="s">
        <v>2337</v>
      </c>
      <c r="E37" s="103" t="s">
        <v>164</v>
      </c>
      <c r="F37" s="102" t="s">
        <v>1600</v>
      </c>
      <c r="G37" s="103" t="s">
        <v>20</v>
      </c>
      <c r="H37" s="103">
        <v>201612</v>
      </c>
      <c r="I37" s="104">
        <v>9142.4699999999993</v>
      </c>
      <c r="J37" s="144">
        <f t="shared" si="3"/>
        <v>5</v>
      </c>
      <c r="K37" s="155">
        <v>1.4833299999999999E-3</v>
      </c>
      <c r="L37" s="154">
        <f t="shared" si="4"/>
        <v>67.81</v>
      </c>
      <c r="M37" s="154">
        <f t="shared" si="5"/>
        <v>162.74</v>
      </c>
      <c r="N37" s="145"/>
      <c r="O37" s="168" t="str">
        <f>VLOOKUP(C37,'New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38" spans="1:15" ht="15" customHeight="1">
      <c r="A38" s="102" t="s">
        <v>14</v>
      </c>
      <c r="B38" s="103" t="s">
        <v>1681</v>
      </c>
      <c r="C38" s="103" t="s">
        <v>2336</v>
      </c>
      <c r="D38" s="102" t="s">
        <v>2337</v>
      </c>
      <c r="E38" s="103" t="s">
        <v>164</v>
      </c>
      <c r="F38" s="102" t="s">
        <v>1600</v>
      </c>
      <c r="G38" s="103" t="s">
        <v>20</v>
      </c>
      <c r="H38" s="103">
        <v>201612</v>
      </c>
      <c r="I38" s="104">
        <v>37.880000000000003</v>
      </c>
      <c r="J38" s="144">
        <f t="shared" si="3"/>
        <v>5</v>
      </c>
      <c r="K38" s="148">
        <v>2.23333E-3</v>
      </c>
      <c r="L38" s="154">
        <f t="shared" si="4"/>
        <v>0.42</v>
      </c>
      <c r="M38" s="154">
        <f t="shared" si="5"/>
        <v>1.02</v>
      </c>
      <c r="N38" s="145"/>
      <c r="O38" s="168" t="str">
        <f>VLOOKUP(C38,'New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39" spans="1:15" ht="15" customHeight="1">
      <c r="A39" s="102" t="s">
        <v>626</v>
      </c>
      <c r="B39" s="103" t="s">
        <v>1681</v>
      </c>
      <c r="C39" s="103" t="s">
        <v>2338</v>
      </c>
      <c r="D39" s="102" t="s">
        <v>2339</v>
      </c>
      <c r="E39" s="103" t="s">
        <v>164</v>
      </c>
      <c r="F39" s="102" t="s">
        <v>1600</v>
      </c>
      <c r="G39" s="103" t="s">
        <v>20</v>
      </c>
      <c r="H39" s="103">
        <v>201611</v>
      </c>
      <c r="I39" s="104">
        <v>27197.14</v>
      </c>
      <c r="J39" s="144">
        <f t="shared" si="3"/>
        <v>6</v>
      </c>
      <c r="K39" s="155">
        <v>1.4833299999999999E-3</v>
      </c>
      <c r="L39" s="154">
        <f t="shared" si="4"/>
        <v>242.05</v>
      </c>
      <c r="M39" s="154">
        <f t="shared" si="5"/>
        <v>484.11</v>
      </c>
      <c r="N39" s="145"/>
      <c r="O39" s="168" t="str">
        <f>VLOOKUP(C39,'New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0" spans="1:15" ht="15" customHeight="1">
      <c r="A40" s="102" t="s">
        <v>14</v>
      </c>
      <c r="B40" s="103" t="s">
        <v>1681</v>
      </c>
      <c r="C40" s="103" t="s">
        <v>2338</v>
      </c>
      <c r="D40" s="102" t="s">
        <v>2339</v>
      </c>
      <c r="E40" s="103" t="s">
        <v>164</v>
      </c>
      <c r="F40" s="102" t="s">
        <v>1600</v>
      </c>
      <c r="G40" s="103" t="s">
        <v>20</v>
      </c>
      <c r="H40" s="103">
        <v>201611</v>
      </c>
      <c r="I40" s="104">
        <v>203.06</v>
      </c>
      <c r="J40" s="144">
        <f t="shared" si="3"/>
        <v>6</v>
      </c>
      <c r="K40" s="148">
        <v>2.23333E-3</v>
      </c>
      <c r="L40" s="154">
        <f t="shared" si="4"/>
        <v>2.72</v>
      </c>
      <c r="M40" s="154">
        <f t="shared" si="5"/>
        <v>5.44</v>
      </c>
      <c r="N40" s="145"/>
      <c r="O40" s="168" t="str">
        <f>VLOOKUP(C40,'New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1" spans="1:15" ht="15" customHeight="1">
      <c r="A41" s="102" t="s">
        <v>626</v>
      </c>
      <c r="B41" s="103" t="s">
        <v>1681</v>
      </c>
      <c r="C41" s="103" t="s">
        <v>2338</v>
      </c>
      <c r="D41" s="102" t="s">
        <v>2339</v>
      </c>
      <c r="E41" s="103" t="s">
        <v>164</v>
      </c>
      <c r="F41" s="102" t="s">
        <v>1600</v>
      </c>
      <c r="G41" s="103" t="s">
        <v>20</v>
      </c>
      <c r="H41" s="103">
        <v>201612</v>
      </c>
      <c r="I41" s="104">
        <v>687.79</v>
      </c>
      <c r="J41" s="144">
        <f t="shared" si="3"/>
        <v>5</v>
      </c>
      <c r="K41" s="155">
        <v>1.4833299999999999E-3</v>
      </c>
      <c r="L41" s="154">
        <f t="shared" si="4"/>
        <v>5.0999999999999996</v>
      </c>
      <c r="M41" s="154">
        <f t="shared" si="5"/>
        <v>12.24</v>
      </c>
      <c r="N41" s="145"/>
      <c r="O41" s="168" t="str">
        <f>VLOOKUP(C41,'New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2" spans="1:15" ht="15" customHeight="1">
      <c r="A42" s="102" t="s">
        <v>14</v>
      </c>
      <c r="B42" s="103" t="s">
        <v>1681</v>
      </c>
      <c r="C42" s="103" t="s">
        <v>2338</v>
      </c>
      <c r="D42" s="102" t="s">
        <v>2339</v>
      </c>
      <c r="E42" s="103" t="s">
        <v>164</v>
      </c>
      <c r="F42" s="102" t="s">
        <v>1600</v>
      </c>
      <c r="G42" s="103" t="s">
        <v>20</v>
      </c>
      <c r="H42" s="103">
        <v>201612</v>
      </c>
      <c r="I42" s="104">
        <v>5.14</v>
      </c>
      <c r="J42" s="144">
        <f t="shared" si="3"/>
        <v>5</v>
      </c>
      <c r="K42" s="148">
        <v>2.23333E-3</v>
      </c>
      <c r="L42" s="154">
        <f t="shared" si="4"/>
        <v>0.06</v>
      </c>
      <c r="M42" s="154">
        <f t="shared" si="5"/>
        <v>0.14000000000000001</v>
      </c>
      <c r="N42" s="145"/>
      <c r="O42" s="168" t="str">
        <f>VLOOKUP(C42,'New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3" spans="1:15" ht="15" customHeight="1">
      <c r="A43" s="102" t="s">
        <v>626</v>
      </c>
      <c r="B43" s="103" t="s">
        <v>1681</v>
      </c>
      <c r="C43" s="103" t="s">
        <v>2354</v>
      </c>
      <c r="D43" s="102" t="s">
        <v>2355</v>
      </c>
      <c r="E43" s="103" t="s">
        <v>164</v>
      </c>
      <c r="F43" s="102" t="s">
        <v>1600</v>
      </c>
      <c r="G43" s="103" t="s">
        <v>20</v>
      </c>
      <c r="H43" s="103">
        <v>201611</v>
      </c>
      <c r="I43" s="104">
        <v>-432.84</v>
      </c>
      <c r="J43" s="144">
        <f t="shared" si="3"/>
        <v>6</v>
      </c>
      <c r="K43" s="155">
        <v>1.4833299999999999E-3</v>
      </c>
      <c r="L43" s="154">
        <f t="shared" si="4"/>
        <v>-3.85</v>
      </c>
      <c r="M43" s="154">
        <f t="shared" si="5"/>
        <v>-7.7</v>
      </c>
      <c r="N43" s="145"/>
      <c r="O43" s="168" t="str">
        <f>VLOOKUP(C43,'New Wo Detailed Descr Rev'!$A$5:$D$287,4)</f>
        <v>Install ~5685 feet of 4 inch PLS. IP Main on Corbin St, N Grover St, Nwater St, Doniphan St, N Lightburne St, Miller St, and Jewel St. Total Service Estimate: 41 Service Tie-Overs. Replacement Program. - Main is being installed as part of the FY 2016 Bare Steel.  Work order estimates also contain 100 ft 2in Pl.</v>
      </c>
    </row>
    <row r="44" spans="1:15" ht="15" customHeight="1">
      <c r="A44" s="102" t="s">
        <v>626</v>
      </c>
      <c r="B44" s="103" t="s">
        <v>1681</v>
      </c>
      <c r="C44" s="103" t="s">
        <v>2354</v>
      </c>
      <c r="D44" s="102" t="s">
        <v>2355</v>
      </c>
      <c r="E44" s="103" t="s">
        <v>164</v>
      </c>
      <c r="F44" s="102" t="s">
        <v>1600</v>
      </c>
      <c r="G44" s="103" t="s">
        <v>20</v>
      </c>
      <c r="H44" s="103">
        <v>201612</v>
      </c>
      <c r="I44" s="104">
        <v>333.5</v>
      </c>
      <c r="J44" s="144">
        <f t="shared" si="3"/>
        <v>5</v>
      </c>
      <c r="K44" s="155">
        <v>1.4833299999999999E-3</v>
      </c>
      <c r="L44" s="154">
        <f t="shared" si="4"/>
        <v>2.4700000000000002</v>
      </c>
      <c r="M44" s="154">
        <f t="shared" si="5"/>
        <v>5.94</v>
      </c>
      <c r="N44" s="145"/>
      <c r="O44" s="168" t="str">
        <f>VLOOKUP(C44,'New Wo Detailed Descr Rev'!$A$5:$D$287,4)</f>
        <v>Install ~5685 feet of 4 inch PLS. IP Main on Corbin St, N Grover St, Nwater St, Doniphan St, N Lightburne St, Miller St, and Jewel St. Total Service Estimate: 41 Service Tie-Overs. Replacement Program. - Main is being installed as part of the FY 2016 Bare Steel.  Work order estimates also contain 100 ft 2in Pl.</v>
      </c>
    </row>
    <row r="45" spans="1:15" ht="15" customHeight="1">
      <c r="A45" s="102" t="s">
        <v>626</v>
      </c>
      <c r="B45" s="103" t="s">
        <v>1681</v>
      </c>
      <c r="C45" s="103" t="s">
        <v>2265</v>
      </c>
      <c r="D45" s="102" t="s">
        <v>2266</v>
      </c>
      <c r="E45" s="103" t="s">
        <v>164</v>
      </c>
      <c r="F45" s="102" t="s">
        <v>1600</v>
      </c>
      <c r="G45" s="103" t="s">
        <v>20</v>
      </c>
      <c r="H45" s="103">
        <v>201611</v>
      </c>
      <c r="I45" s="104">
        <v>1714.93</v>
      </c>
      <c r="J45" s="144">
        <f t="shared" si="3"/>
        <v>6</v>
      </c>
      <c r="K45" s="155">
        <v>1.4833299999999999E-3</v>
      </c>
      <c r="L45" s="154">
        <f t="shared" si="4"/>
        <v>15.26</v>
      </c>
      <c r="M45" s="154">
        <f t="shared" si="5"/>
        <v>30.53</v>
      </c>
      <c r="N45" s="145"/>
      <c r="O45" s="168" t="str">
        <f>VLOOKUP(C45,'New Wo Detailed Descr Rev'!$A$5:$D$287,4)</f>
        <v>Inst 236 Ft of 4 in PL LP, 617 Ft of 2 in PL LP and 1478 Ft of 6 in PL IP main for St Joseph Grid Phase 1A. Abandon 157 Ft of 2 PL LP, 816 Ft of 2 in PBS LP, 498 Ft of 2 in PCS LP, 170 Ft of 4 in PBS LP, and 1402 Ft of 4 in PBS IP Main - This main is being replaced as part of the FY 2016 Bare Steel Replacement Program.</v>
      </c>
    </row>
    <row r="46" spans="1:15" ht="15" customHeight="1">
      <c r="A46" s="102" t="s">
        <v>626</v>
      </c>
      <c r="B46" s="103" t="s">
        <v>1681</v>
      </c>
      <c r="C46" s="103" t="s">
        <v>2265</v>
      </c>
      <c r="D46" s="102" t="s">
        <v>2266</v>
      </c>
      <c r="E46" s="103" t="s">
        <v>164</v>
      </c>
      <c r="F46" s="102" t="s">
        <v>1600</v>
      </c>
      <c r="G46" s="103" t="s">
        <v>20</v>
      </c>
      <c r="H46" s="103">
        <v>201612</v>
      </c>
      <c r="I46" s="104">
        <v>26.13</v>
      </c>
      <c r="J46" s="144">
        <f t="shared" si="3"/>
        <v>5</v>
      </c>
      <c r="K46" s="155">
        <v>1.4833299999999999E-3</v>
      </c>
      <c r="L46" s="154">
        <f t="shared" si="4"/>
        <v>0.19</v>
      </c>
      <c r="M46" s="154">
        <f t="shared" si="5"/>
        <v>0.47</v>
      </c>
      <c r="N46" s="145"/>
      <c r="O46" s="168" t="str">
        <f>VLOOKUP(C46,'New Wo Detailed Descr Rev'!$A$5:$D$287,4)</f>
        <v>Inst 236 Ft of 4 in PL LP, 617 Ft of 2 in PL LP and 1478 Ft of 6 in PL IP main for St Joseph Grid Phase 1A. Abandon 157 Ft of 2 PL LP, 816 Ft of 2 in PBS LP, 498 Ft of 2 in PCS LP, 170 Ft of 4 in PBS LP, and 1402 Ft of 4 in PBS IP Main - This main is being replaced as part of the FY 2016 Bare Steel Replacement Program.</v>
      </c>
    </row>
    <row r="47" spans="1:15" ht="15" customHeight="1">
      <c r="A47" s="102" t="s">
        <v>626</v>
      </c>
      <c r="B47" s="103" t="s">
        <v>1681</v>
      </c>
      <c r="C47" s="103" t="s">
        <v>2319</v>
      </c>
      <c r="D47" s="102" t="s">
        <v>2320</v>
      </c>
      <c r="E47" s="103" t="s">
        <v>164</v>
      </c>
      <c r="F47" s="102" t="s">
        <v>1600</v>
      </c>
      <c r="G47" s="103" t="s">
        <v>20</v>
      </c>
      <c r="H47" s="103">
        <v>201611</v>
      </c>
      <c r="I47" s="104">
        <v>881.62</v>
      </c>
      <c r="J47" s="144">
        <f t="shared" si="3"/>
        <v>6</v>
      </c>
      <c r="K47" s="155">
        <v>1.4833299999999999E-3</v>
      </c>
      <c r="L47" s="154">
        <f t="shared" si="4"/>
        <v>7.85</v>
      </c>
      <c r="M47" s="154">
        <f t="shared" si="5"/>
        <v>15.69</v>
      </c>
      <c r="N47" s="145"/>
      <c r="O47" s="168" t="str">
        <f>VLOOKUP(C47,'New Wo Detailed Descr Rev'!$A$5:$D$287,4)</f>
        <v>Install 1403 Ft of 2 in PL IP main for St Joe Phase 1B. Abandon 35 Ft of 4 in PL and 1603 of Ft 4 in ST LP main. Uprate 338 Ft of 2 in and 497 Ft of 4 in PL LP main to IP.FY16 Bare Steel Replacement Program. - 0</v>
      </c>
    </row>
    <row r="48" spans="1:15" ht="15" customHeight="1">
      <c r="A48" s="102" t="s">
        <v>14</v>
      </c>
      <c r="B48" s="103" t="s">
        <v>1681</v>
      </c>
      <c r="C48" s="103" t="s">
        <v>2319</v>
      </c>
      <c r="D48" s="102" t="s">
        <v>2320</v>
      </c>
      <c r="E48" s="103" t="s">
        <v>164</v>
      </c>
      <c r="F48" s="102" t="s">
        <v>1600</v>
      </c>
      <c r="G48" s="103" t="s">
        <v>20</v>
      </c>
      <c r="H48" s="103">
        <v>201611</v>
      </c>
      <c r="I48" s="104">
        <v>24.67</v>
      </c>
      <c r="J48" s="144">
        <f t="shared" si="3"/>
        <v>6</v>
      </c>
      <c r="K48" s="148">
        <v>2.23333E-3</v>
      </c>
      <c r="L48" s="154">
        <f t="shared" si="4"/>
        <v>0.33</v>
      </c>
      <c r="M48" s="154">
        <f t="shared" si="5"/>
        <v>0.66</v>
      </c>
      <c r="N48" s="145"/>
      <c r="O48" s="168" t="str">
        <f>VLOOKUP(C48,'New Wo Detailed Descr Rev'!$A$5:$D$287,4)</f>
        <v>Install 1403 Ft of 2 in PL IP main for St Joe Phase 1B. Abandon 35 Ft of 4 in PL and 1603 of Ft 4 in ST LP main. Uprate 338 Ft of 2 in and 497 Ft of 4 in PL LP main to IP.FY16 Bare Steel Replacement Program. - 0</v>
      </c>
    </row>
    <row r="49" spans="1:15" ht="15" customHeight="1">
      <c r="A49" s="102" t="s">
        <v>626</v>
      </c>
      <c r="B49" s="103" t="s">
        <v>1681</v>
      </c>
      <c r="C49" s="103" t="s">
        <v>2319</v>
      </c>
      <c r="D49" s="102" t="s">
        <v>2320</v>
      </c>
      <c r="E49" s="103" t="s">
        <v>164</v>
      </c>
      <c r="F49" s="102" t="s">
        <v>1600</v>
      </c>
      <c r="G49" s="103" t="s">
        <v>20</v>
      </c>
      <c r="H49" s="103">
        <v>201612</v>
      </c>
      <c r="I49" s="104">
        <v>-174.17</v>
      </c>
      <c r="J49" s="144">
        <f t="shared" si="3"/>
        <v>5</v>
      </c>
      <c r="K49" s="155">
        <v>1.4833299999999999E-3</v>
      </c>
      <c r="L49" s="154">
        <f t="shared" si="4"/>
        <v>-1.29</v>
      </c>
      <c r="M49" s="154">
        <f t="shared" si="5"/>
        <v>-3.1</v>
      </c>
      <c r="N49" s="145"/>
      <c r="O49" s="168" t="str">
        <f>VLOOKUP(C49,'New Wo Detailed Descr Rev'!$A$5:$D$287,4)</f>
        <v>Install 1403 Ft of 2 in PL IP main for St Joe Phase 1B. Abandon 35 Ft of 4 in PL and 1603 of Ft 4 in ST LP main. Uprate 338 Ft of 2 in and 497 Ft of 4 in PL LP main to IP.FY16 Bare Steel Replacement Program. - 0</v>
      </c>
    </row>
    <row r="50" spans="1:15" ht="15" customHeight="1">
      <c r="A50" s="102" t="s">
        <v>14</v>
      </c>
      <c r="B50" s="103" t="s">
        <v>1681</v>
      </c>
      <c r="C50" s="103" t="s">
        <v>2319</v>
      </c>
      <c r="D50" s="102" t="s">
        <v>2320</v>
      </c>
      <c r="E50" s="103" t="s">
        <v>164</v>
      </c>
      <c r="F50" s="102" t="s">
        <v>1600</v>
      </c>
      <c r="G50" s="103" t="s">
        <v>20</v>
      </c>
      <c r="H50" s="103">
        <v>201612</v>
      </c>
      <c r="I50" s="104">
        <v>-4.87</v>
      </c>
      <c r="J50" s="144">
        <f t="shared" si="3"/>
        <v>5</v>
      </c>
      <c r="K50" s="148">
        <v>2.23333E-3</v>
      </c>
      <c r="L50" s="154">
        <f t="shared" si="4"/>
        <v>-0.05</v>
      </c>
      <c r="M50" s="154">
        <f t="shared" si="5"/>
        <v>-0.13</v>
      </c>
      <c r="N50" s="145"/>
      <c r="O50" s="168" t="str">
        <f>VLOOKUP(C50,'New Wo Detailed Descr Rev'!$A$5:$D$287,4)</f>
        <v>Install 1403 Ft of 2 in PL IP main for St Joe Phase 1B. Abandon 35 Ft of 4 in PL and 1603 of Ft 4 in ST LP main. Uprate 338 Ft of 2 in and 497 Ft of 4 in PL LP main to IP.FY16 Bare Steel Replacement Program. - 0</v>
      </c>
    </row>
    <row r="51" spans="1:15" ht="15" customHeight="1">
      <c r="A51" s="102" t="s">
        <v>626</v>
      </c>
      <c r="B51" s="103" t="s">
        <v>1681</v>
      </c>
      <c r="C51" s="103" t="s">
        <v>2321</v>
      </c>
      <c r="D51" s="102" t="s">
        <v>2322</v>
      </c>
      <c r="E51" s="103" t="s">
        <v>164</v>
      </c>
      <c r="F51" s="102" t="s">
        <v>1600</v>
      </c>
      <c r="G51" s="103" t="s">
        <v>20</v>
      </c>
      <c r="H51" s="103">
        <v>201611</v>
      </c>
      <c r="I51" s="104">
        <v>41699.64</v>
      </c>
      <c r="J51" s="144">
        <f t="shared" si="3"/>
        <v>6</v>
      </c>
      <c r="K51" s="155">
        <v>1.4833299999999999E-3</v>
      </c>
      <c r="L51" s="154">
        <f t="shared" si="4"/>
        <v>371.13</v>
      </c>
      <c r="M51" s="154">
        <f t="shared" si="5"/>
        <v>742.25</v>
      </c>
      <c r="N51" s="145"/>
      <c r="O51" s="168" t="str">
        <f>VLOOKUP(C51,'New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52" spans="1:15" ht="15" customHeight="1">
      <c r="A52" s="102" t="s">
        <v>14</v>
      </c>
      <c r="B52" s="103" t="s">
        <v>1681</v>
      </c>
      <c r="C52" s="103" t="s">
        <v>2321</v>
      </c>
      <c r="D52" s="102" t="s">
        <v>2322</v>
      </c>
      <c r="E52" s="103" t="s">
        <v>164</v>
      </c>
      <c r="F52" s="102" t="s">
        <v>1600</v>
      </c>
      <c r="G52" s="103" t="s">
        <v>20</v>
      </c>
      <c r="H52" s="103">
        <v>201611</v>
      </c>
      <c r="I52" s="104">
        <v>367.67</v>
      </c>
      <c r="J52" s="144">
        <f t="shared" si="3"/>
        <v>6</v>
      </c>
      <c r="K52" s="148">
        <v>2.23333E-3</v>
      </c>
      <c r="L52" s="154">
        <f t="shared" si="4"/>
        <v>4.93</v>
      </c>
      <c r="M52" s="154">
        <f t="shared" si="5"/>
        <v>9.85</v>
      </c>
      <c r="N52" s="145"/>
      <c r="O52" s="168" t="str">
        <f>VLOOKUP(C52,'New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53" spans="1:15" ht="15" customHeight="1">
      <c r="A53" s="102" t="s">
        <v>626</v>
      </c>
      <c r="B53" s="103" t="s">
        <v>1681</v>
      </c>
      <c r="C53" s="103" t="s">
        <v>2321</v>
      </c>
      <c r="D53" s="102" t="s">
        <v>2322</v>
      </c>
      <c r="E53" s="103" t="s">
        <v>164</v>
      </c>
      <c r="F53" s="102" t="s">
        <v>1600</v>
      </c>
      <c r="G53" s="103" t="s">
        <v>20</v>
      </c>
      <c r="H53" s="103">
        <v>201612</v>
      </c>
      <c r="I53" s="104">
        <v>885.68</v>
      </c>
      <c r="J53" s="144">
        <f t="shared" si="3"/>
        <v>5</v>
      </c>
      <c r="K53" s="155">
        <v>1.4833299999999999E-3</v>
      </c>
      <c r="L53" s="154">
        <f t="shared" si="4"/>
        <v>6.57</v>
      </c>
      <c r="M53" s="154">
        <f t="shared" si="5"/>
        <v>15.77</v>
      </c>
      <c r="N53" s="145"/>
      <c r="O53" s="168" t="str">
        <f>VLOOKUP(C53,'New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54" spans="1:15" ht="15" customHeight="1">
      <c r="A54" s="102" t="s">
        <v>14</v>
      </c>
      <c r="B54" s="103" t="s">
        <v>1681</v>
      </c>
      <c r="C54" s="103" t="s">
        <v>2321</v>
      </c>
      <c r="D54" s="102" t="s">
        <v>2322</v>
      </c>
      <c r="E54" s="103" t="s">
        <v>164</v>
      </c>
      <c r="F54" s="102" t="s">
        <v>1600</v>
      </c>
      <c r="G54" s="103" t="s">
        <v>20</v>
      </c>
      <c r="H54" s="103">
        <v>201612</v>
      </c>
      <c r="I54" s="104">
        <v>7.81</v>
      </c>
      <c r="J54" s="144">
        <f t="shared" si="3"/>
        <v>5</v>
      </c>
      <c r="K54" s="148">
        <v>2.23333E-3</v>
      </c>
      <c r="L54" s="154">
        <f t="shared" si="4"/>
        <v>0.09</v>
      </c>
      <c r="M54" s="154">
        <f t="shared" si="5"/>
        <v>0.21</v>
      </c>
      <c r="N54" s="145"/>
      <c r="O54" s="168" t="str">
        <f>VLOOKUP(C54,'New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55" spans="1:15" ht="15" customHeight="1">
      <c r="A55" s="102" t="s">
        <v>626</v>
      </c>
      <c r="B55" s="103" t="s">
        <v>1681</v>
      </c>
      <c r="C55" s="103" t="s">
        <v>2372</v>
      </c>
      <c r="D55" s="102" t="s">
        <v>2373</v>
      </c>
      <c r="E55" s="103" t="s">
        <v>164</v>
      </c>
      <c r="F55" s="102" t="s">
        <v>1600</v>
      </c>
      <c r="G55" s="103" t="s">
        <v>20</v>
      </c>
      <c r="H55" s="103">
        <v>201611</v>
      </c>
      <c r="I55" s="104">
        <v>-5895.54</v>
      </c>
      <c r="J55" s="144">
        <f t="shared" si="3"/>
        <v>6</v>
      </c>
      <c r="K55" s="155">
        <v>1.4833299999999999E-3</v>
      </c>
      <c r="L55" s="154">
        <f t="shared" si="4"/>
        <v>-52.47</v>
      </c>
      <c r="M55" s="154">
        <f t="shared" si="5"/>
        <v>-104.94</v>
      </c>
      <c r="N55" s="145"/>
      <c r="O55" s="168" t="str">
        <f>VLOOKUP(C55,'New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56" spans="1:15" ht="15" customHeight="1">
      <c r="A56" s="102" t="s">
        <v>14</v>
      </c>
      <c r="B56" s="103" t="s">
        <v>1681</v>
      </c>
      <c r="C56" s="103" t="s">
        <v>2372</v>
      </c>
      <c r="D56" s="102" t="s">
        <v>2373</v>
      </c>
      <c r="E56" s="103" t="s">
        <v>164</v>
      </c>
      <c r="F56" s="102" t="s">
        <v>1600</v>
      </c>
      <c r="G56" s="103" t="s">
        <v>20</v>
      </c>
      <c r="H56" s="103">
        <v>201611</v>
      </c>
      <c r="I56" s="104">
        <v>-73.12</v>
      </c>
      <c r="J56" s="144">
        <f t="shared" si="3"/>
        <v>6</v>
      </c>
      <c r="K56" s="148">
        <v>2.23333E-3</v>
      </c>
      <c r="L56" s="154">
        <f t="shared" si="4"/>
        <v>-0.98</v>
      </c>
      <c r="M56" s="154">
        <f t="shared" si="5"/>
        <v>-1.96</v>
      </c>
      <c r="N56" s="145"/>
      <c r="O56" s="168" t="str">
        <f>VLOOKUP(C56,'New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57" spans="1:15" ht="15" customHeight="1">
      <c r="A57" s="102" t="s">
        <v>626</v>
      </c>
      <c r="B57" s="103" t="s">
        <v>1681</v>
      </c>
      <c r="C57" s="103" t="s">
        <v>2372</v>
      </c>
      <c r="D57" s="102" t="s">
        <v>2373</v>
      </c>
      <c r="E57" s="103" t="s">
        <v>164</v>
      </c>
      <c r="F57" s="102" t="s">
        <v>1600</v>
      </c>
      <c r="G57" s="103" t="s">
        <v>20</v>
      </c>
      <c r="H57" s="103">
        <v>201612</v>
      </c>
      <c r="I57" s="104">
        <v>5276.87</v>
      </c>
      <c r="J57" s="144">
        <f t="shared" si="3"/>
        <v>5</v>
      </c>
      <c r="K57" s="155">
        <v>1.4833299999999999E-3</v>
      </c>
      <c r="L57" s="154">
        <f t="shared" si="4"/>
        <v>39.14</v>
      </c>
      <c r="M57" s="154">
        <f t="shared" si="5"/>
        <v>93.93</v>
      </c>
      <c r="N57" s="145"/>
      <c r="O57" s="168" t="str">
        <f>VLOOKUP(C57,'New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58" spans="1:15" ht="15" customHeight="1">
      <c r="A58" s="102" t="s">
        <v>14</v>
      </c>
      <c r="B58" s="103" t="s">
        <v>1681</v>
      </c>
      <c r="C58" s="103" t="s">
        <v>2372</v>
      </c>
      <c r="D58" s="102" t="s">
        <v>2373</v>
      </c>
      <c r="E58" s="103" t="s">
        <v>164</v>
      </c>
      <c r="F58" s="102" t="s">
        <v>1600</v>
      </c>
      <c r="G58" s="103" t="s">
        <v>20</v>
      </c>
      <c r="H58" s="103">
        <v>201612</v>
      </c>
      <c r="I58" s="104">
        <v>65.47</v>
      </c>
      <c r="J58" s="144">
        <f t="shared" si="3"/>
        <v>5</v>
      </c>
      <c r="K58" s="148">
        <v>2.23333E-3</v>
      </c>
      <c r="L58" s="154">
        <f t="shared" si="4"/>
        <v>0.73</v>
      </c>
      <c r="M58" s="154">
        <f t="shared" si="5"/>
        <v>1.75</v>
      </c>
      <c r="N58" s="145"/>
      <c r="O58" s="168" t="str">
        <f>VLOOKUP(C58,'New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59" spans="1:15" ht="15" customHeight="1">
      <c r="A59" s="102" t="s">
        <v>626</v>
      </c>
      <c r="B59" s="103" t="s">
        <v>1681</v>
      </c>
      <c r="C59" s="103" t="s">
        <v>2374</v>
      </c>
      <c r="D59" s="102" t="s">
        <v>2375</v>
      </c>
      <c r="E59" s="103" t="s">
        <v>164</v>
      </c>
      <c r="F59" s="102" t="s">
        <v>1600</v>
      </c>
      <c r="G59" s="103" t="s">
        <v>20</v>
      </c>
      <c r="H59" s="103">
        <v>201611</v>
      </c>
      <c r="I59" s="104">
        <v>-328.15</v>
      </c>
      <c r="J59" s="144">
        <f t="shared" si="3"/>
        <v>6</v>
      </c>
      <c r="K59" s="155">
        <v>1.4833299999999999E-3</v>
      </c>
      <c r="L59" s="154">
        <f t="shared" si="4"/>
        <v>-2.92</v>
      </c>
      <c r="M59" s="154">
        <f t="shared" si="5"/>
        <v>-5.84</v>
      </c>
      <c r="N59" s="145"/>
      <c r="O59" s="168" t="str">
        <f>VLOOKUP(C59,'New Wo Detailed Descr Rev'!$A$5:$D$287,4)</f>
        <v>Install 3082' of 2'' PE, 1079' of 4'' PE - Hwy 71 &amp; Gregory Grid - B.  Abandon 1731' of 4'' CI, 2991' of 6'' CI, 6' of 4'' Coated STL (less than 20% of footage). Strategic Cast Iron Replacement. - 0</v>
      </c>
    </row>
    <row r="60" spans="1:15" ht="15" customHeight="1">
      <c r="A60" s="102" t="s">
        <v>14</v>
      </c>
      <c r="B60" s="103" t="s">
        <v>1681</v>
      </c>
      <c r="C60" s="103" t="s">
        <v>2374</v>
      </c>
      <c r="D60" s="102" t="s">
        <v>2375</v>
      </c>
      <c r="E60" s="103" t="s">
        <v>164</v>
      </c>
      <c r="F60" s="102" t="s">
        <v>1600</v>
      </c>
      <c r="G60" s="103" t="s">
        <v>20</v>
      </c>
      <c r="H60" s="103">
        <v>201611</v>
      </c>
      <c r="I60" s="104">
        <v>-88.27</v>
      </c>
      <c r="J60" s="144">
        <f t="shared" si="3"/>
        <v>6</v>
      </c>
      <c r="K60" s="148">
        <v>2.23333E-3</v>
      </c>
      <c r="L60" s="154">
        <f t="shared" si="4"/>
        <v>-1.18</v>
      </c>
      <c r="M60" s="154">
        <f t="shared" si="5"/>
        <v>-2.37</v>
      </c>
      <c r="N60" s="145"/>
      <c r="O60" s="168" t="str">
        <f>VLOOKUP(C60,'New Wo Detailed Descr Rev'!$A$5:$D$287,4)</f>
        <v>Install 3082' of 2'' PE, 1079' of 4'' PE - Hwy 71 &amp; Gregory Grid - B.  Abandon 1731' of 4'' CI, 2991' of 6'' CI, 6' of 4'' Coated STL (less than 20% of footage). Strategic Cast Iron Replacement. - 0</v>
      </c>
    </row>
    <row r="61" spans="1:15" ht="15" customHeight="1">
      <c r="A61" s="102" t="s">
        <v>626</v>
      </c>
      <c r="B61" s="103" t="s">
        <v>1681</v>
      </c>
      <c r="C61" s="103" t="s">
        <v>2374</v>
      </c>
      <c r="D61" s="102" t="s">
        <v>2375</v>
      </c>
      <c r="E61" s="103" t="s">
        <v>164</v>
      </c>
      <c r="F61" s="102" t="s">
        <v>1600</v>
      </c>
      <c r="G61" s="103" t="s">
        <v>20</v>
      </c>
      <c r="H61" s="103">
        <v>201612</v>
      </c>
      <c r="I61" s="104">
        <v>503.46</v>
      </c>
      <c r="J61" s="144">
        <f t="shared" si="3"/>
        <v>5</v>
      </c>
      <c r="K61" s="155">
        <v>1.4833299999999999E-3</v>
      </c>
      <c r="L61" s="154">
        <f t="shared" si="4"/>
        <v>3.73</v>
      </c>
      <c r="M61" s="154">
        <f t="shared" si="5"/>
        <v>8.9600000000000009</v>
      </c>
      <c r="N61" s="145"/>
      <c r="O61" s="168" t="str">
        <f>VLOOKUP(C61,'New Wo Detailed Descr Rev'!$A$5:$D$287,4)</f>
        <v>Install 3082' of 2'' PE, 1079' of 4'' PE - Hwy 71 &amp; Gregory Grid - B.  Abandon 1731' of 4'' CI, 2991' of 6'' CI, 6' of 4'' Coated STL (less than 20% of footage). Strategic Cast Iron Replacement. - 0</v>
      </c>
    </row>
    <row r="62" spans="1:15" ht="15" customHeight="1">
      <c r="A62" s="102" t="s">
        <v>14</v>
      </c>
      <c r="B62" s="103" t="s">
        <v>1681</v>
      </c>
      <c r="C62" s="103" t="s">
        <v>2374</v>
      </c>
      <c r="D62" s="102" t="s">
        <v>2375</v>
      </c>
      <c r="E62" s="103" t="s">
        <v>164</v>
      </c>
      <c r="F62" s="102" t="s">
        <v>1600</v>
      </c>
      <c r="G62" s="103" t="s">
        <v>20</v>
      </c>
      <c r="H62" s="103">
        <v>201612</v>
      </c>
      <c r="I62" s="104">
        <v>135.44999999999999</v>
      </c>
      <c r="J62" s="144">
        <f t="shared" si="3"/>
        <v>5</v>
      </c>
      <c r="K62" s="148">
        <v>2.23333E-3</v>
      </c>
      <c r="L62" s="154">
        <f t="shared" si="4"/>
        <v>1.51</v>
      </c>
      <c r="M62" s="154">
        <f t="shared" si="5"/>
        <v>3.63</v>
      </c>
      <c r="N62" s="145"/>
      <c r="O62" s="168" t="str">
        <f>VLOOKUP(C62,'New Wo Detailed Descr Rev'!$A$5:$D$287,4)</f>
        <v>Install 3082' of 2'' PE, 1079' of 4'' PE - Hwy 71 &amp; Gregory Grid - B.  Abandon 1731' of 4'' CI, 2991' of 6'' CI, 6' of 4'' Coated STL (less than 20% of footage). Strategic Cast Iron Replacement. - 0</v>
      </c>
    </row>
    <row r="63" spans="1:15" ht="15" customHeight="1">
      <c r="A63" s="102" t="s">
        <v>626</v>
      </c>
      <c r="B63" s="103" t="s">
        <v>1681</v>
      </c>
      <c r="C63" s="103" t="s">
        <v>2376</v>
      </c>
      <c r="D63" s="102" t="s">
        <v>2377</v>
      </c>
      <c r="E63" s="103" t="s">
        <v>164</v>
      </c>
      <c r="F63" s="102" t="s">
        <v>1600</v>
      </c>
      <c r="G63" s="103" t="s">
        <v>20</v>
      </c>
      <c r="H63" s="103">
        <v>201611</v>
      </c>
      <c r="I63" s="104">
        <v>-78.709999999999994</v>
      </c>
      <c r="J63" s="144">
        <f t="shared" si="3"/>
        <v>6</v>
      </c>
      <c r="K63" s="155">
        <v>1.4833299999999999E-3</v>
      </c>
      <c r="L63" s="154">
        <f t="shared" si="4"/>
        <v>-0.7</v>
      </c>
      <c r="M63" s="154">
        <f t="shared" si="5"/>
        <v>-1.4</v>
      </c>
      <c r="N63" s="145"/>
      <c r="O63" s="168" t="str">
        <f>VLOOKUP(C63,'New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64" spans="1:15" ht="15" customHeight="1">
      <c r="A64" s="102" t="s">
        <v>14</v>
      </c>
      <c r="B64" s="103" t="s">
        <v>1681</v>
      </c>
      <c r="C64" s="103" t="s">
        <v>2376</v>
      </c>
      <c r="D64" s="102" t="s">
        <v>2377</v>
      </c>
      <c r="E64" s="103" t="s">
        <v>164</v>
      </c>
      <c r="F64" s="102" t="s">
        <v>1600</v>
      </c>
      <c r="G64" s="103" t="s">
        <v>20</v>
      </c>
      <c r="H64" s="103">
        <v>201611</v>
      </c>
      <c r="I64" s="104">
        <v>-11.4</v>
      </c>
      <c r="J64" s="144">
        <f t="shared" si="3"/>
        <v>6</v>
      </c>
      <c r="K64" s="148">
        <v>2.23333E-3</v>
      </c>
      <c r="L64" s="154">
        <f t="shared" si="4"/>
        <v>-0.15</v>
      </c>
      <c r="M64" s="154">
        <f t="shared" si="5"/>
        <v>-0.31</v>
      </c>
      <c r="N64" s="145"/>
      <c r="O64" s="168" t="str">
        <f>VLOOKUP(C64,'New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65" spans="1:15" ht="15" customHeight="1">
      <c r="A65" s="102" t="s">
        <v>626</v>
      </c>
      <c r="B65" s="103" t="s">
        <v>1681</v>
      </c>
      <c r="C65" s="103" t="s">
        <v>2376</v>
      </c>
      <c r="D65" s="102" t="s">
        <v>2377</v>
      </c>
      <c r="E65" s="103" t="s">
        <v>164</v>
      </c>
      <c r="F65" s="102" t="s">
        <v>1600</v>
      </c>
      <c r="G65" s="103" t="s">
        <v>20</v>
      </c>
      <c r="H65" s="103">
        <v>201612</v>
      </c>
      <c r="I65" s="104">
        <v>48.08</v>
      </c>
      <c r="J65" s="144">
        <f t="shared" si="3"/>
        <v>5</v>
      </c>
      <c r="K65" s="155">
        <v>1.4833299999999999E-3</v>
      </c>
      <c r="L65" s="154">
        <f t="shared" si="4"/>
        <v>0.36</v>
      </c>
      <c r="M65" s="154">
        <f t="shared" si="5"/>
        <v>0.86</v>
      </c>
      <c r="N65" s="145"/>
      <c r="O65" s="168" t="str">
        <f>VLOOKUP(C65,'New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66" spans="1:15" ht="15" customHeight="1">
      <c r="A66" s="102" t="s">
        <v>14</v>
      </c>
      <c r="B66" s="103" t="s">
        <v>1681</v>
      </c>
      <c r="C66" s="103" t="s">
        <v>2376</v>
      </c>
      <c r="D66" s="102" t="s">
        <v>2377</v>
      </c>
      <c r="E66" s="103" t="s">
        <v>164</v>
      </c>
      <c r="F66" s="102" t="s">
        <v>1600</v>
      </c>
      <c r="G66" s="103" t="s">
        <v>20</v>
      </c>
      <c r="H66" s="103">
        <v>201612</v>
      </c>
      <c r="I66" s="104">
        <v>6.98</v>
      </c>
      <c r="J66" s="144">
        <f t="shared" si="3"/>
        <v>5</v>
      </c>
      <c r="K66" s="148">
        <v>2.23333E-3</v>
      </c>
      <c r="L66" s="154">
        <f t="shared" si="4"/>
        <v>0.08</v>
      </c>
      <c r="M66" s="154">
        <f t="shared" si="5"/>
        <v>0.19</v>
      </c>
      <c r="N66" s="145"/>
      <c r="O66" s="168" t="str">
        <f>VLOOKUP(C66,'New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67" spans="1:15" ht="15" customHeight="1">
      <c r="A67" s="102" t="s">
        <v>626</v>
      </c>
      <c r="B67" s="103" t="s">
        <v>1681</v>
      </c>
      <c r="C67" s="103" t="s">
        <v>2380</v>
      </c>
      <c r="D67" s="102" t="s">
        <v>2381</v>
      </c>
      <c r="E67" s="103" t="s">
        <v>164</v>
      </c>
      <c r="F67" s="102" t="s">
        <v>1600</v>
      </c>
      <c r="G67" s="103" t="s">
        <v>20</v>
      </c>
      <c r="H67" s="103">
        <v>201611</v>
      </c>
      <c r="I67" s="104">
        <v>152.84</v>
      </c>
      <c r="J67" s="144">
        <f t="shared" si="3"/>
        <v>6</v>
      </c>
      <c r="K67" s="155">
        <v>1.4833299999999999E-3</v>
      </c>
      <c r="L67" s="154">
        <f t="shared" si="4"/>
        <v>1.36</v>
      </c>
      <c r="M67" s="154">
        <f t="shared" si="5"/>
        <v>2.72</v>
      </c>
      <c r="N67" s="145"/>
      <c r="O67" s="168" t="str">
        <f>VLOOKUP(C67,'New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68" spans="1:15" ht="15" customHeight="1">
      <c r="A68" s="102" t="s">
        <v>1942</v>
      </c>
      <c r="B68" s="103" t="s">
        <v>1681</v>
      </c>
      <c r="C68" s="103" t="s">
        <v>2380</v>
      </c>
      <c r="D68" s="102" t="s">
        <v>2381</v>
      </c>
      <c r="E68" s="103" t="s">
        <v>164</v>
      </c>
      <c r="F68" s="102" t="s">
        <v>1600</v>
      </c>
      <c r="G68" s="103" t="s">
        <v>20</v>
      </c>
      <c r="H68" s="103">
        <v>201611</v>
      </c>
      <c r="I68" s="104">
        <v>0.43</v>
      </c>
      <c r="J68" s="144">
        <f t="shared" si="3"/>
        <v>6</v>
      </c>
      <c r="K68" s="155">
        <v>2.23333E-3</v>
      </c>
      <c r="L68" s="154">
        <f t="shared" si="4"/>
        <v>0.01</v>
      </c>
      <c r="M68" s="154">
        <f t="shared" si="5"/>
        <v>0.01</v>
      </c>
      <c r="N68" s="145"/>
      <c r="O68" s="168" t="str">
        <f>VLOOKUP(C68,'New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69" spans="1:15" ht="15" customHeight="1">
      <c r="A69" s="102" t="s">
        <v>14</v>
      </c>
      <c r="B69" s="103" t="s">
        <v>1681</v>
      </c>
      <c r="C69" s="103" t="s">
        <v>2380</v>
      </c>
      <c r="D69" s="102" t="s">
        <v>2381</v>
      </c>
      <c r="E69" s="103" t="s">
        <v>164</v>
      </c>
      <c r="F69" s="102" t="s">
        <v>1600</v>
      </c>
      <c r="G69" s="103" t="s">
        <v>20</v>
      </c>
      <c r="H69" s="103">
        <v>201611</v>
      </c>
      <c r="I69" s="104">
        <v>34.85</v>
      </c>
      <c r="J69" s="144">
        <f t="shared" si="3"/>
        <v>6</v>
      </c>
      <c r="K69" s="148">
        <v>2.23333E-3</v>
      </c>
      <c r="L69" s="154">
        <f t="shared" si="4"/>
        <v>0.47</v>
      </c>
      <c r="M69" s="154">
        <f t="shared" si="5"/>
        <v>0.93</v>
      </c>
      <c r="N69" s="145"/>
      <c r="O69" s="168" t="str">
        <f>VLOOKUP(C69,'New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70" spans="1:15" ht="15" customHeight="1">
      <c r="A70" s="102" t="s">
        <v>626</v>
      </c>
      <c r="B70" s="103" t="s">
        <v>1681</v>
      </c>
      <c r="C70" s="103" t="s">
        <v>2380</v>
      </c>
      <c r="D70" s="102" t="s">
        <v>2381</v>
      </c>
      <c r="E70" s="103" t="s">
        <v>164</v>
      </c>
      <c r="F70" s="102" t="s">
        <v>1600</v>
      </c>
      <c r="G70" s="103" t="s">
        <v>20</v>
      </c>
      <c r="H70" s="103">
        <v>201612</v>
      </c>
      <c r="I70" s="104">
        <v>43.04</v>
      </c>
      <c r="J70" s="144">
        <f t="shared" si="3"/>
        <v>5</v>
      </c>
      <c r="K70" s="155">
        <v>1.4833299999999999E-3</v>
      </c>
      <c r="L70" s="154">
        <f t="shared" si="4"/>
        <v>0.32</v>
      </c>
      <c r="M70" s="154">
        <f t="shared" si="5"/>
        <v>0.77</v>
      </c>
      <c r="N70" s="145"/>
      <c r="O70" s="168" t="str">
        <f>VLOOKUP(C70,'New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71" spans="1:15" ht="15" customHeight="1">
      <c r="A71" s="102" t="s">
        <v>1942</v>
      </c>
      <c r="B71" s="103" t="s">
        <v>1681</v>
      </c>
      <c r="C71" s="103" t="s">
        <v>2380</v>
      </c>
      <c r="D71" s="102" t="s">
        <v>2381</v>
      </c>
      <c r="E71" s="103" t="s">
        <v>164</v>
      </c>
      <c r="F71" s="102" t="s">
        <v>1600</v>
      </c>
      <c r="G71" s="103" t="s">
        <v>20</v>
      </c>
      <c r="H71" s="103">
        <v>201612</v>
      </c>
      <c r="I71" s="104">
        <v>0.12</v>
      </c>
      <c r="J71" s="144">
        <f t="shared" si="3"/>
        <v>5</v>
      </c>
      <c r="K71" s="155">
        <v>2.23333E-3</v>
      </c>
      <c r="L71" s="154">
        <f t="shared" si="4"/>
        <v>0</v>
      </c>
      <c r="M71" s="154">
        <f t="shared" si="5"/>
        <v>0</v>
      </c>
      <c r="N71" s="145"/>
      <c r="O71" s="168" t="str">
        <f>VLOOKUP(C71,'New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72" spans="1:15" ht="15" customHeight="1">
      <c r="A72" s="102" t="s">
        <v>14</v>
      </c>
      <c r="B72" s="103" t="s">
        <v>1681</v>
      </c>
      <c r="C72" s="103" t="s">
        <v>2380</v>
      </c>
      <c r="D72" s="102" t="s">
        <v>2381</v>
      </c>
      <c r="E72" s="103" t="s">
        <v>164</v>
      </c>
      <c r="F72" s="102" t="s">
        <v>1600</v>
      </c>
      <c r="G72" s="103" t="s">
        <v>20</v>
      </c>
      <c r="H72" s="103">
        <v>201612</v>
      </c>
      <c r="I72" s="104">
        <v>9.82</v>
      </c>
      <c r="J72" s="144">
        <f t="shared" si="3"/>
        <v>5</v>
      </c>
      <c r="K72" s="148">
        <v>2.23333E-3</v>
      </c>
      <c r="L72" s="154">
        <f t="shared" si="4"/>
        <v>0.11</v>
      </c>
      <c r="M72" s="154">
        <f t="shared" si="5"/>
        <v>0.26</v>
      </c>
      <c r="N72" s="145"/>
      <c r="O72" s="168" t="str">
        <f>VLOOKUP(C72,'New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73" spans="1:15" ht="15" customHeight="1">
      <c r="A73" s="102" t="s">
        <v>626</v>
      </c>
      <c r="B73" s="103" t="s">
        <v>1681</v>
      </c>
      <c r="C73" s="103" t="s">
        <v>2382</v>
      </c>
      <c r="D73" s="102" t="s">
        <v>2383</v>
      </c>
      <c r="E73" s="103" t="s">
        <v>164</v>
      </c>
      <c r="F73" s="102" t="s">
        <v>1600</v>
      </c>
      <c r="G73" s="103" t="s">
        <v>20</v>
      </c>
      <c r="H73" s="103">
        <v>201611</v>
      </c>
      <c r="I73" s="104">
        <v>-380.09</v>
      </c>
      <c r="J73" s="144">
        <f t="shared" si="3"/>
        <v>6</v>
      </c>
      <c r="K73" s="155">
        <v>1.4833299999999999E-3</v>
      </c>
      <c r="L73" s="154">
        <f t="shared" si="4"/>
        <v>-3.38</v>
      </c>
      <c r="M73" s="154">
        <f t="shared" si="5"/>
        <v>-6.77</v>
      </c>
      <c r="N73" s="145"/>
      <c r="O73" s="168" t="str">
        <f>VLOOKUP(C73,'New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4" spans="1:15" ht="15" customHeight="1">
      <c r="A74" s="102" t="s">
        <v>1942</v>
      </c>
      <c r="B74" s="103" t="s">
        <v>1681</v>
      </c>
      <c r="C74" s="103" t="s">
        <v>2382</v>
      </c>
      <c r="D74" s="102" t="s">
        <v>2383</v>
      </c>
      <c r="E74" s="103" t="s">
        <v>164</v>
      </c>
      <c r="F74" s="102" t="s">
        <v>1600</v>
      </c>
      <c r="G74" s="103" t="s">
        <v>20</v>
      </c>
      <c r="H74" s="103">
        <v>201611</v>
      </c>
      <c r="I74" s="104">
        <v>-1.19</v>
      </c>
      <c r="J74" s="144">
        <f t="shared" si="3"/>
        <v>6</v>
      </c>
      <c r="K74" s="155">
        <v>2.23333E-3</v>
      </c>
      <c r="L74" s="154">
        <f t="shared" si="4"/>
        <v>-0.02</v>
      </c>
      <c r="M74" s="154">
        <f t="shared" si="5"/>
        <v>-0.03</v>
      </c>
      <c r="N74" s="145"/>
      <c r="O74" s="168" t="str">
        <f>VLOOKUP(C74,'New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5" spans="1:15" ht="15" customHeight="1">
      <c r="A75" s="102" t="s">
        <v>14</v>
      </c>
      <c r="B75" s="103" t="s">
        <v>1681</v>
      </c>
      <c r="C75" s="103" t="s">
        <v>2382</v>
      </c>
      <c r="D75" s="102" t="s">
        <v>2383</v>
      </c>
      <c r="E75" s="103" t="s">
        <v>164</v>
      </c>
      <c r="F75" s="102" t="s">
        <v>1600</v>
      </c>
      <c r="G75" s="103" t="s">
        <v>20</v>
      </c>
      <c r="H75" s="103">
        <v>201611</v>
      </c>
      <c r="I75" s="104">
        <v>-44.86</v>
      </c>
      <c r="J75" s="144">
        <f t="shared" si="3"/>
        <v>6</v>
      </c>
      <c r="K75" s="148">
        <v>2.23333E-3</v>
      </c>
      <c r="L75" s="154">
        <f t="shared" si="4"/>
        <v>-0.6</v>
      </c>
      <c r="M75" s="154">
        <f t="shared" si="5"/>
        <v>-1.2</v>
      </c>
      <c r="N75" s="145"/>
      <c r="O75" s="168" t="str">
        <f>VLOOKUP(C75,'New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6" spans="1:15" ht="15" customHeight="1">
      <c r="A76" s="102" t="s">
        <v>626</v>
      </c>
      <c r="B76" s="103" t="s">
        <v>1681</v>
      </c>
      <c r="C76" s="103" t="s">
        <v>2382</v>
      </c>
      <c r="D76" s="102" t="s">
        <v>2383</v>
      </c>
      <c r="E76" s="103" t="s">
        <v>164</v>
      </c>
      <c r="F76" s="102" t="s">
        <v>1600</v>
      </c>
      <c r="G76" s="103" t="s">
        <v>20</v>
      </c>
      <c r="H76" s="103">
        <v>201612</v>
      </c>
      <c r="I76" s="104">
        <v>22221.61</v>
      </c>
      <c r="J76" s="144">
        <f t="shared" si="3"/>
        <v>5</v>
      </c>
      <c r="K76" s="155">
        <v>1.4833299999999999E-3</v>
      </c>
      <c r="L76" s="154">
        <f t="shared" si="4"/>
        <v>164.81</v>
      </c>
      <c r="M76" s="154">
        <f t="shared" si="5"/>
        <v>395.54</v>
      </c>
      <c r="N76" s="145"/>
      <c r="O76" s="168" t="str">
        <f>VLOOKUP(C76,'New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7" spans="1:15" ht="15" customHeight="1">
      <c r="A77" s="102" t="s">
        <v>1942</v>
      </c>
      <c r="B77" s="103" t="s">
        <v>1681</v>
      </c>
      <c r="C77" s="103" t="s">
        <v>2382</v>
      </c>
      <c r="D77" s="102" t="s">
        <v>2383</v>
      </c>
      <c r="E77" s="103" t="s">
        <v>164</v>
      </c>
      <c r="F77" s="102" t="s">
        <v>1600</v>
      </c>
      <c r="G77" s="103" t="s">
        <v>20</v>
      </c>
      <c r="H77" s="103">
        <v>201612</v>
      </c>
      <c r="I77" s="104">
        <v>69.010000000000005</v>
      </c>
      <c r="J77" s="144">
        <f t="shared" si="3"/>
        <v>5</v>
      </c>
      <c r="K77" s="155">
        <v>2.23333E-3</v>
      </c>
      <c r="L77" s="154">
        <f t="shared" si="4"/>
        <v>0.77</v>
      </c>
      <c r="M77" s="154">
        <f t="shared" si="5"/>
        <v>1.85</v>
      </c>
      <c r="N77" s="145"/>
      <c r="O77" s="168" t="str">
        <f>VLOOKUP(C77,'New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8" spans="1:15" ht="15" customHeight="1">
      <c r="A78" s="102" t="s">
        <v>14</v>
      </c>
      <c r="B78" s="103" t="s">
        <v>1681</v>
      </c>
      <c r="C78" s="103" t="s">
        <v>2382</v>
      </c>
      <c r="D78" s="102" t="s">
        <v>2383</v>
      </c>
      <c r="E78" s="103" t="s">
        <v>164</v>
      </c>
      <c r="F78" s="102" t="s">
        <v>1600</v>
      </c>
      <c r="G78" s="103" t="s">
        <v>20</v>
      </c>
      <c r="H78" s="103">
        <v>201612</v>
      </c>
      <c r="I78" s="104">
        <v>2622.83</v>
      </c>
      <c r="J78" s="144">
        <f t="shared" si="3"/>
        <v>5</v>
      </c>
      <c r="K78" s="148">
        <v>2.23333E-3</v>
      </c>
      <c r="L78" s="154">
        <f t="shared" si="4"/>
        <v>29.29</v>
      </c>
      <c r="M78" s="154">
        <f t="shared" si="5"/>
        <v>70.290000000000006</v>
      </c>
      <c r="N78" s="145"/>
      <c r="O78" s="168" t="str">
        <f>VLOOKUP(C78,'New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79" spans="1:15" ht="15" customHeight="1">
      <c r="A79" s="102" t="s">
        <v>626</v>
      </c>
      <c r="B79" s="103" t="s">
        <v>1681</v>
      </c>
      <c r="C79" s="103" t="s">
        <v>2073</v>
      </c>
      <c r="D79" s="102" t="s">
        <v>2074</v>
      </c>
      <c r="E79" s="103" t="s">
        <v>164</v>
      </c>
      <c r="F79" s="102" t="s">
        <v>1600</v>
      </c>
      <c r="G79" s="103" t="s">
        <v>20</v>
      </c>
      <c r="H79" s="103">
        <v>201611</v>
      </c>
      <c r="I79" s="104">
        <v>-2081.13</v>
      </c>
      <c r="J79" s="144">
        <f t="shared" si="3"/>
        <v>6</v>
      </c>
      <c r="K79" s="155">
        <v>1.4833299999999999E-3</v>
      </c>
      <c r="L79" s="154">
        <f t="shared" si="4"/>
        <v>-18.52</v>
      </c>
      <c r="M79" s="154">
        <f t="shared" si="5"/>
        <v>-37.04</v>
      </c>
      <c r="N79" s="145"/>
      <c r="O79" s="168" t="str">
        <f>VLOOKUP(C79,'New Wo Detailed Descr Rev'!$A$5:$D$287,4)</f>
        <v>Replace 45' of 6'' CI with 50' of 6'' PE due to AOR. Due 11/28 - 0</v>
      </c>
    </row>
    <row r="80" spans="1:15" ht="15" customHeight="1">
      <c r="A80" s="102" t="s">
        <v>626</v>
      </c>
      <c r="B80" s="103" t="s">
        <v>1681</v>
      </c>
      <c r="C80" s="103" t="s">
        <v>2015</v>
      </c>
      <c r="D80" s="102" t="s">
        <v>2016</v>
      </c>
      <c r="E80" s="103" t="s">
        <v>164</v>
      </c>
      <c r="F80" s="102" t="s">
        <v>1600</v>
      </c>
      <c r="G80" s="103" t="s">
        <v>20</v>
      </c>
      <c r="H80" s="103">
        <v>201611</v>
      </c>
      <c r="I80" s="104">
        <v>16441.93</v>
      </c>
      <c r="J80" s="144">
        <f t="shared" si="3"/>
        <v>6</v>
      </c>
      <c r="K80" s="155">
        <v>1.4833299999999999E-3</v>
      </c>
      <c r="L80" s="154">
        <f t="shared" si="4"/>
        <v>146.33000000000001</v>
      </c>
      <c r="M80" s="154">
        <f t="shared" si="5"/>
        <v>292.67</v>
      </c>
      <c r="N80" s="145"/>
      <c r="O80" s="168" t="str">
        <f>VLOOKUP(C80,'New Wo Detailed Descr Rev'!$A$5:$D$287,4)</f>
        <v>Install 449' of 4'' PE and 9' of 6" PE. Abandon 439' of 6'' CI - 31st St &amp; College Ave. This replacement is due to graphitization and compliance date is 02/10/2016. - 0</v>
      </c>
    </row>
    <row r="81" spans="1:15" ht="15" customHeight="1">
      <c r="A81" s="102" t="s">
        <v>14</v>
      </c>
      <c r="B81" s="103" t="s">
        <v>1681</v>
      </c>
      <c r="C81" s="103" t="s">
        <v>2015</v>
      </c>
      <c r="D81" s="102" t="s">
        <v>2016</v>
      </c>
      <c r="E81" s="103" t="s">
        <v>164</v>
      </c>
      <c r="F81" s="102" t="s">
        <v>1600</v>
      </c>
      <c r="G81" s="103" t="s">
        <v>20</v>
      </c>
      <c r="H81" s="103">
        <v>201611</v>
      </c>
      <c r="I81" s="104">
        <v>1476.09</v>
      </c>
      <c r="J81" s="144">
        <f t="shared" si="3"/>
        <v>6</v>
      </c>
      <c r="K81" s="148">
        <v>2.23333E-3</v>
      </c>
      <c r="L81" s="154">
        <f t="shared" si="4"/>
        <v>19.78</v>
      </c>
      <c r="M81" s="154">
        <f t="shared" si="5"/>
        <v>39.56</v>
      </c>
      <c r="N81" s="145"/>
      <c r="O81" s="168" t="str">
        <f>VLOOKUP(C81,'New Wo Detailed Descr Rev'!$A$5:$D$287,4)</f>
        <v>Install 449' of 4'' PE and 9' of 6" PE. Abandon 439' of 6'' CI - 31st St &amp; College Ave. This replacement is due to graphitization and compliance date is 02/10/2016. - 0</v>
      </c>
    </row>
    <row r="82" spans="1:15" ht="15" customHeight="1">
      <c r="A82" s="102" t="s">
        <v>626</v>
      </c>
      <c r="B82" s="103" t="s">
        <v>1681</v>
      </c>
      <c r="C82" s="103" t="s">
        <v>2390</v>
      </c>
      <c r="D82" s="102" t="s">
        <v>2391</v>
      </c>
      <c r="E82" s="103" t="s">
        <v>164</v>
      </c>
      <c r="F82" s="102" t="s">
        <v>1600</v>
      </c>
      <c r="G82" s="103" t="s">
        <v>20</v>
      </c>
      <c r="H82" s="103">
        <v>201612</v>
      </c>
      <c r="I82" s="104">
        <v>-46.74</v>
      </c>
      <c r="J82" s="144">
        <f t="shared" si="3"/>
        <v>5</v>
      </c>
      <c r="K82" s="155">
        <v>1.4833299999999999E-3</v>
      </c>
      <c r="L82" s="154">
        <f t="shared" si="4"/>
        <v>-0.35</v>
      </c>
      <c r="M82" s="154">
        <f t="shared" si="5"/>
        <v>-0.83</v>
      </c>
      <c r="N82" s="145"/>
      <c r="O82" s="168" t="str">
        <f>VLOOKUP(C82,'New Wo Detailed Descr Rev'!$A$5:$D$287,4)</f>
        <v>Install 180 ft of 2 in IP PE main.  Abandon 453 ft of 12 in LP CI, 148 ft of 4 in LP CI and 200 ft of 4 in LP ST at E 55th &amp; Jackson. - Total Service Tie overs= 3;Total Service Replacement= 3; Total Service Upgrade = 0; Total Abandoned Services: 2.</v>
      </c>
    </row>
    <row r="83" spans="1:15" ht="15" customHeight="1">
      <c r="A83" s="102" t="s">
        <v>14</v>
      </c>
      <c r="B83" s="103" t="s">
        <v>1681</v>
      </c>
      <c r="C83" s="103" t="s">
        <v>2390</v>
      </c>
      <c r="D83" s="102" t="s">
        <v>2391</v>
      </c>
      <c r="E83" s="103" t="s">
        <v>164</v>
      </c>
      <c r="F83" s="102" t="s">
        <v>1600</v>
      </c>
      <c r="G83" s="103" t="s">
        <v>20</v>
      </c>
      <c r="H83" s="103">
        <v>201612</v>
      </c>
      <c r="I83" s="104">
        <v>-5.33</v>
      </c>
      <c r="J83" s="144">
        <f t="shared" si="3"/>
        <v>5</v>
      </c>
      <c r="K83" s="148">
        <v>2.23333E-3</v>
      </c>
      <c r="L83" s="154">
        <f t="shared" si="4"/>
        <v>-0.06</v>
      </c>
      <c r="M83" s="154">
        <f t="shared" si="5"/>
        <v>-0.14000000000000001</v>
      </c>
      <c r="N83" s="145"/>
      <c r="O83" s="168" t="str">
        <f>VLOOKUP(C83,'New Wo Detailed Descr Rev'!$A$5:$D$287,4)</f>
        <v>Install 180 ft of 2 in IP PE main.  Abandon 453 ft of 12 in LP CI, 148 ft of 4 in LP CI and 200 ft of 4 in LP ST at E 55th &amp; Jackson. - Total Service Tie overs= 3;Total Service Replacement= 3; Total Service Upgrade = 0; Total Abandoned Services: 2.</v>
      </c>
    </row>
    <row r="84" spans="1:15" ht="15" customHeight="1">
      <c r="A84" s="102" t="s">
        <v>626</v>
      </c>
      <c r="B84" s="103" t="s">
        <v>1681</v>
      </c>
      <c r="C84" s="103" t="s">
        <v>2087</v>
      </c>
      <c r="D84" s="102" t="s">
        <v>2088</v>
      </c>
      <c r="E84" s="103" t="s">
        <v>164</v>
      </c>
      <c r="F84" s="102" t="s">
        <v>1600</v>
      </c>
      <c r="G84" s="103" t="s">
        <v>20</v>
      </c>
      <c r="H84" s="103">
        <v>201611</v>
      </c>
      <c r="I84" s="104">
        <v>13307.55</v>
      </c>
      <c r="J84" s="144">
        <f t="shared" si="3"/>
        <v>6</v>
      </c>
      <c r="K84" s="155">
        <v>1.4833299999999999E-3</v>
      </c>
      <c r="L84" s="154">
        <f t="shared" si="4"/>
        <v>118.44</v>
      </c>
      <c r="M84" s="154">
        <f t="shared" si="5"/>
        <v>236.87</v>
      </c>
      <c r="N84" s="145"/>
      <c r="O84" s="168" t="str">
        <f>VLOOKUP(C84,'New Wo Detailed Descr Rev'!$A$5:$D$287,4)</f>
        <v>Install 754ft of 4in PE - 20th &amp; McGee. Abandon 502ft of 4in  CI, 112ft of 6in CI, and 466ft of 4in STL (Majority installed prior to 1966). This replacement is due to an AOR. Compliance date of 2/17/2016 - 0</v>
      </c>
    </row>
    <row r="85" spans="1:15" ht="15" customHeight="1">
      <c r="A85" s="102" t="s">
        <v>14</v>
      </c>
      <c r="B85" s="103" t="s">
        <v>1681</v>
      </c>
      <c r="C85" s="103" t="s">
        <v>2087</v>
      </c>
      <c r="D85" s="102" t="s">
        <v>2088</v>
      </c>
      <c r="E85" s="103" t="s">
        <v>164</v>
      </c>
      <c r="F85" s="102" t="s">
        <v>1600</v>
      </c>
      <c r="G85" s="103" t="s">
        <v>20</v>
      </c>
      <c r="H85" s="103">
        <v>201611</v>
      </c>
      <c r="I85" s="104">
        <v>1005.42</v>
      </c>
      <c r="J85" s="144">
        <f t="shared" si="3"/>
        <v>6</v>
      </c>
      <c r="K85" s="148">
        <v>2.23333E-3</v>
      </c>
      <c r="L85" s="154">
        <f t="shared" si="4"/>
        <v>13.47</v>
      </c>
      <c r="M85" s="154">
        <f t="shared" si="5"/>
        <v>26.95</v>
      </c>
      <c r="N85" s="145"/>
      <c r="O85" s="168" t="str">
        <f>VLOOKUP(C85,'New Wo Detailed Descr Rev'!$A$5:$D$287,4)</f>
        <v>Install 754ft of 4in PE - 20th &amp; McGee. Abandon 502ft of 4in  CI, 112ft of 6in CI, and 466ft of 4in STL (Majority installed prior to 1966). This replacement is due to an AOR. Compliance date of 2/17/2016 - 0</v>
      </c>
    </row>
    <row r="86" spans="1:15" ht="15" customHeight="1">
      <c r="A86" s="102" t="s">
        <v>626</v>
      </c>
      <c r="B86" s="103" t="s">
        <v>1681</v>
      </c>
      <c r="C86" s="103" t="s">
        <v>2095</v>
      </c>
      <c r="D86" s="102" t="s">
        <v>2096</v>
      </c>
      <c r="E86" s="103" t="s">
        <v>164</v>
      </c>
      <c r="F86" s="102" t="s">
        <v>1600</v>
      </c>
      <c r="G86" s="103" t="s">
        <v>20</v>
      </c>
      <c r="H86" s="103">
        <v>201612</v>
      </c>
      <c r="I86" s="104">
        <v>742.14</v>
      </c>
      <c r="J86" s="144">
        <f t="shared" ref="J86:J149" si="6">HLOOKUP(H86,$Q$2:$W$3,2)</f>
        <v>5</v>
      </c>
      <c r="K86" s="155">
        <v>1.4833299999999999E-3</v>
      </c>
      <c r="L86" s="154">
        <f t="shared" ref="L86:L149" si="7">ROUND(I86*J86*K86,2)</f>
        <v>5.5</v>
      </c>
      <c r="M86" s="154">
        <f t="shared" ref="M86:M149" si="8">ROUND(I86*K86*12,2)</f>
        <v>13.21</v>
      </c>
      <c r="N86" s="145"/>
      <c r="O86" s="168" t="str">
        <f>VLOOKUP(C86,'New Wo Detailed Descr Rev'!$A$5:$D$287,4)</f>
        <v>Install 40' of 4'' PE. Abandon 30' of 6'' CI due to AOR at 3211 Cypress Ave. - 0</v>
      </c>
    </row>
    <row r="87" spans="1:15" ht="15" customHeight="1">
      <c r="A87" s="102" t="s">
        <v>626</v>
      </c>
      <c r="B87" s="103" t="s">
        <v>1681</v>
      </c>
      <c r="C87" s="103" t="s">
        <v>2416</v>
      </c>
      <c r="D87" s="102" t="s">
        <v>2417</v>
      </c>
      <c r="E87" s="103" t="s">
        <v>164</v>
      </c>
      <c r="F87" s="102" t="s">
        <v>1600</v>
      </c>
      <c r="G87" s="103" t="s">
        <v>20</v>
      </c>
      <c r="H87" s="103">
        <v>201611</v>
      </c>
      <c r="I87" s="104">
        <v>32673.68</v>
      </c>
      <c r="J87" s="144">
        <f t="shared" si="6"/>
        <v>6</v>
      </c>
      <c r="K87" s="155">
        <v>1.4833299999999999E-3</v>
      </c>
      <c r="L87" s="154">
        <f t="shared" si="7"/>
        <v>290.8</v>
      </c>
      <c r="M87" s="154">
        <f t="shared" si="8"/>
        <v>581.59</v>
      </c>
      <c r="N87" s="145"/>
      <c r="O87" s="168" t="str">
        <f>VLOOKUP(C87,'New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88" spans="1:15" ht="15" customHeight="1">
      <c r="A88" s="102" t="s">
        <v>1942</v>
      </c>
      <c r="B88" s="103" t="s">
        <v>1681</v>
      </c>
      <c r="C88" s="103" t="s">
        <v>2416</v>
      </c>
      <c r="D88" s="102" t="s">
        <v>2417</v>
      </c>
      <c r="E88" s="103" t="s">
        <v>164</v>
      </c>
      <c r="F88" s="102" t="s">
        <v>1600</v>
      </c>
      <c r="G88" s="103" t="s">
        <v>20</v>
      </c>
      <c r="H88" s="103">
        <v>201611</v>
      </c>
      <c r="I88" s="104">
        <v>70.87</v>
      </c>
      <c r="J88" s="144">
        <f t="shared" si="6"/>
        <v>6</v>
      </c>
      <c r="K88" s="155">
        <v>2.23333E-3</v>
      </c>
      <c r="L88" s="154">
        <f t="shared" si="7"/>
        <v>0.95</v>
      </c>
      <c r="M88" s="154">
        <f t="shared" si="8"/>
        <v>1.9</v>
      </c>
      <c r="N88" s="145"/>
      <c r="O88" s="168" t="str">
        <f>VLOOKUP(C88,'New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89" spans="1:15" ht="15" customHeight="1">
      <c r="A89" s="102" t="s">
        <v>626</v>
      </c>
      <c r="B89" s="103" t="s">
        <v>1681</v>
      </c>
      <c r="C89" s="103" t="s">
        <v>2416</v>
      </c>
      <c r="D89" s="102" t="s">
        <v>2417</v>
      </c>
      <c r="E89" s="103" t="s">
        <v>164</v>
      </c>
      <c r="F89" s="102" t="s">
        <v>1600</v>
      </c>
      <c r="G89" s="103" t="s">
        <v>20</v>
      </c>
      <c r="H89" s="103">
        <v>201612</v>
      </c>
      <c r="I89" s="104">
        <v>2081.54</v>
      </c>
      <c r="J89" s="144">
        <f t="shared" si="6"/>
        <v>5</v>
      </c>
      <c r="K89" s="155">
        <v>1.4833299999999999E-3</v>
      </c>
      <c r="L89" s="154">
        <f t="shared" si="7"/>
        <v>15.44</v>
      </c>
      <c r="M89" s="154">
        <f t="shared" si="8"/>
        <v>37.049999999999997</v>
      </c>
      <c r="N89" s="145"/>
      <c r="O89" s="168" t="str">
        <f>VLOOKUP(C89,'New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90" spans="1:15" ht="15" customHeight="1">
      <c r="A90" s="102" t="s">
        <v>1942</v>
      </c>
      <c r="B90" s="103" t="s">
        <v>1681</v>
      </c>
      <c r="C90" s="103" t="s">
        <v>2416</v>
      </c>
      <c r="D90" s="102" t="s">
        <v>2417</v>
      </c>
      <c r="E90" s="103" t="s">
        <v>164</v>
      </c>
      <c r="F90" s="102" t="s">
        <v>1600</v>
      </c>
      <c r="G90" s="103" t="s">
        <v>20</v>
      </c>
      <c r="H90" s="103">
        <v>201612</v>
      </c>
      <c r="I90" s="104">
        <v>4.5199999999999996</v>
      </c>
      <c r="J90" s="144">
        <f t="shared" si="6"/>
        <v>5</v>
      </c>
      <c r="K90" s="155">
        <v>2.23333E-3</v>
      </c>
      <c r="L90" s="154">
        <f t="shared" si="7"/>
        <v>0.05</v>
      </c>
      <c r="M90" s="154">
        <f t="shared" si="8"/>
        <v>0.12</v>
      </c>
      <c r="N90" s="145"/>
      <c r="O90" s="168" t="str">
        <f>VLOOKUP(C90,'New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91" spans="1:15" ht="15" customHeight="1">
      <c r="A91" s="102" t="s">
        <v>626</v>
      </c>
      <c r="B91" s="103" t="s">
        <v>1681</v>
      </c>
      <c r="C91" s="103" t="s">
        <v>2420</v>
      </c>
      <c r="D91" s="102" t="s">
        <v>2421</v>
      </c>
      <c r="E91" s="103" t="s">
        <v>164</v>
      </c>
      <c r="F91" s="102" t="s">
        <v>1600</v>
      </c>
      <c r="G91" s="103" t="s">
        <v>20</v>
      </c>
      <c r="H91" s="103">
        <v>201611</v>
      </c>
      <c r="I91" s="104">
        <v>-230.15</v>
      </c>
      <c r="J91" s="144">
        <f t="shared" si="6"/>
        <v>6</v>
      </c>
      <c r="K91" s="155">
        <v>1.4833299999999999E-3</v>
      </c>
      <c r="L91" s="154">
        <f t="shared" si="7"/>
        <v>-2.0499999999999998</v>
      </c>
      <c r="M91" s="154">
        <f t="shared" si="8"/>
        <v>-4.0999999999999996</v>
      </c>
      <c r="N91" s="145"/>
      <c r="O91" s="168" t="str">
        <f>VLOOKUP(C91,'New Wo Detailed Descr Rev'!$A$5:$D$287,4)</f>
        <v>Install 30 ft of 4 in PL LP main on Troost between Missouri and Pacific Street.  Retire 30 ft of 4 in CI LP main.Total Service Tie-over = 3. - This is being replaced as part of the FY16 cast iron replacement program.</v>
      </c>
    </row>
    <row r="92" spans="1:15" ht="15" customHeight="1">
      <c r="A92" s="102" t="s">
        <v>626</v>
      </c>
      <c r="B92" s="103" t="s">
        <v>1681</v>
      </c>
      <c r="C92" s="103" t="s">
        <v>2420</v>
      </c>
      <c r="D92" s="102" t="s">
        <v>2421</v>
      </c>
      <c r="E92" s="103" t="s">
        <v>164</v>
      </c>
      <c r="F92" s="102" t="s">
        <v>1600</v>
      </c>
      <c r="G92" s="103" t="s">
        <v>20</v>
      </c>
      <c r="H92" s="103">
        <v>201612</v>
      </c>
      <c r="I92" s="104">
        <v>133.13999999999999</v>
      </c>
      <c r="J92" s="144">
        <f t="shared" si="6"/>
        <v>5</v>
      </c>
      <c r="K92" s="155">
        <v>1.4833299999999999E-3</v>
      </c>
      <c r="L92" s="154">
        <f t="shared" si="7"/>
        <v>0.99</v>
      </c>
      <c r="M92" s="154">
        <f t="shared" si="8"/>
        <v>2.37</v>
      </c>
      <c r="N92" s="145"/>
      <c r="O92" s="168" t="str">
        <f>VLOOKUP(C92,'New Wo Detailed Descr Rev'!$A$5:$D$287,4)</f>
        <v>Install 30 ft of 4 in PL LP main on Troost between Missouri and Pacific Street.  Retire 30 ft of 4 in CI LP main.Total Service Tie-over = 3. - This is being replaced as part of the FY16 cast iron replacement program.</v>
      </c>
    </row>
    <row r="93" spans="1:15" ht="15" customHeight="1">
      <c r="A93" s="102" t="s">
        <v>626</v>
      </c>
      <c r="B93" s="103" t="s">
        <v>1681</v>
      </c>
      <c r="C93" s="103" t="s">
        <v>2422</v>
      </c>
      <c r="D93" s="102" t="s">
        <v>2423</v>
      </c>
      <c r="E93" s="103" t="s">
        <v>164</v>
      </c>
      <c r="F93" s="102" t="s">
        <v>1600</v>
      </c>
      <c r="G93" s="103" t="s">
        <v>20</v>
      </c>
      <c r="H93" s="103">
        <v>201611</v>
      </c>
      <c r="I93" s="104">
        <v>-36.35</v>
      </c>
      <c r="J93" s="144">
        <f t="shared" si="6"/>
        <v>6</v>
      </c>
      <c r="K93" s="155">
        <v>1.4833299999999999E-3</v>
      </c>
      <c r="L93" s="154">
        <f t="shared" si="7"/>
        <v>-0.32</v>
      </c>
      <c r="M93" s="154">
        <f t="shared" si="8"/>
        <v>-0.65</v>
      </c>
      <c r="N93" s="145"/>
      <c r="O93" s="168" t="str">
        <f>VLOOKUP(C93,'New Wo Detailed Descr Rev'!$A$5:$D$287,4)</f>
        <v>Install 947 ft of 4 in PL IP main on 53rd Ter &amp; Ditman.  Abandon 6 ft of 2 in PL IP main, 6 ft of 4 in PL IP main, 564 ft of 4 in ST IP main, and 337 ft of 2 in ST IP main.  - This main is being replaced as part of FY16 Bare Steel Replacement Program.</v>
      </c>
    </row>
    <row r="94" spans="1:15" ht="15" customHeight="1">
      <c r="A94" s="102" t="s">
        <v>626</v>
      </c>
      <c r="B94" s="103" t="s">
        <v>1681</v>
      </c>
      <c r="C94" s="103" t="s">
        <v>2422</v>
      </c>
      <c r="D94" s="102" t="s">
        <v>2423</v>
      </c>
      <c r="E94" s="103" t="s">
        <v>164</v>
      </c>
      <c r="F94" s="102" t="s">
        <v>1600</v>
      </c>
      <c r="G94" s="103" t="s">
        <v>20</v>
      </c>
      <c r="H94" s="103">
        <v>201612</v>
      </c>
      <c r="I94" s="104">
        <v>21.13</v>
      </c>
      <c r="J94" s="144">
        <f t="shared" si="6"/>
        <v>5</v>
      </c>
      <c r="K94" s="155">
        <v>1.4833299999999999E-3</v>
      </c>
      <c r="L94" s="154">
        <f t="shared" si="7"/>
        <v>0.16</v>
      </c>
      <c r="M94" s="154">
        <f t="shared" si="8"/>
        <v>0.38</v>
      </c>
      <c r="N94" s="145"/>
      <c r="O94" s="168" t="str">
        <f>VLOOKUP(C94,'New Wo Detailed Descr Rev'!$A$5:$D$287,4)</f>
        <v>Install 947 ft of 4 in PL IP main on 53rd Ter &amp; Ditman.  Abandon 6 ft of 2 in PL IP main, 6 ft of 4 in PL IP main, 564 ft of 4 in ST IP main, and 337 ft of 2 in ST IP main.  - This main is being replaced as part of FY16 Bare Steel Replacement Program.</v>
      </c>
    </row>
    <row r="95" spans="1:15" ht="15" customHeight="1">
      <c r="A95" s="102" t="s">
        <v>626</v>
      </c>
      <c r="B95" s="103" t="s">
        <v>1681</v>
      </c>
      <c r="C95" s="103" t="s">
        <v>2446</v>
      </c>
      <c r="D95" s="102" t="s">
        <v>2447</v>
      </c>
      <c r="E95" s="103" t="s">
        <v>164</v>
      </c>
      <c r="F95" s="102" t="s">
        <v>1600</v>
      </c>
      <c r="G95" s="103" t="s">
        <v>20</v>
      </c>
      <c r="H95" s="103">
        <v>201612</v>
      </c>
      <c r="I95" s="104">
        <v>25529.48</v>
      </c>
      <c r="J95" s="144">
        <f t="shared" si="6"/>
        <v>5</v>
      </c>
      <c r="K95" s="155">
        <v>1.4833299999999999E-3</v>
      </c>
      <c r="L95" s="154">
        <f t="shared" si="7"/>
        <v>189.34</v>
      </c>
      <c r="M95" s="154">
        <f t="shared" si="8"/>
        <v>454.42</v>
      </c>
      <c r="N95" s="145"/>
      <c r="O95" s="168" t="str">
        <f>VLOOKUP(C95,'New Wo Detailed Descr Rev'!$A$5:$D$287,4)</f>
        <v>Install ~30 ft of 4 in PL LP main on 12th at Indiana due to exposed bell joint- AOR.  Retire ~30 ft of 4 in CI LP main on 12th at Indiana.  No services to tie-over or replace. - Bell joint was exposed at 6 ft EWC of Indiana and 10 ft NSC of 12th Street.  This AOR has a compliance date of 11/29/2016.</v>
      </c>
    </row>
    <row r="96" spans="1:15" ht="15" customHeight="1">
      <c r="A96" s="102" t="s">
        <v>626</v>
      </c>
      <c r="B96" s="103" t="s">
        <v>1681</v>
      </c>
      <c r="C96" s="103" t="s">
        <v>1705</v>
      </c>
      <c r="D96" s="102" t="s">
        <v>1706</v>
      </c>
      <c r="E96" s="103" t="s">
        <v>75</v>
      </c>
      <c r="F96" s="102" t="s">
        <v>1602</v>
      </c>
      <c r="G96" s="103" t="s">
        <v>20</v>
      </c>
      <c r="H96" s="103">
        <v>201611</v>
      </c>
      <c r="I96" s="104">
        <v>-5185.78</v>
      </c>
      <c r="J96" s="144">
        <f t="shared" si="6"/>
        <v>6</v>
      </c>
      <c r="K96" s="155">
        <v>1.4833299999999999E-3</v>
      </c>
      <c r="L96" s="154">
        <f t="shared" si="7"/>
        <v>-46.15</v>
      </c>
      <c r="M96" s="154">
        <f t="shared" si="8"/>
        <v>-92.31</v>
      </c>
      <c r="N96" s="145"/>
      <c r="O96" s="168" t="str">
        <f>VLOOKUP(C96,'New Wo Detailed Descr Rev'!$A$5:$D$287,4)</f>
        <v>BWO Mains Installed Mtce-South Region - For short replacements of main done on emergency basis - South Region</v>
      </c>
    </row>
    <row r="97" spans="1:15" ht="15" customHeight="1">
      <c r="A97" s="102" t="s">
        <v>626</v>
      </c>
      <c r="B97" s="103" t="s">
        <v>1681</v>
      </c>
      <c r="C97" s="103" t="s">
        <v>1705</v>
      </c>
      <c r="D97" s="102" t="s">
        <v>1706</v>
      </c>
      <c r="E97" s="103" t="s">
        <v>75</v>
      </c>
      <c r="F97" s="102" t="s">
        <v>1602</v>
      </c>
      <c r="G97" s="103" t="s">
        <v>20</v>
      </c>
      <c r="H97" s="103">
        <v>201612</v>
      </c>
      <c r="I97" s="104">
        <v>11047.11</v>
      </c>
      <c r="J97" s="144">
        <f t="shared" si="6"/>
        <v>5</v>
      </c>
      <c r="K97" s="155">
        <v>1.4833299999999999E-3</v>
      </c>
      <c r="L97" s="154">
        <f t="shared" si="7"/>
        <v>81.93</v>
      </c>
      <c r="M97" s="154">
        <f t="shared" si="8"/>
        <v>196.64</v>
      </c>
      <c r="N97" s="145"/>
      <c r="O97" s="168" t="str">
        <f>VLOOKUP(C97,'New Wo Detailed Descr Rev'!$A$5:$D$287,4)</f>
        <v>BWO Mains Installed Mtce-South Region - For short replacements of main done on emergency basis - South Region</v>
      </c>
    </row>
    <row r="98" spans="1:15" ht="15" customHeight="1">
      <c r="A98" s="102" t="s">
        <v>626</v>
      </c>
      <c r="B98" s="103" t="s">
        <v>1681</v>
      </c>
      <c r="C98" s="103" t="s">
        <v>1707</v>
      </c>
      <c r="D98" s="102" t="s">
        <v>1708</v>
      </c>
      <c r="E98" s="103" t="s">
        <v>75</v>
      </c>
      <c r="F98" s="102" t="s">
        <v>1602</v>
      </c>
      <c r="G98" s="103" t="s">
        <v>20</v>
      </c>
      <c r="H98" s="103">
        <v>201611</v>
      </c>
      <c r="I98" s="104">
        <v>-6874.34</v>
      </c>
      <c r="J98" s="144">
        <f t="shared" si="6"/>
        <v>6</v>
      </c>
      <c r="K98" s="155">
        <v>1.4833299999999999E-3</v>
      </c>
      <c r="L98" s="154">
        <f t="shared" si="7"/>
        <v>-61.18</v>
      </c>
      <c r="M98" s="154">
        <f t="shared" si="8"/>
        <v>-122.36</v>
      </c>
      <c r="N98" s="145"/>
      <c r="O98" s="168" t="str">
        <f>VLOOKUP(C98,'New Wo Detailed Descr Rev'!$A$5:$D$287,4)</f>
        <v>BWO Mains Installed Mtce Southwest Region - For short replacements of main done on emergency basis - Southwest Region</v>
      </c>
    </row>
    <row r="99" spans="1:15" ht="15" customHeight="1">
      <c r="A99" s="102" t="s">
        <v>626</v>
      </c>
      <c r="B99" s="103" t="s">
        <v>1681</v>
      </c>
      <c r="C99" s="103" t="s">
        <v>1707</v>
      </c>
      <c r="D99" s="102" t="s">
        <v>1708</v>
      </c>
      <c r="E99" s="103" t="s">
        <v>75</v>
      </c>
      <c r="F99" s="102" t="s">
        <v>1602</v>
      </c>
      <c r="G99" s="103" t="s">
        <v>20</v>
      </c>
      <c r="H99" s="103">
        <v>201612</v>
      </c>
      <c r="I99" s="104">
        <v>3487.62</v>
      </c>
      <c r="J99" s="144">
        <f t="shared" si="6"/>
        <v>5</v>
      </c>
      <c r="K99" s="155">
        <v>1.4833299999999999E-3</v>
      </c>
      <c r="L99" s="154">
        <f t="shared" si="7"/>
        <v>25.87</v>
      </c>
      <c r="M99" s="154">
        <f t="shared" si="8"/>
        <v>62.08</v>
      </c>
      <c r="N99" s="145"/>
      <c r="O99" s="168" t="str">
        <f>VLOOKUP(C99,'New Wo Detailed Descr Rev'!$A$5:$D$287,4)</f>
        <v>BWO Mains Installed Mtce Southwest Region - For short replacements of main done on emergency basis - Southwest Region</v>
      </c>
    </row>
    <row r="100" spans="1:15" ht="15" customHeight="1">
      <c r="A100" s="102" t="s">
        <v>21</v>
      </c>
      <c r="B100" s="103" t="s">
        <v>1956</v>
      </c>
      <c r="C100" s="103" t="s">
        <v>1957</v>
      </c>
      <c r="D100" s="102" t="s">
        <v>2435</v>
      </c>
      <c r="E100" s="103" t="s">
        <v>75</v>
      </c>
      <c r="F100" s="102" t="s">
        <v>1602</v>
      </c>
      <c r="G100" s="103" t="s">
        <v>20</v>
      </c>
      <c r="H100" s="103">
        <v>201611</v>
      </c>
      <c r="I100" s="104">
        <v>43089</v>
      </c>
      <c r="J100" s="144">
        <f t="shared" si="6"/>
        <v>6</v>
      </c>
      <c r="K100" s="155">
        <v>1.4833299999999999E-3</v>
      </c>
      <c r="L100" s="154">
        <f t="shared" si="7"/>
        <v>383.49</v>
      </c>
      <c r="M100" s="154">
        <f t="shared" si="8"/>
        <v>766.98</v>
      </c>
      <c r="N100" s="145"/>
      <c r="O100" s="168" t="str">
        <f>VLOOKUP(C100,'New Wo Detailed Descr Rev'!$A$5:$D$287,4)</f>
        <v>Lees Summit Road 85th to Gregory 8in: Lees Summit: Replace Bare Steel Main - 3760 Safety Related (34-394)  Not reimbursable per J Harrell. Part of the Bare Steel Replacement project. - 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101" spans="1:15" ht="15" customHeight="1">
      <c r="A101" s="102" t="s">
        <v>626</v>
      </c>
      <c r="B101" s="103" t="s">
        <v>1918</v>
      </c>
      <c r="C101" s="103" t="s">
        <v>1919</v>
      </c>
      <c r="D101" s="102" t="s">
        <v>1920</v>
      </c>
      <c r="E101" s="103" t="s">
        <v>75</v>
      </c>
      <c r="F101" s="102" t="s">
        <v>1602</v>
      </c>
      <c r="G101" s="103" t="s">
        <v>20</v>
      </c>
      <c r="H101" s="103">
        <v>201611</v>
      </c>
      <c r="I101" s="104">
        <v>637.71</v>
      </c>
      <c r="J101" s="144">
        <f t="shared" si="6"/>
        <v>6</v>
      </c>
      <c r="K101" s="155">
        <v>1.4833299999999999E-3</v>
      </c>
      <c r="L101" s="154">
        <f t="shared" si="7"/>
        <v>5.68</v>
      </c>
      <c r="M101" s="154">
        <f t="shared" si="8"/>
        <v>11.35</v>
      </c>
      <c r="N101" s="145"/>
      <c r="O101" s="168" t="str">
        <f>VLOOKUP(C101,'New Wo Detailed Descr Rev'!$A$5:$D$287,4)</f>
        <v>Replace 4in &amp; 6in pbs and pcs main: Sweet Springs: Replace Bare Steel Main - 3760 Safety Related (34-394) - Approved by: Joe Hampton on 06/01/2015,  Retire and abandon 1,739' - 4" pbs, 264' - 6" pbs, 1,610' - 4" pcs main by installing 3,090" - 4" PE along Miller St, Virginia Ave and N. Locust St. (ISRS)</v>
      </c>
    </row>
    <row r="102" spans="1:15" ht="15" customHeight="1">
      <c r="A102" s="102" t="s">
        <v>626</v>
      </c>
      <c r="B102" s="103" t="s">
        <v>2115</v>
      </c>
      <c r="C102" s="103" t="s">
        <v>2116</v>
      </c>
      <c r="D102" s="102" t="s">
        <v>1338</v>
      </c>
      <c r="E102" s="103" t="s">
        <v>75</v>
      </c>
      <c r="F102" s="102" t="s">
        <v>1602</v>
      </c>
      <c r="G102" s="103" t="s">
        <v>20</v>
      </c>
      <c r="H102" s="103">
        <v>201612</v>
      </c>
      <c r="I102" s="104">
        <v>-50.58</v>
      </c>
      <c r="J102" s="144">
        <f t="shared" si="6"/>
        <v>5</v>
      </c>
      <c r="K102" s="155">
        <v>1.4833299999999999E-3</v>
      </c>
      <c r="L102" s="154">
        <f t="shared" si="7"/>
        <v>-0.38</v>
      </c>
      <c r="M102" s="154">
        <f t="shared" si="8"/>
        <v>-0.9</v>
      </c>
      <c r="N102" s="145"/>
      <c r="O102" s="168" t="str">
        <f>VLOOKUP(C102,'New Wo Detailed Descr Rev'!$A$5:$D$287,4)</f>
        <v>Replace  2in &amp; 4in PBS Main: Independence: Replace Bare Steel Main - 3760 Safety Related (34-394) - Approved by: Joe Hampton on 06/23/2015,  Replace and abandon 2" and 4" pbs main by installing 2,140' of pe main to clear CP 15-42 dated 02/25/15 due to a low CP read which would require the installation of anodes on O&amp;M (ISRS).
FCOMP 7-22-16 PER MAXIMO</v>
      </c>
    </row>
    <row r="103" spans="1:15" ht="15" customHeight="1">
      <c r="A103" s="102" t="s">
        <v>626</v>
      </c>
      <c r="B103" s="103" t="s">
        <v>2294</v>
      </c>
      <c r="C103" s="103" t="s">
        <v>2293</v>
      </c>
      <c r="D103" s="102" t="s">
        <v>2295</v>
      </c>
      <c r="E103" s="103" t="s">
        <v>75</v>
      </c>
      <c r="F103" s="102" t="s">
        <v>1602</v>
      </c>
      <c r="G103" s="103" t="s">
        <v>20</v>
      </c>
      <c r="H103" s="103">
        <v>201611</v>
      </c>
      <c r="I103" s="104">
        <v>-25.18</v>
      </c>
      <c r="J103" s="144">
        <f t="shared" si="6"/>
        <v>6</v>
      </c>
      <c r="K103" s="155">
        <v>1.4833299999999999E-3</v>
      </c>
      <c r="L103" s="154">
        <f t="shared" si="7"/>
        <v>-0.22</v>
      </c>
      <c r="M103" s="154">
        <f t="shared" si="8"/>
        <v>-0.45</v>
      </c>
      <c r="N103" s="145"/>
      <c r="O103" s="168" t="str">
        <f>VLOOKUP(C103,'New Wo Detailed Descr Rev'!$A$5:$D$287,4)</f>
        <v>Replace 10in and 6in pbs main: Raytown: Replace Bare Steel Main - 3760 Safety Related (34-394) - Approved by: Joe Hampton on 07/07/2015,  Relocate and abandon 10", 6", and 2" bare steel main by installing 2,485' - 8" pe and 1,240' - 2" pe main to allow the City of Raytown to improve Blue Ridge Blvd.  (ISRS)</v>
      </c>
    </row>
    <row r="104" spans="1:15" ht="15" customHeight="1">
      <c r="A104" s="102" t="s">
        <v>626</v>
      </c>
      <c r="B104" s="103" t="s">
        <v>2294</v>
      </c>
      <c r="C104" s="103" t="s">
        <v>2293</v>
      </c>
      <c r="D104" s="102" t="s">
        <v>2295</v>
      </c>
      <c r="E104" s="103" t="s">
        <v>75</v>
      </c>
      <c r="F104" s="102" t="s">
        <v>1602</v>
      </c>
      <c r="G104" s="103" t="s">
        <v>20</v>
      </c>
      <c r="H104" s="103">
        <v>201612</v>
      </c>
      <c r="I104" s="104">
        <v>0.76</v>
      </c>
      <c r="J104" s="144">
        <f t="shared" si="6"/>
        <v>5</v>
      </c>
      <c r="K104" s="155">
        <v>1.4833299999999999E-3</v>
      </c>
      <c r="L104" s="154">
        <f t="shared" si="7"/>
        <v>0.01</v>
      </c>
      <c r="M104" s="154">
        <f t="shared" si="8"/>
        <v>0.01</v>
      </c>
      <c r="N104" s="145"/>
      <c r="O104" s="168" t="str">
        <f>VLOOKUP(C104,'New Wo Detailed Descr Rev'!$A$5:$D$287,4)</f>
        <v>Replace 10in and 6in pbs main: Raytown: Replace Bare Steel Main - 3760 Safety Related (34-394) - Approved by: Joe Hampton on 07/07/2015,  Relocate and abandon 10", 6", and 2" bare steel main by installing 2,485' - 8" pe and 1,240' - 2" pe main to allow the City of Raytown to improve Blue Ridge Blvd.  (ISRS)</v>
      </c>
    </row>
    <row r="105" spans="1:15" ht="15" customHeight="1">
      <c r="A105" s="102" t="s">
        <v>21</v>
      </c>
      <c r="B105" s="103" t="s">
        <v>2117</v>
      </c>
      <c r="C105" s="103" t="s">
        <v>2118</v>
      </c>
      <c r="D105" s="102" t="s">
        <v>2119</v>
      </c>
      <c r="E105" s="103" t="s">
        <v>75</v>
      </c>
      <c r="F105" s="102" t="s">
        <v>1602</v>
      </c>
      <c r="G105" s="103" t="s">
        <v>20</v>
      </c>
      <c r="H105" s="103">
        <v>201611</v>
      </c>
      <c r="I105" s="104">
        <v>24336.87</v>
      </c>
      <c r="J105" s="144">
        <f t="shared" si="6"/>
        <v>6</v>
      </c>
      <c r="K105" s="155">
        <v>1.4833299999999999E-3</v>
      </c>
      <c r="L105" s="154">
        <f t="shared" si="7"/>
        <v>216.6</v>
      </c>
      <c r="M105" s="154">
        <f t="shared" si="8"/>
        <v>433.2</v>
      </c>
      <c r="N105" s="145"/>
      <c r="O105" s="168" t="str">
        <f>VLOOKUP(C105,'New Wo Detailed Descr Rev'!$A$5:$D$287,4)</f>
        <v>Replace 2in PCS/PE &amp; 4in PCS/PE: Holden: Replace Bare Steel Main - 3760 Safety Related (34-394) - 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106" spans="1:15" ht="15" customHeight="1">
      <c r="A106" s="102" t="s">
        <v>626</v>
      </c>
      <c r="B106" s="103" t="s">
        <v>2117</v>
      </c>
      <c r="C106" s="103" t="s">
        <v>2118</v>
      </c>
      <c r="D106" s="102" t="s">
        <v>2119</v>
      </c>
      <c r="E106" s="103" t="s">
        <v>75</v>
      </c>
      <c r="F106" s="102" t="s">
        <v>1602</v>
      </c>
      <c r="G106" s="103" t="s">
        <v>20</v>
      </c>
      <c r="H106" s="103">
        <v>201611</v>
      </c>
      <c r="I106" s="104">
        <v>-24336.87</v>
      </c>
      <c r="J106" s="144">
        <f t="shared" si="6"/>
        <v>6</v>
      </c>
      <c r="K106" s="155">
        <v>1.4833299999999999E-3</v>
      </c>
      <c r="L106" s="154">
        <f t="shared" si="7"/>
        <v>-216.6</v>
      </c>
      <c r="M106" s="154">
        <f t="shared" si="8"/>
        <v>-433.2</v>
      </c>
      <c r="N106" s="145"/>
      <c r="O106" s="168" t="str">
        <f>VLOOKUP(C106,'New Wo Detailed Descr Rev'!$A$5:$D$287,4)</f>
        <v>Replace 2in PCS/PE &amp; 4in PCS/PE: Holden: Replace Bare Steel Main - 3760 Safety Related (34-394) - 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107" spans="1:15" ht="15" customHeight="1">
      <c r="A107" s="102" t="s">
        <v>626</v>
      </c>
      <c r="B107" s="103" t="s">
        <v>1681</v>
      </c>
      <c r="C107" s="103" t="s">
        <v>1999</v>
      </c>
      <c r="D107" s="102" t="s">
        <v>2000</v>
      </c>
      <c r="E107" s="103" t="s">
        <v>75</v>
      </c>
      <c r="F107" s="102" t="s">
        <v>1602</v>
      </c>
      <c r="G107" s="103" t="s">
        <v>20</v>
      </c>
      <c r="H107" s="103">
        <v>201612</v>
      </c>
      <c r="I107" s="104">
        <v>-14555.55</v>
      </c>
      <c r="J107" s="144">
        <f t="shared" si="6"/>
        <v>5</v>
      </c>
      <c r="K107" s="155">
        <v>1.4833299999999999E-3</v>
      </c>
      <c r="L107" s="154">
        <f t="shared" si="7"/>
        <v>-107.95</v>
      </c>
      <c r="M107" s="154">
        <f t="shared" si="8"/>
        <v>-259.08999999999997</v>
      </c>
      <c r="N107" s="145"/>
      <c r="O107" s="168" t="str">
        <f>VLOOKUP(C107,'New Wo Detailed Descr Rev'!$A$5:$D$287,4)</f>
        <v>Install 2,615 feet of 2 inch plastic main to retire 2,564 feet of bare steel main and 45 feet of coated steel main to clear cp15-02 - S. Home, S Hall, E22nd and S Cedar Ave. - 0</v>
      </c>
    </row>
    <row r="108" spans="1:15" ht="15" customHeight="1">
      <c r="A108" s="102" t="s">
        <v>1942</v>
      </c>
      <c r="B108" s="103" t="s">
        <v>1681</v>
      </c>
      <c r="C108" s="103" t="s">
        <v>1999</v>
      </c>
      <c r="D108" s="102" t="s">
        <v>2000</v>
      </c>
      <c r="E108" s="103" t="s">
        <v>75</v>
      </c>
      <c r="F108" s="102" t="s">
        <v>1602</v>
      </c>
      <c r="G108" s="103" t="s">
        <v>20</v>
      </c>
      <c r="H108" s="103">
        <v>201612</v>
      </c>
      <c r="I108" s="104">
        <v>-60.89</v>
      </c>
      <c r="J108" s="144">
        <f t="shared" si="6"/>
        <v>5</v>
      </c>
      <c r="K108" s="155">
        <v>2.23333E-3</v>
      </c>
      <c r="L108" s="154">
        <f t="shared" si="7"/>
        <v>-0.68</v>
      </c>
      <c r="M108" s="154">
        <f t="shared" si="8"/>
        <v>-1.63</v>
      </c>
      <c r="N108" s="145"/>
      <c r="O108" s="168" t="str">
        <f>VLOOKUP(C108,'New Wo Detailed Descr Rev'!$A$5:$D$287,4)</f>
        <v>Install 2,615 feet of 2 inch plastic main to retire 2,564 feet of bare steel main and 45 feet of coated steel main to clear cp15-02 - S. Home, S Hall, E22nd and S Cedar Ave. - 0</v>
      </c>
    </row>
    <row r="109" spans="1:15" ht="15" customHeight="1">
      <c r="A109" s="102" t="s">
        <v>14</v>
      </c>
      <c r="B109" s="103" t="s">
        <v>1681</v>
      </c>
      <c r="C109" s="103" t="s">
        <v>1999</v>
      </c>
      <c r="D109" s="102" t="s">
        <v>2000</v>
      </c>
      <c r="E109" s="103" t="s">
        <v>75</v>
      </c>
      <c r="F109" s="102" t="s">
        <v>1602</v>
      </c>
      <c r="G109" s="103" t="s">
        <v>20</v>
      </c>
      <c r="H109" s="103">
        <v>201612</v>
      </c>
      <c r="I109" s="104">
        <v>-1861.63</v>
      </c>
      <c r="J109" s="144">
        <f t="shared" si="6"/>
        <v>5</v>
      </c>
      <c r="K109" s="148">
        <v>2.23333E-3</v>
      </c>
      <c r="L109" s="154">
        <f t="shared" si="7"/>
        <v>-20.79</v>
      </c>
      <c r="M109" s="154">
        <f t="shared" si="8"/>
        <v>-49.89</v>
      </c>
      <c r="N109" s="145"/>
      <c r="O109" s="168" t="str">
        <f>VLOOKUP(C109,'New Wo Detailed Descr Rev'!$A$5:$D$287,4)</f>
        <v>Install 2,615 feet of 2 inch plastic main to retire 2,564 feet of bare steel main and 45 feet of coated steel main to clear cp15-02 - S. Home, S Hall, E22nd and S Cedar Ave. - 0</v>
      </c>
    </row>
    <row r="110" spans="1:15" ht="15" customHeight="1">
      <c r="A110" s="102" t="s">
        <v>626</v>
      </c>
      <c r="B110" s="103" t="s">
        <v>1681</v>
      </c>
      <c r="C110" s="103" t="s">
        <v>2342</v>
      </c>
      <c r="D110" s="102" t="s">
        <v>2343</v>
      </c>
      <c r="E110" s="103" t="s">
        <v>75</v>
      </c>
      <c r="F110" s="102" t="s">
        <v>1602</v>
      </c>
      <c r="G110" s="103" t="s">
        <v>20</v>
      </c>
      <c r="H110" s="103">
        <v>201611</v>
      </c>
      <c r="I110" s="104">
        <v>283.68</v>
      </c>
      <c r="J110" s="144">
        <f t="shared" si="6"/>
        <v>6</v>
      </c>
      <c r="K110" s="155">
        <v>1.4833299999999999E-3</v>
      </c>
      <c r="L110" s="154">
        <f t="shared" si="7"/>
        <v>2.52</v>
      </c>
      <c r="M110" s="154">
        <f t="shared" si="8"/>
        <v>5.05</v>
      </c>
      <c r="N110" s="145"/>
      <c r="O110" s="168" t="str">
        <f>VLOOKUP(C110,'New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11" spans="1:15" ht="15" customHeight="1">
      <c r="A111" s="102" t="s">
        <v>14</v>
      </c>
      <c r="B111" s="103" t="s">
        <v>1681</v>
      </c>
      <c r="C111" s="103" t="s">
        <v>2342</v>
      </c>
      <c r="D111" s="102" t="s">
        <v>2343</v>
      </c>
      <c r="E111" s="103" t="s">
        <v>75</v>
      </c>
      <c r="F111" s="102" t="s">
        <v>1602</v>
      </c>
      <c r="G111" s="103" t="s">
        <v>20</v>
      </c>
      <c r="H111" s="103">
        <v>201611</v>
      </c>
      <c r="I111" s="104">
        <v>0.01</v>
      </c>
      <c r="J111" s="144">
        <f t="shared" si="6"/>
        <v>6</v>
      </c>
      <c r="K111" s="148">
        <v>2.23333E-3</v>
      </c>
      <c r="L111" s="154">
        <f t="shared" si="7"/>
        <v>0</v>
      </c>
      <c r="M111" s="154">
        <f t="shared" si="8"/>
        <v>0</v>
      </c>
      <c r="N111" s="145"/>
      <c r="O111" s="168" t="str">
        <f>VLOOKUP(C111,'New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12" spans="1:15" ht="15" customHeight="1">
      <c r="A112" s="102" t="s">
        <v>626</v>
      </c>
      <c r="B112" s="103" t="s">
        <v>1681</v>
      </c>
      <c r="C112" s="103" t="s">
        <v>2342</v>
      </c>
      <c r="D112" s="102" t="s">
        <v>2343</v>
      </c>
      <c r="E112" s="103" t="s">
        <v>75</v>
      </c>
      <c r="F112" s="102" t="s">
        <v>1602</v>
      </c>
      <c r="G112" s="103" t="s">
        <v>20</v>
      </c>
      <c r="H112" s="103">
        <v>201612</v>
      </c>
      <c r="I112" s="104">
        <v>1943.6</v>
      </c>
      <c r="J112" s="144">
        <f t="shared" si="6"/>
        <v>5</v>
      </c>
      <c r="K112" s="155">
        <v>1.4833299999999999E-3</v>
      </c>
      <c r="L112" s="154">
        <f t="shared" si="7"/>
        <v>14.42</v>
      </c>
      <c r="M112" s="154">
        <f t="shared" si="8"/>
        <v>34.6</v>
      </c>
      <c r="N112" s="145"/>
      <c r="O112" s="168" t="str">
        <f>VLOOKUP(C112,'New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13" spans="1:15" ht="15" customHeight="1">
      <c r="A113" s="102" t="s">
        <v>14</v>
      </c>
      <c r="B113" s="103" t="s">
        <v>1681</v>
      </c>
      <c r="C113" s="103" t="s">
        <v>2342</v>
      </c>
      <c r="D113" s="102" t="s">
        <v>2343</v>
      </c>
      <c r="E113" s="103" t="s">
        <v>75</v>
      </c>
      <c r="F113" s="102" t="s">
        <v>1602</v>
      </c>
      <c r="G113" s="103" t="s">
        <v>20</v>
      </c>
      <c r="H113" s="103">
        <v>201612</v>
      </c>
      <c r="I113" s="104">
        <v>7.0000000000000007E-2</v>
      </c>
      <c r="J113" s="144">
        <f t="shared" si="6"/>
        <v>5</v>
      </c>
      <c r="K113" s="148">
        <v>2.23333E-3</v>
      </c>
      <c r="L113" s="154">
        <f t="shared" si="7"/>
        <v>0</v>
      </c>
      <c r="M113" s="154">
        <f t="shared" si="8"/>
        <v>0</v>
      </c>
      <c r="N113" s="145"/>
      <c r="O113" s="168" t="str">
        <f>VLOOKUP(C113,'New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14" spans="1:15" ht="15" customHeight="1">
      <c r="A114" s="102" t="s">
        <v>626</v>
      </c>
      <c r="B114" s="103" t="s">
        <v>1681</v>
      </c>
      <c r="C114" s="103" t="s">
        <v>2344</v>
      </c>
      <c r="D114" s="102" t="s">
        <v>2345</v>
      </c>
      <c r="E114" s="103" t="s">
        <v>75</v>
      </c>
      <c r="F114" s="102" t="s">
        <v>1602</v>
      </c>
      <c r="G114" s="103" t="s">
        <v>20</v>
      </c>
      <c r="H114" s="103">
        <v>201611</v>
      </c>
      <c r="I114" s="104">
        <v>-56.2</v>
      </c>
      <c r="J114" s="144">
        <f t="shared" si="6"/>
        <v>6</v>
      </c>
      <c r="K114" s="155">
        <v>1.4833299999999999E-3</v>
      </c>
      <c r="L114" s="154">
        <f t="shared" si="7"/>
        <v>-0.5</v>
      </c>
      <c r="M114" s="154">
        <f t="shared" si="8"/>
        <v>-1</v>
      </c>
      <c r="N114" s="145"/>
      <c r="O114" s="168" t="str">
        <f>VLOOKUP(C114,'New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15" spans="1:15" ht="15" customHeight="1">
      <c r="A115" s="102" t="s">
        <v>14</v>
      </c>
      <c r="B115" s="103" t="s">
        <v>1681</v>
      </c>
      <c r="C115" s="103" t="s">
        <v>2344</v>
      </c>
      <c r="D115" s="102" t="s">
        <v>2345</v>
      </c>
      <c r="E115" s="103" t="s">
        <v>75</v>
      </c>
      <c r="F115" s="102" t="s">
        <v>1602</v>
      </c>
      <c r="G115" s="103" t="s">
        <v>20</v>
      </c>
      <c r="H115" s="103">
        <v>201611</v>
      </c>
      <c r="I115" s="104">
        <v>-0.01</v>
      </c>
      <c r="J115" s="144">
        <f t="shared" si="6"/>
        <v>6</v>
      </c>
      <c r="K115" s="148">
        <v>2.23333E-3</v>
      </c>
      <c r="L115" s="154">
        <f t="shared" si="7"/>
        <v>0</v>
      </c>
      <c r="M115" s="154">
        <f t="shared" si="8"/>
        <v>0</v>
      </c>
      <c r="N115" s="145"/>
      <c r="O115" s="168" t="str">
        <f>VLOOKUP(C115,'New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16" spans="1:15" ht="15" customHeight="1">
      <c r="A116" s="102" t="s">
        <v>626</v>
      </c>
      <c r="B116" s="103" t="s">
        <v>1681</v>
      </c>
      <c r="C116" s="103" t="s">
        <v>2344</v>
      </c>
      <c r="D116" s="102" t="s">
        <v>2345</v>
      </c>
      <c r="E116" s="103" t="s">
        <v>75</v>
      </c>
      <c r="F116" s="102" t="s">
        <v>1602</v>
      </c>
      <c r="G116" s="103" t="s">
        <v>20</v>
      </c>
      <c r="H116" s="103">
        <v>201612</v>
      </c>
      <c r="I116" s="104">
        <v>4788.9799999999996</v>
      </c>
      <c r="J116" s="144">
        <f t="shared" si="6"/>
        <v>5</v>
      </c>
      <c r="K116" s="155">
        <v>1.4833299999999999E-3</v>
      </c>
      <c r="L116" s="154">
        <f t="shared" si="7"/>
        <v>35.520000000000003</v>
      </c>
      <c r="M116" s="154">
        <f t="shared" si="8"/>
        <v>85.24</v>
      </c>
      <c r="N116" s="145"/>
      <c r="O116" s="168" t="str">
        <f>VLOOKUP(C116,'New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17" spans="1:15" ht="15" customHeight="1">
      <c r="A117" s="102" t="s">
        <v>14</v>
      </c>
      <c r="B117" s="103" t="s">
        <v>1681</v>
      </c>
      <c r="C117" s="103" t="s">
        <v>2344</v>
      </c>
      <c r="D117" s="102" t="s">
        <v>2345</v>
      </c>
      <c r="E117" s="103" t="s">
        <v>75</v>
      </c>
      <c r="F117" s="102" t="s">
        <v>1602</v>
      </c>
      <c r="G117" s="103" t="s">
        <v>20</v>
      </c>
      <c r="H117" s="103">
        <v>201612</v>
      </c>
      <c r="I117" s="104">
        <v>1.1200000000000001</v>
      </c>
      <c r="J117" s="144">
        <f t="shared" si="6"/>
        <v>5</v>
      </c>
      <c r="K117" s="148">
        <v>2.23333E-3</v>
      </c>
      <c r="L117" s="154">
        <f t="shared" si="7"/>
        <v>0.01</v>
      </c>
      <c r="M117" s="154">
        <f t="shared" si="8"/>
        <v>0.03</v>
      </c>
      <c r="N117" s="145"/>
      <c r="O117" s="168" t="str">
        <f>VLOOKUP(C117,'New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18" spans="1:15" ht="15" customHeight="1">
      <c r="A118" s="102" t="s">
        <v>626</v>
      </c>
      <c r="B118" s="103" t="s">
        <v>1681</v>
      </c>
      <c r="C118" s="103" t="s">
        <v>2346</v>
      </c>
      <c r="D118" s="102" t="s">
        <v>2347</v>
      </c>
      <c r="E118" s="103" t="s">
        <v>75</v>
      </c>
      <c r="F118" s="102" t="s">
        <v>1602</v>
      </c>
      <c r="G118" s="103" t="s">
        <v>20</v>
      </c>
      <c r="H118" s="103">
        <v>201611</v>
      </c>
      <c r="I118" s="104">
        <v>721.06</v>
      </c>
      <c r="J118" s="144">
        <f t="shared" si="6"/>
        <v>6</v>
      </c>
      <c r="K118" s="155">
        <v>1.4833299999999999E-3</v>
      </c>
      <c r="L118" s="154">
        <f t="shared" si="7"/>
        <v>6.42</v>
      </c>
      <c r="M118" s="154">
        <f t="shared" si="8"/>
        <v>12.83</v>
      </c>
      <c r="N118" s="145"/>
      <c r="O118" s="168" t="str">
        <f>VLOOKUP(C118,'New Wo Detailed Descr Rev'!$A$5:$D$287,4)</f>
        <v>Install 1277 Ft of 4 in and 1089 Ft of 2 in PL MP Main on Briar, S. Ferguson &amp; Prospect St (Tipton Grid Ph D). Abandon 1997 Ft of 3 in PCS and 388 Ft of 2 in PBS MP main at the above locations. - Total Service Tie overs = 20; Total Service Abandon = 1; Total Service uprate = 0  This main is being replaced as part of the FY16 Bare Steel Replacement Program.</v>
      </c>
    </row>
    <row r="119" spans="1:15" ht="15" customHeight="1">
      <c r="A119" s="102" t="s">
        <v>626</v>
      </c>
      <c r="B119" s="103" t="s">
        <v>1681</v>
      </c>
      <c r="C119" s="103" t="s">
        <v>2346</v>
      </c>
      <c r="D119" s="102" t="s">
        <v>2347</v>
      </c>
      <c r="E119" s="103" t="s">
        <v>75</v>
      </c>
      <c r="F119" s="102" t="s">
        <v>1602</v>
      </c>
      <c r="G119" s="103" t="s">
        <v>20</v>
      </c>
      <c r="H119" s="103">
        <v>201612</v>
      </c>
      <c r="I119" s="104">
        <v>-520.87</v>
      </c>
      <c r="J119" s="144">
        <f t="shared" si="6"/>
        <v>5</v>
      </c>
      <c r="K119" s="155">
        <v>1.4833299999999999E-3</v>
      </c>
      <c r="L119" s="154">
        <f t="shared" si="7"/>
        <v>-3.86</v>
      </c>
      <c r="M119" s="154">
        <f t="shared" si="8"/>
        <v>-9.27</v>
      </c>
      <c r="N119" s="145"/>
      <c r="O119" s="168" t="str">
        <f>VLOOKUP(C119,'New Wo Detailed Descr Rev'!$A$5:$D$287,4)</f>
        <v>Install 1277 Ft of 4 in and 1089 Ft of 2 in PL MP Main on Briar, S. Ferguson &amp; Prospect St (Tipton Grid Ph D). Abandon 1997 Ft of 3 in PCS and 388 Ft of 2 in PBS MP main at the above locations. - Total Service Tie overs = 20; Total Service Abandon = 1; Total Service uprate = 0  This main is being replaced as part of the FY16 Bare Steel Replacement Program.</v>
      </c>
    </row>
    <row r="120" spans="1:15" ht="15" customHeight="1">
      <c r="A120" s="102" t="s">
        <v>626</v>
      </c>
      <c r="B120" s="103" t="s">
        <v>1681</v>
      </c>
      <c r="C120" s="103" t="s">
        <v>2348</v>
      </c>
      <c r="D120" s="102" t="s">
        <v>2349</v>
      </c>
      <c r="E120" s="103" t="s">
        <v>75</v>
      </c>
      <c r="F120" s="102" t="s">
        <v>1602</v>
      </c>
      <c r="G120" s="103" t="s">
        <v>20</v>
      </c>
      <c r="H120" s="103">
        <v>201611</v>
      </c>
      <c r="I120" s="104">
        <v>-153.71</v>
      </c>
      <c r="J120" s="144">
        <f t="shared" si="6"/>
        <v>6</v>
      </c>
      <c r="K120" s="155">
        <v>1.4833299999999999E-3</v>
      </c>
      <c r="L120" s="154">
        <f t="shared" si="7"/>
        <v>-1.37</v>
      </c>
      <c r="M120" s="154">
        <f t="shared" si="8"/>
        <v>-2.74</v>
      </c>
      <c r="N120" s="145"/>
      <c r="O120" s="168" t="str">
        <f>VLOOKUP(C120,'New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21" spans="1:15" ht="15" customHeight="1">
      <c r="A121" s="102" t="s">
        <v>14</v>
      </c>
      <c r="B121" s="103" t="s">
        <v>1681</v>
      </c>
      <c r="C121" s="103" t="s">
        <v>2348</v>
      </c>
      <c r="D121" s="102" t="s">
        <v>2349</v>
      </c>
      <c r="E121" s="103" t="s">
        <v>75</v>
      </c>
      <c r="F121" s="102" t="s">
        <v>1602</v>
      </c>
      <c r="G121" s="103" t="s">
        <v>20</v>
      </c>
      <c r="H121" s="103">
        <v>201611</v>
      </c>
      <c r="I121" s="104">
        <v>-7.0000000000000007E-2</v>
      </c>
      <c r="J121" s="144">
        <f t="shared" si="6"/>
        <v>6</v>
      </c>
      <c r="K121" s="148">
        <v>2.23333E-3</v>
      </c>
      <c r="L121" s="154">
        <f t="shared" si="7"/>
        <v>0</v>
      </c>
      <c r="M121" s="154">
        <f t="shared" si="8"/>
        <v>0</v>
      </c>
      <c r="N121" s="145"/>
      <c r="O121" s="168" t="str">
        <f>VLOOKUP(C121,'New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22" spans="1:15" ht="15" customHeight="1">
      <c r="A122" s="102" t="s">
        <v>626</v>
      </c>
      <c r="B122" s="103" t="s">
        <v>1681</v>
      </c>
      <c r="C122" s="103" t="s">
        <v>2348</v>
      </c>
      <c r="D122" s="102" t="s">
        <v>2349</v>
      </c>
      <c r="E122" s="103" t="s">
        <v>75</v>
      </c>
      <c r="F122" s="102" t="s">
        <v>1602</v>
      </c>
      <c r="G122" s="103" t="s">
        <v>20</v>
      </c>
      <c r="H122" s="103">
        <v>201612</v>
      </c>
      <c r="I122" s="104">
        <v>5751.91</v>
      </c>
      <c r="J122" s="144">
        <f t="shared" si="6"/>
        <v>5</v>
      </c>
      <c r="K122" s="155">
        <v>1.4833299999999999E-3</v>
      </c>
      <c r="L122" s="154">
        <f t="shared" si="7"/>
        <v>42.66</v>
      </c>
      <c r="M122" s="154">
        <f t="shared" si="8"/>
        <v>102.38</v>
      </c>
      <c r="N122" s="145"/>
      <c r="O122" s="168" t="str">
        <f>VLOOKUP(C122,'New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23" spans="1:15" ht="15" customHeight="1">
      <c r="A123" s="102" t="s">
        <v>14</v>
      </c>
      <c r="B123" s="103" t="s">
        <v>1681</v>
      </c>
      <c r="C123" s="103" t="s">
        <v>2348</v>
      </c>
      <c r="D123" s="102" t="s">
        <v>2349</v>
      </c>
      <c r="E123" s="103" t="s">
        <v>75</v>
      </c>
      <c r="F123" s="102" t="s">
        <v>1602</v>
      </c>
      <c r="G123" s="103" t="s">
        <v>20</v>
      </c>
      <c r="H123" s="103">
        <v>201612</v>
      </c>
      <c r="I123" s="104">
        <v>2.2599999999999998</v>
      </c>
      <c r="J123" s="144">
        <f t="shared" si="6"/>
        <v>5</v>
      </c>
      <c r="K123" s="148">
        <v>2.23333E-3</v>
      </c>
      <c r="L123" s="154">
        <f t="shared" si="7"/>
        <v>0.03</v>
      </c>
      <c r="M123" s="154">
        <f t="shared" si="8"/>
        <v>0.06</v>
      </c>
      <c r="N123" s="145"/>
      <c r="O123" s="168" t="str">
        <f>VLOOKUP(C123,'New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24" spans="1:15" ht="15" customHeight="1">
      <c r="A124" s="102" t="s">
        <v>626</v>
      </c>
      <c r="B124" s="103" t="s">
        <v>1681</v>
      </c>
      <c r="C124" s="103" t="s">
        <v>2350</v>
      </c>
      <c r="D124" s="102" t="s">
        <v>2351</v>
      </c>
      <c r="E124" s="103" t="s">
        <v>75</v>
      </c>
      <c r="F124" s="102" t="s">
        <v>1602</v>
      </c>
      <c r="G124" s="103" t="s">
        <v>20</v>
      </c>
      <c r="H124" s="103">
        <v>201611</v>
      </c>
      <c r="I124" s="104">
        <v>5599.15</v>
      </c>
      <c r="J124" s="144">
        <f t="shared" si="6"/>
        <v>6</v>
      </c>
      <c r="K124" s="155">
        <v>1.4833299999999999E-3</v>
      </c>
      <c r="L124" s="154">
        <f t="shared" si="7"/>
        <v>49.83</v>
      </c>
      <c r="M124" s="154">
        <f t="shared" si="8"/>
        <v>99.66</v>
      </c>
      <c r="N124" s="145"/>
      <c r="O124" s="168" t="str">
        <f>VLOOKUP(C124,'New Wo Detailed Descr Rev'!$A$5:$D$287,4)</f>
        <v>Inst 8563ft 2in, 3479ft of 4in, and 1634ft of 6in PL MP main for Tipton Grid Phase F. Abdn 210ft of 2in PL, 2740ft of 2in, 6115ft of 3in and 865ft of 4in PBS, 3436 Ft of 2 in, 600 Ft of 3 in and 284 Ft of 4 in PCS (Majority poorly coated) MP main. - FY16 Bare Steel Replacement Program.</v>
      </c>
    </row>
    <row r="125" spans="1:15" ht="15" customHeight="1">
      <c r="A125" s="102" t="s">
        <v>626</v>
      </c>
      <c r="B125" s="103" t="s">
        <v>1681</v>
      </c>
      <c r="C125" s="103" t="s">
        <v>2350</v>
      </c>
      <c r="D125" s="102" t="s">
        <v>2351</v>
      </c>
      <c r="E125" s="103" t="s">
        <v>75</v>
      </c>
      <c r="F125" s="102" t="s">
        <v>1602</v>
      </c>
      <c r="G125" s="103" t="s">
        <v>20</v>
      </c>
      <c r="H125" s="103">
        <v>201612</v>
      </c>
      <c r="I125" s="104">
        <v>22859.34</v>
      </c>
      <c r="J125" s="144">
        <f t="shared" si="6"/>
        <v>5</v>
      </c>
      <c r="K125" s="155">
        <v>1.4833299999999999E-3</v>
      </c>
      <c r="L125" s="154">
        <f t="shared" si="7"/>
        <v>169.54</v>
      </c>
      <c r="M125" s="154">
        <f t="shared" si="8"/>
        <v>406.9</v>
      </c>
      <c r="N125" s="145"/>
      <c r="O125" s="168" t="str">
        <f>VLOOKUP(C125,'New Wo Detailed Descr Rev'!$A$5:$D$287,4)</f>
        <v>Inst 8563ft 2in, 3479ft of 4in, and 1634ft of 6in PL MP main for Tipton Grid Phase F. Abdn 210ft of 2in PL, 2740ft of 2in, 6115ft of 3in and 865ft of 4in PBS, 3436 Ft of 2 in, 600 Ft of 3 in and 284 Ft of 4 in PCS (Majority poorly coated) MP main. - FY16 Bare Steel Replacement Program.</v>
      </c>
    </row>
    <row r="126" spans="1:15" ht="15" customHeight="1">
      <c r="A126" s="102" t="s">
        <v>626</v>
      </c>
      <c r="B126" s="103" t="s">
        <v>1681</v>
      </c>
      <c r="C126" s="103" t="s">
        <v>2352</v>
      </c>
      <c r="D126" s="102" t="s">
        <v>2353</v>
      </c>
      <c r="E126" s="103" t="s">
        <v>75</v>
      </c>
      <c r="F126" s="102" t="s">
        <v>1602</v>
      </c>
      <c r="G126" s="103" t="s">
        <v>20</v>
      </c>
      <c r="H126" s="103">
        <v>201611</v>
      </c>
      <c r="I126" s="104">
        <v>-12.31</v>
      </c>
      <c r="J126" s="144">
        <f t="shared" si="6"/>
        <v>6</v>
      </c>
      <c r="K126" s="155">
        <v>1.4833299999999999E-3</v>
      </c>
      <c r="L126" s="154">
        <f t="shared" si="7"/>
        <v>-0.11</v>
      </c>
      <c r="M126" s="154">
        <f t="shared" si="8"/>
        <v>-0.22</v>
      </c>
      <c r="N126" s="145"/>
      <c r="O126" s="168" t="str">
        <f>VLOOKUP(C126,'New Wo Detailed Descr Rev'!$A$5:$D$287,4)</f>
        <v>Install 6759 Ft of 2 in and 7361 Ft of 4 in PL IP Main for Tipton Grid Phase E. Abandon 25 Ft of 2 in PL, 6846 Ft of 2 in Steel, 5266 Ft of 3 in Steel and 200 Ft of 4 in Steel MP and IP main. FY16 Bare Steel Replacement Program. - 0</v>
      </c>
    </row>
    <row r="127" spans="1:15" ht="15" customHeight="1">
      <c r="A127" s="102" t="s">
        <v>14</v>
      </c>
      <c r="B127" s="103" t="s">
        <v>1681</v>
      </c>
      <c r="C127" s="103" t="s">
        <v>2352</v>
      </c>
      <c r="D127" s="102" t="s">
        <v>2353</v>
      </c>
      <c r="E127" s="103" t="s">
        <v>75</v>
      </c>
      <c r="F127" s="102" t="s">
        <v>1602</v>
      </c>
      <c r="G127" s="103" t="s">
        <v>20</v>
      </c>
      <c r="H127" s="103">
        <v>201611</v>
      </c>
      <c r="I127" s="104">
        <v>-0.02</v>
      </c>
      <c r="J127" s="144">
        <f t="shared" si="6"/>
        <v>6</v>
      </c>
      <c r="K127" s="148">
        <v>2.23333E-3</v>
      </c>
      <c r="L127" s="154">
        <f t="shared" si="7"/>
        <v>0</v>
      </c>
      <c r="M127" s="154">
        <f t="shared" si="8"/>
        <v>0</v>
      </c>
      <c r="N127" s="145"/>
      <c r="O127" s="168" t="str">
        <f>VLOOKUP(C127,'New Wo Detailed Descr Rev'!$A$5:$D$287,4)</f>
        <v>Install 6759 Ft of 2 in and 7361 Ft of 4 in PL IP Main for Tipton Grid Phase E. Abandon 25 Ft of 2 in PL, 6846 Ft of 2 in Steel, 5266 Ft of 3 in Steel and 200 Ft of 4 in Steel MP and IP main. FY16 Bare Steel Replacement Program. - 0</v>
      </c>
    </row>
    <row r="128" spans="1:15" ht="15" customHeight="1">
      <c r="A128" s="102" t="s">
        <v>626</v>
      </c>
      <c r="B128" s="103" t="s">
        <v>1681</v>
      </c>
      <c r="C128" s="103" t="s">
        <v>2352</v>
      </c>
      <c r="D128" s="102" t="s">
        <v>2353</v>
      </c>
      <c r="E128" s="103" t="s">
        <v>75</v>
      </c>
      <c r="F128" s="102" t="s">
        <v>1602</v>
      </c>
      <c r="G128" s="103" t="s">
        <v>20</v>
      </c>
      <c r="H128" s="103">
        <v>201612</v>
      </c>
      <c r="I128" s="104">
        <v>12721.13</v>
      </c>
      <c r="J128" s="144">
        <f t="shared" si="6"/>
        <v>5</v>
      </c>
      <c r="K128" s="155">
        <v>1.4833299999999999E-3</v>
      </c>
      <c r="L128" s="154">
        <f t="shared" si="7"/>
        <v>94.35</v>
      </c>
      <c r="M128" s="154">
        <f t="shared" si="8"/>
        <v>226.44</v>
      </c>
      <c r="N128" s="145"/>
      <c r="O128" s="168" t="str">
        <f>VLOOKUP(C128,'New Wo Detailed Descr Rev'!$A$5:$D$287,4)</f>
        <v>Install 6759 Ft of 2 in and 7361 Ft of 4 in PL IP Main for Tipton Grid Phase E. Abandon 25 Ft of 2 in PL, 6846 Ft of 2 in Steel, 5266 Ft of 3 in Steel and 200 Ft of 4 in Steel MP and IP main. FY16 Bare Steel Replacement Program. - 0</v>
      </c>
    </row>
    <row r="129" spans="1:15" ht="15" customHeight="1">
      <c r="A129" s="102" t="s">
        <v>14</v>
      </c>
      <c r="B129" s="103" t="s">
        <v>1681</v>
      </c>
      <c r="C129" s="103" t="s">
        <v>2352</v>
      </c>
      <c r="D129" s="102" t="s">
        <v>2353</v>
      </c>
      <c r="E129" s="103" t="s">
        <v>75</v>
      </c>
      <c r="F129" s="102" t="s">
        <v>1602</v>
      </c>
      <c r="G129" s="103" t="s">
        <v>20</v>
      </c>
      <c r="H129" s="103">
        <v>201612</v>
      </c>
      <c r="I129" s="104">
        <v>20.71</v>
      </c>
      <c r="J129" s="144">
        <f t="shared" si="6"/>
        <v>5</v>
      </c>
      <c r="K129" s="148">
        <v>2.23333E-3</v>
      </c>
      <c r="L129" s="154">
        <f t="shared" si="7"/>
        <v>0.23</v>
      </c>
      <c r="M129" s="154">
        <f t="shared" si="8"/>
        <v>0.56000000000000005</v>
      </c>
      <c r="N129" s="145"/>
      <c r="O129" s="168" t="str">
        <f>VLOOKUP(C129,'New Wo Detailed Descr Rev'!$A$5:$D$287,4)</f>
        <v>Install 6759 Ft of 2 in and 7361 Ft of 4 in PL IP Main for Tipton Grid Phase E. Abandon 25 Ft of 2 in PL, 6846 Ft of 2 in Steel, 5266 Ft of 3 in Steel and 200 Ft of 4 in Steel MP and IP main. FY16 Bare Steel Replacement Program. - 0</v>
      </c>
    </row>
    <row r="130" spans="1:15" ht="15" customHeight="1">
      <c r="A130" s="102" t="s">
        <v>626</v>
      </c>
      <c r="B130" s="103" t="s">
        <v>1681</v>
      </c>
      <c r="C130" s="103" t="s">
        <v>2358</v>
      </c>
      <c r="D130" s="102" t="s">
        <v>2359</v>
      </c>
      <c r="E130" s="103" t="s">
        <v>75</v>
      </c>
      <c r="F130" s="102" t="s">
        <v>1602</v>
      </c>
      <c r="G130" s="103" t="s">
        <v>20</v>
      </c>
      <c r="H130" s="103">
        <v>201611</v>
      </c>
      <c r="I130" s="104">
        <v>1058.54</v>
      </c>
      <c r="J130" s="144">
        <f t="shared" si="6"/>
        <v>6</v>
      </c>
      <c r="K130" s="155">
        <v>1.4833299999999999E-3</v>
      </c>
      <c r="L130" s="154">
        <f t="shared" si="7"/>
        <v>9.42</v>
      </c>
      <c r="M130" s="154">
        <f t="shared" si="8"/>
        <v>18.84</v>
      </c>
      <c r="N130" s="145"/>
      <c r="O130" s="168" t="str">
        <f>VLOOKUP(C130,'New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31" spans="1:15" ht="15" customHeight="1">
      <c r="A131" s="102" t="s">
        <v>14</v>
      </c>
      <c r="B131" s="103" t="s">
        <v>1681</v>
      </c>
      <c r="C131" s="103" t="s">
        <v>2358</v>
      </c>
      <c r="D131" s="102" t="s">
        <v>2359</v>
      </c>
      <c r="E131" s="103" t="s">
        <v>75</v>
      </c>
      <c r="F131" s="102" t="s">
        <v>1602</v>
      </c>
      <c r="G131" s="103" t="s">
        <v>20</v>
      </c>
      <c r="H131" s="103">
        <v>201611</v>
      </c>
      <c r="I131" s="104">
        <v>11.92</v>
      </c>
      <c r="J131" s="144">
        <f t="shared" si="6"/>
        <v>6</v>
      </c>
      <c r="K131" s="148">
        <v>2.23333E-3</v>
      </c>
      <c r="L131" s="154">
        <f t="shared" si="7"/>
        <v>0.16</v>
      </c>
      <c r="M131" s="154">
        <f t="shared" si="8"/>
        <v>0.32</v>
      </c>
      <c r="N131" s="145"/>
      <c r="O131" s="168" t="str">
        <f>VLOOKUP(C131,'New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32" spans="1:15" ht="15" customHeight="1">
      <c r="A132" s="102" t="s">
        <v>626</v>
      </c>
      <c r="B132" s="103" t="s">
        <v>1681</v>
      </c>
      <c r="C132" s="103" t="s">
        <v>2358</v>
      </c>
      <c r="D132" s="102" t="s">
        <v>2359</v>
      </c>
      <c r="E132" s="103" t="s">
        <v>75</v>
      </c>
      <c r="F132" s="102" t="s">
        <v>1602</v>
      </c>
      <c r="G132" s="103" t="s">
        <v>20</v>
      </c>
      <c r="H132" s="103">
        <v>201612</v>
      </c>
      <c r="I132" s="104">
        <v>1925.7</v>
      </c>
      <c r="J132" s="144">
        <f t="shared" si="6"/>
        <v>5</v>
      </c>
      <c r="K132" s="155">
        <v>1.4833299999999999E-3</v>
      </c>
      <c r="L132" s="154">
        <f t="shared" si="7"/>
        <v>14.28</v>
      </c>
      <c r="M132" s="154">
        <f t="shared" si="8"/>
        <v>34.28</v>
      </c>
      <c r="N132" s="145"/>
      <c r="O132" s="168" t="str">
        <f>VLOOKUP(C132,'New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33" spans="1:15" ht="15" customHeight="1">
      <c r="A133" s="102" t="s">
        <v>14</v>
      </c>
      <c r="B133" s="103" t="s">
        <v>1681</v>
      </c>
      <c r="C133" s="103" t="s">
        <v>2358</v>
      </c>
      <c r="D133" s="102" t="s">
        <v>2359</v>
      </c>
      <c r="E133" s="103" t="s">
        <v>75</v>
      </c>
      <c r="F133" s="102" t="s">
        <v>1602</v>
      </c>
      <c r="G133" s="103" t="s">
        <v>20</v>
      </c>
      <c r="H133" s="103">
        <v>201612</v>
      </c>
      <c r="I133" s="104">
        <v>21.7</v>
      </c>
      <c r="J133" s="144">
        <f t="shared" si="6"/>
        <v>5</v>
      </c>
      <c r="K133" s="148">
        <v>2.23333E-3</v>
      </c>
      <c r="L133" s="154">
        <f t="shared" si="7"/>
        <v>0.24</v>
      </c>
      <c r="M133" s="154">
        <f t="shared" si="8"/>
        <v>0.57999999999999996</v>
      </c>
      <c r="N133" s="145"/>
      <c r="O133" s="168" t="str">
        <f>VLOOKUP(C133,'New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34" spans="1:15" ht="15" customHeight="1">
      <c r="A134" s="102" t="s">
        <v>626</v>
      </c>
      <c r="B134" s="103" t="s">
        <v>1681</v>
      </c>
      <c r="C134" s="103" t="s">
        <v>2360</v>
      </c>
      <c r="D134" s="102" t="s">
        <v>2361</v>
      </c>
      <c r="E134" s="103" t="s">
        <v>75</v>
      </c>
      <c r="F134" s="102" t="s">
        <v>1602</v>
      </c>
      <c r="G134" s="103" t="s">
        <v>20</v>
      </c>
      <c r="H134" s="103">
        <v>201611</v>
      </c>
      <c r="I134" s="104">
        <v>11804.01</v>
      </c>
      <c r="J134" s="144">
        <f t="shared" si="6"/>
        <v>6</v>
      </c>
      <c r="K134" s="155">
        <v>1.4833299999999999E-3</v>
      </c>
      <c r="L134" s="154">
        <f t="shared" si="7"/>
        <v>105.06</v>
      </c>
      <c r="M134" s="154">
        <f t="shared" si="8"/>
        <v>210.11</v>
      </c>
      <c r="N134" s="145"/>
      <c r="O134" s="168" t="str">
        <f>VLOOKUP(C134,'New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35" spans="1:15" ht="15" customHeight="1">
      <c r="A135" s="102" t="s">
        <v>14</v>
      </c>
      <c r="B135" s="103" t="s">
        <v>1681</v>
      </c>
      <c r="C135" s="103" t="s">
        <v>2360</v>
      </c>
      <c r="D135" s="102" t="s">
        <v>2361</v>
      </c>
      <c r="E135" s="103" t="s">
        <v>75</v>
      </c>
      <c r="F135" s="102" t="s">
        <v>1602</v>
      </c>
      <c r="G135" s="103" t="s">
        <v>20</v>
      </c>
      <c r="H135" s="103">
        <v>201611</v>
      </c>
      <c r="I135" s="104">
        <v>153.94999999999999</v>
      </c>
      <c r="J135" s="144">
        <f t="shared" si="6"/>
        <v>6</v>
      </c>
      <c r="K135" s="148">
        <v>2.23333E-3</v>
      </c>
      <c r="L135" s="154">
        <f t="shared" si="7"/>
        <v>2.06</v>
      </c>
      <c r="M135" s="154">
        <f t="shared" si="8"/>
        <v>4.13</v>
      </c>
      <c r="N135" s="145"/>
      <c r="O135" s="168" t="str">
        <f>VLOOKUP(C135,'New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36" spans="1:15" ht="15" customHeight="1">
      <c r="A136" s="102" t="s">
        <v>626</v>
      </c>
      <c r="B136" s="103" t="s">
        <v>1681</v>
      </c>
      <c r="C136" s="103" t="s">
        <v>2360</v>
      </c>
      <c r="D136" s="102" t="s">
        <v>2361</v>
      </c>
      <c r="E136" s="103" t="s">
        <v>75</v>
      </c>
      <c r="F136" s="102" t="s">
        <v>1602</v>
      </c>
      <c r="G136" s="103" t="s">
        <v>20</v>
      </c>
      <c r="H136" s="103">
        <v>201612</v>
      </c>
      <c r="I136" s="104">
        <v>1129.0899999999999</v>
      </c>
      <c r="J136" s="144">
        <f t="shared" si="6"/>
        <v>5</v>
      </c>
      <c r="K136" s="155">
        <v>1.4833299999999999E-3</v>
      </c>
      <c r="L136" s="154">
        <f t="shared" si="7"/>
        <v>8.3699999999999992</v>
      </c>
      <c r="M136" s="154">
        <f t="shared" si="8"/>
        <v>20.100000000000001</v>
      </c>
      <c r="N136" s="145"/>
      <c r="O136" s="168" t="str">
        <f>VLOOKUP(C136,'New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37" spans="1:15" ht="15" customHeight="1">
      <c r="A137" s="102" t="s">
        <v>14</v>
      </c>
      <c r="B137" s="103" t="s">
        <v>1681</v>
      </c>
      <c r="C137" s="103" t="s">
        <v>2360</v>
      </c>
      <c r="D137" s="102" t="s">
        <v>2361</v>
      </c>
      <c r="E137" s="103" t="s">
        <v>75</v>
      </c>
      <c r="F137" s="102" t="s">
        <v>1602</v>
      </c>
      <c r="G137" s="103" t="s">
        <v>20</v>
      </c>
      <c r="H137" s="103">
        <v>201612</v>
      </c>
      <c r="I137" s="104">
        <v>14.72</v>
      </c>
      <c r="J137" s="144">
        <f t="shared" si="6"/>
        <v>5</v>
      </c>
      <c r="K137" s="148">
        <v>2.23333E-3</v>
      </c>
      <c r="L137" s="154">
        <f t="shared" si="7"/>
        <v>0.16</v>
      </c>
      <c r="M137" s="154">
        <f t="shared" si="8"/>
        <v>0.39</v>
      </c>
      <c r="N137" s="145"/>
      <c r="O137" s="168" t="str">
        <f>VLOOKUP(C137,'New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38" spans="1:15" ht="15" customHeight="1">
      <c r="A138" s="102" t="s">
        <v>626</v>
      </c>
      <c r="B138" s="103" t="s">
        <v>1681</v>
      </c>
      <c r="C138" s="103" t="s">
        <v>2362</v>
      </c>
      <c r="D138" s="102" t="s">
        <v>2363</v>
      </c>
      <c r="E138" s="103" t="s">
        <v>75</v>
      </c>
      <c r="F138" s="102" t="s">
        <v>1602</v>
      </c>
      <c r="G138" s="103" t="s">
        <v>20</v>
      </c>
      <c r="H138" s="103">
        <v>201611</v>
      </c>
      <c r="I138" s="104">
        <v>15917.24</v>
      </c>
      <c r="J138" s="144">
        <f t="shared" si="6"/>
        <v>6</v>
      </c>
      <c r="K138" s="155">
        <v>1.4833299999999999E-3</v>
      </c>
      <c r="L138" s="154">
        <f t="shared" si="7"/>
        <v>141.66</v>
      </c>
      <c r="M138" s="154">
        <f t="shared" si="8"/>
        <v>283.33</v>
      </c>
      <c r="N138" s="145"/>
      <c r="O138" s="168" t="str">
        <f>VLOOKUP(C138,'New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39" spans="1:15" ht="15" customHeight="1">
      <c r="A139" s="102" t="s">
        <v>14</v>
      </c>
      <c r="B139" s="103" t="s">
        <v>1681</v>
      </c>
      <c r="C139" s="103" t="s">
        <v>2362</v>
      </c>
      <c r="D139" s="102" t="s">
        <v>2363</v>
      </c>
      <c r="E139" s="103" t="s">
        <v>75</v>
      </c>
      <c r="F139" s="102" t="s">
        <v>1602</v>
      </c>
      <c r="G139" s="103" t="s">
        <v>20</v>
      </c>
      <c r="H139" s="103">
        <v>201611</v>
      </c>
      <c r="I139" s="104">
        <v>272.72000000000003</v>
      </c>
      <c r="J139" s="144">
        <f t="shared" si="6"/>
        <v>6</v>
      </c>
      <c r="K139" s="148">
        <v>2.23333E-3</v>
      </c>
      <c r="L139" s="154">
        <f t="shared" si="7"/>
        <v>3.65</v>
      </c>
      <c r="M139" s="154">
        <f t="shared" si="8"/>
        <v>7.31</v>
      </c>
      <c r="N139" s="145"/>
      <c r="O139" s="168" t="str">
        <f>VLOOKUP(C139,'New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40" spans="1:15" ht="15" customHeight="1">
      <c r="A140" s="102" t="s">
        <v>626</v>
      </c>
      <c r="B140" s="103" t="s">
        <v>1681</v>
      </c>
      <c r="C140" s="103" t="s">
        <v>2362</v>
      </c>
      <c r="D140" s="102" t="s">
        <v>2363</v>
      </c>
      <c r="E140" s="103" t="s">
        <v>75</v>
      </c>
      <c r="F140" s="102" t="s">
        <v>1602</v>
      </c>
      <c r="G140" s="103" t="s">
        <v>20</v>
      </c>
      <c r="H140" s="103">
        <v>201612</v>
      </c>
      <c r="I140" s="104">
        <v>526.04999999999995</v>
      </c>
      <c r="J140" s="144">
        <f t="shared" si="6"/>
        <v>5</v>
      </c>
      <c r="K140" s="155">
        <v>1.4833299999999999E-3</v>
      </c>
      <c r="L140" s="154">
        <f t="shared" si="7"/>
        <v>3.9</v>
      </c>
      <c r="M140" s="154">
        <f t="shared" si="8"/>
        <v>9.36</v>
      </c>
      <c r="N140" s="145"/>
      <c r="O140" s="168" t="str">
        <f>VLOOKUP(C140,'New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41" spans="1:15" ht="15" customHeight="1">
      <c r="A141" s="102" t="s">
        <v>14</v>
      </c>
      <c r="B141" s="103" t="s">
        <v>1681</v>
      </c>
      <c r="C141" s="103" t="s">
        <v>2362</v>
      </c>
      <c r="D141" s="102" t="s">
        <v>2363</v>
      </c>
      <c r="E141" s="103" t="s">
        <v>75</v>
      </c>
      <c r="F141" s="102" t="s">
        <v>1602</v>
      </c>
      <c r="G141" s="103" t="s">
        <v>20</v>
      </c>
      <c r="H141" s="103">
        <v>201612</v>
      </c>
      <c r="I141" s="104">
        <v>9.01</v>
      </c>
      <c r="J141" s="144">
        <f t="shared" si="6"/>
        <v>5</v>
      </c>
      <c r="K141" s="148">
        <v>2.23333E-3</v>
      </c>
      <c r="L141" s="154">
        <f t="shared" si="7"/>
        <v>0.1</v>
      </c>
      <c r="M141" s="154">
        <f t="shared" si="8"/>
        <v>0.24</v>
      </c>
      <c r="N141" s="145"/>
      <c r="O141" s="168" t="str">
        <f>VLOOKUP(C141,'New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42" spans="1:15" ht="15" customHeight="1">
      <c r="A142" s="102" t="s">
        <v>626</v>
      </c>
      <c r="B142" s="103" t="s">
        <v>1681</v>
      </c>
      <c r="C142" s="103" t="s">
        <v>2364</v>
      </c>
      <c r="D142" s="102" t="s">
        <v>2365</v>
      </c>
      <c r="E142" s="103" t="s">
        <v>75</v>
      </c>
      <c r="F142" s="102" t="s">
        <v>1602</v>
      </c>
      <c r="G142" s="103" t="s">
        <v>20</v>
      </c>
      <c r="H142" s="103">
        <v>201611</v>
      </c>
      <c r="I142" s="104">
        <v>10838.4</v>
      </c>
      <c r="J142" s="144">
        <f t="shared" si="6"/>
        <v>6</v>
      </c>
      <c r="K142" s="155">
        <v>1.4833299999999999E-3</v>
      </c>
      <c r="L142" s="154">
        <f t="shared" si="7"/>
        <v>96.46</v>
      </c>
      <c r="M142" s="154">
        <f t="shared" si="8"/>
        <v>192.92</v>
      </c>
      <c r="N142" s="145"/>
      <c r="O142" s="168" t="str">
        <f>VLOOKUP(C142,'New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3" spans="1:15" ht="15" customHeight="1">
      <c r="A143" s="102" t="s">
        <v>14</v>
      </c>
      <c r="B143" s="103" t="s">
        <v>1681</v>
      </c>
      <c r="C143" s="103" t="s">
        <v>2364</v>
      </c>
      <c r="D143" s="102" t="s">
        <v>2365</v>
      </c>
      <c r="E143" s="103" t="s">
        <v>75</v>
      </c>
      <c r="F143" s="102" t="s">
        <v>1602</v>
      </c>
      <c r="G143" s="103" t="s">
        <v>20</v>
      </c>
      <c r="H143" s="103">
        <v>201611</v>
      </c>
      <c r="I143" s="104">
        <v>111.35</v>
      </c>
      <c r="J143" s="144">
        <f t="shared" si="6"/>
        <v>6</v>
      </c>
      <c r="K143" s="148">
        <v>2.23333E-3</v>
      </c>
      <c r="L143" s="154">
        <f t="shared" si="7"/>
        <v>1.49</v>
      </c>
      <c r="M143" s="154">
        <f t="shared" si="8"/>
        <v>2.98</v>
      </c>
      <c r="N143" s="145"/>
      <c r="O143" s="168" t="str">
        <f>VLOOKUP(C143,'New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4" spans="1:15" ht="15" customHeight="1">
      <c r="A144" s="102" t="s">
        <v>626</v>
      </c>
      <c r="B144" s="103" t="s">
        <v>1681</v>
      </c>
      <c r="C144" s="103" t="s">
        <v>2364</v>
      </c>
      <c r="D144" s="102" t="s">
        <v>2365</v>
      </c>
      <c r="E144" s="103" t="s">
        <v>75</v>
      </c>
      <c r="F144" s="102" t="s">
        <v>1602</v>
      </c>
      <c r="G144" s="103" t="s">
        <v>20</v>
      </c>
      <c r="H144" s="103">
        <v>201612</v>
      </c>
      <c r="I144" s="104">
        <v>1112.7</v>
      </c>
      <c r="J144" s="144">
        <f t="shared" si="6"/>
        <v>5</v>
      </c>
      <c r="K144" s="155">
        <v>1.4833299999999999E-3</v>
      </c>
      <c r="L144" s="154">
        <f t="shared" si="7"/>
        <v>8.25</v>
      </c>
      <c r="M144" s="154">
        <f t="shared" si="8"/>
        <v>19.809999999999999</v>
      </c>
      <c r="N144" s="145"/>
      <c r="O144" s="168" t="str">
        <f>VLOOKUP(C144,'New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5" spans="1:15" ht="15" customHeight="1">
      <c r="A145" s="102" t="s">
        <v>14</v>
      </c>
      <c r="B145" s="103" t="s">
        <v>1681</v>
      </c>
      <c r="C145" s="103" t="s">
        <v>2364</v>
      </c>
      <c r="D145" s="102" t="s">
        <v>2365</v>
      </c>
      <c r="E145" s="103" t="s">
        <v>75</v>
      </c>
      <c r="F145" s="102" t="s">
        <v>1602</v>
      </c>
      <c r="G145" s="103" t="s">
        <v>20</v>
      </c>
      <c r="H145" s="103">
        <v>201612</v>
      </c>
      <c r="I145" s="104">
        <v>11.43</v>
      </c>
      <c r="J145" s="144">
        <f t="shared" si="6"/>
        <v>5</v>
      </c>
      <c r="K145" s="148">
        <v>2.23333E-3</v>
      </c>
      <c r="L145" s="154">
        <f t="shared" si="7"/>
        <v>0.13</v>
      </c>
      <c r="M145" s="154">
        <f t="shared" si="8"/>
        <v>0.31</v>
      </c>
      <c r="N145" s="145"/>
      <c r="O145" s="168" t="str">
        <f>VLOOKUP(C145,'New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6" spans="1:15" ht="15" customHeight="1">
      <c r="A146" s="102" t="s">
        <v>21</v>
      </c>
      <c r="B146" s="103" t="s">
        <v>1681</v>
      </c>
      <c r="C146" s="103" t="s">
        <v>2366</v>
      </c>
      <c r="D146" s="102" t="s">
        <v>2367</v>
      </c>
      <c r="E146" s="103" t="s">
        <v>75</v>
      </c>
      <c r="F146" s="102" t="s">
        <v>1602</v>
      </c>
      <c r="G146" s="103" t="s">
        <v>20</v>
      </c>
      <c r="H146" s="103">
        <v>201611</v>
      </c>
      <c r="I146" s="104">
        <v>-0.19</v>
      </c>
      <c r="J146" s="144">
        <f t="shared" si="6"/>
        <v>6</v>
      </c>
      <c r="K146" s="155">
        <v>1.4833299999999999E-3</v>
      </c>
      <c r="L146" s="154">
        <f t="shared" si="7"/>
        <v>0</v>
      </c>
      <c r="M146" s="154">
        <f t="shared" si="8"/>
        <v>0</v>
      </c>
      <c r="N146" s="145"/>
      <c r="O146" s="168" t="str">
        <f>VLOOKUP(C146,'New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47" spans="1:15" ht="15" customHeight="1">
      <c r="A147" s="102" t="s">
        <v>626</v>
      </c>
      <c r="B147" s="103" t="s">
        <v>1681</v>
      </c>
      <c r="C147" s="103" t="s">
        <v>2366</v>
      </c>
      <c r="D147" s="102" t="s">
        <v>2367</v>
      </c>
      <c r="E147" s="103" t="s">
        <v>75</v>
      </c>
      <c r="F147" s="102" t="s">
        <v>1602</v>
      </c>
      <c r="G147" s="103" t="s">
        <v>20</v>
      </c>
      <c r="H147" s="103">
        <v>201611</v>
      </c>
      <c r="I147" s="104">
        <v>-1080.55</v>
      </c>
      <c r="J147" s="144">
        <f t="shared" si="6"/>
        <v>6</v>
      </c>
      <c r="K147" s="155">
        <v>1.4833299999999999E-3</v>
      </c>
      <c r="L147" s="154">
        <f t="shared" si="7"/>
        <v>-9.6199999999999992</v>
      </c>
      <c r="M147" s="154">
        <f t="shared" si="8"/>
        <v>-19.23</v>
      </c>
      <c r="N147" s="145"/>
      <c r="O147" s="168" t="str">
        <f>VLOOKUP(C147,'New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48" spans="1:15" ht="15" customHeight="1">
      <c r="A148" s="102" t="s">
        <v>14</v>
      </c>
      <c r="B148" s="103" t="s">
        <v>1681</v>
      </c>
      <c r="C148" s="103" t="s">
        <v>2366</v>
      </c>
      <c r="D148" s="102" t="s">
        <v>2367</v>
      </c>
      <c r="E148" s="103" t="s">
        <v>75</v>
      </c>
      <c r="F148" s="102" t="s">
        <v>1602</v>
      </c>
      <c r="G148" s="103" t="s">
        <v>20</v>
      </c>
      <c r="H148" s="103">
        <v>201611</v>
      </c>
      <c r="I148" s="104">
        <v>-1.39</v>
      </c>
      <c r="J148" s="144">
        <f t="shared" si="6"/>
        <v>6</v>
      </c>
      <c r="K148" s="148">
        <v>2.23333E-3</v>
      </c>
      <c r="L148" s="154">
        <f t="shared" si="7"/>
        <v>-0.02</v>
      </c>
      <c r="M148" s="154">
        <f t="shared" si="8"/>
        <v>-0.04</v>
      </c>
      <c r="N148" s="145"/>
      <c r="O148" s="168" t="str">
        <f>VLOOKUP(C148,'New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49" spans="1:15" ht="15" customHeight="1">
      <c r="A149" s="102" t="s">
        <v>21</v>
      </c>
      <c r="B149" s="103" t="s">
        <v>1681</v>
      </c>
      <c r="C149" s="103" t="s">
        <v>2366</v>
      </c>
      <c r="D149" s="102" t="s">
        <v>2367</v>
      </c>
      <c r="E149" s="103" t="s">
        <v>75</v>
      </c>
      <c r="F149" s="102" t="s">
        <v>1602</v>
      </c>
      <c r="G149" s="103" t="s">
        <v>20</v>
      </c>
      <c r="H149" s="103">
        <v>201612</v>
      </c>
      <c r="I149" s="104">
        <v>0.09</v>
      </c>
      <c r="J149" s="144">
        <f t="shared" si="6"/>
        <v>5</v>
      </c>
      <c r="K149" s="155">
        <v>1.4833299999999999E-3</v>
      </c>
      <c r="L149" s="154">
        <f t="shared" si="7"/>
        <v>0</v>
      </c>
      <c r="M149" s="154">
        <f t="shared" si="8"/>
        <v>0</v>
      </c>
      <c r="N149" s="145"/>
      <c r="O149" s="168" t="str">
        <f>VLOOKUP(C149,'New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50" spans="1:15" ht="15" customHeight="1">
      <c r="A150" s="102" t="s">
        <v>626</v>
      </c>
      <c r="B150" s="103" t="s">
        <v>1681</v>
      </c>
      <c r="C150" s="103" t="s">
        <v>2366</v>
      </c>
      <c r="D150" s="102" t="s">
        <v>2367</v>
      </c>
      <c r="E150" s="103" t="s">
        <v>75</v>
      </c>
      <c r="F150" s="102" t="s">
        <v>1602</v>
      </c>
      <c r="G150" s="103" t="s">
        <v>20</v>
      </c>
      <c r="H150" s="103">
        <v>201612</v>
      </c>
      <c r="I150" s="104">
        <v>640.67999999999995</v>
      </c>
      <c r="J150" s="144">
        <f t="shared" ref="J150:J213" si="9">HLOOKUP(H150,$Q$2:$W$3,2)</f>
        <v>5</v>
      </c>
      <c r="K150" s="155">
        <v>1.4833299999999999E-3</v>
      </c>
      <c r="L150" s="154">
        <f t="shared" ref="L150:L213" si="10">ROUND(I150*J150*K150,2)</f>
        <v>4.75</v>
      </c>
      <c r="M150" s="154">
        <f t="shared" ref="M150:M213" si="11">ROUND(I150*K150*12,2)</f>
        <v>11.4</v>
      </c>
      <c r="N150" s="145"/>
      <c r="O150" s="168" t="str">
        <f>VLOOKUP(C150,'New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51" spans="1:15" ht="15" customHeight="1">
      <c r="A151" s="102" t="s">
        <v>14</v>
      </c>
      <c r="B151" s="103" t="s">
        <v>1681</v>
      </c>
      <c r="C151" s="103" t="s">
        <v>2366</v>
      </c>
      <c r="D151" s="102" t="s">
        <v>2367</v>
      </c>
      <c r="E151" s="103" t="s">
        <v>75</v>
      </c>
      <c r="F151" s="102" t="s">
        <v>1602</v>
      </c>
      <c r="G151" s="103" t="s">
        <v>20</v>
      </c>
      <c r="H151" s="103">
        <v>201612</v>
      </c>
      <c r="I151" s="104">
        <v>0.84</v>
      </c>
      <c r="J151" s="144">
        <f t="shared" si="9"/>
        <v>5</v>
      </c>
      <c r="K151" s="148">
        <v>2.23333E-3</v>
      </c>
      <c r="L151" s="154">
        <f t="shared" si="10"/>
        <v>0.01</v>
      </c>
      <c r="M151" s="154">
        <f t="shared" si="11"/>
        <v>0.02</v>
      </c>
      <c r="N151" s="145"/>
      <c r="O151" s="168" t="str">
        <f>VLOOKUP(C151,'New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152" spans="1:15" ht="15" customHeight="1">
      <c r="A152" s="102" t="s">
        <v>21</v>
      </c>
      <c r="B152" s="103" t="s">
        <v>1681</v>
      </c>
      <c r="C152" s="103" t="s">
        <v>2368</v>
      </c>
      <c r="D152" s="102" t="s">
        <v>2369</v>
      </c>
      <c r="E152" s="103" t="s">
        <v>75</v>
      </c>
      <c r="F152" s="102" t="s">
        <v>1602</v>
      </c>
      <c r="G152" s="103" t="s">
        <v>20</v>
      </c>
      <c r="H152" s="103">
        <v>201611</v>
      </c>
      <c r="I152" s="104">
        <v>0.84</v>
      </c>
      <c r="J152" s="144">
        <f t="shared" si="9"/>
        <v>6</v>
      </c>
      <c r="K152" s="155">
        <v>1.4833299999999999E-3</v>
      </c>
      <c r="L152" s="154">
        <f t="shared" si="10"/>
        <v>0.01</v>
      </c>
      <c r="M152" s="154">
        <f t="shared" si="11"/>
        <v>0.01</v>
      </c>
      <c r="N152" s="145"/>
      <c r="O152" s="168" t="str">
        <f>VLOOKUP(C152,'New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3" spans="1:15" ht="15" customHeight="1">
      <c r="A153" s="102" t="s">
        <v>626</v>
      </c>
      <c r="B153" s="103" t="s">
        <v>1681</v>
      </c>
      <c r="C153" s="103" t="s">
        <v>2368</v>
      </c>
      <c r="D153" s="102" t="s">
        <v>2369</v>
      </c>
      <c r="E153" s="103" t="s">
        <v>75</v>
      </c>
      <c r="F153" s="102" t="s">
        <v>1602</v>
      </c>
      <c r="G153" s="103" t="s">
        <v>20</v>
      </c>
      <c r="H153" s="103">
        <v>201611</v>
      </c>
      <c r="I153" s="104">
        <v>8962.92</v>
      </c>
      <c r="J153" s="144">
        <f t="shared" si="9"/>
        <v>6</v>
      </c>
      <c r="K153" s="155">
        <v>1.4833299999999999E-3</v>
      </c>
      <c r="L153" s="154">
        <f t="shared" si="10"/>
        <v>79.77</v>
      </c>
      <c r="M153" s="154">
        <f t="shared" si="11"/>
        <v>159.54</v>
      </c>
      <c r="N153" s="145"/>
      <c r="O153" s="168" t="str">
        <f>VLOOKUP(C153,'New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4" spans="1:15" ht="15" customHeight="1">
      <c r="A154" s="102" t="s">
        <v>14</v>
      </c>
      <c r="B154" s="103" t="s">
        <v>1681</v>
      </c>
      <c r="C154" s="103" t="s">
        <v>2368</v>
      </c>
      <c r="D154" s="102" t="s">
        <v>2369</v>
      </c>
      <c r="E154" s="103" t="s">
        <v>75</v>
      </c>
      <c r="F154" s="102" t="s">
        <v>1602</v>
      </c>
      <c r="G154" s="103" t="s">
        <v>20</v>
      </c>
      <c r="H154" s="103">
        <v>201611</v>
      </c>
      <c r="I154" s="104">
        <v>14.77</v>
      </c>
      <c r="J154" s="144">
        <f t="shared" si="9"/>
        <v>6</v>
      </c>
      <c r="K154" s="148">
        <v>2.23333E-3</v>
      </c>
      <c r="L154" s="154">
        <f t="shared" si="10"/>
        <v>0.2</v>
      </c>
      <c r="M154" s="154">
        <f t="shared" si="11"/>
        <v>0.4</v>
      </c>
      <c r="N154" s="145"/>
      <c r="O154" s="168" t="str">
        <f>VLOOKUP(C154,'New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5" spans="1:15" ht="15" customHeight="1">
      <c r="A155" s="102" t="s">
        <v>21</v>
      </c>
      <c r="B155" s="103" t="s">
        <v>1681</v>
      </c>
      <c r="C155" s="103" t="s">
        <v>2368</v>
      </c>
      <c r="D155" s="102" t="s">
        <v>2369</v>
      </c>
      <c r="E155" s="103" t="s">
        <v>75</v>
      </c>
      <c r="F155" s="102" t="s">
        <v>1602</v>
      </c>
      <c r="G155" s="103" t="s">
        <v>20</v>
      </c>
      <c r="H155" s="103">
        <v>201612</v>
      </c>
      <c r="I155" s="104">
        <v>0.09</v>
      </c>
      <c r="J155" s="144">
        <f t="shared" si="9"/>
        <v>5</v>
      </c>
      <c r="K155" s="155">
        <v>1.4833299999999999E-3</v>
      </c>
      <c r="L155" s="154">
        <f t="shared" si="10"/>
        <v>0</v>
      </c>
      <c r="M155" s="154">
        <f t="shared" si="11"/>
        <v>0</v>
      </c>
      <c r="N155" s="145"/>
      <c r="O155" s="168" t="str">
        <f>VLOOKUP(C155,'New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6" spans="1:15" ht="15" customHeight="1">
      <c r="A156" s="102" t="s">
        <v>626</v>
      </c>
      <c r="B156" s="103" t="s">
        <v>1681</v>
      </c>
      <c r="C156" s="103" t="s">
        <v>2368</v>
      </c>
      <c r="D156" s="102" t="s">
        <v>2369</v>
      </c>
      <c r="E156" s="103" t="s">
        <v>75</v>
      </c>
      <c r="F156" s="102" t="s">
        <v>1602</v>
      </c>
      <c r="G156" s="103" t="s">
        <v>20</v>
      </c>
      <c r="H156" s="103">
        <v>201612</v>
      </c>
      <c r="I156" s="104">
        <v>1080.8699999999999</v>
      </c>
      <c r="J156" s="144">
        <f t="shared" si="9"/>
        <v>5</v>
      </c>
      <c r="K156" s="155">
        <v>1.4833299999999999E-3</v>
      </c>
      <c r="L156" s="154">
        <f t="shared" si="10"/>
        <v>8.02</v>
      </c>
      <c r="M156" s="154">
        <f t="shared" si="11"/>
        <v>19.239999999999998</v>
      </c>
      <c r="N156" s="145"/>
      <c r="O156" s="168" t="str">
        <f>VLOOKUP(C156,'New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7" spans="1:15" ht="15" customHeight="1">
      <c r="A157" s="102" t="s">
        <v>14</v>
      </c>
      <c r="B157" s="103" t="s">
        <v>1681</v>
      </c>
      <c r="C157" s="103" t="s">
        <v>2368</v>
      </c>
      <c r="D157" s="102" t="s">
        <v>2369</v>
      </c>
      <c r="E157" s="103" t="s">
        <v>75</v>
      </c>
      <c r="F157" s="102" t="s">
        <v>1602</v>
      </c>
      <c r="G157" s="103" t="s">
        <v>20</v>
      </c>
      <c r="H157" s="103">
        <v>201612</v>
      </c>
      <c r="I157" s="104">
        <v>1.78</v>
      </c>
      <c r="J157" s="144">
        <f t="shared" si="9"/>
        <v>5</v>
      </c>
      <c r="K157" s="148">
        <v>2.23333E-3</v>
      </c>
      <c r="L157" s="154">
        <f t="shared" si="10"/>
        <v>0.02</v>
      </c>
      <c r="M157" s="154">
        <f t="shared" si="11"/>
        <v>0.05</v>
      </c>
      <c r="N157" s="145"/>
      <c r="O157" s="168" t="str">
        <f>VLOOKUP(C157,'New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158" spans="1:15" ht="15" customHeight="1">
      <c r="A158" s="102" t="s">
        <v>626</v>
      </c>
      <c r="B158" s="103" t="s">
        <v>1681</v>
      </c>
      <c r="C158" s="103" t="s">
        <v>2370</v>
      </c>
      <c r="D158" s="102" t="s">
        <v>2371</v>
      </c>
      <c r="E158" s="103" t="s">
        <v>75</v>
      </c>
      <c r="F158" s="102" t="s">
        <v>1602</v>
      </c>
      <c r="G158" s="103" t="s">
        <v>20</v>
      </c>
      <c r="H158" s="103">
        <v>201611</v>
      </c>
      <c r="I158" s="104">
        <v>5834.44</v>
      </c>
      <c r="J158" s="144">
        <f t="shared" si="9"/>
        <v>6</v>
      </c>
      <c r="K158" s="155">
        <v>1.4833299999999999E-3</v>
      </c>
      <c r="L158" s="154">
        <f t="shared" si="10"/>
        <v>51.93</v>
      </c>
      <c r="M158" s="154">
        <f t="shared" si="11"/>
        <v>103.85</v>
      </c>
      <c r="N158" s="145"/>
      <c r="O158" s="168" t="str">
        <f>VLOOKUP(C158,'New Wo Detailed Descr Rev'!$A$5:$D$287,4)</f>
        <v>Install 6230 Ft of 4 in and 920 Ft of 2 in PL IP main for Holden Phase 2C. Abandon 1317 Ft of 2 in PBS at above location. Total Services is 43. Main is being abandoned as part of the FY16 Bare Steel Replacement Program. - 0</v>
      </c>
    </row>
    <row r="159" spans="1:15" ht="15" customHeight="1">
      <c r="A159" s="102" t="s">
        <v>14</v>
      </c>
      <c r="B159" s="103" t="s">
        <v>1681</v>
      </c>
      <c r="C159" s="103" t="s">
        <v>2370</v>
      </c>
      <c r="D159" s="102" t="s">
        <v>2371</v>
      </c>
      <c r="E159" s="103" t="s">
        <v>75</v>
      </c>
      <c r="F159" s="102" t="s">
        <v>1602</v>
      </c>
      <c r="G159" s="103" t="s">
        <v>20</v>
      </c>
      <c r="H159" s="103">
        <v>201611</v>
      </c>
      <c r="I159" s="104">
        <v>0.51</v>
      </c>
      <c r="J159" s="144">
        <f t="shared" si="9"/>
        <v>6</v>
      </c>
      <c r="K159" s="148">
        <v>2.23333E-3</v>
      </c>
      <c r="L159" s="154">
        <f t="shared" si="10"/>
        <v>0.01</v>
      </c>
      <c r="M159" s="154">
        <f t="shared" si="11"/>
        <v>0.01</v>
      </c>
      <c r="N159" s="145"/>
      <c r="O159" s="168" t="str">
        <f>VLOOKUP(C159,'New Wo Detailed Descr Rev'!$A$5:$D$287,4)</f>
        <v>Install 6230 Ft of 4 in and 920 Ft of 2 in PL IP main for Holden Phase 2C. Abandon 1317 Ft of 2 in PBS at above location. Total Services is 43. Main is being abandoned as part of the FY16 Bare Steel Replacement Program. - 0</v>
      </c>
    </row>
    <row r="160" spans="1:15" ht="15" customHeight="1">
      <c r="A160" s="102" t="s">
        <v>626</v>
      </c>
      <c r="B160" s="103" t="s">
        <v>1681</v>
      </c>
      <c r="C160" s="103" t="s">
        <v>2370</v>
      </c>
      <c r="D160" s="102" t="s">
        <v>2371</v>
      </c>
      <c r="E160" s="103" t="s">
        <v>75</v>
      </c>
      <c r="F160" s="102" t="s">
        <v>1602</v>
      </c>
      <c r="G160" s="103" t="s">
        <v>20</v>
      </c>
      <c r="H160" s="103">
        <v>201612</v>
      </c>
      <c r="I160" s="104">
        <v>274.27999999999997</v>
      </c>
      <c r="J160" s="144">
        <f t="shared" si="9"/>
        <v>5</v>
      </c>
      <c r="K160" s="155">
        <v>1.4833299999999999E-3</v>
      </c>
      <c r="L160" s="154">
        <f t="shared" si="10"/>
        <v>2.0299999999999998</v>
      </c>
      <c r="M160" s="154">
        <f t="shared" si="11"/>
        <v>4.88</v>
      </c>
      <c r="N160" s="145"/>
      <c r="O160" s="168" t="str">
        <f>VLOOKUP(C160,'New Wo Detailed Descr Rev'!$A$5:$D$287,4)</f>
        <v>Install 6230 Ft of 4 in and 920 Ft of 2 in PL IP main for Holden Phase 2C. Abandon 1317 Ft of 2 in PBS at above location. Total Services is 43. Main is being abandoned as part of the FY16 Bare Steel Replacement Program. - 0</v>
      </c>
    </row>
    <row r="161" spans="1:15" ht="15" customHeight="1">
      <c r="A161" s="102" t="s">
        <v>14</v>
      </c>
      <c r="B161" s="103" t="s">
        <v>1681</v>
      </c>
      <c r="C161" s="103" t="s">
        <v>2370</v>
      </c>
      <c r="D161" s="102" t="s">
        <v>2371</v>
      </c>
      <c r="E161" s="103" t="s">
        <v>75</v>
      </c>
      <c r="F161" s="102" t="s">
        <v>1602</v>
      </c>
      <c r="G161" s="103" t="s">
        <v>20</v>
      </c>
      <c r="H161" s="103">
        <v>201612</v>
      </c>
      <c r="I161" s="104">
        <v>0.03</v>
      </c>
      <c r="J161" s="144">
        <f t="shared" si="9"/>
        <v>5</v>
      </c>
      <c r="K161" s="148">
        <v>2.23333E-3</v>
      </c>
      <c r="L161" s="154">
        <f t="shared" si="10"/>
        <v>0</v>
      </c>
      <c r="M161" s="154">
        <f t="shared" si="11"/>
        <v>0</v>
      </c>
      <c r="N161" s="145"/>
      <c r="O161" s="168" t="str">
        <f>VLOOKUP(C161,'New Wo Detailed Descr Rev'!$A$5:$D$287,4)</f>
        <v>Install 6230 Ft of 4 in and 920 Ft of 2 in PL IP main for Holden Phase 2C. Abandon 1317 Ft of 2 in PBS at above location. Total Services is 43. Main is being abandoned as part of the FY16 Bare Steel Replacement Program. - 0</v>
      </c>
    </row>
    <row r="162" spans="1:15" ht="15" customHeight="1">
      <c r="A162" s="102" t="s">
        <v>626</v>
      </c>
      <c r="B162" s="103" t="s">
        <v>1681</v>
      </c>
      <c r="C162" s="103" t="s">
        <v>2317</v>
      </c>
      <c r="D162" s="102" t="s">
        <v>2318</v>
      </c>
      <c r="E162" s="103" t="s">
        <v>75</v>
      </c>
      <c r="F162" s="102" t="s">
        <v>1602</v>
      </c>
      <c r="G162" s="103" t="s">
        <v>20</v>
      </c>
      <c r="H162" s="103">
        <v>201611</v>
      </c>
      <c r="I162" s="104">
        <v>20.51</v>
      </c>
      <c r="J162" s="144">
        <f t="shared" si="9"/>
        <v>6</v>
      </c>
      <c r="K162" s="155">
        <v>1.4833299999999999E-3</v>
      </c>
      <c r="L162" s="154">
        <f t="shared" si="10"/>
        <v>0.18</v>
      </c>
      <c r="M162" s="154">
        <f t="shared" si="11"/>
        <v>0.37</v>
      </c>
      <c r="N162" s="145"/>
      <c r="O162" s="168" t="str">
        <f>VLOOKUP(C162,'New Wo Detailed Descr Rev'!$A$5:$D$287,4)</f>
        <v>Install 595 Ft of 4 in PL MP and 3086 Ft of 2 in PL MP main for Centerview Phase 1. Abandon 3600 Ft of 2 in PBS, 344 Ft of 2 in PCS, and 12 Ft of 2 in PL MP main. Total service tie-overs are 20 and 9 abandons. FY16 Bare Steel Repl - 0</v>
      </c>
    </row>
    <row r="163" spans="1:15" ht="15" customHeight="1">
      <c r="A163" s="102" t="s">
        <v>626</v>
      </c>
      <c r="B163" s="103" t="s">
        <v>1681</v>
      </c>
      <c r="C163" s="103" t="s">
        <v>2317</v>
      </c>
      <c r="D163" s="102" t="s">
        <v>2318</v>
      </c>
      <c r="E163" s="103" t="s">
        <v>75</v>
      </c>
      <c r="F163" s="102" t="s">
        <v>1602</v>
      </c>
      <c r="G163" s="103" t="s">
        <v>20</v>
      </c>
      <c r="H163" s="103">
        <v>201612</v>
      </c>
      <c r="I163" s="104">
        <v>-15.14</v>
      </c>
      <c r="J163" s="144">
        <f t="shared" si="9"/>
        <v>5</v>
      </c>
      <c r="K163" s="155">
        <v>1.4833299999999999E-3</v>
      </c>
      <c r="L163" s="154">
        <f t="shared" si="10"/>
        <v>-0.11</v>
      </c>
      <c r="M163" s="154">
        <f t="shared" si="11"/>
        <v>-0.27</v>
      </c>
      <c r="N163" s="145"/>
      <c r="O163" s="168" t="str">
        <f>VLOOKUP(C163,'New Wo Detailed Descr Rev'!$A$5:$D$287,4)</f>
        <v>Install 595 Ft of 4 in PL MP and 3086 Ft of 2 in PL MP main for Centerview Phase 1. Abandon 3600 Ft of 2 in PBS, 344 Ft of 2 in PCS, and 12 Ft of 2 in PL MP main. Total service tie-overs are 20 and 9 abandons. FY16 Bare Steel Repl - 0</v>
      </c>
    </row>
    <row r="164" spans="1:15" ht="15" customHeight="1">
      <c r="A164" s="102" t="s">
        <v>626</v>
      </c>
      <c r="B164" s="103" t="s">
        <v>1681</v>
      </c>
      <c r="C164" s="103" t="s">
        <v>2083</v>
      </c>
      <c r="D164" s="102" t="s">
        <v>2084</v>
      </c>
      <c r="E164" s="103" t="s">
        <v>75</v>
      </c>
      <c r="F164" s="102" t="s">
        <v>1602</v>
      </c>
      <c r="G164" s="103" t="s">
        <v>20</v>
      </c>
      <c r="H164" s="103">
        <v>201611</v>
      </c>
      <c r="I164" s="104">
        <v>109.44</v>
      </c>
      <c r="J164" s="144">
        <f t="shared" si="9"/>
        <v>6</v>
      </c>
      <c r="K164" s="155">
        <v>1.4833299999999999E-3</v>
      </c>
      <c r="L164" s="154">
        <f t="shared" si="10"/>
        <v>0.97</v>
      </c>
      <c r="M164" s="154">
        <f t="shared" si="11"/>
        <v>1.95</v>
      </c>
      <c r="N164" s="145"/>
      <c r="O164" s="168" t="str">
        <f>VLOOKUP(C164,'New Wo Detailed Descr Rev'!$A$5:$D$287,4)</f>
        <v>Install 2,005 ft of 2 in pl main - Savage &amp; Pacific. Abandon 105 ft of 2 in bs main 1949, 797 ft of 2 in bs main 1950, 346 ft of 2 in bs main 1952, 307 ft of 2 in bs main 1955, 165 ft of 2 in pl main 1974 and 199 ft of 2 in pl main 1987. - Work is to  to clear leak number 417915 which has allowed water in the main due to the 22 ounce pressure system. The new 2 inch plastic main will tie into the 44 psig maop pressure system.</v>
      </c>
    </row>
    <row r="165" spans="1:15" ht="15" customHeight="1">
      <c r="A165" s="102" t="s">
        <v>21</v>
      </c>
      <c r="B165" s="103" t="s">
        <v>1681</v>
      </c>
      <c r="C165" s="103" t="s">
        <v>2392</v>
      </c>
      <c r="D165" s="102" t="s">
        <v>2393</v>
      </c>
      <c r="E165" s="103" t="s">
        <v>75</v>
      </c>
      <c r="F165" s="102" t="s">
        <v>1602</v>
      </c>
      <c r="G165" s="103" t="s">
        <v>20</v>
      </c>
      <c r="H165" s="103">
        <v>201611</v>
      </c>
      <c r="I165" s="104">
        <v>-0.48</v>
      </c>
      <c r="J165" s="144">
        <f t="shared" si="9"/>
        <v>6</v>
      </c>
      <c r="K165" s="155">
        <v>1.4833299999999999E-3</v>
      </c>
      <c r="L165" s="154">
        <f t="shared" si="10"/>
        <v>0</v>
      </c>
      <c r="M165" s="154">
        <f t="shared" si="11"/>
        <v>-0.01</v>
      </c>
      <c r="N165" s="145"/>
      <c r="O165" s="168" t="str">
        <f>VLOOKUP(C165,'New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6" spans="1:15" ht="15" customHeight="1">
      <c r="A166" s="102" t="s">
        <v>626</v>
      </c>
      <c r="B166" s="103" t="s">
        <v>1681</v>
      </c>
      <c r="C166" s="103" t="s">
        <v>2392</v>
      </c>
      <c r="D166" s="102" t="s">
        <v>2393</v>
      </c>
      <c r="E166" s="103" t="s">
        <v>75</v>
      </c>
      <c r="F166" s="102" t="s">
        <v>1602</v>
      </c>
      <c r="G166" s="103" t="s">
        <v>20</v>
      </c>
      <c r="H166" s="103">
        <v>201611</v>
      </c>
      <c r="I166" s="104">
        <v>-6498.03</v>
      </c>
      <c r="J166" s="144">
        <f t="shared" si="9"/>
        <v>6</v>
      </c>
      <c r="K166" s="155">
        <v>1.4833299999999999E-3</v>
      </c>
      <c r="L166" s="154">
        <f t="shared" si="10"/>
        <v>-57.83</v>
      </c>
      <c r="M166" s="154">
        <f t="shared" si="11"/>
        <v>-115.66</v>
      </c>
      <c r="N166" s="145"/>
      <c r="O166" s="168" t="str">
        <f>VLOOKUP(C166,'New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7" spans="1:15" ht="15" customHeight="1">
      <c r="A167" s="102" t="s">
        <v>14</v>
      </c>
      <c r="B167" s="103" t="s">
        <v>1681</v>
      </c>
      <c r="C167" s="103" t="s">
        <v>2392</v>
      </c>
      <c r="D167" s="102" t="s">
        <v>2393</v>
      </c>
      <c r="E167" s="103" t="s">
        <v>75</v>
      </c>
      <c r="F167" s="102" t="s">
        <v>1602</v>
      </c>
      <c r="G167" s="103" t="s">
        <v>20</v>
      </c>
      <c r="H167" s="103">
        <v>201611</v>
      </c>
      <c r="I167" s="104">
        <v>-3.62</v>
      </c>
      <c r="J167" s="144">
        <f t="shared" si="9"/>
        <v>6</v>
      </c>
      <c r="K167" s="148">
        <v>2.23333E-3</v>
      </c>
      <c r="L167" s="154">
        <f t="shared" si="10"/>
        <v>-0.05</v>
      </c>
      <c r="M167" s="154">
        <f t="shared" si="11"/>
        <v>-0.1</v>
      </c>
      <c r="N167" s="145"/>
      <c r="O167" s="168" t="str">
        <f>VLOOKUP(C167,'New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8" spans="1:15" ht="15" customHeight="1">
      <c r="A168" s="102" t="s">
        <v>21</v>
      </c>
      <c r="B168" s="103" t="s">
        <v>1681</v>
      </c>
      <c r="C168" s="103" t="s">
        <v>2392</v>
      </c>
      <c r="D168" s="102" t="s">
        <v>2393</v>
      </c>
      <c r="E168" s="103" t="s">
        <v>75</v>
      </c>
      <c r="F168" s="102" t="s">
        <v>1602</v>
      </c>
      <c r="G168" s="103" t="s">
        <v>20</v>
      </c>
      <c r="H168" s="103">
        <v>201612</v>
      </c>
      <c r="I168" s="104">
        <v>1.38</v>
      </c>
      <c r="J168" s="144">
        <f t="shared" si="9"/>
        <v>5</v>
      </c>
      <c r="K168" s="155">
        <v>1.4833299999999999E-3</v>
      </c>
      <c r="L168" s="154">
        <f t="shared" si="10"/>
        <v>0.01</v>
      </c>
      <c r="M168" s="154">
        <f t="shared" si="11"/>
        <v>0.02</v>
      </c>
      <c r="N168" s="145"/>
      <c r="O168" s="168" t="str">
        <f>VLOOKUP(C168,'New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9" spans="1:15" ht="15" customHeight="1">
      <c r="A169" s="102" t="s">
        <v>626</v>
      </c>
      <c r="B169" s="103" t="s">
        <v>1681</v>
      </c>
      <c r="C169" s="103" t="s">
        <v>2392</v>
      </c>
      <c r="D169" s="102" t="s">
        <v>2393</v>
      </c>
      <c r="E169" s="103" t="s">
        <v>75</v>
      </c>
      <c r="F169" s="102" t="s">
        <v>1602</v>
      </c>
      <c r="G169" s="103" t="s">
        <v>20</v>
      </c>
      <c r="H169" s="103">
        <v>201612</v>
      </c>
      <c r="I169" s="104">
        <v>19109.57</v>
      </c>
      <c r="J169" s="144">
        <f t="shared" si="9"/>
        <v>5</v>
      </c>
      <c r="K169" s="155">
        <v>1.4833299999999999E-3</v>
      </c>
      <c r="L169" s="154">
        <f t="shared" si="10"/>
        <v>141.72999999999999</v>
      </c>
      <c r="M169" s="154">
        <f t="shared" si="11"/>
        <v>340.15</v>
      </c>
      <c r="N169" s="145"/>
      <c r="O169" s="168" t="str">
        <f>VLOOKUP(C169,'New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70" spans="1:15" ht="15" customHeight="1">
      <c r="A170" s="102" t="s">
        <v>14</v>
      </c>
      <c r="B170" s="103" t="s">
        <v>1681</v>
      </c>
      <c r="C170" s="103" t="s">
        <v>2392</v>
      </c>
      <c r="D170" s="102" t="s">
        <v>2393</v>
      </c>
      <c r="E170" s="103" t="s">
        <v>75</v>
      </c>
      <c r="F170" s="102" t="s">
        <v>1602</v>
      </c>
      <c r="G170" s="103" t="s">
        <v>20</v>
      </c>
      <c r="H170" s="103">
        <v>201612</v>
      </c>
      <c r="I170" s="104">
        <v>10.69</v>
      </c>
      <c r="J170" s="144">
        <f t="shared" si="9"/>
        <v>5</v>
      </c>
      <c r="K170" s="148">
        <v>2.23333E-3</v>
      </c>
      <c r="L170" s="154">
        <f t="shared" si="10"/>
        <v>0.12</v>
      </c>
      <c r="M170" s="154">
        <f t="shared" si="11"/>
        <v>0.28999999999999998</v>
      </c>
      <c r="N170" s="145"/>
      <c r="O170" s="168" t="str">
        <f>VLOOKUP(C170,'New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71" spans="1:15" ht="15" customHeight="1">
      <c r="A171" s="102" t="s">
        <v>626</v>
      </c>
      <c r="B171" s="103" t="s">
        <v>1681</v>
      </c>
      <c r="C171" s="103" t="s">
        <v>2394</v>
      </c>
      <c r="D171" s="102" t="s">
        <v>2395</v>
      </c>
      <c r="E171" s="103" t="s">
        <v>75</v>
      </c>
      <c r="F171" s="102" t="s">
        <v>1602</v>
      </c>
      <c r="G171" s="103" t="s">
        <v>20</v>
      </c>
      <c r="H171" s="103">
        <v>201611</v>
      </c>
      <c r="I171" s="104">
        <v>20147.21</v>
      </c>
      <c r="J171" s="144">
        <f t="shared" si="9"/>
        <v>6</v>
      </c>
      <c r="K171" s="155">
        <v>1.4833299999999999E-3</v>
      </c>
      <c r="L171" s="154">
        <f t="shared" si="10"/>
        <v>179.31</v>
      </c>
      <c r="M171" s="154">
        <f t="shared" si="11"/>
        <v>358.62</v>
      </c>
      <c r="N171" s="145"/>
      <c r="O171" s="168" t="str">
        <f>VLOOKUP(C171,'New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72" spans="1:15" ht="15" customHeight="1">
      <c r="A172" s="102" t="s">
        <v>14</v>
      </c>
      <c r="B172" s="103" t="s">
        <v>1681</v>
      </c>
      <c r="C172" s="103" t="s">
        <v>2394</v>
      </c>
      <c r="D172" s="102" t="s">
        <v>2395</v>
      </c>
      <c r="E172" s="103" t="s">
        <v>75</v>
      </c>
      <c r="F172" s="102" t="s">
        <v>1602</v>
      </c>
      <c r="G172" s="103" t="s">
        <v>20</v>
      </c>
      <c r="H172" s="103">
        <v>201611</v>
      </c>
      <c r="I172" s="104">
        <v>845.84</v>
      </c>
      <c r="J172" s="144">
        <f t="shared" si="9"/>
        <v>6</v>
      </c>
      <c r="K172" s="148">
        <v>2.23333E-3</v>
      </c>
      <c r="L172" s="154">
        <f t="shared" si="10"/>
        <v>11.33</v>
      </c>
      <c r="M172" s="154">
        <f t="shared" si="11"/>
        <v>22.67</v>
      </c>
      <c r="N172" s="145"/>
      <c r="O172" s="168" t="str">
        <f>VLOOKUP(C172,'New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73" spans="1:15" ht="15" customHeight="1">
      <c r="A173" s="102" t="s">
        <v>626</v>
      </c>
      <c r="B173" s="103" t="s">
        <v>1681</v>
      </c>
      <c r="C173" s="103" t="s">
        <v>2394</v>
      </c>
      <c r="D173" s="102" t="s">
        <v>2395</v>
      </c>
      <c r="E173" s="103" t="s">
        <v>75</v>
      </c>
      <c r="F173" s="102" t="s">
        <v>1602</v>
      </c>
      <c r="G173" s="103" t="s">
        <v>20</v>
      </c>
      <c r="H173" s="103">
        <v>201612</v>
      </c>
      <c r="I173" s="104">
        <v>527.91</v>
      </c>
      <c r="J173" s="144">
        <f t="shared" si="9"/>
        <v>5</v>
      </c>
      <c r="K173" s="155">
        <v>1.4833299999999999E-3</v>
      </c>
      <c r="L173" s="154">
        <f t="shared" si="10"/>
        <v>3.92</v>
      </c>
      <c r="M173" s="154">
        <f t="shared" si="11"/>
        <v>9.4</v>
      </c>
      <c r="N173" s="145"/>
      <c r="O173" s="168" t="str">
        <f>VLOOKUP(C173,'New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74" spans="1:15" ht="15" customHeight="1">
      <c r="A174" s="102" t="s">
        <v>14</v>
      </c>
      <c r="B174" s="103" t="s">
        <v>1681</v>
      </c>
      <c r="C174" s="103" t="s">
        <v>2394</v>
      </c>
      <c r="D174" s="102" t="s">
        <v>2395</v>
      </c>
      <c r="E174" s="103" t="s">
        <v>75</v>
      </c>
      <c r="F174" s="102" t="s">
        <v>1602</v>
      </c>
      <c r="G174" s="103" t="s">
        <v>20</v>
      </c>
      <c r="H174" s="103">
        <v>201612</v>
      </c>
      <c r="I174" s="104">
        <v>22.17</v>
      </c>
      <c r="J174" s="144">
        <f t="shared" si="9"/>
        <v>5</v>
      </c>
      <c r="K174" s="148">
        <v>2.23333E-3</v>
      </c>
      <c r="L174" s="154">
        <f t="shared" si="10"/>
        <v>0.25</v>
      </c>
      <c r="M174" s="154">
        <f t="shared" si="11"/>
        <v>0.59</v>
      </c>
      <c r="N174" s="145"/>
      <c r="O174" s="168" t="str">
        <f>VLOOKUP(C174,'New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75" spans="1:15" ht="15" customHeight="1">
      <c r="A175" s="102" t="s">
        <v>626</v>
      </c>
      <c r="B175" s="103" t="s">
        <v>1681</v>
      </c>
      <c r="C175" s="103" t="s">
        <v>2105</v>
      </c>
      <c r="D175" s="102" t="s">
        <v>2106</v>
      </c>
      <c r="E175" s="103" t="s">
        <v>75</v>
      </c>
      <c r="F175" s="102" t="s">
        <v>1602</v>
      </c>
      <c r="G175" s="103" t="s">
        <v>20</v>
      </c>
      <c r="H175" s="103">
        <v>201611</v>
      </c>
      <c r="I175" s="104">
        <v>-4007.6</v>
      </c>
      <c r="J175" s="144">
        <f t="shared" si="9"/>
        <v>6</v>
      </c>
      <c r="K175" s="155">
        <v>1.4833299999999999E-3</v>
      </c>
      <c r="L175" s="154">
        <f t="shared" si="10"/>
        <v>-35.67</v>
      </c>
      <c r="M175" s="154">
        <f t="shared" si="11"/>
        <v>-71.34</v>
      </c>
      <c r="N175" s="145"/>
      <c r="O175" s="168" t="str">
        <f>VLOOKUP(C175,'New Wo Detailed Descr Rev'!$A$5:$D$287,4)</f>
        <v>Replace and abandon 2,339ft of 4in bare steel main - 1925 vintage by installing 2,380ft of 2in plastic main at Aber and Morrell, in Independence - 0</v>
      </c>
    </row>
    <row r="176" spans="1:15" ht="15" customHeight="1">
      <c r="A176" s="102" t="s">
        <v>626</v>
      </c>
      <c r="B176" s="103" t="s">
        <v>1681</v>
      </c>
      <c r="C176" s="103" t="s">
        <v>2406</v>
      </c>
      <c r="D176" s="102" t="s">
        <v>2407</v>
      </c>
      <c r="E176" s="103" t="s">
        <v>75</v>
      </c>
      <c r="F176" s="102" t="s">
        <v>1602</v>
      </c>
      <c r="G176" s="103" t="s">
        <v>20</v>
      </c>
      <c r="H176" s="103">
        <v>201611</v>
      </c>
      <c r="I176" s="104">
        <v>-248.73</v>
      </c>
      <c r="J176" s="144">
        <f t="shared" si="9"/>
        <v>6</v>
      </c>
      <c r="K176" s="155">
        <v>1.4833299999999999E-3</v>
      </c>
      <c r="L176" s="154">
        <f t="shared" si="10"/>
        <v>-2.21</v>
      </c>
      <c r="M176" s="154">
        <f t="shared" si="11"/>
        <v>-4.43</v>
      </c>
      <c r="N176" s="145"/>
      <c r="O176" s="168" t="str">
        <f>VLOOKUP(C176,'New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77" spans="1:15" ht="15" customHeight="1">
      <c r="A177" s="102" t="s">
        <v>14</v>
      </c>
      <c r="B177" s="103" t="s">
        <v>1681</v>
      </c>
      <c r="C177" s="103" t="s">
        <v>2406</v>
      </c>
      <c r="D177" s="102" t="s">
        <v>2407</v>
      </c>
      <c r="E177" s="103" t="s">
        <v>75</v>
      </c>
      <c r="F177" s="102" t="s">
        <v>1602</v>
      </c>
      <c r="G177" s="103" t="s">
        <v>20</v>
      </c>
      <c r="H177" s="103">
        <v>201611</v>
      </c>
      <c r="I177" s="104">
        <v>-5.86</v>
      </c>
      <c r="J177" s="144">
        <f t="shared" si="9"/>
        <v>6</v>
      </c>
      <c r="K177" s="148">
        <v>2.23333E-3</v>
      </c>
      <c r="L177" s="154">
        <f t="shared" si="10"/>
        <v>-0.08</v>
      </c>
      <c r="M177" s="154">
        <f t="shared" si="11"/>
        <v>-0.16</v>
      </c>
      <c r="N177" s="145"/>
      <c r="O177" s="168" t="str">
        <f>VLOOKUP(C177,'New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78" spans="1:15" ht="15" customHeight="1">
      <c r="A178" s="102" t="s">
        <v>626</v>
      </c>
      <c r="B178" s="103" t="s">
        <v>1681</v>
      </c>
      <c r="C178" s="103" t="s">
        <v>2406</v>
      </c>
      <c r="D178" s="102" t="s">
        <v>2407</v>
      </c>
      <c r="E178" s="103" t="s">
        <v>75</v>
      </c>
      <c r="F178" s="102" t="s">
        <v>1602</v>
      </c>
      <c r="G178" s="103" t="s">
        <v>20</v>
      </c>
      <c r="H178" s="103">
        <v>201612</v>
      </c>
      <c r="I178" s="104">
        <v>150.94</v>
      </c>
      <c r="J178" s="144">
        <f t="shared" si="9"/>
        <v>5</v>
      </c>
      <c r="K178" s="155">
        <v>1.4833299999999999E-3</v>
      </c>
      <c r="L178" s="154">
        <f t="shared" si="10"/>
        <v>1.1200000000000001</v>
      </c>
      <c r="M178" s="154">
        <f t="shared" si="11"/>
        <v>2.69</v>
      </c>
      <c r="N178" s="145"/>
      <c r="O178" s="168" t="str">
        <f>VLOOKUP(C178,'New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79" spans="1:15" ht="15" customHeight="1">
      <c r="A179" s="102" t="s">
        <v>14</v>
      </c>
      <c r="B179" s="103" t="s">
        <v>1681</v>
      </c>
      <c r="C179" s="103" t="s">
        <v>2406</v>
      </c>
      <c r="D179" s="102" t="s">
        <v>2407</v>
      </c>
      <c r="E179" s="103" t="s">
        <v>75</v>
      </c>
      <c r="F179" s="102" t="s">
        <v>1602</v>
      </c>
      <c r="G179" s="103" t="s">
        <v>20</v>
      </c>
      <c r="H179" s="103">
        <v>201612</v>
      </c>
      <c r="I179" s="104">
        <v>3.56</v>
      </c>
      <c r="J179" s="144">
        <f t="shared" si="9"/>
        <v>5</v>
      </c>
      <c r="K179" s="148">
        <v>2.23333E-3</v>
      </c>
      <c r="L179" s="154">
        <f t="shared" si="10"/>
        <v>0.04</v>
      </c>
      <c r="M179" s="154">
        <f t="shared" si="11"/>
        <v>0.1</v>
      </c>
      <c r="N179" s="145"/>
      <c r="O179" s="168" t="str">
        <f>VLOOKUP(C179,'New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80" spans="1:15" ht="15" customHeight="1">
      <c r="A180" s="102" t="s">
        <v>626</v>
      </c>
      <c r="B180" s="103" t="s">
        <v>1681</v>
      </c>
      <c r="C180" s="103" t="s">
        <v>2412</v>
      </c>
      <c r="D180" s="102" t="s">
        <v>2413</v>
      </c>
      <c r="E180" s="103" t="s">
        <v>75</v>
      </c>
      <c r="F180" s="102" t="s">
        <v>1602</v>
      </c>
      <c r="G180" s="103" t="s">
        <v>20</v>
      </c>
      <c r="H180" s="103">
        <v>201611</v>
      </c>
      <c r="I180" s="104">
        <v>1070.44</v>
      </c>
      <c r="J180" s="144">
        <f t="shared" si="9"/>
        <v>6</v>
      </c>
      <c r="K180" s="155">
        <v>1.4833299999999999E-3</v>
      </c>
      <c r="L180" s="154">
        <f t="shared" si="10"/>
        <v>9.5299999999999994</v>
      </c>
      <c r="M180" s="154">
        <f t="shared" si="11"/>
        <v>19.05</v>
      </c>
      <c r="N180" s="145"/>
      <c r="O180" s="168" t="str">
        <f>VLOOKUP(C180,'New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81" spans="1:15" ht="15" customHeight="1">
      <c r="A181" s="102" t="s">
        <v>14</v>
      </c>
      <c r="B181" s="103" t="s">
        <v>1681</v>
      </c>
      <c r="C181" s="103" t="s">
        <v>2412</v>
      </c>
      <c r="D181" s="102" t="s">
        <v>2413</v>
      </c>
      <c r="E181" s="103" t="s">
        <v>75</v>
      </c>
      <c r="F181" s="102" t="s">
        <v>1602</v>
      </c>
      <c r="G181" s="103" t="s">
        <v>20</v>
      </c>
      <c r="H181" s="103">
        <v>201611</v>
      </c>
      <c r="I181" s="104">
        <v>11.24</v>
      </c>
      <c r="J181" s="144">
        <f t="shared" si="9"/>
        <v>6</v>
      </c>
      <c r="K181" s="148">
        <v>2.23333E-3</v>
      </c>
      <c r="L181" s="154">
        <f t="shared" si="10"/>
        <v>0.15</v>
      </c>
      <c r="M181" s="154">
        <f t="shared" si="11"/>
        <v>0.3</v>
      </c>
      <c r="N181" s="145"/>
      <c r="O181" s="168" t="str">
        <f>VLOOKUP(C181,'New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82" spans="1:15" ht="15" customHeight="1">
      <c r="A182" s="102" t="s">
        <v>626</v>
      </c>
      <c r="B182" s="103" t="s">
        <v>1681</v>
      </c>
      <c r="C182" s="103" t="s">
        <v>2412</v>
      </c>
      <c r="D182" s="102" t="s">
        <v>2413</v>
      </c>
      <c r="E182" s="103" t="s">
        <v>75</v>
      </c>
      <c r="F182" s="102" t="s">
        <v>1602</v>
      </c>
      <c r="G182" s="103" t="s">
        <v>20</v>
      </c>
      <c r="H182" s="103">
        <v>201612</v>
      </c>
      <c r="I182" s="104">
        <v>340.08</v>
      </c>
      <c r="J182" s="144">
        <f t="shared" si="9"/>
        <v>5</v>
      </c>
      <c r="K182" s="155">
        <v>1.4833299999999999E-3</v>
      </c>
      <c r="L182" s="154">
        <f t="shared" si="10"/>
        <v>2.52</v>
      </c>
      <c r="M182" s="154">
        <f t="shared" si="11"/>
        <v>6.05</v>
      </c>
      <c r="N182" s="145"/>
      <c r="O182" s="168" t="str">
        <f>VLOOKUP(C182,'New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83" spans="1:15" ht="15" customHeight="1">
      <c r="A183" s="102" t="s">
        <v>14</v>
      </c>
      <c r="B183" s="103" t="s">
        <v>1681</v>
      </c>
      <c r="C183" s="103" t="s">
        <v>2412</v>
      </c>
      <c r="D183" s="102" t="s">
        <v>2413</v>
      </c>
      <c r="E183" s="103" t="s">
        <v>75</v>
      </c>
      <c r="F183" s="102" t="s">
        <v>1602</v>
      </c>
      <c r="G183" s="103" t="s">
        <v>20</v>
      </c>
      <c r="H183" s="103">
        <v>201612</v>
      </c>
      <c r="I183" s="104">
        <v>3.56</v>
      </c>
      <c r="J183" s="144">
        <f t="shared" si="9"/>
        <v>5</v>
      </c>
      <c r="K183" s="148">
        <v>2.23333E-3</v>
      </c>
      <c r="L183" s="154">
        <f t="shared" si="10"/>
        <v>0.04</v>
      </c>
      <c r="M183" s="154">
        <f t="shared" si="11"/>
        <v>0.1</v>
      </c>
      <c r="N183" s="145"/>
      <c r="O183" s="168" t="str">
        <f>VLOOKUP(C183,'New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84" spans="1:15" ht="15" customHeight="1">
      <c r="A184" s="102" t="s">
        <v>21</v>
      </c>
      <c r="B184" s="103" t="s">
        <v>1681</v>
      </c>
      <c r="C184" s="103" t="s">
        <v>2418</v>
      </c>
      <c r="D184" s="102" t="s">
        <v>2419</v>
      </c>
      <c r="E184" s="103" t="s">
        <v>75</v>
      </c>
      <c r="F184" s="102" t="s">
        <v>1602</v>
      </c>
      <c r="G184" s="103" t="s">
        <v>20</v>
      </c>
      <c r="H184" s="103">
        <v>201611</v>
      </c>
      <c r="I184" s="104">
        <v>-85.8</v>
      </c>
      <c r="J184" s="144">
        <f t="shared" si="9"/>
        <v>6</v>
      </c>
      <c r="K184" s="155">
        <v>1.4833299999999999E-3</v>
      </c>
      <c r="L184" s="154">
        <f t="shared" si="10"/>
        <v>-0.76</v>
      </c>
      <c r="M184" s="154">
        <f t="shared" si="11"/>
        <v>-1.53</v>
      </c>
      <c r="N184" s="145"/>
      <c r="O184" s="168" t="str">
        <f>VLOOKUP(C184,'New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85" spans="1:15" ht="15" customHeight="1">
      <c r="A185" s="102" t="s">
        <v>1942</v>
      </c>
      <c r="B185" s="103" t="s">
        <v>1681</v>
      </c>
      <c r="C185" s="103" t="s">
        <v>2418</v>
      </c>
      <c r="D185" s="102" t="s">
        <v>2419</v>
      </c>
      <c r="E185" s="103" t="s">
        <v>75</v>
      </c>
      <c r="F185" s="102" t="s">
        <v>1602</v>
      </c>
      <c r="G185" s="103" t="s">
        <v>20</v>
      </c>
      <c r="H185" s="103">
        <v>201611</v>
      </c>
      <c r="I185" s="104">
        <v>-0.33</v>
      </c>
      <c r="J185" s="144">
        <f t="shared" si="9"/>
        <v>6</v>
      </c>
      <c r="K185" s="155">
        <v>2.23333E-3</v>
      </c>
      <c r="L185" s="154">
        <f t="shared" si="10"/>
        <v>0</v>
      </c>
      <c r="M185" s="154">
        <f t="shared" si="11"/>
        <v>-0.01</v>
      </c>
      <c r="N185" s="145"/>
      <c r="O185" s="168" t="str">
        <f>VLOOKUP(C185,'New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86" spans="1:15" ht="15" customHeight="1">
      <c r="A186" s="102" t="s">
        <v>21</v>
      </c>
      <c r="B186" s="103" t="s">
        <v>1681</v>
      </c>
      <c r="C186" s="103" t="s">
        <v>2418</v>
      </c>
      <c r="D186" s="102" t="s">
        <v>2419</v>
      </c>
      <c r="E186" s="103" t="s">
        <v>75</v>
      </c>
      <c r="F186" s="102" t="s">
        <v>1602</v>
      </c>
      <c r="G186" s="103" t="s">
        <v>20</v>
      </c>
      <c r="H186" s="103">
        <v>201612</v>
      </c>
      <c r="I186" s="104">
        <v>79.400000000000006</v>
      </c>
      <c r="J186" s="144">
        <f t="shared" si="9"/>
        <v>5</v>
      </c>
      <c r="K186" s="155">
        <v>1.4833299999999999E-3</v>
      </c>
      <c r="L186" s="154">
        <f t="shared" si="10"/>
        <v>0.59</v>
      </c>
      <c r="M186" s="154">
        <f t="shared" si="11"/>
        <v>1.41</v>
      </c>
      <c r="N186" s="145"/>
      <c r="O186" s="168" t="str">
        <f>VLOOKUP(C186,'New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87" spans="1:15" ht="15" customHeight="1">
      <c r="A187" s="102" t="s">
        <v>1942</v>
      </c>
      <c r="B187" s="103" t="s">
        <v>1681</v>
      </c>
      <c r="C187" s="103" t="s">
        <v>2418</v>
      </c>
      <c r="D187" s="102" t="s">
        <v>2419</v>
      </c>
      <c r="E187" s="103" t="s">
        <v>75</v>
      </c>
      <c r="F187" s="102" t="s">
        <v>1602</v>
      </c>
      <c r="G187" s="103" t="s">
        <v>20</v>
      </c>
      <c r="H187" s="103">
        <v>201612</v>
      </c>
      <c r="I187" s="104">
        <v>0.3</v>
      </c>
      <c r="J187" s="144">
        <f t="shared" si="9"/>
        <v>5</v>
      </c>
      <c r="K187" s="155">
        <v>2.23333E-3</v>
      </c>
      <c r="L187" s="154">
        <f t="shared" si="10"/>
        <v>0</v>
      </c>
      <c r="M187" s="154">
        <f t="shared" si="11"/>
        <v>0.01</v>
      </c>
      <c r="N187" s="145"/>
      <c r="O187" s="168" t="str">
        <f>VLOOKUP(C187,'New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88" spans="1:15" ht="15" customHeight="1">
      <c r="A188" s="102" t="s">
        <v>626</v>
      </c>
      <c r="B188" s="103" t="s">
        <v>1681</v>
      </c>
      <c r="C188" s="103" t="s">
        <v>2440</v>
      </c>
      <c r="D188" s="102" t="s">
        <v>2441</v>
      </c>
      <c r="E188" s="103" t="s">
        <v>75</v>
      </c>
      <c r="F188" s="102" t="s">
        <v>1602</v>
      </c>
      <c r="G188" s="103" t="s">
        <v>20</v>
      </c>
      <c r="H188" s="103">
        <v>201612</v>
      </c>
      <c r="I188" s="104">
        <v>254401.45</v>
      </c>
      <c r="J188" s="144">
        <f t="shared" si="9"/>
        <v>5</v>
      </c>
      <c r="K188" s="155">
        <v>1.4833299999999999E-3</v>
      </c>
      <c r="L188" s="154">
        <f t="shared" si="10"/>
        <v>1886.81</v>
      </c>
      <c r="M188" s="154">
        <f t="shared" si="11"/>
        <v>4528.34</v>
      </c>
      <c r="N188" s="145"/>
      <c r="O188" s="168" t="str">
        <f>VLOOKUP(C188,'New Wo Detailed Descr Rev'!$A$5:$D$287,4)</f>
        <v>Install 5785 Ft of 2PL IP Main - 29th &amp; Northern Blvd. Abandon 3193 ft of 4LP ST Main,  2019 Ft of 2'' LP ST Main,  238 Ft of 4LP PL Main, 105 Ft of 2LP PL Main. - This Main is being replaced as part of the bare steel main strategic replacement. Uprate is required as we will tie in to an IP system.</v>
      </c>
    </row>
    <row r="189" spans="1:15" ht="15" customHeight="1">
      <c r="A189" s="102" t="s">
        <v>14</v>
      </c>
      <c r="B189" s="103" t="s">
        <v>1681</v>
      </c>
      <c r="C189" s="103" t="s">
        <v>2440</v>
      </c>
      <c r="D189" s="102" t="s">
        <v>2441</v>
      </c>
      <c r="E189" s="103" t="s">
        <v>75</v>
      </c>
      <c r="F189" s="102" t="s">
        <v>1602</v>
      </c>
      <c r="G189" s="103" t="s">
        <v>20</v>
      </c>
      <c r="H189" s="103">
        <v>201612</v>
      </c>
      <c r="I189" s="104">
        <v>168434.91</v>
      </c>
      <c r="J189" s="144">
        <f t="shared" si="9"/>
        <v>5</v>
      </c>
      <c r="K189" s="148">
        <v>2.23333E-3</v>
      </c>
      <c r="L189" s="154">
        <f t="shared" si="10"/>
        <v>1880.85</v>
      </c>
      <c r="M189" s="154">
        <f t="shared" si="11"/>
        <v>4514.05</v>
      </c>
      <c r="N189" s="145"/>
      <c r="O189" s="168" t="str">
        <f>VLOOKUP(C189,'New Wo Detailed Descr Rev'!$A$5:$D$287,4)</f>
        <v>Install 5785 Ft of 2PL IP Main - 29th &amp; Northern Blvd. Abandon 3193 ft of 4LP ST Main,  2019 Ft of 2'' LP ST Main,  238 Ft of 4LP PL Main, 105 Ft of 2LP PL Main. - This Main is being replaced as part of the bare steel main strategic replacement. Uprate is required as we will tie in to an IP system.</v>
      </c>
    </row>
    <row r="190" spans="1:15" ht="15" customHeight="1">
      <c r="A190" s="102" t="s">
        <v>626</v>
      </c>
      <c r="B190" s="103" t="s">
        <v>1681</v>
      </c>
      <c r="C190" s="103" t="s">
        <v>2444</v>
      </c>
      <c r="D190" s="102" t="s">
        <v>2445</v>
      </c>
      <c r="E190" s="103" t="s">
        <v>75</v>
      </c>
      <c r="F190" s="102" t="s">
        <v>1602</v>
      </c>
      <c r="G190" s="103" t="s">
        <v>20</v>
      </c>
      <c r="H190" s="103">
        <v>201612</v>
      </c>
      <c r="I190" s="104">
        <v>61311.21</v>
      </c>
      <c r="J190" s="144">
        <f t="shared" si="9"/>
        <v>5</v>
      </c>
      <c r="K190" s="155">
        <v>1.4833299999999999E-3</v>
      </c>
      <c r="L190" s="154">
        <f t="shared" si="10"/>
        <v>454.72</v>
      </c>
      <c r="M190" s="154">
        <f t="shared" si="11"/>
        <v>1091.3399999999999</v>
      </c>
      <c r="N190" s="145"/>
      <c r="O190" s="168" t="str">
        <f>VLOOKUP(C190,'New Wo Detailed Descr Rev'!$A$5:$D$287,4)</f>
        <v>Install ~1815 Ft of 2" PL MP Main, ~675 Ft of 4" PL MP Main. - Abandon ~85 Ft of 2" PL MP Main, ~7 Ft of PL MP Main, ~1728 Ft of 2" ST MP Main, ~671 Ft of 4" ST MP Main Total Service Tie-overs= 30 This bare steel grid main replacement project will clear active leak 419978.</v>
      </c>
    </row>
    <row r="191" spans="1:15" ht="15" customHeight="1">
      <c r="A191" s="102" t="s">
        <v>14</v>
      </c>
      <c r="B191" s="103" t="s">
        <v>1681</v>
      </c>
      <c r="C191" s="103" t="s">
        <v>2444</v>
      </c>
      <c r="D191" s="102" t="s">
        <v>2445</v>
      </c>
      <c r="E191" s="103" t="s">
        <v>75</v>
      </c>
      <c r="F191" s="102" t="s">
        <v>1602</v>
      </c>
      <c r="G191" s="103" t="s">
        <v>20</v>
      </c>
      <c r="H191" s="103">
        <v>201612</v>
      </c>
      <c r="I191" s="104">
        <v>33859.339999999997</v>
      </c>
      <c r="J191" s="144">
        <f t="shared" si="9"/>
        <v>5</v>
      </c>
      <c r="K191" s="148">
        <v>2.23333E-3</v>
      </c>
      <c r="L191" s="154">
        <f t="shared" si="10"/>
        <v>378.1</v>
      </c>
      <c r="M191" s="154">
        <f t="shared" si="11"/>
        <v>907.43</v>
      </c>
      <c r="N191" s="145"/>
      <c r="O191" s="168" t="str">
        <f>VLOOKUP(C191,'New Wo Detailed Descr Rev'!$A$5:$D$287,4)</f>
        <v>Install ~1815 Ft of 2" PL MP Main, ~675 Ft of 4" PL MP Main. - Abandon ~85 Ft of 2" PL MP Main, ~7 Ft of PL MP Main, ~1728 Ft of 2" ST MP Main, ~671 Ft of 4" ST MP Main Total Service Tie-overs= 30 This bare steel grid main replacement project will clear active leak 419978.</v>
      </c>
    </row>
    <row r="192" spans="1:15" ht="15" customHeight="1">
      <c r="A192" s="102" t="s">
        <v>626</v>
      </c>
      <c r="B192" s="103" t="s">
        <v>1681</v>
      </c>
      <c r="C192" s="103" t="s">
        <v>2313</v>
      </c>
      <c r="D192" s="102" t="s">
        <v>2314</v>
      </c>
      <c r="E192" s="103" t="s">
        <v>260</v>
      </c>
      <c r="F192" s="102" t="s">
        <v>1608</v>
      </c>
      <c r="G192" s="103" t="s">
        <v>20</v>
      </c>
      <c r="H192" s="103">
        <v>201611</v>
      </c>
      <c r="I192" s="104">
        <v>-3331.29</v>
      </c>
      <c r="J192" s="144">
        <f t="shared" si="9"/>
        <v>6</v>
      </c>
      <c r="K192" s="155">
        <v>1.4833299999999999E-3</v>
      </c>
      <c r="L192" s="154">
        <f t="shared" si="10"/>
        <v>-29.65</v>
      </c>
      <c r="M192" s="154">
        <f t="shared" si="11"/>
        <v>-59.3</v>
      </c>
      <c r="N192" s="145"/>
      <c r="O192" s="168" t="str">
        <f>VLOOKUP(C192,'New Wo Detailed Descr Rev'!$A$5:$D$287,4)</f>
        <v>Abandon 5,525' - 2" Steel due to multiple CP and isolated steel and replace with 7,625' 2" PE - South St &amp; Faulkner in Marionville. - Project Location: Marionville; Pressure System: S-0006; MOP: 30 psig; MAOP: 30 psig; Design: 66 psig; Test: 100 psig; 47 - Services, ISRS $35.71/ft ($268,174.76)</v>
      </c>
    </row>
    <row r="193" spans="1:15" ht="15" customHeight="1">
      <c r="A193" s="102" t="s">
        <v>626</v>
      </c>
      <c r="B193" s="103" t="s">
        <v>1681</v>
      </c>
      <c r="C193" s="103" t="s">
        <v>2313</v>
      </c>
      <c r="D193" s="102" t="s">
        <v>2314</v>
      </c>
      <c r="E193" s="103" t="s">
        <v>260</v>
      </c>
      <c r="F193" s="102" t="s">
        <v>1608</v>
      </c>
      <c r="G193" s="103" t="s">
        <v>20</v>
      </c>
      <c r="H193" s="103">
        <v>201612</v>
      </c>
      <c r="I193" s="104">
        <v>133.21</v>
      </c>
      <c r="J193" s="144">
        <f t="shared" si="9"/>
        <v>5</v>
      </c>
      <c r="K193" s="155">
        <v>1.4833299999999999E-3</v>
      </c>
      <c r="L193" s="154">
        <f t="shared" si="10"/>
        <v>0.99</v>
      </c>
      <c r="M193" s="154">
        <f t="shared" si="11"/>
        <v>2.37</v>
      </c>
      <c r="N193" s="145"/>
      <c r="O193" s="168" t="str">
        <f>VLOOKUP(C193,'New Wo Detailed Descr Rev'!$A$5:$D$287,4)</f>
        <v>Abandon 5,525' - 2" Steel due to multiple CP and isolated steel and replace with 7,625' 2" PE - South St &amp; Faulkner in Marionville. - Project Location: Marionville; Pressure System: S-0006; MOP: 30 psig; MAOP: 30 psig; Design: 66 psig; Test: 100 psig; 47 - Services, ISRS $35.71/ft ($268,174.76)</v>
      </c>
    </row>
    <row r="194" spans="1:15" ht="15" customHeight="1">
      <c r="A194" s="102" t="s">
        <v>626</v>
      </c>
      <c r="B194" s="103" t="s">
        <v>1681</v>
      </c>
      <c r="C194" s="103" t="s">
        <v>2340</v>
      </c>
      <c r="D194" s="102" t="s">
        <v>2341</v>
      </c>
      <c r="E194" s="103" t="s">
        <v>260</v>
      </c>
      <c r="F194" s="102" t="s">
        <v>1608</v>
      </c>
      <c r="G194" s="103" t="s">
        <v>20</v>
      </c>
      <c r="H194" s="103">
        <v>201611</v>
      </c>
      <c r="I194" s="104">
        <v>-104.26</v>
      </c>
      <c r="J194" s="144">
        <f t="shared" si="9"/>
        <v>6</v>
      </c>
      <c r="K194" s="155">
        <v>1.4833299999999999E-3</v>
      </c>
      <c r="L194" s="154">
        <f t="shared" si="10"/>
        <v>-0.93</v>
      </c>
      <c r="M194" s="154">
        <f t="shared" si="11"/>
        <v>-1.86</v>
      </c>
      <c r="N194" s="145"/>
      <c r="O194" s="168" t="str">
        <f>VLOOKUP(C194,'New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95" spans="1:15" ht="15" customHeight="1">
      <c r="A195" s="102" t="s">
        <v>14</v>
      </c>
      <c r="B195" s="103" t="s">
        <v>1681</v>
      </c>
      <c r="C195" s="103" t="s">
        <v>2340</v>
      </c>
      <c r="D195" s="102" t="s">
        <v>2341</v>
      </c>
      <c r="E195" s="103" t="s">
        <v>260</v>
      </c>
      <c r="F195" s="102" t="s">
        <v>1608</v>
      </c>
      <c r="G195" s="103" t="s">
        <v>20</v>
      </c>
      <c r="H195" s="103">
        <v>201611</v>
      </c>
      <c r="I195" s="104">
        <v>-1.56</v>
      </c>
      <c r="J195" s="144">
        <f t="shared" si="9"/>
        <v>6</v>
      </c>
      <c r="K195" s="148">
        <v>2.23333E-3</v>
      </c>
      <c r="L195" s="154">
        <f t="shared" si="10"/>
        <v>-0.02</v>
      </c>
      <c r="M195" s="154">
        <f t="shared" si="11"/>
        <v>-0.04</v>
      </c>
      <c r="N195" s="145"/>
      <c r="O195" s="168" t="str">
        <f>VLOOKUP(C195,'New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96" spans="1:15" ht="15" customHeight="1">
      <c r="A196" s="102" t="s">
        <v>626</v>
      </c>
      <c r="B196" s="103" t="s">
        <v>1681</v>
      </c>
      <c r="C196" s="103" t="s">
        <v>2340</v>
      </c>
      <c r="D196" s="102" t="s">
        <v>2341</v>
      </c>
      <c r="E196" s="103" t="s">
        <v>260</v>
      </c>
      <c r="F196" s="102" t="s">
        <v>1608</v>
      </c>
      <c r="G196" s="103" t="s">
        <v>20</v>
      </c>
      <c r="H196" s="103">
        <v>201612</v>
      </c>
      <c r="I196" s="104">
        <v>10.210000000000001</v>
      </c>
      <c r="J196" s="144">
        <f t="shared" si="9"/>
        <v>5</v>
      </c>
      <c r="K196" s="155">
        <v>1.4833299999999999E-3</v>
      </c>
      <c r="L196" s="154">
        <f t="shared" si="10"/>
        <v>0.08</v>
      </c>
      <c r="M196" s="154">
        <f t="shared" si="11"/>
        <v>0.18</v>
      </c>
      <c r="N196" s="145"/>
      <c r="O196" s="168" t="str">
        <f>VLOOKUP(C196,'New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97" spans="1:15" ht="15" customHeight="1">
      <c r="A197" s="102" t="s">
        <v>14</v>
      </c>
      <c r="B197" s="103" t="s">
        <v>1681</v>
      </c>
      <c r="C197" s="103" t="s">
        <v>2340</v>
      </c>
      <c r="D197" s="102" t="s">
        <v>2341</v>
      </c>
      <c r="E197" s="103" t="s">
        <v>260</v>
      </c>
      <c r="F197" s="102" t="s">
        <v>1608</v>
      </c>
      <c r="G197" s="103" t="s">
        <v>20</v>
      </c>
      <c r="H197" s="103">
        <v>201612</v>
      </c>
      <c r="I197" s="104">
        <v>0.14000000000000001</v>
      </c>
      <c r="J197" s="144">
        <f t="shared" si="9"/>
        <v>5</v>
      </c>
      <c r="K197" s="148">
        <v>2.23333E-3</v>
      </c>
      <c r="L197" s="154">
        <f t="shared" si="10"/>
        <v>0</v>
      </c>
      <c r="M197" s="154">
        <f t="shared" si="11"/>
        <v>0</v>
      </c>
      <c r="N197" s="145"/>
      <c r="O197" s="168" t="str">
        <f>VLOOKUP(C197,'New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98" spans="1:15" ht="15" customHeight="1">
      <c r="A198" s="102" t="s">
        <v>626</v>
      </c>
      <c r="B198" s="103" t="s">
        <v>1681</v>
      </c>
      <c r="C198" s="103" t="s">
        <v>2007</v>
      </c>
      <c r="D198" s="102" t="s">
        <v>2008</v>
      </c>
      <c r="E198" s="103" t="s">
        <v>260</v>
      </c>
      <c r="F198" s="102" t="s">
        <v>1608</v>
      </c>
      <c r="G198" s="103" t="s">
        <v>20</v>
      </c>
      <c r="H198" s="103">
        <v>201612</v>
      </c>
      <c r="I198" s="104">
        <v>-744.49</v>
      </c>
      <c r="J198" s="144">
        <f t="shared" si="9"/>
        <v>5</v>
      </c>
      <c r="K198" s="155">
        <v>1.4833299999999999E-3</v>
      </c>
      <c r="L198" s="154">
        <f t="shared" si="10"/>
        <v>-5.52</v>
      </c>
      <c r="M198" s="154">
        <f t="shared" si="11"/>
        <v>-13.25</v>
      </c>
      <c r="N198" s="145"/>
      <c r="O198" s="168" t="str">
        <f>VLOOKUP(C198,'New Wo Detailed Descr Rev'!$A$5:$D$287,4)</f>
        <v>Install 1400 Ft of 4 in PL IP main for Webb City Phase 1A. Abandon 1282 Ft of 4 in PBS IP and 27 Ft of 4in PL IP main at the same location. Project includes 5 Service Tie-Overs and 2 Abandonments. FY16 Bare Steel Replacement Program. - 0</v>
      </c>
    </row>
    <row r="199" spans="1:15" ht="15" customHeight="1">
      <c r="A199" s="102" t="s">
        <v>14</v>
      </c>
      <c r="B199" s="103" t="s">
        <v>1681</v>
      </c>
      <c r="C199" s="103" t="s">
        <v>2007</v>
      </c>
      <c r="D199" s="102" t="s">
        <v>2008</v>
      </c>
      <c r="E199" s="103" t="s">
        <v>260</v>
      </c>
      <c r="F199" s="102" t="s">
        <v>1608</v>
      </c>
      <c r="G199" s="103" t="s">
        <v>20</v>
      </c>
      <c r="H199" s="103">
        <v>201612</v>
      </c>
      <c r="I199" s="104">
        <v>744.49</v>
      </c>
      <c r="J199" s="144">
        <f t="shared" si="9"/>
        <v>5</v>
      </c>
      <c r="K199" s="148">
        <v>2.23333E-3</v>
      </c>
      <c r="L199" s="154">
        <f t="shared" si="10"/>
        <v>8.31</v>
      </c>
      <c r="M199" s="154">
        <f t="shared" si="11"/>
        <v>19.95</v>
      </c>
      <c r="N199" s="145"/>
      <c r="O199" s="168" t="str">
        <f>VLOOKUP(C199,'New Wo Detailed Descr Rev'!$A$5:$D$287,4)</f>
        <v>Install 1400 Ft of 4 in PL IP main for Webb City Phase 1A. Abandon 1282 Ft of 4 in PBS IP and 27 Ft of 4in PL IP main at the same location. Project includes 5 Service Tie-Overs and 2 Abandonments. FY16 Bare Steel Replacement Program. - 0</v>
      </c>
    </row>
    <row r="200" spans="1:15" ht="15" customHeight="1">
      <c r="A200" s="102" t="s">
        <v>626</v>
      </c>
      <c r="B200" s="103" t="s">
        <v>1681</v>
      </c>
      <c r="C200" s="103" t="s">
        <v>2009</v>
      </c>
      <c r="D200" s="102" t="s">
        <v>2010</v>
      </c>
      <c r="E200" s="103" t="s">
        <v>260</v>
      </c>
      <c r="F200" s="102" t="s">
        <v>1608</v>
      </c>
      <c r="G200" s="103" t="s">
        <v>20</v>
      </c>
      <c r="H200" s="103">
        <v>201611</v>
      </c>
      <c r="I200" s="104">
        <v>-14.24</v>
      </c>
      <c r="J200" s="144">
        <f t="shared" si="9"/>
        <v>6</v>
      </c>
      <c r="K200" s="155">
        <v>1.4833299999999999E-3</v>
      </c>
      <c r="L200" s="154">
        <f t="shared" si="10"/>
        <v>-0.13</v>
      </c>
      <c r="M200" s="154">
        <f t="shared" si="11"/>
        <v>-0.25</v>
      </c>
      <c r="N200" s="145"/>
      <c r="O200" s="168" t="str">
        <f>VLOOKUP(C200,'New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01" spans="1:15" ht="15" customHeight="1">
      <c r="A201" s="102" t="s">
        <v>14</v>
      </c>
      <c r="B201" s="103" t="s">
        <v>1681</v>
      </c>
      <c r="C201" s="103" t="s">
        <v>2009</v>
      </c>
      <c r="D201" s="102" t="s">
        <v>2010</v>
      </c>
      <c r="E201" s="103" t="s">
        <v>260</v>
      </c>
      <c r="F201" s="102" t="s">
        <v>1608</v>
      </c>
      <c r="G201" s="103" t="s">
        <v>20</v>
      </c>
      <c r="H201" s="103">
        <v>201611</v>
      </c>
      <c r="I201" s="104">
        <v>-0.26</v>
      </c>
      <c r="J201" s="144">
        <f t="shared" si="9"/>
        <v>6</v>
      </c>
      <c r="K201" s="148">
        <v>2.23333E-3</v>
      </c>
      <c r="L201" s="154">
        <f t="shared" si="10"/>
        <v>0</v>
      </c>
      <c r="M201" s="154">
        <f t="shared" si="11"/>
        <v>-0.01</v>
      </c>
      <c r="N201" s="145"/>
      <c r="O201" s="168" t="str">
        <f>VLOOKUP(C201,'New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02" spans="1:15" ht="15" customHeight="1">
      <c r="A202" s="102" t="s">
        <v>626</v>
      </c>
      <c r="B202" s="103" t="s">
        <v>1681</v>
      </c>
      <c r="C202" s="103" t="s">
        <v>2009</v>
      </c>
      <c r="D202" s="102" t="s">
        <v>2010</v>
      </c>
      <c r="E202" s="103" t="s">
        <v>260</v>
      </c>
      <c r="F202" s="102" t="s">
        <v>1608</v>
      </c>
      <c r="G202" s="103" t="s">
        <v>20</v>
      </c>
      <c r="H202" s="103">
        <v>201612</v>
      </c>
      <c r="I202" s="104">
        <v>7196.27</v>
      </c>
      <c r="J202" s="144">
        <f t="shared" si="9"/>
        <v>5</v>
      </c>
      <c r="K202" s="155">
        <v>1.4833299999999999E-3</v>
      </c>
      <c r="L202" s="154">
        <f t="shared" si="10"/>
        <v>53.37</v>
      </c>
      <c r="M202" s="154">
        <f t="shared" si="11"/>
        <v>128.09</v>
      </c>
      <c r="N202" s="145"/>
      <c r="O202" s="168" t="str">
        <f>VLOOKUP(C202,'New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03" spans="1:15" ht="15" customHeight="1">
      <c r="A203" s="102" t="s">
        <v>14</v>
      </c>
      <c r="B203" s="103" t="s">
        <v>1681</v>
      </c>
      <c r="C203" s="103" t="s">
        <v>2009</v>
      </c>
      <c r="D203" s="102" t="s">
        <v>2010</v>
      </c>
      <c r="E203" s="103" t="s">
        <v>260</v>
      </c>
      <c r="F203" s="102" t="s">
        <v>1608</v>
      </c>
      <c r="G203" s="103" t="s">
        <v>20</v>
      </c>
      <c r="H203" s="103">
        <v>201612</v>
      </c>
      <c r="I203" s="104">
        <v>-7185.14</v>
      </c>
      <c r="J203" s="144">
        <f t="shared" si="9"/>
        <v>5</v>
      </c>
      <c r="K203" s="148">
        <v>2.23333E-3</v>
      </c>
      <c r="L203" s="154">
        <f t="shared" si="10"/>
        <v>-80.23</v>
      </c>
      <c r="M203" s="154">
        <f t="shared" si="11"/>
        <v>-192.56</v>
      </c>
      <c r="N203" s="145"/>
      <c r="O203" s="168" t="str">
        <f>VLOOKUP(C203,'New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04" spans="1:15" ht="15" customHeight="1">
      <c r="A204" s="102" t="s">
        <v>626</v>
      </c>
      <c r="B204" s="103" t="s">
        <v>1681</v>
      </c>
      <c r="C204" s="103" t="s">
        <v>2011</v>
      </c>
      <c r="D204" s="102" t="s">
        <v>2012</v>
      </c>
      <c r="E204" s="103" t="s">
        <v>260</v>
      </c>
      <c r="F204" s="102" t="s">
        <v>1608</v>
      </c>
      <c r="G204" s="103" t="s">
        <v>20</v>
      </c>
      <c r="H204" s="103">
        <v>201612</v>
      </c>
      <c r="I204" s="104">
        <v>677.12</v>
      </c>
      <c r="J204" s="144">
        <f t="shared" si="9"/>
        <v>5</v>
      </c>
      <c r="K204" s="155">
        <v>1.4833299999999999E-3</v>
      </c>
      <c r="L204" s="154">
        <f t="shared" si="10"/>
        <v>5.0199999999999996</v>
      </c>
      <c r="M204" s="154">
        <f t="shared" si="11"/>
        <v>12.05</v>
      </c>
      <c r="N204" s="145"/>
      <c r="O204" s="168" t="str">
        <f>VLOOKUP(C204,'New Wo Detailed Descr Rev'!$A$5:$D$287,4)</f>
        <v>Install 2405 Ft of 2 in and 2275 Ft of 4 in PL IP main for Webb City Ph 1C. Abandon 595 Ft of 3 in PBS, 2753 Ft of 3 in PCS, 80 Ft of 3 in PL, and 1243 Ft of 4 in PCS LP main. - 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
    </row>
    <row r="205" spans="1:15" ht="15" customHeight="1">
      <c r="A205" s="102" t="s">
        <v>14</v>
      </c>
      <c r="B205" s="103" t="s">
        <v>1681</v>
      </c>
      <c r="C205" s="103" t="s">
        <v>2011</v>
      </c>
      <c r="D205" s="102" t="s">
        <v>2012</v>
      </c>
      <c r="E205" s="103" t="s">
        <v>260</v>
      </c>
      <c r="F205" s="102" t="s">
        <v>1608</v>
      </c>
      <c r="G205" s="103" t="s">
        <v>20</v>
      </c>
      <c r="H205" s="103">
        <v>201612</v>
      </c>
      <c r="I205" s="104">
        <v>-677.12</v>
      </c>
      <c r="J205" s="144">
        <f t="shared" si="9"/>
        <v>5</v>
      </c>
      <c r="K205" s="148">
        <v>2.23333E-3</v>
      </c>
      <c r="L205" s="154">
        <f t="shared" si="10"/>
        <v>-7.56</v>
      </c>
      <c r="M205" s="154">
        <f t="shared" si="11"/>
        <v>-18.149999999999999</v>
      </c>
      <c r="N205" s="145"/>
      <c r="O205" s="168" t="str">
        <f>VLOOKUP(C205,'New Wo Detailed Descr Rev'!$A$5:$D$287,4)</f>
        <v>Install 2405 Ft of 2 in and 2275 Ft of 4 in PL IP main for Webb City Ph 1C. Abandon 595 Ft of 3 in PBS, 2753 Ft of 3 in PCS, 80 Ft of 3 in PL, and 1243 Ft of 4 in PCS LP main. - 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
    </row>
    <row r="206" spans="1:15" ht="15" customHeight="1">
      <c r="A206" s="102" t="s">
        <v>626</v>
      </c>
      <c r="B206" s="103" t="s">
        <v>1681</v>
      </c>
      <c r="C206" s="103" t="s">
        <v>2267</v>
      </c>
      <c r="D206" s="102" t="s">
        <v>2268</v>
      </c>
      <c r="E206" s="103" t="s">
        <v>260</v>
      </c>
      <c r="F206" s="102" t="s">
        <v>1608</v>
      </c>
      <c r="G206" s="103" t="s">
        <v>20</v>
      </c>
      <c r="H206" s="103">
        <v>201611</v>
      </c>
      <c r="I206" s="104">
        <v>967.16</v>
      </c>
      <c r="J206" s="144">
        <f t="shared" si="9"/>
        <v>6</v>
      </c>
      <c r="K206" s="155">
        <v>1.4833299999999999E-3</v>
      </c>
      <c r="L206" s="154">
        <f t="shared" si="10"/>
        <v>8.61</v>
      </c>
      <c r="M206" s="154">
        <f t="shared" si="11"/>
        <v>17.22</v>
      </c>
      <c r="N206" s="145"/>
      <c r="O206" s="168" t="str">
        <f>VLOOKUP(C206,'New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07" spans="1:15" ht="15" customHeight="1">
      <c r="A207" s="102" t="s">
        <v>14</v>
      </c>
      <c r="B207" s="103" t="s">
        <v>1681</v>
      </c>
      <c r="C207" s="103" t="s">
        <v>2267</v>
      </c>
      <c r="D207" s="102" t="s">
        <v>2268</v>
      </c>
      <c r="E207" s="103" t="s">
        <v>260</v>
      </c>
      <c r="F207" s="102" t="s">
        <v>1608</v>
      </c>
      <c r="G207" s="103" t="s">
        <v>20</v>
      </c>
      <c r="H207" s="103">
        <v>201611</v>
      </c>
      <c r="I207" s="104">
        <v>200.25</v>
      </c>
      <c r="J207" s="144">
        <f t="shared" si="9"/>
        <v>6</v>
      </c>
      <c r="K207" s="148">
        <v>2.23333E-3</v>
      </c>
      <c r="L207" s="154">
        <f t="shared" si="10"/>
        <v>2.68</v>
      </c>
      <c r="M207" s="154">
        <f t="shared" si="11"/>
        <v>5.37</v>
      </c>
      <c r="N207" s="145"/>
      <c r="O207" s="168" t="str">
        <f>VLOOKUP(C207,'New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08" spans="1:15" ht="15" customHeight="1">
      <c r="A208" s="102" t="s">
        <v>626</v>
      </c>
      <c r="B208" s="103" t="s">
        <v>1681</v>
      </c>
      <c r="C208" s="103" t="s">
        <v>2267</v>
      </c>
      <c r="D208" s="102" t="s">
        <v>2268</v>
      </c>
      <c r="E208" s="103" t="s">
        <v>260</v>
      </c>
      <c r="F208" s="102" t="s">
        <v>1608</v>
      </c>
      <c r="G208" s="103" t="s">
        <v>20</v>
      </c>
      <c r="H208" s="103">
        <v>201612</v>
      </c>
      <c r="I208" s="104">
        <v>1028.3499999999999</v>
      </c>
      <c r="J208" s="144">
        <f t="shared" si="9"/>
        <v>5</v>
      </c>
      <c r="K208" s="155">
        <v>1.4833299999999999E-3</v>
      </c>
      <c r="L208" s="154">
        <f t="shared" si="10"/>
        <v>7.63</v>
      </c>
      <c r="M208" s="154">
        <f t="shared" si="11"/>
        <v>18.3</v>
      </c>
      <c r="N208" s="145"/>
      <c r="O208" s="168" t="str">
        <f>VLOOKUP(C208,'New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09" spans="1:15" ht="15" customHeight="1">
      <c r="A209" s="102" t="s">
        <v>14</v>
      </c>
      <c r="B209" s="103" t="s">
        <v>1681</v>
      </c>
      <c r="C209" s="103" t="s">
        <v>2267</v>
      </c>
      <c r="D209" s="102" t="s">
        <v>2268</v>
      </c>
      <c r="E209" s="103" t="s">
        <v>260</v>
      </c>
      <c r="F209" s="102" t="s">
        <v>1608</v>
      </c>
      <c r="G209" s="103" t="s">
        <v>20</v>
      </c>
      <c r="H209" s="103">
        <v>201612</v>
      </c>
      <c r="I209" s="104">
        <v>212.94</v>
      </c>
      <c r="J209" s="144">
        <f t="shared" si="9"/>
        <v>5</v>
      </c>
      <c r="K209" s="148">
        <v>2.23333E-3</v>
      </c>
      <c r="L209" s="154">
        <f t="shared" si="10"/>
        <v>2.38</v>
      </c>
      <c r="M209" s="154">
        <f t="shared" si="11"/>
        <v>5.71</v>
      </c>
      <c r="N209" s="145"/>
      <c r="O209" s="168" t="str">
        <f>VLOOKUP(C209,'New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10" spans="1:15" ht="15" customHeight="1">
      <c r="A210" s="102" t="s">
        <v>626</v>
      </c>
      <c r="B210" s="103" t="s">
        <v>1681</v>
      </c>
      <c r="C210" s="103" t="s">
        <v>2384</v>
      </c>
      <c r="D210" s="102" t="s">
        <v>2385</v>
      </c>
      <c r="E210" s="103" t="s">
        <v>260</v>
      </c>
      <c r="F210" s="102" t="s">
        <v>1608</v>
      </c>
      <c r="G210" s="103" t="s">
        <v>20</v>
      </c>
      <c r="H210" s="103">
        <v>201611</v>
      </c>
      <c r="I210" s="104">
        <v>1034.31</v>
      </c>
      <c r="J210" s="144">
        <f t="shared" si="9"/>
        <v>6</v>
      </c>
      <c r="K210" s="155">
        <v>1.4833299999999999E-3</v>
      </c>
      <c r="L210" s="154">
        <f t="shared" si="10"/>
        <v>9.2100000000000009</v>
      </c>
      <c r="M210" s="154">
        <f t="shared" si="11"/>
        <v>18.41</v>
      </c>
      <c r="N210" s="145"/>
      <c r="O210" s="168" t="str">
        <f>VLOOKUP(C210,'New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11" spans="1:15" ht="15" customHeight="1">
      <c r="A211" s="102" t="s">
        <v>14</v>
      </c>
      <c r="B211" s="103" t="s">
        <v>1681</v>
      </c>
      <c r="C211" s="103" t="s">
        <v>2384</v>
      </c>
      <c r="D211" s="102" t="s">
        <v>2385</v>
      </c>
      <c r="E211" s="103" t="s">
        <v>260</v>
      </c>
      <c r="F211" s="102" t="s">
        <v>1608</v>
      </c>
      <c r="G211" s="103" t="s">
        <v>20</v>
      </c>
      <c r="H211" s="103">
        <v>201611</v>
      </c>
      <c r="I211" s="104">
        <v>27.82</v>
      </c>
      <c r="J211" s="144">
        <f t="shared" si="9"/>
        <v>6</v>
      </c>
      <c r="K211" s="148">
        <v>2.23333E-3</v>
      </c>
      <c r="L211" s="154">
        <f t="shared" si="10"/>
        <v>0.37</v>
      </c>
      <c r="M211" s="154">
        <f t="shared" si="11"/>
        <v>0.75</v>
      </c>
      <c r="N211" s="145"/>
      <c r="O211" s="168" t="str">
        <f>VLOOKUP(C211,'New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12" spans="1:15" ht="15" customHeight="1">
      <c r="A212" s="102" t="s">
        <v>626</v>
      </c>
      <c r="B212" s="103" t="s">
        <v>1681</v>
      </c>
      <c r="C212" s="103" t="s">
        <v>2384</v>
      </c>
      <c r="D212" s="102" t="s">
        <v>2385</v>
      </c>
      <c r="E212" s="103" t="s">
        <v>260</v>
      </c>
      <c r="F212" s="102" t="s">
        <v>1608</v>
      </c>
      <c r="G212" s="103" t="s">
        <v>20</v>
      </c>
      <c r="H212" s="103">
        <v>201612</v>
      </c>
      <c r="I212" s="104">
        <v>-1727.22</v>
      </c>
      <c r="J212" s="144">
        <f t="shared" si="9"/>
        <v>5</v>
      </c>
      <c r="K212" s="155">
        <v>1.4833299999999999E-3</v>
      </c>
      <c r="L212" s="154">
        <f t="shared" si="10"/>
        <v>-12.81</v>
      </c>
      <c r="M212" s="154">
        <f t="shared" si="11"/>
        <v>-30.74</v>
      </c>
      <c r="N212" s="145"/>
      <c r="O212" s="168" t="str">
        <f>VLOOKUP(C212,'New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13" spans="1:15" ht="15" customHeight="1">
      <c r="A213" s="102" t="s">
        <v>14</v>
      </c>
      <c r="B213" s="103" t="s">
        <v>1681</v>
      </c>
      <c r="C213" s="103" t="s">
        <v>2384</v>
      </c>
      <c r="D213" s="102" t="s">
        <v>2385</v>
      </c>
      <c r="E213" s="103" t="s">
        <v>260</v>
      </c>
      <c r="F213" s="102" t="s">
        <v>1608</v>
      </c>
      <c r="G213" s="103" t="s">
        <v>20</v>
      </c>
      <c r="H213" s="103">
        <v>201612</v>
      </c>
      <c r="I213" s="104">
        <v>-46.47</v>
      </c>
      <c r="J213" s="144">
        <f t="shared" si="9"/>
        <v>5</v>
      </c>
      <c r="K213" s="148">
        <v>2.23333E-3</v>
      </c>
      <c r="L213" s="154">
        <f t="shared" si="10"/>
        <v>-0.52</v>
      </c>
      <c r="M213" s="154">
        <f t="shared" si="11"/>
        <v>-1.25</v>
      </c>
      <c r="N213" s="145"/>
      <c r="O213" s="168" t="str">
        <f>VLOOKUP(C213,'New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14" spans="1:15" ht="15" customHeight="1">
      <c r="A214" s="102" t="s">
        <v>626</v>
      </c>
      <c r="B214" s="103" t="s">
        <v>1681</v>
      </c>
      <c r="C214" s="103" t="s">
        <v>2386</v>
      </c>
      <c r="D214" s="102" t="s">
        <v>2387</v>
      </c>
      <c r="E214" s="103" t="s">
        <v>260</v>
      </c>
      <c r="F214" s="102" t="s">
        <v>1608</v>
      </c>
      <c r="G214" s="103" t="s">
        <v>20</v>
      </c>
      <c r="H214" s="103">
        <v>201611</v>
      </c>
      <c r="I214" s="104">
        <v>14167.82</v>
      </c>
      <c r="J214" s="144">
        <f t="shared" ref="J214:J235" si="12">HLOOKUP(H214,$Q$2:$W$3,2)</f>
        <v>6</v>
      </c>
      <c r="K214" s="155">
        <v>1.4833299999999999E-3</v>
      </c>
      <c r="L214" s="154">
        <f t="shared" ref="L214:L235" si="13">ROUND(I214*J214*K214,2)</f>
        <v>126.09</v>
      </c>
      <c r="M214" s="154">
        <f t="shared" ref="M214:M235" si="14">ROUND(I214*K214*12,2)</f>
        <v>252.19</v>
      </c>
      <c r="N214" s="145"/>
      <c r="O214" s="168" t="str">
        <f>VLOOKUP(C214,'New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15" spans="1:15" ht="15" customHeight="1">
      <c r="A215" s="102" t="s">
        <v>14</v>
      </c>
      <c r="B215" s="103" t="s">
        <v>1681</v>
      </c>
      <c r="C215" s="103" t="s">
        <v>2386</v>
      </c>
      <c r="D215" s="102" t="s">
        <v>2387</v>
      </c>
      <c r="E215" s="103" t="s">
        <v>260</v>
      </c>
      <c r="F215" s="102" t="s">
        <v>1608</v>
      </c>
      <c r="G215" s="103" t="s">
        <v>20</v>
      </c>
      <c r="H215" s="103">
        <v>201611</v>
      </c>
      <c r="I215" s="104">
        <v>10.1</v>
      </c>
      <c r="J215" s="144">
        <f t="shared" si="12"/>
        <v>6</v>
      </c>
      <c r="K215" s="148">
        <v>2.23333E-3</v>
      </c>
      <c r="L215" s="154">
        <f t="shared" si="13"/>
        <v>0.14000000000000001</v>
      </c>
      <c r="M215" s="154">
        <f t="shared" si="14"/>
        <v>0.27</v>
      </c>
      <c r="N215" s="145"/>
      <c r="O215" s="168" t="str">
        <f>VLOOKUP(C215,'New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16" spans="1:15" ht="15" customHeight="1">
      <c r="A216" s="102" t="s">
        <v>626</v>
      </c>
      <c r="B216" s="103" t="s">
        <v>1681</v>
      </c>
      <c r="C216" s="103" t="s">
        <v>2386</v>
      </c>
      <c r="D216" s="102" t="s">
        <v>2387</v>
      </c>
      <c r="E216" s="103" t="s">
        <v>260</v>
      </c>
      <c r="F216" s="102" t="s">
        <v>1608</v>
      </c>
      <c r="G216" s="103" t="s">
        <v>20</v>
      </c>
      <c r="H216" s="103">
        <v>201612</v>
      </c>
      <c r="I216" s="104">
        <v>-4392.83</v>
      </c>
      <c r="J216" s="144">
        <f t="shared" si="12"/>
        <v>5</v>
      </c>
      <c r="K216" s="155">
        <v>1.4833299999999999E-3</v>
      </c>
      <c r="L216" s="154">
        <f t="shared" si="13"/>
        <v>-32.58</v>
      </c>
      <c r="M216" s="154">
        <f t="shared" si="14"/>
        <v>-78.19</v>
      </c>
      <c r="N216" s="145"/>
      <c r="O216" s="168" t="str">
        <f>VLOOKUP(C216,'New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17" spans="1:15" ht="15" customHeight="1">
      <c r="A217" s="102" t="s">
        <v>14</v>
      </c>
      <c r="B217" s="103" t="s">
        <v>1681</v>
      </c>
      <c r="C217" s="103" t="s">
        <v>2386</v>
      </c>
      <c r="D217" s="102" t="s">
        <v>2387</v>
      </c>
      <c r="E217" s="103" t="s">
        <v>260</v>
      </c>
      <c r="F217" s="102" t="s">
        <v>1608</v>
      </c>
      <c r="G217" s="103" t="s">
        <v>20</v>
      </c>
      <c r="H217" s="103">
        <v>201612</v>
      </c>
      <c r="I217" s="104">
        <v>-3.14</v>
      </c>
      <c r="J217" s="144">
        <f t="shared" si="12"/>
        <v>5</v>
      </c>
      <c r="K217" s="148">
        <v>2.23333E-3</v>
      </c>
      <c r="L217" s="154">
        <f t="shared" si="13"/>
        <v>-0.04</v>
      </c>
      <c r="M217" s="154">
        <f t="shared" si="14"/>
        <v>-0.08</v>
      </c>
      <c r="N217" s="145"/>
      <c r="O217" s="168" t="str">
        <f>VLOOKUP(C217,'New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18" spans="1:15" ht="15" customHeight="1">
      <c r="A218" s="102" t="s">
        <v>626</v>
      </c>
      <c r="B218" s="103" t="s">
        <v>1681</v>
      </c>
      <c r="C218" s="103" t="s">
        <v>2071</v>
      </c>
      <c r="D218" s="102" t="s">
        <v>2072</v>
      </c>
      <c r="E218" s="103" t="s">
        <v>260</v>
      </c>
      <c r="F218" s="102" t="s">
        <v>1608</v>
      </c>
      <c r="G218" s="103" t="s">
        <v>20</v>
      </c>
      <c r="H218" s="103">
        <v>201612</v>
      </c>
      <c r="I218" s="104">
        <v>-5098.3500000000004</v>
      </c>
      <c r="J218" s="144">
        <f t="shared" si="12"/>
        <v>5</v>
      </c>
      <c r="K218" s="155">
        <v>1.4833299999999999E-3</v>
      </c>
      <c r="L218" s="154">
        <f t="shared" si="13"/>
        <v>-37.81</v>
      </c>
      <c r="M218" s="154">
        <f t="shared" si="14"/>
        <v>-90.75</v>
      </c>
      <c r="N218" s="145"/>
      <c r="O218" s="168" t="str">
        <f>VLOOKUP(C218,'New Wo Detailed Descr Rev'!$A$5:$D$287,4)</f>
        <v>Install 865 Ft of 4in PL IP on 26th Street. Abandon 50 Ft of 2PL LP main, 350 Ft 2in ST LP main and 602 Ft 3in ST LP main along 26th Street. Abandon existing Reg Station 01-52-C to eliminate LP main. - This main is being replaced as part of the FY16 Bare Steel Replacement Program</v>
      </c>
    </row>
    <row r="219" spans="1:15" ht="15" customHeight="1">
      <c r="A219" s="102" t="s">
        <v>626</v>
      </c>
      <c r="B219" s="103" t="s">
        <v>1681</v>
      </c>
      <c r="C219" s="103" t="s">
        <v>2077</v>
      </c>
      <c r="D219" s="102" t="s">
        <v>2078</v>
      </c>
      <c r="E219" s="103" t="s">
        <v>260</v>
      </c>
      <c r="F219" s="102" t="s">
        <v>1608</v>
      </c>
      <c r="G219" s="103" t="s">
        <v>20</v>
      </c>
      <c r="H219" s="103">
        <v>201611</v>
      </c>
      <c r="I219" s="104">
        <v>-1204.58</v>
      </c>
      <c r="J219" s="144">
        <f t="shared" si="12"/>
        <v>6</v>
      </c>
      <c r="K219" s="155">
        <v>1.4833299999999999E-3</v>
      </c>
      <c r="L219" s="154">
        <f t="shared" si="13"/>
        <v>-10.72</v>
      </c>
      <c r="M219" s="154">
        <f t="shared" si="14"/>
        <v>-21.44</v>
      </c>
      <c r="N219" s="145"/>
      <c r="O219" s="168" t="str">
        <f>VLOOKUP(C219,'New Wo Detailed Descr Rev'!$A$5:$D$287,4)</f>
        <v>Replace 1598ft 4in PBS  &amp; 124ft 4in PE with 1895ft 4in PE from 18th to 23rd along Conner Ave due to CP issues (CP 15-042). -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220" spans="1:15" ht="15" customHeight="1">
      <c r="A220" s="102" t="s">
        <v>626</v>
      </c>
      <c r="B220" s="103" t="s">
        <v>1681</v>
      </c>
      <c r="C220" s="103" t="s">
        <v>2077</v>
      </c>
      <c r="D220" s="102" t="s">
        <v>2078</v>
      </c>
      <c r="E220" s="103" t="s">
        <v>260</v>
      </c>
      <c r="F220" s="102" t="s">
        <v>1608</v>
      </c>
      <c r="G220" s="103" t="s">
        <v>20</v>
      </c>
      <c r="H220" s="103">
        <v>201612</v>
      </c>
      <c r="I220" s="104">
        <v>647.78</v>
      </c>
      <c r="J220" s="144">
        <f t="shared" si="12"/>
        <v>5</v>
      </c>
      <c r="K220" s="155">
        <v>1.4833299999999999E-3</v>
      </c>
      <c r="L220" s="154">
        <f t="shared" si="13"/>
        <v>4.8</v>
      </c>
      <c r="M220" s="154">
        <f t="shared" si="14"/>
        <v>11.53</v>
      </c>
      <c r="N220" s="145"/>
      <c r="O220" s="168" t="str">
        <f>VLOOKUP(C220,'New Wo Detailed Descr Rev'!$A$5:$D$287,4)</f>
        <v>Replace 1598ft 4in PBS  &amp; 124ft 4in PE with 1895ft 4in PE from 18th to 23rd along Conner Ave due to CP issues (CP 15-042). -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221" spans="1:15" ht="15" customHeight="1">
      <c r="A221" s="102" t="s">
        <v>626</v>
      </c>
      <c r="B221" s="103" t="s">
        <v>1681</v>
      </c>
      <c r="C221" s="103" t="s">
        <v>2097</v>
      </c>
      <c r="D221" s="102" t="s">
        <v>2098</v>
      </c>
      <c r="E221" s="103" t="s">
        <v>260</v>
      </c>
      <c r="F221" s="102" t="s">
        <v>1608</v>
      </c>
      <c r="G221" s="103" t="s">
        <v>20</v>
      </c>
      <c r="H221" s="103">
        <v>201612</v>
      </c>
      <c r="I221" s="104">
        <v>5113.9799999999996</v>
      </c>
      <c r="J221" s="144">
        <f t="shared" si="12"/>
        <v>5</v>
      </c>
      <c r="K221" s="155">
        <v>1.4833299999999999E-3</v>
      </c>
      <c r="L221" s="154">
        <f t="shared" si="13"/>
        <v>37.93</v>
      </c>
      <c r="M221" s="154">
        <f t="shared" si="14"/>
        <v>91.03</v>
      </c>
      <c r="N221" s="145"/>
      <c r="O221" s="168" t="str">
        <f>VLOOKUP(C221,'New Wo Detailed Descr Rev'!$A$5:$D$287,4)</f>
        <v>Install 1533 Ft of 2 PL IP main on Commercial St and Elm St. Abandon 396 Ft of 2 in ST and 1131 Ft of 4 in ST LP main on Front and Elm St. - This main is being replaced as part of FY16 Bare Steel Replacement Program and is needed due to low reads (.850 and lower). Crews cannot keep readings above .850.</v>
      </c>
    </row>
    <row r="222" spans="1:15" ht="15" customHeight="1">
      <c r="A222" s="102" t="s">
        <v>14</v>
      </c>
      <c r="B222" s="103" t="s">
        <v>1681</v>
      </c>
      <c r="C222" s="103" t="s">
        <v>2097</v>
      </c>
      <c r="D222" s="102" t="s">
        <v>2098</v>
      </c>
      <c r="E222" s="103" t="s">
        <v>260</v>
      </c>
      <c r="F222" s="102" t="s">
        <v>1608</v>
      </c>
      <c r="G222" s="103" t="s">
        <v>20</v>
      </c>
      <c r="H222" s="103">
        <v>201612</v>
      </c>
      <c r="I222" s="104">
        <v>-5113.9799999999996</v>
      </c>
      <c r="J222" s="144">
        <f t="shared" si="12"/>
        <v>5</v>
      </c>
      <c r="K222" s="148">
        <v>2.23333E-3</v>
      </c>
      <c r="L222" s="154">
        <f t="shared" si="13"/>
        <v>-57.11</v>
      </c>
      <c r="M222" s="154">
        <f t="shared" si="14"/>
        <v>-137.05000000000001</v>
      </c>
      <c r="N222" s="145"/>
      <c r="O222" s="168" t="str">
        <f>VLOOKUP(C222,'New Wo Detailed Descr Rev'!$A$5:$D$287,4)</f>
        <v>Install 1533 Ft of 2 PL IP main on Commercial St and Elm St. Abandon 396 Ft of 2 in ST and 1131 Ft of 4 in ST LP main on Front and Elm St. - This main is being replaced as part of FY16 Bare Steel Replacement Program and is needed due to low reads (.850 and lower). Crews cannot keep readings above .850.</v>
      </c>
    </row>
    <row r="223" spans="1:15" ht="15" customHeight="1">
      <c r="A223" s="102" t="s">
        <v>626</v>
      </c>
      <c r="B223" s="103" t="s">
        <v>1681</v>
      </c>
      <c r="C223" s="103" t="s">
        <v>2099</v>
      </c>
      <c r="D223" s="102" t="s">
        <v>2100</v>
      </c>
      <c r="E223" s="103" t="s">
        <v>260</v>
      </c>
      <c r="F223" s="102" t="s">
        <v>1608</v>
      </c>
      <c r="G223" s="103" t="s">
        <v>20</v>
      </c>
      <c r="H223" s="103">
        <v>201612</v>
      </c>
      <c r="I223" s="104">
        <v>-1189.27</v>
      </c>
      <c r="J223" s="144">
        <f t="shared" si="12"/>
        <v>5</v>
      </c>
      <c r="K223" s="155">
        <v>1.4833299999999999E-3</v>
      </c>
      <c r="L223" s="154">
        <f t="shared" si="13"/>
        <v>-8.82</v>
      </c>
      <c r="M223" s="154">
        <f t="shared" si="14"/>
        <v>-21.17</v>
      </c>
      <c r="N223" s="145"/>
      <c r="O223" s="168" t="str">
        <f>VLOOKUP(C223,'New Wo Detailed Descr Rev'!$A$5:$D$287,4)</f>
        <v>Install 800 Ft of 2 in PL IP main on Carnation Dr. Abandon 778 Ft of 2 in ST IP Main at the above location. - This main is being abandoned as part of FY16 Bare Steel Replacement Program and will clear class 3 leak at 507 Carnation.</v>
      </c>
    </row>
    <row r="224" spans="1:15" ht="15" customHeight="1">
      <c r="A224" s="102" t="s">
        <v>14</v>
      </c>
      <c r="B224" s="103" t="s">
        <v>1681</v>
      </c>
      <c r="C224" s="103" t="s">
        <v>2099</v>
      </c>
      <c r="D224" s="102" t="s">
        <v>2100</v>
      </c>
      <c r="E224" s="103" t="s">
        <v>260</v>
      </c>
      <c r="F224" s="102" t="s">
        <v>1608</v>
      </c>
      <c r="G224" s="103" t="s">
        <v>20</v>
      </c>
      <c r="H224" s="103">
        <v>201612</v>
      </c>
      <c r="I224" s="104">
        <v>1189.27</v>
      </c>
      <c r="J224" s="144">
        <f t="shared" si="12"/>
        <v>5</v>
      </c>
      <c r="K224" s="148">
        <v>2.23333E-3</v>
      </c>
      <c r="L224" s="154">
        <f t="shared" si="13"/>
        <v>13.28</v>
      </c>
      <c r="M224" s="154">
        <f t="shared" si="14"/>
        <v>31.87</v>
      </c>
      <c r="N224" s="145"/>
      <c r="O224" s="168" t="str">
        <f>VLOOKUP(C224,'New Wo Detailed Descr Rev'!$A$5:$D$287,4)</f>
        <v>Install 800 Ft of 2 in PL IP main on Carnation Dr. Abandon 778 Ft of 2 in ST IP Main at the above location. - This main is being abandoned as part of FY16 Bare Steel Replacement Program and will clear class 3 leak at 507 Carnation.</v>
      </c>
    </row>
    <row r="225" spans="1:15" ht="15" customHeight="1">
      <c r="A225" s="102" t="s">
        <v>626</v>
      </c>
      <c r="B225" s="103" t="s">
        <v>1681</v>
      </c>
      <c r="C225" s="103" t="s">
        <v>2101</v>
      </c>
      <c r="D225" s="102" t="s">
        <v>2102</v>
      </c>
      <c r="E225" s="103" t="s">
        <v>260</v>
      </c>
      <c r="F225" s="102" t="s">
        <v>1608</v>
      </c>
      <c r="G225" s="103" t="s">
        <v>20</v>
      </c>
      <c r="H225" s="103">
        <v>201611</v>
      </c>
      <c r="I225" s="104">
        <v>209.52</v>
      </c>
      <c r="J225" s="144">
        <f t="shared" si="12"/>
        <v>6</v>
      </c>
      <c r="K225" s="155">
        <v>1.4833299999999999E-3</v>
      </c>
      <c r="L225" s="154">
        <f t="shared" si="13"/>
        <v>1.86</v>
      </c>
      <c r="M225" s="154">
        <f t="shared" si="14"/>
        <v>3.73</v>
      </c>
      <c r="N225" s="145"/>
      <c r="O225" s="168" t="str">
        <f>VLOOKUP(C225,'New Wo Detailed Descr Rev'!$A$5:$D$287,4)</f>
        <v>Install 88 Ft of 2 in PL LP Main at 2nd St and Broadway St.  Abandon 90 Ft of 2 in ST LP Main at above location. - Main being replaced due to cathodic protection - corrosion issues.</v>
      </c>
    </row>
    <row r="226" spans="1:15" ht="15" customHeight="1">
      <c r="A226" s="102" t="s">
        <v>626</v>
      </c>
      <c r="B226" s="103" t="s">
        <v>1681</v>
      </c>
      <c r="C226" s="103" t="s">
        <v>2101</v>
      </c>
      <c r="D226" s="102" t="s">
        <v>2102</v>
      </c>
      <c r="E226" s="103" t="s">
        <v>260</v>
      </c>
      <c r="F226" s="102" t="s">
        <v>1608</v>
      </c>
      <c r="G226" s="103" t="s">
        <v>20</v>
      </c>
      <c r="H226" s="103">
        <v>201612</v>
      </c>
      <c r="I226" s="104">
        <v>4.74</v>
      </c>
      <c r="J226" s="144">
        <f t="shared" si="12"/>
        <v>5</v>
      </c>
      <c r="K226" s="155">
        <v>1.4833299999999999E-3</v>
      </c>
      <c r="L226" s="154">
        <f t="shared" si="13"/>
        <v>0.04</v>
      </c>
      <c r="M226" s="154">
        <f t="shared" si="14"/>
        <v>0.08</v>
      </c>
      <c r="N226" s="145"/>
      <c r="O226" s="168" t="str">
        <f>VLOOKUP(C226,'New Wo Detailed Descr Rev'!$A$5:$D$287,4)</f>
        <v>Install 88 Ft of 2 in PL LP Main at 2nd St and Broadway St.  Abandon 90 Ft of 2 in ST LP Main at above location. - Main being replaced due to cathodic protection - corrosion issues.</v>
      </c>
    </row>
    <row r="227" spans="1:15" ht="15" customHeight="1">
      <c r="A227" s="102" t="s">
        <v>626</v>
      </c>
      <c r="B227" s="103" t="s">
        <v>1681</v>
      </c>
      <c r="C227" s="103" t="s">
        <v>2273</v>
      </c>
      <c r="D227" s="102" t="s">
        <v>2274</v>
      </c>
      <c r="E227" s="103" t="s">
        <v>260</v>
      </c>
      <c r="F227" s="102" t="s">
        <v>1608</v>
      </c>
      <c r="G227" s="103" t="s">
        <v>20</v>
      </c>
      <c r="H227" s="103">
        <v>201611</v>
      </c>
      <c r="I227" s="104">
        <v>3919.19</v>
      </c>
      <c r="J227" s="144">
        <f t="shared" si="12"/>
        <v>6</v>
      </c>
      <c r="K227" s="155">
        <v>1.4833299999999999E-3</v>
      </c>
      <c r="L227" s="154">
        <f t="shared" si="13"/>
        <v>34.880000000000003</v>
      </c>
      <c r="M227" s="154">
        <f t="shared" si="14"/>
        <v>69.760000000000005</v>
      </c>
      <c r="N227" s="145"/>
      <c r="O227" s="168" t="str">
        <f>VLOOKUP(C227,'New Wo Detailed Descr Rev'!$A$5:$D$287,4)</f>
        <v>Install 740 Ft of 2 in PL LP main on McKinley Ave in between W 1st St and W 3rd St. Abandon 10 Ft of 2 in PL, 814 Ft of 2 in ST and 5 Ft of 3 in ST main. - This main is being replaced due to failed CP reads and is part of the bare steel replacement program.</v>
      </c>
    </row>
    <row r="228" spans="1:15" ht="15" customHeight="1">
      <c r="A228" s="102" t="s">
        <v>626</v>
      </c>
      <c r="B228" s="103" t="s">
        <v>1681</v>
      </c>
      <c r="C228" s="103" t="s">
        <v>2273</v>
      </c>
      <c r="D228" s="102" t="s">
        <v>2274</v>
      </c>
      <c r="E228" s="103" t="s">
        <v>260</v>
      </c>
      <c r="F228" s="102" t="s">
        <v>1608</v>
      </c>
      <c r="G228" s="103" t="s">
        <v>20</v>
      </c>
      <c r="H228" s="103">
        <v>201612</v>
      </c>
      <c r="I228" s="104">
        <v>-3883.56</v>
      </c>
      <c r="J228" s="144">
        <f t="shared" si="12"/>
        <v>5</v>
      </c>
      <c r="K228" s="155">
        <v>1.4833299999999999E-3</v>
      </c>
      <c r="L228" s="154">
        <f t="shared" si="13"/>
        <v>-28.8</v>
      </c>
      <c r="M228" s="154">
        <f t="shared" si="14"/>
        <v>-69.13</v>
      </c>
      <c r="N228" s="145"/>
      <c r="O228" s="168" t="str">
        <f>VLOOKUP(C228,'New Wo Detailed Descr Rev'!$A$5:$D$287,4)</f>
        <v>Install 740 Ft of 2 in PL LP main on McKinley Ave in between W 1st St and W 3rd St. Abandon 10 Ft of 2 in PL, 814 Ft of 2 in ST and 5 Ft of 3 in ST main. - This main is being replaced due to failed CP reads and is part of the bare steel replacement program.</v>
      </c>
    </row>
    <row r="229" spans="1:15" ht="15" customHeight="1">
      <c r="A229" s="102" t="s">
        <v>21</v>
      </c>
      <c r="B229" s="103" t="s">
        <v>1681</v>
      </c>
      <c r="C229" s="103" t="s">
        <v>2438</v>
      </c>
      <c r="D229" s="102" t="s">
        <v>2439</v>
      </c>
      <c r="E229" s="103" t="s">
        <v>260</v>
      </c>
      <c r="F229" s="102" t="s">
        <v>1608</v>
      </c>
      <c r="G229" s="103" t="s">
        <v>20</v>
      </c>
      <c r="H229" s="103">
        <v>201612</v>
      </c>
      <c r="I229" s="104">
        <v>810.66</v>
      </c>
      <c r="J229" s="144">
        <f t="shared" si="12"/>
        <v>5</v>
      </c>
      <c r="K229" s="155">
        <v>1.4833299999999999E-3</v>
      </c>
      <c r="L229" s="154">
        <f t="shared" si="13"/>
        <v>6.01</v>
      </c>
      <c r="M229" s="154">
        <f t="shared" si="14"/>
        <v>14.43</v>
      </c>
      <c r="N229" s="145"/>
      <c r="O229" s="168" t="str">
        <f>VLOOKUP(C229,'New Wo Detailed Descr Rev'!$A$5:$D$287,4)</f>
        <v>Install ~455 Ft of 2 in PL MP main on Kansas Ave and 18th Street in Joplin. - Abandon ~384 Ft of 2 in ST MP main and 58 Ft of 3 in ST MP main at the above locations.  Total Service Tie Overs - 2.  ISRS - Replace due to CP 15-092.</v>
      </c>
    </row>
    <row r="230" spans="1:15" ht="15" customHeight="1">
      <c r="A230" s="102" t="s">
        <v>626</v>
      </c>
      <c r="B230" s="103" t="s">
        <v>1681</v>
      </c>
      <c r="C230" s="103" t="s">
        <v>2438</v>
      </c>
      <c r="D230" s="102" t="s">
        <v>2439</v>
      </c>
      <c r="E230" s="103" t="s">
        <v>260</v>
      </c>
      <c r="F230" s="102" t="s">
        <v>1608</v>
      </c>
      <c r="G230" s="103" t="s">
        <v>20</v>
      </c>
      <c r="H230" s="103">
        <v>201612</v>
      </c>
      <c r="I230" s="104">
        <v>18841.66</v>
      </c>
      <c r="J230" s="144">
        <f t="shared" si="12"/>
        <v>5</v>
      </c>
      <c r="K230" s="155">
        <v>1.4833299999999999E-3</v>
      </c>
      <c r="L230" s="154">
        <f t="shared" si="13"/>
        <v>139.74</v>
      </c>
      <c r="M230" s="154">
        <f t="shared" si="14"/>
        <v>335.38</v>
      </c>
      <c r="N230" s="145"/>
      <c r="O230" s="168" t="str">
        <f>VLOOKUP(C230,'New Wo Detailed Descr Rev'!$A$5:$D$287,4)</f>
        <v>Install ~455 Ft of 2 in PL MP main on Kansas Ave and 18th Street in Joplin. - Abandon ~384 Ft of 2 in ST MP main and 58 Ft of 3 in ST MP main at the above locations.  Total Service Tie Overs - 2.  ISRS - Replace due to CP 15-092.</v>
      </c>
    </row>
    <row r="231" spans="1:15" ht="15" customHeight="1">
      <c r="A231" s="102" t="s">
        <v>14</v>
      </c>
      <c r="B231" s="103" t="s">
        <v>1681</v>
      </c>
      <c r="C231" s="103" t="s">
        <v>2438</v>
      </c>
      <c r="D231" s="102" t="s">
        <v>2439</v>
      </c>
      <c r="E231" s="103" t="s">
        <v>260</v>
      </c>
      <c r="F231" s="102" t="s">
        <v>1608</v>
      </c>
      <c r="G231" s="103" t="s">
        <v>20</v>
      </c>
      <c r="H231" s="103">
        <v>201612</v>
      </c>
      <c r="I231" s="104">
        <v>130.94</v>
      </c>
      <c r="J231" s="144">
        <f t="shared" si="12"/>
        <v>5</v>
      </c>
      <c r="K231" s="148">
        <v>2.23333E-3</v>
      </c>
      <c r="L231" s="154">
        <f t="shared" si="13"/>
        <v>1.46</v>
      </c>
      <c r="M231" s="154">
        <f t="shared" si="14"/>
        <v>3.51</v>
      </c>
      <c r="N231" s="145"/>
      <c r="O231" s="168" t="str">
        <f>VLOOKUP(C231,'New Wo Detailed Descr Rev'!$A$5:$D$287,4)</f>
        <v>Install ~455 Ft of 2 in PL MP main on Kansas Ave and 18th Street in Joplin. - Abandon ~384 Ft of 2 in ST MP main and 58 Ft of 3 in ST MP main at the above locations.  Total Service Tie Overs - 2.  ISRS - Replace due to CP 15-092.</v>
      </c>
    </row>
    <row r="232" spans="1:15" ht="15" customHeight="1">
      <c r="A232" s="102" t="s">
        <v>626</v>
      </c>
      <c r="B232" s="103" t="s">
        <v>1681</v>
      </c>
      <c r="C232" s="103" t="s">
        <v>2442</v>
      </c>
      <c r="D232" s="102" t="s">
        <v>2443</v>
      </c>
      <c r="E232" s="103" t="s">
        <v>260</v>
      </c>
      <c r="F232" s="102" t="s">
        <v>1608</v>
      </c>
      <c r="G232" s="103" t="s">
        <v>20</v>
      </c>
      <c r="H232" s="103">
        <v>201612</v>
      </c>
      <c r="I232" s="104">
        <v>136272.18</v>
      </c>
      <c r="J232" s="144">
        <f t="shared" si="12"/>
        <v>5</v>
      </c>
      <c r="K232" s="155">
        <v>1.4833299999999999E-3</v>
      </c>
      <c r="L232" s="154">
        <f t="shared" si="13"/>
        <v>1010.68</v>
      </c>
      <c r="M232" s="154">
        <f t="shared" si="14"/>
        <v>2425.64</v>
      </c>
      <c r="N232" s="145"/>
      <c r="O232" s="168" t="str">
        <f>VLOOKUP(C232,'New Wo Detailed Descr Rev'!$A$5:$D$287,4)</f>
        <v>Install 1416 ft of 2 in PL IP main and 1332 Ft of 4 in PL IP main on 10th St, 11th St, Bond St, 9th St, Broadway St, and 13th St. - 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
    </row>
    <row r="233" spans="1:15" ht="15" customHeight="1">
      <c r="A233" s="102" t="s">
        <v>14</v>
      </c>
      <c r="B233" s="103" t="s">
        <v>1681</v>
      </c>
      <c r="C233" s="103" t="s">
        <v>2442</v>
      </c>
      <c r="D233" s="102" t="s">
        <v>2443</v>
      </c>
      <c r="E233" s="103" t="s">
        <v>260</v>
      </c>
      <c r="F233" s="102" t="s">
        <v>1608</v>
      </c>
      <c r="G233" s="103" t="s">
        <v>20</v>
      </c>
      <c r="H233" s="103">
        <v>201612</v>
      </c>
      <c r="I233" s="104">
        <v>8198.89</v>
      </c>
      <c r="J233" s="144">
        <f t="shared" si="12"/>
        <v>5</v>
      </c>
      <c r="K233" s="148">
        <v>2.23333E-3</v>
      </c>
      <c r="L233" s="154">
        <f t="shared" si="13"/>
        <v>91.55</v>
      </c>
      <c r="M233" s="154">
        <f t="shared" si="14"/>
        <v>219.73</v>
      </c>
      <c r="N233" s="145"/>
      <c r="O233" s="168" t="str">
        <f>VLOOKUP(C233,'New Wo Detailed Descr Rev'!$A$5:$D$287,4)</f>
        <v>Install 1416 ft of 2 in PL IP main and 1332 Ft of 4 in PL IP main on 10th St, 11th St, Bond St, 9th St, Broadway St, and 13th St. - 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
    </row>
    <row r="234" spans="1:15" ht="15" customHeight="1">
      <c r="A234" s="102" t="s">
        <v>626</v>
      </c>
      <c r="B234" s="103" t="s">
        <v>1681</v>
      </c>
      <c r="C234" s="103" t="s">
        <v>2448</v>
      </c>
      <c r="D234" s="102" t="s">
        <v>2449</v>
      </c>
      <c r="E234" s="103" t="s">
        <v>260</v>
      </c>
      <c r="F234" s="102" t="s">
        <v>1608</v>
      </c>
      <c r="G234" s="103" t="s">
        <v>20</v>
      </c>
      <c r="H234" s="103">
        <v>201612</v>
      </c>
      <c r="I234" s="104">
        <v>23096.26</v>
      </c>
      <c r="J234" s="144">
        <f t="shared" si="12"/>
        <v>5</v>
      </c>
      <c r="K234" s="155">
        <v>1.4833299999999999E-3</v>
      </c>
      <c r="L234" s="154">
        <f t="shared" si="13"/>
        <v>171.3</v>
      </c>
      <c r="M234" s="154">
        <f t="shared" si="14"/>
        <v>411.11</v>
      </c>
      <c r="N234" s="145"/>
      <c r="O234" s="168" t="str">
        <f>VLOOKUP(C234,'New Wo Detailed Descr Rev'!$A$5:$D$287,4)</f>
        <v>Install ~ 194 Ft of 2 in PL LP main on St Louis Ave and 5th St. - Abandon ~ 82 Ft of 2 in PL LP main, ~ 495 Ft of 2 in ST LP main at the above locations.  This main is being replaced due to CP deficiencies and as part of FY16 Bare Steel Replacement Program.</v>
      </c>
    </row>
    <row r="235" spans="1:15" ht="15" customHeight="1">
      <c r="A235" s="102" t="s">
        <v>14</v>
      </c>
      <c r="B235" s="103" t="s">
        <v>1681</v>
      </c>
      <c r="C235" s="103" t="s">
        <v>2448</v>
      </c>
      <c r="D235" s="102" t="s">
        <v>2449</v>
      </c>
      <c r="E235" s="103" t="s">
        <v>260</v>
      </c>
      <c r="F235" s="102" t="s">
        <v>1608</v>
      </c>
      <c r="G235" s="103" t="s">
        <v>20</v>
      </c>
      <c r="H235" s="103">
        <v>201612</v>
      </c>
      <c r="I235" s="104">
        <v>321.33</v>
      </c>
      <c r="J235" s="144">
        <f t="shared" si="12"/>
        <v>5</v>
      </c>
      <c r="K235" s="148">
        <v>2.23333E-3</v>
      </c>
      <c r="L235" s="154">
        <f t="shared" si="13"/>
        <v>3.59</v>
      </c>
      <c r="M235" s="154">
        <f t="shared" si="14"/>
        <v>8.61</v>
      </c>
      <c r="N235" s="145"/>
      <c r="O235" s="168" t="str">
        <f>VLOOKUP(C235,'New Wo Detailed Descr Rev'!$A$5:$D$287,4)</f>
        <v>Install ~ 194 Ft of 2 in PL LP main on St Louis Ave and 5th St. - Abandon ~ 82 Ft of 2 in PL LP main, ~ 495 Ft of 2 in ST LP main at the above locations.  This main is being replaced due to CP deficiencies and as part of FY16 Bare Steel Replacement Program.</v>
      </c>
    </row>
    <row r="236" spans="1:15" ht="15" customHeight="1">
      <c r="A236" s="102"/>
      <c r="B236" s="103"/>
      <c r="C236" s="103"/>
      <c r="D236" s="102"/>
      <c r="E236" s="103"/>
      <c r="F236" s="329" t="s">
        <v>2592</v>
      </c>
      <c r="G236" s="404"/>
      <c r="H236" s="404"/>
      <c r="I236" s="312">
        <f>SUM(I22:I235)</f>
        <v>1110206.83</v>
      </c>
      <c r="J236" s="405"/>
      <c r="K236" s="406"/>
      <c r="L236" s="312">
        <f>SUM(L22:L235)</f>
        <v>9407.7299999999977</v>
      </c>
      <c r="M236" s="312">
        <f>SUM(M22:M235)</f>
        <v>21624.249999999993</v>
      </c>
      <c r="N236" s="145"/>
      <c r="O236" s="168"/>
    </row>
    <row r="237" spans="1:15" ht="15" customHeight="1">
      <c r="A237" s="102"/>
      <c r="B237" s="103"/>
      <c r="C237" s="103"/>
      <c r="D237" s="102"/>
      <c r="E237" s="103"/>
      <c r="F237" s="102"/>
      <c r="G237" s="103"/>
      <c r="H237" s="103"/>
      <c r="I237" s="104"/>
      <c r="J237" s="144"/>
      <c r="K237" s="148"/>
      <c r="L237" s="154"/>
      <c r="M237" s="154"/>
      <c r="N237" s="145"/>
      <c r="O237" s="168"/>
    </row>
    <row r="238" spans="1:15" ht="15" customHeight="1">
      <c r="A238" s="102" t="s">
        <v>626</v>
      </c>
      <c r="B238" s="103" t="s">
        <v>1620</v>
      </c>
      <c r="C238" s="103" t="s">
        <v>1621</v>
      </c>
      <c r="D238" s="102" t="s">
        <v>1622</v>
      </c>
      <c r="E238" s="103" t="s">
        <v>497</v>
      </c>
      <c r="F238" s="102" t="s">
        <v>26</v>
      </c>
      <c r="G238" s="103" t="s">
        <v>20</v>
      </c>
      <c r="H238" s="103">
        <v>201612</v>
      </c>
      <c r="I238" s="104">
        <v>-2869.94</v>
      </c>
      <c r="J238" s="144">
        <f>HLOOKUP(H238,$Q$2:$W$3,2)</f>
        <v>5</v>
      </c>
      <c r="K238" s="155">
        <v>1.4833299999999999E-3</v>
      </c>
      <c r="L238" s="154">
        <f>ROUND(I238*J238*K238,2)</f>
        <v>-21.29</v>
      </c>
      <c r="M238" s="154">
        <f>ROUND(I238*K238*12,2)</f>
        <v>-51.08</v>
      </c>
      <c r="N238" s="145"/>
      <c r="O238" s="168" t="str">
        <f>VLOOKUP(C238,'New Wo Detailed Descr Rev'!$A$5:$D$287,4)</f>
        <v>12th St and Geneva Ave PBS Replacement: Joplin: Replace Bare Steel Main - 3760 Safety Related (34-394) - 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239" spans="1:15" ht="15" customHeight="1">
      <c r="A239" s="102" t="s">
        <v>626</v>
      </c>
      <c r="B239" s="103" t="s">
        <v>2042</v>
      </c>
      <c r="C239" s="103" t="s">
        <v>2043</v>
      </c>
      <c r="D239" s="102" t="s">
        <v>2044</v>
      </c>
      <c r="E239" s="103" t="s">
        <v>497</v>
      </c>
      <c r="F239" s="102" t="s">
        <v>26</v>
      </c>
      <c r="G239" s="103" t="s">
        <v>20</v>
      </c>
      <c r="H239" s="103">
        <v>201611</v>
      </c>
      <c r="I239" s="104">
        <v>-1904.41</v>
      </c>
      <c r="J239" s="144">
        <f>HLOOKUP(H239,$Q$2:$W$3,2)</f>
        <v>6</v>
      </c>
      <c r="K239" s="155">
        <v>1.4833299999999999E-3</v>
      </c>
      <c r="L239" s="154">
        <f>ROUND(I239*J239*K239,2)</f>
        <v>-16.95</v>
      </c>
      <c r="M239" s="154">
        <f>ROUND(I239*K239*12,2)</f>
        <v>-33.9</v>
      </c>
      <c r="N239" s="145"/>
      <c r="O239" s="168" t="str">
        <f>VLOOKUP(C239,'New Wo Detailed Descr Rev'!$A$5:$D$287,4)</f>
        <v>8th St and Virginia Ave 3in PBS Main Replacement: Joplin: Replace Bare Steel Main - 3760 Safety Related (34-394) - 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240" spans="1:15" ht="15" customHeight="1">
      <c r="A240" s="102" t="s">
        <v>626</v>
      </c>
      <c r="B240" s="103" t="s">
        <v>2042</v>
      </c>
      <c r="C240" s="103" t="s">
        <v>2043</v>
      </c>
      <c r="D240" s="102" t="s">
        <v>2044</v>
      </c>
      <c r="E240" s="103" t="s">
        <v>497</v>
      </c>
      <c r="F240" s="102" t="s">
        <v>26</v>
      </c>
      <c r="G240" s="103" t="s">
        <v>20</v>
      </c>
      <c r="H240" s="103">
        <v>201612</v>
      </c>
      <c r="I240" s="104">
        <v>1530.72</v>
      </c>
      <c r="J240" s="144">
        <f>HLOOKUP(H240,$Q$2:$W$3,2)</f>
        <v>5</v>
      </c>
      <c r="K240" s="155">
        <v>1.4833299999999999E-3</v>
      </c>
      <c r="L240" s="154">
        <f>ROUND(I240*J240*K240,2)</f>
        <v>11.35</v>
      </c>
      <c r="M240" s="154">
        <f>ROUND(I240*K240*12,2)</f>
        <v>27.25</v>
      </c>
      <c r="N240" s="145"/>
      <c r="O240" s="168" t="str">
        <f>VLOOKUP(C240,'New Wo Detailed Descr Rev'!$A$5:$D$287,4)</f>
        <v>8th St and Virginia Ave 3in PBS Main Replacement: Joplin: Replace Bare Steel Main - 3760 Safety Related (34-394) - 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241" spans="1:15" ht="15" customHeight="1">
      <c r="A241" s="102" t="s">
        <v>21</v>
      </c>
      <c r="B241" s="103" t="s">
        <v>2060</v>
      </c>
      <c r="C241" s="103" t="s">
        <v>2061</v>
      </c>
      <c r="D241" s="102" t="s">
        <v>2062</v>
      </c>
      <c r="E241" s="103" t="s">
        <v>156</v>
      </c>
      <c r="F241" s="102" t="s">
        <v>26</v>
      </c>
      <c r="G241" s="103" t="s">
        <v>20</v>
      </c>
      <c r="H241" s="103">
        <v>201611</v>
      </c>
      <c r="I241" s="104">
        <v>114794.17</v>
      </c>
      <c r="J241" s="144">
        <f>HLOOKUP(H241,$Q$2:$W$3,2)</f>
        <v>6</v>
      </c>
      <c r="K241" s="155">
        <v>1.4833299999999999E-3</v>
      </c>
      <c r="L241" s="154">
        <f>ROUND(I241*J241*K241,2)</f>
        <v>1021.67</v>
      </c>
      <c r="M241" s="154">
        <f>ROUND(I241*K241*12,2)</f>
        <v>2043.33</v>
      </c>
      <c r="N241" s="145"/>
      <c r="O241" s="168" t="str">
        <f>VLOOKUP(C241,'New Wo Detailed Descr Rev'!$A$5:$D$287,4)</f>
        <v>Grandview Repl Phase 4: Grandview: Replace Bare Steel Main - 3760 Safety Related (34-394) - 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242" spans="1:15" ht="15" customHeight="1">
      <c r="A242" s="102" t="s">
        <v>626</v>
      </c>
      <c r="B242" s="103" t="s">
        <v>2060</v>
      </c>
      <c r="C242" s="103" t="s">
        <v>2061</v>
      </c>
      <c r="D242" s="102" t="s">
        <v>2062</v>
      </c>
      <c r="E242" s="103" t="s">
        <v>156</v>
      </c>
      <c r="F242" s="102" t="s">
        <v>26</v>
      </c>
      <c r="G242" s="103" t="s">
        <v>20</v>
      </c>
      <c r="H242" s="103">
        <v>201611</v>
      </c>
      <c r="I242" s="104">
        <v>-114794.17</v>
      </c>
      <c r="J242" s="144">
        <f>HLOOKUP(H242,$Q$2:$W$3,2)</f>
        <v>6</v>
      </c>
      <c r="K242" s="155">
        <v>1.4833299999999999E-3</v>
      </c>
      <c r="L242" s="154">
        <f>ROUND(I242*J242*K242,2)</f>
        <v>-1021.67</v>
      </c>
      <c r="M242" s="154">
        <f>ROUND(I242*K242*12,2)</f>
        <v>-2043.33</v>
      </c>
      <c r="N242" s="145"/>
      <c r="O242" s="168" t="str">
        <f>VLOOKUP(C242,'New Wo Detailed Descr Rev'!$A$5:$D$287,4)</f>
        <v>Grandview Repl Phase 4: Grandview: Replace Bare Steel Main - 3760 Safety Related (34-394) - 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243" spans="1:15" ht="15" customHeight="1">
      <c r="A243" s="102"/>
      <c r="B243" s="103"/>
      <c r="C243" s="103"/>
      <c r="D243" s="102"/>
      <c r="E243" s="103"/>
      <c r="F243" s="329" t="s">
        <v>2593</v>
      </c>
      <c r="G243" s="404"/>
      <c r="H243" s="404"/>
      <c r="I243" s="312">
        <f>SUM(I238:I242)</f>
        <v>-3243.6300000000047</v>
      </c>
      <c r="J243" s="405"/>
      <c r="K243" s="407"/>
      <c r="L243" s="312">
        <f>SUM(L238:L242)</f>
        <v>-26.889999999999986</v>
      </c>
      <c r="M243" s="312">
        <f>SUM(M238:M242)</f>
        <v>-57.730000000000018</v>
      </c>
      <c r="N243" s="145"/>
      <c r="O243" s="168"/>
    </row>
    <row r="244" spans="1:15" ht="15" customHeight="1">
      <c r="A244" s="102"/>
      <c r="B244" s="103"/>
      <c r="C244" s="103"/>
      <c r="D244" s="102"/>
      <c r="E244" s="103"/>
      <c r="F244" s="102"/>
      <c r="G244" s="103"/>
      <c r="H244" s="103"/>
      <c r="I244" s="104"/>
      <c r="J244" s="144"/>
      <c r="K244" s="155"/>
      <c r="L244" s="154"/>
      <c r="M244" s="154"/>
      <c r="N244" s="145"/>
      <c r="O244" s="168"/>
    </row>
    <row r="245" spans="1:15" ht="15" customHeight="1">
      <c r="A245" s="102" t="s">
        <v>626</v>
      </c>
      <c r="B245" s="103" t="s">
        <v>2036</v>
      </c>
      <c r="C245" s="103" t="s">
        <v>2037</v>
      </c>
      <c r="D245" s="102" t="s">
        <v>2038</v>
      </c>
      <c r="E245" s="103" t="s">
        <v>160</v>
      </c>
      <c r="F245" s="102" t="s">
        <v>19</v>
      </c>
      <c r="G245" s="103" t="s">
        <v>20</v>
      </c>
      <c r="H245" s="103">
        <v>201611</v>
      </c>
      <c r="I245" s="104">
        <v>-1155.7</v>
      </c>
      <c r="J245" s="144">
        <f>HLOOKUP(H245,$Q$2:$W$3,2)</f>
        <v>6</v>
      </c>
      <c r="K245" s="155">
        <v>1.4833299999999999E-3</v>
      </c>
      <c r="L245" s="154">
        <f>ROUND(I245*J245*K245,2)</f>
        <v>-10.29</v>
      </c>
      <c r="M245" s="154">
        <f>ROUND(I245*K245*12,2)</f>
        <v>-20.57</v>
      </c>
      <c r="N245" s="145"/>
      <c r="O245" s="168" t="str">
        <f>VLOOKUP(C245,'New Wo Detailed Descr Rev'!$A$5:$D$287,4)</f>
        <v>PCS Main Replacement: Joplin: Replace Coated Steel &amp; Plastic Main - 3760 (34-396) - Approved by: Michael Fornelli on 01/26/2015,  Replace 259' of 3" PCS (WO 744151) with 260' 4" PE due to cathodic protections issues.  Project Location: 31st St. between Main St. &amp; Virginia Ave.  System: C-2.  MOP: 1.5 PSIG.  MAOP: 1.5 PSIG.  Design: 58 PSIG.  Test: 100 PSIG.  Price Per Foot: $66.22.</v>
      </c>
    </row>
    <row r="246" spans="1:15" ht="15" customHeight="1">
      <c r="A246" s="102" t="s">
        <v>626</v>
      </c>
      <c r="B246" s="103" t="s">
        <v>2036</v>
      </c>
      <c r="C246" s="103" t="s">
        <v>2037</v>
      </c>
      <c r="D246" s="102" t="s">
        <v>2038</v>
      </c>
      <c r="E246" s="103" t="s">
        <v>160</v>
      </c>
      <c r="F246" s="102" t="s">
        <v>19</v>
      </c>
      <c r="G246" s="103" t="s">
        <v>20</v>
      </c>
      <c r="H246" s="103">
        <v>201612</v>
      </c>
      <c r="I246" s="104">
        <v>532</v>
      </c>
      <c r="J246" s="144">
        <f>HLOOKUP(H246,$Q$2:$W$3,2)</f>
        <v>5</v>
      </c>
      <c r="K246" s="155">
        <v>1.4833299999999999E-3</v>
      </c>
      <c r="L246" s="154">
        <f>ROUND(I246*J246*K246,2)</f>
        <v>3.95</v>
      </c>
      <c r="M246" s="154">
        <f>ROUND(I246*K246*12,2)</f>
        <v>9.4700000000000006</v>
      </c>
      <c r="N246" s="145"/>
      <c r="O246" s="168" t="str">
        <f>VLOOKUP(C246,'New Wo Detailed Descr Rev'!$A$5:$D$287,4)</f>
        <v>PCS Main Replacement: Joplin: Replace Coated Steel &amp; Plastic Main - 3760 (34-396) - Approved by: Michael Fornelli on 01/26/2015,  Replace 259' of 3" PCS (WO 744151) with 260' 4" PE due to cathodic protections issues.  Project Location: 31st St. between Main St. &amp; Virginia Ave.  System: C-2.  MOP: 1.5 PSIG.  MAOP: 1.5 PSIG.  Design: 58 PSIG.  Test: 100 PSIG.  Price Per Foot: $66.22.</v>
      </c>
    </row>
    <row r="247" spans="1:15" ht="15" customHeight="1">
      <c r="A247" s="102"/>
      <c r="B247" s="103"/>
      <c r="C247" s="103"/>
      <c r="D247" s="102"/>
      <c r="E247" s="103"/>
      <c r="F247" s="329" t="s">
        <v>2594</v>
      </c>
      <c r="G247" s="404"/>
      <c r="H247" s="404"/>
      <c r="I247" s="312">
        <f>SUM(I245:I246)</f>
        <v>-623.70000000000005</v>
      </c>
      <c r="J247" s="405"/>
      <c r="K247" s="407"/>
      <c r="L247" s="312">
        <f>SUM(L245:L246)</f>
        <v>-6.339999999999999</v>
      </c>
      <c r="M247" s="312">
        <f>SUM(M245:M246)</f>
        <v>-11.1</v>
      </c>
      <c r="N247" s="145"/>
      <c r="O247" s="168"/>
    </row>
    <row r="248" spans="1:15" ht="15" customHeight="1">
      <c r="A248" s="102"/>
      <c r="B248" s="103"/>
      <c r="C248" s="103"/>
      <c r="D248" s="102"/>
      <c r="E248" s="103"/>
      <c r="F248" s="102"/>
      <c r="G248" s="103"/>
      <c r="H248" s="103"/>
      <c r="I248" s="104"/>
      <c r="J248" s="144"/>
      <c r="K248" s="155"/>
      <c r="L248" s="154"/>
      <c r="M248" s="154"/>
      <c r="N248" s="145"/>
      <c r="O248" s="168"/>
    </row>
    <row r="249" spans="1:15" ht="15" customHeight="1">
      <c r="A249" s="102" t="s">
        <v>14</v>
      </c>
      <c r="B249" s="103" t="s">
        <v>30</v>
      </c>
      <c r="C249" s="103" t="s">
        <v>31</v>
      </c>
      <c r="D249" s="102" t="s">
        <v>32</v>
      </c>
      <c r="E249" s="103" t="s">
        <v>33</v>
      </c>
      <c r="F249" s="102" t="s">
        <v>34</v>
      </c>
      <c r="G249" s="103" t="s">
        <v>20</v>
      </c>
      <c r="H249" s="103">
        <v>201611</v>
      </c>
      <c r="I249" s="104">
        <v>5755.05</v>
      </c>
      <c r="J249" s="144">
        <f t="shared" ref="J249:J258" si="15">HLOOKUP(H249,$Q$2:$W$3,2)</f>
        <v>6</v>
      </c>
      <c r="K249" s="148">
        <v>2.23333E-3</v>
      </c>
      <c r="L249" s="154">
        <f t="shared" ref="L249:L258" si="16">ROUND(I249*J249*K249,2)</f>
        <v>77.12</v>
      </c>
      <c r="M249" s="154">
        <f t="shared" ref="M249:M258" si="17">ROUND(I249*K249*12,2)</f>
        <v>154.24</v>
      </c>
      <c r="N249" s="145"/>
      <c r="O249" s="168" t="str">
        <f>VLOOKUP(C249,'New Wo Detailed Descr Rev'!$A$5:$D$287,4)</f>
        <v>BWO SERVICE LINE LEAK RESPONSIVE COMP - Service/Yard Line Replacement (SLRP): Company Crew.  Immediate response - replacement single unprotected steel or copper  (Kansas City - Central Region)</v>
      </c>
    </row>
    <row r="250" spans="1:15" ht="15" customHeight="1">
      <c r="A250" s="102" t="s">
        <v>14</v>
      </c>
      <c r="B250" s="103" t="s">
        <v>30</v>
      </c>
      <c r="C250" s="103" t="s">
        <v>31</v>
      </c>
      <c r="D250" s="102" t="s">
        <v>32</v>
      </c>
      <c r="E250" s="103" t="s">
        <v>33</v>
      </c>
      <c r="F250" s="102" t="s">
        <v>34</v>
      </c>
      <c r="G250" s="103" t="s">
        <v>20</v>
      </c>
      <c r="H250" s="103">
        <v>201612</v>
      </c>
      <c r="I250" s="104">
        <v>8530.15</v>
      </c>
      <c r="J250" s="144">
        <f t="shared" si="15"/>
        <v>5</v>
      </c>
      <c r="K250" s="148">
        <v>2.23333E-3</v>
      </c>
      <c r="L250" s="154">
        <f t="shared" si="16"/>
        <v>95.25</v>
      </c>
      <c r="M250" s="154">
        <f t="shared" si="17"/>
        <v>228.61</v>
      </c>
      <c r="N250" s="145"/>
      <c r="O250" s="168" t="str">
        <f>VLOOKUP(C250,'New Wo Detailed Descr Rev'!$A$5:$D$287,4)</f>
        <v>BWO SERVICE LINE LEAK RESPONSIVE COMP - Service/Yard Line Replacement (SLRP): Company Crew.  Immediate response - replacement single unprotected steel or copper  (Kansas City - Central Region)</v>
      </c>
    </row>
    <row r="251" spans="1:15" ht="15" customHeight="1">
      <c r="A251" s="102" t="s">
        <v>14</v>
      </c>
      <c r="B251" s="103" t="s">
        <v>325</v>
      </c>
      <c r="C251" s="103" t="s">
        <v>326</v>
      </c>
      <c r="D251" s="102" t="s">
        <v>327</v>
      </c>
      <c r="E251" s="103" t="s">
        <v>328</v>
      </c>
      <c r="F251" s="102" t="s">
        <v>58</v>
      </c>
      <c r="G251" s="103" t="s">
        <v>20</v>
      </c>
      <c r="H251" s="103">
        <v>201611</v>
      </c>
      <c r="I251" s="104">
        <v>365.01</v>
      </c>
      <c r="J251" s="144">
        <f t="shared" si="15"/>
        <v>6</v>
      </c>
      <c r="K251" s="148">
        <v>2.23333E-3</v>
      </c>
      <c r="L251" s="154">
        <f t="shared" si="16"/>
        <v>4.8899999999999997</v>
      </c>
      <c r="M251" s="154">
        <f t="shared" si="17"/>
        <v>9.7799999999999994</v>
      </c>
      <c r="N251" s="145"/>
      <c r="O251" s="168" t="str">
        <f>VLOOKUP(C251,'New Wo Detailed Descr Rev'!$A$5:$D$287,4)</f>
        <v>BWO MATERIAL SERV LINE REPL COMP - Service/Yard Line Replacement (SLRP): Company Crew.  Service/yard line replacement - Material Charges Only  (Lee's Summit - East Region)</v>
      </c>
    </row>
    <row r="252" spans="1:15" ht="15" customHeight="1">
      <c r="A252" s="102" t="s">
        <v>14</v>
      </c>
      <c r="B252" s="103" t="s">
        <v>325</v>
      </c>
      <c r="C252" s="103" t="s">
        <v>326</v>
      </c>
      <c r="D252" s="102" t="s">
        <v>327</v>
      </c>
      <c r="E252" s="103" t="s">
        <v>328</v>
      </c>
      <c r="F252" s="102" t="s">
        <v>58</v>
      </c>
      <c r="G252" s="103" t="s">
        <v>20</v>
      </c>
      <c r="H252" s="103">
        <v>201612</v>
      </c>
      <c r="I252" s="104">
        <v>9.7200000000000006</v>
      </c>
      <c r="J252" s="144">
        <f t="shared" si="15"/>
        <v>5</v>
      </c>
      <c r="K252" s="148">
        <v>2.23333E-3</v>
      </c>
      <c r="L252" s="154">
        <f t="shared" si="16"/>
        <v>0.11</v>
      </c>
      <c r="M252" s="154">
        <f t="shared" si="17"/>
        <v>0.26</v>
      </c>
      <c r="N252" s="145"/>
      <c r="O252" s="168" t="str">
        <f>VLOOKUP(C252,'New Wo Detailed Descr Rev'!$A$5:$D$287,4)</f>
        <v>BWO MATERIAL SERV LINE REPL COMP - Service/Yard Line Replacement (SLRP): Company Crew.  Service/yard line replacement - Material Charges Only  (Lee's Summit - East Region)</v>
      </c>
    </row>
    <row r="253" spans="1:15" ht="15" customHeight="1">
      <c r="A253" s="102" t="s">
        <v>14</v>
      </c>
      <c r="B253" s="103" t="s">
        <v>481</v>
      </c>
      <c r="C253" s="103" t="s">
        <v>482</v>
      </c>
      <c r="D253" s="102" t="s">
        <v>483</v>
      </c>
      <c r="E253" s="103" t="s">
        <v>484</v>
      </c>
      <c r="F253" s="102" t="s">
        <v>190</v>
      </c>
      <c r="G253" s="103" t="s">
        <v>20</v>
      </c>
      <c r="H253" s="103">
        <v>201611</v>
      </c>
      <c r="I253" s="104">
        <v>-11.35</v>
      </c>
      <c r="J253" s="144">
        <f t="shared" si="15"/>
        <v>6</v>
      </c>
      <c r="K253" s="148">
        <v>2.23333E-3</v>
      </c>
      <c r="L253" s="154">
        <f t="shared" si="16"/>
        <v>-0.15</v>
      </c>
      <c r="M253" s="154">
        <f t="shared" si="17"/>
        <v>-0.3</v>
      </c>
      <c r="N253" s="145"/>
      <c r="O253" s="168" t="str">
        <f>VLOOKUP(C253,'New Wo Detailed Descr Rev'!$A$5:$D$287,4)</f>
        <v>BWO SERVICE LINE MATERIAL CONTRACTOR SLRP - Service/Yard Line Replacement (SLRP): Contract Crew.  Service/yard line replacement - Material Charges Only  (Kansas City - Central Region)</v>
      </c>
    </row>
    <row r="254" spans="1:15" ht="15" customHeight="1">
      <c r="A254" s="102" t="s">
        <v>14</v>
      </c>
      <c r="B254" s="103" t="s">
        <v>481</v>
      </c>
      <c r="C254" s="103" t="s">
        <v>482</v>
      </c>
      <c r="D254" s="102" t="s">
        <v>483</v>
      </c>
      <c r="E254" s="103" t="s">
        <v>484</v>
      </c>
      <c r="F254" s="102" t="s">
        <v>190</v>
      </c>
      <c r="G254" s="103" t="s">
        <v>20</v>
      </c>
      <c r="H254" s="103">
        <v>201612</v>
      </c>
      <c r="I254" s="104">
        <v>8.76</v>
      </c>
      <c r="J254" s="144">
        <f t="shared" si="15"/>
        <v>5</v>
      </c>
      <c r="K254" s="148">
        <v>2.23333E-3</v>
      </c>
      <c r="L254" s="154">
        <f t="shared" si="16"/>
        <v>0.1</v>
      </c>
      <c r="M254" s="154">
        <f t="shared" si="17"/>
        <v>0.23</v>
      </c>
      <c r="N254" s="145"/>
      <c r="O254" s="168" t="str">
        <f>VLOOKUP(C254,'New Wo Detailed Descr Rev'!$A$5:$D$287,4)</f>
        <v>BWO SERVICE LINE MATERIAL CONTRACTOR SLRP - Service/Yard Line Replacement (SLRP): Contract Crew.  Service/yard line replacement - Material Charges Only  (Kansas City - Central Region)</v>
      </c>
    </row>
    <row r="255" spans="1:15" ht="15" customHeight="1">
      <c r="A255" s="102" t="s">
        <v>14</v>
      </c>
      <c r="B255" s="103" t="s">
        <v>236</v>
      </c>
      <c r="C255" s="103" t="s">
        <v>237</v>
      </c>
      <c r="D255" s="102" t="s">
        <v>188</v>
      </c>
      <c r="E255" s="103" t="s">
        <v>238</v>
      </c>
      <c r="F255" s="102" t="s">
        <v>190</v>
      </c>
      <c r="G255" s="103" t="s">
        <v>20</v>
      </c>
      <c r="H255" s="103">
        <v>201611</v>
      </c>
      <c r="I255" s="104">
        <v>126706.33</v>
      </c>
      <c r="J255" s="144">
        <f t="shared" si="15"/>
        <v>6</v>
      </c>
      <c r="K255" s="148">
        <v>2.23333E-3</v>
      </c>
      <c r="L255" s="154">
        <f t="shared" si="16"/>
        <v>1697.86</v>
      </c>
      <c r="M255" s="154">
        <f t="shared" si="17"/>
        <v>3395.72</v>
      </c>
      <c r="N255" s="145"/>
      <c r="O255" s="168" t="str">
        <f>VLOOKUP(C255,'New Wo Detailed Descr Rev'!$A$5:$D$287,4)</f>
        <v>BWO MATERIAL SERV LINE REPL CONT - Service/Yard Line Replacement (SLRP): Contract Crew.  Service/yard line replacement - Material Charges Only  (Lee's Summit - East Region)</v>
      </c>
    </row>
    <row r="256" spans="1:15" ht="15" customHeight="1">
      <c r="A256" s="102" t="s">
        <v>14</v>
      </c>
      <c r="B256" s="103" t="s">
        <v>236</v>
      </c>
      <c r="C256" s="103" t="s">
        <v>237</v>
      </c>
      <c r="D256" s="102" t="s">
        <v>188</v>
      </c>
      <c r="E256" s="103" t="s">
        <v>238</v>
      </c>
      <c r="F256" s="102" t="s">
        <v>190</v>
      </c>
      <c r="G256" s="103" t="s">
        <v>20</v>
      </c>
      <c r="H256" s="103">
        <v>201612</v>
      </c>
      <c r="I256" s="104">
        <v>64180.19</v>
      </c>
      <c r="J256" s="144">
        <f t="shared" si="15"/>
        <v>5</v>
      </c>
      <c r="K256" s="148">
        <v>2.23333E-3</v>
      </c>
      <c r="L256" s="154">
        <f t="shared" si="16"/>
        <v>716.68</v>
      </c>
      <c r="M256" s="154">
        <f t="shared" si="17"/>
        <v>1720.03</v>
      </c>
      <c r="N256" s="145"/>
      <c r="O256" s="168" t="str">
        <f>VLOOKUP(C256,'New Wo Detailed Descr Rev'!$A$5:$D$287,4)</f>
        <v>BWO MATERIAL SERV LINE REPL CONT - Service/Yard Line Replacement (SLRP): Contract Crew.  Service/yard line replacement - Material Charges Only  (Lee's Summit - East Region)</v>
      </c>
    </row>
    <row r="257" spans="1:15" ht="15" customHeight="1">
      <c r="A257" s="102" t="s">
        <v>14</v>
      </c>
      <c r="B257" s="103" t="s">
        <v>419</v>
      </c>
      <c r="C257" s="103" t="s">
        <v>420</v>
      </c>
      <c r="D257" s="102" t="s">
        <v>50</v>
      </c>
      <c r="E257" s="103" t="s">
        <v>421</v>
      </c>
      <c r="F257" s="102" t="s">
        <v>52</v>
      </c>
      <c r="G257" s="103" t="s">
        <v>20</v>
      </c>
      <c r="H257" s="103">
        <v>201611</v>
      </c>
      <c r="I257" s="104">
        <v>-35.36</v>
      </c>
      <c r="J257" s="144">
        <f t="shared" si="15"/>
        <v>6</v>
      </c>
      <c r="K257" s="148">
        <v>2.23333E-3</v>
      </c>
      <c r="L257" s="154">
        <f t="shared" si="16"/>
        <v>-0.47</v>
      </c>
      <c r="M257" s="154">
        <f t="shared" si="17"/>
        <v>-0.95</v>
      </c>
      <c r="N257" s="145"/>
      <c r="O257" s="168" t="str">
        <f>VLOOKUP(C257,'New Wo Detailed Descr Rev'!$A$5:$D$287,4)</f>
        <v>BWO SERVICE LINE REPL MODIFIED BLOCK CONT - Service/Yard Line Replacement (SLRP): Contract Crew.  Modified Block by Block - Planned replacement of unprotected steel or copper  (Joplin - South Region)</v>
      </c>
    </row>
    <row r="258" spans="1:15" ht="15" customHeight="1">
      <c r="A258" s="102" t="s">
        <v>14</v>
      </c>
      <c r="B258" s="103" t="s">
        <v>419</v>
      </c>
      <c r="C258" s="103" t="s">
        <v>420</v>
      </c>
      <c r="D258" s="102" t="s">
        <v>50</v>
      </c>
      <c r="E258" s="103" t="s">
        <v>421</v>
      </c>
      <c r="F258" s="102" t="s">
        <v>52</v>
      </c>
      <c r="G258" s="103" t="s">
        <v>20</v>
      </c>
      <c r="H258" s="103">
        <v>201612</v>
      </c>
      <c r="I258" s="104">
        <v>27.26</v>
      </c>
      <c r="J258" s="144">
        <f t="shared" si="15"/>
        <v>5</v>
      </c>
      <c r="K258" s="148">
        <v>2.23333E-3</v>
      </c>
      <c r="L258" s="154">
        <f t="shared" si="16"/>
        <v>0.3</v>
      </c>
      <c r="M258" s="154">
        <f t="shared" si="17"/>
        <v>0.73</v>
      </c>
      <c r="N258" s="145"/>
      <c r="O258" s="168" t="str">
        <f>VLOOKUP(C258,'New Wo Detailed Descr Rev'!$A$5:$D$287,4)</f>
        <v>BWO SERVICE LINE REPL MODIFIED BLOCK CONT - Service/Yard Line Replacement (SLRP): Contract Crew.  Modified Block by Block - Planned replacement of unprotected steel or copper  (Joplin - South Region)</v>
      </c>
    </row>
    <row r="259" spans="1:15" ht="15" customHeight="1">
      <c r="A259" s="102"/>
      <c r="B259" s="103"/>
      <c r="C259" s="103"/>
      <c r="D259" s="102"/>
      <c r="E259" s="103"/>
      <c r="F259" s="329" t="s">
        <v>2595</v>
      </c>
      <c r="G259" s="404"/>
      <c r="H259" s="404"/>
      <c r="I259" s="312">
        <f>SUM(I249:I258)</f>
        <v>205535.76000000004</v>
      </c>
      <c r="J259" s="405"/>
      <c r="K259" s="406"/>
      <c r="L259" s="312">
        <f>SUM(L249:L258)</f>
        <v>2591.69</v>
      </c>
      <c r="M259" s="312">
        <f>SUM(M249:M258)</f>
        <v>5508.3499999999995</v>
      </c>
      <c r="N259" s="145"/>
      <c r="O259" s="168"/>
    </row>
    <row r="260" spans="1:15" ht="15" customHeight="1">
      <c r="A260" s="102"/>
      <c r="B260" s="103"/>
      <c r="C260" s="103"/>
      <c r="D260" s="102"/>
      <c r="E260" s="103"/>
      <c r="F260" s="102"/>
      <c r="G260" s="103"/>
      <c r="H260" s="103"/>
      <c r="I260" s="104"/>
      <c r="J260" s="144"/>
      <c r="K260" s="148"/>
      <c r="L260" s="154"/>
      <c r="M260" s="154"/>
      <c r="N260" s="145"/>
      <c r="O260" s="168"/>
    </row>
    <row r="261" spans="1:15" ht="15" customHeight="1">
      <c r="A261" s="102" t="s">
        <v>21</v>
      </c>
      <c r="B261" s="103" t="s">
        <v>1664</v>
      </c>
      <c r="C261" s="103" t="s">
        <v>1665</v>
      </c>
      <c r="D261" s="102" t="s">
        <v>1666</v>
      </c>
      <c r="E261" s="103" t="s">
        <v>87</v>
      </c>
      <c r="F261" s="102" t="s">
        <v>1603</v>
      </c>
      <c r="G261" s="103" t="s">
        <v>20</v>
      </c>
      <c r="H261" s="103">
        <v>201611</v>
      </c>
      <c r="I261" s="104">
        <v>32355.61</v>
      </c>
      <c r="J261" s="144">
        <f t="shared" ref="J261:J299" si="18">HLOOKUP(H261,$Q$2:$W$3,2)</f>
        <v>6</v>
      </c>
      <c r="K261" s="155">
        <v>1.4833299999999999E-3</v>
      </c>
      <c r="L261" s="154">
        <f t="shared" ref="L261:L299" si="19">ROUND(I261*J261*K261,2)</f>
        <v>287.95999999999998</v>
      </c>
      <c r="M261" s="154">
        <f t="shared" ref="M261:M299" si="20">ROUND(I261*K261*12,2)</f>
        <v>575.92999999999995</v>
      </c>
      <c r="N261" s="145"/>
      <c r="O261" s="168" t="str">
        <f>VLOOKUP(C261,'New Wo Detailed Descr Rev'!$A$5:$D$287,4)</f>
        <v>4in PCS Relocation: Kansas City-Rural: Relocate for Street &amp; Highway-Public Improvements (44-388) - 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262" spans="1:15" ht="15" customHeight="1">
      <c r="A262" s="102" t="s">
        <v>21</v>
      </c>
      <c r="B262" s="103" t="s">
        <v>1964</v>
      </c>
      <c r="C262" s="103" t="s">
        <v>1965</v>
      </c>
      <c r="D262" s="102" t="s">
        <v>1966</v>
      </c>
      <c r="E262" s="103" t="s">
        <v>87</v>
      </c>
      <c r="F262" s="102" t="s">
        <v>1603</v>
      </c>
      <c r="G262" s="103" t="s">
        <v>20</v>
      </c>
      <c r="H262" s="103">
        <v>201612</v>
      </c>
      <c r="I262" s="104">
        <v>3252.36</v>
      </c>
      <c r="J262" s="144">
        <f t="shared" si="18"/>
        <v>5</v>
      </c>
      <c r="K262" s="155">
        <v>1.4833299999999999E-3</v>
      </c>
      <c r="L262" s="154">
        <f t="shared" si="19"/>
        <v>24.12</v>
      </c>
      <c r="M262" s="154">
        <f t="shared" si="20"/>
        <v>57.89</v>
      </c>
      <c r="N262" s="145"/>
      <c r="O262" s="168" t="str">
        <f>VLOOKUP(C262,'New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263" spans="1:15" ht="15" customHeight="1">
      <c r="A263" s="102" t="s">
        <v>626</v>
      </c>
      <c r="B263" s="103" t="s">
        <v>1964</v>
      </c>
      <c r="C263" s="103" t="s">
        <v>1965</v>
      </c>
      <c r="D263" s="102" t="s">
        <v>1966</v>
      </c>
      <c r="E263" s="103" t="s">
        <v>87</v>
      </c>
      <c r="F263" s="102" t="s">
        <v>1603</v>
      </c>
      <c r="G263" s="103" t="s">
        <v>20</v>
      </c>
      <c r="H263" s="103">
        <v>201612</v>
      </c>
      <c r="I263" s="104">
        <v>1830.85</v>
      </c>
      <c r="J263" s="144">
        <f t="shared" si="18"/>
        <v>5</v>
      </c>
      <c r="K263" s="155">
        <v>1.4833299999999999E-3</v>
      </c>
      <c r="L263" s="154">
        <f t="shared" si="19"/>
        <v>13.58</v>
      </c>
      <c r="M263" s="154">
        <f t="shared" si="20"/>
        <v>32.590000000000003</v>
      </c>
      <c r="N263" s="145"/>
      <c r="O263" s="168" t="str">
        <f>VLOOKUP(C263,'New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264" spans="1:15" ht="15" customHeight="1">
      <c r="A264" s="102" t="s">
        <v>127</v>
      </c>
      <c r="B264" s="103" t="s">
        <v>1964</v>
      </c>
      <c r="C264" s="103" t="s">
        <v>1965</v>
      </c>
      <c r="D264" s="102" t="s">
        <v>1966</v>
      </c>
      <c r="E264" s="103" t="s">
        <v>87</v>
      </c>
      <c r="F264" s="102" t="s">
        <v>1603</v>
      </c>
      <c r="G264" s="103" t="s">
        <v>20</v>
      </c>
      <c r="H264" s="103">
        <v>201612</v>
      </c>
      <c r="I264" s="104">
        <v>-5083.21</v>
      </c>
      <c r="J264" s="144">
        <f t="shared" si="18"/>
        <v>5</v>
      </c>
      <c r="K264" s="148">
        <v>2.3833299999999999E-3</v>
      </c>
      <c r="L264" s="147">
        <f t="shared" si="19"/>
        <v>-60.57</v>
      </c>
      <c r="M264" s="147">
        <f t="shared" si="20"/>
        <v>-145.38</v>
      </c>
      <c r="N264" s="145"/>
      <c r="O264" s="168" t="str">
        <f>VLOOKUP(C264,'New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265" spans="1:15" ht="15" customHeight="1">
      <c r="A265" s="102" t="s">
        <v>626</v>
      </c>
      <c r="B265" s="103" t="s">
        <v>1681</v>
      </c>
      <c r="C265" s="103" t="s">
        <v>2378</v>
      </c>
      <c r="D265" s="102" t="s">
        <v>2379</v>
      </c>
      <c r="E265" s="103" t="s">
        <v>87</v>
      </c>
      <c r="F265" s="102" t="s">
        <v>1603</v>
      </c>
      <c r="G265" s="103" t="s">
        <v>20</v>
      </c>
      <c r="H265" s="103">
        <v>201612</v>
      </c>
      <c r="I265" s="104">
        <v>3147.03</v>
      </c>
      <c r="J265" s="144">
        <f t="shared" si="18"/>
        <v>5</v>
      </c>
      <c r="K265" s="155">
        <v>1.4833299999999999E-3</v>
      </c>
      <c r="L265" s="154">
        <f t="shared" si="19"/>
        <v>23.34</v>
      </c>
      <c r="M265" s="154">
        <f t="shared" si="20"/>
        <v>56.02</v>
      </c>
      <c r="N265" s="145"/>
      <c r="O265" s="168" t="str">
        <f>VLOOKUP(C265,'New Wo Detailed Descr Rev'!$A$5:$D$287,4)</f>
        <v>Install 3356ft of 2in PE and 1596ft of 4in PE to replace existing CI main - Hwy 71 &amp; Gregory Grid Ph D. Abandon 682ft of 12in CI, 1483ft of 6in CI, 1938ft of 4in CI, and 158ft of 2in Bare STL. Strategic CI Replacement. - 15 Service Replacements, 13 Service upgrades, and 52 service tie overs</v>
      </c>
    </row>
    <row r="266" spans="1:15" ht="15" customHeight="1">
      <c r="A266" s="102" t="s">
        <v>14</v>
      </c>
      <c r="B266" s="103" t="s">
        <v>1681</v>
      </c>
      <c r="C266" s="103" t="s">
        <v>2378</v>
      </c>
      <c r="D266" s="102" t="s">
        <v>2379</v>
      </c>
      <c r="E266" s="103" t="s">
        <v>87</v>
      </c>
      <c r="F266" s="102" t="s">
        <v>1603</v>
      </c>
      <c r="G266" s="103" t="s">
        <v>20</v>
      </c>
      <c r="H266" s="103">
        <v>201612</v>
      </c>
      <c r="I266" s="104">
        <v>656.45</v>
      </c>
      <c r="J266" s="144">
        <f t="shared" si="18"/>
        <v>5</v>
      </c>
      <c r="K266" s="148">
        <v>2.23333E-3</v>
      </c>
      <c r="L266" s="154">
        <f t="shared" si="19"/>
        <v>7.33</v>
      </c>
      <c r="M266" s="154">
        <f t="shared" si="20"/>
        <v>17.59</v>
      </c>
      <c r="N266" s="145"/>
      <c r="O266" s="168" t="str">
        <f>VLOOKUP(C266,'New Wo Detailed Descr Rev'!$A$5:$D$287,4)</f>
        <v>Install 3356ft of 2in PE and 1596ft of 4in PE to replace existing CI main - Hwy 71 &amp; Gregory Grid Ph D. Abandon 682ft of 12in CI, 1483ft of 6in CI, 1938ft of 4in CI, and 158ft of 2in Bare STL. Strategic CI Replacement. - 15 Service Replacements, 13 Service upgrades, and 52 service tie overs</v>
      </c>
    </row>
    <row r="267" spans="1:15" ht="15" customHeight="1">
      <c r="A267" s="102" t="s">
        <v>626</v>
      </c>
      <c r="B267" s="103" t="s">
        <v>1681</v>
      </c>
      <c r="C267" s="103" t="s">
        <v>2402</v>
      </c>
      <c r="D267" s="102" t="s">
        <v>2403</v>
      </c>
      <c r="E267" s="103" t="s">
        <v>87</v>
      </c>
      <c r="F267" s="102" t="s">
        <v>1603</v>
      </c>
      <c r="G267" s="103" t="s">
        <v>20</v>
      </c>
      <c r="H267" s="103">
        <v>201611</v>
      </c>
      <c r="I267" s="104">
        <v>-2766.62</v>
      </c>
      <c r="J267" s="144">
        <f t="shared" si="18"/>
        <v>6</v>
      </c>
      <c r="K267" s="155">
        <v>1.4833299999999999E-3</v>
      </c>
      <c r="L267" s="154">
        <f t="shared" si="19"/>
        <v>-24.62</v>
      </c>
      <c r="M267" s="154">
        <f t="shared" si="20"/>
        <v>-49.25</v>
      </c>
      <c r="N267" s="145"/>
      <c r="O267" s="168" t="str">
        <f>VLOOKUP(C267,'New Wo Detailed Descr Rev'!$A$5:$D$287,4)</f>
        <v>Install 2320 ft of 2 in MP PE main, 886 ft of 4 in MP PE main and 1872 ft of 6 in MP PE main. Abandon 721 ft of 12 in MP CI main, 30 ft of 8 in LP CI main, 2858 ft of 6 in LP CI main, 807 ft of 4 in LP CI. - 0</v>
      </c>
    </row>
    <row r="268" spans="1:15" ht="15" customHeight="1">
      <c r="A268" s="102" t="s">
        <v>14</v>
      </c>
      <c r="B268" s="103" t="s">
        <v>1681</v>
      </c>
      <c r="C268" s="103" t="s">
        <v>2402</v>
      </c>
      <c r="D268" s="102" t="s">
        <v>2403</v>
      </c>
      <c r="E268" s="103" t="s">
        <v>87</v>
      </c>
      <c r="F268" s="102" t="s">
        <v>1603</v>
      </c>
      <c r="G268" s="103" t="s">
        <v>20</v>
      </c>
      <c r="H268" s="103">
        <v>201611</v>
      </c>
      <c r="I268" s="104">
        <v>-447.88</v>
      </c>
      <c r="J268" s="144">
        <f t="shared" si="18"/>
        <v>6</v>
      </c>
      <c r="K268" s="148">
        <v>2.23333E-3</v>
      </c>
      <c r="L268" s="154">
        <f t="shared" si="19"/>
        <v>-6</v>
      </c>
      <c r="M268" s="154">
        <f t="shared" si="20"/>
        <v>-12</v>
      </c>
      <c r="N268" s="145"/>
      <c r="O268" s="168" t="str">
        <f>VLOOKUP(C268,'New Wo Detailed Descr Rev'!$A$5:$D$287,4)</f>
        <v>Install 2320 ft of 2 in MP PE main, 886 ft of 4 in MP PE main and 1872 ft of 6 in MP PE main. Abandon 721 ft of 12 in MP CI main, 30 ft of 8 in LP CI main, 2858 ft of 6 in LP CI main, 807 ft of 4 in LP CI. - 0</v>
      </c>
    </row>
    <row r="269" spans="1:15" ht="15" customHeight="1">
      <c r="A269" s="102" t="s">
        <v>626</v>
      </c>
      <c r="B269" s="103" t="s">
        <v>1681</v>
      </c>
      <c r="C269" s="103" t="s">
        <v>2402</v>
      </c>
      <c r="D269" s="102" t="s">
        <v>2403</v>
      </c>
      <c r="E269" s="103" t="s">
        <v>87</v>
      </c>
      <c r="F269" s="102" t="s">
        <v>1603</v>
      </c>
      <c r="G269" s="103" t="s">
        <v>20</v>
      </c>
      <c r="H269" s="103">
        <v>201612</v>
      </c>
      <c r="I269" s="104">
        <v>1831.6</v>
      </c>
      <c r="J269" s="144">
        <f t="shared" si="18"/>
        <v>5</v>
      </c>
      <c r="K269" s="155">
        <v>1.4833299999999999E-3</v>
      </c>
      <c r="L269" s="154">
        <f t="shared" si="19"/>
        <v>13.58</v>
      </c>
      <c r="M269" s="154">
        <f t="shared" si="20"/>
        <v>32.6</v>
      </c>
      <c r="N269" s="145"/>
      <c r="O269" s="168" t="str">
        <f>VLOOKUP(C269,'New Wo Detailed Descr Rev'!$A$5:$D$287,4)</f>
        <v>Install 2320 ft of 2 in MP PE main, 886 ft of 4 in MP PE main and 1872 ft of 6 in MP PE main. Abandon 721 ft of 12 in MP CI main, 30 ft of 8 in LP CI main, 2858 ft of 6 in LP CI main, 807 ft of 4 in LP CI. - 0</v>
      </c>
    </row>
    <row r="270" spans="1:15" ht="15" customHeight="1">
      <c r="A270" s="102" t="s">
        <v>14</v>
      </c>
      <c r="B270" s="103" t="s">
        <v>1681</v>
      </c>
      <c r="C270" s="103" t="s">
        <v>2402</v>
      </c>
      <c r="D270" s="102" t="s">
        <v>2403</v>
      </c>
      <c r="E270" s="103" t="s">
        <v>87</v>
      </c>
      <c r="F270" s="102" t="s">
        <v>1603</v>
      </c>
      <c r="G270" s="103" t="s">
        <v>20</v>
      </c>
      <c r="H270" s="103">
        <v>201612</v>
      </c>
      <c r="I270" s="104">
        <v>296.51</v>
      </c>
      <c r="J270" s="144">
        <f t="shared" si="18"/>
        <v>5</v>
      </c>
      <c r="K270" s="148">
        <v>2.23333E-3</v>
      </c>
      <c r="L270" s="154">
        <f t="shared" si="19"/>
        <v>3.31</v>
      </c>
      <c r="M270" s="154">
        <f t="shared" si="20"/>
        <v>7.95</v>
      </c>
      <c r="N270" s="145"/>
      <c r="O270" s="168" t="str">
        <f>VLOOKUP(C270,'New Wo Detailed Descr Rev'!$A$5:$D$287,4)</f>
        <v>Install 2320 ft of 2 in MP PE main, 886 ft of 4 in MP PE main and 1872 ft of 6 in MP PE main. Abandon 721 ft of 12 in MP CI main, 30 ft of 8 in LP CI main, 2858 ft of 6 in LP CI main, 807 ft of 4 in LP CI. - 0</v>
      </c>
    </row>
    <row r="271" spans="1:15" ht="15" customHeight="1">
      <c r="A271" s="102" t="s">
        <v>626</v>
      </c>
      <c r="B271" s="103" t="s">
        <v>1681</v>
      </c>
      <c r="C271" s="103" t="s">
        <v>2113</v>
      </c>
      <c r="D271" s="102" t="s">
        <v>2114</v>
      </c>
      <c r="E271" s="103" t="s">
        <v>87</v>
      </c>
      <c r="F271" s="102" t="s">
        <v>1603</v>
      </c>
      <c r="G271" s="103" t="s">
        <v>20</v>
      </c>
      <c r="H271" s="103">
        <v>201612</v>
      </c>
      <c r="I271" s="104">
        <v>965</v>
      </c>
      <c r="J271" s="144">
        <f t="shared" si="18"/>
        <v>5</v>
      </c>
      <c r="K271" s="155">
        <v>1.4833299999999999E-3</v>
      </c>
      <c r="L271" s="154">
        <f t="shared" si="19"/>
        <v>7.16</v>
      </c>
      <c r="M271" s="154">
        <f t="shared" si="20"/>
        <v>17.18</v>
      </c>
      <c r="N271" s="145"/>
      <c r="O271" s="168" t="str">
        <f>VLOOKUP(C271,'New Wo Detailed Descr Rev'!$A$5:$D$287,4)</f>
        <v>Install 508' of 2" PE IP main on N Amity Ave.  Abandon 500' of 2" STL IP main.This project is due to curb inlet box and street approach. - 0</v>
      </c>
    </row>
    <row r="272" spans="1:15" ht="15" customHeight="1">
      <c r="A272" s="102" t="s">
        <v>21</v>
      </c>
      <c r="B272" s="103" t="s">
        <v>1681</v>
      </c>
      <c r="C272" s="103" t="s">
        <v>2279</v>
      </c>
      <c r="D272" s="102" t="s">
        <v>2280</v>
      </c>
      <c r="E272" s="103" t="s">
        <v>87</v>
      </c>
      <c r="F272" s="102" t="s">
        <v>1603</v>
      </c>
      <c r="G272" s="103" t="s">
        <v>20</v>
      </c>
      <c r="H272" s="103">
        <v>201611</v>
      </c>
      <c r="I272" s="104">
        <v>1951.19</v>
      </c>
      <c r="J272" s="144">
        <f t="shared" si="18"/>
        <v>6</v>
      </c>
      <c r="K272" s="155">
        <v>1.4833299999999999E-3</v>
      </c>
      <c r="L272" s="154">
        <f t="shared" si="19"/>
        <v>17.37</v>
      </c>
      <c r="M272" s="154">
        <f t="shared" si="20"/>
        <v>34.729999999999997</v>
      </c>
      <c r="N272" s="145"/>
      <c r="O272" s="168" t="str">
        <f>VLOOKUP(C272,'New Wo Detailed Descr Rev'!$A$5:$D$287,4)</f>
        <v>Install 450ft of 12ST main on Illinois Ave at Stockyards Expressway in St. Joe, MO for a public improvement project.  Abandon 450 ft of 12ST main at above location. Tie-over 1 service. - 0</v>
      </c>
    </row>
    <row r="273" spans="1:15" ht="15" customHeight="1">
      <c r="A273" s="102" t="s">
        <v>21</v>
      </c>
      <c r="B273" s="103" t="s">
        <v>1681</v>
      </c>
      <c r="C273" s="103" t="s">
        <v>2279</v>
      </c>
      <c r="D273" s="102" t="s">
        <v>2280</v>
      </c>
      <c r="E273" s="103" t="s">
        <v>87</v>
      </c>
      <c r="F273" s="102" t="s">
        <v>1603</v>
      </c>
      <c r="G273" s="103" t="s">
        <v>20</v>
      </c>
      <c r="H273" s="103">
        <v>201612</v>
      </c>
      <c r="I273" s="104">
        <v>37.68</v>
      </c>
      <c r="J273" s="144">
        <f t="shared" si="18"/>
        <v>5</v>
      </c>
      <c r="K273" s="155">
        <v>1.4833299999999999E-3</v>
      </c>
      <c r="L273" s="154">
        <f t="shared" si="19"/>
        <v>0.28000000000000003</v>
      </c>
      <c r="M273" s="154">
        <f t="shared" si="20"/>
        <v>0.67</v>
      </c>
      <c r="N273" s="145"/>
      <c r="O273" s="168" t="str">
        <f>VLOOKUP(C273,'New Wo Detailed Descr Rev'!$A$5:$D$287,4)</f>
        <v>Install 450ft of 12ST main on Illinois Ave at Stockyards Expressway in St. Joe, MO for a public improvement project.  Abandon 450 ft of 12ST main at above location. Tie-over 1 service. - 0</v>
      </c>
    </row>
    <row r="274" spans="1:15" ht="15" customHeight="1">
      <c r="A274" s="102" t="s">
        <v>626</v>
      </c>
      <c r="B274" s="103" t="s">
        <v>1681</v>
      </c>
      <c r="C274" s="103" t="s">
        <v>2259</v>
      </c>
      <c r="D274" s="102" t="s">
        <v>2260</v>
      </c>
      <c r="E274" s="103" t="s">
        <v>209</v>
      </c>
      <c r="F274" s="102" t="s">
        <v>1612</v>
      </c>
      <c r="G274" s="103" t="s">
        <v>20</v>
      </c>
      <c r="H274" s="103">
        <v>201611</v>
      </c>
      <c r="I274" s="104">
        <v>194.49</v>
      </c>
      <c r="J274" s="144">
        <f t="shared" si="18"/>
        <v>6</v>
      </c>
      <c r="K274" s="155">
        <v>1.4833299999999999E-3</v>
      </c>
      <c r="L274" s="154">
        <f t="shared" si="19"/>
        <v>1.73</v>
      </c>
      <c r="M274" s="154">
        <f t="shared" si="20"/>
        <v>3.46</v>
      </c>
      <c r="N274" s="145"/>
      <c r="O274" s="168" t="str">
        <f>VLOOKUP(C274,'New Wo Detailed Descr Rev'!$A$5:$D$287,4)</f>
        <v>Install 1879 ft of 2 in PE on Mechanic St (Route 7) between Bradley and Edgevale &amp; north on Bradley from Mechanic to Wall St., south on Eastwood to the tie-in, North on King to the tie-in &amp; south on Edgevale to the tie-in in Harrisonville. -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275" spans="1:15" ht="15" customHeight="1">
      <c r="A275" s="102" t="s">
        <v>626</v>
      </c>
      <c r="B275" s="103" t="s">
        <v>1681</v>
      </c>
      <c r="C275" s="103" t="s">
        <v>2259</v>
      </c>
      <c r="D275" s="102" t="s">
        <v>2260</v>
      </c>
      <c r="E275" s="103" t="s">
        <v>209</v>
      </c>
      <c r="F275" s="102" t="s">
        <v>1612</v>
      </c>
      <c r="G275" s="103" t="s">
        <v>20</v>
      </c>
      <c r="H275" s="103">
        <v>201612</v>
      </c>
      <c r="I275" s="104">
        <v>5.09</v>
      </c>
      <c r="J275" s="144">
        <f t="shared" si="18"/>
        <v>5</v>
      </c>
      <c r="K275" s="155">
        <v>1.4833299999999999E-3</v>
      </c>
      <c r="L275" s="154">
        <f t="shared" si="19"/>
        <v>0.04</v>
      </c>
      <c r="M275" s="154">
        <f t="shared" si="20"/>
        <v>0.09</v>
      </c>
      <c r="N275" s="145"/>
      <c r="O275" s="168" t="str">
        <f>VLOOKUP(C275,'New Wo Detailed Descr Rev'!$A$5:$D$287,4)</f>
        <v>Install 1879 ft of 2 in PE on Mechanic St (Route 7) between Bradley and Edgevale &amp; north on Bradley from Mechanic to Wall St., south on Eastwood to the tie-in, North on King to the tie-in &amp; south on Edgevale to the tie-in in Harrisonville. -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276" spans="1:15" ht="15" customHeight="1">
      <c r="A276" s="102" t="s">
        <v>626</v>
      </c>
      <c r="B276" s="103" t="s">
        <v>1681</v>
      </c>
      <c r="C276" s="103" t="s">
        <v>2311</v>
      </c>
      <c r="D276" s="102" t="s">
        <v>2312</v>
      </c>
      <c r="E276" s="103" t="s">
        <v>209</v>
      </c>
      <c r="F276" s="102" t="s">
        <v>1612</v>
      </c>
      <c r="G276" s="103" t="s">
        <v>20</v>
      </c>
      <c r="H276" s="103">
        <v>201611</v>
      </c>
      <c r="I276" s="104">
        <v>275.16000000000003</v>
      </c>
      <c r="J276" s="144">
        <f t="shared" si="18"/>
        <v>6</v>
      </c>
      <c r="K276" s="155">
        <v>1.4833299999999999E-3</v>
      </c>
      <c r="L276" s="154">
        <f t="shared" si="19"/>
        <v>2.4500000000000002</v>
      </c>
      <c r="M276" s="154">
        <f t="shared" si="20"/>
        <v>4.9000000000000004</v>
      </c>
      <c r="N276" s="145"/>
      <c r="O276" s="168" t="str">
        <f>VLOOKUP(C276,'New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277" spans="1:15" ht="15" customHeight="1">
      <c r="A277" s="102" t="s">
        <v>14</v>
      </c>
      <c r="B277" s="103" t="s">
        <v>1681</v>
      </c>
      <c r="C277" s="103" t="s">
        <v>2311</v>
      </c>
      <c r="D277" s="102" t="s">
        <v>2312</v>
      </c>
      <c r="E277" s="103" t="s">
        <v>209</v>
      </c>
      <c r="F277" s="102" t="s">
        <v>1612</v>
      </c>
      <c r="G277" s="103" t="s">
        <v>20</v>
      </c>
      <c r="H277" s="103">
        <v>201611</v>
      </c>
      <c r="I277" s="104">
        <v>5.43</v>
      </c>
      <c r="J277" s="144">
        <f t="shared" si="18"/>
        <v>6</v>
      </c>
      <c r="K277" s="148">
        <v>2.23333E-3</v>
      </c>
      <c r="L277" s="154">
        <f t="shared" si="19"/>
        <v>7.0000000000000007E-2</v>
      </c>
      <c r="M277" s="154">
        <f t="shared" si="20"/>
        <v>0.15</v>
      </c>
      <c r="N277" s="145"/>
      <c r="O277" s="168" t="str">
        <f>VLOOKUP(C277,'New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278" spans="1:15" ht="15" customHeight="1">
      <c r="A278" s="102" t="s">
        <v>626</v>
      </c>
      <c r="B278" s="103" t="s">
        <v>1681</v>
      </c>
      <c r="C278" s="103" t="s">
        <v>2311</v>
      </c>
      <c r="D278" s="102" t="s">
        <v>2312</v>
      </c>
      <c r="E278" s="103" t="s">
        <v>209</v>
      </c>
      <c r="F278" s="102" t="s">
        <v>1612</v>
      </c>
      <c r="G278" s="103" t="s">
        <v>20</v>
      </c>
      <c r="H278" s="103">
        <v>201612</v>
      </c>
      <c r="I278" s="104">
        <v>10.09</v>
      </c>
      <c r="J278" s="144">
        <f t="shared" si="18"/>
        <v>5</v>
      </c>
      <c r="K278" s="155">
        <v>1.4833299999999999E-3</v>
      </c>
      <c r="L278" s="154">
        <f t="shared" si="19"/>
        <v>7.0000000000000007E-2</v>
      </c>
      <c r="M278" s="154">
        <f t="shared" si="20"/>
        <v>0.18</v>
      </c>
      <c r="N278" s="145"/>
      <c r="O278" s="168" t="str">
        <f>VLOOKUP(C278,'New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279" spans="1:15" ht="15" customHeight="1">
      <c r="A279" s="102" t="s">
        <v>14</v>
      </c>
      <c r="B279" s="103" t="s">
        <v>1681</v>
      </c>
      <c r="C279" s="103" t="s">
        <v>2311</v>
      </c>
      <c r="D279" s="102" t="s">
        <v>2312</v>
      </c>
      <c r="E279" s="103" t="s">
        <v>209</v>
      </c>
      <c r="F279" s="102" t="s">
        <v>1612</v>
      </c>
      <c r="G279" s="103" t="s">
        <v>20</v>
      </c>
      <c r="H279" s="103">
        <v>201612</v>
      </c>
      <c r="I279" s="104">
        <v>0.2</v>
      </c>
      <c r="J279" s="144">
        <f t="shared" si="18"/>
        <v>5</v>
      </c>
      <c r="K279" s="148">
        <v>2.23333E-3</v>
      </c>
      <c r="L279" s="154">
        <f t="shared" si="19"/>
        <v>0</v>
      </c>
      <c r="M279" s="154">
        <f t="shared" si="20"/>
        <v>0.01</v>
      </c>
      <c r="N279" s="145"/>
      <c r="O279" s="168" t="str">
        <f>VLOOKUP(C279,'New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280" spans="1:15" ht="15" customHeight="1">
      <c r="A280" s="102" t="s">
        <v>626</v>
      </c>
      <c r="B280" s="103" t="s">
        <v>1681</v>
      </c>
      <c r="C280" s="103" t="s">
        <v>2436</v>
      </c>
      <c r="D280" s="102" t="s">
        <v>2437</v>
      </c>
      <c r="E280" s="103" t="s">
        <v>209</v>
      </c>
      <c r="F280" s="102" t="s">
        <v>1612</v>
      </c>
      <c r="G280" s="103" t="s">
        <v>20</v>
      </c>
      <c r="H280" s="103">
        <v>201612</v>
      </c>
      <c r="I280" s="104">
        <v>108946.6</v>
      </c>
      <c r="J280" s="144">
        <f t="shared" si="18"/>
        <v>5</v>
      </c>
      <c r="K280" s="155">
        <v>1.4833299999999999E-3</v>
      </c>
      <c r="L280" s="154">
        <f t="shared" si="19"/>
        <v>808.02</v>
      </c>
      <c r="M280" s="154">
        <f t="shared" si="20"/>
        <v>1939.25</v>
      </c>
      <c r="N280" s="145"/>
      <c r="O280" s="168" t="str">
        <f>VLOOKUP(C280,'New Wo Detailed Descr Rev'!$A$5:$D$287,4)</f>
        <v>Relocate and abandon 2,250' - 2PE Main (2001), 22' - 4PE Main (1986) and 167' 4PE Main by installing 2,515' 4PE Main to allow the City to widen Tudor Road and install new storm structures. - 0</v>
      </c>
    </row>
    <row r="281" spans="1:15" ht="15" customHeight="1">
      <c r="A281" s="102" t="s">
        <v>14</v>
      </c>
      <c r="B281" s="103" t="s">
        <v>1681</v>
      </c>
      <c r="C281" s="103" t="s">
        <v>2436</v>
      </c>
      <c r="D281" s="102" t="s">
        <v>2437</v>
      </c>
      <c r="E281" s="103" t="s">
        <v>209</v>
      </c>
      <c r="F281" s="102" t="s">
        <v>1612</v>
      </c>
      <c r="G281" s="103" t="s">
        <v>20</v>
      </c>
      <c r="H281" s="103">
        <v>201612</v>
      </c>
      <c r="I281" s="104">
        <v>1797.12</v>
      </c>
      <c r="J281" s="144">
        <f t="shared" si="18"/>
        <v>5</v>
      </c>
      <c r="K281" s="148">
        <v>2.23333E-3</v>
      </c>
      <c r="L281" s="154">
        <f t="shared" si="19"/>
        <v>20.07</v>
      </c>
      <c r="M281" s="154">
        <f t="shared" si="20"/>
        <v>48.16</v>
      </c>
      <c r="N281" s="145"/>
      <c r="O281" s="168" t="str">
        <f>VLOOKUP(C281,'New Wo Detailed Descr Rev'!$A$5:$D$287,4)</f>
        <v>Relocate and abandon 2,250' - 2PE Main (2001), 22' - 4PE Main (1986) and 167' 4PE Main by installing 2,515' 4PE Main to allow the City to widen Tudor Road and install new storm structures. - 0</v>
      </c>
    </row>
    <row r="282" spans="1:15" ht="15" customHeight="1">
      <c r="A282" s="102" t="s">
        <v>626</v>
      </c>
      <c r="B282" s="103" t="s">
        <v>1681</v>
      </c>
      <c r="C282" s="103" t="s">
        <v>2404</v>
      </c>
      <c r="D282" s="102" t="s">
        <v>2405</v>
      </c>
      <c r="E282" s="103" t="s">
        <v>209</v>
      </c>
      <c r="F282" s="102" t="s">
        <v>1612</v>
      </c>
      <c r="G282" s="103" t="s">
        <v>20</v>
      </c>
      <c r="H282" s="103">
        <v>201611</v>
      </c>
      <c r="I282" s="104">
        <v>346.27</v>
      </c>
      <c r="J282" s="144">
        <f t="shared" si="18"/>
        <v>6</v>
      </c>
      <c r="K282" s="155">
        <v>1.4833299999999999E-3</v>
      </c>
      <c r="L282" s="154">
        <f t="shared" si="19"/>
        <v>3.08</v>
      </c>
      <c r="M282" s="154">
        <f t="shared" si="20"/>
        <v>6.16</v>
      </c>
      <c r="N282" s="145"/>
      <c r="O282" s="168" t="str">
        <f>VLOOKUP(C282,'New Wo Detailed Descr Rev'!$A$5:$D$287,4)</f>
        <v>Install 1609 ft of 2 inch PE and 455 ft of 6 inch PE on Overton, Evanston and Arlington from Arlington and Evanston south to 16th St. Abandon 148 ft of 2in PL, 1451 ft of 2in BS, 340 ft of 4in BS, &amp; 340 ft of 6in BS. - Main is in conflict with City of Independence sewer improvements.  Work is not reimbursable. Work is ISRS recoverable.</v>
      </c>
    </row>
    <row r="283" spans="1:15" ht="15" customHeight="1">
      <c r="A283" s="102" t="s">
        <v>626</v>
      </c>
      <c r="B283" s="103" t="s">
        <v>1681</v>
      </c>
      <c r="C283" s="103" t="s">
        <v>2404</v>
      </c>
      <c r="D283" s="102" t="s">
        <v>2405</v>
      </c>
      <c r="E283" s="103" t="s">
        <v>209</v>
      </c>
      <c r="F283" s="102" t="s">
        <v>1612</v>
      </c>
      <c r="G283" s="103" t="s">
        <v>20</v>
      </c>
      <c r="H283" s="103">
        <v>201612</v>
      </c>
      <c r="I283" s="104">
        <v>12000.25</v>
      </c>
      <c r="J283" s="144">
        <f t="shared" si="18"/>
        <v>5</v>
      </c>
      <c r="K283" s="155">
        <v>1.4833299999999999E-3</v>
      </c>
      <c r="L283" s="154">
        <f t="shared" si="19"/>
        <v>89</v>
      </c>
      <c r="M283" s="154">
        <f t="shared" si="20"/>
        <v>213.6</v>
      </c>
      <c r="N283" s="145"/>
      <c r="O283" s="168" t="str">
        <f>VLOOKUP(C283,'New Wo Detailed Descr Rev'!$A$5:$D$287,4)</f>
        <v>Install 1609 ft of 2 inch PE and 455 ft of 6 inch PE on Overton, Evanston and Arlington from Arlington and Evanston south to 16th St. Abandon 148 ft of 2in PL, 1451 ft of 2in BS, 340 ft of 4in BS, &amp; 340 ft of 6in BS. - Main is in conflict with City of Independence sewer improvements.  Work is not reimbursable. Work is ISRS recoverable.</v>
      </c>
    </row>
    <row r="284" spans="1:15" ht="15" customHeight="1">
      <c r="A284" s="102" t="s">
        <v>21</v>
      </c>
      <c r="B284" s="103" t="s">
        <v>1681</v>
      </c>
      <c r="C284" s="103" t="s">
        <v>2107</v>
      </c>
      <c r="D284" s="102" t="s">
        <v>2108</v>
      </c>
      <c r="E284" s="103" t="s">
        <v>209</v>
      </c>
      <c r="F284" s="102" t="s">
        <v>1612</v>
      </c>
      <c r="G284" s="103" t="s">
        <v>20</v>
      </c>
      <c r="H284" s="103">
        <v>201611</v>
      </c>
      <c r="I284" s="104">
        <v>16663.86</v>
      </c>
      <c r="J284" s="144">
        <f t="shared" si="18"/>
        <v>6</v>
      </c>
      <c r="K284" s="155">
        <v>1.4833299999999999E-3</v>
      </c>
      <c r="L284" s="154">
        <f t="shared" si="19"/>
        <v>148.31</v>
      </c>
      <c r="M284" s="154">
        <f t="shared" si="20"/>
        <v>296.62</v>
      </c>
      <c r="N284" s="145"/>
      <c r="O284" s="168" t="str">
        <f>VLOOKUP(C284,'New Wo Detailed Descr Rev'!$A$5:$D$287,4)</f>
        <v>Install 160' - 8" Coated Steel main and abandon 150' - 8" coated steel main to allow City to build road - main is in existing right-of-way. - 0</v>
      </c>
    </row>
    <row r="285" spans="1:15" ht="15" customHeight="1">
      <c r="A285" s="102" t="s">
        <v>626</v>
      </c>
      <c r="B285" s="103" t="s">
        <v>1681</v>
      </c>
      <c r="C285" s="103" t="s">
        <v>2450</v>
      </c>
      <c r="D285" s="102" t="s">
        <v>2451</v>
      </c>
      <c r="E285" s="103" t="s">
        <v>209</v>
      </c>
      <c r="F285" s="102" t="s">
        <v>1612</v>
      </c>
      <c r="G285" s="103" t="s">
        <v>20</v>
      </c>
      <c r="H285" s="103">
        <v>201612</v>
      </c>
      <c r="I285" s="104">
        <v>32272.07</v>
      </c>
      <c r="J285" s="144">
        <f t="shared" si="18"/>
        <v>5</v>
      </c>
      <c r="K285" s="155">
        <v>1.4833299999999999E-3</v>
      </c>
      <c r="L285" s="154">
        <f t="shared" si="19"/>
        <v>239.35</v>
      </c>
      <c r="M285" s="154">
        <f t="shared" si="20"/>
        <v>574.44000000000005</v>
      </c>
      <c r="N285" s="145"/>
      <c r="O285" s="168" t="str">
        <f>VLOOKUP(C285,'New Wo Detailed Descr Rev'!$A$5:$D$287,4)</f>
        <v>Install ~625 Ft of 6" PL IP Main. - Abandon ~627 Ft of PL IP Main The City of Lee's Summit is installing new storm structures on Hook Road and a portion of our existing 6" plastic main is in conflict. Main is looped. Project Type: Main Relocation (MRELO) due to Civic Improvement</v>
      </c>
    </row>
    <row r="286" spans="1:15" ht="15" customHeight="1">
      <c r="A286" s="102" t="s">
        <v>21</v>
      </c>
      <c r="B286" s="103" t="s">
        <v>1970</v>
      </c>
      <c r="C286" s="103" t="s">
        <v>1971</v>
      </c>
      <c r="D286" s="102" t="s">
        <v>1972</v>
      </c>
      <c r="E286" s="103" t="s">
        <v>93</v>
      </c>
      <c r="F286" s="102" t="s">
        <v>1601</v>
      </c>
      <c r="G286" s="103" t="s">
        <v>20</v>
      </c>
      <c r="H286" s="103">
        <v>201612</v>
      </c>
      <c r="I286" s="104">
        <v>10.89</v>
      </c>
      <c r="J286" s="144">
        <f t="shared" si="18"/>
        <v>5</v>
      </c>
      <c r="K286" s="155">
        <v>1.4833299999999999E-3</v>
      </c>
      <c r="L286" s="154">
        <f t="shared" si="19"/>
        <v>0.08</v>
      </c>
      <c r="M286" s="154">
        <f t="shared" si="20"/>
        <v>0.19</v>
      </c>
      <c r="N286" s="145"/>
      <c r="O286" s="168" t="str">
        <f>VLOOKUP(C286,'New Wo Detailed Descr Rev'!$A$5:$D$287,4)</f>
        <v>Target Marlborough East phase 1: Kansas City-Jackson: Relocate for Street &amp; Highway-Public Improvements (44-388) - 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287" spans="1:15" ht="15" customHeight="1">
      <c r="A287" s="102" t="s">
        <v>626</v>
      </c>
      <c r="B287" s="103" t="s">
        <v>1970</v>
      </c>
      <c r="C287" s="103" t="s">
        <v>1971</v>
      </c>
      <c r="D287" s="102" t="s">
        <v>1972</v>
      </c>
      <c r="E287" s="103" t="s">
        <v>93</v>
      </c>
      <c r="F287" s="102" t="s">
        <v>1601</v>
      </c>
      <c r="G287" s="103" t="s">
        <v>20</v>
      </c>
      <c r="H287" s="103">
        <v>201612</v>
      </c>
      <c r="I287" s="104">
        <v>283.39999999999998</v>
      </c>
      <c r="J287" s="144">
        <f t="shared" si="18"/>
        <v>5</v>
      </c>
      <c r="K287" s="155">
        <v>1.4833299999999999E-3</v>
      </c>
      <c r="L287" s="154">
        <f t="shared" si="19"/>
        <v>2.1</v>
      </c>
      <c r="M287" s="154">
        <f t="shared" si="20"/>
        <v>5.04</v>
      </c>
      <c r="N287" s="145"/>
      <c r="O287" s="168" t="str">
        <f>VLOOKUP(C287,'New Wo Detailed Descr Rev'!$A$5:$D$287,4)</f>
        <v>Target Marlborough East phase 1: Kansas City-Jackson: Relocate for Street &amp; Highway-Public Improvements (44-388) - 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288" spans="1:15" ht="15" customHeight="1">
      <c r="A288" s="102" t="s">
        <v>626</v>
      </c>
      <c r="B288" s="103" t="s">
        <v>1945</v>
      </c>
      <c r="C288" s="103" t="s">
        <v>1946</v>
      </c>
      <c r="D288" s="102" t="s">
        <v>1947</v>
      </c>
      <c r="E288" s="103" t="s">
        <v>93</v>
      </c>
      <c r="F288" s="102" t="s">
        <v>1601</v>
      </c>
      <c r="G288" s="103" t="s">
        <v>20</v>
      </c>
      <c r="H288" s="103">
        <v>201611</v>
      </c>
      <c r="I288" s="104">
        <v>1969.48</v>
      </c>
      <c r="J288" s="144">
        <f t="shared" si="18"/>
        <v>6</v>
      </c>
      <c r="K288" s="155">
        <v>1.4833299999999999E-3</v>
      </c>
      <c r="L288" s="154">
        <f t="shared" si="19"/>
        <v>17.53</v>
      </c>
      <c r="M288" s="154">
        <f t="shared" si="20"/>
        <v>35.06</v>
      </c>
      <c r="N288" s="145"/>
      <c r="O288" s="168" t="str">
        <f>VLOOKUP(C288,'New Wo Detailed Descr Rev'!$A$5:$D$287,4)</f>
        <v>Lincoln to Highview along Zora: Joplin: Relocate for Street &amp; Highway-Public Improvements (44-388) - 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
    </row>
    <row r="289" spans="1:15" ht="15" customHeight="1">
      <c r="A289" s="102" t="s">
        <v>626</v>
      </c>
      <c r="B289" s="103" t="s">
        <v>1945</v>
      </c>
      <c r="C289" s="103" t="s">
        <v>1946</v>
      </c>
      <c r="D289" s="102" t="s">
        <v>1947</v>
      </c>
      <c r="E289" s="103" t="s">
        <v>93</v>
      </c>
      <c r="F289" s="102" t="s">
        <v>1601</v>
      </c>
      <c r="G289" s="103" t="s">
        <v>20</v>
      </c>
      <c r="H289" s="103">
        <v>201612</v>
      </c>
      <c r="I289" s="104">
        <v>12.85</v>
      </c>
      <c r="J289" s="144">
        <f t="shared" si="18"/>
        <v>5</v>
      </c>
      <c r="K289" s="155">
        <v>1.4833299999999999E-3</v>
      </c>
      <c r="L289" s="154">
        <f t="shared" si="19"/>
        <v>0.1</v>
      </c>
      <c r="M289" s="154">
        <f t="shared" si="20"/>
        <v>0.23</v>
      </c>
      <c r="N289" s="145"/>
      <c r="O289" s="168" t="str">
        <f>VLOOKUP(C289,'New Wo Detailed Descr Rev'!$A$5:$D$287,4)</f>
        <v>Lincoln to Highview along Zora: Joplin: Relocate for Street &amp; Highway-Public Improvements (44-388) - 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
    </row>
    <row r="290" spans="1:15" ht="15" customHeight="1">
      <c r="A290" s="102" t="s">
        <v>21</v>
      </c>
      <c r="B290" s="103" t="s">
        <v>1681</v>
      </c>
      <c r="C290" s="103" t="s">
        <v>2257</v>
      </c>
      <c r="D290" s="102" t="s">
        <v>2258</v>
      </c>
      <c r="E290" s="103" t="s">
        <v>93</v>
      </c>
      <c r="F290" s="102" t="s">
        <v>1601</v>
      </c>
      <c r="G290" s="103" t="s">
        <v>20</v>
      </c>
      <c r="H290" s="103">
        <v>201611</v>
      </c>
      <c r="I290" s="104">
        <v>158.80000000000001</v>
      </c>
      <c r="J290" s="144">
        <f t="shared" si="18"/>
        <v>6</v>
      </c>
      <c r="K290" s="155">
        <v>1.4833299999999999E-3</v>
      </c>
      <c r="L290" s="154">
        <f t="shared" si="19"/>
        <v>1.41</v>
      </c>
      <c r="M290" s="154">
        <f t="shared" si="20"/>
        <v>2.83</v>
      </c>
      <c r="N290" s="145"/>
      <c r="O290" s="168" t="str">
        <f>VLOOKUP(C290,'New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291" spans="1:15" ht="15" customHeight="1">
      <c r="A291" s="102" t="s">
        <v>626</v>
      </c>
      <c r="B291" s="103" t="s">
        <v>1681</v>
      </c>
      <c r="C291" s="103" t="s">
        <v>2257</v>
      </c>
      <c r="D291" s="102" t="s">
        <v>2258</v>
      </c>
      <c r="E291" s="103" t="s">
        <v>93</v>
      </c>
      <c r="F291" s="102" t="s">
        <v>1601</v>
      </c>
      <c r="G291" s="103" t="s">
        <v>20</v>
      </c>
      <c r="H291" s="103">
        <v>201611</v>
      </c>
      <c r="I291" s="104">
        <v>3720.99</v>
      </c>
      <c r="J291" s="144">
        <f t="shared" si="18"/>
        <v>6</v>
      </c>
      <c r="K291" s="155">
        <v>1.4833299999999999E-3</v>
      </c>
      <c r="L291" s="154">
        <f t="shared" si="19"/>
        <v>33.119999999999997</v>
      </c>
      <c r="M291" s="154">
        <f t="shared" si="20"/>
        <v>66.23</v>
      </c>
      <c r="N291" s="145"/>
      <c r="O291" s="168" t="str">
        <f>VLOOKUP(C291,'New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292" spans="1:15" ht="15" customHeight="1">
      <c r="A292" s="102" t="s">
        <v>21</v>
      </c>
      <c r="B292" s="103" t="s">
        <v>1681</v>
      </c>
      <c r="C292" s="103" t="s">
        <v>2257</v>
      </c>
      <c r="D292" s="102" t="s">
        <v>2258</v>
      </c>
      <c r="E292" s="103" t="s">
        <v>93</v>
      </c>
      <c r="F292" s="102" t="s">
        <v>1601</v>
      </c>
      <c r="G292" s="103" t="s">
        <v>20</v>
      </c>
      <c r="H292" s="103">
        <v>201612</v>
      </c>
      <c r="I292" s="104">
        <v>-14.04</v>
      </c>
      <c r="J292" s="144">
        <f t="shared" si="18"/>
        <v>5</v>
      </c>
      <c r="K292" s="155">
        <v>1.4833299999999999E-3</v>
      </c>
      <c r="L292" s="154">
        <f t="shared" si="19"/>
        <v>-0.1</v>
      </c>
      <c r="M292" s="154">
        <f t="shared" si="20"/>
        <v>-0.25</v>
      </c>
      <c r="N292" s="145"/>
      <c r="O292" s="168" t="str">
        <f>VLOOKUP(C292,'New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293" spans="1:15" ht="15" customHeight="1">
      <c r="A293" s="102" t="s">
        <v>626</v>
      </c>
      <c r="B293" s="103" t="s">
        <v>1681</v>
      </c>
      <c r="C293" s="103" t="s">
        <v>2257</v>
      </c>
      <c r="D293" s="102" t="s">
        <v>2258</v>
      </c>
      <c r="E293" s="103" t="s">
        <v>93</v>
      </c>
      <c r="F293" s="102" t="s">
        <v>1601</v>
      </c>
      <c r="G293" s="103" t="s">
        <v>20</v>
      </c>
      <c r="H293" s="103">
        <v>201612</v>
      </c>
      <c r="I293" s="104">
        <v>-329.01</v>
      </c>
      <c r="J293" s="144">
        <f t="shared" si="18"/>
        <v>5</v>
      </c>
      <c r="K293" s="155">
        <v>1.4833299999999999E-3</v>
      </c>
      <c r="L293" s="154">
        <f t="shared" si="19"/>
        <v>-2.44</v>
      </c>
      <c r="M293" s="154">
        <f t="shared" si="20"/>
        <v>-5.86</v>
      </c>
      <c r="N293" s="145"/>
      <c r="O293" s="168" t="str">
        <f>VLOOKUP(C293,'New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294" spans="1:15" ht="15" customHeight="1">
      <c r="A294" s="102" t="s">
        <v>626</v>
      </c>
      <c r="B294" s="103" t="s">
        <v>1681</v>
      </c>
      <c r="C294" s="103" t="s">
        <v>2398</v>
      </c>
      <c r="D294" s="102" t="s">
        <v>2399</v>
      </c>
      <c r="E294" s="103" t="s">
        <v>93</v>
      </c>
      <c r="F294" s="102" t="s">
        <v>1601</v>
      </c>
      <c r="G294" s="103" t="s">
        <v>20</v>
      </c>
      <c r="H294" s="103">
        <v>201611</v>
      </c>
      <c r="I294" s="104">
        <v>20105.490000000002</v>
      </c>
      <c r="J294" s="144">
        <f t="shared" si="18"/>
        <v>6</v>
      </c>
      <c r="K294" s="155">
        <v>1.4833299999999999E-3</v>
      </c>
      <c r="L294" s="154">
        <f t="shared" si="19"/>
        <v>178.94</v>
      </c>
      <c r="M294" s="154">
        <f t="shared" si="20"/>
        <v>357.88</v>
      </c>
      <c r="N294" s="145"/>
      <c r="O294" s="168" t="str">
        <f>VLOOKUP(C294,'New Wo Detailed Descr Rev'!$A$5:$D$287,4)</f>
        <v>Relocate of 568ft of 2in ST, 2189ft of 3in ST, 126ft of 4in ST and 1371ft of 4in PL with 159ft 2in PL, 2053ft 4in PL and 1186ft of 6in PL along Rt 14 and Hwy 160 due to MODOT improvements. Division: 08 Town: 16 Sector: A1412. - Pressure System: C-0001 MAOP: 44 psig MOP: 44 psig Design: 66 psig Test: 100 psig Cost: $194,906.56 ($57.36/ft ) ISRS</v>
      </c>
    </row>
    <row r="295" spans="1:15" ht="15" customHeight="1">
      <c r="A295" s="102" t="s">
        <v>626</v>
      </c>
      <c r="B295" s="103" t="s">
        <v>1681</v>
      </c>
      <c r="C295" s="103" t="s">
        <v>2398</v>
      </c>
      <c r="D295" s="102" t="s">
        <v>2399</v>
      </c>
      <c r="E295" s="103" t="s">
        <v>93</v>
      </c>
      <c r="F295" s="102" t="s">
        <v>1601</v>
      </c>
      <c r="G295" s="103" t="s">
        <v>20</v>
      </c>
      <c r="H295" s="103">
        <v>201612</v>
      </c>
      <c r="I295" s="104">
        <v>390.75</v>
      </c>
      <c r="J295" s="144">
        <f t="shared" si="18"/>
        <v>5</v>
      </c>
      <c r="K295" s="155">
        <v>1.4833299999999999E-3</v>
      </c>
      <c r="L295" s="154">
        <f t="shared" si="19"/>
        <v>2.9</v>
      </c>
      <c r="M295" s="154">
        <f t="shared" si="20"/>
        <v>6.96</v>
      </c>
      <c r="N295" s="145"/>
      <c r="O295" s="168" t="str">
        <f>VLOOKUP(C295,'New Wo Detailed Descr Rev'!$A$5:$D$287,4)</f>
        <v>Relocate of 568ft of 2in ST, 2189ft of 3in ST, 126ft of 4in ST and 1371ft of 4in PL with 159ft 2in PL, 2053ft 4in PL and 1186ft of 6in PL along Rt 14 and Hwy 160 due to MODOT improvements. Division: 08 Town: 16 Sector: A1412. - Pressure System: C-0001 MAOP: 44 psig MOP: 44 psig Design: 66 psig Test: 100 psig Cost: $194,906.56 ($57.36/ft ) ISRS</v>
      </c>
    </row>
    <row r="296" spans="1:15" ht="15" customHeight="1">
      <c r="A296" s="102" t="s">
        <v>626</v>
      </c>
      <c r="B296" s="103" t="s">
        <v>1681</v>
      </c>
      <c r="C296" s="103" t="s">
        <v>2289</v>
      </c>
      <c r="D296" s="102" t="s">
        <v>2290</v>
      </c>
      <c r="E296" s="103" t="s">
        <v>93</v>
      </c>
      <c r="F296" s="102" t="s">
        <v>1601</v>
      </c>
      <c r="G296" s="103" t="s">
        <v>20</v>
      </c>
      <c r="H296" s="103">
        <v>201611</v>
      </c>
      <c r="I296" s="104">
        <v>1292.3499999999999</v>
      </c>
      <c r="J296" s="144">
        <f t="shared" si="18"/>
        <v>6</v>
      </c>
      <c r="K296" s="155">
        <v>1.4833299999999999E-3</v>
      </c>
      <c r="L296" s="154">
        <f t="shared" si="19"/>
        <v>11.5</v>
      </c>
      <c r="M296" s="154">
        <f t="shared" si="20"/>
        <v>23</v>
      </c>
      <c r="N296" s="145"/>
      <c r="O296" s="168" t="str">
        <f>VLOOKUP(C296,'New Wo Detailed Descr Rev'!$A$5:$D$287,4)</f>
        <v>Install 1997 Ft of 4 in PL MP main on 20th Street between Vermont and Deleware for the Bankers Addition Civic Improvements. Abandon 176 Ft of 1.25 in PL MP main, 18 Ft 2 in PL MP main &amp; 22 Ft 4 in PL MP main. - This main is being replaced as part of a 2016 Public Improvement and is ISRS recoverable.</v>
      </c>
    </row>
    <row r="297" spans="1:15" ht="15" customHeight="1">
      <c r="A297" s="102" t="s">
        <v>626</v>
      </c>
      <c r="B297" s="103" t="s">
        <v>1681</v>
      </c>
      <c r="C297" s="103" t="s">
        <v>2289</v>
      </c>
      <c r="D297" s="102" t="s">
        <v>2290</v>
      </c>
      <c r="E297" s="103" t="s">
        <v>93</v>
      </c>
      <c r="F297" s="102" t="s">
        <v>1601</v>
      </c>
      <c r="G297" s="103" t="s">
        <v>20</v>
      </c>
      <c r="H297" s="103">
        <v>201612</v>
      </c>
      <c r="I297" s="104">
        <v>24.09</v>
      </c>
      <c r="J297" s="144">
        <f t="shared" si="18"/>
        <v>5</v>
      </c>
      <c r="K297" s="155">
        <v>1.4833299999999999E-3</v>
      </c>
      <c r="L297" s="154">
        <f t="shared" si="19"/>
        <v>0.18</v>
      </c>
      <c r="M297" s="154">
        <f t="shared" si="20"/>
        <v>0.43</v>
      </c>
      <c r="N297" s="145"/>
      <c r="O297" s="168" t="str">
        <f>VLOOKUP(C297,'New Wo Detailed Descr Rev'!$A$5:$D$287,4)</f>
        <v>Install 1997 Ft of 4 in PL MP main on 20th Street between Vermont and Deleware for the Bankers Addition Civic Improvements. Abandon 176 Ft of 1.25 in PL MP main, 18 Ft 2 in PL MP main &amp; 22 Ft 4 in PL MP main. - This main is being replaced as part of a 2016 Public Improvement and is ISRS recoverable.</v>
      </c>
    </row>
    <row r="298" spans="1:15" ht="15" customHeight="1">
      <c r="A298" s="102" t="s">
        <v>626</v>
      </c>
      <c r="B298" s="103" t="s">
        <v>1681</v>
      </c>
      <c r="C298" s="103" t="s">
        <v>2424</v>
      </c>
      <c r="D298" s="102" t="s">
        <v>2425</v>
      </c>
      <c r="E298" s="103" t="s">
        <v>93</v>
      </c>
      <c r="F298" s="102" t="s">
        <v>1601</v>
      </c>
      <c r="G298" s="103" t="s">
        <v>20</v>
      </c>
      <c r="H298" s="103">
        <v>201611</v>
      </c>
      <c r="I298" s="104">
        <v>3023.8</v>
      </c>
      <c r="J298" s="144">
        <f t="shared" si="18"/>
        <v>6</v>
      </c>
      <c r="K298" s="155">
        <v>1.4833299999999999E-3</v>
      </c>
      <c r="L298" s="154">
        <f t="shared" si="19"/>
        <v>26.91</v>
      </c>
      <c r="M298" s="154">
        <f t="shared" si="20"/>
        <v>53.82</v>
      </c>
      <c r="N298" s="145"/>
      <c r="O298" s="168" t="str">
        <f>VLOOKUP(C298,'New Wo Detailed Descr Rev'!$A$5:$D$287,4)</f>
        <v>Install ~ 800 Ft of 4 in PL IP Main on Garden Grove  Rd N of Canterbee Ln. - Abandon ~ 800 Ft of 3 in ST IP Main at the above location.  Total Service Tie-Over = 6.  This main is being relocated due to Civic Improvements</v>
      </c>
    </row>
    <row r="299" spans="1:15" ht="15" customHeight="1">
      <c r="A299" s="102" t="s">
        <v>626</v>
      </c>
      <c r="B299" s="103" t="s">
        <v>1681</v>
      </c>
      <c r="C299" s="103" t="s">
        <v>2424</v>
      </c>
      <c r="D299" s="102" t="s">
        <v>2425</v>
      </c>
      <c r="E299" s="103" t="s">
        <v>93</v>
      </c>
      <c r="F299" s="102" t="s">
        <v>1601</v>
      </c>
      <c r="G299" s="103" t="s">
        <v>20</v>
      </c>
      <c r="H299" s="103">
        <v>201612</v>
      </c>
      <c r="I299" s="104">
        <v>3091.39</v>
      </c>
      <c r="J299" s="144">
        <f t="shared" si="18"/>
        <v>5</v>
      </c>
      <c r="K299" s="155">
        <v>1.4833299999999999E-3</v>
      </c>
      <c r="L299" s="154">
        <f t="shared" si="19"/>
        <v>22.93</v>
      </c>
      <c r="M299" s="154">
        <f t="shared" si="20"/>
        <v>55.03</v>
      </c>
      <c r="N299" s="145"/>
      <c r="O299" s="168" t="str">
        <f>VLOOKUP(C299,'New Wo Detailed Descr Rev'!$A$5:$D$287,4)</f>
        <v>Install ~ 800 Ft of 4 in PL IP Main on Garden Grove  Rd N of Canterbee Ln. - Abandon ~ 800 Ft of 3 in ST IP Main at the above location.  Total Service Tie-Over = 6.  This main is being relocated due to Civic Improvements</v>
      </c>
    </row>
    <row r="300" spans="1:15">
      <c r="A300" s="321"/>
      <c r="B300" s="322"/>
      <c r="C300" s="322"/>
      <c r="D300" s="102"/>
      <c r="E300" s="103"/>
      <c r="F300" s="329" t="s">
        <v>2596</v>
      </c>
      <c r="G300" s="404"/>
      <c r="H300" s="404"/>
      <c r="I300" s="312">
        <f>SUM(I261:I299)</f>
        <v>244284.43</v>
      </c>
      <c r="J300" s="405"/>
      <c r="K300" s="407"/>
      <c r="L300" s="312">
        <f>SUM(L261:L299)</f>
        <v>1914.1899999999996</v>
      </c>
      <c r="M300" s="312">
        <f>SUM(M261:M299)</f>
        <v>4314.1299999999992</v>
      </c>
      <c r="N300" s="156"/>
      <c r="O300" s="168"/>
    </row>
    <row r="301" spans="1:15">
      <c r="A301" s="321"/>
      <c r="B301" s="322"/>
      <c r="C301" s="322"/>
      <c r="D301" s="102"/>
      <c r="E301" s="103"/>
      <c r="F301" s="329"/>
      <c r="G301" s="404"/>
      <c r="H301" s="404"/>
      <c r="I301" s="312"/>
      <c r="J301" s="405"/>
      <c r="K301" s="407"/>
      <c r="L301" s="312"/>
      <c r="M301" s="312"/>
      <c r="N301" s="156"/>
      <c r="O301" s="168"/>
    </row>
    <row r="302" spans="1:15">
      <c r="A302" s="464" t="s">
        <v>554</v>
      </c>
      <c r="B302" s="465" t="str">
        <f>VLOOKUP(C302,'[10]Project Detail Query'!$A$1:$R$2830,5,FALSE)</f>
        <v>20401050325</v>
      </c>
      <c r="C302" s="466" t="s">
        <v>117</v>
      </c>
      <c r="D302" s="464" t="s">
        <v>2432</v>
      </c>
      <c r="E302" s="465" t="str">
        <f>VLOOKUP(C302,'[10]Project Detail Query'!$A$1:$R$2830,6,FALSE)</f>
        <v>F0524</v>
      </c>
      <c r="F302" s="464" t="str">
        <f>VLOOKUP(C302,'[10]Project Detail Query'!$A$1:$R$2830,7,FALSE)</f>
        <v>BWO CI Joint Encapsulation ISRS (N)</v>
      </c>
      <c r="G302" s="465" t="s">
        <v>20</v>
      </c>
      <c r="H302" s="465">
        <v>201701</v>
      </c>
      <c r="I302" s="467">
        <v>37348.589999999997</v>
      </c>
      <c r="J302" s="144">
        <f t="shared" ref="J302" si="21">HLOOKUP(H302,$Q$2:$W$3,2)</f>
        <v>4</v>
      </c>
      <c r="K302" s="468">
        <v>1.4833299999999999E-3</v>
      </c>
      <c r="L302" s="469">
        <f>ROUND(I302*J302*K302,2)</f>
        <v>221.6</v>
      </c>
      <c r="M302" s="469">
        <f>ROUND(I302*K302*12,2)</f>
        <v>664.8</v>
      </c>
      <c r="N302" s="156"/>
      <c r="O302" s="168"/>
    </row>
    <row r="303" spans="1:15">
      <c r="A303" s="464"/>
      <c r="B303" s="465"/>
      <c r="C303" s="466"/>
      <c r="D303" s="464"/>
      <c r="E303" s="465"/>
      <c r="F303" s="329" t="s">
        <v>2329</v>
      </c>
      <c r="G303" s="404"/>
      <c r="H303" s="404"/>
      <c r="I303" s="312">
        <f>SUM(I302:I302)</f>
        <v>37348.589999999997</v>
      </c>
      <c r="J303" s="405"/>
      <c r="K303" s="406"/>
      <c r="L303" s="312">
        <f t="shared" ref="L303:M303" si="22">SUM(L302:L302)</f>
        <v>221.6</v>
      </c>
      <c r="M303" s="312">
        <f t="shared" si="22"/>
        <v>664.8</v>
      </c>
      <c r="N303" s="156"/>
      <c r="O303" s="168"/>
    </row>
    <row r="304" spans="1:15">
      <c r="A304" s="464"/>
      <c r="B304" s="465"/>
      <c r="C304" s="466"/>
      <c r="D304" s="464"/>
      <c r="E304" s="465"/>
      <c r="F304" s="464"/>
      <c r="G304" s="465"/>
      <c r="H304" s="465"/>
      <c r="I304" s="467"/>
      <c r="J304" s="464"/>
      <c r="K304" s="468"/>
      <c r="L304" s="469"/>
      <c r="M304" s="469"/>
      <c r="N304" s="156"/>
      <c r="O304" s="168"/>
    </row>
    <row r="305" spans="1:15">
      <c r="A305" s="464" t="s">
        <v>1942</v>
      </c>
      <c r="B305" s="465" t="s">
        <v>1681</v>
      </c>
      <c r="C305" s="466" t="s">
        <v>1682</v>
      </c>
      <c r="D305" s="464" t="s">
        <v>1683</v>
      </c>
      <c r="E305" s="465" t="str">
        <f>VLOOKUP(C305,'[10]Project Detail Query'!$A$1:$R$2830,6,FALSE)</f>
        <v>F0608</v>
      </c>
      <c r="F305" s="464" t="str">
        <f>VLOOKUP(C305,'[10]Project Detail Query'!$A$1:$R$2830,7,FALSE)</f>
        <v>BWO Service Line Repl - ISRS (N)</v>
      </c>
      <c r="G305" s="465" t="s">
        <v>20</v>
      </c>
      <c r="H305" s="465">
        <v>201701</v>
      </c>
      <c r="I305" s="467">
        <v>7.01</v>
      </c>
      <c r="J305" s="144">
        <f t="shared" ref="J305:J370" si="23">HLOOKUP(H305,$Q$2:$W$3,2)</f>
        <v>4</v>
      </c>
      <c r="K305" s="472">
        <v>2.23333E-3</v>
      </c>
      <c r="L305" s="469">
        <f>ROUND(I305*J305*K305,2)</f>
        <v>0.06</v>
      </c>
      <c r="M305" s="469">
        <f>ROUND(I305*K305*12,2)</f>
        <v>0.19</v>
      </c>
      <c r="N305" s="156"/>
      <c r="O305" s="168"/>
    </row>
    <row r="306" spans="1:15">
      <c r="A306" s="464" t="s">
        <v>14</v>
      </c>
      <c r="B306" s="465" t="str">
        <f>VLOOKUP(C306,'[10]Project Detail Query'!$A$1:$R$2830,5,FALSE)</f>
        <v>20401050301</v>
      </c>
      <c r="C306" s="466" t="s">
        <v>196</v>
      </c>
      <c r="D306" s="464" t="s">
        <v>1674</v>
      </c>
      <c r="E306" s="465" t="str">
        <f>VLOOKUP(C306,'[10]Project Detail Query'!$A$1:$R$2830,6,FALSE)</f>
        <v>F0608</v>
      </c>
      <c r="F306" s="464" t="str">
        <f>VLOOKUP(C306,'[10]Project Detail Query'!$A$1:$R$2830,7,FALSE)</f>
        <v>BWO Service Line Repl - ISRS (N)</v>
      </c>
      <c r="G306" s="465" t="s">
        <v>20</v>
      </c>
      <c r="H306" s="465">
        <v>201701</v>
      </c>
      <c r="I306" s="467">
        <v>827510.98</v>
      </c>
      <c r="J306" s="144">
        <f t="shared" si="23"/>
        <v>4</v>
      </c>
      <c r="K306" s="468">
        <v>2.23333E-3</v>
      </c>
      <c r="L306" s="469">
        <f>ROUND(I306*J306*K306,2)</f>
        <v>7392.42</v>
      </c>
      <c r="M306" s="469">
        <f>ROUND(I306*K306*12,2)</f>
        <v>22177.26</v>
      </c>
      <c r="N306" s="156"/>
      <c r="O306" s="168"/>
    </row>
    <row r="307" spans="1:15">
      <c r="A307" s="464" t="s">
        <v>1942</v>
      </c>
      <c r="B307" s="465" t="s">
        <v>1681</v>
      </c>
      <c r="C307" s="466" t="s">
        <v>1943</v>
      </c>
      <c r="D307" s="464" t="s">
        <v>1944</v>
      </c>
      <c r="E307" s="465" t="str">
        <f>VLOOKUP(C307,'[10]Project Detail Query'!$A$1:$R$2830,6,FALSE)</f>
        <v>F0513</v>
      </c>
      <c r="F307" s="464" t="str">
        <f>VLOOKUP(C307,'[10]Project Detail Query'!$A$1:$R$2830,7,FALSE)</f>
        <v>BWO Service Line Repl - ISRS (S)</v>
      </c>
      <c r="G307" s="465" t="s">
        <v>20</v>
      </c>
      <c r="H307" s="465">
        <v>201701</v>
      </c>
      <c r="I307" s="467">
        <v>205.88</v>
      </c>
      <c r="J307" s="144">
        <f t="shared" si="23"/>
        <v>4</v>
      </c>
      <c r="K307" s="472">
        <v>2.23333E-3</v>
      </c>
      <c r="L307" s="469">
        <f>ROUND(I307*J307*K307,2)</f>
        <v>1.84</v>
      </c>
      <c r="M307" s="469">
        <f>ROUND(I307*K307*12,2)</f>
        <v>5.52</v>
      </c>
      <c r="N307" s="156"/>
      <c r="O307" s="168"/>
    </row>
    <row r="308" spans="1:15">
      <c r="A308" s="464" t="s">
        <v>14</v>
      </c>
      <c r="B308" s="465" t="str">
        <f>VLOOKUP(C308,'[10]Project Detail Query'!$A$1:$R$2830,5,FALSE)</f>
        <v>20901050301</v>
      </c>
      <c r="C308" s="466" t="s">
        <v>201</v>
      </c>
      <c r="D308" s="464" t="s">
        <v>1675</v>
      </c>
      <c r="E308" s="465" t="str">
        <f>VLOOKUP(C308,'[10]Project Detail Query'!$A$1:$R$2830,6,FALSE)</f>
        <v>F0513</v>
      </c>
      <c r="F308" s="464" t="str">
        <f>VLOOKUP(C308,'[10]Project Detail Query'!$A$1:$R$2830,7,FALSE)</f>
        <v>BWO Service Line Repl - ISRS (S)</v>
      </c>
      <c r="G308" s="465" t="s">
        <v>20</v>
      </c>
      <c r="H308" s="465">
        <v>201701</v>
      </c>
      <c r="I308" s="467">
        <v>127189.07</v>
      </c>
      <c r="J308" s="144">
        <f t="shared" si="23"/>
        <v>4</v>
      </c>
      <c r="K308" s="468">
        <v>2.23333E-3</v>
      </c>
      <c r="L308" s="469">
        <f>ROUND(I308*J308*K308,2)</f>
        <v>1136.22</v>
      </c>
      <c r="M308" s="469">
        <f>ROUND(I308*K308*12,2)</f>
        <v>3408.66</v>
      </c>
      <c r="N308" s="156"/>
      <c r="O308" s="168"/>
    </row>
    <row r="309" spans="1:15">
      <c r="A309" s="464" t="s">
        <v>1942</v>
      </c>
      <c r="B309" s="465" t="s">
        <v>1681</v>
      </c>
      <c r="C309" s="466" t="s">
        <v>1976</v>
      </c>
      <c r="D309" s="464" t="s">
        <v>1977</v>
      </c>
      <c r="E309" s="465" t="str">
        <f>VLOOKUP(C309,'[10]Project Detail Query'!$A$1:$R$2830,6,FALSE)</f>
        <v>F0659</v>
      </c>
      <c r="F309" s="464" t="str">
        <f>VLOOKUP(C309,'[10]Project Detail Query'!$A$1:$R$2830,7,FALSE)</f>
        <v>BWO Service Line Repl - ISRS (SW)</v>
      </c>
      <c r="G309" s="465" t="s">
        <v>20</v>
      </c>
      <c r="H309" s="465">
        <v>201701</v>
      </c>
      <c r="I309" s="467">
        <v>3961.9</v>
      </c>
      <c r="J309" s="144">
        <f t="shared" si="23"/>
        <v>4</v>
      </c>
      <c r="K309" s="472">
        <v>2.23333E-3</v>
      </c>
      <c r="L309" s="469">
        <f>ROUND(I309*J309*K309,2)</f>
        <v>35.39</v>
      </c>
      <c r="M309" s="469">
        <f>ROUND(I309*K309*12,2)</f>
        <v>106.18</v>
      </c>
      <c r="N309" s="156"/>
      <c r="O309" s="168"/>
    </row>
    <row r="310" spans="1:15">
      <c r="A310" s="464" t="s">
        <v>14</v>
      </c>
      <c r="B310" s="465" t="str">
        <f>VLOOKUP(C310,'[10]Project Detail Query'!$A$1:$R$2830,5,FALSE)</f>
        <v>20801050301</v>
      </c>
      <c r="C310" s="466" t="s">
        <v>293</v>
      </c>
      <c r="D310" s="464" t="s">
        <v>1679</v>
      </c>
      <c r="E310" s="465" t="str">
        <f>VLOOKUP(C310,'[10]Project Detail Query'!$A$1:$R$2830,6,FALSE)</f>
        <v>F0659</v>
      </c>
      <c r="F310" s="464" t="str">
        <f>VLOOKUP(C310,'[10]Project Detail Query'!$A$1:$R$2830,7,FALSE)</f>
        <v>BWO Service Line Repl - ISRS (SW)</v>
      </c>
      <c r="G310" s="465" t="s">
        <v>20</v>
      </c>
      <c r="H310" s="465">
        <v>201701</v>
      </c>
      <c r="I310" s="467">
        <v>14505.39</v>
      </c>
      <c r="J310" s="144">
        <f t="shared" si="23"/>
        <v>4</v>
      </c>
      <c r="K310" s="468">
        <v>2.23333E-3</v>
      </c>
      <c r="L310" s="469">
        <f>ROUND(I310*J310*K310,2)</f>
        <v>129.58000000000001</v>
      </c>
      <c r="M310" s="469">
        <f>ROUND(I310*K310*12,2)</f>
        <v>388.74</v>
      </c>
      <c r="N310" s="156"/>
      <c r="O310" s="168"/>
    </row>
    <row r="311" spans="1:15">
      <c r="A311" s="464"/>
      <c r="B311" s="465"/>
      <c r="C311" s="466"/>
      <c r="D311" s="464"/>
      <c r="E311" s="465"/>
      <c r="F311" s="329" t="s">
        <v>2591</v>
      </c>
      <c r="G311" s="404"/>
      <c r="H311" s="404"/>
      <c r="I311" s="312">
        <f>SUM(I305:I310)</f>
        <v>973380.23</v>
      </c>
      <c r="J311" s="405"/>
      <c r="K311" s="406"/>
      <c r="L311" s="312">
        <f t="shared" ref="L311:M311" si="24">SUM(L305:L310)</f>
        <v>8695.51</v>
      </c>
      <c r="M311" s="312">
        <f t="shared" si="24"/>
        <v>26086.55</v>
      </c>
      <c r="N311" s="156"/>
      <c r="O311" s="168"/>
    </row>
    <row r="312" spans="1:15">
      <c r="A312" s="464"/>
      <c r="B312" s="465"/>
      <c r="C312" s="466"/>
      <c r="D312" s="464"/>
      <c r="E312" s="465"/>
      <c r="F312" s="464"/>
      <c r="G312" s="465"/>
      <c r="H312" s="465"/>
      <c r="I312" s="467"/>
      <c r="J312" s="144"/>
      <c r="K312" s="468"/>
      <c r="L312" s="469"/>
      <c r="M312" s="469"/>
      <c r="N312" s="156"/>
      <c r="O312" s="168"/>
    </row>
    <row r="313" spans="1:15">
      <c r="A313" s="464" t="s">
        <v>21</v>
      </c>
      <c r="B313" s="465" t="s">
        <v>1681</v>
      </c>
      <c r="C313" s="466" t="s">
        <v>2003</v>
      </c>
      <c r="D313" s="464" t="s">
        <v>2004</v>
      </c>
      <c r="E313" s="465" t="str">
        <f>VLOOKUP(C313,'[10]Project Detail Query'!$A$1:$R$2830,6,FALSE)</f>
        <v>F0599</v>
      </c>
      <c r="F313" s="464" t="str">
        <f>VLOOKUP(C313,'[10]Project Detail Query'!$A$1:$R$2830,7,FALSE)</f>
        <v>Main Replacement - ISRS (N)</v>
      </c>
      <c r="G313" s="465" t="s">
        <v>20</v>
      </c>
      <c r="H313" s="465">
        <v>201701</v>
      </c>
      <c r="I313" s="467">
        <v>675.32</v>
      </c>
      <c r="J313" s="144">
        <f t="shared" si="23"/>
        <v>4</v>
      </c>
      <c r="K313" s="472">
        <v>1.4833299999999999E-3</v>
      </c>
      <c r="L313" s="469">
        <f>ROUND(I313*J313*K313,2)</f>
        <v>4.01</v>
      </c>
      <c r="M313" s="469">
        <f>ROUND(I313*K313*12,2)</f>
        <v>12.02</v>
      </c>
      <c r="N313" s="156"/>
      <c r="O313" s="168"/>
    </row>
    <row r="314" spans="1:15">
      <c r="A314" s="464" t="s">
        <v>21</v>
      </c>
      <c r="B314" s="465" t="s">
        <v>1681</v>
      </c>
      <c r="C314" s="466" t="s">
        <v>2315</v>
      </c>
      <c r="D314" s="464" t="s">
        <v>2316</v>
      </c>
      <c r="E314" s="465" t="str">
        <f>VLOOKUP(C314,'[10]Project Detail Query'!$A$1:$R$2830,6,FALSE)</f>
        <v>F0599</v>
      </c>
      <c r="F314" s="464" t="str">
        <f>VLOOKUP(C314,'[10]Project Detail Query'!$A$1:$R$2830,7,FALSE)</f>
        <v>Main Replacement - ISRS (N)</v>
      </c>
      <c r="G314" s="465" t="s">
        <v>20</v>
      </c>
      <c r="H314" s="465">
        <v>201701</v>
      </c>
      <c r="I314" s="467">
        <v>-0.02</v>
      </c>
      <c r="J314" s="144">
        <f t="shared" si="23"/>
        <v>4</v>
      </c>
      <c r="K314" s="472">
        <v>1.4833299999999999E-3</v>
      </c>
      <c r="L314" s="469">
        <f>ROUND(I314*J314*K314,2)</f>
        <v>0</v>
      </c>
      <c r="M314" s="469">
        <f>ROUND(I314*K314*12,2)</f>
        <v>0</v>
      </c>
      <c r="N314" s="156"/>
      <c r="O314" s="168"/>
    </row>
    <row r="315" spans="1:15">
      <c r="A315" s="464" t="s">
        <v>626</v>
      </c>
      <c r="B315" s="465" t="s">
        <v>1681</v>
      </c>
      <c r="C315" s="466" t="s">
        <v>1703</v>
      </c>
      <c r="D315" s="464" t="s">
        <v>1704</v>
      </c>
      <c r="E315" s="465" t="str">
        <f>VLOOKUP(C315,'[10]Project Detail Query'!$A$1:$R$2830,6,FALSE)</f>
        <v>F0599</v>
      </c>
      <c r="F315" s="464" t="str">
        <f>VLOOKUP(C315,'[10]Project Detail Query'!$A$1:$R$2830,7,FALSE)</f>
        <v>Main Replacement - ISRS (N)</v>
      </c>
      <c r="G315" s="465" t="s">
        <v>20</v>
      </c>
      <c r="H315" s="465">
        <v>201701</v>
      </c>
      <c r="I315" s="467">
        <v>4000.13</v>
      </c>
      <c r="J315" s="144">
        <f t="shared" si="23"/>
        <v>4</v>
      </c>
      <c r="K315" s="472">
        <v>1.4833299999999999E-3</v>
      </c>
      <c r="L315" s="469">
        <f>ROUND(I315*J315*K315,2)</f>
        <v>23.73</v>
      </c>
      <c r="M315" s="469">
        <f>ROUND(I315*K315*12,2)</f>
        <v>71.2</v>
      </c>
      <c r="N315" s="156"/>
      <c r="O315" s="168"/>
    </row>
    <row r="316" spans="1:15">
      <c r="A316" s="464" t="s">
        <v>626</v>
      </c>
      <c r="B316" s="465" t="s">
        <v>1681</v>
      </c>
      <c r="C316" s="466" t="s">
        <v>2001</v>
      </c>
      <c r="D316" s="464" t="s">
        <v>2002</v>
      </c>
      <c r="E316" s="465" t="str">
        <f>VLOOKUP(C316,'[10]Project Detail Query'!$A$1:$R$2830,6,FALSE)</f>
        <v>F0599</v>
      </c>
      <c r="F316" s="464" t="str">
        <f>VLOOKUP(C316,'[10]Project Detail Query'!$A$1:$R$2830,7,FALSE)</f>
        <v>Main Replacement - ISRS (N)</v>
      </c>
      <c r="G316" s="465" t="s">
        <v>20</v>
      </c>
      <c r="H316" s="465">
        <v>201701</v>
      </c>
      <c r="I316" s="467">
        <v>-3984.54</v>
      </c>
      <c r="J316" s="144">
        <f t="shared" si="23"/>
        <v>4</v>
      </c>
      <c r="K316" s="472">
        <v>1.4833299999999999E-3</v>
      </c>
      <c r="L316" s="469">
        <f>ROUND(I316*J316*K316,2)</f>
        <v>-23.64</v>
      </c>
      <c r="M316" s="469">
        <f>ROUND(I316*K316*12,2)</f>
        <v>-70.92</v>
      </c>
      <c r="N316" s="156"/>
      <c r="O316" s="168"/>
    </row>
    <row r="317" spans="1:15">
      <c r="A317" s="464" t="s">
        <v>626</v>
      </c>
      <c r="B317" s="465" t="s">
        <v>1681</v>
      </c>
      <c r="C317" s="466" t="s">
        <v>2003</v>
      </c>
      <c r="D317" s="464" t="s">
        <v>2004</v>
      </c>
      <c r="E317" s="465" t="str">
        <f>VLOOKUP(C317,'[10]Project Detail Query'!$A$1:$R$2830,6,FALSE)</f>
        <v>F0599</v>
      </c>
      <c r="F317" s="464" t="str">
        <f>VLOOKUP(C317,'[10]Project Detail Query'!$A$1:$R$2830,7,FALSE)</f>
        <v>Main Replacement - ISRS (N)</v>
      </c>
      <c r="G317" s="465" t="s">
        <v>20</v>
      </c>
      <c r="H317" s="465">
        <v>201701</v>
      </c>
      <c r="I317" s="467">
        <v>-15.48</v>
      </c>
      <c r="J317" s="144">
        <f t="shared" si="23"/>
        <v>4</v>
      </c>
      <c r="K317" s="472">
        <v>1.4833299999999999E-3</v>
      </c>
      <c r="L317" s="469">
        <f>ROUND(I317*J317*K317,2)</f>
        <v>-0.09</v>
      </c>
      <c r="M317" s="469">
        <f>ROUND(I317*K317*12,2)</f>
        <v>-0.28000000000000003</v>
      </c>
      <c r="N317" s="156"/>
      <c r="O317" s="168"/>
    </row>
    <row r="318" spans="1:15">
      <c r="A318" s="464" t="s">
        <v>626</v>
      </c>
      <c r="B318" s="465" t="s">
        <v>1681</v>
      </c>
      <c r="C318" s="466" t="s">
        <v>2315</v>
      </c>
      <c r="D318" s="464" t="s">
        <v>2316</v>
      </c>
      <c r="E318" s="465" t="str">
        <f>VLOOKUP(C318,'[10]Project Detail Query'!$A$1:$R$2830,6,FALSE)</f>
        <v>F0599</v>
      </c>
      <c r="F318" s="464" t="str">
        <f>VLOOKUP(C318,'[10]Project Detail Query'!$A$1:$R$2830,7,FALSE)</f>
        <v>Main Replacement - ISRS (N)</v>
      </c>
      <c r="G318" s="465" t="s">
        <v>20</v>
      </c>
      <c r="H318" s="465">
        <v>201701</v>
      </c>
      <c r="I318" s="467">
        <v>-41.35</v>
      </c>
      <c r="J318" s="144">
        <f t="shared" si="23"/>
        <v>4</v>
      </c>
      <c r="K318" s="472">
        <v>1.4833299999999999E-3</v>
      </c>
      <c r="L318" s="469">
        <f>ROUND(I318*J318*K318,2)</f>
        <v>-0.25</v>
      </c>
      <c r="M318" s="469">
        <f>ROUND(I318*K318*12,2)</f>
        <v>-0.74</v>
      </c>
      <c r="N318" s="156"/>
      <c r="O318" s="168"/>
    </row>
    <row r="319" spans="1:15">
      <c r="A319" s="464" t="s">
        <v>626</v>
      </c>
      <c r="B319" s="465" t="s">
        <v>1681</v>
      </c>
      <c r="C319" s="466" t="s">
        <v>2334</v>
      </c>
      <c r="D319" s="464" t="s">
        <v>2335</v>
      </c>
      <c r="E319" s="465" t="str">
        <f>VLOOKUP(C319,'[10]Project Detail Query'!$A$1:$R$2830,6,FALSE)</f>
        <v>F0599</v>
      </c>
      <c r="F319" s="464" t="str">
        <f>VLOOKUP(C319,'[10]Project Detail Query'!$A$1:$R$2830,7,FALSE)</f>
        <v>Main Replacement - ISRS (N)</v>
      </c>
      <c r="G319" s="465" t="s">
        <v>20</v>
      </c>
      <c r="H319" s="465">
        <v>201701</v>
      </c>
      <c r="I319" s="467">
        <v>-488.97</v>
      </c>
      <c r="J319" s="144">
        <f t="shared" si="23"/>
        <v>4</v>
      </c>
      <c r="K319" s="472">
        <v>1.4833299999999999E-3</v>
      </c>
      <c r="L319" s="469">
        <f>ROUND(I319*J319*K319,2)</f>
        <v>-2.9</v>
      </c>
      <c r="M319" s="469">
        <f>ROUND(I319*K319*12,2)</f>
        <v>-8.6999999999999993</v>
      </c>
      <c r="N319" s="156"/>
      <c r="O319" s="168"/>
    </row>
    <row r="320" spans="1:15">
      <c r="A320" s="464" t="s">
        <v>626</v>
      </c>
      <c r="B320" s="465" t="s">
        <v>1681</v>
      </c>
      <c r="C320" s="466" t="s">
        <v>2336</v>
      </c>
      <c r="D320" s="464" t="s">
        <v>2337</v>
      </c>
      <c r="E320" s="465" t="str">
        <f>VLOOKUP(C320,'[10]Project Detail Query'!$A$1:$R$2830,6,FALSE)</f>
        <v>F0599</v>
      </c>
      <c r="F320" s="464" t="str">
        <f>VLOOKUP(C320,'[10]Project Detail Query'!$A$1:$R$2830,7,FALSE)</f>
        <v>Main Replacement - ISRS (N)</v>
      </c>
      <c r="G320" s="465" t="s">
        <v>20</v>
      </c>
      <c r="H320" s="465">
        <v>201701</v>
      </c>
      <c r="I320" s="467">
        <v>303.64999999999998</v>
      </c>
      <c r="J320" s="144">
        <f t="shared" si="23"/>
        <v>4</v>
      </c>
      <c r="K320" s="472">
        <v>1.4833299999999999E-3</v>
      </c>
      <c r="L320" s="469">
        <f>ROUND(I320*J320*K320,2)</f>
        <v>1.8</v>
      </c>
      <c r="M320" s="469">
        <f>ROUND(I320*K320*12,2)</f>
        <v>5.4</v>
      </c>
      <c r="N320" s="156"/>
      <c r="O320" s="168"/>
    </row>
    <row r="321" spans="1:15">
      <c r="A321" s="464" t="s">
        <v>626</v>
      </c>
      <c r="B321" s="465" t="s">
        <v>1681</v>
      </c>
      <c r="C321" s="466" t="s">
        <v>2338</v>
      </c>
      <c r="D321" s="464" t="s">
        <v>2339</v>
      </c>
      <c r="E321" s="465" t="str">
        <f>VLOOKUP(C321,'[10]Project Detail Query'!$A$1:$R$2830,6,FALSE)</f>
        <v>F0599</v>
      </c>
      <c r="F321" s="464" t="str">
        <f>VLOOKUP(C321,'[10]Project Detail Query'!$A$1:$R$2830,7,FALSE)</f>
        <v>Main Replacement - ISRS (N)</v>
      </c>
      <c r="G321" s="465" t="s">
        <v>20</v>
      </c>
      <c r="H321" s="465">
        <v>201701</v>
      </c>
      <c r="I321" s="467">
        <v>486.4</v>
      </c>
      <c r="J321" s="144">
        <f t="shared" si="23"/>
        <v>4</v>
      </c>
      <c r="K321" s="472">
        <v>1.4833299999999999E-3</v>
      </c>
      <c r="L321" s="469">
        <f>ROUND(I321*J321*K321,2)</f>
        <v>2.89</v>
      </c>
      <c r="M321" s="469">
        <f>ROUND(I321*K321*12,2)</f>
        <v>8.66</v>
      </c>
      <c r="N321" s="156"/>
      <c r="O321" s="168"/>
    </row>
    <row r="322" spans="1:15">
      <c r="A322" s="464" t="s">
        <v>626</v>
      </c>
      <c r="B322" s="465" t="s">
        <v>1681</v>
      </c>
      <c r="C322" s="466" t="s">
        <v>2354</v>
      </c>
      <c r="D322" s="464" t="s">
        <v>2355</v>
      </c>
      <c r="E322" s="465" t="str">
        <f>VLOOKUP(C322,'[10]Project Detail Query'!$A$1:$R$2830,6,FALSE)</f>
        <v>F0599</v>
      </c>
      <c r="F322" s="464" t="str">
        <f>VLOOKUP(C322,'[10]Project Detail Query'!$A$1:$R$2830,7,FALSE)</f>
        <v>Main Replacement - ISRS (N)</v>
      </c>
      <c r="G322" s="465" t="s">
        <v>20</v>
      </c>
      <c r="H322" s="465">
        <v>201701</v>
      </c>
      <c r="I322" s="467">
        <v>190.04</v>
      </c>
      <c r="J322" s="144">
        <f t="shared" si="23"/>
        <v>4</v>
      </c>
      <c r="K322" s="472">
        <v>1.4833299999999999E-3</v>
      </c>
      <c r="L322" s="469">
        <f>ROUND(I322*J322*K322,2)</f>
        <v>1.1299999999999999</v>
      </c>
      <c r="M322" s="469">
        <f>ROUND(I322*K322*12,2)</f>
        <v>3.38</v>
      </c>
      <c r="N322" s="156"/>
      <c r="O322" s="168"/>
    </row>
    <row r="323" spans="1:15">
      <c r="A323" s="464" t="s">
        <v>626</v>
      </c>
      <c r="B323" s="465" t="s">
        <v>1681</v>
      </c>
      <c r="C323" s="466" t="s">
        <v>2265</v>
      </c>
      <c r="D323" s="464" t="s">
        <v>2266</v>
      </c>
      <c r="E323" s="465" t="str">
        <f>VLOOKUP(C323,'[10]Project Detail Query'!$A$1:$R$2830,6,FALSE)</f>
        <v>F0599</v>
      </c>
      <c r="F323" s="464" t="str">
        <f>VLOOKUP(C323,'[10]Project Detail Query'!$A$1:$R$2830,7,FALSE)</f>
        <v>Main Replacement - ISRS (N)</v>
      </c>
      <c r="G323" s="465" t="s">
        <v>20</v>
      </c>
      <c r="H323" s="465">
        <v>201701</v>
      </c>
      <c r="I323" s="467">
        <v>23.51</v>
      </c>
      <c r="J323" s="144">
        <f t="shared" si="23"/>
        <v>4</v>
      </c>
      <c r="K323" s="472">
        <v>1.4833299999999999E-3</v>
      </c>
      <c r="L323" s="469">
        <f>ROUND(I323*J323*K323,2)</f>
        <v>0.14000000000000001</v>
      </c>
      <c r="M323" s="469">
        <f>ROUND(I323*K323*12,2)</f>
        <v>0.42</v>
      </c>
      <c r="N323" s="156"/>
      <c r="O323" s="168"/>
    </row>
    <row r="324" spans="1:15">
      <c r="A324" s="464" t="s">
        <v>626</v>
      </c>
      <c r="B324" s="465" t="s">
        <v>1681</v>
      </c>
      <c r="C324" s="466" t="s">
        <v>2319</v>
      </c>
      <c r="D324" s="464" t="s">
        <v>2320</v>
      </c>
      <c r="E324" s="465" t="str">
        <f>VLOOKUP(C324,'[10]Project Detail Query'!$A$1:$R$2830,6,FALSE)</f>
        <v>F0599</v>
      </c>
      <c r="F324" s="464" t="str">
        <f>VLOOKUP(C324,'[10]Project Detail Query'!$A$1:$R$2830,7,FALSE)</f>
        <v>Main Replacement - ISRS (N)</v>
      </c>
      <c r="G324" s="465" t="s">
        <v>20</v>
      </c>
      <c r="H324" s="465">
        <v>201701</v>
      </c>
      <c r="I324" s="467">
        <v>57.13</v>
      </c>
      <c r="J324" s="144">
        <f t="shared" si="23"/>
        <v>4</v>
      </c>
      <c r="K324" s="472">
        <v>1.4833299999999999E-3</v>
      </c>
      <c r="L324" s="469">
        <f>ROUND(I324*J324*K324,2)</f>
        <v>0.34</v>
      </c>
      <c r="M324" s="469">
        <f>ROUND(I324*K324*12,2)</f>
        <v>1.02</v>
      </c>
      <c r="N324" s="156"/>
      <c r="O324" s="168"/>
    </row>
    <row r="325" spans="1:15">
      <c r="A325" s="464" t="s">
        <v>626</v>
      </c>
      <c r="B325" s="465" t="s">
        <v>1681</v>
      </c>
      <c r="C325" s="466" t="s">
        <v>2321</v>
      </c>
      <c r="D325" s="464" t="s">
        <v>2322</v>
      </c>
      <c r="E325" s="465" t="str">
        <f>VLOOKUP(C325,'[10]Project Detail Query'!$A$1:$R$2830,6,FALSE)</f>
        <v>F0599</v>
      </c>
      <c r="F325" s="464" t="str">
        <f>VLOOKUP(C325,'[10]Project Detail Query'!$A$1:$R$2830,7,FALSE)</f>
        <v>Main Replacement - ISRS (N)</v>
      </c>
      <c r="G325" s="465" t="s">
        <v>20</v>
      </c>
      <c r="H325" s="465">
        <v>201701</v>
      </c>
      <c r="I325" s="467">
        <v>602.58000000000004</v>
      </c>
      <c r="J325" s="144">
        <f t="shared" si="23"/>
        <v>4</v>
      </c>
      <c r="K325" s="472">
        <v>1.4833299999999999E-3</v>
      </c>
      <c r="L325" s="469">
        <f>ROUND(I325*J325*K325,2)</f>
        <v>3.58</v>
      </c>
      <c r="M325" s="469">
        <f>ROUND(I325*K325*12,2)</f>
        <v>10.73</v>
      </c>
      <c r="N325" s="156"/>
      <c r="O325" s="168"/>
    </row>
    <row r="326" spans="1:15">
      <c r="A326" s="464" t="s">
        <v>626</v>
      </c>
      <c r="B326" s="465" t="s">
        <v>1681</v>
      </c>
      <c r="C326" s="466" t="s">
        <v>2372</v>
      </c>
      <c r="D326" s="464" t="s">
        <v>2373</v>
      </c>
      <c r="E326" s="465" t="str">
        <f>VLOOKUP(C326,'[10]Project Detail Query'!$A$1:$R$2830,6,FALSE)</f>
        <v>F0599</v>
      </c>
      <c r="F326" s="464" t="str">
        <f>VLOOKUP(C326,'[10]Project Detail Query'!$A$1:$R$2830,7,FALSE)</f>
        <v>Main Replacement - ISRS (N)</v>
      </c>
      <c r="G326" s="465" t="s">
        <v>20</v>
      </c>
      <c r="H326" s="465">
        <v>201701</v>
      </c>
      <c r="I326" s="467">
        <v>3811.11</v>
      </c>
      <c r="J326" s="144">
        <f t="shared" si="23"/>
        <v>4</v>
      </c>
      <c r="K326" s="472">
        <v>1.4833299999999999E-3</v>
      </c>
      <c r="L326" s="469">
        <f>ROUND(I326*J326*K326,2)</f>
        <v>22.61</v>
      </c>
      <c r="M326" s="469">
        <f>ROUND(I326*K326*12,2)</f>
        <v>67.84</v>
      </c>
      <c r="N326" s="156"/>
      <c r="O326" s="168"/>
    </row>
    <row r="327" spans="1:15">
      <c r="A327" s="464" t="s">
        <v>626</v>
      </c>
      <c r="B327" s="465" t="s">
        <v>1681</v>
      </c>
      <c r="C327" s="466" t="s">
        <v>2374</v>
      </c>
      <c r="D327" s="464" t="s">
        <v>2375</v>
      </c>
      <c r="E327" s="465" t="str">
        <f>VLOOKUP(C327,'[10]Project Detail Query'!$A$1:$R$2830,6,FALSE)</f>
        <v>F0599</v>
      </c>
      <c r="F327" s="464" t="str">
        <f>VLOOKUP(C327,'[10]Project Detail Query'!$A$1:$R$2830,7,FALSE)</f>
        <v>Main Replacement - ISRS (N)</v>
      </c>
      <c r="G327" s="465" t="s">
        <v>20</v>
      </c>
      <c r="H327" s="465">
        <v>201701</v>
      </c>
      <c r="I327" s="467">
        <v>110.94</v>
      </c>
      <c r="J327" s="144">
        <f t="shared" si="23"/>
        <v>4</v>
      </c>
      <c r="K327" s="472">
        <v>1.4833299999999999E-3</v>
      </c>
      <c r="L327" s="469">
        <f>ROUND(I327*J327*K327,2)</f>
        <v>0.66</v>
      </c>
      <c r="M327" s="469">
        <f>ROUND(I327*K327*12,2)</f>
        <v>1.97</v>
      </c>
      <c r="N327" s="156"/>
      <c r="O327" s="168"/>
    </row>
    <row r="328" spans="1:15">
      <c r="A328" s="464" t="s">
        <v>626</v>
      </c>
      <c r="B328" s="465" t="s">
        <v>1681</v>
      </c>
      <c r="C328" s="466" t="s">
        <v>2376</v>
      </c>
      <c r="D328" s="464" t="s">
        <v>2377</v>
      </c>
      <c r="E328" s="465" t="str">
        <f>VLOOKUP(C328,'[10]Project Detail Query'!$A$1:$R$2830,6,FALSE)</f>
        <v>F0599</v>
      </c>
      <c r="F328" s="464" t="str">
        <f>VLOOKUP(C328,'[10]Project Detail Query'!$A$1:$R$2830,7,FALSE)</f>
        <v>Main Replacement - ISRS (N)</v>
      </c>
      <c r="G328" s="465" t="s">
        <v>20</v>
      </c>
      <c r="H328" s="465">
        <v>201701</v>
      </c>
      <c r="I328" s="467">
        <v>26.29</v>
      </c>
      <c r="J328" s="144">
        <f t="shared" si="23"/>
        <v>4</v>
      </c>
      <c r="K328" s="472">
        <v>1.4833299999999999E-3</v>
      </c>
      <c r="L328" s="469">
        <f>ROUND(I328*J328*K328,2)</f>
        <v>0.16</v>
      </c>
      <c r="M328" s="469">
        <f>ROUND(I328*K328*12,2)</f>
        <v>0.47</v>
      </c>
      <c r="N328" s="156"/>
      <c r="O328" s="168"/>
    </row>
    <row r="329" spans="1:15">
      <c r="A329" s="464" t="s">
        <v>626</v>
      </c>
      <c r="B329" s="465" t="s">
        <v>1681</v>
      </c>
      <c r="C329" s="466" t="s">
        <v>2380</v>
      </c>
      <c r="D329" s="464" t="s">
        <v>2381</v>
      </c>
      <c r="E329" s="465" t="str">
        <f>VLOOKUP(C329,'[10]Project Detail Query'!$A$1:$R$2830,6,FALSE)</f>
        <v>F0599</v>
      </c>
      <c r="F329" s="464" t="str">
        <f>VLOOKUP(C329,'[10]Project Detail Query'!$A$1:$R$2830,7,FALSE)</f>
        <v>Main Replacement - ISRS (N)</v>
      </c>
      <c r="G329" s="465" t="s">
        <v>20</v>
      </c>
      <c r="H329" s="465">
        <v>201701</v>
      </c>
      <c r="I329" s="467">
        <v>53.03</v>
      </c>
      <c r="J329" s="144">
        <f t="shared" si="23"/>
        <v>4</v>
      </c>
      <c r="K329" s="472">
        <v>1.4833299999999999E-3</v>
      </c>
      <c r="L329" s="469">
        <f>ROUND(I329*J329*K329,2)</f>
        <v>0.31</v>
      </c>
      <c r="M329" s="469">
        <f>ROUND(I329*K329*12,2)</f>
        <v>0.94</v>
      </c>
      <c r="N329" s="156"/>
      <c r="O329" s="168"/>
    </row>
    <row r="330" spans="1:15">
      <c r="A330" s="464" t="s">
        <v>626</v>
      </c>
      <c r="B330" s="465" t="s">
        <v>1681</v>
      </c>
      <c r="C330" s="466" t="s">
        <v>2382</v>
      </c>
      <c r="D330" s="464" t="s">
        <v>2383</v>
      </c>
      <c r="E330" s="465" t="str">
        <f>VLOOKUP(C330,'[10]Project Detail Query'!$A$1:$R$2830,6,FALSE)</f>
        <v>F0599</v>
      </c>
      <c r="F330" s="464" t="str">
        <f>VLOOKUP(C330,'[10]Project Detail Query'!$A$1:$R$2830,7,FALSE)</f>
        <v>Main Replacement - ISRS (N)</v>
      </c>
      <c r="G330" s="465" t="s">
        <v>20</v>
      </c>
      <c r="H330" s="465">
        <v>201701</v>
      </c>
      <c r="I330" s="467">
        <v>1716.01</v>
      </c>
      <c r="J330" s="144">
        <f t="shared" si="23"/>
        <v>4</v>
      </c>
      <c r="K330" s="472">
        <v>1.4833299999999999E-3</v>
      </c>
      <c r="L330" s="469">
        <f>ROUND(I330*J330*K330,2)</f>
        <v>10.18</v>
      </c>
      <c r="M330" s="469">
        <f>ROUND(I330*K330*12,2)</f>
        <v>30.54</v>
      </c>
      <c r="N330" s="156"/>
      <c r="O330" s="168"/>
    </row>
    <row r="331" spans="1:15">
      <c r="A331" s="464" t="s">
        <v>626</v>
      </c>
      <c r="B331" s="465" t="s">
        <v>1681</v>
      </c>
      <c r="C331" s="466" t="s">
        <v>2015</v>
      </c>
      <c r="D331" s="464" t="s">
        <v>2016</v>
      </c>
      <c r="E331" s="465" t="str">
        <f>VLOOKUP(C331,'[10]Project Detail Query'!$A$1:$R$2830,6,FALSE)</f>
        <v>F0599</v>
      </c>
      <c r="F331" s="464" t="str">
        <f>VLOOKUP(C331,'[10]Project Detail Query'!$A$1:$R$2830,7,FALSE)</f>
        <v>Main Replacement - ISRS (N)</v>
      </c>
      <c r="G331" s="465" t="s">
        <v>20</v>
      </c>
      <c r="H331" s="465">
        <v>201701</v>
      </c>
      <c r="I331" s="467">
        <v>2354.12</v>
      </c>
      <c r="J331" s="144">
        <f t="shared" si="23"/>
        <v>4</v>
      </c>
      <c r="K331" s="472">
        <v>1.4833299999999999E-3</v>
      </c>
      <c r="L331" s="469">
        <f>ROUND(I331*J331*K331,2)</f>
        <v>13.97</v>
      </c>
      <c r="M331" s="469">
        <f>ROUND(I331*K331*12,2)</f>
        <v>41.9</v>
      </c>
      <c r="N331" s="156"/>
      <c r="O331" s="168"/>
    </row>
    <row r="332" spans="1:15">
      <c r="A332" s="464" t="s">
        <v>626</v>
      </c>
      <c r="B332" s="465" t="s">
        <v>1681</v>
      </c>
      <c r="C332" s="466" t="s">
        <v>2390</v>
      </c>
      <c r="D332" s="464" t="s">
        <v>2391</v>
      </c>
      <c r="E332" s="465" t="str">
        <f>VLOOKUP(C332,'[10]Project Detail Query'!$A$1:$R$2830,6,FALSE)</f>
        <v>F0599</v>
      </c>
      <c r="F332" s="464" t="str">
        <f>VLOOKUP(C332,'[10]Project Detail Query'!$A$1:$R$2830,7,FALSE)</f>
        <v>Main Replacement - ISRS (N)</v>
      </c>
      <c r="G332" s="465" t="s">
        <v>20</v>
      </c>
      <c r="H332" s="465">
        <v>201701</v>
      </c>
      <c r="I332" s="467">
        <v>2.5099999999999998</v>
      </c>
      <c r="J332" s="144">
        <f t="shared" si="23"/>
        <v>4</v>
      </c>
      <c r="K332" s="472">
        <v>1.4833299999999999E-3</v>
      </c>
      <c r="L332" s="469">
        <f>ROUND(I332*J332*K332,2)</f>
        <v>0.01</v>
      </c>
      <c r="M332" s="469">
        <f>ROUND(I332*K332*12,2)</f>
        <v>0.04</v>
      </c>
      <c r="N332" s="156"/>
      <c r="O332" s="168"/>
    </row>
    <row r="333" spans="1:15">
      <c r="A333" s="464" t="s">
        <v>626</v>
      </c>
      <c r="B333" s="465" t="s">
        <v>1681</v>
      </c>
      <c r="C333" s="466" t="s">
        <v>2085</v>
      </c>
      <c r="D333" s="464" t="s">
        <v>2086</v>
      </c>
      <c r="E333" s="465" t="str">
        <f>VLOOKUP(C333,'[10]Project Detail Query'!$A$1:$R$2830,6,FALSE)</f>
        <v>F0599</v>
      </c>
      <c r="F333" s="464" t="str">
        <f>VLOOKUP(C333,'[10]Project Detail Query'!$A$1:$R$2830,7,FALSE)</f>
        <v>Main Replacement - ISRS (N)</v>
      </c>
      <c r="G333" s="465" t="s">
        <v>20</v>
      </c>
      <c r="H333" s="465">
        <v>201701</v>
      </c>
      <c r="I333" s="467">
        <v>22066.43</v>
      </c>
      <c r="J333" s="144">
        <f t="shared" si="23"/>
        <v>4</v>
      </c>
      <c r="K333" s="472">
        <v>1.4833299999999999E-3</v>
      </c>
      <c r="L333" s="469">
        <f>ROUND(I333*J333*K333,2)</f>
        <v>130.93</v>
      </c>
      <c r="M333" s="469">
        <f>ROUND(I333*K333*12,2)</f>
        <v>392.78</v>
      </c>
      <c r="N333" s="156"/>
      <c r="O333" s="168"/>
    </row>
    <row r="334" spans="1:15">
      <c r="A334" s="464" t="s">
        <v>626</v>
      </c>
      <c r="B334" s="465" t="s">
        <v>1681</v>
      </c>
      <c r="C334" s="466" t="s">
        <v>2416</v>
      </c>
      <c r="D334" s="464" t="s">
        <v>2417</v>
      </c>
      <c r="E334" s="465" t="str">
        <f>VLOOKUP(C334,'[10]Project Detail Query'!$A$1:$R$2830,6,FALSE)</f>
        <v>F0599</v>
      </c>
      <c r="F334" s="464" t="str">
        <f>VLOOKUP(C334,'[10]Project Detail Query'!$A$1:$R$2830,7,FALSE)</f>
        <v>Main Replacement - ISRS (N)</v>
      </c>
      <c r="G334" s="465" t="s">
        <v>20</v>
      </c>
      <c r="H334" s="465">
        <v>201701</v>
      </c>
      <c r="I334" s="467">
        <v>1607.54</v>
      </c>
      <c r="J334" s="144">
        <f t="shared" si="23"/>
        <v>4</v>
      </c>
      <c r="K334" s="472">
        <v>1.4833299999999999E-3</v>
      </c>
      <c r="L334" s="469">
        <f>ROUND(I334*J334*K334,2)</f>
        <v>9.5399999999999991</v>
      </c>
      <c r="M334" s="469">
        <f>ROUND(I334*K334*12,2)</f>
        <v>28.61</v>
      </c>
      <c r="N334" s="156"/>
      <c r="O334" s="168"/>
    </row>
    <row r="335" spans="1:15">
      <c r="A335" s="464" t="s">
        <v>626</v>
      </c>
      <c r="B335" s="465" t="s">
        <v>1681</v>
      </c>
      <c r="C335" s="466" t="s">
        <v>2420</v>
      </c>
      <c r="D335" s="464" t="s">
        <v>2421</v>
      </c>
      <c r="E335" s="465" t="str">
        <f>VLOOKUP(C335,'[10]Project Detail Query'!$A$1:$R$2830,6,FALSE)</f>
        <v>F0599</v>
      </c>
      <c r="F335" s="464" t="str">
        <f>VLOOKUP(C335,'[10]Project Detail Query'!$A$1:$R$2830,7,FALSE)</f>
        <v>Main Replacement - ISRS (N)</v>
      </c>
      <c r="G335" s="465" t="s">
        <v>20</v>
      </c>
      <c r="H335" s="465">
        <v>201701</v>
      </c>
      <c r="I335" s="467">
        <v>71.39</v>
      </c>
      <c r="J335" s="144">
        <f t="shared" si="23"/>
        <v>4</v>
      </c>
      <c r="K335" s="472">
        <v>1.4833299999999999E-3</v>
      </c>
      <c r="L335" s="469">
        <f>ROUND(I335*J335*K335,2)</f>
        <v>0.42</v>
      </c>
      <c r="M335" s="469">
        <f>ROUND(I335*K335*12,2)</f>
        <v>1.27</v>
      </c>
      <c r="N335" s="156"/>
      <c r="O335" s="168"/>
    </row>
    <row r="336" spans="1:15">
      <c r="A336" s="464" t="s">
        <v>626</v>
      </c>
      <c r="B336" s="465" t="s">
        <v>1681</v>
      </c>
      <c r="C336" s="466" t="s">
        <v>2627</v>
      </c>
      <c r="D336" s="464" t="s">
        <v>2628</v>
      </c>
      <c r="E336" s="465" t="str">
        <f>VLOOKUP(C336,'[10]Project Detail Query'!$A$1:$R$2830,6,FALSE)</f>
        <v>F0599</v>
      </c>
      <c r="F336" s="464" t="str">
        <f>VLOOKUP(C336,'[10]Project Detail Query'!$A$1:$R$2830,7,FALSE)</f>
        <v>Main Replacement - ISRS (N)</v>
      </c>
      <c r="G336" s="465" t="s">
        <v>20</v>
      </c>
      <c r="H336" s="465">
        <v>201701</v>
      </c>
      <c r="I336" s="467">
        <v>12024.92</v>
      </c>
      <c r="J336" s="144">
        <f t="shared" si="23"/>
        <v>4</v>
      </c>
      <c r="K336" s="472">
        <v>1.4833299999999999E-3</v>
      </c>
      <c r="L336" s="469">
        <f>ROUND(I336*J336*K336,2)</f>
        <v>71.349999999999994</v>
      </c>
      <c r="M336" s="469">
        <f>ROUND(I336*K336*12,2)</f>
        <v>214.04</v>
      </c>
      <c r="N336" s="156"/>
      <c r="O336" s="168"/>
    </row>
    <row r="337" spans="1:15">
      <c r="A337" s="464" t="s">
        <v>626</v>
      </c>
      <c r="B337" s="465" t="s">
        <v>1681</v>
      </c>
      <c r="C337" s="466" t="s">
        <v>2422</v>
      </c>
      <c r="D337" s="464" t="s">
        <v>2423</v>
      </c>
      <c r="E337" s="465" t="str">
        <f>VLOOKUP(C337,'[10]Project Detail Query'!$A$1:$R$2830,6,FALSE)</f>
        <v>F0599</v>
      </c>
      <c r="F337" s="464" t="str">
        <f>VLOOKUP(C337,'[10]Project Detail Query'!$A$1:$R$2830,7,FALSE)</f>
        <v>Main Replacement - ISRS (N)</v>
      </c>
      <c r="G337" s="465" t="s">
        <v>20</v>
      </c>
      <c r="H337" s="465">
        <v>201701</v>
      </c>
      <c r="I337" s="467">
        <v>11.79</v>
      </c>
      <c r="J337" s="144">
        <f t="shared" si="23"/>
        <v>4</v>
      </c>
      <c r="K337" s="472">
        <v>1.4833299999999999E-3</v>
      </c>
      <c r="L337" s="469">
        <f>ROUND(I337*J337*K337,2)</f>
        <v>7.0000000000000007E-2</v>
      </c>
      <c r="M337" s="469">
        <f>ROUND(I337*K337*12,2)</f>
        <v>0.21</v>
      </c>
      <c r="N337" s="156"/>
      <c r="O337" s="168"/>
    </row>
    <row r="338" spans="1:15">
      <c r="A338" s="464" t="s">
        <v>626</v>
      </c>
      <c r="B338" s="465" t="s">
        <v>1681</v>
      </c>
      <c r="C338" s="466" t="s">
        <v>2446</v>
      </c>
      <c r="D338" s="464" t="s">
        <v>2447</v>
      </c>
      <c r="E338" s="465" t="str">
        <f>VLOOKUP(C338,'[10]Project Detail Query'!$A$1:$R$2830,6,FALSE)</f>
        <v>F0599</v>
      </c>
      <c r="F338" s="464" t="str">
        <f>VLOOKUP(C338,'[10]Project Detail Query'!$A$1:$R$2830,7,FALSE)</f>
        <v>Main Replacement - ISRS (N)</v>
      </c>
      <c r="G338" s="465" t="s">
        <v>20</v>
      </c>
      <c r="H338" s="465">
        <v>201701</v>
      </c>
      <c r="I338" s="467">
        <v>270.52</v>
      </c>
      <c r="J338" s="144">
        <f t="shared" si="23"/>
        <v>4</v>
      </c>
      <c r="K338" s="472">
        <v>1.4833299999999999E-3</v>
      </c>
      <c r="L338" s="469">
        <f>ROUND(I338*J338*K338,2)</f>
        <v>1.61</v>
      </c>
      <c r="M338" s="469">
        <f>ROUND(I338*K338*12,2)</f>
        <v>4.82</v>
      </c>
      <c r="N338" s="156"/>
      <c r="O338" s="168"/>
    </row>
    <row r="339" spans="1:15">
      <c r="A339" s="464" t="s">
        <v>626</v>
      </c>
      <c r="B339" s="465" t="s">
        <v>1681</v>
      </c>
      <c r="C339" s="466" t="s">
        <v>2639</v>
      </c>
      <c r="D339" s="464" t="s">
        <v>2640</v>
      </c>
      <c r="E339" s="465" t="str">
        <f>VLOOKUP(C339,'[10]Project Detail Query'!$A$1:$R$2830,6,FALSE)</f>
        <v>F0599</v>
      </c>
      <c r="F339" s="464" t="str">
        <f>VLOOKUP(C339,'[10]Project Detail Query'!$A$1:$R$2830,7,FALSE)</f>
        <v>Main Replacement - ISRS (N)</v>
      </c>
      <c r="G339" s="465" t="s">
        <v>20</v>
      </c>
      <c r="H339" s="465">
        <v>201701</v>
      </c>
      <c r="I339" s="467">
        <v>24537.77</v>
      </c>
      <c r="J339" s="144">
        <f t="shared" si="23"/>
        <v>4</v>
      </c>
      <c r="K339" s="472">
        <v>1.4833299999999999E-3</v>
      </c>
      <c r="L339" s="469">
        <f>ROUND(I339*J339*K339,2)</f>
        <v>145.59</v>
      </c>
      <c r="M339" s="469">
        <f>ROUND(I339*K339*12,2)</f>
        <v>436.77</v>
      </c>
      <c r="N339" s="156"/>
      <c r="O339" s="168"/>
    </row>
    <row r="340" spans="1:15">
      <c r="A340" s="464" t="s">
        <v>1942</v>
      </c>
      <c r="B340" s="465" t="s">
        <v>1681</v>
      </c>
      <c r="C340" s="466" t="s">
        <v>2380</v>
      </c>
      <c r="D340" s="464" t="s">
        <v>2381</v>
      </c>
      <c r="E340" s="465" t="str">
        <f>VLOOKUP(C340,'[10]Project Detail Query'!$A$1:$R$2830,6,FALSE)</f>
        <v>F0599</v>
      </c>
      <c r="F340" s="464" t="str">
        <f>VLOOKUP(C340,'[10]Project Detail Query'!$A$1:$R$2830,7,FALSE)</f>
        <v>Main Replacement - ISRS (N)</v>
      </c>
      <c r="G340" s="465" t="s">
        <v>20</v>
      </c>
      <c r="H340" s="465">
        <v>201701</v>
      </c>
      <c r="I340" s="467">
        <v>0.15</v>
      </c>
      <c r="J340" s="144">
        <f t="shared" si="23"/>
        <v>4</v>
      </c>
      <c r="K340" s="472">
        <v>2.23333E-3</v>
      </c>
      <c r="L340" s="469">
        <f>ROUND(I340*J340*K340,2)</f>
        <v>0</v>
      </c>
      <c r="M340" s="469">
        <f>ROUND(I340*K340*12,2)</f>
        <v>0</v>
      </c>
      <c r="N340" s="156"/>
      <c r="O340" s="168"/>
    </row>
    <row r="341" spans="1:15">
      <c r="A341" s="464" t="s">
        <v>1942</v>
      </c>
      <c r="B341" s="465" t="s">
        <v>1681</v>
      </c>
      <c r="C341" s="466" t="s">
        <v>2382</v>
      </c>
      <c r="D341" s="464" t="s">
        <v>2383</v>
      </c>
      <c r="E341" s="465" t="str">
        <f>VLOOKUP(C341,'[10]Project Detail Query'!$A$1:$R$2830,6,FALSE)</f>
        <v>F0599</v>
      </c>
      <c r="F341" s="464" t="str">
        <f>VLOOKUP(C341,'[10]Project Detail Query'!$A$1:$R$2830,7,FALSE)</f>
        <v>Main Replacement - ISRS (N)</v>
      </c>
      <c r="G341" s="465" t="s">
        <v>20</v>
      </c>
      <c r="H341" s="465">
        <v>201701</v>
      </c>
      <c r="I341" s="467">
        <v>5.32</v>
      </c>
      <c r="J341" s="144">
        <f t="shared" si="23"/>
        <v>4</v>
      </c>
      <c r="K341" s="472">
        <v>2.23333E-3</v>
      </c>
      <c r="L341" s="469">
        <f>ROUND(I341*J341*K341,2)</f>
        <v>0.05</v>
      </c>
      <c r="M341" s="469">
        <f>ROUND(I341*K341*12,2)</f>
        <v>0.14000000000000001</v>
      </c>
      <c r="N341" s="156"/>
      <c r="O341" s="168"/>
    </row>
    <row r="342" spans="1:15">
      <c r="A342" s="464" t="s">
        <v>1942</v>
      </c>
      <c r="B342" s="465" t="s">
        <v>1681</v>
      </c>
      <c r="C342" s="466" t="s">
        <v>2416</v>
      </c>
      <c r="D342" s="464" t="s">
        <v>2417</v>
      </c>
      <c r="E342" s="465" t="str">
        <f>VLOOKUP(C342,'[10]Project Detail Query'!$A$1:$R$2830,6,FALSE)</f>
        <v>F0599</v>
      </c>
      <c r="F342" s="464" t="str">
        <f>VLOOKUP(C342,'[10]Project Detail Query'!$A$1:$R$2830,7,FALSE)</f>
        <v>Main Replacement - ISRS (N)</v>
      </c>
      <c r="G342" s="465" t="s">
        <v>20</v>
      </c>
      <c r="H342" s="465">
        <v>201701</v>
      </c>
      <c r="I342" s="467">
        <v>3.5</v>
      </c>
      <c r="J342" s="144">
        <f t="shared" si="23"/>
        <v>4</v>
      </c>
      <c r="K342" s="472">
        <v>2.23333E-3</v>
      </c>
      <c r="L342" s="469">
        <f>ROUND(I342*J342*K342,2)</f>
        <v>0.03</v>
      </c>
      <c r="M342" s="469">
        <f>ROUND(I342*K342*12,2)</f>
        <v>0.09</v>
      </c>
      <c r="N342" s="156"/>
      <c r="O342" s="168"/>
    </row>
    <row r="343" spans="1:15">
      <c r="A343" s="464" t="s">
        <v>14</v>
      </c>
      <c r="B343" s="465" t="s">
        <v>1681</v>
      </c>
      <c r="C343" s="466" t="s">
        <v>2001</v>
      </c>
      <c r="D343" s="464" t="s">
        <v>2002</v>
      </c>
      <c r="E343" s="465" t="str">
        <f>VLOOKUP(C343,'[10]Project Detail Query'!$A$1:$R$2830,6,FALSE)</f>
        <v>F0599</v>
      </c>
      <c r="F343" s="464" t="str">
        <f>VLOOKUP(C343,'[10]Project Detail Query'!$A$1:$R$2830,7,FALSE)</f>
        <v>Main Replacement - ISRS (N)</v>
      </c>
      <c r="G343" s="465" t="s">
        <v>20</v>
      </c>
      <c r="H343" s="465">
        <v>201701</v>
      </c>
      <c r="I343" s="467">
        <v>3984.54</v>
      </c>
      <c r="J343" s="144">
        <f t="shared" si="23"/>
        <v>4</v>
      </c>
      <c r="K343" s="468">
        <v>2.23333E-3</v>
      </c>
      <c r="L343" s="469">
        <f>ROUND(I343*J343*K343,2)</f>
        <v>35.6</v>
      </c>
      <c r="M343" s="469">
        <f>ROUND(I343*K343*12,2)</f>
        <v>106.79</v>
      </c>
      <c r="N343" s="156"/>
      <c r="O343" s="168"/>
    </row>
    <row r="344" spans="1:15">
      <c r="A344" s="464" t="s">
        <v>14</v>
      </c>
      <c r="B344" s="465" t="s">
        <v>1681</v>
      </c>
      <c r="C344" s="466" t="s">
        <v>2003</v>
      </c>
      <c r="D344" s="464" t="s">
        <v>2004</v>
      </c>
      <c r="E344" s="465" t="str">
        <f>VLOOKUP(C344,'[10]Project Detail Query'!$A$1:$R$2830,6,FALSE)</f>
        <v>F0599</v>
      </c>
      <c r="F344" s="464" t="str">
        <f>VLOOKUP(C344,'[10]Project Detail Query'!$A$1:$R$2830,7,FALSE)</f>
        <v>Main Replacement - ISRS (N)</v>
      </c>
      <c r="G344" s="465" t="s">
        <v>20</v>
      </c>
      <c r="H344" s="465">
        <v>201701</v>
      </c>
      <c r="I344" s="467">
        <v>-659.84</v>
      </c>
      <c r="J344" s="144">
        <f t="shared" si="23"/>
        <v>4</v>
      </c>
      <c r="K344" s="468">
        <v>2.23333E-3</v>
      </c>
      <c r="L344" s="469">
        <f>ROUND(I344*J344*K344,2)</f>
        <v>-5.89</v>
      </c>
      <c r="M344" s="469">
        <f>ROUND(I344*K344*12,2)</f>
        <v>-17.68</v>
      </c>
      <c r="N344" s="156"/>
      <c r="O344" s="168"/>
    </row>
    <row r="345" spans="1:15">
      <c r="A345" s="464" t="s">
        <v>14</v>
      </c>
      <c r="B345" s="465" t="s">
        <v>1681</v>
      </c>
      <c r="C345" s="466" t="s">
        <v>2315</v>
      </c>
      <c r="D345" s="464" t="s">
        <v>2316</v>
      </c>
      <c r="E345" s="465" t="str">
        <f>VLOOKUP(C345,'[10]Project Detail Query'!$A$1:$R$2830,6,FALSE)</f>
        <v>F0599</v>
      </c>
      <c r="F345" s="464" t="str">
        <f>VLOOKUP(C345,'[10]Project Detail Query'!$A$1:$R$2830,7,FALSE)</f>
        <v>Main Replacement - ISRS (N)</v>
      </c>
      <c r="G345" s="465" t="s">
        <v>20</v>
      </c>
      <c r="H345" s="465">
        <v>201701</v>
      </c>
      <c r="I345" s="467">
        <v>-17.739999999999998</v>
      </c>
      <c r="J345" s="144">
        <f t="shared" si="23"/>
        <v>4</v>
      </c>
      <c r="K345" s="468">
        <v>2.23333E-3</v>
      </c>
      <c r="L345" s="469">
        <f>ROUND(I345*J345*K345,2)</f>
        <v>-0.16</v>
      </c>
      <c r="M345" s="469">
        <f>ROUND(I345*K345*12,2)</f>
        <v>-0.48</v>
      </c>
      <c r="N345" s="156"/>
      <c r="O345" s="168"/>
    </row>
    <row r="346" spans="1:15">
      <c r="A346" s="464" t="s">
        <v>14</v>
      </c>
      <c r="B346" s="465" t="s">
        <v>1681</v>
      </c>
      <c r="C346" s="466" t="s">
        <v>2336</v>
      </c>
      <c r="D346" s="464" t="s">
        <v>2337</v>
      </c>
      <c r="E346" s="465" t="str">
        <f>VLOOKUP(C346,'[10]Project Detail Query'!$A$1:$R$2830,6,FALSE)</f>
        <v>F0599</v>
      </c>
      <c r="F346" s="464" t="str">
        <f>VLOOKUP(C346,'[10]Project Detail Query'!$A$1:$R$2830,7,FALSE)</f>
        <v>Main Replacement - ISRS (N)</v>
      </c>
      <c r="G346" s="465" t="s">
        <v>20</v>
      </c>
      <c r="H346" s="465">
        <v>201701</v>
      </c>
      <c r="I346" s="467">
        <v>1.26</v>
      </c>
      <c r="J346" s="144">
        <f t="shared" si="23"/>
        <v>4</v>
      </c>
      <c r="K346" s="468">
        <v>2.23333E-3</v>
      </c>
      <c r="L346" s="469">
        <f>ROUND(I346*J346*K346,2)</f>
        <v>0.01</v>
      </c>
      <c r="M346" s="469">
        <f>ROUND(I346*K346*12,2)</f>
        <v>0.03</v>
      </c>
      <c r="N346" s="156"/>
      <c r="O346" s="168"/>
    </row>
    <row r="347" spans="1:15">
      <c r="A347" s="464" t="s">
        <v>14</v>
      </c>
      <c r="B347" s="465" t="s">
        <v>1681</v>
      </c>
      <c r="C347" s="466" t="s">
        <v>2338</v>
      </c>
      <c r="D347" s="464" t="s">
        <v>2339</v>
      </c>
      <c r="E347" s="465" t="str">
        <f>VLOOKUP(C347,'[10]Project Detail Query'!$A$1:$R$2830,6,FALSE)</f>
        <v>F0599</v>
      </c>
      <c r="F347" s="464" t="str">
        <f>VLOOKUP(C347,'[10]Project Detail Query'!$A$1:$R$2830,7,FALSE)</f>
        <v>Main Replacement - ISRS (N)</v>
      </c>
      <c r="G347" s="465" t="s">
        <v>20</v>
      </c>
      <c r="H347" s="465">
        <v>201701</v>
      </c>
      <c r="I347" s="467">
        <v>3.63</v>
      </c>
      <c r="J347" s="144">
        <f t="shared" si="23"/>
        <v>4</v>
      </c>
      <c r="K347" s="468">
        <v>2.23333E-3</v>
      </c>
      <c r="L347" s="469">
        <f>ROUND(I347*J347*K347,2)</f>
        <v>0.03</v>
      </c>
      <c r="M347" s="469">
        <f>ROUND(I347*K347*12,2)</f>
        <v>0.1</v>
      </c>
      <c r="N347" s="156"/>
      <c r="O347" s="168"/>
    </row>
    <row r="348" spans="1:15">
      <c r="A348" s="464" t="s">
        <v>14</v>
      </c>
      <c r="B348" s="465" t="s">
        <v>1681</v>
      </c>
      <c r="C348" s="466" t="s">
        <v>2319</v>
      </c>
      <c r="D348" s="464" t="s">
        <v>2320</v>
      </c>
      <c r="E348" s="465" t="str">
        <f>VLOOKUP(C348,'[10]Project Detail Query'!$A$1:$R$2830,6,FALSE)</f>
        <v>F0599</v>
      </c>
      <c r="F348" s="464" t="str">
        <f>VLOOKUP(C348,'[10]Project Detail Query'!$A$1:$R$2830,7,FALSE)</f>
        <v>Main Replacement - ISRS (N)</v>
      </c>
      <c r="G348" s="465" t="s">
        <v>20</v>
      </c>
      <c r="H348" s="465">
        <v>201701</v>
      </c>
      <c r="I348" s="467">
        <v>1.61</v>
      </c>
      <c r="J348" s="144">
        <f t="shared" si="23"/>
        <v>4</v>
      </c>
      <c r="K348" s="468">
        <v>2.23333E-3</v>
      </c>
      <c r="L348" s="469">
        <f>ROUND(I348*J348*K348,2)</f>
        <v>0.01</v>
      </c>
      <c r="M348" s="469">
        <f>ROUND(I348*K348*12,2)</f>
        <v>0.04</v>
      </c>
      <c r="N348" s="156"/>
      <c r="O348" s="168"/>
    </row>
    <row r="349" spans="1:15">
      <c r="A349" s="464" t="s">
        <v>14</v>
      </c>
      <c r="B349" s="465" t="s">
        <v>1681</v>
      </c>
      <c r="C349" s="466" t="s">
        <v>2321</v>
      </c>
      <c r="D349" s="464" t="s">
        <v>2322</v>
      </c>
      <c r="E349" s="465" t="str">
        <f>VLOOKUP(C349,'[10]Project Detail Query'!$A$1:$R$2830,6,FALSE)</f>
        <v>F0599</v>
      </c>
      <c r="F349" s="464" t="str">
        <f>VLOOKUP(C349,'[10]Project Detail Query'!$A$1:$R$2830,7,FALSE)</f>
        <v>Main Replacement - ISRS (N)</v>
      </c>
      <c r="G349" s="465" t="s">
        <v>20</v>
      </c>
      <c r="H349" s="465">
        <v>201701</v>
      </c>
      <c r="I349" s="467">
        <v>5.31</v>
      </c>
      <c r="J349" s="144">
        <f t="shared" si="23"/>
        <v>4</v>
      </c>
      <c r="K349" s="468">
        <v>2.23333E-3</v>
      </c>
      <c r="L349" s="469">
        <f>ROUND(I349*J349*K349,2)</f>
        <v>0.05</v>
      </c>
      <c r="M349" s="469">
        <f>ROUND(I349*K349*12,2)</f>
        <v>0.14000000000000001</v>
      </c>
      <c r="N349" s="156"/>
      <c r="O349" s="168"/>
    </row>
    <row r="350" spans="1:15">
      <c r="A350" s="464" t="s">
        <v>14</v>
      </c>
      <c r="B350" s="465" t="s">
        <v>1681</v>
      </c>
      <c r="C350" s="466" t="s">
        <v>2372</v>
      </c>
      <c r="D350" s="464" t="s">
        <v>2373</v>
      </c>
      <c r="E350" s="465" t="str">
        <f>VLOOKUP(C350,'[10]Project Detail Query'!$A$1:$R$2830,6,FALSE)</f>
        <v>F0599</v>
      </c>
      <c r="F350" s="464" t="str">
        <f>VLOOKUP(C350,'[10]Project Detail Query'!$A$1:$R$2830,7,FALSE)</f>
        <v>Main Replacement - ISRS (N)</v>
      </c>
      <c r="G350" s="465" t="s">
        <v>20</v>
      </c>
      <c r="H350" s="465">
        <v>201701</v>
      </c>
      <c r="I350" s="467">
        <v>47.27</v>
      </c>
      <c r="J350" s="144">
        <f t="shared" si="23"/>
        <v>4</v>
      </c>
      <c r="K350" s="468">
        <v>2.23333E-3</v>
      </c>
      <c r="L350" s="469">
        <f>ROUND(I350*J350*K350,2)</f>
        <v>0.42</v>
      </c>
      <c r="M350" s="469">
        <f>ROUND(I350*K350*12,2)</f>
        <v>1.27</v>
      </c>
      <c r="N350" s="156"/>
      <c r="O350" s="168"/>
    </row>
    <row r="351" spans="1:15">
      <c r="A351" s="464" t="s">
        <v>14</v>
      </c>
      <c r="B351" s="465" t="s">
        <v>1681</v>
      </c>
      <c r="C351" s="466" t="s">
        <v>2374</v>
      </c>
      <c r="D351" s="464" t="s">
        <v>2375</v>
      </c>
      <c r="E351" s="465" t="str">
        <f>VLOOKUP(C351,'[10]Project Detail Query'!$A$1:$R$2830,6,FALSE)</f>
        <v>F0599</v>
      </c>
      <c r="F351" s="464" t="str">
        <f>VLOOKUP(C351,'[10]Project Detail Query'!$A$1:$R$2830,7,FALSE)</f>
        <v>Main Replacement - ISRS (N)</v>
      </c>
      <c r="G351" s="465" t="s">
        <v>20</v>
      </c>
      <c r="H351" s="465">
        <v>201701</v>
      </c>
      <c r="I351" s="467">
        <v>29.85</v>
      </c>
      <c r="J351" s="144">
        <f t="shared" si="23"/>
        <v>4</v>
      </c>
      <c r="K351" s="468">
        <v>2.23333E-3</v>
      </c>
      <c r="L351" s="469">
        <f>ROUND(I351*J351*K351,2)</f>
        <v>0.27</v>
      </c>
      <c r="M351" s="469">
        <f>ROUND(I351*K351*12,2)</f>
        <v>0.8</v>
      </c>
      <c r="N351" s="156"/>
      <c r="O351" s="168"/>
    </row>
    <row r="352" spans="1:15">
      <c r="A352" s="464" t="s">
        <v>14</v>
      </c>
      <c r="B352" s="465" t="s">
        <v>1681</v>
      </c>
      <c r="C352" s="466" t="s">
        <v>2376</v>
      </c>
      <c r="D352" s="464" t="s">
        <v>2377</v>
      </c>
      <c r="E352" s="465" t="str">
        <f>VLOOKUP(C352,'[10]Project Detail Query'!$A$1:$R$2830,6,FALSE)</f>
        <v>F0599</v>
      </c>
      <c r="F352" s="464" t="str">
        <f>VLOOKUP(C352,'[10]Project Detail Query'!$A$1:$R$2830,7,FALSE)</f>
        <v>Main Replacement - ISRS (N)</v>
      </c>
      <c r="G352" s="465" t="s">
        <v>20</v>
      </c>
      <c r="H352" s="465">
        <v>201701</v>
      </c>
      <c r="I352" s="467">
        <v>3.81</v>
      </c>
      <c r="J352" s="144">
        <f t="shared" si="23"/>
        <v>4</v>
      </c>
      <c r="K352" s="468">
        <v>2.23333E-3</v>
      </c>
      <c r="L352" s="469">
        <f>ROUND(I352*J352*K352,2)</f>
        <v>0.03</v>
      </c>
      <c r="M352" s="469">
        <f>ROUND(I352*K352*12,2)</f>
        <v>0.1</v>
      </c>
      <c r="N352" s="156"/>
      <c r="O352" s="168"/>
    </row>
    <row r="353" spans="1:15">
      <c r="A353" s="464" t="s">
        <v>14</v>
      </c>
      <c r="B353" s="465" t="s">
        <v>1681</v>
      </c>
      <c r="C353" s="466" t="s">
        <v>2380</v>
      </c>
      <c r="D353" s="464" t="s">
        <v>2381</v>
      </c>
      <c r="E353" s="465" t="str">
        <f>VLOOKUP(C353,'[10]Project Detail Query'!$A$1:$R$2830,6,FALSE)</f>
        <v>F0599</v>
      </c>
      <c r="F353" s="464" t="str">
        <f>VLOOKUP(C353,'[10]Project Detail Query'!$A$1:$R$2830,7,FALSE)</f>
        <v>Main Replacement - ISRS (N)</v>
      </c>
      <c r="G353" s="465" t="s">
        <v>20</v>
      </c>
      <c r="H353" s="465">
        <v>201701</v>
      </c>
      <c r="I353" s="467">
        <v>12.09</v>
      </c>
      <c r="J353" s="144">
        <f t="shared" si="23"/>
        <v>4</v>
      </c>
      <c r="K353" s="468">
        <v>2.23333E-3</v>
      </c>
      <c r="L353" s="469">
        <f>ROUND(I353*J353*K353,2)</f>
        <v>0.11</v>
      </c>
      <c r="M353" s="469">
        <f>ROUND(I353*K353*12,2)</f>
        <v>0.32</v>
      </c>
      <c r="N353" s="156"/>
      <c r="O353" s="168"/>
    </row>
    <row r="354" spans="1:15">
      <c r="A354" s="464" t="s">
        <v>14</v>
      </c>
      <c r="B354" s="465" t="s">
        <v>1681</v>
      </c>
      <c r="C354" s="466" t="s">
        <v>2382</v>
      </c>
      <c r="D354" s="464" t="s">
        <v>2383</v>
      </c>
      <c r="E354" s="465" t="str">
        <f>VLOOKUP(C354,'[10]Project Detail Query'!$A$1:$R$2830,6,FALSE)</f>
        <v>F0599</v>
      </c>
      <c r="F354" s="464" t="str">
        <f>VLOOKUP(C354,'[10]Project Detail Query'!$A$1:$R$2830,7,FALSE)</f>
        <v>Main Replacement - ISRS (N)</v>
      </c>
      <c r="G354" s="465" t="s">
        <v>20</v>
      </c>
      <c r="H354" s="465">
        <v>201701</v>
      </c>
      <c r="I354" s="467">
        <v>202.55</v>
      </c>
      <c r="J354" s="144">
        <f t="shared" si="23"/>
        <v>4</v>
      </c>
      <c r="K354" s="468">
        <v>2.23333E-3</v>
      </c>
      <c r="L354" s="469">
        <f>ROUND(I354*J354*K354,2)</f>
        <v>1.81</v>
      </c>
      <c r="M354" s="469">
        <f>ROUND(I354*K354*12,2)</f>
        <v>5.43</v>
      </c>
      <c r="N354" s="156"/>
      <c r="O354" s="168"/>
    </row>
    <row r="355" spans="1:15">
      <c r="A355" s="464" t="s">
        <v>14</v>
      </c>
      <c r="B355" s="465" t="s">
        <v>1681</v>
      </c>
      <c r="C355" s="466" t="s">
        <v>2015</v>
      </c>
      <c r="D355" s="464" t="s">
        <v>2016</v>
      </c>
      <c r="E355" s="465" t="str">
        <f>VLOOKUP(C355,'[10]Project Detail Query'!$A$1:$R$2830,6,FALSE)</f>
        <v>F0599</v>
      </c>
      <c r="F355" s="464" t="str">
        <f>VLOOKUP(C355,'[10]Project Detail Query'!$A$1:$R$2830,7,FALSE)</f>
        <v>Main Replacement - ISRS (N)</v>
      </c>
      <c r="G355" s="465" t="s">
        <v>20</v>
      </c>
      <c r="H355" s="465">
        <v>201701</v>
      </c>
      <c r="I355" s="467">
        <v>-2354.12</v>
      </c>
      <c r="J355" s="144">
        <f t="shared" si="23"/>
        <v>4</v>
      </c>
      <c r="K355" s="468">
        <v>2.23333E-3</v>
      </c>
      <c r="L355" s="469">
        <f>ROUND(I355*J355*K355,2)</f>
        <v>-21.03</v>
      </c>
      <c r="M355" s="469">
        <f>ROUND(I355*K355*12,2)</f>
        <v>-63.09</v>
      </c>
      <c r="N355" s="156"/>
      <c r="O355" s="168"/>
    </row>
    <row r="356" spans="1:15">
      <c r="A356" s="464" t="s">
        <v>14</v>
      </c>
      <c r="B356" s="465" t="s">
        <v>1681</v>
      </c>
      <c r="C356" s="466" t="s">
        <v>2390</v>
      </c>
      <c r="D356" s="464" t="s">
        <v>2391</v>
      </c>
      <c r="E356" s="465" t="str">
        <f>VLOOKUP(C356,'[10]Project Detail Query'!$A$1:$R$2830,6,FALSE)</f>
        <v>F0599</v>
      </c>
      <c r="F356" s="464" t="str">
        <f>VLOOKUP(C356,'[10]Project Detail Query'!$A$1:$R$2830,7,FALSE)</f>
        <v>Main Replacement - ISRS (N)</v>
      </c>
      <c r="G356" s="465" t="s">
        <v>20</v>
      </c>
      <c r="H356" s="465">
        <v>201701</v>
      </c>
      <c r="I356" s="467">
        <v>0.27</v>
      </c>
      <c r="J356" s="144">
        <f t="shared" si="23"/>
        <v>4</v>
      </c>
      <c r="K356" s="468">
        <v>2.23333E-3</v>
      </c>
      <c r="L356" s="469">
        <f>ROUND(I356*J356*K356,2)</f>
        <v>0</v>
      </c>
      <c r="M356" s="469">
        <f>ROUND(I356*K356*12,2)</f>
        <v>0.01</v>
      </c>
      <c r="N356" s="156"/>
      <c r="O356" s="168"/>
    </row>
    <row r="357" spans="1:15">
      <c r="A357" s="464" t="s">
        <v>21</v>
      </c>
      <c r="B357" s="465" t="str">
        <f>VLOOKUP(C357,'[10]Project Detail Query'!$A$1:$R$2830,5,FALSE)</f>
        <v>20901155079</v>
      </c>
      <c r="C357" s="466" t="s">
        <v>1957</v>
      </c>
      <c r="D357" s="464" t="s">
        <v>2435</v>
      </c>
      <c r="E357" s="465" t="str">
        <f>VLOOKUP(C357,'[10]Project Detail Query'!$A$1:$R$2830,6,FALSE)</f>
        <v>F0604</v>
      </c>
      <c r="F357" s="464" t="str">
        <f>VLOOKUP(C357,'[10]Project Detail Query'!$A$1:$R$2830,7,FALSE)</f>
        <v>Main Replacement - ISRS (S)</v>
      </c>
      <c r="G357" s="465" t="s">
        <v>20</v>
      </c>
      <c r="H357" s="465">
        <v>201701</v>
      </c>
      <c r="I357" s="467">
        <v>8312.1299999999992</v>
      </c>
      <c r="J357" s="144">
        <f t="shared" si="23"/>
        <v>4</v>
      </c>
      <c r="K357" s="472">
        <v>1.4833299999999999E-3</v>
      </c>
      <c r="L357" s="469">
        <f>ROUND(I357*J357*K357,2)</f>
        <v>49.32</v>
      </c>
      <c r="M357" s="469">
        <f>ROUND(I357*K357*12,2)</f>
        <v>147.96</v>
      </c>
      <c r="N357" s="156"/>
      <c r="O357" s="168"/>
    </row>
    <row r="358" spans="1:15">
      <c r="A358" s="464" t="s">
        <v>21</v>
      </c>
      <c r="B358" s="465" t="s">
        <v>1681</v>
      </c>
      <c r="C358" s="466" t="s">
        <v>2366</v>
      </c>
      <c r="D358" s="464" t="s">
        <v>2367</v>
      </c>
      <c r="E358" s="465" t="str">
        <f>VLOOKUP(C358,'[10]Project Detail Query'!$A$1:$R$2830,6,FALSE)</f>
        <v>F0604</v>
      </c>
      <c r="F358" s="464" t="str">
        <f>VLOOKUP(C358,'[10]Project Detail Query'!$A$1:$R$2830,7,FALSE)</f>
        <v>Main Replacement - ISRS (S)</v>
      </c>
      <c r="G358" s="465" t="s">
        <v>20</v>
      </c>
      <c r="H358" s="465">
        <v>201701</v>
      </c>
      <c r="I358" s="467">
        <v>0.18</v>
      </c>
      <c r="J358" s="144">
        <f t="shared" si="23"/>
        <v>4</v>
      </c>
      <c r="K358" s="472">
        <v>1.4833299999999999E-3</v>
      </c>
      <c r="L358" s="469">
        <f>ROUND(I358*J358*K358,2)</f>
        <v>0</v>
      </c>
      <c r="M358" s="469">
        <f>ROUND(I358*K358*12,2)</f>
        <v>0</v>
      </c>
      <c r="N358" s="156"/>
      <c r="O358" s="168"/>
    </row>
    <row r="359" spans="1:15">
      <c r="A359" s="464" t="s">
        <v>21</v>
      </c>
      <c r="B359" s="465" t="s">
        <v>1681</v>
      </c>
      <c r="C359" s="466" t="s">
        <v>2368</v>
      </c>
      <c r="D359" s="464" t="s">
        <v>2369</v>
      </c>
      <c r="E359" s="465" t="str">
        <f>VLOOKUP(C359,'[10]Project Detail Query'!$A$1:$R$2830,6,FALSE)</f>
        <v>F0604</v>
      </c>
      <c r="F359" s="464" t="str">
        <f>VLOOKUP(C359,'[10]Project Detail Query'!$A$1:$R$2830,7,FALSE)</f>
        <v>Main Replacement - ISRS (S)</v>
      </c>
      <c r="G359" s="465" t="s">
        <v>20</v>
      </c>
      <c r="H359" s="465">
        <v>201701</v>
      </c>
      <c r="I359" s="467">
        <v>0.13</v>
      </c>
      <c r="J359" s="144">
        <f t="shared" si="23"/>
        <v>4</v>
      </c>
      <c r="K359" s="472">
        <v>1.4833299999999999E-3</v>
      </c>
      <c r="L359" s="469">
        <f>ROUND(I359*J359*K359,2)</f>
        <v>0</v>
      </c>
      <c r="M359" s="469">
        <f>ROUND(I359*K359*12,2)</f>
        <v>0</v>
      </c>
      <c r="N359" s="156"/>
      <c r="O359" s="168"/>
    </row>
    <row r="360" spans="1:15">
      <c r="A360" s="464" t="s">
        <v>21</v>
      </c>
      <c r="B360" s="465" t="s">
        <v>1681</v>
      </c>
      <c r="C360" s="466" t="s">
        <v>2075</v>
      </c>
      <c r="D360" s="464" t="s">
        <v>2076</v>
      </c>
      <c r="E360" s="465" t="str">
        <f>VLOOKUP(C360,'[10]Project Detail Query'!$A$1:$R$2830,6,FALSE)</f>
        <v>F0604</v>
      </c>
      <c r="F360" s="464" t="str">
        <f>VLOOKUP(C360,'[10]Project Detail Query'!$A$1:$R$2830,7,FALSE)</f>
        <v>Main Replacement - ISRS (S)</v>
      </c>
      <c r="G360" s="465" t="s">
        <v>20</v>
      </c>
      <c r="H360" s="465">
        <v>201701</v>
      </c>
      <c r="I360" s="467">
        <v>-8549.7800000000007</v>
      </c>
      <c r="J360" s="144">
        <f t="shared" si="23"/>
        <v>4</v>
      </c>
      <c r="K360" s="472">
        <v>1.4833299999999999E-3</v>
      </c>
      <c r="L360" s="469">
        <f>ROUND(I360*J360*K360,2)</f>
        <v>-50.73</v>
      </c>
      <c r="M360" s="469">
        <f>ROUND(I360*K360*12,2)</f>
        <v>-152.19</v>
      </c>
      <c r="N360" s="156"/>
      <c r="O360" s="168"/>
    </row>
    <row r="361" spans="1:15">
      <c r="A361" s="464" t="s">
        <v>21</v>
      </c>
      <c r="B361" s="465" t="s">
        <v>1681</v>
      </c>
      <c r="C361" s="466" t="s">
        <v>2392</v>
      </c>
      <c r="D361" s="464" t="s">
        <v>2393</v>
      </c>
      <c r="E361" s="465" t="str">
        <f>VLOOKUP(C361,'[10]Project Detail Query'!$A$1:$R$2830,6,FALSE)</f>
        <v>F0604</v>
      </c>
      <c r="F361" s="464" t="str">
        <f>VLOOKUP(C361,'[10]Project Detail Query'!$A$1:$R$2830,7,FALSE)</f>
        <v>Main Replacement - ISRS (S)</v>
      </c>
      <c r="G361" s="465" t="s">
        <v>20</v>
      </c>
      <c r="H361" s="465">
        <v>201701</v>
      </c>
      <c r="I361" s="467">
        <v>7.0000000000000007E-2</v>
      </c>
      <c r="J361" s="144">
        <f t="shared" si="23"/>
        <v>4</v>
      </c>
      <c r="K361" s="472">
        <v>1.4833299999999999E-3</v>
      </c>
      <c r="L361" s="469">
        <f>ROUND(I361*J361*K361,2)</f>
        <v>0</v>
      </c>
      <c r="M361" s="469">
        <f>ROUND(I361*K361*12,2)</f>
        <v>0</v>
      </c>
      <c r="N361" s="156"/>
      <c r="O361" s="168"/>
    </row>
    <row r="362" spans="1:15">
      <c r="A362" s="464" t="s">
        <v>21</v>
      </c>
      <c r="B362" s="465" t="s">
        <v>1681</v>
      </c>
      <c r="C362" s="466" t="s">
        <v>2418</v>
      </c>
      <c r="D362" s="464" t="s">
        <v>2419</v>
      </c>
      <c r="E362" s="465" t="str">
        <f>VLOOKUP(C362,'[10]Project Detail Query'!$A$1:$R$2830,6,FALSE)</f>
        <v>F0604</v>
      </c>
      <c r="F362" s="464" t="str">
        <f>VLOOKUP(C362,'[10]Project Detail Query'!$A$1:$R$2830,7,FALSE)</f>
        <v>Main Replacement - ISRS (S)</v>
      </c>
      <c r="G362" s="465" t="s">
        <v>20</v>
      </c>
      <c r="H362" s="465">
        <v>201701</v>
      </c>
      <c r="I362" s="467">
        <v>578.55999999999995</v>
      </c>
      <c r="J362" s="144">
        <f t="shared" si="23"/>
        <v>4</v>
      </c>
      <c r="K362" s="472">
        <v>1.4833299999999999E-3</v>
      </c>
      <c r="L362" s="469">
        <f>ROUND(I362*J362*K362,2)</f>
        <v>3.43</v>
      </c>
      <c r="M362" s="469">
        <f>ROUND(I362*K362*12,2)</f>
        <v>10.3</v>
      </c>
      <c r="N362" s="156"/>
      <c r="O362" s="168"/>
    </row>
    <row r="363" spans="1:15">
      <c r="A363" s="464" t="s">
        <v>626</v>
      </c>
      <c r="B363" s="465" t="s">
        <v>1681</v>
      </c>
      <c r="C363" s="466" t="s">
        <v>1705</v>
      </c>
      <c r="D363" s="464" t="s">
        <v>1706</v>
      </c>
      <c r="E363" s="465" t="str">
        <f>VLOOKUP(C363,'[10]Project Detail Query'!$A$1:$R$2830,6,FALSE)</f>
        <v>F0604</v>
      </c>
      <c r="F363" s="464" t="str">
        <f>VLOOKUP(C363,'[10]Project Detail Query'!$A$1:$R$2830,7,FALSE)</f>
        <v>Main Replacement - ISRS (S)</v>
      </c>
      <c r="G363" s="465" t="s">
        <v>20</v>
      </c>
      <c r="H363" s="465">
        <v>201701</v>
      </c>
      <c r="I363" s="467">
        <v>45382.57</v>
      </c>
      <c r="J363" s="144">
        <f t="shared" si="23"/>
        <v>4</v>
      </c>
      <c r="K363" s="472">
        <v>1.4833299999999999E-3</v>
      </c>
      <c r="L363" s="469">
        <f>ROUND(I363*J363*K363,2)</f>
        <v>269.27</v>
      </c>
      <c r="M363" s="469">
        <f>ROUND(I363*K363*12,2)</f>
        <v>807.81</v>
      </c>
      <c r="N363" s="156"/>
      <c r="O363" s="168"/>
    </row>
    <row r="364" spans="1:15">
      <c r="A364" s="464" t="s">
        <v>626</v>
      </c>
      <c r="B364" s="465" t="s">
        <v>1681</v>
      </c>
      <c r="C364" s="466" t="s">
        <v>1707</v>
      </c>
      <c r="D364" s="464" t="s">
        <v>1708</v>
      </c>
      <c r="E364" s="465" t="str">
        <f>VLOOKUP(C364,'[10]Project Detail Query'!$A$1:$R$2830,6,FALSE)</f>
        <v>F0604</v>
      </c>
      <c r="F364" s="464" t="str">
        <f>VLOOKUP(C364,'[10]Project Detail Query'!$A$1:$R$2830,7,FALSE)</f>
        <v>Main Replacement - ISRS (S)</v>
      </c>
      <c r="G364" s="465" t="s">
        <v>20</v>
      </c>
      <c r="H364" s="465">
        <v>201701</v>
      </c>
      <c r="I364" s="467">
        <v>2618.46</v>
      </c>
      <c r="J364" s="144">
        <f t="shared" si="23"/>
        <v>4</v>
      </c>
      <c r="K364" s="472">
        <v>1.4833299999999999E-3</v>
      </c>
      <c r="L364" s="469">
        <f>ROUND(I364*J364*K364,2)</f>
        <v>15.54</v>
      </c>
      <c r="M364" s="469">
        <f>ROUND(I364*K364*12,2)</f>
        <v>46.61</v>
      </c>
      <c r="N364" s="156"/>
      <c r="O364" s="168"/>
    </row>
    <row r="365" spans="1:15">
      <c r="A365" s="464" t="s">
        <v>626</v>
      </c>
      <c r="B365" s="465" t="str">
        <f>VLOOKUP(C365,'[10]Project Detail Query'!$A$1:$R$2830,5,FALSE)</f>
        <v>20305155105</v>
      </c>
      <c r="C365" s="466" t="s">
        <v>1931</v>
      </c>
      <c r="D365" s="464" t="s">
        <v>1932</v>
      </c>
      <c r="E365" s="465" t="str">
        <f>VLOOKUP(C365,'[10]Project Detail Query'!$A$1:$R$2830,6,FALSE)</f>
        <v>F0604</v>
      </c>
      <c r="F365" s="464" t="str">
        <f>VLOOKUP(C365,'[10]Project Detail Query'!$A$1:$R$2830,7,FALSE)</f>
        <v>Main Replacement - ISRS (S)</v>
      </c>
      <c r="G365" s="465" t="s">
        <v>20</v>
      </c>
      <c r="H365" s="465">
        <v>201701</v>
      </c>
      <c r="I365" s="467">
        <v>863.33</v>
      </c>
      <c r="J365" s="144">
        <f t="shared" si="23"/>
        <v>4</v>
      </c>
      <c r="K365" s="472">
        <v>1.4833299999999999E-3</v>
      </c>
      <c r="L365" s="469">
        <f>ROUND(I365*J365*K365,2)</f>
        <v>5.12</v>
      </c>
      <c r="M365" s="469">
        <f>ROUND(I365*K365*12,2)</f>
        <v>15.37</v>
      </c>
      <c r="N365" s="156"/>
      <c r="O365" s="168"/>
    </row>
    <row r="366" spans="1:15">
      <c r="A366" s="464" t="s">
        <v>626</v>
      </c>
      <c r="B366" s="465" t="str">
        <f>VLOOKUP(C366,'[10]Project Detail Query'!$A$1:$R$2830,5,FALSE)</f>
        <v>20902155399</v>
      </c>
      <c r="C366" s="466" t="s">
        <v>2293</v>
      </c>
      <c r="D366" s="464" t="s">
        <v>2295</v>
      </c>
      <c r="E366" s="465" t="str">
        <f>VLOOKUP(C366,'[10]Project Detail Query'!$A$1:$R$2830,6,FALSE)</f>
        <v>F0604</v>
      </c>
      <c r="F366" s="464" t="str">
        <f>VLOOKUP(C366,'[10]Project Detail Query'!$A$1:$R$2830,7,FALSE)</f>
        <v>Main Replacement - ISRS (S)</v>
      </c>
      <c r="G366" s="465" t="s">
        <v>20</v>
      </c>
      <c r="H366" s="465">
        <v>201701</v>
      </c>
      <c r="I366" s="467">
        <v>32.619999999999997</v>
      </c>
      <c r="J366" s="144">
        <f t="shared" si="23"/>
        <v>4</v>
      </c>
      <c r="K366" s="472">
        <v>1.4833299999999999E-3</v>
      </c>
      <c r="L366" s="469">
        <f>ROUND(I366*J366*K366,2)</f>
        <v>0.19</v>
      </c>
      <c r="M366" s="469">
        <f>ROUND(I366*K366*12,2)</f>
        <v>0.57999999999999996</v>
      </c>
      <c r="N366" s="156"/>
      <c r="O366" s="168"/>
    </row>
    <row r="367" spans="1:15">
      <c r="A367" s="464" t="s">
        <v>626</v>
      </c>
      <c r="B367" s="465" t="str">
        <f>VLOOKUP(C367,'[10]Project Detail Query'!$A$1:$R$2830,5,FALSE)</f>
        <v>20902155379</v>
      </c>
      <c r="C367" s="466" t="s">
        <v>2331</v>
      </c>
      <c r="D367" s="464" t="s">
        <v>2053</v>
      </c>
      <c r="E367" s="465" t="str">
        <f>VLOOKUP(C367,'[10]Project Detail Query'!$A$1:$R$2830,6,FALSE)</f>
        <v>F0604</v>
      </c>
      <c r="F367" s="464" t="str">
        <f>VLOOKUP(C367,'[10]Project Detail Query'!$A$1:$R$2830,7,FALSE)</f>
        <v>Main Replacement - ISRS (S)</v>
      </c>
      <c r="G367" s="465" t="s">
        <v>20</v>
      </c>
      <c r="H367" s="465">
        <v>201701</v>
      </c>
      <c r="I367" s="467">
        <v>9700.67</v>
      </c>
      <c r="J367" s="144">
        <f t="shared" si="23"/>
        <v>4</v>
      </c>
      <c r="K367" s="472">
        <v>1.4833299999999999E-3</v>
      </c>
      <c r="L367" s="469">
        <f>ROUND(I367*J367*K367,2)</f>
        <v>57.56</v>
      </c>
      <c r="M367" s="469">
        <f>ROUND(I367*K367*12,2)</f>
        <v>172.67</v>
      </c>
      <c r="N367" s="156"/>
      <c r="O367" s="168"/>
    </row>
    <row r="368" spans="1:15">
      <c r="A368" s="464" t="s">
        <v>626</v>
      </c>
      <c r="B368" s="465" t="s">
        <v>1681</v>
      </c>
      <c r="C368" s="466" t="s">
        <v>2342</v>
      </c>
      <c r="D368" s="464" t="s">
        <v>2343</v>
      </c>
      <c r="E368" s="465" t="str">
        <f>VLOOKUP(C368,'[10]Project Detail Query'!$A$1:$R$2830,6,FALSE)</f>
        <v>F0604</v>
      </c>
      <c r="F368" s="464" t="str">
        <f>VLOOKUP(C368,'[10]Project Detail Query'!$A$1:$R$2830,7,FALSE)</f>
        <v>Main Replacement - ISRS (S)</v>
      </c>
      <c r="G368" s="465" t="s">
        <v>20</v>
      </c>
      <c r="H368" s="465">
        <v>201701</v>
      </c>
      <c r="I368" s="467">
        <v>12879.68</v>
      </c>
      <c r="J368" s="144">
        <f t="shared" si="23"/>
        <v>4</v>
      </c>
      <c r="K368" s="472">
        <v>1.4833299999999999E-3</v>
      </c>
      <c r="L368" s="469">
        <f>ROUND(I368*J368*K368,2)</f>
        <v>76.42</v>
      </c>
      <c r="M368" s="469">
        <f>ROUND(I368*K368*12,2)</f>
        <v>229.26</v>
      </c>
      <c r="N368" s="156"/>
      <c r="O368" s="168"/>
    </row>
    <row r="369" spans="1:15">
      <c r="A369" s="464" t="s">
        <v>626</v>
      </c>
      <c r="B369" s="465" t="s">
        <v>1681</v>
      </c>
      <c r="C369" s="466" t="s">
        <v>2344</v>
      </c>
      <c r="D369" s="464" t="s">
        <v>2345</v>
      </c>
      <c r="E369" s="465" t="str">
        <f>VLOOKUP(C369,'[10]Project Detail Query'!$A$1:$R$2830,6,FALSE)</f>
        <v>F0604</v>
      </c>
      <c r="F369" s="464" t="str">
        <f>VLOOKUP(C369,'[10]Project Detail Query'!$A$1:$R$2830,7,FALSE)</f>
        <v>Main Replacement - ISRS (S)</v>
      </c>
      <c r="G369" s="465" t="s">
        <v>20</v>
      </c>
      <c r="H369" s="465">
        <v>201701</v>
      </c>
      <c r="I369" s="467">
        <v>85.91</v>
      </c>
      <c r="J369" s="144">
        <f t="shared" si="23"/>
        <v>4</v>
      </c>
      <c r="K369" s="472">
        <v>1.4833299999999999E-3</v>
      </c>
      <c r="L369" s="469">
        <f>ROUND(I369*J369*K369,2)</f>
        <v>0.51</v>
      </c>
      <c r="M369" s="469">
        <f>ROUND(I369*K369*12,2)</f>
        <v>1.53</v>
      </c>
      <c r="N369" s="156"/>
      <c r="O369" s="168"/>
    </row>
    <row r="370" spans="1:15">
      <c r="A370" s="464" t="s">
        <v>626</v>
      </c>
      <c r="B370" s="465" t="s">
        <v>1681</v>
      </c>
      <c r="C370" s="466" t="s">
        <v>2346</v>
      </c>
      <c r="D370" s="464" t="s">
        <v>2347</v>
      </c>
      <c r="E370" s="465" t="str">
        <f>VLOOKUP(C370,'[10]Project Detail Query'!$A$1:$R$2830,6,FALSE)</f>
        <v>F0604</v>
      </c>
      <c r="F370" s="464" t="str">
        <f>VLOOKUP(C370,'[10]Project Detail Query'!$A$1:$R$2830,7,FALSE)</f>
        <v>Main Replacement - ISRS (S)</v>
      </c>
      <c r="G370" s="465" t="s">
        <v>20</v>
      </c>
      <c r="H370" s="465">
        <v>201701</v>
      </c>
      <c r="I370" s="467">
        <v>-13345.28</v>
      </c>
      <c r="J370" s="144">
        <f t="shared" si="23"/>
        <v>4</v>
      </c>
      <c r="K370" s="472">
        <v>1.4833299999999999E-3</v>
      </c>
      <c r="L370" s="469">
        <f>ROUND(I370*J370*K370,2)</f>
        <v>-79.180000000000007</v>
      </c>
      <c r="M370" s="469">
        <f>ROUND(I370*K370*12,2)</f>
        <v>-237.55</v>
      </c>
      <c r="N370" s="156"/>
      <c r="O370" s="168"/>
    </row>
    <row r="371" spans="1:15">
      <c r="A371" s="464" t="s">
        <v>626</v>
      </c>
      <c r="B371" s="465" t="s">
        <v>1681</v>
      </c>
      <c r="C371" s="466" t="s">
        <v>2348</v>
      </c>
      <c r="D371" s="464" t="s">
        <v>2349</v>
      </c>
      <c r="E371" s="465" t="str">
        <f>VLOOKUP(C371,'[10]Project Detail Query'!$A$1:$R$2830,6,FALSE)</f>
        <v>F0604</v>
      </c>
      <c r="F371" s="464" t="str">
        <f>VLOOKUP(C371,'[10]Project Detail Query'!$A$1:$R$2830,7,FALSE)</f>
        <v>Main Replacement - ISRS (S)</v>
      </c>
      <c r="G371" s="465" t="s">
        <v>20</v>
      </c>
      <c r="H371" s="465">
        <v>201701</v>
      </c>
      <c r="I371" s="467">
        <v>131.35</v>
      </c>
      <c r="J371" s="144">
        <f t="shared" ref="J371:J434" si="25">HLOOKUP(H371,$Q$2:$W$3,2)</f>
        <v>4</v>
      </c>
      <c r="K371" s="472">
        <v>1.4833299999999999E-3</v>
      </c>
      <c r="L371" s="469">
        <f>ROUND(I371*J371*K371,2)</f>
        <v>0.78</v>
      </c>
      <c r="M371" s="469">
        <f>ROUND(I371*K371*12,2)</f>
        <v>2.34</v>
      </c>
      <c r="N371" s="156"/>
      <c r="O371" s="168"/>
    </row>
    <row r="372" spans="1:15">
      <c r="A372" s="464" t="s">
        <v>626</v>
      </c>
      <c r="B372" s="465" t="s">
        <v>1681</v>
      </c>
      <c r="C372" s="466" t="s">
        <v>2350</v>
      </c>
      <c r="D372" s="464" t="s">
        <v>2351</v>
      </c>
      <c r="E372" s="465" t="str">
        <f>VLOOKUP(C372,'[10]Project Detail Query'!$A$1:$R$2830,6,FALSE)</f>
        <v>F0604</v>
      </c>
      <c r="F372" s="464" t="str">
        <f>VLOOKUP(C372,'[10]Project Detail Query'!$A$1:$R$2830,7,FALSE)</f>
        <v>Main Replacement - ISRS (S)</v>
      </c>
      <c r="G372" s="465" t="s">
        <v>20</v>
      </c>
      <c r="H372" s="465">
        <v>201701</v>
      </c>
      <c r="I372" s="467">
        <v>2471.62</v>
      </c>
      <c r="J372" s="144">
        <f t="shared" si="25"/>
        <v>4</v>
      </c>
      <c r="K372" s="472">
        <v>1.4833299999999999E-3</v>
      </c>
      <c r="L372" s="469">
        <f>ROUND(I372*J372*K372,2)</f>
        <v>14.66</v>
      </c>
      <c r="M372" s="469">
        <f>ROUND(I372*K372*12,2)</f>
        <v>43.99</v>
      </c>
      <c r="N372" s="156"/>
      <c r="O372" s="168"/>
    </row>
    <row r="373" spans="1:15">
      <c r="A373" s="464" t="s">
        <v>626</v>
      </c>
      <c r="B373" s="465" t="s">
        <v>1681</v>
      </c>
      <c r="C373" s="466" t="s">
        <v>2352</v>
      </c>
      <c r="D373" s="464" t="s">
        <v>2353</v>
      </c>
      <c r="E373" s="465" t="str">
        <f>VLOOKUP(C373,'[10]Project Detail Query'!$A$1:$R$2830,6,FALSE)</f>
        <v>F0604</v>
      </c>
      <c r="F373" s="464" t="str">
        <f>VLOOKUP(C373,'[10]Project Detail Query'!$A$1:$R$2830,7,FALSE)</f>
        <v>Main Replacement - ISRS (S)</v>
      </c>
      <c r="G373" s="465" t="s">
        <v>20</v>
      </c>
      <c r="H373" s="465">
        <v>201701</v>
      </c>
      <c r="I373" s="467">
        <v>9679.6299999999992</v>
      </c>
      <c r="J373" s="144">
        <f t="shared" si="25"/>
        <v>4</v>
      </c>
      <c r="K373" s="472">
        <v>1.4833299999999999E-3</v>
      </c>
      <c r="L373" s="469">
        <f>ROUND(I373*J373*K373,2)</f>
        <v>57.43</v>
      </c>
      <c r="M373" s="469">
        <f>ROUND(I373*K373*12,2)</f>
        <v>172.3</v>
      </c>
      <c r="N373" s="156"/>
      <c r="O373" s="168"/>
    </row>
    <row r="374" spans="1:15">
      <c r="A374" s="464" t="s">
        <v>626</v>
      </c>
      <c r="B374" s="465" t="s">
        <v>1681</v>
      </c>
      <c r="C374" s="466" t="s">
        <v>2358</v>
      </c>
      <c r="D374" s="464" t="s">
        <v>2359</v>
      </c>
      <c r="E374" s="465" t="str">
        <f>VLOOKUP(C374,'[10]Project Detail Query'!$A$1:$R$2830,6,FALSE)</f>
        <v>F0604</v>
      </c>
      <c r="F374" s="464" t="str">
        <f>VLOOKUP(C374,'[10]Project Detail Query'!$A$1:$R$2830,7,FALSE)</f>
        <v>Main Replacement - ISRS (S)</v>
      </c>
      <c r="G374" s="465" t="s">
        <v>20</v>
      </c>
      <c r="H374" s="465">
        <v>201701</v>
      </c>
      <c r="I374" s="467">
        <v>1243.8599999999999</v>
      </c>
      <c r="J374" s="144">
        <f t="shared" si="25"/>
        <v>4</v>
      </c>
      <c r="K374" s="472">
        <v>1.4833299999999999E-3</v>
      </c>
      <c r="L374" s="469">
        <f>ROUND(I374*J374*K374,2)</f>
        <v>7.38</v>
      </c>
      <c r="M374" s="469">
        <f>ROUND(I374*K374*12,2)</f>
        <v>22.14</v>
      </c>
      <c r="N374" s="156"/>
      <c r="O374" s="168"/>
    </row>
    <row r="375" spans="1:15">
      <c r="A375" s="464" t="s">
        <v>626</v>
      </c>
      <c r="B375" s="465" t="s">
        <v>1681</v>
      </c>
      <c r="C375" s="466" t="s">
        <v>2360</v>
      </c>
      <c r="D375" s="464" t="s">
        <v>2361</v>
      </c>
      <c r="E375" s="465" t="str">
        <f>VLOOKUP(C375,'[10]Project Detail Query'!$A$1:$R$2830,6,FALSE)</f>
        <v>F0604</v>
      </c>
      <c r="F375" s="464" t="str">
        <f>VLOOKUP(C375,'[10]Project Detail Query'!$A$1:$R$2830,7,FALSE)</f>
        <v>Main Replacement - ISRS (S)</v>
      </c>
      <c r="G375" s="465" t="s">
        <v>20</v>
      </c>
      <c r="H375" s="465">
        <v>201701</v>
      </c>
      <c r="I375" s="467">
        <v>738.94</v>
      </c>
      <c r="J375" s="144">
        <f t="shared" si="25"/>
        <v>4</v>
      </c>
      <c r="K375" s="472">
        <v>1.4833299999999999E-3</v>
      </c>
      <c r="L375" s="469">
        <f>ROUND(I375*J375*K375,2)</f>
        <v>4.38</v>
      </c>
      <c r="M375" s="469">
        <f>ROUND(I375*K375*12,2)</f>
        <v>13.15</v>
      </c>
      <c r="N375" s="156"/>
      <c r="O375" s="168"/>
    </row>
    <row r="376" spans="1:15">
      <c r="A376" s="464" t="s">
        <v>626</v>
      </c>
      <c r="B376" s="465" t="s">
        <v>1681</v>
      </c>
      <c r="C376" s="466" t="s">
        <v>2362</v>
      </c>
      <c r="D376" s="464" t="s">
        <v>2363</v>
      </c>
      <c r="E376" s="465" t="str">
        <f>VLOOKUP(C376,'[10]Project Detail Query'!$A$1:$R$2830,6,FALSE)</f>
        <v>F0604</v>
      </c>
      <c r="F376" s="464" t="str">
        <f>VLOOKUP(C376,'[10]Project Detail Query'!$A$1:$R$2830,7,FALSE)</f>
        <v>Main Replacement - ISRS (S)</v>
      </c>
      <c r="G376" s="465" t="s">
        <v>20</v>
      </c>
      <c r="H376" s="465">
        <v>201701</v>
      </c>
      <c r="I376" s="467">
        <v>5617.49</v>
      </c>
      <c r="J376" s="144">
        <f t="shared" si="25"/>
        <v>4</v>
      </c>
      <c r="K376" s="472">
        <v>1.4833299999999999E-3</v>
      </c>
      <c r="L376" s="469">
        <f>ROUND(I376*J376*K376,2)</f>
        <v>33.33</v>
      </c>
      <c r="M376" s="469">
        <f>ROUND(I376*K376*12,2)</f>
        <v>99.99</v>
      </c>
      <c r="N376" s="156"/>
      <c r="O376" s="168"/>
    </row>
    <row r="377" spans="1:15">
      <c r="A377" s="464" t="s">
        <v>626</v>
      </c>
      <c r="B377" s="465" t="s">
        <v>1681</v>
      </c>
      <c r="C377" s="466" t="s">
        <v>2364</v>
      </c>
      <c r="D377" s="464" t="s">
        <v>2365</v>
      </c>
      <c r="E377" s="465" t="str">
        <f>VLOOKUP(C377,'[10]Project Detail Query'!$A$1:$R$2830,6,FALSE)</f>
        <v>F0604</v>
      </c>
      <c r="F377" s="464" t="str">
        <f>VLOOKUP(C377,'[10]Project Detail Query'!$A$1:$R$2830,7,FALSE)</f>
        <v>Main Replacement - ISRS (S)</v>
      </c>
      <c r="G377" s="465" t="s">
        <v>20</v>
      </c>
      <c r="H377" s="465">
        <v>201701</v>
      </c>
      <c r="I377" s="467">
        <v>5988</v>
      </c>
      <c r="J377" s="144">
        <f t="shared" si="25"/>
        <v>4</v>
      </c>
      <c r="K377" s="472">
        <v>1.4833299999999999E-3</v>
      </c>
      <c r="L377" s="469">
        <f>ROUND(I377*J377*K377,2)</f>
        <v>35.53</v>
      </c>
      <c r="M377" s="469">
        <f>ROUND(I377*K377*12,2)</f>
        <v>106.59</v>
      </c>
      <c r="N377" s="156"/>
      <c r="O377" s="168"/>
    </row>
    <row r="378" spans="1:15">
      <c r="A378" s="464" t="s">
        <v>626</v>
      </c>
      <c r="B378" s="465" t="s">
        <v>1681</v>
      </c>
      <c r="C378" s="466" t="s">
        <v>2366</v>
      </c>
      <c r="D378" s="464" t="s">
        <v>2367</v>
      </c>
      <c r="E378" s="465" t="str">
        <f>VLOOKUP(C378,'[10]Project Detail Query'!$A$1:$R$2830,6,FALSE)</f>
        <v>F0604</v>
      </c>
      <c r="F378" s="464" t="str">
        <f>VLOOKUP(C378,'[10]Project Detail Query'!$A$1:$R$2830,7,FALSE)</f>
        <v>Main Replacement - ISRS (S)</v>
      </c>
      <c r="G378" s="465" t="s">
        <v>20</v>
      </c>
      <c r="H378" s="465">
        <v>201701</v>
      </c>
      <c r="I378" s="467">
        <v>1153.8900000000001</v>
      </c>
      <c r="J378" s="144">
        <f t="shared" si="25"/>
        <v>4</v>
      </c>
      <c r="K378" s="472">
        <v>1.4833299999999999E-3</v>
      </c>
      <c r="L378" s="469">
        <f>ROUND(I378*J378*K378,2)</f>
        <v>6.85</v>
      </c>
      <c r="M378" s="469">
        <f>ROUND(I378*K378*12,2)</f>
        <v>20.54</v>
      </c>
      <c r="N378" s="156"/>
      <c r="O378" s="168"/>
    </row>
    <row r="379" spans="1:15">
      <c r="A379" s="464" t="s">
        <v>626</v>
      </c>
      <c r="B379" s="465" t="s">
        <v>1681</v>
      </c>
      <c r="C379" s="466" t="s">
        <v>2368</v>
      </c>
      <c r="D379" s="464" t="s">
        <v>2369</v>
      </c>
      <c r="E379" s="465" t="str">
        <f>VLOOKUP(C379,'[10]Project Detail Query'!$A$1:$R$2830,6,FALSE)</f>
        <v>F0604</v>
      </c>
      <c r="F379" s="464" t="str">
        <f>VLOOKUP(C379,'[10]Project Detail Query'!$A$1:$R$2830,7,FALSE)</f>
        <v>Main Replacement - ISRS (S)</v>
      </c>
      <c r="G379" s="465" t="s">
        <v>20</v>
      </c>
      <c r="H379" s="465">
        <v>201701</v>
      </c>
      <c r="I379" s="467">
        <v>1429.74</v>
      </c>
      <c r="J379" s="144">
        <f t="shared" si="25"/>
        <v>4</v>
      </c>
      <c r="K379" s="472">
        <v>1.4833299999999999E-3</v>
      </c>
      <c r="L379" s="469">
        <f>ROUND(I379*J379*K379,2)</f>
        <v>8.48</v>
      </c>
      <c r="M379" s="469">
        <f>ROUND(I379*K379*12,2)</f>
        <v>25.45</v>
      </c>
      <c r="N379" s="156"/>
      <c r="O379" s="168"/>
    </row>
    <row r="380" spans="1:15">
      <c r="A380" s="464" t="s">
        <v>626</v>
      </c>
      <c r="B380" s="465" t="s">
        <v>1681</v>
      </c>
      <c r="C380" s="466" t="s">
        <v>2370</v>
      </c>
      <c r="D380" s="464" t="s">
        <v>2371</v>
      </c>
      <c r="E380" s="465" t="str">
        <f>VLOOKUP(C380,'[10]Project Detail Query'!$A$1:$R$2830,6,FALSE)</f>
        <v>F0604</v>
      </c>
      <c r="F380" s="464" t="str">
        <f>VLOOKUP(C380,'[10]Project Detail Query'!$A$1:$R$2830,7,FALSE)</f>
        <v>Main Replacement - ISRS (S)</v>
      </c>
      <c r="G380" s="465" t="s">
        <v>20</v>
      </c>
      <c r="H380" s="465">
        <v>201701</v>
      </c>
      <c r="I380" s="467">
        <v>1176.47</v>
      </c>
      <c r="J380" s="144">
        <f t="shared" si="25"/>
        <v>4</v>
      </c>
      <c r="K380" s="472">
        <v>1.4833299999999999E-3</v>
      </c>
      <c r="L380" s="469">
        <f>ROUND(I380*J380*K380,2)</f>
        <v>6.98</v>
      </c>
      <c r="M380" s="469">
        <f>ROUND(I380*K380*12,2)</f>
        <v>20.94</v>
      </c>
      <c r="N380" s="156"/>
      <c r="O380" s="168"/>
    </row>
    <row r="381" spans="1:15">
      <c r="A381" s="464" t="s">
        <v>626</v>
      </c>
      <c r="B381" s="465" t="s">
        <v>1681</v>
      </c>
      <c r="C381" s="466" t="s">
        <v>2317</v>
      </c>
      <c r="D381" s="464" t="s">
        <v>2318</v>
      </c>
      <c r="E381" s="465" t="str">
        <f>VLOOKUP(C381,'[10]Project Detail Query'!$A$1:$R$2830,6,FALSE)</f>
        <v>F0604</v>
      </c>
      <c r="F381" s="464" t="str">
        <f>VLOOKUP(C381,'[10]Project Detail Query'!$A$1:$R$2830,7,FALSE)</f>
        <v>Main Replacement - ISRS (S)</v>
      </c>
      <c r="G381" s="465" t="s">
        <v>20</v>
      </c>
      <c r="H381" s="465">
        <v>201701</v>
      </c>
      <c r="I381" s="467">
        <v>-8.61</v>
      </c>
      <c r="J381" s="144">
        <f t="shared" si="25"/>
        <v>4</v>
      </c>
      <c r="K381" s="472">
        <v>1.4833299999999999E-3</v>
      </c>
      <c r="L381" s="469">
        <f>ROUND(I381*J381*K381,2)</f>
        <v>-0.05</v>
      </c>
      <c r="M381" s="469">
        <f>ROUND(I381*K381*12,2)</f>
        <v>-0.15</v>
      </c>
      <c r="N381" s="156"/>
      <c r="O381" s="168"/>
    </row>
    <row r="382" spans="1:15">
      <c r="A382" s="464" t="s">
        <v>626</v>
      </c>
      <c r="B382" s="465" t="s">
        <v>1681</v>
      </c>
      <c r="C382" s="466" t="s">
        <v>2079</v>
      </c>
      <c r="D382" s="464" t="s">
        <v>2080</v>
      </c>
      <c r="E382" s="465" t="str">
        <f>VLOOKUP(C382,'[10]Project Detail Query'!$A$1:$R$2830,6,FALSE)</f>
        <v>F0604</v>
      </c>
      <c r="F382" s="464" t="str">
        <f>VLOOKUP(C382,'[10]Project Detail Query'!$A$1:$R$2830,7,FALSE)</f>
        <v>Main Replacement - ISRS (S)</v>
      </c>
      <c r="G382" s="465" t="s">
        <v>20</v>
      </c>
      <c r="H382" s="465">
        <v>201701</v>
      </c>
      <c r="I382" s="467">
        <v>3380.21</v>
      </c>
      <c r="J382" s="144">
        <f t="shared" si="25"/>
        <v>4</v>
      </c>
      <c r="K382" s="472">
        <v>1.4833299999999999E-3</v>
      </c>
      <c r="L382" s="469">
        <f>ROUND(I382*J382*K382,2)</f>
        <v>20.059999999999999</v>
      </c>
      <c r="M382" s="469">
        <f>ROUND(I382*K382*12,2)</f>
        <v>60.17</v>
      </c>
      <c r="N382" s="156"/>
      <c r="O382" s="168"/>
    </row>
    <row r="383" spans="1:15">
      <c r="A383" s="464" t="s">
        <v>626</v>
      </c>
      <c r="B383" s="465" t="s">
        <v>1681</v>
      </c>
      <c r="C383" s="466" t="s">
        <v>2081</v>
      </c>
      <c r="D383" s="464" t="s">
        <v>2082</v>
      </c>
      <c r="E383" s="465" t="str">
        <f>VLOOKUP(C383,'[10]Project Detail Query'!$A$1:$R$2830,6,FALSE)</f>
        <v>F0604</v>
      </c>
      <c r="F383" s="464" t="str">
        <f>VLOOKUP(C383,'[10]Project Detail Query'!$A$1:$R$2830,7,FALSE)</f>
        <v>Main Replacement - ISRS (S)</v>
      </c>
      <c r="G383" s="465" t="s">
        <v>20</v>
      </c>
      <c r="H383" s="465">
        <v>201701</v>
      </c>
      <c r="I383" s="467">
        <v>35289.279999999999</v>
      </c>
      <c r="J383" s="144">
        <f t="shared" si="25"/>
        <v>4</v>
      </c>
      <c r="K383" s="472">
        <v>1.4833299999999999E-3</v>
      </c>
      <c r="L383" s="469">
        <f>ROUND(I383*J383*K383,2)</f>
        <v>209.38</v>
      </c>
      <c r="M383" s="469">
        <f>ROUND(I383*K383*12,2)</f>
        <v>628.15</v>
      </c>
      <c r="N383" s="156"/>
      <c r="O383" s="168"/>
    </row>
    <row r="384" spans="1:15">
      <c r="A384" s="464" t="s">
        <v>626</v>
      </c>
      <c r="B384" s="465" t="s">
        <v>1681</v>
      </c>
      <c r="C384" s="466" t="s">
        <v>2392</v>
      </c>
      <c r="D384" s="464" t="s">
        <v>2393</v>
      </c>
      <c r="E384" s="465" t="str">
        <f>VLOOKUP(C384,'[10]Project Detail Query'!$A$1:$R$2830,6,FALSE)</f>
        <v>F0604</v>
      </c>
      <c r="F384" s="464" t="str">
        <f>VLOOKUP(C384,'[10]Project Detail Query'!$A$1:$R$2830,7,FALSE)</f>
        <v>Main Replacement - ISRS (S)</v>
      </c>
      <c r="G384" s="465" t="s">
        <v>20</v>
      </c>
      <c r="H384" s="465">
        <v>201701</v>
      </c>
      <c r="I384" s="467">
        <v>1077.8900000000001</v>
      </c>
      <c r="J384" s="144">
        <f t="shared" si="25"/>
        <v>4</v>
      </c>
      <c r="K384" s="472">
        <v>1.4833299999999999E-3</v>
      </c>
      <c r="L384" s="469">
        <f>ROUND(I384*J384*K384,2)</f>
        <v>6.4</v>
      </c>
      <c r="M384" s="469">
        <f>ROUND(I384*K384*12,2)</f>
        <v>19.190000000000001</v>
      </c>
      <c r="N384" s="156"/>
      <c r="O384" s="168"/>
    </row>
    <row r="385" spans="1:15">
      <c r="A385" s="464" t="s">
        <v>626</v>
      </c>
      <c r="B385" s="465" t="s">
        <v>1681</v>
      </c>
      <c r="C385" s="466" t="s">
        <v>2394</v>
      </c>
      <c r="D385" s="464" t="s">
        <v>2395</v>
      </c>
      <c r="E385" s="465" t="str">
        <f>VLOOKUP(C385,'[10]Project Detail Query'!$A$1:$R$2830,6,FALSE)</f>
        <v>F0604</v>
      </c>
      <c r="F385" s="464" t="str">
        <f>VLOOKUP(C385,'[10]Project Detail Query'!$A$1:$R$2830,7,FALSE)</f>
        <v>Main Replacement - ISRS (S)</v>
      </c>
      <c r="G385" s="465" t="s">
        <v>20</v>
      </c>
      <c r="H385" s="465">
        <v>201701</v>
      </c>
      <c r="I385" s="467">
        <v>13188.47</v>
      </c>
      <c r="J385" s="144">
        <f t="shared" si="25"/>
        <v>4</v>
      </c>
      <c r="K385" s="472">
        <v>1.4833299999999999E-3</v>
      </c>
      <c r="L385" s="469">
        <f>ROUND(I385*J385*K385,2)</f>
        <v>78.25</v>
      </c>
      <c r="M385" s="469">
        <f>ROUND(I385*K385*12,2)</f>
        <v>234.75</v>
      </c>
      <c r="N385" s="156"/>
      <c r="O385" s="168"/>
    </row>
    <row r="386" spans="1:15">
      <c r="A386" s="464" t="s">
        <v>626</v>
      </c>
      <c r="B386" s="465" t="s">
        <v>1681</v>
      </c>
      <c r="C386" s="466" t="s">
        <v>2406</v>
      </c>
      <c r="D386" s="464" t="s">
        <v>2407</v>
      </c>
      <c r="E386" s="465" t="str">
        <f>VLOOKUP(C386,'[10]Project Detail Query'!$A$1:$R$2830,6,FALSE)</f>
        <v>F0604</v>
      </c>
      <c r="F386" s="464" t="str">
        <f>VLOOKUP(C386,'[10]Project Detail Query'!$A$1:$R$2830,7,FALSE)</f>
        <v>Main Replacement - ISRS (S)</v>
      </c>
      <c r="G386" s="465" t="s">
        <v>20</v>
      </c>
      <c r="H386" s="465">
        <v>201701</v>
      </c>
      <c r="I386" s="467">
        <v>16044.94</v>
      </c>
      <c r="J386" s="144">
        <f t="shared" si="25"/>
        <v>4</v>
      </c>
      <c r="K386" s="472">
        <v>1.4833299999999999E-3</v>
      </c>
      <c r="L386" s="469">
        <f>ROUND(I386*J386*K386,2)</f>
        <v>95.2</v>
      </c>
      <c r="M386" s="469">
        <f>ROUND(I386*K386*12,2)</f>
        <v>285.60000000000002</v>
      </c>
      <c r="N386" s="156"/>
      <c r="O386" s="168"/>
    </row>
    <row r="387" spans="1:15">
      <c r="A387" s="464" t="s">
        <v>626</v>
      </c>
      <c r="B387" s="465" t="s">
        <v>1681</v>
      </c>
      <c r="C387" s="466" t="s">
        <v>2275</v>
      </c>
      <c r="D387" s="464" t="s">
        <v>2276</v>
      </c>
      <c r="E387" s="465" t="str">
        <f>VLOOKUP(C387,'[10]Project Detail Query'!$A$1:$R$2830,6,FALSE)</f>
        <v>F0604</v>
      </c>
      <c r="F387" s="464" t="str">
        <f>VLOOKUP(C387,'[10]Project Detail Query'!$A$1:$R$2830,7,FALSE)</f>
        <v>Main Replacement - ISRS (S)</v>
      </c>
      <c r="G387" s="465" t="s">
        <v>20</v>
      </c>
      <c r="H387" s="465">
        <v>201701</v>
      </c>
      <c r="I387" s="467">
        <v>4763.95</v>
      </c>
      <c r="J387" s="144">
        <f t="shared" si="25"/>
        <v>4</v>
      </c>
      <c r="K387" s="472">
        <v>1.4833299999999999E-3</v>
      </c>
      <c r="L387" s="469">
        <f>ROUND(I387*J387*K387,2)</f>
        <v>28.27</v>
      </c>
      <c r="M387" s="469">
        <f>ROUND(I387*K387*12,2)</f>
        <v>84.8</v>
      </c>
      <c r="N387" s="156"/>
      <c r="O387" s="168"/>
    </row>
    <row r="388" spans="1:15">
      <c r="A388" s="464" t="s">
        <v>626</v>
      </c>
      <c r="B388" s="465" t="s">
        <v>1681</v>
      </c>
      <c r="C388" s="466" t="s">
        <v>2412</v>
      </c>
      <c r="D388" s="464" t="s">
        <v>2413</v>
      </c>
      <c r="E388" s="465" t="str">
        <f>VLOOKUP(C388,'[10]Project Detail Query'!$A$1:$R$2830,6,FALSE)</f>
        <v>F0604</v>
      </c>
      <c r="F388" s="464" t="str">
        <f>VLOOKUP(C388,'[10]Project Detail Query'!$A$1:$R$2830,7,FALSE)</f>
        <v>Main Replacement - ISRS (S)</v>
      </c>
      <c r="G388" s="465" t="s">
        <v>20</v>
      </c>
      <c r="H388" s="465">
        <v>201701</v>
      </c>
      <c r="I388" s="467">
        <v>13723.97</v>
      </c>
      <c r="J388" s="144">
        <f t="shared" si="25"/>
        <v>4</v>
      </c>
      <c r="K388" s="472">
        <v>1.4833299999999999E-3</v>
      </c>
      <c r="L388" s="469">
        <f>ROUND(I388*J388*K388,2)</f>
        <v>81.430000000000007</v>
      </c>
      <c r="M388" s="469">
        <f>ROUND(I388*K388*12,2)</f>
        <v>244.29</v>
      </c>
      <c r="N388" s="156"/>
      <c r="O388" s="168"/>
    </row>
    <row r="389" spans="1:15">
      <c r="A389" s="464" t="s">
        <v>626</v>
      </c>
      <c r="B389" s="465" t="s">
        <v>1681</v>
      </c>
      <c r="C389" s="466" t="s">
        <v>2277</v>
      </c>
      <c r="D389" s="464" t="s">
        <v>2278</v>
      </c>
      <c r="E389" s="465" t="str">
        <f>VLOOKUP(C389,'[10]Project Detail Query'!$A$1:$R$2830,6,FALSE)</f>
        <v>F0604</v>
      </c>
      <c r="F389" s="464" t="str">
        <f>VLOOKUP(C389,'[10]Project Detail Query'!$A$1:$R$2830,7,FALSE)</f>
        <v>Main Replacement - ISRS (S)</v>
      </c>
      <c r="G389" s="465" t="s">
        <v>20</v>
      </c>
      <c r="H389" s="465">
        <v>201701</v>
      </c>
      <c r="I389" s="467">
        <v>1759.03</v>
      </c>
      <c r="J389" s="144">
        <f t="shared" si="25"/>
        <v>4</v>
      </c>
      <c r="K389" s="472">
        <v>1.4833299999999999E-3</v>
      </c>
      <c r="L389" s="469">
        <f>ROUND(I389*J389*K389,2)</f>
        <v>10.44</v>
      </c>
      <c r="M389" s="469">
        <f>ROUND(I389*K389*12,2)</f>
        <v>31.31</v>
      </c>
      <c r="N389" s="156"/>
      <c r="O389" s="168"/>
    </row>
    <row r="390" spans="1:15">
      <c r="A390" s="464" t="s">
        <v>626</v>
      </c>
      <c r="B390" s="465" t="s">
        <v>1681</v>
      </c>
      <c r="C390" s="466" t="s">
        <v>2440</v>
      </c>
      <c r="D390" s="464" t="s">
        <v>2441</v>
      </c>
      <c r="E390" s="465" t="str">
        <f>VLOOKUP(C390,'[10]Project Detail Query'!$A$1:$R$2830,6,FALSE)</f>
        <v>F0604</v>
      </c>
      <c r="F390" s="464" t="str">
        <f>VLOOKUP(C390,'[10]Project Detail Query'!$A$1:$R$2830,7,FALSE)</f>
        <v>Main Replacement - ISRS (S)</v>
      </c>
      <c r="G390" s="465" t="s">
        <v>20</v>
      </c>
      <c r="H390" s="465">
        <v>201701</v>
      </c>
      <c r="I390" s="467">
        <v>5089.6099999999997</v>
      </c>
      <c r="J390" s="144">
        <f t="shared" si="25"/>
        <v>4</v>
      </c>
      <c r="K390" s="472">
        <v>1.4833299999999999E-3</v>
      </c>
      <c r="L390" s="469">
        <f>ROUND(I390*J390*K390,2)</f>
        <v>30.2</v>
      </c>
      <c r="M390" s="469">
        <f>ROUND(I390*K390*12,2)</f>
        <v>90.59</v>
      </c>
      <c r="N390" s="156"/>
      <c r="O390" s="168"/>
    </row>
    <row r="391" spans="1:15">
      <c r="A391" s="464" t="s">
        <v>626</v>
      </c>
      <c r="B391" s="465" t="s">
        <v>1681</v>
      </c>
      <c r="C391" s="466" t="s">
        <v>2444</v>
      </c>
      <c r="D391" s="464" t="s">
        <v>2445</v>
      </c>
      <c r="E391" s="465" t="str">
        <f>VLOOKUP(C391,'[10]Project Detail Query'!$A$1:$R$2830,6,FALSE)</f>
        <v>F0604</v>
      </c>
      <c r="F391" s="464" t="str">
        <f>VLOOKUP(C391,'[10]Project Detail Query'!$A$1:$R$2830,7,FALSE)</f>
        <v>Main Replacement - ISRS (S)</v>
      </c>
      <c r="G391" s="465" t="s">
        <v>20</v>
      </c>
      <c r="H391" s="465">
        <v>201701</v>
      </c>
      <c r="I391" s="467">
        <v>19593.61</v>
      </c>
      <c r="J391" s="144">
        <f t="shared" si="25"/>
        <v>4</v>
      </c>
      <c r="K391" s="472">
        <v>1.4833299999999999E-3</v>
      </c>
      <c r="L391" s="469">
        <f>ROUND(I391*J391*K391,2)</f>
        <v>116.26</v>
      </c>
      <c r="M391" s="469">
        <f>ROUND(I391*K391*12,2)</f>
        <v>348.77</v>
      </c>
      <c r="N391" s="156"/>
      <c r="O391" s="168"/>
    </row>
    <row r="392" spans="1:15">
      <c r="A392" s="464" t="s">
        <v>1942</v>
      </c>
      <c r="B392" s="465" t="s">
        <v>1681</v>
      </c>
      <c r="C392" s="466" t="s">
        <v>2418</v>
      </c>
      <c r="D392" s="464" t="s">
        <v>2419</v>
      </c>
      <c r="E392" s="465" t="str">
        <f>VLOOKUP(C392,'[10]Project Detail Query'!$A$1:$R$2830,6,FALSE)</f>
        <v>F0604</v>
      </c>
      <c r="F392" s="464" t="str">
        <f>VLOOKUP(C392,'[10]Project Detail Query'!$A$1:$R$2830,7,FALSE)</f>
        <v>Main Replacement - ISRS (S)</v>
      </c>
      <c r="G392" s="465" t="s">
        <v>20</v>
      </c>
      <c r="H392" s="465">
        <v>201701</v>
      </c>
      <c r="I392" s="467">
        <v>2.21</v>
      </c>
      <c r="J392" s="144">
        <f t="shared" si="25"/>
        <v>4</v>
      </c>
      <c r="K392" s="472">
        <v>2.23333E-3</v>
      </c>
      <c r="L392" s="469">
        <f>ROUND(I392*J392*K392,2)</f>
        <v>0.02</v>
      </c>
      <c r="M392" s="469">
        <f>ROUND(I392*K392*12,2)</f>
        <v>0.06</v>
      </c>
      <c r="N392" s="156"/>
      <c r="O392" s="168"/>
    </row>
    <row r="393" spans="1:15">
      <c r="A393" s="464" t="s">
        <v>14</v>
      </c>
      <c r="B393" s="465" t="s">
        <v>1681</v>
      </c>
      <c r="C393" s="466" t="s">
        <v>2342</v>
      </c>
      <c r="D393" s="464" t="s">
        <v>2343</v>
      </c>
      <c r="E393" s="465" t="str">
        <f>VLOOKUP(C393,'[10]Project Detail Query'!$A$1:$R$2830,6,FALSE)</f>
        <v>F0604</v>
      </c>
      <c r="F393" s="464" t="str">
        <f>VLOOKUP(C393,'[10]Project Detail Query'!$A$1:$R$2830,7,FALSE)</f>
        <v>Main Replacement - ISRS (S)</v>
      </c>
      <c r="G393" s="465" t="s">
        <v>20</v>
      </c>
      <c r="H393" s="465">
        <v>201701</v>
      </c>
      <c r="I393" s="467">
        <v>0.51</v>
      </c>
      <c r="J393" s="144">
        <f t="shared" si="25"/>
        <v>4</v>
      </c>
      <c r="K393" s="468">
        <v>2.23333E-3</v>
      </c>
      <c r="L393" s="469">
        <f>ROUND(I393*J393*K393,2)</f>
        <v>0</v>
      </c>
      <c r="M393" s="469">
        <f>ROUND(I393*K393*12,2)</f>
        <v>0.01</v>
      </c>
      <c r="N393" s="156"/>
      <c r="O393" s="168"/>
    </row>
    <row r="394" spans="1:15">
      <c r="A394" s="464" t="s">
        <v>14</v>
      </c>
      <c r="B394" s="465" t="s">
        <v>1681</v>
      </c>
      <c r="C394" s="466" t="s">
        <v>2344</v>
      </c>
      <c r="D394" s="464" t="s">
        <v>2345</v>
      </c>
      <c r="E394" s="465" t="str">
        <f>VLOOKUP(C394,'[10]Project Detail Query'!$A$1:$R$2830,6,FALSE)</f>
        <v>F0604</v>
      </c>
      <c r="F394" s="464" t="str">
        <f>VLOOKUP(C394,'[10]Project Detail Query'!$A$1:$R$2830,7,FALSE)</f>
        <v>Main Replacement - ISRS (S)</v>
      </c>
      <c r="G394" s="465" t="s">
        <v>20</v>
      </c>
      <c r="H394" s="465">
        <v>201701</v>
      </c>
      <c r="I394" s="467">
        <v>0.01</v>
      </c>
      <c r="J394" s="144">
        <f t="shared" si="25"/>
        <v>4</v>
      </c>
      <c r="K394" s="468">
        <v>2.23333E-3</v>
      </c>
      <c r="L394" s="469">
        <f>ROUND(I394*J394*K394,2)</f>
        <v>0</v>
      </c>
      <c r="M394" s="469">
        <f>ROUND(I394*K394*12,2)</f>
        <v>0</v>
      </c>
      <c r="N394" s="156"/>
      <c r="O394" s="168"/>
    </row>
    <row r="395" spans="1:15">
      <c r="A395" s="464" t="s">
        <v>14</v>
      </c>
      <c r="B395" s="465" t="s">
        <v>1681</v>
      </c>
      <c r="C395" s="466" t="s">
        <v>2348</v>
      </c>
      <c r="D395" s="464" t="s">
        <v>2349</v>
      </c>
      <c r="E395" s="465" t="str">
        <f>VLOOKUP(C395,'[10]Project Detail Query'!$A$1:$R$2830,6,FALSE)</f>
        <v>F0604</v>
      </c>
      <c r="F395" s="464" t="str">
        <f>VLOOKUP(C395,'[10]Project Detail Query'!$A$1:$R$2830,7,FALSE)</f>
        <v>Main Replacement - ISRS (S)</v>
      </c>
      <c r="G395" s="465" t="s">
        <v>20</v>
      </c>
      <c r="H395" s="465">
        <v>201701</v>
      </c>
      <c r="I395" s="467">
        <v>0.05</v>
      </c>
      <c r="J395" s="144">
        <f t="shared" si="25"/>
        <v>4</v>
      </c>
      <c r="K395" s="468">
        <v>2.23333E-3</v>
      </c>
      <c r="L395" s="469">
        <f>ROUND(I395*J395*K395,2)</f>
        <v>0</v>
      </c>
      <c r="M395" s="469">
        <f>ROUND(I395*K395*12,2)</f>
        <v>0</v>
      </c>
      <c r="N395" s="156"/>
      <c r="O395" s="168"/>
    </row>
    <row r="396" spans="1:15">
      <c r="A396" s="464" t="s">
        <v>14</v>
      </c>
      <c r="B396" s="465" t="s">
        <v>1681</v>
      </c>
      <c r="C396" s="466" t="s">
        <v>2352</v>
      </c>
      <c r="D396" s="464" t="s">
        <v>2353</v>
      </c>
      <c r="E396" s="465" t="str">
        <f>VLOOKUP(C396,'[10]Project Detail Query'!$A$1:$R$2830,6,FALSE)</f>
        <v>F0604</v>
      </c>
      <c r="F396" s="464" t="str">
        <f>VLOOKUP(C396,'[10]Project Detail Query'!$A$1:$R$2830,7,FALSE)</f>
        <v>Main Replacement - ISRS (S)</v>
      </c>
      <c r="G396" s="465" t="s">
        <v>20</v>
      </c>
      <c r="H396" s="465">
        <v>201701</v>
      </c>
      <c r="I396" s="467">
        <v>15.76</v>
      </c>
      <c r="J396" s="144">
        <f t="shared" si="25"/>
        <v>4</v>
      </c>
      <c r="K396" s="468">
        <v>2.23333E-3</v>
      </c>
      <c r="L396" s="469">
        <f>ROUND(I396*J396*K396,2)</f>
        <v>0.14000000000000001</v>
      </c>
      <c r="M396" s="469">
        <f>ROUND(I396*K396*12,2)</f>
        <v>0.42</v>
      </c>
      <c r="N396" s="156"/>
      <c r="O396" s="168"/>
    </row>
    <row r="397" spans="1:15">
      <c r="A397" s="464" t="s">
        <v>14</v>
      </c>
      <c r="B397" s="465" t="s">
        <v>1681</v>
      </c>
      <c r="C397" s="466" t="s">
        <v>2358</v>
      </c>
      <c r="D397" s="464" t="s">
        <v>2359</v>
      </c>
      <c r="E397" s="465" t="str">
        <f>VLOOKUP(C397,'[10]Project Detail Query'!$A$1:$R$2830,6,FALSE)</f>
        <v>F0604</v>
      </c>
      <c r="F397" s="464" t="str">
        <f>VLOOKUP(C397,'[10]Project Detail Query'!$A$1:$R$2830,7,FALSE)</f>
        <v>Main Replacement - ISRS (S)</v>
      </c>
      <c r="G397" s="465" t="s">
        <v>20</v>
      </c>
      <c r="H397" s="465">
        <v>201701</v>
      </c>
      <c r="I397" s="467">
        <v>14.01</v>
      </c>
      <c r="J397" s="144">
        <f t="shared" si="25"/>
        <v>4</v>
      </c>
      <c r="K397" s="468">
        <v>2.23333E-3</v>
      </c>
      <c r="L397" s="469">
        <f>ROUND(I397*J397*K397,2)</f>
        <v>0.13</v>
      </c>
      <c r="M397" s="469">
        <f>ROUND(I397*K397*12,2)</f>
        <v>0.38</v>
      </c>
      <c r="N397" s="156"/>
      <c r="O397" s="168"/>
    </row>
    <row r="398" spans="1:15">
      <c r="A398" s="464" t="s">
        <v>14</v>
      </c>
      <c r="B398" s="465" t="s">
        <v>1681</v>
      </c>
      <c r="C398" s="466" t="s">
        <v>2360</v>
      </c>
      <c r="D398" s="464" t="s">
        <v>2361</v>
      </c>
      <c r="E398" s="465" t="str">
        <f>VLOOKUP(C398,'[10]Project Detail Query'!$A$1:$R$2830,6,FALSE)</f>
        <v>F0604</v>
      </c>
      <c r="F398" s="464" t="str">
        <f>VLOOKUP(C398,'[10]Project Detail Query'!$A$1:$R$2830,7,FALSE)</f>
        <v>Main Replacement - ISRS (S)</v>
      </c>
      <c r="G398" s="465" t="s">
        <v>20</v>
      </c>
      <c r="H398" s="465">
        <v>201701</v>
      </c>
      <c r="I398" s="467">
        <v>9.6300000000000008</v>
      </c>
      <c r="J398" s="144">
        <f t="shared" si="25"/>
        <v>4</v>
      </c>
      <c r="K398" s="468">
        <v>2.23333E-3</v>
      </c>
      <c r="L398" s="469">
        <f>ROUND(I398*J398*K398,2)</f>
        <v>0.09</v>
      </c>
      <c r="M398" s="469">
        <f>ROUND(I398*K398*12,2)</f>
        <v>0.26</v>
      </c>
      <c r="N398" s="156"/>
      <c r="O398" s="168"/>
    </row>
    <row r="399" spans="1:15">
      <c r="A399" s="464" t="s">
        <v>14</v>
      </c>
      <c r="B399" s="465" t="s">
        <v>1681</v>
      </c>
      <c r="C399" s="466" t="s">
        <v>2362</v>
      </c>
      <c r="D399" s="464" t="s">
        <v>2363</v>
      </c>
      <c r="E399" s="465" t="str">
        <f>VLOOKUP(C399,'[10]Project Detail Query'!$A$1:$R$2830,6,FALSE)</f>
        <v>F0604</v>
      </c>
      <c r="F399" s="464" t="str">
        <f>VLOOKUP(C399,'[10]Project Detail Query'!$A$1:$R$2830,7,FALSE)</f>
        <v>Main Replacement - ISRS (S)</v>
      </c>
      <c r="G399" s="465" t="s">
        <v>20</v>
      </c>
      <c r="H399" s="465">
        <v>201701</v>
      </c>
      <c r="I399" s="467">
        <v>96.25</v>
      </c>
      <c r="J399" s="144">
        <f t="shared" si="25"/>
        <v>4</v>
      </c>
      <c r="K399" s="468">
        <v>2.23333E-3</v>
      </c>
      <c r="L399" s="469">
        <f>ROUND(I399*J399*K399,2)</f>
        <v>0.86</v>
      </c>
      <c r="M399" s="469">
        <f>ROUND(I399*K399*12,2)</f>
        <v>2.58</v>
      </c>
      <c r="N399" s="156"/>
      <c r="O399" s="168"/>
    </row>
    <row r="400" spans="1:15">
      <c r="A400" s="464" t="s">
        <v>14</v>
      </c>
      <c r="B400" s="465" t="s">
        <v>1681</v>
      </c>
      <c r="C400" s="466" t="s">
        <v>2364</v>
      </c>
      <c r="D400" s="464" t="s">
        <v>2365</v>
      </c>
      <c r="E400" s="465" t="str">
        <f>VLOOKUP(C400,'[10]Project Detail Query'!$A$1:$R$2830,6,FALSE)</f>
        <v>F0604</v>
      </c>
      <c r="F400" s="464" t="str">
        <f>VLOOKUP(C400,'[10]Project Detail Query'!$A$1:$R$2830,7,FALSE)</f>
        <v>Main Replacement - ISRS (S)</v>
      </c>
      <c r="G400" s="465" t="s">
        <v>20</v>
      </c>
      <c r="H400" s="465">
        <v>201701</v>
      </c>
      <c r="I400" s="467">
        <v>61.52</v>
      </c>
      <c r="J400" s="144">
        <f t="shared" si="25"/>
        <v>4</v>
      </c>
      <c r="K400" s="468">
        <v>2.23333E-3</v>
      </c>
      <c r="L400" s="469">
        <f>ROUND(I400*J400*K400,2)</f>
        <v>0.55000000000000004</v>
      </c>
      <c r="M400" s="469">
        <f>ROUND(I400*K400*12,2)</f>
        <v>1.65</v>
      </c>
      <c r="N400" s="156"/>
      <c r="O400" s="168"/>
    </row>
    <row r="401" spans="1:15">
      <c r="A401" s="464" t="s">
        <v>14</v>
      </c>
      <c r="B401" s="465" t="s">
        <v>1681</v>
      </c>
      <c r="C401" s="466" t="s">
        <v>2366</v>
      </c>
      <c r="D401" s="464" t="s">
        <v>2367</v>
      </c>
      <c r="E401" s="465" t="str">
        <f>VLOOKUP(C401,'[10]Project Detail Query'!$A$1:$R$2830,6,FALSE)</f>
        <v>F0604</v>
      </c>
      <c r="F401" s="464" t="str">
        <f>VLOOKUP(C401,'[10]Project Detail Query'!$A$1:$R$2830,7,FALSE)</f>
        <v>Main Replacement - ISRS (S)</v>
      </c>
      <c r="G401" s="465" t="s">
        <v>20</v>
      </c>
      <c r="H401" s="465">
        <v>201701</v>
      </c>
      <c r="I401" s="467">
        <v>1.5</v>
      </c>
      <c r="J401" s="144">
        <f t="shared" si="25"/>
        <v>4</v>
      </c>
      <c r="K401" s="468">
        <v>2.23333E-3</v>
      </c>
      <c r="L401" s="469">
        <f>ROUND(I401*J401*K401,2)</f>
        <v>0.01</v>
      </c>
      <c r="M401" s="469">
        <f>ROUND(I401*K401*12,2)</f>
        <v>0.04</v>
      </c>
      <c r="N401" s="156"/>
      <c r="O401" s="168"/>
    </row>
    <row r="402" spans="1:15">
      <c r="A402" s="464" t="s">
        <v>14</v>
      </c>
      <c r="B402" s="465" t="s">
        <v>1681</v>
      </c>
      <c r="C402" s="466" t="s">
        <v>2368</v>
      </c>
      <c r="D402" s="464" t="s">
        <v>2369</v>
      </c>
      <c r="E402" s="465" t="str">
        <f>VLOOKUP(C402,'[10]Project Detail Query'!$A$1:$R$2830,6,FALSE)</f>
        <v>F0604</v>
      </c>
      <c r="F402" s="464" t="str">
        <f>VLOOKUP(C402,'[10]Project Detail Query'!$A$1:$R$2830,7,FALSE)</f>
        <v>Main Replacement - ISRS (S)</v>
      </c>
      <c r="G402" s="465" t="s">
        <v>20</v>
      </c>
      <c r="H402" s="465">
        <v>201701</v>
      </c>
      <c r="I402" s="467">
        <v>2.36</v>
      </c>
      <c r="J402" s="144">
        <f t="shared" si="25"/>
        <v>4</v>
      </c>
      <c r="K402" s="468">
        <v>2.23333E-3</v>
      </c>
      <c r="L402" s="469">
        <f>ROUND(I402*J402*K402,2)</f>
        <v>0.02</v>
      </c>
      <c r="M402" s="469">
        <f>ROUND(I402*K402*12,2)</f>
        <v>0.06</v>
      </c>
      <c r="N402" s="156"/>
      <c r="O402" s="168"/>
    </row>
    <row r="403" spans="1:15">
      <c r="A403" s="464" t="s">
        <v>14</v>
      </c>
      <c r="B403" s="465" t="s">
        <v>1681</v>
      </c>
      <c r="C403" s="466" t="s">
        <v>2370</v>
      </c>
      <c r="D403" s="464" t="s">
        <v>2371</v>
      </c>
      <c r="E403" s="465" t="str">
        <f>VLOOKUP(C403,'[10]Project Detail Query'!$A$1:$R$2830,6,FALSE)</f>
        <v>F0604</v>
      </c>
      <c r="F403" s="464" t="str">
        <f>VLOOKUP(C403,'[10]Project Detail Query'!$A$1:$R$2830,7,FALSE)</f>
        <v>Main Replacement - ISRS (S)</v>
      </c>
      <c r="G403" s="465" t="s">
        <v>20</v>
      </c>
      <c r="H403" s="465">
        <v>201701</v>
      </c>
      <c r="I403" s="467">
        <v>0.1</v>
      </c>
      <c r="J403" s="144">
        <f t="shared" si="25"/>
        <v>4</v>
      </c>
      <c r="K403" s="468">
        <v>2.23333E-3</v>
      </c>
      <c r="L403" s="469">
        <f>ROUND(I403*J403*K403,2)</f>
        <v>0</v>
      </c>
      <c r="M403" s="469">
        <f>ROUND(I403*K403*12,2)</f>
        <v>0</v>
      </c>
      <c r="N403" s="156"/>
      <c r="O403" s="168"/>
    </row>
    <row r="404" spans="1:15">
      <c r="A404" s="464" t="s">
        <v>14</v>
      </c>
      <c r="B404" s="465" t="s">
        <v>1681</v>
      </c>
      <c r="C404" s="466" t="s">
        <v>2392</v>
      </c>
      <c r="D404" s="464" t="s">
        <v>2393</v>
      </c>
      <c r="E404" s="465" t="str">
        <f>VLOOKUP(C404,'[10]Project Detail Query'!$A$1:$R$2830,6,FALSE)</f>
        <v>F0604</v>
      </c>
      <c r="F404" s="464" t="str">
        <f>VLOOKUP(C404,'[10]Project Detail Query'!$A$1:$R$2830,7,FALSE)</f>
        <v>Main Replacement - ISRS (S)</v>
      </c>
      <c r="G404" s="465" t="s">
        <v>20</v>
      </c>
      <c r="H404" s="465">
        <v>201701</v>
      </c>
      <c r="I404" s="467">
        <v>0.6</v>
      </c>
      <c r="J404" s="144">
        <f t="shared" si="25"/>
        <v>4</v>
      </c>
      <c r="K404" s="468">
        <v>2.23333E-3</v>
      </c>
      <c r="L404" s="469">
        <f>ROUND(I404*J404*K404,2)</f>
        <v>0.01</v>
      </c>
      <c r="M404" s="469">
        <f>ROUND(I404*K404*12,2)</f>
        <v>0.02</v>
      </c>
      <c r="N404" s="156"/>
      <c r="O404" s="168"/>
    </row>
    <row r="405" spans="1:15">
      <c r="A405" s="464" t="s">
        <v>14</v>
      </c>
      <c r="B405" s="465" t="s">
        <v>1681</v>
      </c>
      <c r="C405" s="466" t="s">
        <v>2394</v>
      </c>
      <c r="D405" s="464" t="s">
        <v>2395</v>
      </c>
      <c r="E405" s="465" t="str">
        <f>VLOOKUP(C405,'[10]Project Detail Query'!$A$1:$R$2830,6,FALSE)</f>
        <v>F0604</v>
      </c>
      <c r="F405" s="464" t="str">
        <f>VLOOKUP(C405,'[10]Project Detail Query'!$A$1:$R$2830,7,FALSE)</f>
        <v>Main Replacement - ISRS (S)</v>
      </c>
      <c r="G405" s="465" t="s">
        <v>20</v>
      </c>
      <c r="H405" s="465">
        <v>201701</v>
      </c>
      <c r="I405" s="467">
        <v>553.69000000000005</v>
      </c>
      <c r="J405" s="144">
        <f t="shared" si="25"/>
        <v>4</v>
      </c>
      <c r="K405" s="468">
        <v>2.23333E-3</v>
      </c>
      <c r="L405" s="469">
        <f>ROUND(I405*J405*K405,2)</f>
        <v>4.95</v>
      </c>
      <c r="M405" s="469">
        <f>ROUND(I405*K405*12,2)</f>
        <v>14.84</v>
      </c>
      <c r="N405" s="156"/>
      <c r="O405" s="168"/>
    </row>
    <row r="406" spans="1:15">
      <c r="A406" s="464" t="s">
        <v>14</v>
      </c>
      <c r="B406" s="465" t="s">
        <v>1681</v>
      </c>
      <c r="C406" s="466" t="s">
        <v>2406</v>
      </c>
      <c r="D406" s="464" t="s">
        <v>2407</v>
      </c>
      <c r="E406" s="465" t="str">
        <f>VLOOKUP(C406,'[10]Project Detail Query'!$A$1:$R$2830,6,FALSE)</f>
        <v>F0604</v>
      </c>
      <c r="F406" s="464" t="str">
        <f>VLOOKUP(C406,'[10]Project Detail Query'!$A$1:$R$2830,7,FALSE)</f>
        <v>Main Replacement - ISRS (S)</v>
      </c>
      <c r="G406" s="465" t="s">
        <v>20</v>
      </c>
      <c r="H406" s="465">
        <v>201701</v>
      </c>
      <c r="I406" s="467">
        <v>377.84</v>
      </c>
      <c r="J406" s="144">
        <f t="shared" si="25"/>
        <v>4</v>
      </c>
      <c r="K406" s="468">
        <v>2.23333E-3</v>
      </c>
      <c r="L406" s="469">
        <f>ROUND(I406*J406*K406,2)</f>
        <v>3.38</v>
      </c>
      <c r="M406" s="469">
        <f>ROUND(I406*K406*12,2)</f>
        <v>10.130000000000001</v>
      </c>
      <c r="N406" s="156"/>
      <c r="O406" s="168"/>
    </row>
    <row r="407" spans="1:15">
      <c r="A407" s="464" t="s">
        <v>14</v>
      </c>
      <c r="B407" s="465" t="s">
        <v>1681</v>
      </c>
      <c r="C407" s="466" t="s">
        <v>2412</v>
      </c>
      <c r="D407" s="464" t="s">
        <v>2413</v>
      </c>
      <c r="E407" s="465" t="str">
        <f>VLOOKUP(C407,'[10]Project Detail Query'!$A$1:$R$2830,6,FALSE)</f>
        <v>F0604</v>
      </c>
      <c r="F407" s="464" t="str">
        <f>VLOOKUP(C407,'[10]Project Detail Query'!$A$1:$R$2830,7,FALSE)</f>
        <v>Main Replacement - ISRS (S)</v>
      </c>
      <c r="G407" s="465" t="s">
        <v>20</v>
      </c>
      <c r="H407" s="465">
        <v>201701</v>
      </c>
      <c r="I407" s="467">
        <v>144.16</v>
      </c>
      <c r="J407" s="144">
        <f t="shared" si="25"/>
        <v>4</v>
      </c>
      <c r="K407" s="468">
        <v>2.23333E-3</v>
      </c>
      <c r="L407" s="469">
        <f>ROUND(I407*J407*K407,2)</f>
        <v>1.29</v>
      </c>
      <c r="M407" s="469">
        <f>ROUND(I407*K407*12,2)</f>
        <v>3.86</v>
      </c>
      <c r="N407" s="156"/>
      <c r="O407" s="168"/>
    </row>
    <row r="408" spans="1:15">
      <c r="A408" s="464" t="s">
        <v>14</v>
      </c>
      <c r="B408" s="465" t="s">
        <v>1681</v>
      </c>
      <c r="C408" s="466" t="s">
        <v>2277</v>
      </c>
      <c r="D408" s="464" t="s">
        <v>2278</v>
      </c>
      <c r="E408" s="465" t="str">
        <f>VLOOKUP(C408,'[10]Project Detail Query'!$A$1:$R$2830,6,FALSE)</f>
        <v>F0604</v>
      </c>
      <c r="F408" s="464" t="str">
        <f>VLOOKUP(C408,'[10]Project Detail Query'!$A$1:$R$2830,7,FALSE)</f>
        <v>Main Replacement - ISRS (S)</v>
      </c>
      <c r="G408" s="465" t="s">
        <v>20</v>
      </c>
      <c r="H408" s="465">
        <v>201701</v>
      </c>
      <c r="I408" s="467">
        <v>89.18</v>
      </c>
      <c r="J408" s="144">
        <f t="shared" si="25"/>
        <v>4</v>
      </c>
      <c r="K408" s="468">
        <v>2.23333E-3</v>
      </c>
      <c r="L408" s="469">
        <f>ROUND(I408*J408*K408,2)</f>
        <v>0.8</v>
      </c>
      <c r="M408" s="469">
        <f>ROUND(I408*K408*12,2)</f>
        <v>2.39</v>
      </c>
      <c r="N408" s="156"/>
      <c r="O408" s="168"/>
    </row>
    <row r="409" spans="1:15">
      <c r="A409" s="464" t="s">
        <v>14</v>
      </c>
      <c r="B409" s="465" t="s">
        <v>1681</v>
      </c>
      <c r="C409" s="466" t="s">
        <v>2440</v>
      </c>
      <c r="D409" s="464" t="s">
        <v>2441</v>
      </c>
      <c r="E409" s="465" t="str">
        <f>VLOOKUP(C409,'[10]Project Detail Query'!$A$1:$R$2830,6,FALSE)</f>
        <v>F0604</v>
      </c>
      <c r="F409" s="464" t="str">
        <f>VLOOKUP(C409,'[10]Project Detail Query'!$A$1:$R$2830,7,FALSE)</f>
        <v>Main Replacement - ISRS (S)</v>
      </c>
      <c r="G409" s="465" t="s">
        <v>20</v>
      </c>
      <c r="H409" s="465">
        <v>201701</v>
      </c>
      <c r="I409" s="467">
        <v>3369.75</v>
      </c>
      <c r="J409" s="144">
        <f t="shared" si="25"/>
        <v>4</v>
      </c>
      <c r="K409" s="468">
        <v>2.23333E-3</v>
      </c>
      <c r="L409" s="469">
        <f>ROUND(I409*J409*K409,2)</f>
        <v>30.1</v>
      </c>
      <c r="M409" s="469">
        <f>ROUND(I409*K409*12,2)</f>
        <v>90.31</v>
      </c>
      <c r="N409" s="156"/>
      <c r="O409" s="168"/>
    </row>
    <row r="410" spans="1:15">
      <c r="A410" s="464" t="s">
        <v>14</v>
      </c>
      <c r="B410" s="465" t="s">
        <v>1681</v>
      </c>
      <c r="C410" s="466" t="s">
        <v>2444</v>
      </c>
      <c r="D410" s="464" t="s">
        <v>2445</v>
      </c>
      <c r="E410" s="465" t="str">
        <f>VLOOKUP(C410,'[10]Project Detail Query'!$A$1:$R$2830,6,FALSE)</f>
        <v>F0604</v>
      </c>
      <c r="F410" s="464" t="str">
        <f>VLOOKUP(C410,'[10]Project Detail Query'!$A$1:$R$2830,7,FALSE)</f>
        <v>Main Replacement - ISRS (S)</v>
      </c>
      <c r="G410" s="465" t="s">
        <v>20</v>
      </c>
      <c r="H410" s="465">
        <v>201701</v>
      </c>
      <c r="I410" s="467">
        <v>10820.64</v>
      </c>
      <c r="J410" s="144">
        <f t="shared" si="25"/>
        <v>4</v>
      </c>
      <c r="K410" s="468">
        <v>2.23333E-3</v>
      </c>
      <c r="L410" s="469">
        <f>ROUND(I410*J410*K410,2)</f>
        <v>96.66</v>
      </c>
      <c r="M410" s="469">
        <f>ROUND(I410*K410*12,2)</f>
        <v>289.99</v>
      </c>
      <c r="N410" s="156"/>
      <c r="O410" s="168"/>
    </row>
    <row r="411" spans="1:15">
      <c r="A411" s="464" t="s">
        <v>21</v>
      </c>
      <c r="B411" s="465" t="s">
        <v>1681</v>
      </c>
      <c r="C411" s="466" t="s">
        <v>2438</v>
      </c>
      <c r="D411" s="464" t="s">
        <v>2439</v>
      </c>
      <c r="E411" s="465" t="str">
        <f>VLOOKUP(C411,'[10]Project Detail Query'!$A$1:$R$2830,6,FALSE)</f>
        <v>F0572</v>
      </c>
      <c r="F411" s="464" t="str">
        <f>VLOOKUP(C411,'[10]Project Detail Query'!$A$1:$R$2830,7,FALSE)</f>
        <v>Main Replacement - ISRS (SW)</v>
      </c>
      <c r="G411" s="465" t="s">
        <v>20</v>
      </c>
      <c r="H411" s="465">
        <v>201701</v>
      </c>
      <c r="I411" s="467">
        <v>-83.04</v>
      </c>
      <c r="J411" s="144">
        <f t="shared" si="25"/>
        <v>4</v>
      </c>
      <c r="K411" s="472">
        <v>1.4833299999999999E-3</v>
      </c>
      <c r="L411" s="469">
        <f>ROUND(I411*J411*K411,2)</f>
        <v>-0.49</v>
      </c>
      <c r="M411" s="469">
        <f>ROUND(I411*K411*12,2)</f>
        <v>-1.48</v>
      </c>
      <c r="N411" s="156"/>
      <c r="O411" s="168"/>
    </row>
    <row r="412" spans="1:15">
      <c r="A412" s="464" t="s">
        <v>21</v>
      </c>
      <c r="B412" s="465" t="s">
        <v>1681</v>
      </c>
      <c r="C412" s="466" t="s">
        <v>2637</v>
      </c>
      <c r="D412" s="464" t="s">
        <v>2638</v>
      </c>
      <c r="E412" s="465" t="str">
        <f>VLOOKUP(C412,'[10]Project Detail Query'!$A$1:$R$2830,6,FALSE)</f>
        <v>F0572</v>
      </c>
      <c r="F412" s="464" t="str">
        <f>VLOOKUP(C412,'[10]Project Detail Query'!$A$1:$R$2830,7,FALSE)</f>
        <v>Main Replacement - ISRS (SW)</v>
      </c>
      <c r="G412" s="465" t="s">
        <v>20</v>
      </c>
      <c r="H412" s="465">
        <v>201701</v>
      </c>
      <c r="I412" s="467">
        <v>892.71</v>
      </c>
      <c r="J412" s="144">
        <f t="shared" si="25"/>
        <v>4</v>
      </c>
      <c r="K412" s="472">
        <v>1.4833299999999999E-3</v>
      </c>
      <c r="L412" s="469">
        <f>ROUND(I412*J412*K412,2)</f>
        <v>5.3</v>
      </c>
      <c r="M412" s="469">
        <f>ROUND(I412*K412*12,2)</f>
        <v>15.89</v>
      </c>
      <c r="N412" s="156"/>
      <c r="O412" s="168"/>
    </row>
    <row r="413" spans="1:15">
      <c r="A413" s="464" t="s">
        <v>626</v>
      </c>
      <c r="B413" s="465" t="s">
        <v>1681</v>
      </c>
      <c r="C413" s="466" t="s">
        <v>2313</v>
      </c>
      <c r="D413" s="464" t="s">
        <v>2314</v>
      </c>
      <c r="E413" s="465" t="str">
        <f>VLOOKUP(C413,'[10]Project Detail Query'!$A$1:$R$2830,6,FALSE)</f>
        <v>F0572</v>
      </c>
      <c r="F413" s="464" t="str">
        <f>VLOOKUP(C413,'[10]Project Detail Query'!$A$1:$R$2830,7,FALSE)</f>
        <v>Main Replacement - ISRS (SW)</v>
      </c>
      <c r="G413" s="465" t="s">
        <v>20</v>
      </c>
      <c r="H413" s="465">
        <v>201701</v>
      </c>
      <c r="I413" s="467">
        <v>74.540000000000006</v>
      </c>
      <c r="J413" s="144">
        <f t="shared" si="25"/>
        <v>4</v>
      </c>
      <c r="K413" s="472">
        <v>1.4833299999999999E-3</v>
      </c>
      <c r="L413" s="469">
        <f>ROUND(I413*J413*K413,2)</f>
        <v>0.44</v>
      </c>
      <c r="M413" s="469">
        <f>ROUND(I413*K413*12,2)</f>
        <v>1.33</v>
      </c>
      <c r="N413" s="156"/>
      <c r="O413" s="168"/>
    </row>
    <row r="414" spans="1:15">
      <c r="A414" s="464" t="s">
        <v>626</v>
      </c>
      <c r="B414" s="465" t="s">
        <v>1681</v>
      </c>
      <c r="C414" s="466" t="s">
        <v>2340</v>
      </c>
      <c r="D414" s="464" t="s">
        <v>2341</v>
      </c>
      <c r="E414" s="465" t="str">
        <f>VLOOKUP(C414,'[10]Project Detail Query'!$A$1:$R$2830,6,FALSE)</f>
        <v>F0572</v>
      </c>
      <c r="F414" s="464" t="str">
        <f>VLOOKUP(C414,'[10]Project Detail Query'!$A$1:$R$2830,7,FALSE)</f>
        <v>Main Replacement - ISRS (SW)</v>
      </c>
      <c r="G414" s="465" t="s">
        <v>20</v>
      </c>
      <c r="H414" s="465">
        <v>201701</v>
      </c>
      <c r="I414" s="467">
        <v>2565.36</v>
      </c>
      <c r="J414" s="144">
        <f t="shared" si="25"/>
        <v>4</v>
      </c>
      <c r="K414" s="472">
        <v>1.4833299999999999E-3</v>
      </c>
      <c r="L414" s="469">
        <f>ROUND(I414*J414*K414,2)</f>
        <v>15.22</v>
      </c>
      <c r="M414" s="469">
        <f>ROUND(I414*K414*12,2)</f>
        <v>45.66</v>
      </c>
      <c r="N414" s="156"/>
      <c r="O414" s="168"/>
    </row>
    <row r="415" spans="1:15">
      <c r="A415" s="464" t="s">
        <v>626</v>
      </c>
      <c r="B415" s="465" t="s">
        <v>1681</v>
      </c>
      <c r="C415" s="466" t="s">
        <v>2009</v>
      </c>
      <c r="D415" s="464" t="s">
        <v>2010</v>
      </c>
      <c r="E415" s="465" t="str">
        <f>VLOOKUP(C415,'[10]Project Detail Query'!$A$1:$R$2830,6,FALSE)</f>
        <v>F0572</v>
      </c>
      <c r="F415" s="464" t="str">
        <f>VLOOKUP(C415,'[10]Project Detail Query'!$A$1:$R$2830,7,FALSE)</f>
        <v>Main Replacement - ISRS (SW)</v>
      </c>
      <c r="G415" s="465" t="s">
        <v>20</v>
      </c>
      <c r="H415" s="465">
        <v>201701</v>
      </c>
      <c r="I415" s="467">
        <v>6.2</v>
      </c>
      <c r="J415" s="144">
        <f t="shared" si="25"/>
        <v>4</v>
      </c>
      <c r="K415" s="472">
        <v>1.4833299999999999E-3</v>
      </c>
      <c r="L415" s="469">
        <f>ROUND(I415*J415*K415,2)</f>
        <v>0.04</v>
      </c>
      <c r="M415" s="469">
        <f>ROUND(I415*K415*12,2)</f>
        <v>0.11</v>
      </c>
      <c r="N415" s="156"/>
      <c r="O415" s="168"/>
    </row>
    <row r="416" spans="1:15">
      <c r="A416" s="464" t="s">
        <v>626</v>
      </c>
      <c r="B416" s="465" t="s">
        <v>1681</v>
      </c>
      <c r="C416" s="466" t="s">
        <v>2267</v>
      </c>
      <c r="D416" s="464" t="s">
        <v>2268</v>
      </c>
      <c r="E416" s="465" t="str">
        <f>VLOOKUP(C416,'[10]Project Detail Query'!$A$1:$R$2830,6,FALSE)</f>
        <v>F0572</v>
      </c>
      <c r="F416" s="464" t="str">
        <f>VLOOKUP(C416,'[10]Project Detail Query'!$A$1:$R$2830,7,FALSE)</f>
        <v>Main Replacement - ISRS (SW)</v>
      </c>
      <c r="G416" s="465" t="s">
        <v>20</v>
      </c>
      <c r="H416" s="465">
        <v>201701</v>
      </c>
      <c r="I416" s="467">
        <v>88.8</v>
      </c>
      <c r="J416" s="144">
        <f t="shared" si="25"/>
        <v>4</v>
      </c>
      <c r="K416" s="472">
        <v>1.4833299999999999E-3</v>
      </c>
      <c r="L416" s="469">
        <f>ROUND(I416*J416*K416,2)</f>
        <v>0.53</v>
      </c>
      <c r="M416" s="469">
        <f>ROUND(I416*K416*12,2)</f>
        <v>1.58</v>
      </c>
      <c r="N416" s="156"/>
      <c r="O416" s="168"/>
    </row>
    <row r="417" spans="1:15">
      <c r="A417" s="464" t="s">
        <v>626</v>
      </c>
      <c r="B417" s="465" t="s">
        <v>1681</v>
      </c>
      <c r="C417" s="466" t="s">
        <v>2384</v>
      </c>
      <c r="D417" s="464" t="s">
        <v>2385</v>
      </c>
      <c r="E417" s="465" t="str">
        <f>VLOOKUP(C417,'[10]Project Detail Query'!$A$1:$R$2830,6,FALSE)</f>
        <v>F0572</v>
      </c>
      <c r="F417" s="464" t="str">
        <f>VLOOKUP(C417,'[10]Project Detail Query'!$A$1:$R$2830,7,FALSE)</f>
        <v>Main Replacement - ISRS (SW)</v>
      </c>
      <c r="G417" s="465" t="s">
        <v>20</v>
      </c>
      <c r="H417" s="465">
        <v>201701</v>
      </c>
      <c r="I417" s="467">
        <v>-450.28</v>
      </c>
      <c r="J417" s="144">
        <f t="shared" si="25"/>
        <v>4</v>
      </c>
      <c r="K417" s="472">
        <v>1.4833299999999999E-3</v>
      </c>
      <c r="L417" s="469">
        <f>ROUND(I417*J417*K417,2)</f>
        <v>-2.67</v>
      </c>
      <c r="M417" s="469">
        <f>ROUND(I417*K417*12,2)</f>
        <v>-8.01</v>
      </c>
      <c r="N417" s="156"/>
      <c r="O417" s="168"/>
    </row>
    <row r="418" spans="1:15">
      <c r="A418" s="464" t="s">
        <v>626</v>
      </c>
      <c r="B418" s="465" t="s">
        <v>1681</v>
      </c>
      <c r="C418" s="466" t="s">
        <v>2386</v>
      </c>
      <c r="D418" s="464" t="s">
        <v>2387</v>
      </c>
      <c r="E418" s="465" t="str">
        <f>VLOOKUP(C418,'[10]Project Detail Query'!$A$1:$R$2830,6,FALSE)</f>
        <v>F0572</v>
      </c>
      <c r="F418" s="464" t="str">
        <f>VLOOKUP(C418,'[10]Project Detail Query'!$A$1:$R$2830,7,FALSE)</f>
        <v>Main Replacement - ISRS (SW)</v>
      </c>
      <c r="G418" s="465" t="s">
        <v>20</v>
      </c>
      <c r="H418" s="465">
        <v>201701</v>
      </c>
      <c r="I418" s="467">
        <v>3244.74</v>
      </c>
      <c r="J418" s="144">
        <f t="shared" si="25"/>
        <v>4</v>
      </c>
      <c r="K418" s="472">
        <v>1.4833299999999999E-3</v>
      </c>
      <c r="L418" s="469">
        <f>ROUND(I418*J418*K418,2)</f>
        <v>19.25</v>
      </c>
      <c r="M418" s="469">
        <f>ROUND(I418*K418*12,2)</f>
        <v>57.76</v>
      </c>
      <c r="N418" s="156"/>
      <c r="O418" s="168"/>
    </row>
    <row r="419" spans="1:15">
      <c r="A419" s="464" t="s">
        <v>626</v>
      </c>
      <c r="B419" s="465" t="s">
        <v>1681</v>
      </c>
      <c r="C419" s="466" t="s">
        <v>2077</v>
      </c>
      <c r="D419" s="464" t="s">
        <v>2078</v>
      </c>
      <c r="E419" s="465" t="str">
        <f>VLOOKUP(C419,'[10]Project Detail Query'!$A$1:$R$2830,6,FALSE)</f>
        <v>F0572</v>
      </c>
      <c r="F419" s="464" t="str">
        <f>VLOOKUP(C419,'[10]Project Detail Query'!$A$1:$R$2830,7,FALSE)</f>
        <v>Main Replacement - ISRS (SW)</v>
      </c>
      <c r="G419" s="465" t="s">
        <v>20</v>
      </c>
      <c r="H419" s="465">
        <v>201701</v>
      </c>
      <c r="I419" s="467">
        <v>501</v>
      </c>
      <c r="J419" s="144">
        <f t="shared" si="25"/>
        <v>4</v>
      </c>
      <c r="K419" s="472">
        <v>1.4833299999999999E-3</v>
      </c>
      <c r="L419" s="469">
        <f>ROUND(I419*J419*K419,2)</f>
        <v>2.97</v>
      </c>
      <c r="M419" s="469">
        <f>ROUND(I419*K419*12,2)</f>
        <v>8.92</v>
      </c>
      <c r="N419" s="156"/>
      <c r="O419" s="168"/>
    </row>
    <row r="420" spans="1:15">
      <c r="A420" s="464" t="s">
        <v>626</v>
      </c>
      <c r="B420" s="465" t="s">
        <v>1681</v>
      </c>
      <c r="C420" s="466" t="s">
        <v>2101</v>
      </c>
      <c r="D420" s="464" t="s">
        <v>2102</v>
      </c>
      <c r="E420" s="465" t="str">
        <f>VLOOKUP(C420,'[10]Project Detail Query'!$A$1:$R$2830,6,FALSE)</f>
        <v>F0572</v>
      </c>
      <c r="F420" s="464" t="str">
        <f>VLOOKUP(C420,'[10]Project Detail Query'!$A$1:$R$2830,7,FALSE)</f>
        <v>Main Replacement - ISRS (SW)</v>
      </c>
      <c r="G420" s="465" t="s">
        <v>20</v>
      </c>
      <c r="H420" s="465">
        <v>201701</v>
      </c>
      <c r="I420" s="467">
        <v>3.86</v>
      </c>
      <c r="J420" s="144">
        <f t="shared" si="25"/>
        <v>4</v>
      </c>
      <c r="K420" s="472">
        <v>1.4833299999999999E-3</v>
      </c>
      <c r="L420" s="469">
        <f>ROUND(I420*J420*K420,2)</f>
        <v>0.02</v>
      </c>
      <c r="M420" s="469">
        <f>ROUND(I420*K420*12,2)</f>
        <v>7.0000000000000007E-2</v>
      </c>
      <c r="N420" s="156"/>
      <c r="O420" s="168"/>
    </row>
    <row r="421" spans="1:15">
      <c r="A421" s="464" t="s">
        <v>626</v>
      </c>
      <c r="B421" s="465" t="s">
        <v>1681</v>
      </c>
      <c r="C421" s="466" t="s">
        <v>2617</v>
      </c>
      <c r="D421" s="464" t="s">
        <v>2618</v>
      </c>
      <c r="E421" s="465" t="str">
        <f>VLOOKUP(C421,'[10]Project Detail Query'!$A$1:$R$2830,6,FALSE)</f>
        <v>F0572</v>
      </c>
      <c r="F421" s="464" t="str">
        <f>VLOOKUP(C421,'[10]Project Detail Query'!$A$1:$R$2830,7,FALSE)</f>
        <v>Main Replacement - ISRS (SW)</v>
      </c>
      <c r="G421" s="465" t="s">
        <v>20</v>
      </c>
      <c r="H421" s="465">
        <v>201701</v>
      </c>
      <c r="I421" s="467">
        <v>53855.89</v>
      </c>
      <c r="J421" s="144">
        <f t="shared" si="25"/>
        <v>4</v>
      </c>
      <c r="K421" s="472">
        <v>1.4833299999999999E-3</v>
      </c>
      <c r="L421" s="469">
        <f>ROUND(I421*J421*K421,2)</f>
        <v>319.54000000000002</v>
      </c>
      <c r="M421" s="469">
        <f>ROUND(I421*K421*12,2)</f>
        <v>958.63</v>
      </c>
      <c r="N421" s="156"/>
      <c r="O421" s="168"/>
    </row>
    <row r="422" spans="1:15">
      <c r="A422" s="464" t="s">
        <v>626</v>
      </c>
      <c r="B422" s="465" t="s">
        <v>1681</v>
      </c>
      <c r="C422" s="466" t="s">
        <v>2273</v>
      </c>
      <c r="D422" s="464" t="s">
        <v>2274</v>
      </c>
      <c r="E422" s="465" t="str">
        <f>VLOOKUP(C422,'[10]Project Detail Query'!$A$1:$R$2830,6,FALSE)</f>
        <v>F0572</v>
      </c>
      <c r="F422" s="464" t="str">
        <f>VLOOKUP(C422,'[10]Project Detail Query'!$A$1:$R$2830,7,FALSE)</f>
        <v>Main Replacement - ISRS (SW)</v>
      </c>
      <c r="G422" s="465" t="s">
        <v>20</v>
      </c>
      <c r="H422" s="465">
        <v>201701</v>
      </c>
      <c r="I422" s="467">
        <v>4040.93</v>
      </c>
      <c r="J422" s="144">
        <f t="shared" si="25"/>
        <v>4</v>
      </c>
      <c r="K422" s="472">
        <v>1.4833299999999999E-3</v>
      </c>
      <c r="L422" s="469">
        <f>ROUND(I422*J422*K422,2)</f>
        <v>23.98</v>
      </c>
      <c r="M422" s="469">
        <f>ROUND(I422*K422*12,2)</f>
        <v>71.930000000000007</v>
      </c>
      <c r="N422" s="156"/>
      <c r="O422" s="168"/>
    </row>
    <row r="423" spans="1:15">
      <c r="A423" s="464" t="s">
        <v>626</v>
      </c>
      <c r="B423" s="465" t="s">
        <v>1681</v>
      </c>
      <c r="C423" s="466" t="s">
        <v>2619</v>
      </c>
      <c r="D423" s="464" t="s">
        <v>2620</v>
      </c>
      <c r="E423" s="465" t="str">
        <f>VLOOKUP(C423,'[10]Project Detail Query'!$A$1:$R$2830,6,FALSE)</f>
        <v>F0572</v>
      </c>
      <c r="F423" s="464" t="str">
        <f>VLOOKUP(C423,'[10]Project Detail Query'!$A$1:$R$2830,7,FALSE)</f>
        <v>Main Replacement - ISRS (SW)</v>
      </c>
      <c r="G423" s="465" t="s">
        <v>20</v>
      </c>
      <c r="H423" s="465">
        <v>201701</v>
      </c>
      <c r="I423" s="467">
        <v>102696.47</v>
      </c>
      <c r="J423" s="144">
        <f t="shared" si="25"/>
        <v>4</v>
      </c>
      <c r="K423" s="472">
        <v>1.4833299999999999E-3</v>
      </c>
      <c r="L423" s="469">
        <f>ROUND(I423*J423*K423,2)</f>
        <v>609.33000000000004</v>
      </c>
      <c r="M423" s="469">
        <f>ROUND(I423*K423*12,2)</f>
        <v>1827.99</v>
      </c>
      <c r="N423" s="156"/>
      <c r="O423" s="168"/>
    </row>
    <row r="424" spans="1:15">
      <c r="A424" s="464" t="s">
        <v>626</v>
      </c>
      <c r="B424" s="465" t="s">
        <v>1681</v>
      </c>
      <c r="C424" s="466" t="s">
        <v>2621</v>
      </c>
      <c r="D424" s="464" t="s">
        <v>2622</v>
      </c>
      <c r="E424" s="465" t="str">
        <f>VLOOKUP(C424,'[10]Project Detail Query'!$A$1:$R$2830,6,FALSE)</f>
        <v>F0572</v>
      </c>
      <c r="F424" s="464" t="str">
        <f>VLOOKUP(C424,'[10]Project Detail Query'!$A$1:$R$2830,7,FALSE)</f>
        <v>Main Replacement - ISRS (SW)</v>
      </c>
      <c r="G424" s="465" t="s">
        <v>20</v>
      </c>
      <c r="H424" s="465">
        <v>201701</v>
      </c>
      <c r="I424" s="467">
        <v>110570.44</v>
      </c>
      <c r="J424" s="144">
        <f t="shared" si="25"/>
        <v>4</v>
      </c>
      <c r="K424" s="472">
        <v>1.4833299999999999E-3</v>
      </c>
      <c r="L424" s="469">
        <f>ROUND(I424*J424*K424,2)</f>
        <v>656.05</v>
      </c>
      <c r="M424" s="469">
        <f>ROUND(I424*K424*12,2)</f>
        <v>1968.15</v>
      </c>
      <c r="N424" s="156"/>
      <c r="O424" s="168"/>
    </row>
    <row r="425" spans="1:15">
      <c r="A425" s="464" t="s">
        <v>626</v>
      </c>
      <c r="B425" s="465" t="s">
        <v>1681</v>
      </c>
      <c r="C425" s="466" t="s">
        <v>2438</v>
      </c>
      <c r="D425" s="464" t="s">
        <v>2439</v>
      </c>
      <c r="E425" s="465" t="str">
        <f>VLOOKUP(C425,'[10]Project Detail Query'!$A$1:$R$2830,6,FALSE)</f>
        <v>F0572</v>
      </c>
      <c r="F425" s="464" t="str">
        <f>VLOOKUP(C425,'[10]Project Detail Query'!$A$1:$R$2830,7,FALSE)</f>
        <v>Main Replacement - ISRS (SW)</v>
      </c>
      <c r="G425" s="465" t="s">
        <v>20</v>
      </c>
      <c r="H425" s="465">
        <v>201701</v>
      </c>
      <c r="I425" s="467">
        <v>-1929.84</v>
      </c>
      <c r="J425" s="144">
        <f t="shared" si="25"/>
        <v>4</v>
      </c>
      <c r="K425" s="472">
        <v>1.4833299999999999E-3</v>
      </c>
      <c r="L425" s="469">
        <f>ROUND(I425*J425*K425,2)</f>
        <v>-11.45</v>
      </c>
      <c r="M425" s="469">
        <f>ROUND(I425*K425*12,2)</f>
        <v>-34.35</v>
      </c>
      <c r="N425" s="156"/>
      <c r="O425" s="168"/>
    </row>
    <row r="426" spans="1:15">
      <c r="A426" s="464" t="s">
        <v>626</v>
      </c>
      <c r="B426" s="465" t="s">
        <v>1681</v>
      </c>
      <c r="C426" s="466" t="s">
        <v>2623</v>
      </c>
      <c r="D426" s="464" t="s">
        <v>2624</v>
      </c>
      <c r="E426" s="465" t="str">
        <f>VLOOKUP(C426,'[10]Project Detail Query'!$A$1:$R$2830,6,FALSE)</f>
        <v>F0572</v>
      </c>
      <c r="F426" s="464" t="str">
        <f>VLOOKUP(C426,'[10]Project Detail Query'!$A$1:$R$2830,7,FALSE)</f>
        <v>Main Replacement - ISRS (SW)</v>
      </c>
      <c r="G426" s="465" t="s">
        <v>20</v>
      </c>
      <c r="H426" s="465">
        <v>201701</v>
      </c>
      <c r="I426" s="467">
        <v>758734.36</v>
      </c>
      <c r="J426" s="144">
        <f t="shared" si="25"/>
        <v>4</v>
      </c>
      <c r="K426" s="472">
        <v>1.4833299999999999E-3</v>
      </c>
      <c r="L426" s="469">
        <f>ROUND(I426*J426*K426,2)</f>
        <v>4501.8100000000004</v>
      </c>
      <c r="M426" s="469">
        <f>ROUND(I426*K426*12,2)</f>
        <v>13505.44</v>
      </c>
      <c r="N426" s="156"/>
      <c r="O426" s="168"/>
    </row>
    <row r="427" spans="1:15">
      <c r="A427" s="464" t="s">
        <v>626</v>
      </c>
      <c r="B427" s="465" t="s">
        <v>1681</v>
      </c>
      <c r="C427" s="466" t="s">
        <v>2625</v>
      </c>
      <c r="D427" s="464" t="s">
        <v>2626</v>
      </c>
      <c r="E427" s="465" t="str">
        <f>VLOOKUP(C427,'[10]Project Detail Query'!$A$1:$R$2830,6,FALSE)</f>
        <v>F0572</v>
      </c>
      <c r="F427" s="464" t="str">
        <f>VLOOKUP(C427,'[10]Project Detail Query'!$A$1:$R$2830,7,FALSE)</f>
        <v>Main Replacement - ISRS (SW)</v>
      </c>
      <c r="G427" s="465" t="s">
        <v>20</v>
      </c>
      <c r="H427" s="465">
        <v>201701</v>
      </c>
      <c r="I427" s="467">
        <v>71166.27</v>
      </c>
      <c r="J427" s="144">
        <f t="shared" si="25"/>
        <v>4</v>
      </c>
      <c r="K427" s="472">
        <v>1.4833299999999999E-3</v>
      </c>
      <c r="L427" s="469">
        <f>ROUND(I427*J427*K427,2)</f>
        <v>422.25</v>
      </c>
      <c r="M427" s="469">
        <f>ROUND(I427*K427*12,2)</f>
        <v>1266.76</v>
      </c>
      <c r="N427" s="156"/>
      <c r="O427" s="168"/>
    </row>
    <row r="428" spans="1:15">
      <c r="A428" s="464" t="s">
        <v>626</v>
      </c>
      <c r="B428" s="465" t="s">
        <v>1681</v>
      </c>
      <c r="C428" s="466" t="s">
        <v>2285</v>
      </c>
      <c r="D428" s="464" t="s">
        <v>2286</v>
      </c>
      <c r="E428" s="465" t="str">
        <f>VLOOKUP(C428,'[10]Project Detail Query'!$A$1:$R$2830,6,FALSE)</f>
        <v>F0572</v>
      </c>
      <c r="F428" s="464" t="str">
        <f>VLOOKUP(C428,'[10]Project Detail Query'!$A$1:$R$2830,7,FALSE)</f>
        <v>Main Replacement - ISRS (SW)</v>
      </c>
      <c r="G428" s="465" t="s">
        <v>20</v>
      </c>
      <c r="H428" s="465">
        <v>201701</v>
      </c>
      <c r="I428" s="467">
        <v>-1077.1500000000001</v>
      </c>
      <c r="J428" s="144">
        <f t="shared" si="25"/>
        <v>4</v>
      </c>
      <c r="K428" s="472">
        <v>1.4833299999999999E-3</v>
      </c>
      <c r="L428" s="469">
        <f>ROUND(I428*J428*K428,2)</f>
        <v>-6.39</v>
      </c>
      <c r="M428" s="469">
        <f>ROUND(I428*K428*12,2)</f>
        <v>-19.170000000000002</v>
      </c>
      <c r="N428" s="156"/>
      <c r="O428" s="168"/>
    </row>
    <row r="429" spans="1:15">
      <c r="A429" s="464" t="s">
        <v>626</v>
      </c>
      <c r="B429" s="465" t="s">
        <v>1681</v>
      </c>
      <c r="C429" s="466" t="s">
        <v>2631</v>
      </c>
      <c r="D429" s="464" t="s">
        <v>2632</v>
      </c>
      <c r="E429" s="465" t="str">
        <f>VLOOKUP(C429,'[10]Project Detail Query'!$A$1:$R$2830,6,FALSE)</f>
        <v>F0572</v>
      </c>
      <c r="F429" s="464" t="str">
        <f>VLOOKUP(C429,'[10]Project Detail Query'!$A$1:$R$2830,7,FALSE)</f>
        <v>Main Replacement - ISRS (SW)</v>
      </c>
      <c r="G429" s="465" t="s">
        <v>20</v>
      </c>
      <c r="H429" s="465">
        <v>201701</v>
      </c>
      <c r="I429" s="467">
        <v>112153.2</v>
      </c>
      <c r="J429" s="144">
        <f t="shared" si="25"/>
        <v>4</v>
      </c>
      <c r="K429" s="472">
        <v>1.4833299999999999E-3</v>
      </c>
      <c r="L429" s="469">
        <f>ROUND(I429*J429*K429,2)</f>
        <v>665.44</v>
      </c>
      <c r="M429" s="469">
        <f>ROUND(I429*K429*12,2)</f>
        <v>1996.32</v>
      </c>
      <c r="N429" s="156"/>
      <c r="O429" s="168"/>
    </row>
    <row r="430" spans="1:15">
      <c r="A430" s="464" t="s">
        <v>626</v>
      </c>
      <c r="B430" s="465" t="s">
        <v>1681</v>
      </c>
      <c r="C430" s="466" t="s">
        <v>2442</v>
      </c>
      <c r="D430" s="464" t="s">
        <v>2443</v>
      </c>
      <c r="E430" s="465" t="str">
        <f>VLOOKUP(C430,'[10]Project Detail Query'!$A$1:$R$2830,6,FALSE)</f>
        <v>F0572</v>
      </c>
      <c r="F430" s="464" t="str">
        <f>VLOOKUP(C430,'[10]Project Detail Query'!$A$1:$R$2830,7,FALSE)</f>
        <v>Main Replacement - ISRS (SW)</v>
      </c>
      <c r="G430" s="465" t="s">
        <v>20</v>
      </c>
      <c r="H430" s="465">
        <v>201701</v>
      </c>
      <c r="I430" s="467">
        <v>18683.849999999999</v>
      </c>
      <c r="J430" s="144">
        <f t="shared" si="25"/>
        <v>4</v>
      </c>
      <c r="K430" s="472">
        <v>1.4833299999999999E-3</v>
      </c>
      <c r="L430" s="469">
        <f>ROUND(I430*J430*K430,2)</f>
        <v>110.86</v>
      </c>
      <c r="M430" s="469">
        <f>ROUND(I430*K430*12,2)</f>
        <v>332.57</v>
      </c>
      <c r="N430" s="156"/>
      <c r="O430" s="168"/>
    </row>
    <row r="431" spans="1:15">
      <c r="A431" s="464" t="s">
        <v>626</v>
      </c>
      <c r="B431" s="465" t="s">
        <v>1681</v>
      </c>
      <c r="C431" s="466" t="s">
        <v>2448</v>
      </c>
      <c r="D431" s="464" t="s">
        <v>2449</v>
      </c>
      <c r="E431" s="465" t="str">
        <f>VLOOKUP(C431,'[10]Project Detail Query'!$A$1:$R$2830,6,FALSE)</f>
        <v>F0572</v>
      </c>
      <c r="F431" s="464" t="str">
        <f>VLOOKUP(C431,'[10]Project Detail Query'!$A$1:$R$2830,7,FALSE)</f>
        <v>Main Replacement - ISRS (SW)</v>
      </c>
      <c r="G431" s="465" t="s">
        <v>20</v>
      </c>
      <c r="H431" s="465">
        <v>201701</v>
      </c>
      <c r="I431" s="467">
        <v>4342.34</v>
      </c>
      <c r="J431" s="144">
        <f t="shared" si="25"/>
        <v>4</v>
      </c>
      <c r="K431" s="472">
        <v>1.4833299999999999E-3</v>
      </c>
      <c r="L431" s="469">
        <f>ROUND(I431*J431*K431,2)</f>
        <v>25.76</v>
      </c>
      <c r="M431" s="469">
        <f>ROUND(I431*K431*12,2)</f>
        <v>77.290000000000006</v>
      </c>
      <c r="N431" s="156"/>
      <c r="O431" s="168"/>
    </row>
    <row r="432" spans="1:15">
      <c r="A432" s="464" t="s">
        <v>626</v>
      </c>
      <c r="B432" s="465" t="s">
        <v>1681</v>
      </c>
      <c r="C432" s="466" t="s">
        <v>2633</v>
      </c>
      <c r="D432" s="464" t="s">
        <v>2634</v>
      </c>
      <c r="E432" s="465" t="str">
        <f>VLOOKUP(C432,'[10]Project Detail Query'!$A$1:$R$2830,6,FALSE)</f>
        <v>F0572</v>
      </c>
      <c r="F432" s="464" t="str">
        <f>VLOOKUP(C432,'[10]Project Detail Query'!$A$1:$R$2830,7,FALSE)</f>
        <v>Main Replacement - ISRS (SW)</v>
      </c>
      <c r="G432" s="465" t="s">
        <v>20</v>
      </c>
      <c r="H432" s="465">
        <v>201701</v>
      </c>
      <c r="I432" s="467">
        <v>69653.63</v>
      </c>
      <c r="J432" s="144">
        <f t="shared" si="25"/>
        <v>4</v>
      </c>
      <c r="K432" s="472">
        <v>1.4833299999999999E-3</v>
      </c>
      <c r="L432" s="469">
        <f>ROUND(I432*J432*K432,2)</f>
        <v>413.28</v>
      </c>
      <c r="M432" s="469">
        <f>ROUND(I432*K432*12,2)</f>
        <v>1239.83</v>
      </c>
      <c r="N432" s="156"/>
      <c r="O432" s="168"/>
    </row>
    <row r="433" spans="1:15">
      <c r="A433" s="464" t="s">
        <v>626</v>
      </c>
      <c r="B433" s="465" t="s">
        <v>1681</v>
      </c>
      <c r="C433" s="466" t="s">
        <v>2635</v>
      </c>
      <c r="D433" s="464" t="s">
        <v>2636</v>
      </c>
      <c r="E433" s="465" t="str">
        <f>VLOOKUP(C433,'[10]Project Detail Query'!$A$1:$R$2830,6,FALSE)</f>
        <v>F0572</v>
      </c>
      <c r="F433" s="464" t="str">
        <f>VLOOKUP(C433,'[10]Project Detail Query'!$A$1:$R$2830,7,FALSE)</f>
        <v>Main Replacement - ISRS (SW)</v>
      </c>
      <c r="G433" s="465" t="s">
        <v>20</v>
      </c>
      <c r="H433" s="465">
        <v>201701</v>
      </c>
      <c r="I433" s="467">
        <v>83586.63</v>
      </c>
      <c r="J433" s="144">
        <f t="shared" si="25"/>
        <v>4</v>
      </c>
      <c r="K433" s="472">
        <v>1.4833299999999999E-3</v>
      </c>
      <c r="L433" s="469">
        <f>ROUND(I433*J433*K433,2)</f>
        <v>495.95</v>
      </c>
      <c r="M433" s="469">
        <f>ROUND(I433*K433*12,2)</f>
        <v>1487.84</v>
      </c>
      <c r="N433" s="156"/>
      <c r="O433" s="168"/>
    </row>
    <row r="434" spans="1:15">
      <c r="A434" s="464" t="s">
        <v>626</v>
      </c>
      <c r="B434" s="465" t="s">
        <v>1681</v>
      </c>
      <c r="C434" s="466" t="s">
        <v>2637</v>
      </c>
      <c r="D434" s="464" t="s">
        <v>2638</v>
      </c>
      <c r="E434" s="465" t="str">
        <f>VLOOKUP(C434,'[10]Project Detail Query'!$A$1:$R$2830,6,FALSE)</f>
        <v>F0572</v>
      </c>
      <c r="F434" s="464" t="str">
        <f>VLOOKUP(C434,'[10]Project Detail Query'!$A$1:$R$2830,7,FALSE)</f>
        <v>Main Replacement - ISRS (SW)</v>
      </c>
      <c r="G434" s="465" t="s">
        <v>20</v>
      </c>
      <c r="H434" s="465">
        <v>201701</v>
      </c>
      <c r="I434" s="467">
        <v>105840.43</v>
      </c>
      <c r="J434" s="144">
        <f t="shared" si="25"/>
        <v>4</v>
      </c>
      <c r="K434" s="472">
        <v>1.4833299999999999E-3</v>
      </c>
      <c r="L434" s="469">
        <f>ROUND(I434*J434*K434,2)</f>
        <v>627.99</v>
      </c>
      <c r="M434" s="469">
        <f>ROUND(I434*K434*12,2)</f>
        <v>1883.96</v>
      </c>
      <c r="N434" s="156"/>
      <c r="O434" s="168"/>
    </row>
    <row r="435" spans="1:15">
      <c r="A435" s="464" t="s">
        <v>14</v>
      </c>
      <c r="B435" s="465" t="s">
        <v>1681</v>
      </c>
      <c r="C435" s="466" t="s">
        <v>2340</v>
      </c>
      <c r="D435" s="464" t="s">
        <v>2341</v>
      </c>
      <c r="E435" s="465" t="str">
        <f>VLOOKUP(C435,'[10]Project Detail Query'!$A$1:$R$2830,6,FALSE)</f>
        <v>F0572</v>
      </c>
      <c r="F435" s="464" t="str">
        <f>VLOOKUP(C435,'[10]Project Detail Query'!$A$1:$R$2830,7,FALSE)</f>
        <v>Main Replacement - ISRS (SW)</v>
      </c>
      <c r="G435" s="465" t="s">
        <v>20</v>
      </c>
      <c r="H435" s="465">
        <v>201701</v>
      </c>
      <c r="I435" s="467">
        <v>38.31</v>
      </c>
      <c r="J435" s="144">
        <f t="shared" ref="J435:J493" si="26">HLOOKUP(H435,$Q$2:$W$3,2)</f>
        <v>4</v>
      </c>
      <c r="K435" s="468">
        <v>2.23333E-3</v>
      </c>
      <c r="L435" s="469">
        <f>ROUND(I435*J435*K435,2)</f>
        <v>0.34</v>
      </c>
      <c r="M435" s="469">
        <f>ROUND(I435*K435*12,2)</f>
        <v>1.03</v>
      </c>
      <c r="N435" s="156"/>
      <c r="O435" s="168"/>
    </row>
    <row r="436" spans="1:15">
      <c r="A436" s="464" t="s">
        <v>14</v>
      </c>
      <c r="B436" s="465" t="s">
        <v>1681</v>
      </c>
      <c r="C436" s="466" t="s">
        <v>2009</v>
      </c>
      <c r="D436" s="464" t="s">
        <v>2010</v>
      </c>
      <c r="E436" s="465" t="str">
        <f>VLOOKUP(C436,'[10]Project Detail Query'!$A$1:$R$2830,6,FALSE)</f>
        <v>F0572</v>
      </c>
      <c r="F436" s="464" t="str">
        <f>VLOOKUP(C436,'[10]Project Detail Query'!$A$1:$R$2830,7,FALSE)</f>
        <v>Main Replacement - ISRS (SW)</v>
      </c>
      <c r="G436" s="465" t="s">
        <v>20</v>
      </c>
      <c r="H436" s="465">
        <v>201701</v>
      </c>
      <c r="I436" s="467">
        <v>0.15</v>
      </c>
      <c r="J436" s="144">
        <f t="shared" si="26"/>
        <v>4</v>
      </c>
      <c r="K436" s="468">
        <v>2.23333E-3</v>
      </c>
      <c r="L436" s="469">
        <f>ROUND(I436*J436*K436,2)</f>
        <v>0</v>
      </c>
      <c r="M436" s="469">
        <f>ROUND(I436*K436*12,2)</f>
        <v>0</v>
      </c>
      <c r="N436" s="156"/>
      <c r="O436" s="168"/>
    </row>
    <row r="437" spans="1:15">
      <c r="A437" s="464" t="s">
        <v>14</v>
      </c>
      <c r="B437" s="465" t="s">
        <v>1681</v>
      </c>
      <c r="C437" s="466" t="s">
        <v>2267</v>
      </c>
      <c r="D437" s="464" t="s">
        <v>2268</v>
      </c>
      <c r="E437" s="465" t="str">
        <f>VLOOKUP(C437,'[10]Project Detail Query'!$A$1:$R$2830,6,FALSE)</f>
        <v>F0572</v>
      </c>
      <c r="F437" s="464" t="str">
        <f>VLOOKUP(C437,'[10]Project Detail Query'!$A$1:$R$2830,7,FALSE)</f>
        <v>Main Replacement - ISRS (SW)</v>
      </c>
      <c r="G437" s="465" t="s">
        <v>20</v>
      </c>
      <c r="H437" s="465">
        <v>201701</v>
      </c>
      <c r="I437" s="467">
        <v>18.399999999999999</v>
      </c>
      <c r="J437" s="144">
        <f t="shared" si="26"/>
        <v>4</v>
      </c>
      <c r="K437" s="468">
        <v>2.23333E-3</v>
      </c>
      <c r="L437" s="469">
        <f>ROUND(I437*J437*K437,2)</f>
        <v>0.16</v>
      </c>
      <c r="M437" s="469">
        <f>ROUND(I437*K437*12,2)</f>
        <v>0.49</v>
      </c>
      <c r="N437" s="156"/>
      <c r="O437" s="168"/>
    </row>
    <row r="438" spans="1:15">
      <c r="A438" s="464" t="s">
        <v>14</v>
      </c>
      <c r="B438" s="465" t="s">
        <v>1681</v>
      </c>
      <c r="C438" s="466" t="s">
        <v>2384</v>
      </c>
      <c r="D438" s="464" t="s">
        <v>2385</v>
      </c>
      <c r="E438" s="465" t="str">
        <f>VLOOKUP(C438,'[10]Project Detail Query'!$A$1:$R$2830,6,FALSE)</f>
        <v>F0572</v>
      </c>
      <c r="F438" s="464" t="str">
        <f>VLOOKUP(C438,'[10]Project Detail Query'!$A$1:$R$2830,7,FALSE)</f>
        <v>Main Replacement - ISRS (SW)</v>
      </c>
      <c r="G438" s="465" t="s">
        <v>20</v>
      </c>
      <c r="H438" s="465">
        <v>201701</v>
      </c>
      <c r="I438" s="467">
        <v>-12.11</v>
      </c>
      <c r="J438" s="144">
        <f t="shared" si="26"/>
        <v>4</v>
      </c>
      <c r="K438" s="468">
        <v>2.23333E-3</v>
      </c>
      <c r="L438" s="469">
        <f>ROUND(I438*J438*K438,2)</f>
        <v>-0.11</v>
      </c>
      <c r="M438" s="469">
        <f>ROUND(I438*K438*12,2)</f>
        <v>-0.32</v>
      </c>
      <c r="N438" s="156"/>
      <c r="O438" s="168"/>
    </row>
    <row r="439" spans="1:15">
      <c r="A439" s="464" t="s">
        <v>14</v>
      </c>
      <c r="B439" s="465" t="s">
        <v>1681</v>
      </c>
      <c r="C439" s="466" t="s">
        <v>2386</v>
      </c>
      <c r="D439" s="464" t="s">
        <v>2387</v>
      </c>
      <c r="E439" s="465" t="str">
        <f>VLOOKUP(C439,'[10]Project Detail Query'!$A$1:$R$2830,6,FALSE)</f>
        <v>F0572</v>
      </c>
      <c r="F439" s="464" t="str">
        <f>VLOOKUP(C439,'[10]Project Detail Query'!$A$1:$R$2830,7,FALSE)</f>
        <v>Main Replacement - ISRS (SW)</v>
      </c>
      <c r="G439" s="465" t="s">
        <v>20</v>
      </c>
      <c r="H439" s="465">
        <v>201701</v>
      </c>
      <c r="I439" s="467">
        <v>2.3199999999999998</v>
      </c>
      <c r="J439" s="144">
        <f t="shared" si="26"/>
        <v>4</v>
      </c>
      <c r="K439" s="468">
        <v>2.23333E-3</v>
      </c>
      <c r="L439" s="469">
        <f>ROUND(I439*J439*K439,2)</f>
        <v>0.02</v>
      </c>
      <c r="M439" s="469">
        <f>ROUND(I439*K439*12,2)</f>
        <v>0.06</v>
      </c>
      <c r="N439" s="156"/>
      <c r="O439" s="168"/>
    </row>
    <row r="440" spans="1:15">
      <c r="A440" s="464" t="s">
        <v>14</v>
      </c>
      <c r="B440" s="465" t="s">
        <v>1681</v>
      </c>
      <c r="C440" s="466" t="s">
        <v>2617</v>
      </c>
      <c r="D440" s="464" t="s">
        <v>2618</v>
      </c>
      <c r="E440" s="465" t="str">
        <f>VLOOKUP(C440,'[10]Project Detail Query'!$A$1:$R$2830,6,FALSE)</f>
        <v>F0572</v>
      </c>
      <c r="F440" s="464" t="str">
        <f>VLOOKUP(C440,'[10]Project Detail Query'!$A$1:$R$2830,7,FALSE)</f>
        <v>Main Replacement - ISRS (SW)</v>
      </c>
      <c r="G440" s="465" t="s">
        <v>20</v>
      </c>
      <c r="H440" s="465">
        <v>201701</v>
      </c>
      <c r="I440" s="467">
        <v>9867.07</v>
      </c>
      <c r="J440" s="144">
        <f t="shared" si="26"/>
        <v>4</v>
      </c>
      <c r="K440" s="468">
        <v>2.23333E-3</v>
      </c>
      <c r="L440" s="469">
        <f>ROUND(I440*J440*K440,2)</f>
        <v>88.15</v>
      </c>
      <c r="M440" s="469">
        <f>ROUND(I440*K440*12,2)</f>
        <v>264.44</v>
      </c>
      <c r="N440" s="156"/>
      <c r="O440" s="168"/>
    </row>
    <row r="441" spans="1:15">
      <c r="A441" s="464" t="s">
        <v>14</v>
      </c>
      <c r="B441" s="465" t="s">
        <v>1681</v>
      </c>
      <c r="C441" s="466" t="s">
        <v>2438</v>
      </c>
      <c r="D441" s="464" t="s">
        <v>2439</v>
      </c>
      <c r="E441" s="465" t="str">
        <f>VLOOKUP(C441,'[10]Project Detail Query'!$A$1:$R$2830,6,FALSE)</f>
        <v>F0572</v>
      </c>
      <c r="F441" s="464" t="str">
        <f>VLOOKUP(C441,'[10]Project Detail Query'!$A$1:$R$2830,7,FALSE)</f>
        <v>Main Replacement - ISRS (SW)</v>
      </c>
      <c r="G441" s="465" t="s">
        <v>20</v>
      </c>
      <c r="H441" s="465">
        <v>201701</v>
      </c>
      <c r="I441" s="467">
        <v>-13.4</v>
      </c>
      <c r="J441" s="144">
        <f t="shared" si="26"/>
        <v>4</v>
      </c>
      <c r="K441" s="468">
        <v>2.23333E-3</v>
      </c>
      <c r="L441" s="469">
        <f>ROUND(I441*J441*K441,2)</f>
        <v>-0.12</v>
      </c>
      <c r="M441" s="469">
        <f>ROUND(I441*K441*12,2)</f>
        <v>-0.36</v>
      </c>
      <c r="N441" s="156"/>
      <c r="O441" s="168"/>
    </row>
    <row r="442" spans="1:15">
      <c r="A442" s="464" t="s">
        <v>14</v>
      </c>
      <c r="B442" s="465" t="s">
        <v>1681</v>
      </c>
      <c r="C442" s="466" t="s">
        <v>2285</v>
      </c>
      <c r="D442" s="464" t="s">
        <v>2286</v>
      </c>
      <c r="E442" s="465" t="str">
        <f>VLOOKUP(C442,'[10]Project Detail Query'!$A$1:$R$2830,6,FALSE)</f>
        <v>F0572</v>
      </c>
      <c r="F442" s="464" t="str">
        <f>VLOOKUP(C442,'[10]Project Detail Query'!$A$1:$R$2830,7,FALSE)</f>
        <v>Main Replacement - ISRS (SW)</v>
      </c>
      <c r="G442" s="465" t="s">
        <v>20</v>
      </c>
      <c r="H442" s="465">
        <v>201701</v>
      </c>
      <c r="I442" s="467">
        <v>-18.04</v>
      </c>
      <c r="J442" s="144">
        <f t="shared" si="26"/>
        <v>4</v>
      </c>
      <c r="K442" s="468">
        <v>2.23333E-3</v>
      </c>
      <c r="L442" s="469">
        <f>ROUND(I442*J442*K442,2)</f>
        <v>-0.16</v>
      </c>
      <c r="M442" s="469">
        <f>ROUND(I442*K442*12,2)</f>
        <v>-0.48</v>
      </c>
      <c r="N442" s="156"/>
      <c r="O442" s="168"/>
    </row>
    <row r="443" spans="1:15">
      <c r="A443" s="464" t="s">
        <v>14</v>
      </c>
      <c r="B443" s="465" t="s">
        <v>1681</v>
      </c>
      <c r="C443" s="466" t="s">
        <v>2442</v>
      </c>
      <c r="D443" s="464" t="s">
        <v>2443</v>
      </c>
      <c r="E443" s="465" t="str">
        <f>VLOOKUP(C443,'[10]Project Detail Query'!$A$1:$R$2830,6,FALSE)</f>
        <v>F0572</v>
      </c>
      <c r="F443" s="464" t="str">
        <f>VLOOKUP(C443,'[10]Project Detail Query'!$A$1:$R$2830,7,FALSE)</f>
        <v>Main Replacement - ISRS (SW)</v>
      </c>
      <c r="G443" s="465" t="s">
        <v>20</v>
      </c>
      <c r="H443" s="465">
        <v>201701</v>
      </c>
      <c r="I443" s="467">
        <v>1124.1199999999999</v>
      </c>
      <c r="J443" s="144">
        <f t="shared" si="26"/>
        <v>4</v>
      </c>
      <c r="K443" s="468">
        <v>2.23333E-3</v>
      </c>
      <c r="L443" s="469">
        <f>ROUND(I443*J443*K443,2)</f>
        <v>10.039999999999999</v>
      </c>
      <c r="M443" s="469">
        <f>ROUND(I443*K443*12,2)</f>
        <v>30.13</v>
      </c>
      <c r="N443" s="156"/>
      <c r="O443" s="168"/>
    </row>
    <row r="444" spans="1:15">
      <c r="A444" s="464" t="s">
        <v>14</v>
      </c>
      <c r="B444" s="465" t="s">
        <v>1681</v>
      </c>
      <c r="C444" s="466" t="s">
        <v>2448</v>
      </c>
      <c r="D444" s="464" t="s">
        <v>2449</v>
      </c>
      <c r="E444" s="465" t="str">
        <f>VLOOKUP(C444,'[10]Project Detail Query'!$A$1:$R$2830,6,FALSE)</f>
        <v>F0572</v>
      </c>
      <c r="F444" s="464" t="str">
        <f>VLOOKUP(C444,'[10]Project Detail Query'!$A$1:$R$2830,7,FALSE)</f>
        <v>Main Replacement - ISRS (SW)</v>
      </c>
      <c r="G444" s="465" t="s">
        <v>20</v>
      </c>
      <c r="H444" s="465">
        <v>201701</v>
      </c>
      <c r="I444" s="467">
        <v>60.42</v>
      </c>
      <c r="J444" s="144">
        <f t="shared" si="26"/>
        <v>4</v>
      </c>
      <c r="K444" s="468">
        <v>2.23333E-3</v>
      </c>
      <c r="L444" s="469">
        <f>ROUND(I444*J444*K444,2)</f>
        <v>0.54</v>
      </c>
      <c r="M444" s="469">
        <f>ROUND(I444*K444*12,2)</f>
        <v>1.62</v>
      </c>
      <c r="N444" s="156"/>
      <c r="O444" s="168"/>
    </row>
    <row r="445" spans="1:15">
      <c r="A445" s="464" t="s">
        <v>14</v>
      </c>
      <c r="B445" s="465" t="s">
        <v>1681</v>
      </c>
      <c r="C445" s="466" t="s">
        <v>2637</v>
      </c>
      <c r="D445" s="464" t="s">
        <v>2638</v>
      </c>
      <c r="E445" s="465" t="str">
        <f>VLOOKUP(C445,'[10]Project Detail Query'!$A$1:$R$2830,6,FALSE)</f>
        <v>F0572</v>
      </c>
      <c r="F445" s="464" t="str">
        <f>VLOOKUP(C445,'[10]Project Detail Query'!$A$1:$R$2830,7,FALSE)</f>
        <v>Main Replacement - ISRS (SW)</v>
      </c>
      <c r="G445" s="465" t="s">
        <v>20</v>
      </c>
      <c r="H445" s="465">
        <v>201701</v>
      </c>
      <c r="I445" s="467">
        <v>16541.11</v>
      </c>
      <c r="J445" s="144">
        <f t="shared" si="26"/>
        <v>4</v>
      </c>
      <c r="K445" s="468">
        <v>2.23333E-3</v>
      </c>
      <c r="L445" s="469">
        <f>ROUND(I445*J445*K445,2)</f>
        <v>147.77000000000001</v>
      </c>
      <c r="M445" s="469">
        <f>ROUND(I445*K445*12,2)</f>
        <v>443.3</v>
      </c>
      <c r="N445" s="156"/>
      <c r="O445" s="168"/>
    </row>
    <row r="446" spans="1:15">
      <c r="A446" s="464"/>
      <c r="B446" s="465"/>
      <c r="C446" s="466"/>
      <c r="D446" s="464"/>
      <c r="E446" s="465"/>
      <c r="F446" s="485" t="s">
        <v>2592</v>
      </c>
      <c r="G446" s="486"/>
      <c r="H446" s="486"/>
      <c r="I446" s="487">
        <f>SUM(I313:I445)</f>
        <v>1816164.28</v>
      </c>
      <c r="J446" s="405"/>
      <c r="K446" s="488"/>
      <c r="L446" s="487">
        <f t="shared" ref="L446:M446" si="27">SUM(L313:L445)</f>
        <v>10909.230000000003</v>
      </c>
      <c r="M446" s="487">
        <f t="shared" si="27"/>
        <v>32727.58</v>
      </c>
      <c r="N446" s="156"/>
      <c r="O446" s="168"/>
    </row>
    <row r="447" spans="1:15">
      <c r="A447" s="464"/>
      <c r="B447" s="465"/>
      <c r="C447" s="466"/>
      <c r="D447" s="464"/>
      <c r="E447" s="465"/>
      <c r="F447" s="464"/>
      <c r="G447" s="465"/>
      <c r="H447" s="465"/>
      <c r="I447" s="467"/>
      <c r="J447" s="144"/>
      <c r="K447" s="468"/>
      <c r="L447" s="469"/>
      <c r="M447" s="469"/>
      <c r="N447" s="156"/>
      <c r="O447" s="168"/>
    </row>
    <row r="448" spans="1:15">
      <c r="A448" s="464"/>
      <c r="B448" s="465"/>
      <c r="C448" s="466"/>
      <c r="D448" s="464"/>
      <c r="E448" s="465"/>
      <c r="F448" s="464"/>
      <c r="G448" s="465"/>
      <c r="H448" s="465"/>
      <c r="I448" s="467"/>
      <c r="J448" s="144"/>
      <c r="K448" s="468"/>
      <c r="L448" s="469"/>
      <c r="M448" s="469"/>
      <c r="N448" s="156"/>
      <c r="O448" s="168"/>
    </row>
    <row r="449" spans="1:15">
      <c r="A449" s="464" t="s">
        <v>626</v>
      </c>
      <c r="B449" s="465" t="str">
        <f>VLOOKUP(C449,'[10]Project Detail Query'!$A$1:$R$2830,5,FALSE)</f>
        <v>20502144017</v>
      </c>
      <c r="C449" s="466" t="s">
        <v>2031</v>
      </c>
      <c r="D449" s="464" t="s">
        <v>2032</v>
      </c>
      <c r="E449" s="465" t="str">
        <f>VLOOKUP(C449,'[10]Project Detail Query'!$A$1:$R$2830,6,FALSE)</f>
        <v>F0544</v>
      </c>
      <c r="F449" s="464" t="str">
        <f>VLOOKUP(C449,'[10]Project Detail Query'!$A$1:$R$2830,7,FALSE)</f>
        <v>Replace bare steel main - safety re</v>
      </c>
      <c r="G449" s="465" t="s">
        <v>20</v>
      </c>
      <c r="H449" s="465">
        <v>201701</v>
      </c>
      <c r="I449" s="467">
        <v>7093.62</v>
      </c>
      <c r="J449" s="144">
        <f t="shared" si="26"/>
        <v>4</v>
      </c>
      <c r="K449" s="472">
        <v>1.4833299999999999E-3</v>
      </c>
      <c r="L449" s="469">
        <f>ROUND(I449*J449*K449,2)</f>
        <v>42.09</v>
      </c>
      <c r="M449" s="469">
        <f>ROUND(I449*K449*12,2)</f>
        <v>126.27</v>
      </c>
      <c r="N449" s="156"/>
      <c r="O449" s="168"/>
    </row>
    <row r="450" spans="1:15">
      <c r="A450" s="464" t="s">
        <v>626</v>
      </c>
      <c r="B450" s="465" t="str">
        <f>VLOOKUP(C450,'[10]Project Detail Query'!$A$1:$R$2830,5,FALSE)</f>
        <v>20501155072</v>
      </c>
      <c r="C450" s="466" t="s">
        <v>1621</v>
      </c>
      <c r="D450" s="464" t="s">
        <v>1622</v>
      </c>
      <c r="E450" s="465" t="str">
        <f>VLOOKUP(C450,'[10]Project Detail Query'!$A$1:$R$2830,6,FALSE)</f>
        <v>F0544</v>
      </c>
      <c r="F450" s="464" t="str">
        <f>VLOOKUP(C450,'[10]Project Detail Query'!$A$1:$R$2830,7,FALSE)</f>
        <v>Replace bare steel main - safety re</v>
      </c>
      <c r="G450" s="465" t="s">
        <v>20</v>
      </c>
      <c r="H450" s="465">
        <v>201701</v>
      </c>
      <c r="I450" s="467">
        <v>18.04</v>
      </c>
      <c r="J450" s="144">
        <f t="shared" si="26"/>
        <v>4</v>
      </c>
      <c r="K450" s="472">
        <v>1.4833299999999999E-3</v>
      </c>
      <c r="L450" s="469">
        <f>ROUND(I450*J450*K450,2)</f>
        <v>0.11</v>
      </c>
      <c r="M450" s="469">
        <f>ROUND(I450*K450*12,2)</f>
        <v>0.32</v>
      </c>
      <c r="N450" s="156"/>
      <c r="O450" s="168"/>
    </row>
    <row r="451" spans="1:15">
      <c r="A451" s="464" t="s">
        <v>626</v>
      </c>
      <c r="B451" s="465" t="str">
        <f>VLOOKUP(C451,'[10]Project Detail Query'!$A$1:$R$2830,5,FALSE)</f>
        <v>20501155262</v>
      </c>
      <c r="C451" s="466" t="s">
        <v>2043</v>
      </c>
      <c r="D451" s="464" t="s">
        <v>2044</v>
      </c>
      <c r="E451" s="465" t="str">
        <f>VLOOKUP(C451,'[10]Project Detail Query'!$A$1:$R$2830,6,FALSE)</f>
        <v>F0544</v>
      </c>
      <c r="F451" s="464" t="str">
        <f>VLOOKUP(C451,'[10]Project Detail Query'!$A$1:$R$2830,7,FALSE)</f>
        <v>Replace bare steel main - safety re</v>
      </c>
      <c r="G451" s="465" t="s">
        <v>20</v>
      </c>
      <c r="H451" s="465">
        <v>201701</v>
      </c>
      <c r="I451" s="467">
        <v>851.63</v>
      </c>
      <c r="J451" s="144">
        <f t="shared" si="26"/>
        <v>4</v>
      </c>
      <c r="K451" s="472">
        <v>1.4833299999999999E-3</v>
      </c>
      <c r="L451" s="469">
        <f>ROUND(I451*J451*K451,2)</f>
        <v>5.05</v>
      </c>
      <c r="M451" s="469">
        <f>ROUND(I451*K451*12,2)</f>
        <v>15.16</v>
      </c>
      <c r="N451" s="156"/>
      <c r="O451" s="168"/>
    </row>
    <row r="452" spans="1:15">
      <c r="A452" s="464" t="s">
        <v>626</v>
      </c>
      <c r="B452" s="465" t="str">
        <f>VLOOKUP(C452,'[10]Project Detail Query'!$A$1:$R$2830,5,FALSE)</f>
        <v>20501155098</v>
      </c>
      <c r="C452" s="466" t="s">
        <v>2037</v>
      </c>
      <c r="D452" s="464" t="s">
        <v>2038</v>
      </c>
      <c r="E452" s="465" t="str">
        <f>VLOOKUP(C452,'[10]Project Detail Query'!$A$1:$R$2830,6,FALSE)</f>
        <v>F0575</v>
      </c>
      <c r="F452" s="464" t="str">
        <f>VLOOKUP(C452,'[10]Project Detail Query'!$A$1:$R$2830,7,FALSE)</f>
        <v>Replace steel &amp; plastic main</v>
      </c>
      <c r="G452" s="465" t="s">
        <v>20</v>
      </c>
      <c r="H452" s="465">
        <v>201701</v>
      </c>
      <c r="I452" s="467">
        <v>295.97000000000003</v>
      </c>
      <c r="J452" s="144">
        <f t="shared" si="26"/>
        <v>4</v>
      </c>
      <c r="K452" s="472">
        <v>1.4833299999999999E-3</v>
      </c>
      <c r="L452" s="469">
        <f>ROUND(I452*J452*K452,2)</f>
        <v>1.76</v>
      </c>
      <c r="M452" s="469">
        <f>ROUND(I452*K452*12,2)</f>
        <v>5.27</v>
      </c>
      <c r="N452" s="156"/>
      <c r="O452" s="168"/>
    </row>
    <row r="453" spans="1:15">
      <c r="A453" s="464"/>
      <c r="B453" s="465"/>
      <c r="C453" s="466"/>
      <c r="D453" s="464"/>
      <c r="E453" s="465"/>
      <c r="F453" s="485" t="s">
        <v>2663</v>
      </c>
      <c r="G453" s="486"/>
      <c r="H453" s="486"/>
      <c r="I453" s="487">
        <f>SUM(I449:I452)</f>
        <v>8259.26</v>
      </c>
      <c r="J453" s="405"/>
      <c r="K453" s="489"/>
      <c r="L453" s="487">
        <f t="shared" ref="L453:M453" si="28">SUM(L449:L452)</f>
        <v>49.01</v>
      </c>
      <c r="M453" s="487">
        <f t="shared" si="28"/>
        <v>147.02000000000001</v>
      </c>
      <c r="N453" s="156"/>
      <c r="O453" s="168"/>
    </row>
    <row r="454" spans="1:15">
      <c r="A454" s="464"/>
      <c r="B454" s="465"/>
      <c r="C454" s="466"/>
      <c r="D454" s="464"/>
      <c r="E454" s="465"/>
      <c r="F454" s="464"/>
      <c r="G454" s="465"/>
      <c r="H454" s="465"/>
      <c r="I454" s="467"/>
      <c r="J454" s="144"/>
      <c r="K454" s="472"/>
      <c r="L454" s="469"/>
      <c r="M454" s="469"/>
      <c r="N454" s="156"/>
      <c r="O454" s="168"/>
    </row>
    <row r="455" spans="1:15">
      <c r="A455" s="464" t="s">
        <v>14</v>
      </c>
      <c r="B455" s="465" t="str">
        <f>VLOOKUP(C455,'[10]Project Detail Query'!$A$1:$R$2830,5,FALSE)</f>
        <v>20401050360</v>
      </c>
      <c r="C455" s="466" t="s">
        <v>31</v>
      </c>
      <c r="D455" s="464" t="s">
        <v>32</v>
      </c>
      <c r="E455" s="465" t="str">
        <f>VLOOKUP(C455,'[10]Project Detail Query'!$A$1:$R$2830,6,FALSE)</f>
        <v>F0558</v>
      </c>
      <c r="F455" s="464" t="str">
        <f>VLOOKUP(C455,'[10]Project Detail Query'!$A$1:$R$2830,7,FALSE)</f>
        <v>SLRP - immediate response - company</v>
      </c>
      <c r="G455" s="465" t="s">
        <v>20</v>
      </c>
      <c r="H455" s="465">
        <v>201701</v>
      </c>
      <c r="I455" s="467">
        <v>4952.22</v>
      </c>
      <c r="J455" s="144">
        <f t="shared" si="26"/>
        <v>4</v>
      </c>
      <c r="K455" s="468">
        <v>2.23333E-3</v>
      </c>
      <c r="L455" s="469">
        <f>ROUND(I455*J455*K455,2)</f>
        <v>44.24</v>
      </c>
      <c r="M455" s="469">
        <f>ROUND(I455*K455*12,2)</f>
        <v>132.72</v>
      </c>
      <c r="N455" s="156"/>
      <c r="O455" s="168"/>
    </row>
    <row r="456" spans="1:15">
      <c r="A456" s="464" t="s">
        <v>14</v>
      </c>
      <c r="B456" s="465" t="str">
        <f>VLOOKUP(C456,'[10]Project Detail Query'!$A$1:$R$2830,5,FALSE)</f>
        <v>20901050367</v>
      </c>
      <c r="C456" s="466" t="s">
        <v>326</v>
      </c>
      <c r="D456" s="464" t="s">
        <v>327</v>
      </c>
      <c r="E456" s="465" t="str">
        <f>VLOOKUP(C456,'[10]Project Detail Query'!$A$1:$R$2830,6,FALSE)</f>
        <v>F0649</v>
      </c>
      <c r="F456" s="464" t="str">
        <f>VLOOKUP(C456,'[10]Project Detail Query'!$A$1:$R$2830,7,FALSE)</f>
        <v>SLRP - materials - company crews</v>
      </c>
      <c r="G456" s="465" t="s">
        <v>20</v>
      </c>
      <c r="H456" s="465">
        <v>201701</v>
      </c>
      <c r="I456" s="467">
        <v>5.33</v>
      </c>
      <c r="J456" s="144">
        <f t="shared" si="26"/>
        <v>4</v>
      </c>
      <c r="K456" s="468">
        <v>2.23333E-3</v>
      </c>
      <c r="L456" s="469">
        <f>ROUND(I456*J456*K456,2)</f>
        <v>0.05</v>
      </c>
      <c r="M456" s="469">
        <f>ROUND(I456*K456*12,2)</f>
        <v>0.14000000000000001</v>
      </c>
      <c r="N456" s="156"/>
      <c r="O456" s="168"/>
    </row>
    <row r="457" spans="1:15">
      <c r="A457" s="464" t="s">
        <v>14</v>
      </c>
      <c r="B457" s="465" t="str">
        <f>VLOOKUP(C457,'[10]Project Detail Query'!$A$1:$R$2830,5,FALSE)</f>
        <v>20401050377</v>
      </c>
      <c r="C457" s="466" t="s">
        <v>482</v>
      </c>
      <c r="D457" s="464" t="s">
        <v>483</v>
      </c>
      <c r="E457" s="465" t="str">
        <f>VLOOKUP(C457,'[10]Project Detail Query'!$A$1:$R$2830,6,FALSE)</f>
        <v>F0586</v>
      </c>
      <c r="F457" s="464" t="str">
        <f>VLOOKUP(C457,'[10]Project Detail Query'!$A$1:$R$2830,7,FALSE)</f>
        <v>SLRP - materials - contract</v>
      </c>
      <c r="G457" s="465" t="s">
        <v>20</v>
      </c>
      <c r="H457" s="465">
        <v>201701</v>
      </c>
      <c r="I457" s="467">
        <v>5</v>
      </c>
      <c r="J457" s="144">
        <f t="shared" si="26"/>
        <v>4</v>
      </c>
      <c r="K457" s="468">
        <v>2.23333E-3</v>
      </c>
      <c r="L457" s="469">
        <f>ROUND(I457*J457*K457,2)</f>
        <v>0.04</v>
      </c>
      <c r="M457" s="469">
        <f>ROUND(I457*K457*12,2)</f>
        <v>0.13</v>
      </c>
      <c r="N457" s="156"/>
      <c r="O457" s="168"/>
    </row>
    <row r="458" spans="1:15">
      <c r="A458" s="464" t="s">
        <v>14</v>
      </c>
      <c r="B458" s="465" t="str">
        <f>VLOOKUP(C458,'[10]Project Detail Query'!$A$1:$R$2830,5,FALSE)</f>
        <v>20901050377</v>
      </c>
      <c r="C458" s="466" t="s">
        <v>237</v>
      </c>
      <c r="D458" s="464" t="s">
        <v>188</v>
      </c>
      <c r="E458" s="465" t="str">
        <f>VLOOKUP(C458,'[10]Project Detail Query'!$A$1:$R$2830,6,FALSE)</f>
        <v>F0607</v>
      </c>
      <c r="F458" s="464" t="str">
        <f>VLOOKUP(C458,'[10]Project Detail Query'!$A$1:$R$2830,7,FALSE)</f>
        <v>SLRP - materials - contract</v>
      </c>
      <c r="G458" s="465" t="s">
        <v>20</v>
      </c>
      <c r="H458" s="465">
        <v>201701</v>
      </c>
      <c r="I458" s="467">
        <v>11281.39</v>
      </c>
      <c r="J458" s="144">
        <f t="shared" si="26"/>
        <v>4</v>
      </c>
      <c r="K458" s="468">
        <v>2.23333E-3</v>
      </c>
      <c r="L458" s="469">
        <f>ROUND(I458*J458*K458,2)</f>
        <v>100.78</v>
      </c>
      <c r="M458" s="469">
        <f>ROUND(I458*K458*12,2)</f>
        <v>302.33999999999997</v>
      </c>
      <c r="N458" s="156"/>
      <c r="O458" s="168"/>
    </row>
    <row r="459" spans="1:15">
      <c r="A459" s="464" t="s">
        <v>14</v>
      </c>
      <c r="B459" s="465" t="str">
        <f>VLOOKUP(C459,'[10]Project Detail Query'!$A$1:$R$2830,5,FALSE)</f>
        <v>20501050371</v>
      </c>
      <c r="C459" s="466" t="s">
        <v>420</v>
      </c>
      <c r="D459" s="464" t="s">
        <v>50</v>
      </c>
      <c r="E459" s="465" t="str">
        <f>VLOOKUP(C459,'[10]Project Detail Query'!$A$1:$R$2830,6,FALSE)</f>
        <v>F0669</v>
      </c>
      <c r="F459" s="464" t="str">
        <f>VLOOKUP(C459,'[10]Project Detail Query'!$A$1:$R$2830,7,FALSE)</f>
        <v>SLRP - modified block by block - co</v>
      </c>
      <c r="G459" s="465" t="s">
        <v>20</v>
      </c>
      <c r="H459" s="465">
        <v>201701</v>
      </c>
      <c r="I459" s="467">
        <v>15.52</v>
      </c>
      <c r="J459" s="144">
        <f t="shared" si="26"/>
        <v>4</v>
      </c>
      <c r="K459" s="468">
        <v>2.23333E-3</v>
      </c>
      <c r="L459" s="469">
        <f>ROUND(I459*J459*K459,2)</f>
        <v>0.14000000000000001</v>
      </c>
      <c r="M459" s="469">
        <f>ROUND(I459*K459*12,2)</f>
        <v>0.42</v>
      </c>
      <c r="N459" s="156"/>
      <c r="O459" s="168"/>
    </row>
    <row r="460" spans="1:15">
      <c r="A460" s="464"/>
      <c r="B460" s="465"/>
      <c r="C460" s="466"/>
      <c r="D460" s="464"/>
      <c r="E460" s="465"/>
      <c r="F460" s="485" t="s">
        <v>2595</v>
      </c>
      <c r="G460" s="486"/>
      <c r="H460" s="486"/>
      <c r="I460" s="487">
        <f>SUM(I455:I459)</f>
        <v>16259.46</v>
      </c>
      <c r="J460" s="405"/>
      <c r="K460" s="489"/>
      <c r="L460" s="487">
        <f t="shared" ref="L460:M460" si="29">SUM(L455:L459)</f>
        <v>145.25</v>
      </c>
      <c r="M460" s="487">
        <f t="shared" si="29"/>
        <v>435.74999999999994</v>
      </c>
      <c r="N460" s="156"/>
      <c r="O460" s="168"/>
    </row>
    <row r="461" spans="1:15">
      <c r="A461" s="464"/>
      <c r="B461" s="465"/>
      <c r="C461" s="466"/>
      <c r="D461" s="464"/>
      <c r="E461" s="465"/>
      <c r="F461" s="464"/>
      <c r="G461" s="465"/>
      <c r="H461" s="465"/>
      <c r="I461" s="467"/>
      <c r="J461" s="144"/>
      <c r="K461" s="468"/>
      <c r="L461" s="469"/>
      <c r="M461" s="469"/>
      <c r="N461" s="156"/>
      <c r="O461" s="168"/>
    </row>
    <row r="462" spans="1:15">
      <c r="A462" s="464" t="s">
        <v>127</v>
      </c>
      <c r="B462" s="465" t="str">
        <f>VLOOKUP(C462,'[10]Project Detail Query'!$A$1:$R$2830,5,FALSE)</f>
        <v>20401143628</v>
      </c>
      <c r="C462" s="466" t="s">
        <v>2613</v>
      </c>
      <c r="D462" s="464" t="s">
        <v>2614</v>
      </c>
      <c r="E462" s="465" t="str">
        <f>VLOOKUP(C462,'[10]Project Detail Query'!$A$1:$R$2830,6,FALSE)</f>
        <v>F0501</v>
      </c>
      <c r="F462" s="464" t="str">
        <f>VLOOKUP(C462,'[10]Project Detail Query'!$A$1:$R$2830,7,FALSE)</f>
        <v>Station rebuild &amp; replacement</v>
      </c>
      <c r="G462" s="465" t="s">
        <v>20</v>
      </c>
      <c r="H462" s="465">
        <v>201701</v>
      </c>
      <c r="I462" s="467">
        <v>1281.1300000000001</v>
      </c>
      <c r="J462" s="144">
        <f t="shared" si="26"/>
        <v>4</v>
      </c>
      <c r="K462" s="468">
        <v>2.3833299999999999E-3</v>
      </c>
      <c r="L462" s="471">
        <f>ROUND(I462*J462*K462,2)</f>
        <v>12.21</v>
      </c>
      <c r="M462" s="471">
        <f>ROUND(I462*K462*12,2)</f>
        <v>36.64</v>
      </c>
      <c r="N462" s="156"/>
      <c r="O462" s="168"/>
    </row>
    <row r="463" spans="1:15">
      <c r="A463" s="464"/>
      <c r="B463" s="465"/>
      <c r="C463" s="466"/>
      <c r="D463" s="464"/>
      <c r="E463" s="465"/>
      <c r="F463" s="485" t="s">
        <v>2664</v>
      </c>
      <c r="G463" s="486"/>
      <c r="H463" s="486"/>
      <c r="I463" s="487">
        <f>+I462</f>
        <v>1281.1300000000001</v>
      </c>
      <c r="J463" s="405"/>
      <c r="K463" s="489"/>
      <c r="L463" s="487">
        <f>+L462</f>
        <v>12.21</v>
      </c>
      <c r="M463" s="487">
        <f>+M462</f>
        <v>36.64</v>
      </c>
      <c r="N463" s="156"/>
      <c r="O463" s="168"/>
    </row>
    <row r="464" spans="1:15">
      <c r="A464" s="464"/>
      <c r="B464" s="465"/>
      <c r="C464" s="466"/>
      <c r="D464" s="464"/>
      <c r="E464" s="465"/>
      <c r="F464" s="464"/>
      <c r="G464" s="465"/>
      <c r="H464" s="465"/>
      <c r="I464" s="467"/>
      <c r="J464" s="144"/>
      <c r="K464" s="468"/>
      <c r="L464" s="471"/>
      <c r="M464" s="471"/>
      <c r="N464" s="156"/>
      <c r="O464" s="168"/>
    </row>
    <row r="465" spans="1:15">
      <c r="A465" s="464" t="s">
        <v>21</v>
      </c>
      <c r="B465" s="465" t="str">
        <f>VLOOKUP(C465,'[10]Project Detail Query'!$A$1:$R$2830,5,FALSE)</f>
        <v>20401155393</v>
      </c>
      <c r="C465" s="466" t="s">
        <v>1821</v>
      </c>
      <c r="D465" s="464" t="s">
        <v>1822</v>
      </c>
      <c r="E465" s="465" t="str">
        <f>VLOOKUP(C465,'[10]Project Detail Query'!$A$1:$R$2830,6,FALSE)</f>
        <v>F0547</v>
      </c>
      <c r="F465" s="464" t="str">
        <f>VLOOKUP(C465,'[10]Project Detail Query'!$A$1:$R$2830,7,FALSE)</f>
        <v>Street &amp; Highway Relocates ISRS (N)</v>
      </c>
      <c r="G465" s="465" t="s">
        <v>20</v>
      </c>
      <c r="H465" s="465">
        <v>201701</v>
      </c>
      <c r="I465" s="467">
        <v>155.56</v>
      </c>
      <c r="J465" s="144">
        <f t="shared" si="26"/>
        <v>4</v>
      </c>
      <c r="K465" s="472">
        <v>1.4833299999999999E-3</v>
      </c>
      <c r="L465" s="469">
        <f>ROUND(I465*J465*K465,2)</f>
        <v>0.92</v>
      </c>
      <c r="M465" s="469">
        <f>ROUND(I465*K465*12,2)</f>
        <v>2.77</v>
      </c>
      <c r="N465" s="156"/>
      <c r="O465" s="168"/>
    </row>
    <row r="466" spans="1:15">
      <c r="A466" s="464" t="s">
        <v>21</v>
      </c>
      <c r="B466" s="465" t="s">
        <v>1681</v>
      </c>
      <c r="C466" s="466" t="s">
        <v>2017</v>
      </c>
      <c r="D466" s="464" t="s">
        <v>2018</v>
      </c>
      <c r="E466" s="465" t="str">
        <f>VLOOKUP(C466,'[10]Project Detail Query'!$A$1:$R$2830,6,FALSE)</f>
        <v>F0547</v>
      </c>
      <c r="F466" s="464" t="str">
        <f>VLOOKUP(C466,'[10]Project Detail Query'!$A$1:$R$2830,7,FALSE)</f>
        <v>Street &amp; Highway Relocates ISRS (N)</v>
      </c>
      <c r="G466" s="465" t="s">
        <v>20</v>
      </c>
      <c r="H466" s="465">
        <v>201701</v>
      </c>
      <c r="I466" s="467">
        <v>-5617.38</v>
      </c>
      <c r="J466" s="144">
        <f t="shared" si="26"/>
        <v>4</v>
      </c>
      <c r="K466" s="472">
        <v>1.4833299999999999E-3</v>
      </c>
      <c r="L466" s="469">
        <f>ROUND(I466*J466*K466,2)</f>
        <v>-33.33</v>
      </c>
      <c r="M466" s="469">
        <f>ROUND(I466*K466*12,2)</f>
        <v>-99.99</v>
      </c>
      <c r="N466" s="156"/>
      <c r="O466" s="168"/>
    </row>
    <row r="467" spans="1:15">
      <c r="A467" s="464" t="s">
        <v>21</v>
      </c>
      <c r="B467" s="465" t="s">
        <v>1681</v>
      </c>
      <c r="C467" s="466" t="s">
        <v>2279</v>
      </c>
      <c r="D467" s="464" t="s">
        <v>2280</v>
      </c>
      <c r="E467" s="465" t="str">
        <f>VLOOKUP(C467,'[10]Project Detail Query'!$A$1:$R$2830,6,FALSE)</f>
        <v>F0547</v>
      </c>
      <c r="F467" s="464" t="str">
        <f>VLOOKUP(C467,'[10]Project Detail Query'!$A$1:$R$2830,7,FALSE)</f>
        <v>Street &amp; Highway Relocates ISRS (N)</v>
      </c>
      <c r="G467" s="465" t="s">
        <v>20</v>
      </c>
      <c r="H467" s="465">
        <v>201701</v>
      </c>
      <c r="I467" s="467">
        <v>24.27</v>
      </c>
      <c r="J467" s="144">
        <f t="shared" si="26"/>
        <v>4</v>
      </c>
      <c r="K467" s="472">
        <v>1.4833299999999999E-3</v>
      </c>
      <c r="L467" s="469">
        <f>ROUND(I467*J467*K467,2)</f>
        <v>0.14000000000000001</v>
      </c>
      <c r="M467" s="469">
        <f>ROUND(I467*K467*12,2)</f>
        <v>0.43</v>
      </c>
      <c r="N467" s="156"/>
      <c r="O467" s="168"/>
    </row>
    <row r="468" spans="1:15">
      <c r="A468" s="464" t="s">
        <v>626</v>
      </c>
      <c r="B468" s="465" t="s">
        <v>1681</v>
      </c>
      <c r="C468" s="466" t="s">
        <v>2378</v>
      </c>
      <c r="D468" s="464" t="s">
        <v>2379</v>
      </c>
      <c r="E468" s="465" t="str">
        <f>VLOOKUP(C468,'[10]Project Detail Query'!$A$1:$R$2830,6,FALSE)</f>
        <v>F0547</v>
      </c>
      <c r="F468" s="464" t="str">
        <f>VLOOKUP(C468,'[10]Project Detail Query'!$A$1:$R$2830,7,FALSE)</f>
        <v>Street &amp; Highway Relocates ISRS (N)</v>
      </c>
      <c r="G468" s="465" t="s">
        <v>20</v>
      </c>
      <c r="H468" s="465">
        <v>201701</v>
      </c>
      <c r="I468" s="467">
        <v>13.53</v>
      </c>
      <c r="J468" s="144">
        <f t="shared" si="26"/>
        <v>4</v>
      </c>
      <c r="K468" s="472">
        <v>1.4833299999999999E-3</v>
      </c>
      <c r="L468" s="469">
        <f>ROUND(I468*J468*K468,2)</f>
        <v>0.08</v>
      </c>
      <c r="M468" s="469">
        <f>ROUND(I468*K468*12,2)</f>
        <v>0.24</v>
      </c>
      <c r="N468" s="156"/>
      <c r="O468" s="168"/>
    </row>
    <row r="469" spans="1:15">
      <c r="A469" s="464" t="s">
        <v>626</v>
      </c>
      <c r="B469" s="465" t="s">
        <v>1681</v>
      </c>
      <c r="C469" s="466" t="s">
        <v>2402</v>
      </c>
      <c r="D469" s="464" t="s">
        <v>2403</v>
      </c>
      <c r="E469" s="465" t="str">
        <f>VLOOKUP(C469,'[10]Project Detail Query'!$A$1:$R$2830,6,FALSE)</f>
        <v>F0547</v>
      </c>
      <c r="F469" s="464" t="str">
        <f>VLOOKUP(C469,'[10]Project Detail Query'!$A$1:$R$2830,7,FALSE)</f>
        <v>Street &amp; Highway Relocates ISRS (N)</v>
      </c>
      <c r="G469" s="465" t="s">
        <v>20</v>
      </c>
      <c r="H469" s="465">
        <v>201701</v>
      </c>
      <c r="I469" s="467">
        <v>1546.21</v>
      </c>
      <c r="J469" s="144">
        <f t="shared" si="26"/>
        <v>4</v>
      </c>
      <c r="K469" s="472">
        <v>1.4833299999999999E-3</v>
      </c>
      <c r="L469" s="469">
        <f>ROUND(I469*J469*K469,2)</f>
        <v>9.17</v>
      </c>
      <c r="M469" s="469">
        <f>ROUND(I469*K469*12,2)</f>
        <v>27.52</v>
      </c>
      <c r="N469" s="156"/>
      <c r="O469" s="168"/>
    </row>
    <row r="470" spans="1:15">
      <c r="A470" s="464" t="s">
        <v>626</v>
      </c>
      <c r="B470" s="465" t="s">
        <v>1681</v>
      </c>
      <c r="C470" s="466" t="s">
        <v>2113</v>
      </c>
      <c r="D470" s="464" t="s">
        <v>2114</v>
      </c>
      <c r="E470" s="465" t="str">
        <f>VLOOKUP(C470,'[10]Project Detail Query'!$A$1:$R$2830,6,FALSE)</f>
        <v>F0547</v>
      </c>
      <c r="F470" s="464" t="str">
        <f>VLOOKUP(C470,'[10]Project Detail Query'!$A$1:$R$2830,7,FALSE)</f>
        <v>Street &amp; Highway Relocates ISRS (N)</v>
      </c>
      <c r="G470" s="465" t="s">
        <v>20</v>
      </c>
      <c r="H470" s="465">
        <v>201701</v>
      </c>
      <c r="I470" s="467">
        <v>328.11</v>
      </c>
      <c r="J470" s="144">
        <f t="shared" si="26"/>
        <v>4</v>
      </c>
      <c r="K470" s="472">
        <v>1.4833299999999999E-3</v>
      </c>
      <c r="L470" s="469">
        <f>ROUND(I470*J470*K470,2)</f>
        <v>1.95</v>
      </c>
      <c r="M470" s="469">
        <f>ROUND(I470*K470*12,2)</f>
        <v>5.84</v>
      </c>
      <c r="N470" s="156"/>
      <c r="O470" s="168"/>
    </row>
    <row r="471" spans="1:15">
      <c r="A471" s="464" t="s">
        <v>14</v>
      </c>
      <c r="B471" s="465" t="s">
        <v>1681</v>
      </c>
      <c r="C471" s="466" t="s">
        <v>2378</v>
      </c>
      <c r="D471" s="464" t="s">
        <v>2379</v>
      </c>
      <c r="E471" s="465" t="str">
        <f>VLOOKUP(C471,'[10]Project Detail Query'!$A$1:$R$2830,6,FALSE)</f>
        <v>F0547</v>
      </c>
      <c r="F471" s="464" t="str">
        <f>VLOOKUP(C471,'[10]Project Detail Query'!$A$1:$R$2830,7,FALSE)</f>
        <v>Street &amp; Highway Relocates ISRS (N)</v>
      </c>
      <c r="G471" s="465" t="s">
        <v>20</v>
      </c>
      <c r="H471" s="465">
        <v>201701</v>
      </c>
      <c r="I471" s="467">
        <v>2.83</v>
      </c>
      <c r="J471" s="144">
        <f t="shared" si="26"/>
        <v>4</v>
      </c>
      <c r="K471" s="468">
        <v>2.23333E-3</v>
      </c>
      <c r="L471" s="469">
        <f>ROUND(I471*J471*K471,2)</f>
        <v>0.03</v>
      </c>
      <c r="M471" s="469">
        <f>ROUND(I471*K471*12,2)</f>
        <v>0.08</v>
      </c>
      <c r="N471" s="156"/>
      <c r="O471" s="168"/>
    </row>
    <row r="472" spans="1:15">
      <c r="A472" s="464" t="s">
        <v>14</v>
      </c>
      <c r="B472" s="465" t="s">
        <v>1681</v>
      </c>
      <c r="C472" s="466" t="s">
        <v>2402</v>
      </c>
      <c r="D472" s="464" t="s">
        <v>2403</v>
      </c>
      <c r="E472" s="465" t="str">
        <f>VLOOKUP(C472,'[10]Project Detail Query'!$A$1:$R$2830,6,FALSE)</f>
        <v>F0547</v>
      </c>
      <c r="F472" s="464" t="str">
        <f>VLOOKUP(C472,'[10]Project Detail Query'!$A$1:$R$2830,7,FALSE)</f>
        <v>Street &amp; Highway Relocates ISRS (N)</v>
      </c>
      <c r="G472" s="465" t="s">
        <v>20</v>
      </c>
      <c r="H472" s="465">
        <v>201701</v>
      </c>
      <c r="I472" s="467">
        <v>250.3</v>
      </c>
      <c r="J472" s="144">
        <f t="shared" si="26"/>
        <v>4</v>
      </c>
      <c r="K472" s="468">
        <v>2.23333E-3</v>
      </c>
      <c r="L472" s="469">
        <f>ROUND(I472*J472*K472,2)</f>
        <v>2.2400000000000002</v>
      </c>
      <c r="M472" s="469">
        <f>ROUND(I472*K472*12,2)</f>
        <v>6.71</v>
      </c>
      <c r="N472" s="156"/>
      <c r="O472" s="168"/>
    </row>
    <row r="473" spans="1:15">
      <c r="A473" s="464" t="s">
        <v>626</v>
      </c>
      <c r="B473" s="465" t="s">
        <v>1681</v>
      </c>
      <c r="C473" s="466" t="s">
        <v>2259</v>
      </c>
      <c r="D473" s="464" t="s">
        <v>2260</v>
      </c>
      <c r="E473" s="465" t="str">
        <f>VLOOKUP(C473,'[10]Project Detail Query'!$A$1:$R$2830,6,FALSE)</f>
        <v>F0578</v>
      </c>
      <c r="F473" s="464" t="str">
        <f>VLOOKUP(C473,'[10]Project Detail Query'!$A$1:$R$2830,7,FALSE)</f>
        <v>Street &amp; Highway Relocates ISRS (S)</v>
      </c>
      <c r="G473" s="465" t="s">
        <v>20</v>
      </c>
      <c r="H473" s="465">
        <v>201701</v>
      </c>
      <c r="I473" s="467">
        <v>3.48</v>
      </c>
      <c r="J473" s="144">
        <f t="shared" si="26"/>
        <v>4</v>
      </c>
      <c r="K473" s="472">
        <v>1.4833299999999999E-3</v>
      </c>
      <c r="L473" s="469">
        <f>ROUND(I473*J473*K473,2)</f>
        <v>0.02</v>
      </c>
      <c r="M473" s="469">
        <f>ROUND(I473*K473*12,2)</f>
        <v>0.06</v>
      </c>
      <c r="N473" s="156"/>
      <c r="O473" s="168"/>
    </row>
    <row r="474" spans="1:15">
      <c r="A474" s="464" t="s">
        <v>626</v>
      </c>
      <c r="B474" s="465" t="s">
        <v>1681</v>
      </c>
      <c r="C474" s="466" t="s">
        <v>2311</v>
      </c>
      <c r="D474" s="464" t="s">
        <v>2312</v>
      </c>
      <c r="E474" s="465" t="str">
        <f>VLOOKUP(C474,'[10]Project Detail Query'!$A$1:$R$2830,6,FALSE)</f>
        <v>F0578</v>
      </c>
      <c r="F474" s="464" t="str">
        <f>VLOOKUP(C474,'[10]Project Detail Query'!$A$1:$R$2830,7,FALSE)</f>
        <v>Street &amp; Highway Relocates ISRS (S)</v>
      </c>
      <c r="G474" s="465" t="s">
        <v>20</v>
      </c>
      <c r="H474" s="465">
        <v>201701</v>
      </c>
      <c r="I474" s="467">
        <v>8.06</v>
      </c>
      <c r="J474" s="144">
        <f t="shared" si="26"/>
        <v>4</v>
      </c>
      <c r="K474" s="472">
        <v>1.4833299999999999E-3</v>
      </c>
      <c r="L474" s="469">
        <f>ROUND(I474*J474*K474,2)</f>
        <v>0.05</v>
      </c>
      <c r="M474" s="469">
        <f>ROUND(I474*K474*12,2)</f>
        <v>0.14000000000000001</v>
      </c>
      <c r="N474" s="156"/>
      <c r="O474" s="168"/>
    </row>
    <row r="475" spans="1:15">
      <c r="A475" s="464" t="s">
        <v>626</v>
      </c>
      <c r="B475" s="465" t="s">
        <v>1681</v>
      </c>
      <c r="C475" s="466" t="s">
        <v>2436</v>
      </c>
      <c r="D475" s="464" t="s">
        <v>2437</v>
      </c>
      <c r="E475" s="465" t="str">
        <f>VLOOKUP(C475,'[10]Project Detail Query'!$A$1:$R$2830,6,FALSE)</f>
        <v>F0578</v>
      </c>
      <c r="F475" s="464" t="str">
        <f>VLOOKUP(C475,'[10]Project Detail Query'!$A$1:$R$2830,7,FALSE)</f>
        <v>Street &amp; Highway Relocates ISRS (S)</v>
      </c>
      <c r="G475" s="465" t="s">
        <v>20</v>
      </c>
      <c r="H475" s="465">
        <v>201701</v>
      </c>
      <c r="I475" s="467">
        <v>5435.91</v>
      </c>
      <c r="J475" s="144">
        <f t="shared" si="26"/>
        <v>4</v>
      </c>
      <c r="K475" s="472">
        <v>1.4833299999999999E-3</v>
      </c>
      <c r="L475" s="469">
        <f>ROUND(I475*J475*K475,2)</f>
        <v>32.25</v>
      </c>
      <c r="M475" s="469">
        <f>ROUND(I475*K475*12,2)</f>
        <v>96.76</v>
      </c>
      <c r="N475" s="156"/>
      <c r="O475" s="168"/>
    </row>
    <row r="476" spans="1:15">
      <c r="A476" s="464" t="s">
        <v>626</v>
      </c>
      <c r="B476" s="465" t="s">
        <v>1681</v>
      </c>
      <c r="C476" s="466" t="s">
        <v>2404</v>
      </c>
      <c r="D476" s="464" t="s">
        <v>2405</v>
      </c>
      <c r="E476" s="465" t="str">
        <f>VLOOKUP(C476,'[10]Project Detail Query'!$A$1:$R$2830,6,FALSE)</f>
        <v>F0578</v>
      </c>
      <c r="F476" s="464" t="str">
        <f>VLOOKUP(C476,'[10]Project Detail Query'!$A$1:$R$2830,7,FALSE)</f>
        <v>Street &amp; Highway Relocates ISRS (S)</v>
      </c>
      <c r="G476" s="465" t="s">
        <v>20</v>
      </c>
      <c r="H476" s="465">
        <v>201701</v>
      </c>
      <c r="I476" s="467">
        <v>8626.34</v>
      </c>
      <c r="J476" s="144">
        <f t="shared" si="26"/>
        <v>4</v>
      </c>
      <c r="K476" s="472">
        <v>1.4833299999999999E-3</v>
      </c>
      <c r="L476" s="469">
        <f>ROUND(I476*J476*K476,2)</f>
        <v>51.18</v>
      </c>
      <c r="M476" s="469">
        <f>ROUND(I476*K476*12,2)</f>
        <v>153.55000000000001</v>
      </c>
      <c r="N476" s="156"/>
      <c r="O476" s="168"/>
    </row>
    <row r="477" spans="1:15">
      <c r="A477" s="464" t="s">
        <v>626</v>
      </c>
      <c r="B477" s="465" t="s">
        <v>1681</v>
      </c>
      <c r="C477" s="466" t="s">
        <v>2629</v>
      </c>
      <c r="D477" s="464" t="s">
        <v>2630</v>
      </c>
      <c r="E477" s="465" t="str">
        <f>VLOOKUP(C477,'[10]Project Detail Query'!$A$1:$R$2830,6,FALSE)</f>
        <v>F0578</v>
      </c>
      <c r="F477" s="464" t="str">
        <f>VLOOKUP(C477,'[10]Project Detail Query'!$A$1:$R$2830,7,FALSE)</f>
        <v>Street &amp; Highway Relocates ISRS (S)</v>
      </c>
      <c r="G477" s="465" t="s">
        <v>20</v>
      </c>
      <c r="H477" s="465">
        <v>201701</v>
      </c>
      <c r="I477" s="467">
        <v>193296.78</v>
      </c>
      <c r="J477" s="144">
        <f t="shared" si="26"/>
        <v>4</v>
      </c>
      <c r="K477" s="472">
        <v>1.4833299999999999E-3</v>
      </c>
      <c r="L477" s="469">
        <f>ROUND(I477*J477*K477,2)</f>
        <v>1146.8900000000001</v>
      </c>
      <c r="M477" s="469">
        <f>ROUND(I477*K477*12,2)</f>
        <v>3440.67</v>
      </c>
      <c r="N477" s="156"/>
      <c r="O477" s="168"/>
    </row>
    <row r="478" spans="1:15">
      <c r="A478" s="464" t="s">
        <v>626</v>
      </c>
      <c r="B478" s="465" t="s">
        <v>1681</v>
      </c>
      <c r="C478" s="466" t="s">
        <v>2450</v>
      </c>
      <c r="D478" s="464" t="s">
        <v>2451</v>
      </c>
      <c r="E478" s="465" t="str">
        <f>VLOOKUP(C478,'[10]Project Detail Query'!$A$1:$R$2830,6,FALSE)</f>
        <v>F0578</v>
      </c>
      <c r="F478" s="464" t="str">
        <f>VLOOKUP(C478,'[10]Project Detail Query'!$A$1:$R$2830,7,FALSE)</f>
        <v>Street &amp; Highway Relocates ISRS (S)</v>
      </c>
      <c r="G478" s="465" t="s">
        <v>20</v>
      </c>
      <c r="H478" s="465">
        <v>201701</v>
      </c>
      <c r="I478" s="467">
        <v>2349.27</v>
      </c>
      <c r="J478" s="144">
        <f t="shared" si="26"/>
        <v>4</v>
      </c>
      <c r="K478" s="472">
        <v>1.4833299999999999E-3</v>
      </c>
      <c r="L478" s="469">
        <f>ROUND(I478*J478*K478,2)</f>
        <v>13.94</v>
      </c>
      <c r="M478" s="469">
        <f>ROUND(I478*K478*12,2)</f>
        <v>41.82</v>
      </c>
      <c r="N478" s="156"/>
      <c r="O478" s="168"/>
    </row>
    <row r="479" spans="1:15">
      <c r="A479" s="464" t="s">
        <v>14</v>
      </c>
      <c r="B479" s="465" t="s">
        <v>1681</v>
      </c>
      <c r="C479" s="466" t="s">
        <v>2311</v>
      </c>
      <c r="D479" s="464" t="s">
        <v>2312</v>
      </c>
      <c r="E479" s="465" t="str">
        <f>VLOOKUP(C479,'[10]Project Detail Query'!$A$1:$R$2830,6,FALSE)</f>
        <v>F0578</v>
      </c>
      <c r="F479" s="464" t="str">
        <f>VLOOKUP(C479,'[10]Project Detail Query'!$A$1:$R$2830,7,FALSE)</f>
        <v>Street &amp; Highway Relocates ISRS (S)</v>
      </c>
      <c r="G479" s="465" t="s">
        <v>20</v>
      </c>
      <c r="H479" s="465">
        <v>201701</v>
      </c>
      <c r="I479" s="467">
        <v>0.15</v>
      </c>
      <c r="J479" s="144">
        <f t="shared" si="26"/>
        <v>4</v>
      </c>
      <c r="K479" s="468">
        <v>2.23333E-3</v>
      </c>
      <c r="L479" s="469">
        <f>ROUND(I479*J479*K479,2)</f>
        <v>0</v>
      </c>
      <c r="M479" s="469">
        <f>ROUND(I479*K479*12,2)</f>
        <v>0</v>
      </c>
      <c r="N479" s="156"/>
      <c r="O479" s="168"/>
    </row>
    <row r="480" spans="1:15">
      <c r="A480" s="464" t="s">
        <v>14</v>
      </c>
      <c r="B480" s="465" t="s">
        <v>1681</v>
      </c>
      <c r="C480" s="466" t="s">
        <v>2436</v>
      </c>
      <c r="D480" s="464" t="s">
        <v>2437</v>
      </c>
      <c r="E480" s="465" t="str">
        <f>VLOOKUP(C480,'[10]Project Detail Query'!$A$1:$R$2830,6,FALSE)</f>
        <v>F0578</v>
      </c>
      <c r="F480" s="464" t="str">
        <f>VLOOKUP(C480,'[10]Project Detail Query'!$A$1:$R$2830,7,FALSE)</f>
        <v>Street &amp; Highway Relocates ISRS (S)</v>
      </c>
      <c r="G480" s="465" t="s">
        <v>20</v>
      </c>
      <c r="H480" s="465">
        <v>201701</v>
      </c>
      <c r="I480" s="467">
        <v>89.67</v>
      </c>
      <c r="J480" s="144">
        <f t="shared" si="26"/>
        <v>4</v>
      </c>
      <c r="K480" s="468">
        <v>2.23333E-3</v>
      </c>
      <c r="L480" s="469">
        <f>ROUND(I480*J480*K480,2)</f>
        <v>0.8</v>
      </c>
      <c r="M480" s="469">
        <f>ROUND(I480*K480*12,2)</f>
        <v>2.4</v>
      </c>
      <c r="N480" s="156"/>
      <c r="O480" s="168"/>
    </row>
    <row r="481" spans="1:15">
      <c r="A481" s="464" t="s">
        <v>14</v>
      </c>
      <c r="B481" s="465" t="s">
        <v>1681</v>
      </c>
      <c r="C481" s="466" t="s">
        <v>2629</v>
      </c>
      <c r="D481" s="464" t="s">
        <v>2630</v>
      </c>
      <c r="E481" s="465" t="str">
        <f>VLOOKUP(C481,'[10]Project Detail Query'!$A$1:$R$2830,6,FALSE)</f>
        <v>F0578</v>
      </c>
      <c r="F481" s="464" t="str">
        <f>VLOOKUP(C481,'[10]Project Detail Query'!$A$1:$R$2830,7,FALSE)</f>
        <v>Street &amp; Highway Relocates ISRS (S)</v>
      </c>
      <c r="G481" s="465" t="s">
        <v>20</v>
      </c>
      <c r="H481" s="465">
        <v>201701</v>
      </c>
      <c r="I481" s="467">
        <v>38180.239999999998</v>
      </c>
      <c r="J481" s="144">
        <f t="shared" si="26"/>
        <v>4</v>
      </c>
      <c r="K481" s="468">
        <v>2.23333E-3</v>
      </c>
      <c r="L481" s="469">
        <f>ROUND(I481*J481*K481,2)</f>
        <v>341.08</v>
      </c>
      <c r="M481" s="469">
        <f>ROUND(I481*K481*12,2)</f>
        <v>1023.23</v>
      </c>
      <c r="N481" s="156"/>
      <c r="O481" s="168"/>
    </row>
    <row r="482" spans="1:15">
      <c r="A482" s="464" t="s">
        <v>21</v>
      </c>
      <c r="B482" s="465" t="str">
        <f>VLOOKUP(C482,'[10]Project Detail Query'!$A$1:$R$2830,5,FALSE)</f>
        <v>20401155420</v>
      </c>
      <c r="C482" s="466" t="s">
        <v>1971</v>
      </c>
      <c r="D482" s="464" t="s">
        <v>1972</v>
      </c>
      <c r="E482" s="465" t="str">
        <f>VLOOKUP(C482,'[10]Project Detail Query'!$A$1:$R$2830,6,FALSE)</f>
        <v>F0664</v>
      </c>
      <c r="F482" s="464" t="str">
        <f>VLOOKUP(C482,'[10]Project Detail Query'!$A$1:$R$2830,7,FALSE)</f>
        <v>Street &amp; Hwy Relocates ISRS (SW)</v>
      </c>
      <c r="G482" s="465" t="s">
        <v>20</v>
      </c>
      <c r="H482" s="465">
        <v>201701</v>
      </c>
      <c r="I482" s="467">
        <v>40.28</v>
      </c>
      <c r="J482" s="144">
        <f t="shared" si="26"/>
        <v>4</v>
      </c>
      <c r="K482" s="472">
        <v>1.4833299999999999E-3</v>
      </c>
      <c r="L482" s="469">
        <f>ROUND(I482*J482*K482,2)</f>
        <v>0.24</v>
      </c>
      <c r="M482" s="469">
        <f>ROUND(I482*K482*12,2)</f>
        <v>0.72</v>
      </c>
      <c r="N482" s="156"/>
      <c r="O482" s="168"/>
    </row>
    <row r="483" spans="1:15">
      <c r="A483" s="464" t="s">
        <v>21</v>
      </c>
      <c r="B483" s="465" t="s">
        <v>1681</v>
      </c>
      <c r="C483" s="466" t="s">
        <v>2257</v>
      </c>
      <c r="D483" s="464" t="s">
        <v>2258</v>
      </c>
      <c r="E483" s="465" t="str">
        <f>VLOOKUP(C483,'[10]Project Detail Query'!$A$1:$R$2830,6,FALSE)</f>
        <v>F0664</v>
      </c>
      <c r="F483" s="464" t="str">
        <f>VLOOKUP(C483,'[10]Project Detail Query'!$A$1:$R$2830,7,FALSE)</f>
        <v>Street &amp; Hwy Relocates ISRS (SW)</v>
      </c>
      <c r="G483" s="465" t="s">
        <v>20</v>
      </c>
      <c r="H483" s="465">
        <v>201701</v>
      </c>
      <c r="I483" s="467">
        <v>20.309999999999999</v>
      </c>
      <c r="J483" s="144">
        <f t="shared" si="26"/>
        <v>4</v>
      </c>
      <c r="K483" s="472">
        <v>1.4833299999999999E-3</v>
      </c>
      <c r="L483" s="469">
        <f>ROUND(I483*J483*K483,2)</f>
        <v>0.12</v>
      </c>
      <c r="M483" s="469">
        <f>ROUND(I483*K483*12,2)</f>
        <v>0.36</v>
      </c>
      <c r="N483" s="156"/>
      <c r="O483" s="168"/>
    </row>
    <row r="484" spans="1:15">
      <c r="A484" s="464" t="s">
        <v>21</v>
      </c>
      <c r="B484" s="465" t="s">
        <v>1681</v>
      </c>
      <c r="C484" s="466" t="s">
        <v>2615</v>
      </c>
      <c r="D484" s="464" t="s">
        <v>2616</v>
      </c>
      <c r="E484" s="465" t="str">
        <f>VLOOKUP(C484,'[10]Project Detail Query'!$A$1:$R$2830,6,FALSE)</f>
        <v>F0664</v>
      </c>
      <c r="F484" s="464" t="str">
        <f>VLOOKUP(C484,'[10]Project Detail Query'!$A$1:$R$2830,7,FALSE)</f>
        <v>Street &amp; Hwy Relocates ISRS (SW)</v>
      </c>
      <c r="G484" s="465" t="s">
        <v>20</v>
      </c>
      <c r="H484" s="465">
        <v>201701</v>
      </c>
      <c r="I484" s="467">
        <v>157687.14000000001</v>
      </c>
      <c r="J484" s="144">
        <f t="shared" si="26"/>
        <v>4</v>
      </c>
      <c r="K484" s="472">
        <v>1.4833299999999999E-3</v>
      </c>
      <c r="L484" s="469">
        <f>ROUND(I484*J484*K484,2)</f>
        <v>935.61</v>
      </c>
      <c r="M484" s="469">
        <f>ROUND(I484*K484*12,2)</f>
        <v>2806.82</v>
      </c>
      <c r="N484" s="156"/>
      <c r="O484" s="168"/>
    </row>
    <row r="485" spans="1:15">
      <c r="A485" s="464" t="s">
        <v>626</v>
      </c>
      <c r="B485" s="465" t="str">
        <f>VLOOKUP(C485,'[10]Project Detail Query'!$A$1:$R$2830,5,FALSE)</f>
        <v>20401155420</v>
      </c>
      <c r="C485" s="466" t="s">
        <v>1971</v>
      </c>
      <c r="D485" s="464" t="s">
        <v>1972</v>
      </c>
      <c r="E485" s="465" t="str">
        <f>VLOOKUP(C485,'[10]Project Detail Query'!$A$1:$R$2830,6,FALSE)</f>
        <v>F0664</v>
      </c>
      <c r="F485" s="464" t="str">
        <f>VLOOKUP(C485,'[10]Project Detail Query'!$A$1:$R$2830,7,FALSE)</f>
        <v>Street &amp; Hwy Relocates ISRS (SW)</v>
      </c>
      <c r="G485" s="465" t="s">
        <v>20</v>
      </c>
      <c r="H485" s="465">
        <v>201701</v>
      </c>
      <c r="I485" s="467">
        <v>1047.3599999999999</v>
      </c>
      <c r="J485" s="144">
        <f t="shared" si="26"/>
        <v>4</v>
      </c>
      <c r="K485" s="472">
        <v>1.4833299999999999E-3</v>
      </c>
      <c r="L485" s="469">
        <f>ROUND(I485*J485*K485,2)</f>
        <v>6.21</v>
      </c>
      <c r="M485" s="469">
        <f>ROUND(I485*K485*12,2)</f>
        <v>18.64</v>
      </c>
      <c r="N485" s="156"/>
      <c r="O485" s="168"/>
    </row>
    <row r="486" spans="1:15">
      <c r="A486" s="464" t="s">
        <v>626</v>
      </c>
      <c r="B486" s="465" t="str">
        <f>VLOOKUP(C486,'[10]Project Detail Query'!$A$1:$R$2830,5,FALSE)</f>
        <v>20501155526</v>
      </c>
      <c r="C486" s="466" t="s">
        <v>1946</v>
      </c>
      <c r="D486" s="464" t="s">
        <v>1947</v>
      </c>
      <c r="E486" s="465" t="str">
        <f>VLOOKUP(C486,'[10]Project Detail Query'!$A$1:$R$2830,6,FALSE)</f>
        <v>F0664</v>
      </c>
      <c r="F486" s="464" t="str">
        <f>VLOOKUP(C486,'[10]Project Detail Query'!$A$1:$R$2830,7,FALSE)</f>
        <v>Street &amp; Hwy Relocates ISRS (SW)</v>
      </c>
      <c r="G486" s="465" t="s">
        <v>20</v>
      </c>
      <c r="H486" s="465">
        <v>201701</v>
      </c>
      <c r="I486" s="467">
        <v>6763.48</v>
      </c>
      <c r="J486" s="144">
        <f t="shared" si="26"/>
        <v>4</v>
      </c>
      <c r="K486" s="472">
        <v>1.4833299999999999E-3</v>
      </c>
      <c r="L486" s="469">
        <f>ROUND(I486*J486*K486,2)</f>
        <v>40.130000000000003</v>
      </c>
      <c r="M486" s="469">
        <f>ROUND(I486*K486*12,2)</f>
        <v>120.39</v>
      </c>
      <c r="N486" s="156"/>
      <c r="O486" s="168"/>
    </row>
    <row r="487" spans="1:15">
      <c r="A487" s="464" t="s">
        <v>626</v>
      </c>
      <c r="B487" s="465" t="s">
        <v>1681</v>
      </c>
      <c r="C487" s="466" t="s">
        <v>2257</v>
      </c>
      <c r="D487" s="464" t="s">
        <v>2258</v>
      </c>
      <c r="E487" s="465" t="str">
        <f>VLOOKUP(C487,'[10]Project Detail Query'!$A$1:$R$2830,6,FALSE)</f>
        <v>F0664</v>
      </c>
      <c r="F487" s="464" t="str">
        <f>VLOOKUP(C487,'[10]Project Detail Query'!$A$1:$R$2830,7,FALSE)</f>
        <v>Street &amp; Hwy Relocates ISRS (SW)</v>
      </c>
      <c r="G487" s="465" t="s">
        <v>20</v>
      </c>
      <c r="H487" s="465">
        <v>201701</v>
      </c>
      <c r="I487" s="467">
        <v>475.81</v>
      </c>
      <c r="J487" s="144">
        <f t="shared" si="26"/>
        <v>4</v>
      </c>
      <c r="K487" s="472">
        <v>1.4833299999999999E-3</v>
      </c>
      <c r="L487" s="469">
        <f>ROUND(I487*J487*K487,2)</f>
        <v>2.82</v>
      </c>
      <c r="M487" s="469">
        <f>ROUND(I487*K487*12,2)</f>
        <v>8.4700000000000006</v>
      </c>
      <c r="N487" s="156"/>
      <c r="O487" s="168"/>
    </row>
    <row r="488" spans="1:15">
      <c r="A488" s="464" t="s">
        <v>626</v>
      </c>
      <c r="B488" s="465" t="s">
        <v>1681</v>
      </c>
      <c r="C488" s="466" t="s">
        <v>2269</v>
      </c>
      <c r="D488" s="464" t="s">
        <v>2270</v>
      </c>
      <c r="E488" s="465" t="str">
        <f>VLOOKUP(C488,'[10]Project Detail Query'!$A$1:$R$2830,6,FALSE)</f>
        <v>F0664</v>
      </c>
      <c r="F488" s="464" t="str">
        <f>VLOOKUP(C488,'[10]Project Detail Query'!$A$1:$R$2830,7,FALSE)</f>
        <v>Street &amp; Hwy Relocates ISRS (SW)</v>
      </c>
      <c r="G488" s="465" t="s">
        <v>20</v>
      </c>
      <c r="H488" s="465">
        <v>201701</v>
      </c>
      <c r="I488" s="467">
        <v>6177.59</v>
      </c>
      <c r="J488" s="144">
        <f t="shared" si="26"/>
        <v>4</v>
      </c>
      <c r="K488" s="472">
        <v>1.4833299999999999E-3</v>
      </c>
      <c r="L488" s="469">
        <f>ROUND(I488*J488*K488,2)</f>
        <v>36.65</v>
      </c>
      <c r="M488" s="469">
        <f>ROUND(I488*K488*12,2)</f>
        <v>109.96</v>
      </c>
      <c r="N488" s="156"/>
      <c r="O488" s="168"/>
    </row>
    <row r="489" spans="1:15">
      <c r="A489" s="464" t="s">
        <v>626</v>
      </c>
      <c r="B489" s="465" t="s">
        <v>1681</v>
      </c>
      <c r="C489" s="466" t="s">
        <v>2398</v>
      </c>
      <c r="D489" s="464" t="s">
        <v>2399</v>
      </c>
      <c r="E489" s="465" t="str">
        <f>VLOOKUP(C489,'[10]Project Detail Query'!$A$1:$R$2830,6,FALSE)</f>
        <v>F0664</v>
      </c>
      <c r="F489" s="464" t="str">
        <f>VLOOKUP(C489,'[10]Project Detail Query'!$A$1:$R$2830,7,FALSE)</f>
        <v>Street &amp; Hwy Relocates ISRS (SW)</v>
      </c>
      <c r="G489" s="465" t="s">
        <v>20</v>
      </c>
      <c r="H489" s="465">
        <v>201701</v>
      </c>
      <c r="I489" s="467">
        <v>269.49</v>
      </c>
      <c r="J489" s="144">
        <f t="shared" si="26"/>
        <v>4</v>
      </c>
      <c r="K489" s="472">
        <v>1.4833299999999999E-3</v>
      </c>
      <c r="L489" s="469">
        <f>ROUND(I489*J489*K489,2)</f>
        <v>1.6</v>
      </c>
      <c r="M489" s="469">
        <f>ROUND(I489*K489*12,2)</f>
        <v>4.8</v>
      </c>
      <c r="N489" s="156"/>
      <c r="O489" s="168"/>
    </row>
    <row r="490" spans="1:15">
      <c r="A490" s="464" t="s">
        <v>626</v>
      </c>
      <c r="B490" s="465" t="s">
        <v>1681</v>
      </c>
      <c r="C490" s="466" t="s">
        <v>2615</v>
      </c>
      <c r="D490" s="464" t="s">
        <v>2616</v>
      </c>
      <c r="E490" s="465" t="str">
        <f>VLOOKUP(C490,'[10]Project Detail Query'!$A$1:$R$2830,6,FALSE)</f>
        <v>F0664</v>
      </c>
      <c r="F490" s="464" t="str">
        <f>VLOOKUP(C490,'[10]Project Detail Query'!$A$1:$R$2830,7,FALSE)</f>
        <v>Street &amp; Hwy Relocates ISRS (SW)</v>
      </c>
      <c r="G490" s="465" t="s">
        <v>20</v>
      </c>
      <c r="H490" s="465">
        <v>201701</v>
      </c>
      <c r="I490" s="467">
        <v>100887.84</v>
      </c>
      <c r="J490" s="144">
        <f t="shared" si="26"/>
        <v>4</v>
      </c>
      <c r="K490" s="472">
        <v>1.4833299999999999E-3</v>
      </c>
      <c r="L490" s="469">
        <f>ROUND(I490*J490*K490,2)</f>
        <v>598.6</v>
      </c>
      <c r="M490" s="469">
        <f>ROUND(I490*K490*12,2)</f>
        <v>1795.8</v>
      </c>
      <c r="N490" s="156"/>
      <c r="O490" s="168"/>
    </row>
    <row r="491" spans="1:15">
      <c r="A491" s="464" t="s">
        <v>626</v>
      </c>
      <c r="B491" s="465" t="s">
        <v>1681</v>
      </c>
      <c r="C491" s="466" t="s">
        <v>2289</v>
      </c>
      <c r="D491" s="464" t="s">
        <v>2290</v>
      </c>
      <c r="E491" s="465" t="str">
        <f>VLOOKUP(C491,'[10]Project Detail Query'!$A$1:$R$2830,6,FALSE)</f>
        <v>F0664</v>
      </c>
      <c r="F491" s="464" t="str">
        <f>VLOOKUP(C491,'[10]Project Detail Query'!$A$1:$R$2830,7,FALSE)</f>
        <v>Street &amp; Hwy Relocates ISRS (SW)</v>
      </c>
      <c r="G491" s="465" t="s">
        <v>20</v>
      </c>
      <c r="H491" s="465">
        <v>201701</v>
      </c>
      <c r="I491" s="467">
        <v>17.98</v>
      </c>
      <c r="J491" s="144">
        <f t="shared" si="26"/>
        <v>4</v>
      </c>
      <c r="K491" s="472">
        <v>1.4833299999999999E-3</v>
      </c>
      <c r="L491" s="469">
        <f>ROUND(I491*J491*K491,2)</f>
        <v>0.11</v>
      </c>
      <c r="M491" s="469">
        <f>ROUND(I491*K491*12,2)</f>
        <v>0.32</v>
      </c>
      <c r="N491" s="156"/>
      <c r="O491" s="168"/>
    </row>
    <row r="492" spans="1:15">
      <c r="A492" s="464" t="s">
        <v>626</v>
      </c>
      <c r="B492" s="465" t="s">
        <v>1681</v>
      </c>
      <c r="C492" s="466" t="s">
        <v>2424</v>
      </c>
      <c r="D492" s="464" t="s">
        <v>2425</v>
      </c>
      <c r="E492" s="465" t="str">
        <f>VLOOKUP(C492,'[10]Project Detail Query'!$A$1:$R$2830,6,FALSE)</f>
        <v>F0664</v>
      </c>
      <c r="F492" s="464" t="str">
        <f>VLOOKUP(C492,'[10]Project Detail Query'!$A$1:$R$2830,7,FALSE)</f>
        <v>Street &amp; Hwy Relocates ISRS (SW)</v>
      </c>
      <c r="G492" s="465" t="s">
        <v>20</v>
      </c>
      <c r="H492" s="465">
        <v>201701</v>
      </c>
      <c r="I492" s="467">
        <v>40.79</v>
      </c>
      <c r="J492" s="144">
        <f t="shared" si="26"/>
        <v>4</v>
      </c>
      <c r="K492" s="472">
        <v>1.4833299999999999E-3</v>
      </c>
      <c r="L492" s="469">
        <f>ROUND(I492*J492*K492,2)</f>
        <v>0.24</v>
      </c>
      <c r="M492" s="469">
        <f>ROUND(I492*K492*12,2)</f>
        <v>0.73</v>
      </c>
      <c r="N492" s="156"/>
      <c r="O492" s="168"/>
    </row>
    <row r="493" spans="1:15">
      <c r="A493" s="464" t="s">
        <v>14</v>
      </c>
      <c r="B493" s="465" t="s">
        <v>1681</v>
      </c>
      <c r="C493" s="466" t="s">
        <v>2615</v>
      </c>
      <c r="D493" s="464" t="s">
        <v>2616</v>
      </c>
      <c r="E493" s="465" t="str">
        <f>VLOOKUP(C493,'[10]Project Detail Query'!$A$1:$R$2830,6,FALSE)</f>
        <v>F0664</v>
      </c>
      <c r="F493" s="464" t="str">
        <f>VLOOKUP(C493,'[10]Project Detail Query'!$A$1:$R$2830,7,FALSE)</f>
        <v>Street &amp; Hwy Relocates ISRS (SW)</v>
      </c>
      <c r="G493" s="465" t="s">
        <v>20</v>
      </c>
      <c r="H493" s="465">
        <v>201701</v>
      </c>
      <c r="I493" s="467">
        <v>3344.44</v>
      </c>
      <c r="J493" s="144">
        <f t="shared" si="26"/>
        <v>4</v>
      </c>
      <c r="K493" s="468">
        <v>2.23333E-3</v>
      </c>
      <c r="L493" s="469">
        <f>ROUND(I493*J493*K493,2)</f>
        <v>29.88</v>
      </c>
      <c r="M493" s="469">
        <f>ROUND(I493*K493*12,2)</f>
        <v>89.63</v>
      </c>
      <c r="N493" s="156"/>
      <c r="O493" s="168"/>
    </row>
    <row r="494" spans="1:15">
      <c r="A494" s="321"/>
      <c r="B494" s="322"/>
      <c r="C494" s="322"/>
      <c r="D494" s="102"/>
      <c r="E494" s="103"/>
      <c r="F494" s="329" t="s">
        <v>2596</v>
      </c>
      <c r="G494" s="404"/>
      <c r="H494" s="404"/>
      <c r="I494" s="312">
        <f>SUM(I465:I493)</f>
        <v>521465.83999999997</v>
      </c>
      <c r="J494" s="405"/>
      <c r="K494" s="407"/>
      <c r="L494" s="312">
        <f t="shared" ref="L494:M494" si="30">SUM(L465:L493)</f>
        <v>3219.6200000000003</v>
      </c>
      <c r="M494" s="312">
        <f t="shared" si="30"/>
        <v>9658.8700000000008</v>
      </c>
      <c r="N494" s="156"/>
      <c r="O494" s="168"/>
    </row>
    <row r="495" spans="1:15">
      <c r="A495" s="321"/>
      <c r="B495" s="322"/>
      <c r="C495" s="322"/>
      <c r="D495" s="102"/>
      <c r="E495" s="103"/>
      <c r="F495" s="102"/>
      <c r="G495" s="103"/>
      <c r="H495" s="103"/>
      <c r="I495" s="104"/>
      <c r="J495" s="144"/>
      <c r="K495" s="155"/>
      <c r="L495" s="154"/>
      <c r="M495" s="154"/>
      <c r="N495" s="156"/>
      <c r="O495" s="168"/>
    </row>
    <row r="496" spans="1:15">
      <c r="D496" s="102" t="s">
        <v>2453</v>
      </c>
      <c r="E496" s="103"/>
      <c r="F496" s="102"/>
      <c r="G496" s="103"/>
      <c r="H496" s="103">
        <v>201702</v>
      </c>
      <c r="I496" s="104">
        <v>774474.25000000012</v>
      </c>
      <c r="J496" s="144">
        <f t="shared" ref="J496:J497" si="31">HLOOKUP(H496,$Q$2:$W$3,2)</f>
        <v>3</v>
      </c>
      <c r="K496" s="148">
        <v>2.23333E-3</v>
      </c>
      <c r="L496" s="154">
        <f t="shared" ref="L496:L497" si="32">ROUND(I496*J496*K496,2)</f>
        <v>5188.97</v>
      </c>
      <c r="M496" s="154">
        <f t="shared" ref="M496:M497" si="33">ROUND(I496*K496*12,2)</f>
        <v>20755.88</v>
      </c>
      <c r="O496" s="168" t="e">
        <f>VLOOKUP(C496,'New Wo Detailed Descr Rev'!$A$5:$D$287,4)</f>
        <v>#N/A</v>
      </c>
    </row>
    <row r="497" spans="4:15">
      <c r="D497" s="102" t="s">
        <v>2454</v>
      </c>
      <c r="E497" s="103"/>
      <c r="F497" s="102"/>
      <c r="G497" s="103"/>
      <c r="H497" s="103">
        <v>201702</v>
      </c>
      <c r="I497" s="104">
        <v>15057552.939999999</v>
      </c>
      <c r="J497" s="144">
        <f t="shared" si="31"/>
        <v>3</v>
      </c>
      <c r="K497" s="148">
        <v>1.4833299999999999E-3</v>
      </c>
      <c r="L497" s="154">
        <f t="shared" si="32"/>
        <v>67005.960000000006</v>
      </c>
      <c r="M497" s="154">
        <f t="shared" si="33"/>
        <v>268023.84000000003</v>
      </c>
      <c r="O497" s="168" t="e">
        <f>VLOOKUP(C497,'New Wo Detailed Descr Rev'!$A$5:$D$287,4)</f>
        <v>#N/A</v>
      </c>
    </row>
    <row r="498" spans="4:15">
      <c r="D498" s="321"/>
      <c r="E498" s="322"/>
      <c r="F498" s="408" t="s">
        <v>2597</v>
      </c>
      <c r="G498" s="409"/>
      <c r="H498" s="409"/>
      <c r="I498" s="294">
        <f>SUM(I496:I497)</f>
        <v>15832027.189999999</v>
      </c>
      <c r="J498" s="410"/>
      <c r="K498" s="411"/>
      <c r="L498" s="294">
        <f>SUM(L496:L497)</f>
        <v>72194.930000000008</v>
      </c>
      <c r="M498" s="294">
        <f>SUM(M496:M497)</f>
        <v>288779.72000000003</v>
      </c>
      <c r="O498" s="403"/>
    </row>
    <row r="499" spans="4:15">
      <c r="D499" s="321"/>
      <c r="E499" s="322"/>
      <c r="F499" s="321"/>
      <c r="G499" s="322"/>
      <c r="H499" s="322"/>
      <c r="I499" s="327"/>
      <c r="J499" s="323"/>
      <c r="K499" s="159"/>
      <c r="L499" s="328"/>
      <c r="M499" s="328"/>
      <c r="O499" s="403"/>
    </row>
    <row r="501" spans="4:15" ht="15.75" thickBot="1">
      <c r="H501" s="311" t="s">
        <v>2291</v>
      </c>
      <c r="I501" s="412">
        <f>+I7+I20+I236+I243+I247+I259+I300+I498+I303+I311+I446+I453+I460+I463+I494</f>
        <v>22237424.370000001</v>
      </c>
      <c r="L501" s="412">
        <f>+L7+L20+L236+L243+L247+L259+L300+L498+L303+L311+L446+L453+L460+L463+L494</f>
        <v>126246.72</v>
      </c>
      <c r="M501" s="412">
        <f>+M7+M20+M236+M243+M247+M259+M300+M498+M303+M311+M446+M453+M460+M463+M494</f>
        <v>426402.31000000006</v>
      </c>
    </row>
    <row r="502" spans="4:15" ht="15.75" thickTop="1"/>
  </sheetData>
  <sortState ref="A302:O481">
    <sortCondition ref="F302:F481"/>
    <sortCondition ref="A302:A481"/>
  </sortState>
  <pageMargins left="0.7" right="0.7" top="0.75" bottom="0.75" header="0.3" footer="0.3"/>
  <pageSetup scale="65" fitToHeight="0" orientation="landscape" r:id="rId1"/>
  <headerFooter>
    <oddHeader>&amp;RAppendix B
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W297"/>
  <sheetViews>
    <sheetView topLeftCell="C1" zoomScale="85" zoomScaleNormal="85" workbookViewId="0">
      <pane ySplit="4" topLeftCell="A282" activePane="bottomLeft" state="frozen"/>
      <selection pane="bottomLeft" activeCell="I134" sqref="I134:I287"/>
    </sheetView>
  </sheetViews>
  <sheetFormatPr defaultColWidth="9.140625" defaultRowHeight="15"/>
  <cols>
    <col min="1" max="1" width="39.85546875" style="137" bestFit="1"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15.28515625" style="164"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24.5703125" style="137" customWidth="1"/>
    <col min="15" max="15" width="61.5703125" style="137" customWidth="1"/>
    <col min="16" max="16384" width="9.140625" style="137"/>
  </cols>
  <sheetData>
    <row r="1" spans="1:23">
      <c r="A1" s="133" t="s">
        <v>0</v>
      </c>
      <c r="B1" s="134"/>
      <c r="C1" s="134"/>
      <c r="D1" s="135"/>
      <c r="E1" s="134"/>
      <c r="F1" s="135"/>
      <c r="G1" s="134"/>
      <c r="H1" s="134"/>
      <c r="I1" s="136"/>
      <c r="J1" s="135"/>
      <c r="K1" s="135"/>
      <c r="L1" s="135"/>
      <c r="M1" s="135"/>
      <c r="N1" s="135"/>
    </row>
    <row r="2" spans="1:23">
      <c r="A2" s="133" t="s">
        <v>2431</v>
      </c>
      <c r="B2" s="134"/>
      <c r="C2" s="134"/>
      <c r="D2" s="135"/>
      <c r="E2" s="134"/>
      <c r="F2" s="135"/>
      <c r="G2" s="134"/>
      <c r="H2" s="134"/>
      <c r="I2" s="136"/>
      <c r="J2" s="135"/>
      <c r="K2" s="135"/>
      <c r="L2" s="135"/>
      <c r="M2" s="135"/>
      <c r="N2" s="135"/>
      <c r="P2" s="144" t="s">
        <v>2025</v>
      </c>
      <c r="Q2" s="149">
        <v>201611</v>
      </c>
      <c r="R2" s="149">
        <v>201612</v>
      </c>
      <c r="S2" s="149">
        <v>201701</v>
      </c>
      <c r="T2" s="149">
        <v>201702</v>
      </c>
      <c r="U2" s="149">
        <v>201703</v>
      </c>
      <c r="V2" s="149">
        <v>201704</v>
      </c>
      <c r="W2" s="149">
        <v>201705</v>
      </c>
    </row>
    <row r="3" spans="1:23">
      <c r="A3" s="135"/>
      <c r="B3" s="134"/>
      <c r="C3" s="134"/>
      <c r="D3" s="135"/>
      <c r="E3" s="134"/>
      <c r="F3" s="135"/>
      <c r="G3" s="134"/>
      <c r="H3" s="134"/>
      <c r="I3" s="136"/>
      <c r="J3" s="135"/>
      <c r="K3" s="135"/>
      <c r="L3" s="135"/>
      <c r="M3" s="135"/>
      <c r="N3" s="135"/>
      <c r="P3" s="144" t="s">
        <v>2020</v>
      </c>
      <c r="Q3" s="144">
        <v>6</v>
      </c>
      <c r="R3" s="144">
        <v>5</v>
      </c>
      <c r="S3" s="144">
        <v>4</v>
      </c>
      <c r="T3" s="144">
        <v>3</v>
      </c>
      <c r="U3" s="144">
        <v>2</v>
      </c>
      <c r="V3" s="144">
        <v>1</v>
      </c>
      <c r="W3" s="144">
        <v>0</v>
      </c>
    </row>
    <row r="4" spans="1:23"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row>
    <row r="5" spans="1:23" ht="60">
      <c r="A5" s="102" t="s">
        <v>14</v>
      </c>
      <c r="B5" s="103" t="s">
        <v>30</v>
      </c>
      <c r="C5" s="103" t="s">
        <v>31</v>
      </c>
      <c r="D5" s="102" t="s">
        <v>32</v>
      </c>
      <c r="E5" s="103" t="s">
        <v>33</v>
      </c>
      <c r="F5" s="102" t="s">
        <v>34</v>
      </c>
      <c r="G5" s="103" t="s">
        <v>20</v>
      </c>
      <c r="H5" s="103">
        <v>201611</v>
      </c>
      <c r="I5" s="104">
        <v>5755.05</v>
      </c>
      <c r="J5" s="144">
        <f t="shared" ref="J5:J67" si="0">HLOOKUP(H5,$Q$2:$W$3,2)</f>
        <v>6</v>
      </c>
      <c r="K5" s="148">
        <v>2.23333E-3</v>
      </c>
      <c r="L5" s="154">
        <f t="shared" ref="L5:L67" si="1">ROUND(I5*J5*K5,2)</f>
        <v>77.12</v>
      </c>
      <c r="M5" s="154">
        <f t="shared" ref="M5:M67" si="2">ROUND(I5*K5*12,2)</f>
        <v>154.24</v>
      </c>
      <c r="N5" s="145"/>
      <c r="O5" s="168" t="str">
        <f>VLOOKUP(C5,'New Wo Detailed Descr Rev'!$A$5:$D$287,4)</f>
        <v>BWO SERVICE LINE LEAK RESPONSIVE COMP - Service/Yard Line Replacement (SLRP): Company Crew.  Immediate response - replacement single unprotected steel or copper  (Kansas City - Central Region)</v>
      </c>
    </row>
    <row r="6" spans="1:23" ht="30">
      <c r="A6" s="102" t="s">
        <v>554</v>
      </c>
      <c r="B6" s="103" t="s">
        <v>116</v>
      </c>
      <c r="C6" s="103" t="s">
        <v>117</v>
      </c>
      <c r="D6" s="102" t="s">
        <v>118</v>
      </c>
      <c r="E6" s="103" t="s">
        <v>119</v>
      </c>
      <c r="F6" s="102" t="s">
        <v>1605</v>
      </c>
      <c r="G6" s="103" t="s">
        <v>20</v>
      </c>
      <c r="H6" s="103">
        <v>201611</v>
      </c>
      <c r="I6" s="104">
        <v>244437.36</v>
      </c>
      <c r="J6" s="144">
        <f t="shared" si="0"/>
        <v>6</v>
      </c>
      <c r="K6" s="148">
        <v>1.4833299999999999E-3</v>
      </c>
      <c r="L6" s="154">
        <f t="shared" si="1"/>
        <v>2175.4899999999998</v>
      </c>
      <c r="M6" s="154">
        <f t="shared" si="2"/>
        <v>4350.9799999999996</v>
      </c>
      <c r="N6" s="145"/>
      <c r="O6" s="168" t="str">
        <f>VLOOKUP(C6,'New Wo Detailed Descr Rev'!$A$5:$D$287,4)</f>
        <v>BWO-Encapsulation Cast Iron Joints - Encapsulation of Cast Iron Joints</v>
      </c>
    </row>
    <row r="7" spans="1:23">
      <c r="A7" s="102" t="s">
        <v>14</v>
      </c>
      <c r="B7" s="103" t="s">
        <v>195</v>
      </c>
      <c r="C7" s="103" t="s">
        <v>196</v>
      </c>
      <c r="D7" s="102" t="s">
        <v>1674</v>
      </c>
      <c r="E7" s="103" t="s">
        <v>198</v>
      </c>
      <c r="F7" s="102" t="s">
        <v>1610</v>
      </c>
      <c r="G7" s="103" t="s">
        <v>20</v>
      </c>
      <c r="H7" s="103">
        <v>201611</v>
      </c>
      <c r="I7" s="104">
        <v>487210.4</v>
      </c>
      <c r="J7" s="144">
        <f t="shared" si="0"/>
        <v>6</v>
      </c>
      <c r="K7" s="148">
        <v>2.23333E-3</v>
      </c>
      <c r="L7" s="154">
        <f t="shared" si="1"/>
        <v>6528.61</v>
      </c>
      <c r="M7" s="154">
        <f t="shared" si="2"/>
        <v>13057.22</v>
      </c>
      <c r="N7" s="145"/>
      <c r="O7" s="168" t="str">
        <f>VLOOKUP(C7,'New Wo Detailed Descr Rev'!$A$5:$D$287,4)</f>
        <v>BWO-Replace Service w/ Plastic (North Region) - Project Type:B</v>
      </c>
    </row>
    <row r="8" spans="1:23">
      <c r="A8" s="102" t="s">
        <v>14</v>
      </c>
      <c r="B8" s="103" t="s">
        <v>200</v>
      </c>
      <c r="C8" s="103" t="s">
        <v>201</v>
      </c>
      <c r="D8" s="102" t="s">
        <v>1675</v>
      </c>
      <c r="E8" s="103" t="s">
        <v>202</v>
      </c>
      <c r="F8" s="102" t="s">
        <v>1611</v>
      </c>
      <c r="G8" s="103" t="s">
        <v>20</v>
      </c>
      <c r="H8" s="103">
        <v>201611</v>
      </c>
      <c r="I8" s="104">
        <v>68282.350000000006</v>
      </c>
      <c r="J8" s="144">
        <f t="shared" si="0"/>
        <v>6</v>
      </c>
      <c r="K8" s="148">
        <v>2.23333E-3</v>
      </c>
      <c r="L8" s="154">
        <f t="shared" si="1"/>
        <v>914.98</v>
      </c>
      <c r="M8" s="154">
        <f t="shared" si="2"/>
        <v>1829.96</v>
      </c>
      <c r="N8" s="145"/>
      <c r="O8" s="168" t="str">
        <f>VLOOKUP(C8,'New Wo Detailed Descr Rev'!$A$5:$D$287,4)</f>
        <v>BWO-Replace Service w/ Plastic (South Region) - Project Type:B</v>
      </c>
    </row>
    <row r="9" spans="1:23" ht="60">
      <c r="A9" s="102" t="s">
        <v>14</v>
      </c>
      <c r="B9" s="103" t="s">
        <v>481</v>
      </c>
      <c r="C9" s="103" t="s">
        <v>482</v>
      </c>
      <c r="D9" s="102" t="s">
        <v>483</v>
      </c>
      <c r="E9" s="103" t="s">
        <v>484</v>
      </c>
      <c r="F9" s="102" t="s">
        <v>190</v>
      </c>
      <c r="G9" s="103" t="s">
        <v>20</v>
      </c>
      <c r="H9" s="103">
        <v>201611</v>
      </c>
      <c r="I9" s="104">
        <v>-11.35</v>
      </c>
      <c r="J9" s="144">
        <f t="shared" si="0"/>
        <v>6</v>
      </c>
      <c r="K9" s="148">
        <v>2.23333E-3</v>
      </c>
      <c r="L9" s="154">
        <f t="shared" si="1"/>
        <v>-0.15</v>
      </c>
      <c r="M9" s="154">
        <f t="shared" si="2"/>
        <v>-0.3</v>
      </c>
      <c r="N9" s="145"/>
      <c r="O9" s="168" t="str">
        <f>VLOOKUP(C9,'New Wo Detailed Descr Rev'!$A$5:$D$287,4)</f>
        <v>BWO SERVICE LINE MATERIAL CONTRACTOR SLRP - Service/Yard Line Replacement (SLRP): Contract Crew.  Service/yard line replacement - Material Charges Only  (Kansas City - Central Region)</v>
      </c>
    </row>
    <row r="10" spans="1:23" ht="45">
      <c r="A10" s="102" t="s">
        <v>14</v>
      </c>
      <c r="B10" s="103" t="s">
        <v>236</v>
      </c>
      <c r="C10" s="103" t="s">
        <v>237</v>
      </c>
      <c r="D10" s="102" t="s">
        <v>188</v>
      </c>
      <c r="E10" s="103" t="s">
        <v>238</v>
      </c>
      <c r="F10" s="102" t="s">
        <v>190</v>
      </c>
      <c r="G10" s="103" t="s">
        <v>20</v>
      </c>
      <c r="H10" s="103">
        <v>201611</v>
      </c>
      <c r="I10" s="104">
        <v>126706.33</v>
      </c>
      <c r="J10" s="144">
        <f t="shared" si="0"/>
        <v>6</v>
      </c>
      <c r="K10" s="148">
        <v>2.23333E-3</v>
      </c>
      <c r="L10" s="154">
        <f t="shared" si="1"/>
        <v>1697.86</v>
      </c>
      <c r="M10" s="154">
        <f t="shared" si="2"/>
        <v>3395.72</v>
      </c>
      <c r="N10" s="145"/>
      <c r="O10" s="168" t="str">
        <f>VLOOKUP(C10,'New Wo Detailed Descr Rev'!$A$5:$D$287,4)</f>
        <v>BWO MATERIAL SERV LINE REPL CONT - Service/Yard Line Replacement (SLRP): Contract Crew.  Service/yard line replacement - Material Charges Only  (Lee's Summit - East Region)</v>
      </c>
    </row>
    <row r="11" spans="1:23" ht="30">
      <c r="A11" s="102" t="s">
        <v>14</v>
      </c>
      <c r="B11" s="103" t="s">
        <v>292</v>
      </c>
      <c r="C11" s="103" t="s">
        <v>293</v>
      </c>
      <c r="D11" s="102" t="s">
        <v>1679</v>
      </c>
      <c r="E11" s="103" t="s">
        <v>294</v>
      </c>
      <c r="F11" s="102" t="s">
        <v>1613</v>
      </c>
      <c r="G11" s="103" t="s">
        <v>20</v>
      </c>
      <c r="H11" s="103">
        <v>201611</v>
      </c>
      <c r="I11" s="104">
        <v>50506.33</v>
      </c>
      <c r="J11" s="144">
        <f t="shared" si="0"/>
        <v>6</v>
      </c>
      <c r="K11" s="148">
        <v>2.23333E-3</v>
      </c>
      <c r="L11" s="154">
        <f t="shared" si="1"/>
        <v>676.78</v>
      </c>
      <c r="M11" s="154">
        <f t="shared" si="2"/>
        <v>1353.57</v>
      </c>
      <c r="N11" s="145"/>
      <c r="O11" s="168" t="str">
        <f>VLOOKUP(C11,'New Wo Detailed Descr Rev'!$A$5:$D$287,4)</f>
        <v>BWO-Replace Service w/ Plastic (Southwest Region) - Project Type:B</v>
      </c>
    </row>
    <row r="12" spans="1:23" ht="60">
      <c r="A12" s="102" t="s">
        <v>14</v>
      </c>
      <c r="B12" s="103" t="s">
        <v>419</v>
      </c>
      <c r="C12" s="103" t="s">
        <v>420</v>
      </c>
      <c r="D12" s="102" t="s">
        <v>50</v>
      </c>
      <c r="E12" s="103" t="s">
        <v>421</v>
      </c>
      <c r="F12" s="102" t="s">
        <v>52</v>
      </c>
      <c r="G12" s="103" t="s">
        <v>20</v>
      </c>
      <c r="H12" s="103">
        <v>201611</v>
      </c>
      <c r="I12" s="104">
        <v>-35.36</v>
      </c>
      <c r="J12" s="144">
        <f t="shared" si="0"/>
        <v>6</v>
      </c>
      <c r="K12" s="148">
        <v>2.23333E-3</v>
      </c>
      <c r="L12" s="154">
        <f t="shared" si="1"/>
        <v>-0.47</v>
      </c>
      <c r="M12" s="154">
        <f t="shared" si="2"/>
        <v>-0.95</v>
      </c>
      <c r="N12" s="145"/>
      <c r="O12" s="168" t="str">
        <f>VLOOKUP(C12,'New Wo Detailed Descr Rev'!$A$5:$D$287,4)</f>
        <v>BWO SERVICE LINE REPL MODIFIED BLOCK CONT - Service/Yard Line Replacement (SLRP): Contract Crew.  Modified Block by Block - Planned replacement of unprotected steel or copper  (Joplin - South Region)</v>
      </c>
    </row>
    <row r="13" spans="1:23" ht="45">
      <c r="A13" s="102" t="s">
        <v>14</v>
      </c>
      <c r="B13" s="103" t="s">
        <v>325</v>
      </c>
      <c r="C13" s="103" t="s">
        <v>326</v>
      </c>
      <c r="D13" s="102" t="s">
        <v>327</v>
      </c>
      <c r="E13" s="103" t="s">
        <v>328</v>
      </c>
      <c r="F13" s="102" t="s">
        <v>58</v>
      </c>
      <c r="G13" s="103" t="s">
        <v>20</v>
      </c>
      <c r="H13" s="103">
        <v>201611</v>
      </c>
      <c r="I13" s="104">
        <v>365.01</v>
      </c>
      <c r="J13" s="144">
        <f t="shared" si="0"/>
        <v>6</v>
      </c>
      <c r="K13" s="148">
        <v>2.23333E-3</v>
      </c>
      <c r="L13" s="154">
        <f t="shared" si="1"/>
        <v>4.8899999999999997</v>
      </c>
      <c r="M13" s="154">
        <f t="shared" si="2"/>
        <v>9.7799999999999994</v>
      </c>
      <c r="N13" s="145"/>
      <c r="O13" s="168" t="str">
        <f>VLOOKUP(C13,'New Wo Detailed Descr Rev'!$A$5:$D$287,4)</f>
        <v>BWO MATERIAL SERV LINE REPL COMP - Service/Yard Line Replacement (SLRP): Company Crew.  Service/yard line replacement - Material Charges Only  (Lee's Summit - East Region)</v>
      </c>
    </row>
    <row r="14" spans="1:23" ht="30">
      <c r="A14" s="102" t="s">
        <v>626</v>
      </c>
      <c r="B14" s="103" t="s">
        <v>1681</v>
      </c>
      <c r="C14" s="103" t="s">
        <v>1703</v>
      </c>
      <c r="D14" s="102" t="s">
        <v>1704</v>
      </c>
      <c r="E14" s="103" t="s">
        <v>164</v>
      </c>
      <c r="F14" s="102" t="s">
        <v>1600</v>
      </c>
      <c r="G14" s="103" t="s">
        <v>20</v>
      </c>
      <c r="H14" s="103">
        <v>201611</v>
      </c>
      <c r="I14" s="104">
        <v>471.84</v>
      </c>
      <c r="J14" s="144">
        <f t="shared" si="0"/>
        <v>6</v>
      </c>
      <c r="K14" s="155">
        <v>1.4833299999999999E-3</v>
      </c>
      <c r="L14" s="154">
        <f t="shared" si="1"/>
        <v>4.2</v>
      </c>
      <c r="M14" s="154">
        <f t="shared" si="2"/>
        <v>8.4</v>
      </c>
      <c r="N14" s="145"/>
      <c r="O14" s="168" t="str">
        <f>VLOOKUP(C14,'New Wo Detailed Descr Rev'!$A$5:$D$287,4)</f>
        <v>BWO Main Installed Mtce North Region - For short replacements of main done on emergency basis - North Region</v>
      </c>
    </row>
    <row r="15" spans="1:23" ht="30">
      <c r="A15" s="102" t="s">
        <v>626</v>
      </c>
      <c r="B15" s="103" t="s">
        <v>1681</v>
      </c>
      <c r="C15" s="103" t="s">
        <v>1705</v>
      </c>
      <c r="D15" s="102" t="s">
        <v>1706</v>
      </c>
      <c r="E15" s="103" t="s">
        <v>75</v>
      </c>
      <c r="F15" s="102" t="s">
        <v>1602</v>
      </c>
      <c r="G15" s="103" t="s">
        <v>20</v>
      </c>
      <c r="H15" s="103">
        <v>201611</v>
      </c>
      <c r="I15" s="104">
        <v>-5185.78</v>
      </c>
      <c r="J15" s="144">
        <f t="shared" si="0"/>
        <v>6</v>
      </c>
      <c r="K15" s="155">
        <v>1.4833299999999999E-3</v>
      </c>
      <c r="L15" s="154">
        <f t="shared" si="1"/>
        <v>-46.15</v>
      </c>
      <c r="M15" s="154">
        <f t="shared" si="2"/>
        <v>-92.31</v>
      </c>
      <c r="N15" s="145"/>
      <c r="O15" s="168" t="str">
        <f>VLOOKUP(C15,'New Wo Detailed Descr Rev'!$A$5:$D$287,4)</f>
        <v>BWO Mains Installed Mtce-South Region - For short replacements of main done on emergency basis - South Region</v>
      </c>
    </row>
    <row r="16" spans="1:23" ht="45">
      <c r="A16" s="102" t="s">
        <v>626</v>
      </c>
      <c r="B16" s="103" t="s">
        <v>1681</v>
      </c>
      <c r="C16" s="103" t="s">
        <v>1707</v>
      </c>
      <c r="D16" s="102" t="s">
        <v>1708</v>
      </c>
      <c r="E16" s="103" t="s">
        <v>75</v>
      </c>
      <c r="F16" s="102" t="s">
        <v>1602</v>
      </c>
      <c r="G16" s="103" t="s">
        <v>20</v>
      </c>
      <c r="H16" s="103">
        <v>201611</v>
      </c>
      <c r="I16" s="104">
        <v>-6874.34</v>
      </c>
      <c r="J16" s="144">
        <f t="shared" si="0"/>
        <v>6</v>
      </c>
      <c r="K16" s="155">
        <v>1.4833299999999999E-3</v>
      </c>
      <c r="L16" s="154">
        <f t="shared" si="1"/>
        <v>-61.18</v>
      </c>
      <c r="M16" s="154">
        <f t="shared" si="2"/>
        <v>-122.36</v>
      </c>
      <c r="N16" s="145"/>
      <c r="O16" s="168" t="str">
        <f>VLOOKUP(C16,'New Wo Detailed Descr Rev'!$A$5:$D$287,4)</f>
        <v>BWO Mains Installed Mtce Southwest Region - For short replacements of main done on emergency basis - Southwest Region</v>
      </c>
    </row>
    <row r="17" spans="1:15" ht="90">
      <c r="A17" s="102" t="s">
        <v>626</v>
      </c>
      <c r="B17" s="103" t="s">
        <v>2036</v>
      </c>
      <c r="C17" s="103" t="s">
        <v>2037</v>
      </c>
      <c r="D17" s="102" t="s">
        <v>2038</v>
      </c>
      <c r="E17" s="103" t="s">
        <v>160</v>
      </c>
      <c r="F17" s="102" t="s">
        <v>19</v>
      </c>
      <c r="G17" s="103" t="s">
        <v>20</v>
      </c>
      <c r="H17" s="103">
        <v>201611</v>
      </c>
      <c r="I17" s="104">
        <v>-1155.7</v>
      </c>
      <c r="J17" s="144">
        <f t="shared" si="0"/>
        <v>6</v>
      </c>
      <c r="K17" s="155">
        <v>1.4833299999999999E-3</v>
      </c>
      <c r="L17" s="154">
        <f t="shared" si="1"/>
        <v>-10.29</v>
      </c>
      <c r="M17" s="154">
        <f t="shared" si="2"/>
        <v>-20.57</v>
      </c>
      <c r="N17" s="145"/>
      <c r="O17" s="168" t="str">
        <f>VLOOKUP(C17,'New Wo Detailed Descr Rev'!$A$5:$D$287,4)</f>
        <v>PCS Main Replacement: Joplin: Replace Coated Steel &amp; Plastic Main - 3760 (34-396) - Approved by: Michael Fornelli on 01/26/2015,  Replace 259' of 3" PCS (WO 744151) with 260' 4" PE due to cathodic protections issues.  Project Location: 31st St. between Main St. &amp; Virginia Ave.  System: C-2.  MOP: 1.5 PSIG.  MAOP: 1.5 PSIG.  Design: 58 PSIG.  Test: 100 PSIG.  Price Per Foot: $66.22.</v>
      </c>
    </row>
    <row r="18" spans="1:15" ht="135">
      <c r="A18" s="102" t="s">
        <v>626</v>
      </c>
      <c r="B18" s="103" t="s">
        <v>2042</v>
      </c>
      <c r="C18" s="103" t="s">
        <v>2043</v>
      </c>
      <c r="D18" s="102" t="s">
        <v>2044</v>
      </c>
      <c r="E18" s="103" t="s">
        <v>497</v>
      </c>
      <c r="F18" s="102" t="s">
        <v>26</v>
      </c>
      <c r="G18" s="103" t="s">
        <v>20</v>
      </c>
      <c r="H18" s="103">
        <v>201611</v>
      </c>
      <c r="I18" s="104">
        <v>-1904.41</v>
      </c>
      <c r="J18" s="144">
        <f t="shared" si="0"/>
        <v>6</v>
      </c>
      <c r="K18" s="155">
        <v>1.4833299999999999E-3</v>
      </c>
      <c r="L18" s="154">
        <f t="shared" si="1"/>
        <v>-16.95</v>
      </c>
      <c r="M18" s="154">
        <f t="shared" si="2"/>
        <v>-33.9</v>
      </c>
      <c r="N18" s="145"/>
      <c r="O18" s="168" t="str">
        <f>VLOOKUP(C18,'New Wo Detailed Descr Rev'!$A$5:$D$287,4)</f>
        <v>8th St and Virginia Ave 3in PBS Main Replacement: Joplin: Replace Bare Steel Main - 3760 Safety Related (34-394) - 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19" spans="1:15" ht="210">
      <c r="A19" s="102" t="s">
        <v>21</v>
      </c>
      <c r="B19" s="103" t="s">
        <v>1956</v>
      </c>
      <c r="C19" s="103" t="s">
        <v>1957</v>
      </c>
      <c r="D19" s="102" t="s">
        <v>2435</v>
      </c>
      <c r="E19" s="103" t="s">
        <v>75</v>
      </c>
      <c r="F19" s="102" t="s">
        <v>1602</v>
      </c>
      <c r="G19" s="103" t="s">
        <v>20</v>
      </c>
      <c r="H19" s="103">
        <v>201611</v>
      </c>
      <c r="I19" s="104">
        <v>43089</v>
      </c>
      <c r="J19" s="144">
        <f t="shared" si="0"/>
        <v>6</v>
      </c>
      <c r="K19" s="155">
        <v>1.4833299999999999E-3</v>
      </c>
      <c r="L19" s="154">
        <f t="shared" si="1"/>
        <v>383.49</v>
      </c>
      <c r="M19" s="154">
        <f t="shared" si="2"/>
        <v>766.98</v>
      </c>
      <c r="N19" s="145"/>
      <c r="O19" s="168" t="str">
        <f>VLOOKUP(C19,'New Wo Detailed Descr Rev'!$A$5:$D$287,4)</f>
        <v>Lees Summit Road 85th to Gregory 8in: Lees Summit: Replace Bare Steel Main - 3760 Safety Related (34-394)  Not reimbursable per J Harrell. Part of the Bare Steel Replacement project. - 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20" spans="1:15" ht="75">
      <c r="A20" s="102" t="s">
        <v>626</v>
      </c>
      <c r="B20" s="103" t="s">
        <v>1918</v>
      </c>
      <c r="C20" s="103" t="s">
        <v>1919</v>
      </c>
      <c r="D20" s="102" t="s">
        <v>1920</v>
      </c>
      <c r="E20" s="103" t="s">
        <v>75</v>
      </c>
      <c r="F20" s="102" t="s">
        <v>1602</v>
      </c>
      <c r="G20" s="103" t="s">
        <v>20</v>
      </c>
      <c r="H20" s="103">
        <v>201611</v>
      </c>
      <c r="I20" s="104">
        <v>637.71</v>
      </c>
      <c r="J20" s="144">
        <f t="shared" si="0"/>
        <v>6</v>
      </c>
      <c r="K20" s="155">
        <v>1.4833299999999999E-3</v>
      </c>
      <c r="L20" s="154">
        <f t="shared" si="1"/>
        <v>5.68</v>
      </c>
      <c r="M20" s="154">
        <f t="shared" si="2"/>
        <v>11.35</v>
      </c>
      <c r="N20" s="145"/>
      <c r="O20" s="168" t="str">
        <f>VLOOKUP(C20,'New Wo Detailed Descr Rev'!$A$5:$D$287,4)</f>
        <v>Replace 4in &amp; 6in pbs and pcs main: Sweet Springs: Replace Bare Steel Main - 3760 Safety Related (34-394) - Approved by: Joe Hampton on 06/01/2015,  Retire and abandon 1,739' - 4" pbs, 264' - 6" pbs, 1,610' - 4" pcs main by installing 3,090" - 4" PE along Miller St, Virginia Ave and N. Locust St. (ISRS)</v>
      </c>
    </row>
    <row r="21" spans="1:15" ht="105">
      <c r="A21" s="102" t="s">
        <v>21</v>
      </c>
      <c r="B21" s="103" t="s">
        <v>1664</v>
      </c>
      <c r="C21" s="103" t="s">
        <v>1665</v>
      </c>
      <c r="D21" s="102" t="s">
        <v>1666</v>
      </c>
      <c r="E21" s="103" t="s">
        <v>87</v>
      </c>
      <c r="F21" s="102" t="s">
        <v>1603</v>
      </c>
      <c r="G21" s="103" t="s">
        <v>20</v>
      </c>
      <c r="H21" s="103">
        <v>201611</v>
      </c>
      <c r="I21" s="104">
        <v>32355.61</v>
      </c>
      <c r="J21" s="144">
        <f t="shared" si="0"/>
        <v>6</v>
      </c>
      <c r="K21" s="155">
        <v>1.4833299999999999E-3</v>
      </c>
      <c r="L21" s="154">
        <f t="shared" si="1"/>
        <v>287.95999999999998</v>
      </c>
      <c r="M21" s="154">
        <f t="shared" si="2"/>
        <v>575.92999999999995</v>
      </c>
      <c r="N21" s="145"/>
      <c r="O21" s="168" t="str">
        <f>VLOOKUP(C21,'New Wo Detailed Descr Rev'!$A$5:$D$287,4)</f>
        <v>4in PCS Relocation: Kansas City-Rural: Relocate for Street &amp; Highway-Public Improvements (44-388) - 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22" spans="1:15" ht="75">
      <c r="A22" s="102" t="s">
        <v>626</v>
      </c>
      <c r="B22" s="103" t="s">
        <v>2294</v>
      </c>
      <c r="C22" s="103" t="s">
        <v>2293</v>
      </c>
      <c r="D22" s="102" t="s">
        <v>2295</v>
      </c>
      <c r="E22" s="103" t="s">
        <v>75</v>
      </c>
      <c r="F22" s="102" t="s">
        <v>1602</v>
      </c>
      <c r="G22" s="103" t="s">
        <v>20</v>
      </c>
      <c r="H22" s="103">
        <v>201611</v>
      </c>
      <c r="I22" s="104">
        <v>-25.18</v>
      </c>
      <c r="J22" s="144">
        <f t="shared" si="0"/>
        <v>6</v>
      </c>
      <c r="K22" s="155">
        <v>1.4833299999999999E-3</v>
      </c>
      <c r="L22" s="154">
        <f t="shared" si="1"/>
        <v>-0.22</v>
      </c>
      <c r="M22" s="154">
        <f t="shared" si="2"/>
        <v>-0.45</v>
      </c>
      <c r="N22" s="145"/>
      <c r="O22" s="168" t="str">
        <f>VLOOKUP(C22,'New Wo Detailed Descr Rev'!$A$5:$D$287,4)</f>
        <v>Replace 10in and 6in pbs main: Raytown: Replace Bare Steel Main - 3760 Safety Related (34-394) - Approved by: Joe Hampton on 07/07/2015,  Relocate and abandon 10", 6", and 2" bare steel main by installing 2,485' - 8" pe and 1,240' - 2" pe main to allow the City of Raytown to improve Blue Ridge Blvd.  (ISRS)</v>
      </c>
    </row>
    <row r="23" spans="1:15" ht="30">
      <c r="A23" s="102" t="s">
        <v>1942</v>
      </c>
      <c r="B23" s="103" t="s">
        <v>1681</v>
      </c>
      <c r="C23" s="103" t="s">
        <v>1943</v>
      </c>
      <c r="D23" s="102" t="s">
        <v>1944</v>
      </c>
      <c r="E23" s="103" t="s">
        <v>202</v>
      </c>
      <c r="F23" s="102" t="s">
        <v>1611</v>
      </c>
      <c r="G23" s="103" t="s">
        <v>20</v>
      </c>
      <c r="H23" s="103">
        <v>201611</v>
      </c>
      <c r="I23" s="104">
        <v>-41.15</v>
      </c>
      <c r="J23" s="144">
        <f t="shared" si="0"/>
        <v>6</v>
      </c>
      <c r="K23" s="155">
        <v>2.23333E-3</v>
      </c>
      <c r="L23" s="154">
        <f t="shared" si="1"/>
        <v>-0.55000000000000004</v>
      </c>
      <c r="M23" s="154">
        <f t="shared" si="2"/>
        <v>-1.1000000000000001</v>
      </c>
      <c r="N23" s="145"/>
      <c r="O23" s="168" t="str">
        <f>VLOOKUP(C23,'New Wo Detailed Descr Rev'!$A$5:$D$287,4)</f>
        <v>BWO-Replace Service with Steel (South Region) - BWO-Replace Service with Steel (South Region)</v>
      </c>
    </row>
    <row r="24" spans="1:15" ht="195">
      <c r="A24" s="102" t="s">
        <v>21</v>
      </c>
      <c r="B24" s="103" t="s">
        <v>2117</v>
      </c>
      <c r="C24" s="103" t="s">
        <v>2118</v>
      </c>
      <c r="D24" s="102" t="s">
        <v>2119</v>
      </c>
      <c r="E24" s="103" t="s">
        <v>75</v>
      </c>
      <c r="F24" s="102" t="s">
        <v>1602</v>
      </c>
      <c r="G24" s="103" t="s">
        <v>20</v>
      </c>
      <c r="H24" s="103">
        <v>201611</v>
      </c>
      <c r="I24" s="104">
        <v>24336.87</v>
      </c>
      <c r="J24" s="144">
        <f t="shared" si="0"/>
        <v>6</v>
      </c>
      <c r="K24" s="155">
        <v>1.4833299999999999E-3</v>
      </c>
      <c r="L24" s="154">
        <f t="shared" si="1"/>
        <v>216.6</v>
      </c>
      <c r="M24" s="154">
        <f t="shared" si="2"/>
        <v>433.2</v>
      </c>
      <c r="N24" s="145"/>
      <c r="O24" s="168" t="str">
        <f>VLOOKUP(C24,'New Wo Detailed Descr Rev'!$A$5:$D$287,4)</f>
        <v>Replace 2in PCS/PE &amp; 4in PCS/PE: Holden: Replace Bare Steel Main - 3760 Safety Related (34-394) - 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25" spans="1:15" ht="195">
      <c r="A25" s="102" t="s">
        <v>626</v>
      </c>
      <c r="B25" s="103" t="s">
        <v>2117</v>
      </c>
      <c r="C25" s="103" t="s">
        <v>2118</v>
      </c>
      <c r="D25" s="102" t="s">
        <v>2119</v>
      </c>
      <c r="E25" s="103" t="s">
        <v>75</v>
      </c>
      <c r="F25" s="102" t="s">
        <v>1602</v>
      </c>
      <c r="G25" s="103" t="s">
        <v>20</v>
      </c>
      <c r="H25" s="103">
        <v>201611</v>
      </c>
      <c r="I25" s="104">
        <v>-24336.87</v>
      </c>
      <c r="J25" s="144">
        <f t="shared" si="0"/>
        <v>6</v>
      </c>
      <c r="K25" s="155">
        <v>1.4833299999999999E-3</v>
      </c>
      <c r="L25" s="154">
        <f t="shared" si="1"/>
        <v>-216.6</v>
      </c>
      <c r="M25" s="154">
        <f t="shared" si="2"/>
        <v>-433.2</v>
      </c>
      <c r="N25" s="145"/>
      <c r="O25" s="168" t="str">
        <f>VLOOKUP(C25,'New Wo Detailed Descr Rev'!$A$5:$D$287,4)</f>
        <v>Replace 2in PCS/PE &amp; 4in PCS/PE: Holden: Replace Bare Steel Main - 3760 Safety Related (34-394) - 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26" spans="1:15" ht="105">
      <c r="A26" s="102" t="s">
        <v>21</v>
      </c>
      <c r="B26" s="103" t="s">
        <v>2060</v>
      </c>
      <c r="C26" s="103" t="s">
        <v>2061</v>
      </c>
      <c r="D26" s="102" t="s">
        <v>2062</v>
      </c>
      <c r="E26" s="103" t="s">
        <v>156</v>
      </c>
      <c r="F26" s="102" t="s">
        <v>26</v>
      </c>
      <c r="G26" s="103" t="s">
        <v>20</v>
      </c>
      <c r="H26" s="103">
        <v>201611</v>
      </c>
      <c r="I26" s="104">
        <v>114794.17</v>
      </c>
      <c r="J26" s="144">
        <f t="shared" si="0"/>
        <v>6</v>
      </c>
      <c r="K26" s="155">
        <v>1.4833299999999999E-3</v>
      </c>
      <c r="L26" s="154">
        <f t="shared" si="1"/>
        <v>1021.67</v>
      </c>
      <c r="M26" s="154">
        <f t="shared" si="2"/>
        <v>2043.33</v>
      </c>
      <c r="N26" s="145"/>
      <c r="O26" s="168" t="str">
        <f>VLOOKUP(C26,'New Wo Detailed Descr Rev'!$A$5:$D$287,4)</f>
        <v>Grandview Repl Phase 4: Grandview: Replace Bare Steel Main - 3760 Safety Related (34-394) - 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27" spans="1:15" ht="105">
      <c r="A27" s="102" t="s">
        <v>626</v>
      </c>
      <c r="B27" s="103" t="s">
        <v>2060</v>
      </c>
      <c r="C27" s="103" t="s">
        <v>2061</v>
      </c>
      <c r="D27" s="102" t="s">
        <v>2062</v>
      </c>
      <c r="E27" s="103" t="s">
        <v>156</v>
      </c>
      <c r="F27" s="102" t="s">
        <v>26</v>
      </c>
      <c r="G27" s="103" t="s">
        <v>20</v>
      </c>
      <c r="H27" s="103">
        <v>201611</v>
      </c>
      <c r="I27" s="104">
        <v>-114794.17</v>
      </c>
      <c r="J27" s="144">
        <f t="shared" si="0"/>
        <v>6</v>
      </c>
      <c r="K27" s="155">
        <v>1.4833299999999999E-3</v>
      </c>
      <c r="L27" s="154">
        <f t="shared" si="1"/>
        <v>-1021.67</v>
      </c>
      <c r="M27" s="154">
        <f t="shared" si="2"/>
        <v>-2043.33</v>
      </c>
      <c r="N27" s="145"/>
      <c r="O27" s="168" t="str">
        <f>VLOOKUP(C27,'New Wo Detailed Descr Rev'!$A$5:$D$287,4)</f>
        <v>Grandview Repl Phase 4: Grandview: Replace Bare Steel Main - 3760 Safety Related (34-394) - 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28" spans="1:15" ht="165">
      <c r="A28" s="102" t="s">
        <v>626</v>
      </c>
      <c r="B28" s="103" t="s">
        <v>1945</v>
      </c>
      <c r="C28" s="103" t="s">
        <v>1946</v>
      </c>
      <c r="D28" s="102" t="s">
        <v>1947</v>
      </c>
      <c r="E28" s="103" t="s">
        <v>93</v>
      </c>
      <c r="F28" s="102" t="s">
        <v>1601</v>
      </c>
      <c r="G28" s="103" t="s">
        <v>20</v>
      </c>
      <c r="H28" s="103">
        <v>201611</v>
      </c>
      <c r="I28" s="104">
        <v>1969.48</v>
      </c>
      <c r="J28" s="144">
        <f t="shared" si="0"/>
        <v>6</v>
      </c>
      <c r="K28" s="155">
        <v>1.4833299999999999E-3</v>
      </c>
      <c r="L28" s="154">
        <f t="shared" si="1"/>
        <v>17.53</v>
      </c>
      <c r="M28" s="154">
        <f t="shared" si="2"/>
        <v>35.06</v>
      </c>
      <c r="N28" s="145"/>
      <c r="O28" s="168" t="str">
        <f>VLOOKUP(C28,'New Wo Detailed Descr Rev'!$A$5:$D$287,4)</f>
        <v>Lincoln to Highview along Zora: Joplin: Relocate for Street &amp; Highway-Public Improvements (44-388) - 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
    </row>
    <row r="29" spans="1:15" ht="75">
      <c r="A29" s="102" t="s">
        <v>21</v>
      </c>
      <c r="B29" s="103" t="s">
        <v>1681</v>
      </c>
      <c r="C29" s="103" t="s">
        <v>2257</v>
      </c>
      <c r="D29" s="102" t="s">
        <v>2258</v>
      </c>
      <c r="E29" s="103" t="s">
        <v>93</v>
      </c>
      <c r="F29" s="102" t="s">
        <v>1601</v>
      </c>
      <c r="G29" s="103" t="s">
        <v>20</v>
      </c>
      <c r="H29" s="103">
        <v>201611</v>
      </c>
      <c r="I29" s="104">
        <v>158.80000000000001</v>
      </c>
      <c r="J29" s="144">
        <f t="shared" si="0"/>
        <v>6</v>
      </c>
      <c r="K29" s="155">
        <v>1.4833299999999999E-3</v>
      </c>
      <c r="L29" s="154">
        <f t="shared" si="1"/>
        <v>1.41</v>
      </c>
      <c r="M29" s="154">
        <f t="shared" si="2"/>
        <v>2.83</v>
      </c>
      <c r="N29" s="145"/>
      <c r="O29" s="168" t="str">
        <f>VLOOKUP(C29,'New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30" spans="1:15" ht="75">
      <c r="A30" s="102" t="s">
        <v>626</v>
      </c>
      <c r="B30" s="103" t="s">
        <v>1681</v>
      </c>
      <c r="C30" s="103" t="s">
        <v>2257</v>
      </c>
      <c r="D30" s="102" t="s">
        <v>2258</v>
      </c>
      <c r="E30" s="103" t="s">
        <v>93</v>
      </c>
      <c r="F30" s="102" t="s">
        <v>1601</v>
      </c>
      <c r="G30" s="103" t="s">
        <v>20</v>
      </c>
      <c r="H30" s="103">
        <v>201611</v>
      </c>
      <c r="I30" s="104">
        <v>3720.99</v>
      </c>
      <c r="J30" s="144">
        <f t="shared" si="0"/>
        <v>6</v>
      </c>
      <c r="K30" s="155">
        <v>1.4833299999999999E-3</v>
      </c>
      <c r="L30" s="154">
        <f t="shared" si="1"/>
        <v>33.119999999999997</v>
      </c>
      <c r="M30" s="154">
        <f t="shared" si="2"/>
        <v>66.23</v>
      </c>
      <c r="N30" s="145"/>
      <c r="O30" s="168" t="str">
        <f>VLOOKUP(C30,'New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31" spans="1:15" ht="165">
      <c r="A31" s="102" t="s">
        <v>626</v>
      </c>
      <c r="B31" s="103" t="s">
        <v>1681</v>
      </c>
      <c r="C31" s="103" t="s">
        <v>2259</v>
      </c>
      <c r="D31" s="102" t="s">
        <v>2260</v>
      </c>
      <c r="E31" s="103" t="s">
        <v>209</v>
      </c>
      <c r="F31" s="102" t="s">
        <v>1612</v>
      </c>
      <c r="G31" s="103" t="s">
        <v>20</v>
      </c>
      <c r="H31" s="103">
        <v>201611</v>
      </c>
      <c r="I31" s="104">
        <v>194.49</v>
      </c>
      <c r="J31" s="144">
        <f t="shared" si="0"/>
        <v>6</v>
      </c>
      <c r="K31" s="155">
        <v>1.4833299999999999E-3</v>
      </c>
      <c r="L31" s="154">
        <f t="shared" si="1"/>
        <v>1.73</v>
      </c>
      <c r="M31" s="154">
        <f t="shared" si="2"/>
        <v>3.46</v>
      </c>
      <c r="N31" s="145"/>
      <c r="O31" s="168" t="str">
        <f>VLOOKUP(C31,'New Wo Detailed Descr Rev'!$A$5:$D$287,4)</f>
        <v>Install 1879 ft of 2 in PE on Mechanic St (Route 7) between Bradley and Edgevale &amp; north on Bradley from Mechanic to Wall St., south on Eastwood to the tie-in, North on King to the tie-in &amp; south on Edgevale to the tie-in in Harrisonville. -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32" spans="1:15" ht="30">
      <c r="A32" s="102" t="s">
        <v>21</v>
      </c>
      <c r="B32" s="103" t="s">
        <v>1681</v>
      </c>
      <c r="C32" s="103" t="s">
        <v>2003</v>
      </c>
      <c r="D32" s="102" t="s">
        <v>2004</v>
      </c>
      <c r="E32" s="103" t="s">
        <v>164</v>
      </c>
      <c r="F32" s="102" t="s">
        <v>1600</v>
      </c>
      <c r="G32" s="103" t="s">
        <v>20</v>
      </c>
      <c r="H32" s="103">
        <v>201611</v>
      </c>
      <c r="I32" s="104">
        <v>1138.8699999999999</v>
      </c>
      <c r="J32" s="144">
        <f t="shared" si="0"/>
        <v>6</v>
      </c>
      <c r="K32" s="155">
        <v>1.4833299999999999E-3</v>
      </c>
      <c r="L32" s="154">
        <f t="shared" si="1"/>
        <v>10.14</v>
      </c>
      <c r="M32" s="154">
        <f t="shared" si="2"/>
        <v>20.27</v>
      </c>
      <c r="N32" s="145"/>
      <c r="O32" s="168" t="str">
        <f>VLOOKUP(C32,'New Wo Detailed Descr Rev'!$A$5:$D$287,4)</f>
        <v>Install 200ft of 6in PE and abandon 200ft of 8in cast iron at 2021 Elmwood due to Angle of Repose. Due 11/13/2015 - 0</v>
      </c>
    </row>
    <row r="33" spans="1:15" ht="30">
      <c r="A33" s="102" t="s">
        <v>626</v>
      </c>
      <c r="B33" s="103" t="s">
        <v>1681</v>
      </c>
      <c r="C33" s="103" t="s">
        <v>2003</v>
      </c>
      <c r="D33" s="102" t="s">
        <v>2004</v>
      </c>
      <c r="E33" s="103" t="s">
        <v>164</v>
      </c>
      <c r="F33" s="102" t="s">
        <v>1600</v>
      </c>
      <c r="G33" s="103" t="s">
        <v>20</v>
      </c>
      <c r="H33" s="103">
        <v>201611</v>
      </c>
      <c r="I33" s="104">
        <v>23447.360000000001</v>
      </c>
      <c r="J33" s="144">
        <f t="shared" si="0"/>
        <v>6</v>
      </c>
      <c r="K33" s="155">
        <v>1.4833299999999999E-3</v>
      </c>
      <c r="L33" s="154">
        <f t="shared" si="1"/>
        <v>208.68</v>
      </c>
      <c r="M33" s="154">
        <f t="shared" si="2"/>
        <v>417.36</v>
      </c>
      <c r="N33" s="145"/>
      <c r="O33" s="168" t="str">
        <f>VLOOKUP(C33,'New Wo Detailed Descr Rev'!$A$5:$D$287,4)</f>
        <v>Install 200ft of 6in PE and abandon 200ft of 8in cast iron at 2021 Elmwood due to Angle of Repose. Due 11/13/2015 - 0</v>
      </c>
    </row>
    <row r="34" spans="1:15" ht="30">
      <c r="A34" s="102" t="s">
        <v>14</v>
      </c>
      <c r="B34" s="103" t="s">
        <v>1681</v>
      </c>
      <c r="C34" s="103" t="s">
        <v>2003</v>
      </c>
      <c r="D34" s="102" t="s">
        <v>2004</v>
      </c>
      <c r="E34" s="103" t="s">
        <v>164</v>
      </c>
      <c r="F34" s="102" t="s">
        <v>1600</v>
      </c>
      <c r="G34" s="103" t="s">
        <v>20</v>
      </c>
      <c r="H34" s="103">
        <v>201611</v>
      </c>
      <c r="I34" s="104">
        <v>1128.8499999999999</v>
      </c>
      <c r="J34" s="144">
        <f t="shared" si="0"/>
        <v>6</v>
      </c>
      <c r="K34" s="148">
        <v>2.23333E-3</v>
      </c>
      <c r="L34" s="154">
        <f t="shared" si="1"/>
        <v>15.13</v>
      </c>
      <c r="M34" s="154">
        <f t="shared" si="2"/>
        <v>30.25</v>
      </c>
      <c r="N34" s="145"/>
      <c r="O34" s="168" t="str">
        <f>VLOOKUP(C34,'New Wo Detailed Descr Rev'!$A$5:$D$287,4)</f>
        <v>Install 200ft of 6in PE and abandon 200ft of 8in cast iron at 2021 Elmwood due to Angle of Repose. Due 11/13/2015 - 0</v>
      </c>
    </row>
    <row r="35" spans="1:15" ht="120">
      <c r="A35" s="102" t="s">
        <v>626</v>
      </c>
      <c r="B35" s="103" t="s">
        <v>1681</v>
      </c>
      <c r="C35" s="103" t="s">
        <v>2311</v>
      </c>
      <c r="D35" s="102" t="s">
        <v>2312</v>
      </c>
      <c r="E35" s="103" t="s">
        <v>209</v>
      </c>
      <c r="F35" s="102" t="s">
        <v>1612</v>
      </c>
      <c r="G35" s="103" t="s">
        <v>20</v>
      </c>
      <c r="H35" s="103">
        <v>201611</v>
      </c>
      <c r="I35" s="104">
        <v>275.16000000000003</v>
      </c>
      <c r="J35" s="144">
        <f t="shared" si="0"/>
        <v>6</v>
      </c>
      <c r="K35" s="155">
        <v>1.4833299999999999E-3</v>
      </c>
      <c r="L35" s="154">
        <f t="shared" si="1"/>
        <v>2.4500000000000002</v>
      </c>
      <c r="M35" s="154">
        <f t="shared" si="2"/>
        <v>4.9000000000000004</v>
      </c>
      <c r="N35" s="145"/>
      <c r="O35" s="168" t="str">
        <f>VLOOKUP(C35,'New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36" spans="1:15" ht="120">
      <c r="A36" s="102" t="s">
        <v>14</v>
      </c>
      <c r="B36" s="103" t="s">
        <v>1681</v>
      </c>
      <c r="C36" s="103" t="s">
        <v>2311</v>
      </c>
      <c r="D36" s="102" t="s">
        <v>2312</v>
      </c>
      <c r="E36" s="103" t="s">
        <v>209</v>
      </c>
      <c r="F36" s="102" t="s">
        <v>1612</v>
      </c>
      <c r="G36" s="103" t="s">
        <v>20</v>
      </c>
      <c r="H36" s="103">
        <v>201611</v>
      </c>
      <c r="I36" s="104">
        <v>5.43</v>
      </c>
      <c r="J36" s="144">
        <f t="shared" si="0"/>
        <v>6</v>
      </c>
      <c r="K36" s="148">
        <v>2.23333E-3</v>
      </c>
      <c r="L36" s="154">
        <f t="shared" si="1"/>
        <v>7.0000000000000007E-2</v>
      </c>
      <c r="M36" s="154">
        <f t="shared" si="2"/>
        <v>0.15</v>
      </c>
      <c r="N36" s="145"/>
      <c r="O36" s="168" t="str">
        <f>VLOOKUP(C36,'New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37" spans="1:15" ht="75">
      <c r="A37" s="102" t="s">
        <v>626</v>
      </c>
      <c r="B37" s="103" t="s">
        <v>1681</v>
      </c>
      <c r="C37" s="103" t="s">
        <v>2313</v>
      </c>
      <c r="D37" s="102" t="s">
        <v>2314</v>
      </c>
      <c r="E37" s="103" t="s">
        <v>260</v>
      </c>
      <c r="F37" s="102" t="s">
        <v>1608</v>
      </c>
      <c r="G37" s="103" t="s">
        <v>20</v>
      </c>
      <c r="H37" s="103">
        <v>201611</v>
      </c>
      <c r="I37" s="104">
        <v>-3331.29</v>
      </c>
      <c r="J37" s="144">
        <f t="shared" si="0"/>
        <v>6</v>
      </c>
      <c r="K37" s="155">
        <v>1.4833299999999999E-3</v>
      </c>
      <c r="L37" s="154">
        <f t="shared" si="1"/>
        <v>-29.65</v>
      </c>
      <c r="M37" s="154">
        <f t="shared" si="2"/>
        <v>-59.3</v>
      </c>
      <c r="N37" s="145"/>
      <c r="O37" s="168" t="str">
        <f>VLOOKUP(C37,'New Wo Detailed Descr Rev'!$A$5:$D$287,4)</f>
        <v>Abandon 5,525' - 2" Steel due to multiple CP and isolated steel and replace with 7,625' 2" PE - South St &amp; Faulkner in Marionville. - Project Location: Marionville; Pressure System: S-0006; MOP: 30 psig; MAOP: 30 psig; Design: 66 psig; Test: 100 psig; 47 - Services, ISRS $35.71/ft ($268,174.76)</v>
      </c>
    </row>
    <row r="38" spans="1:15" ht="60">
      <c r="A38" s="102" t="s">
        <v>21</v>
      </c>
      <c r="B38" s="103" t="s">
        <v>1681</v>
      </c>
      <c r="C38" s="103" t="s">
        <v>2315</v>
      </c>
      <c r="D38" s="102" t="s">
        <v>2316</v>
      </c>
      <c r="E38" s="103" t="s">
        <v>164</v>
      </c>
      <c r="F38" s="102" t="s">
        <v>1600</v>
      </c>
      <c r="G38" s="103" t="s">
        <v>20</v>
      </c>
      <c r="H38" s="103">
        <v>201611</v>
      </c>
      <c r="I38" s="104">
        <v>0.06</v>
      </c>
      <c r="J38" s="144">
        <f t="shared" si="0"/>
        <v>6</v>
      </c>
      <c r="K38" s="155">
        <v>1.4833299999999999E-3</v>
      </c>
      <c r="L38" s="154">
        <f t="shared" si="1"/>
        <v>0</v>
      </c>
      <c r="M38" s="154">
        <f t="shared" si="2"/>
        <v>0</v>
      </c>
      <c r="N38" s="145"/>
      <c r="O38" s="168" t="str">
        <f>VLOOKUP(C38,'New Wo Detailed Descr Rev'!$A$5:$D$287,4)</f>
        <v>Install 6439' of 2'' PE and 3027' of 4'' PE. Abandon 230' of 2'' PL, 220' of 2’’ ST, 28’ of 4’’ PL, 4024’ of 4’’ STL, 4944’ of 6’’ CI, 320’ of 6’’ STL. Existing PE main in the project area will be uprated. - FY16 Main replacement program for St. Joseph, MO</v>
      </c>
    </row>
    <row r="39" spans="1:15" ht="60">
      <c r="A39" s="102" t="s">
        <v>626</v>
      </c>
      <c r="B39" s="103" t="s">
        <v>1681</v>
      </c>
      <c r="C39" s="103" t="s">
        <v>2315</v>
      </c>
      <c r="D39" s="102" t="s">
        <v>2316</v>
      </c>
      <c r="E39" s="103" t="s">
        <v>164</v>
      </c>
      <c r="F39" s="102" t="s">
        <v>1600</v>
      </c>
      <c r="G39" s="103" t="s">
        <v>20</v>
      </c>
      <c r="H39" s="103">
        <v>201611</v>
      </c>
      <c r="I39" s="104">
        <v>118.87</v>
      </c>
      <c r="J39" s="144">
        <f t="shared" si="0"/>
        <v>6</v>
      </c>
      <c r="K39" s="155">
        <v>1.4833299999999999E-3</v>
      </c>
      <c r="L39" s="154">
        <f t="shared" si="1"/>
        <v>1.06</v>
      </c>
      <c r="M39" s="154">
        <f t="shared" si="2"/>
        <v>2.12</v>
      </c>
      <c r="N39" s="145"/>
      <c r="O39" s="168" t="str">
        <f>VLOOKUP(C39,'New Wo Detailed Descr Rev'!$A$5:$D$287,4)</f>
        <v>Install 6439' of 2'' PE and 3027' of 4'' PE. Abandon 230' of 2'' PL, 220' of 2’’ ST, 28’ of 4’’ PL, 4024’ of 4’’ STL, 4944’ of 6’’ CI, 320’ of 6’’ STL. Existing PE main in the project area will be uprated. - FY16 Main replacement program for St. Joseph, MO</v>
      </c>
    </row>
    <row r="40" spans="1:15" ht="60">
      <c r="A40" s="102" t="s">
        <v>14</v>
      </c>
      <c r="B40" s="103" t="s">
        <v>1681</v>
      </c>
      <c r="C40" s="103" t="s">
        <v>2315</v>
      </c>
      <c r="D40" s="102" t="s">
        <v>2316</v>
      </c>
      <c r="E40" s="103" t="s">
        <v>164</v>
      </c>
      <c r="F40" s="102" t="s">
        <v>1600</v>
      </c>
      <c r="G40" s="103" t="s">
        <v>20</v>
      </c>
      <c r="H40" s="103">
        <v>201611</v>
      </c>
      <c r="I40" s="104">
        <v>50.94</v>
      </c>
      <c r="J40" s="144">
        <f t="shared" si="0"/>
        <v>6</v>
      </c>
      <c r="K40" s="148">
        <v>2.23333E-3</v>
      </c>
      <c r="L40" s="154">
        <f t="shared" si="1"/>
        <v>0.68</v>
      </c>
      <c r="M40" s="154">
        <f t="shared" si="2"/>
        <v>1.37</v>
      </c>
      <c r="N40" s="145"/>
      <c r="O40" s="168" t="str">
        <f>VLOOKUP(C40,'New Wo Detailed Descr Rev'!$A$5:$D$287,4)</f>
        <v>Install 6439' of 2'' PE and 3027' of 4'' PE. Abandon 230' of 2'' PL, 220' of 2’’ ST, 28’ of 4’’ PL, 4024’ of 4’’ STL, 4944’ of 6’’ CI, 320’ of 6’’ STL. Existing PE main in the project area will be uprated. - FY16 Main replacement program for St. Joseph, MO</v>
      </c>
    </row>
    <row r="41" spans="1:15" ht="90">
      <c r="A41" s="102" t="s">
        <v>626</v>
      </c>
      <c r="B41" s="103" t="s">
        <v>1681</v>
      </c>
      <c r="C41" s="103" t="s">
        <v>2334</v>
      </c>
      <c r="D41" s="102" t="s">
        <v>2335</v>
      </c>
      <c r="E41" s="103" t="s">
        <v>164</v>
      </c>
      <c r="F41" s="102" t="s">
        <v>1600</v>
      </c>
      <c r="G41" s="103" t="s">
        <v>20</v>
      </c>
      <c r="H41" s="103">
        <v>201611</v>
      </c>
      <c r="I41" s="104">
        <v>4048.93</v>
      </c>
      <c r="J41" s="144">
        <f t="shared" si="0"/>
        <v>6</v>
      </c>
      <c r="K41" s="155">
        <v>1.4833299999999999E-3</v>
      </c>
      <c r="L41" s="154">
        <f t="shared" si="1"/>
        <v>36.04</v>
      </c>
      <c r="M41" s="154">
        <f t="shared" si="2"/>
        <v>72.069999999999993</v>
      </c>
      <c r="N41" s="145"/>
      <c r="O41" s="168" t="str">
        <f>VLOOKUP(C41,'New Wo Detailed Descr Rev'!$A$5:$D$287,4)</f>
        <v>Install 1450 ft of 4 in and 355 ft of 2 in PL IP main on E Mill St and W Liberty Dr. Abandon 58 ft of 4 in PL, 255 ft of 2 in Steel, 9 ft of 4 in Steel, 760 ft of 5 in Steel, and 609 ft of 6 in Steel main at the same location. - Total Service Estimate: 20 Service Tie-Overs.  Main is being installed as part of the FY 2016 Bare Steel Replacement Program.</v>
      </c>
    </row>
    <row r="42" spans="1:15" ht="75">
      <c r="A42" s="102" t="s">
        <v>626</v>
      </c>
      <c r="B42" s="103" t="s">
        <v>1681</v>
      </c>
      <c r="C42" s="103" t="s">
        <v>2336</v>
      </c>
      <c r="D42" s="102" t="s">
        <v>2337</v>
      </c>
      <c r="E42" s="103" t="s">
        <v>164</v>
      </c>
      <c r="F42" s="102" t="s">
        <v>1600</v>
      </c>
      <c r="G42" s="103" t="s">
        <v>20</v>
      </c>
      <c r="H42" s="103">
        <v>201611</v>
      </c>
      <c r="I42" s="104">
        <v>-11961.6</v>
      </c>
      <c r="J42" s="144">
        <f t="shared" si="0"/>
        <v>6</v>
      </c>
      <c r="K42" s="155">
        <v>1.4833299999999999E-3</v>
      </c>
      <c r="L42" s="154">
        <f t="shared" si="1"/>
        <v>-106.46</v>
      </c>
      <c r="M42" s="154">
        <f t="shared" si="2"/>
        <v>-212.92</v>
      </c>
      <c r="N42" s="145"/>
      <c r="O42" s="168" t="str">
        <f>VLOOKUP(C42,'New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43" spans="1:15" ht="75">
      <c r="A43" s="102" t="s">
        <v>14</v>
      </c>
      <c r="B43" s="103" t="s">
        <v>1681</v>
      </c>
      <c r="C43" s="103" t="s">
        <v>2336</v>
      </c>
      <c r="D43" s="102" t="s">
        <v>2337</v>
      </c>
      <c r="E43" s="103" t="s">
        <v>164</v>
      </c>
      <c r="F43" s="102" t="s">
        <v>1600</v>
      </c>
      <c r="G43" s="103" t="s">
        <v>20</v>
      </c>
      <c r="H43" s="103">
        <v>201611</v>
      </c>
      <c r="I43" s="104">
        <v>-49.55</v>
      </c>
      <c r="J43" s="144">
        <f t="shared" si="0"/>
        <v>6</v>
      </c>
      <c r="K43" s="148">
        <v>2.23333E-3</v>
      </c>
      <c r="L43" s="154">
        <f t="shared" si="1"/>
        <v>-0.66</v>
      </c>
      <c r="M43" s="154">
        <f t="shared" si="2"/>
        <v>-1.33</v>
      </c>
      <c r="N43" s="145"/>
      <c r="O43" s="168" t="str">
        <f>VLOOKUP(C43,'New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44" spans="1:15" ht="90">
      <c r="A44" s="102" t="s">
        <v>626</v>
      </c>
      <c r="B44" s="103" t="s">
        <v>1681</v>
      </c>
      <c r="C44" s="103" t="s">
        <v>2338</v>
      </c>
      <c r="D44" s="102" t="s">
        <v>2339</v>
      </c>
      <c r="E44" s="103" t="s">
        <v>164</v>
      </c>
      <c r="F44" s="102" t="s">
        <v>1600</v>
      </c>
      <c r="G44" s="103" t="s">
        <v>20</v>
      </c>
      <c r="H44" s="103">
        <v>201611</v>
      </c>
      <c r="I44" s="104">
        <v>27197.14</v>
      </c>
      <c r="J44" s="144">
        <f t="shared" si="0"/>
        <v>6</v>
      </c>
      <c r="K44" s="155">
        <v>1.4833299999999999E-3</v>
      </c>
      <c r="L44" s="154">
        <f t="shared" si="1"/>
        <v>242.05</v>
      </c>
      <c r="M44" s="154">
        <f t="shared" si="2"/>
        <v>484.11</v>
      </c>
      <c r="N44" s="145"/>
      <c r="O44" s="168" t="str">
        <f>VLOOKUP(C44,'New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5" spans="1:15" ht="90">
      <c r="A45" s="102" t="s">
        <v>14</v>
      </c>
      <c r="B45" s="103" t="s">
        <v>1681</v>
      </c>
      <c r="C45" s="103" t="s">
        <v>2338</v>
      </c>
      <c r="D45" s="102" t="s">
        <v>2339</v>
      </c>
      <c r="E45" s="103" t="s">
        <v>164</v>
      </c>
      <c r="F45" s="102" t="s">
        <v>1600</v>
      </c>
      <c r="G45" s="103" t="s">
        <v>20</v>
      </c>
      <c r="H45" s="103">
        <v>201611</v>
      </c>
      <c r="I45" s="104">
        <v>203.06</v>
      </c>
      <c r="J45" s="144">
        <f t="shared" si="0"/>
        <v>6</v>
      </c>
      <c r="K45" s="148">
        <v>2.23333E-3</v>
      </c>
      <c r="L45" s="154">
        <f t="shared" si="1"/>
        <v>2.72</v>
      </c>
      <c r="M45" s="154">
        <f t="shared" si="2"/>
        <v>5.44</v>
      </c>
      <c r="N45" s="145"/>
      <c r="O45" s="168" t="str">
        <f>VLOOKUP(C45,'New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46" spans="1:15" ht="75">
      <c r="A46" s="102" t="s">
        <v>626</v>
      </c>
      <c r="B46" s="103" t="s">
        <v>1681</v>
      </c>
      <c r="C46" s="103" t="s">
        <v>2340</v>
      </c>
      <c r="D46" s="102" t="s">
        <v>2341</v>
      </c>
      <c r="E46" s="103" t="s">
        <v>260</v>
      </c>
      <c r="F46" s="102" t="s">
        <v>1608</v>
      </c>
      <c r="G46" s="103" t="s">
        <v>20</v>
      </c>
      <c r="H46" s="103">
        <v>201611</v>
      </c>
      <c r="I46" s="104">
        <v>-104.26</v>
      </c>
      <c r="J46" s="144">
        <f t="shared" si="0"/>
        <v>6</v>
      </c>
      <c r="K46" s="155">
        <v>1.4833299999999999E-3</v>
      </c>
      <c r="L46" s="154">
        <f t="shared" si="1"/>
        <v>-0.93</v>
      </c>
      <c r="M46" s="154">
        <f t="shared" si="2"/>
        <v>-1.86</v>
      </c>
      <c r="N46" s="145"/>
      <c r="O46" s="168" t="str">
        <f>VLOOKUP(C46,'New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47" spans="1:15" ht="75">
      <c r="A47" s="102" t="s">
        <v>14</v>
      </c>
      <c r="B47" s="103" t="s">
        <v>1681</v>
      </c>
      <c r="C47" s="103" t="s">
        <v>2340</v>
      </c>
      <c r="D47" s="102" t="s">
        <v>2341</v>
      </c>
      <c r="E47" s="103" t="s">
        <v>260</v>
      </c>
      <c r="F47" s="102" t="s">
        <v>1608</v>
      </c>
      <c r="G47" s="103" t="s">
        <v>20</v>
      </c>
      <c r="H47" s="103">
        <v>201611</v>
      </c>
      <c r="I47" s="104">
        <v>-1.56</v>
      </c>
      <c r="J47" s="144">
        <f t="shared" si="0"/>
        <v>6</v>
      </c>
      <c r="K47" s="148">
        <v>2.23333E-3</v>
      </c>
      <c r="L47" s="154">
        <f t="shared" si="1"/>
        <v>-0.02</v>
      </c>
      <c r="M47" s="154">
        <f t="shared" si="2"/>
        <v>-0.04</v>
      </c>
      <c r="N47" s="145"/>
      <c r="O47" s="168" t="str">
        <f>VLOOKUP(C47,'New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48" spans="1:15" ht="240">
      <c r="A48" s="102" t="s">
        <v>626</v>
      </c>
      <c r="B48" s="103" t="s">
        <v>1681</v>
      </c>
      <c r="C48" s="103" t="s">
        <v>2342</v>
      </c>
      <c r="D48" s="102" t="s">
        <v>2343</v>
      </c>
      <c r="E48" s="103" t="s">
        <v>75</v>
      </c>
      <c r="F48" s="102" t="s">
        <v>1602</v>
      </c>
      <c r="G48" s="103" t="s">
        <v>20</v>
      </c>
      <c r="H48" s="103">
        <v>201611</v>
      </c>
      <c r="I48" s="104">
        <v>283.68</v>
      </c>
      <c r="J48" s="144">
        <f t="shared" si="0"/>
        <v>6</v>
      </c>
      <c r="K48" s="155">
        <v>1.4833299999999999E-3</v>
      </c>
      <c r="L48" s="154">
        <f t="shared" si="1"/>
        <v>2.52</v>
      </c>
      <c r="M48" s="154">
        <f t="shared" si="2"/>
        <v>5.05</v>
      </c>
      <c r="N48" s="145"/>
      <c r="O48" s="168" t="str">
        <f>VLOOKUP(C48,'New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49" spans="1:15" ht="240">
      <c r="A49" s="102" t="s">
        <v>14</v>
      </c>
      <c r="B49" s="103" t="s">
        <v>1681</v>
      </c>
      <c r="C49" s="103" t="s">
        <v>2342</v>
      </c>
      <c r="D49" s="102" t="s">
        <v>2343</v>
      </c>
      <c r="E49" s="103" t="s">
        <v>75</v>
      </c>
      <c r="F49" s="102" t="s">
        <v>1602</v>
      </c>
      <c r="G49" s="103" t="s">
        <v>20</v>
      </c>
      <c r="H49" s="103">
        <v>201611</v>
      </c>
      <c r="I49" s="104">
        <v>0.01</v>
      </c>
      <c r="J49" s="144">
        <f t="shared" si="0"/>
        <v>6</v>
      </c>
      <c r="K49" s="148">
        <v>2.23333E-3</v>
      </c>
      <c r="L49" s="154">
        <f t="shared" si="1"/>
        <v>0</v>
      </c>
      <c r="M49" s="154">
        <f t="shared" si="2"/>
        <v>0</v>
      </c>
      <c r="N49" s="145"/>
      <c r="O49" s="168" t="str">
        <f>VLOOKUP(C49,'New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50" spans="1:15" ht="60">
      <c r="A50" s="102" t="s">
        <v>626</v>
      </c>
      <c r="B50" s="103" t="s">
        <v>1681</v>
      </c>
      <c r="C50" s="103" t="s">
        <v>2344</v>
      </c>
      <c r="D50" s="102" t="s">
        <v>2345</v>
      </c>
      <c r="E50" s="103" t="s">
        <v>75</v>
      </c>
      <c r="F50" s="102" t="s">
        <v>1602</v>
      </c>
      <c r="G50" s="103" t="s">
        <v>20</v>
      </c>
      <c r="H50" s="103">
        <v>201611</v>
      </c>
      <c r="I50" s="104">
        <v>-56.2</v>
      </c>
      <c r="J50" s="144">
        <f t="shared" si="0"/>
        <v>6</v>
      </c>
      <c r="K50" s="155">
        <v>1.4833299999999999E-3</v>
      </c>
      <c r="L50" s="154">
        <f t="shared" si="1"/>
        <v>-0.5</v>
      </c>
      <c r="M50" s="154">
        <f t="shared" si="2"/>
        <v>-1</v>
      </c>
      <c r="N50" s="145"/>
      <c r="O50" s="168" t="str">
        <f>VLOOKUP(C50,'New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51" spans="1:15" ht="60">
      <c r="A51" s="102" t="s">
        <v>14</v>
      </c>
      <c r="B51" s="103" t="s">
        <v>1681</v>
      </c>
      <c r="C51" s="103" t="s">
        <v>2344</v>
      </c>
      <c r="D51" s="102" t="s">
        <v>2345</v>
      </c>
      <c r="E51" s="103" t="s">
        <v>75</v>
      </c>
      <c r="F51" s="102" t="s">
        <v>1602</v>
      </c>
      <c r="G51" s="103" t="s">
        <v>20</v>
      </c>
      <c r="H51" s="103">
        <v>201611</v>
      </c>
      <c r="I51" s="104">
        <v>-0.01</v>
      </c>
      <c r="J51" s="144">
        <f t="shared" si="0"/>
        <v>6</v>
      </c>
      <c r="K51" s="148">
        <v>2.23333E-3</v>
      </c>
      <c r="L51" s="154">
        <f t="shared" si="1"/>
        <v>0</v>
      </c>
      <c r="M51" s="154">
        <f t="shared" si="2"/>
        <v>0</v>
      </c>
      <c r="N51" s="145"/>
      <c r="O51" s="168" t="str">
        <f>VLOOKUP(C51,'New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52" spans="1:15" ht="90">
      <c r="A52" s="102" t="s">
        <v>626</v>
      </c>
      <c r="B52" s="103" t="s">
        <v>1681</v>
      </c>
      <c r="C52" s="103" t="s">
        <v>2346</v>
      </c>
      <c r="D52" s="102" t="s">
        <v>2347</v>
      </c>
      <c r="E52" s="103" t="s">
        <v>75</v>
      </c>
      <c r="F52" s="102" t="s">
        <v>1602</v>
      </c>
      <c r="G52" s="103" t="s">
        <v>20</v>
      </c>
      <c r="H52" s="103">
        <v>201611</v>
      </c>
      <c r="I52" s="104">
        <v>721.06</v>
      </c>
      <c r="J52" s="144">
        <f t="shared" si="0"/>
        <v>6</v>
      </c>
      <c r="K52" s="155">
        <v>1.4833299999999999E-3</v>
      </c>
      <c r="L52" s="154">
        <f t="shared" si="1"/>
        <v>6.42</v>
      </c>
      <c r="M52" s="154">
        <f t="shared" si="2"/>
        <v>12.83</v>
      </c>
      <c r="N52" s="145"/>
      <c r="O52" s="168" t="str">
        <f>VLOOKUP(C52,'New Wo Detailed Descr Rev'!$A$5:$D$287,4)</f>
        <v>Install 1277 Ft of 4 in and 1089 Ft of 2 in PL MP Main on Briar, S. Ferguson &amp; Prospect St (Tipton Grid Ph D). Abandon 1997 Ft of 3 in PCS and 388 Ft of 2 in PBS MP main at the above locations. - Total Service Tie overs = 20; Total Service Abandon = 1; Total Service uprate = 0  This main is being replaced as part of the FY16 Bare Steel Replacement Program.</v>
      </c>
    </row>
    <row r="53" spans="1:15" ht="120">
      <c r="A53" s="102" t="s">
        <v>626</v>
      </c>
      <c r="B53" s="103" t="s">
        <v>1681</v>
      </c>
      <c r="C53" s="103" t="s">
        <v>2348</v>
      </c>
      <c r="D53" s="102" t="s">
        <v>2349</v>
      </c>
      <c r="E53" s="103" t="s">
        <v>75</v>
      </c>
      <c r="F53" s="102" t="s">
        <v>1602</v>
      </c>
      <c r="G53" s="103" t="s">
        <v>20</v>
      </c>
      <c r="H53" s="103">
        <v>201611</v>
      </c>
      <c r="I53" s="104">
        <v>-153.71</v>
      </c>
      <c r="J53" s="144">
        <f t="shared" si="0"/>
        <v>6</v>
      </c>
      <c r="K53" s="155">
        <v>1.4833299999999999E-3</v>
      </c>
      <c r="L53" s="154">
        <f t="shared" si="1"/>
        <v>-1.37</v>
      </c>
      <c r="M53" s="154">
        <f t="shared" si="2"/>
        <v>-2.74</v>
      </c>
      <c r="N53" s="145"/>
      <c r="O53" s="168" t="str">
        <f>VLOOKUP(C53,'New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54" spans="1:15" ht="120">
      <c r="A54" s="102" t="s">
        <v>14</v>
      </c>
      <c r="B54" s="103" t="s">
        <v>1681</v>
      </c>
      <c r="C54" s="103" t="s">
        <v>2348</v>
      </c>
      <c r="D54" s="102" t="s">
        <v>2349</v>
      </c>
      <c r="E54" s="103" t="s">
        <v>75</v>
      </c>
      <c r="F54" s="102" t="s">
        <v>1602</v>
      </c>
      <c r="G54" s="103" t="s">
        <v>20</v>
      </c>
      <c r="H54" s="103">
        <v>201611</v>
      </c>
      <c r="I54" s="104">
        <v>-7.0000000000000007E-2</v>
      </c>
      <c r="J54" s="144">
        <f t="shared" si="0"/>
        <v>6</v>
      </c>
      <c r="K54" s="148">
        <v>2.23333E-3</v>
      </c>
      <c r="L54" s="154">
        <f t="shared" si="1"/>
        <v>0</v>
      </c>
      <c r="M54" s="154">
        <f t="shared" si="2"/>
        <v>0</v>
      </c>
      <c r="N54" s="145"/>
      <c r="O54" s="168" t="str">
        <f>VLOOKUP(C54,'New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55" spans="1:15" ht="75">
      <c r="A55" s="102" t="s">
        <v>626</v>
      </c>
      <c r="B55" s="103" t="s">
        <v>1681</v>
      </c>
      <c r="C55" s="103" t="s">
        <v>2350</v>
      </c>
      <c r="D55" s="102" t="s">
        <v>2351</v>
      </c>
      <c r="E55" s="103" t="s">
        <v>75</v>
      </c>
      <c r="F55" s="102" t="s">
        <v>1602</v>
      </c>
      <c r="G55" s="103" t="s">
        <v>20</v>
      </c>
      <c r="H55" s="103">
        <v>201611</v>
      </c>
      <c r="I55" s="104">
        <v>5599.15</v>
      </c>
      <c r="J55" s="144">
        <f t="shared" si="0"/>
        <v>6</v>
      </c>
      <c r="K55" s="155">
        <v>1.4833299999999999E-3</v>
      </c>
      <c r="L55" s="154">
        <f t="shared" si="1"/>
        <v>49.83</v>
      </c>
      <c r="M55" s="154">
        <f t="shared" si="2"/>
        <v>99.66</v>
      </c>
      <c r="N55" s="145"/>
      <c r="O55" s="168" t="str">
        <f>VLOOKUP(C55,'New Wo Detailed Descr Rev'!$A$5:$D$287,4)</f>
        <v>Inst 8563ft 2in, 3479ft of 4in, and 1634ft of 6in PL MP main for Tipton Grid Phase F. Abdn 210ft of 2in PL, 2740ft of 2in, 6115ft of 3in and 865ft of 4in PBS, 3436 Ft of 2 in, 600 Ft of 3 in and 284 Ft of 4 in PCS (Majority poorly coated) MP main. - FY16 Bare Steel Replacement Program.</v>
      </c>
    </row>
    <row r="56" spans="1:15" ht="60">
      <c r="A56" s="102" t="s">
        <v>626</v>
      </c>
      <c r="B56" s="103" t="s">
        <v>1681</v>
      </c>
      <c r="C56" s="103" t="s">
        <v>2352</v>
      </c>
      <c r="D56" s="102" t="s">
        <v>2353</v>
      </c>
      <c r="E56" s="103" t="s">
        <v>75</v>
      </c>
      <c r="F56" s="102" t="s">
        <v>1602</v>
      </c>
      <c r="G56" s="103" t="s">
        <v>20</v>
      </c>
      <c r="H56" s="103">
        <v>201611</v>
      </c>
      <c r="I56" s="104">
        <v>-12.31</v>
      </c>
      <c r="J56" s="144">
        <f t="shared" si="0"/>
        <v>6</v>
      </c>
      <c r="K56" s="155">
        <v>1.4833299999999999E-3</v>
      </c>
      <c r="L56" s="154">
        <f t="shared" si="1"/>
        <v>-0.11</v>
      </c>
      <c r="M56" s="154">
        <f t="shared" si="2"/>
        <v>-0.22</v>
      </c>
      <c r="N56" s="145"/>
      <c r="O56" s="168" t="str">
        <f>VLOOKUP(C56,'New Wo Detailed Descr Rev'!$A$5:$D$287,4)</f>
        <v>Install 6759 Ft of 2 in and 7361 Ft of 4 in PL IP Main for Tipton Grid Phase E. Abandon 25 Ft of 2 in PL, 6846 Ft of 2 in Steel, 5266 Ft of 3 in Steel and 200 Ft of 4 in Steel MP and IP main. FY16 Bare Steel Replacement Program. - 0</v>
      </c>
    </row>
    <row r="57" spans="1:15" ht="60">
      <c r="A57" s="102" t="s">
        <v>14</v>
      </c>
      <c r="B57" s="103" t="s">
        <v>1681</v>
      </c>
      <c r="C57" s="103" t="s">
        <v>2352</v>
      </c>
      <c r="D57" s="102" t="s">
        <v>2353</v>
      </c>
      <c r="E57" s="103" t="s">
        <v>75</v>
      </c>
      <c r="F57" s="102" t="s">
        <v>1602</v>
      </c>
      <c r="G57" s="103" t="s">
        <v>20</v>
      </c>
      <c r="H57" s="103">
        <v>201611</v>
      </c>
      <c r="I57" s="104">
        <v>-0.02</v>
      </c>
      <c r="J57" s="144">
        <f t="shared" si="0"/>
        <v>6</v>
      </c>
      <c r="K57" s="148">
        <v>2.23333E-3</v>
      </c>
      <c r="L57" s="154">
        <f t="shared" si="1"/>
        <v>0</v>
      </c>
      <c r="M57" s="154">
        <f t="shared" si="2"/>
        <v>0</v>
      </c>
      <c r="N57" s="145"/>
      <c r="O57" s="168" t="str">
        <f>VLOOKUP(C57,'New Wo Detailed Descr Rev'!$A$5:$D$287,4)</f>
        <v>Install 6759 Ft of 2 in and 7361 Ft of 4 in PL IP Main for Tipton Grid Phase E. Abandon 25 Ft of 2 in PL, 6846 Ft of 2 in Steel, 5266 Ft of 3 in Steel and 200 Ft of 4 in Steel MP and IP main. FY16 Bare Steel Replacement Program. - 0</v>
      </c>
    </row>
    <row r="58" spans="1:15" ht="75">
      <c r="A58" s="102" t="s">
        <v>626</v>
      </c>
      <c r="B58" s="103" t="s">
        <v>1681</v>
      </c>
      <c r="C58" s="103" t="s">
        <v>2354</v>
      </c>
      <c r="D58" s="102" t="s">
        <v>2355</v>
      </c>
      <c r="E58" s="103" t="s">
        <v>164</v>
      </c>
      <c r="F58" s="102" t="s">
        <v>1600</v>
      </c>
      <c r="G58" s="103" t="s">
        <v>20</v>
      </c>
      <c r="H58" s="103">
        <v>201611</v>
      </c>
      <c r="I58" s="104">
        <v>-432.84</v>
      </c>
      <c r="J58" s="144">
        <f t="shared" si="0"/>
        <v>6</v>
      </c>
      <c r="K58" s="155">
        <v>1.4833299999999999E-3</v>
      </c>
      <c r="L58" s="154">
        <f t="shared" si="1"/>
        <v>-3.85</v>
      </c>
      <c r="M58" s="154">
        <f t="shared" si="2"/>
        <v>-7.7</v>
      </c>
      <c r="N58" s="145"/>
      <c r="O58" s="168" t="str">
        <f>VLOOKUP(C58,'New Wo Detailed Descr Rev'!$A$5:$D$287,4)</f>
        <v>Install ~5685 feet of 4 inch PLS. IP Main on Corbin St, N Grover St, Nwater St, Doniphan St, N Lightburne St, Miller St, and Jewel St. Total Service Estimate: 41 Service Tie-Overs. Replacement Program. - Main is being installed as part of the FY 2016 Bare Steel.  Work order estimates also contain 100 ft 2in Pl.</v>
      </c>
    </row>
    <row r="59" spans="1:15" ht="105">
      <c r="A59" s="102" t="s">
        <v>626</v>
      </c>
      <c r="B59" s="103" t="s">
        <v>1681</v>
      </c>
      <c r="C59" s="103" t="s">
        <v>2358</v>
      </c>
      <c r="D59" s="102" t="s">
        <v>2359</v>
      </c>
      <c r="E59" s="103" t="s">
        <v>75</v>
      </c>
      <c r="F59" s="102" t="s">
        <v>1602</v>
      </c>
      <c r="G59" s="103" t="s">
        <v>20</v>
      </c>
      <c r="H59" s="103">
        <v>201611</v>
      </c>
      <c r="I59" s="104">
        <v>1058.54</v>
      </c>
      <c r="J59" s="144">
        <f t="shared" si="0"/>
        <v>6</v>
      </c>
      <c r="K59" s="155">
        <v>1.4833299999999999E-3</v>
      </c>
      <c r="L59" s="154">
        <f t="shared" si="1"/>
        <v>9.42</v>
      </c>
      <c r="M59" s="154">
        <f t="shared" si="2"/>
        <v>18.84</v>
      </c>
      <c r="N59" s="145"/>
      <c r="O59" s="168" t="str">
        <f>VLOOKUP(C59,'New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60" spans="1:15" ht="105">
      <c r="A60" s="102" t="s">
        <v>14</v>
      </c>
      <c r="B60" s="103" t="s">
        <v>1681</v>
      </c>
      <c r="C60" s="103" t="s">
        <v>2358</v>
      </c>
      <c r="D60" s="102" t="s">
        <v>2359</v>
      </c>
      <c r="E60" s="103" t="s">
        <v>75</v>
      </c>
      <c r="F60" s="102" t="s">
        <v>1602</v>
      </c>
      <c r="G60" s="103" t="s">
        <v>20</v>
      </c>
      <c r="H60" s="103">
        <v>201611</v>
      </c>
      <c r="I60" s="104">
        <v>11.92</v>
      </c>
      <c r="J60" s="144">
        <f t="shared" si="0"/>
        <v>6</v>
      </c>
      <c r="K60" s="148">
        <v>2.23333E-3</v>
      </c>
      <c r="L60" s="154">
        <f t="shared" si="1"/>
        <v>0.16</v>
      </c>
      <c r="M60" s="154">
        <f t="shared" si="2"/>
        <v>0.32</v>
      </c>
      <c r="N60" s="145"/>
      <c r="O60" s="168" t="str">
        <f>VLOOKUP(C60,'New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61" spans="1:15" ht="90">
      <c r="A61" s="102" t="s">
        <v>626</v>
      </c>
      <c r="B61" s="103" t="s">
        <v>1681</v>
      </c>
      <c r="C61" s="103" t="s">
        <v>2360</v>
      </c>
      <c r="D61" s="102" t="s">
        <v>2361</v>
      </c>
      <c r="E61" s="103" t="s">
        <v>75</v>
      </c>
      <c r="F61" s="102" t="s">
        <v>1602</v>
      </c>
      <c r="G61" s="103" t="s">
        <v>20</v>
      </c>
      <c r="H61" s="103">
        <v>201611</v>
      </c>
      <c r="I61" s="104">
        <v>11804.01</v>
      </c>
      <c r="J61" s="144">
        <f t="shared" si="0"/>
        <v>6</v>
      </c>
      <c r="K61" s="155">
        <v>1.4833299999999999E-3</v>
      </c>
      <c r="L61" s="154">
        <f t="shared" si="1"/>
        <v>105.06</v>
      </c>
      <c r="M61" s="154">
        <f t="shared" si="2"/>
        <v>210.11</v>
      </c>
      <c r="N61" s="145"/>
      <c r="O61" s="168" t="str">
        <f>VLOOKUP(C61,'New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62" spans="1:15" ht="90">
      <c r="A62" s="102" t="s">
        <v>14</v>
      </c>
      <c r="B62" s="103" t="s">
        <v>1681</v>
      </c>
      <c r="C62" s="103" t="s">
        <v>2360</v>
      </c>
      <c r="D62" s="102" t="s">
        <v>2361</v>
      </c>
      <c r="E62" s="103" t="s">
        <v>75</v>
      </c>
      <c r="F62" s="102" t="s">
        <v>1602</v>
      </c>
      <c r="G62" s="103" t="s">
        <v>20</v>
      </c>
      <c r="H62" s="103">
        <v>201611</v>
      </c>
      <c r="I62" s="104">
        <v>153.94999999999999</v>
      </c>
      <c r="J62" s="144">
        <f t="shared" si="0"/>
        <v>6</v>
      </c>
      <c r="K62" s="148">
        <v>2.23333E-3</v>
      </c>
      <c r="L62" s="154">
        <f t="shared" si="1"/>
        <v>2.06</v>
      </c>
      <c r="M62" s="154">
        <f t="shared" si="2"/>
        <v>4.13</v>
      </c>
      <c r="N62" s="145"/>
      <c r="O62" s="168" t="str">
        <f>VLOOKUP(C62,'New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63" spans="1:15" ht="120">
      <c r="A63" s="102" t="s">
        <v>626</v>
      </c>
      <c r="B63" s="103" t="s">
        <v>1681</v>
      </c>
      <c r="C63" s="103" t="s">
        <v>2362</v>
      </c>
      <c r="D63" s="102" t="s">
        <v>2363</v>
      </c>
      <c r="E63" s="103" t="s">
        <v>75</v>
      </c>
      <c r="F63" s="102" t="s">
        <v>1602</v>
      </c>
      <c r="G63" s="103" t="s">
        <v>20</v>
      </c>
      <c r="H63" s="103">
        <v>201611</v>
      </c>
      <c r="I63" s="104">
        <v>15917.24</v>
      </c>
      <c r="J63" s="144">
        <f t="shared" si="0"/>
        <v>6</v>
      </c>
      <c r="K63" s="155">
        <v>1.4833299999999999E-3</v>
      </c>
      <c r="L63" s="154">
        <f t="shared" si="1"/>
        <v>141.66</v>
      </c>
      <c r="M63" s="154">
        <f t="shared" si="2"/>
        <v>283.33</v>
      </c>
      <c r="N63" s="145"/>
      <c r="O63" s="168" t="str">
        <f>VLOOKUP(C63,'New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64" spans="1:15" ht="120">
      <c r="A64" s="102" t="s">
        <v>14</v>
      </c>
      <c r="B64" s="103" t="s">
        <v>1681</v>
      </c>
      <c r="C64" s="103" t="s">
        <v>2362</v>
      </c>
      <c r="D64" s="102" t="s">
        <v>2363</v>
      </c>
      <c r="E64" s="103" t="s">
        <v>75</v>
      </c>
      <c r="F64" s="102" t="s">
        <v>1602</v>
      </c>
      <c r="G64" s="103" t="s">
        <v>20</v>
      </c>
      <c r="H64" s="103">
        <v>201611</v>
      </c>
      <c r="I64" s="104">
        <v>272.72000000000003</v>
      </c>
      <c r="J64" s="144">
        <f t="shared" si="0"/>
        <v>6</v>
      </c>
      <c r="K64" s="148">
        <v>2.23333E-3</v>
      </c>
      <c r="L64" s="154">
        <f t="shared" si="1"/>
        <v>3.65</v>
      </c>
      <c r="M64" s="154">
        <f t="shared" si="2"/>
        <v>7.31</v>
      </c>
      <c r="N64" s="145"/>
      <c r="O64" s="168" t="str">
        <f>VLOOKUP(C64,'New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65" spans="1:15" ht="195">
      <c r="A65" s="102" t="s">
        <v>626</v>
      </c>
      <c r="B65" s="103" t="s">
        <v>1681</v>
      </c>
      <c r="C65" s="103" t="s">
        <v>2364</v>
      </c>
      <c r="D65" s="102" t="s">
        <v>2365</v>
      </c>
      <c r="E65" s="103" t="s">
        <v>75</v>
      </c>
      <c r="F65" s="102" t="s">
        <v>1602</v>
      </c>
      <c r="G65" s="103" t="s">
        <v>20</v>
      </c>
      <c r="H65" s="103">
        <v>201611</v>
      </c>
      <c r="I65" s="104">
        <v>10838.4</v>
      </c>
      <c r="J65" s="144">
        <f t="shared" si="0"/>
        <v>6</v>
      </c>
      <c r="K65" s="155">
        <v>1.4833299999999999E-3</v>
      </c>
      <c r="L65" s="154">
        <f t="shared" si="1"/>
        <v>96.46</v>
      </c>
      <c r="M65" s="154">
        <f t="shared" si="2"/>
        <v>192.92</v>
      </c>
      <c r="N65" s="145"/>
      <c r="O65" s="168" t="str">
        <f>VLOOKUP(C65,'New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66" spans="1:15" ht="195">
      <c r="A66" s="102" t="s">
        <v>14</v>
      </c>
      <c r="B66" s="103" t="s">
        <v>1681</v>
      </c>
      <c r="C66" s="103" t="s">
        <v>2364</v>
      </c>
      <c r="D66" s="102" t="s">
        <v>2365</v>
      </c>
      <c r="E66" s="103" t="s">
        <v>75</v>
      </c>
      <c r="F66" s="102" t="s">
        <v>1602</v>
      </c>
      <c r="G66" s="103" t="s">
        <v>20</v>
      </c>
      <c r="H66" s="103">
        <v>201611</v>
      </c>
      <c r="I66" s="104">
        <v>111.35</v>
      </c>
      <c r="J66" s="144">
        <f t="shared" si="0"/>
        <v>6</v>
      </c>
      <c r="K66" s="148">
        <v>2.23333E-3</v>
      </c>
      <c r="L66" s="154">
        <f t="shared" si="1"/>
        <v>1.49</v>
      </c>
      <c r="M66" s="154">
        <f t="shared" si="2"/>
        <v>2.98</v>
      </c>
      <c r="N66" s="145"/>
      <c r="O66" s="168" t="str">
        <f>VLOOKUP(C66,'New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67" spans="1:15" ht="75">
      <c r="A67" s="102" t="s">
        <v>21</v>
      </c>
      <c r="B67" s="103" t="s">
        <v>1681</v>
      </c>
      <c r="C67" s="103" t="s">
        <v>2366</v>
      </c>
      <c r="D67" s="102" t="s">
        <v>2367</v>
      </c>
      <c r="E67" s="103" t="s">
        <v>75</v>
      </c>
      <c r="F67" s="102" t="s">
        <v>1602</v>
      </c>
      <c r="G67" s="103" t="s">
        <v>20</v>
      </c>
      <c r="H67" s="103">
        <v>201611</v>
      </c>
      <c r="I67" s="104">
        <v>-0.19</v>
      </c>
      <c r="J67" s="144">
        <f t="shared" si="0"/>
        <v>6</v>
      </c>
      <c r="K67" s="155">
        <v>1.4833299999999999E-3</v>
      </c>
      <c r="L67" s="154">
        <f t="shared" si="1"/>
        <v>0</v>
      </c>
      <c r="M67" s="154">
        <f t="shared" si="2"/>
        <v>0</v>
      </c>
      <c r="N67" s="145"/>
      <c r="O67" s="168" t="str">
        <f>VLOOKUP(C67,'New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68" spans="1:15" ht="75">
      <c r="A68" s="102" t="s">
        <v>626</v>
      </c>
      <c r="B68" s="103" t="s">
        <v>1681</v>
      </c>
      <c r="C68" s="103" t="s">
        <v>2366</v>
      </c>
      <c r="D68" s="102" t="s">
        <v>2367</v>
      </c>
      <c r="E68" s="103" t="s">
        <v>75</v>
      </c>
      <c r="F68" s="102" t="s">
        <v>1602</v>
      </c>
      <c r="G68" s="103" t="s">
        <v>20</v>
      </c>
      <c r="H68" s="103">
        <v>201611</v>
      </c>
      <c r="I68" s="104">
        <v>-1080.55</v>
      </c>
      <c r="J68" s="144">
        <f t="shared" ref="J68:J131" si="3">HLOOKUP(H68,$Q$2:$W$3,2)</f>
        <v>6</v>
      </c>
      <c r="K68" s="155">
        <v>1.4833299999999999E-3</v>
      </c>
      <c r="L68" s="154">
        <f t="shared" ref="L68:L131" si="4">ROUND(I68*J68*K68,2)</f>
        <v>-9.6199999999999992</v>
      </c>
      <c r="M68" s="154">
        <f t="shared" ref="M68:M131" si="5">ROUND(I68*K68*12,2)</f>
        <v>-19.23</v>
      </c>
      <c r="N68" s="145"/>
      <c r="O68" s="168" t="str">
        <f>VLOOKUP(C68,'New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69" spans="1:15" ht="75">
      <c r="A69" s="102" t="s">
        <v>14</v>
      </c>
      <c r="B69" s="103" t="s">
        <v>1681</v>
      </c>
      <c r="C69" s="103" t="s">
        <v>2366</v>
      </c>
      <c r="D69" s="102" t="s">
        <v>2367</v>
      </c>
      <c r="E69" s="103" t="s">
        <v>75</v>
      </c>
      <c r="F69" s="102" t="s">
        <v>1602</v>
      </c>
      <c r="G69" s="103" t="s">
        <v>20</v>
      </c>
      <c r="H69" s="103">
        <v>201611</v>
      </c>
      <c r="I69" s="104">
        <v>-1.39</v>
      </c>
      <c r="J69" s="144">
        <f t="shared" si="3"/>
        <v>6</v>
      </c>
      <c r="K69" s="148">
        <v>2.23333E-3</v>
      </c>
      <c r="L69" s="154">
        <f t="shared" si="4"/>
        <v>-0.02</v>
      </c>
      <c r="M69" s="154">
        <f t="shared" si="5"/>
        <v>-0.04</v>
      </c>
      <c r="N69" s="145"/>
      <c r="O69" s="168" t="str">
        <f>VLOOKUP(C69,'New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70" spans="1:15" ht="75">
      <c r="A70" s="102" t="s">
        <v>21</v>
      </c>
      <c r="B70" s="103" t="s">
        <v>1681</v>
      </c>
      <c r="C70" s="103" t="s">
        <v>2368</v>
      </c>
      <c r="D70" s="102" t="s">
        <v>2369</v>
      </c>
      <c r="E70" s="103" t="s">
        <v>75</v>
      </c>
      <c r="F70" s="102" t="s">
        <v>1602</v>
      </c>
      <c r="G70" s="103" t="s">
        <v>20</v>
      </c>
      <c r="H70" s="103">
        <v>201611</v>
      </c>
      <c r="I70" s="104">
        <v>0.84</v>
      </c>
      <c r="J70" s="144">
        <f t="shared" si="3"/>
        <v>6</v>
      </c>
      <c r="K70" s="155">
        <v>1.4833299999999999E-3</v>
      </c>
      <c r="L70" s="154">
        <f t="shared" si="4"/>
        <v>0.01</v>
      </c>
      <c r="M70" s="154">
        <f t="shared" si="5"/>
        <v>0.01</v>
      </c>
      <c r="N70" s="145"/>
      <c r="O70" s="168" t="str">
        <f>VLOOKUP(C70,'New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71" spans="1:15" ht="75">
      <c r="A71" s="102" t="s">
        <v>626</v>
      </c>
      <c r="B71" s="103" t="s">
        <v>1681</v>
      </c>
      <c r="C71" s="103" t="s">
        <v>2368</v>
      </c>
      <c r="D71" s="102" t="s">
        <v>2369</v>
      </c>
      <c r="E71" s="103" t="s">
        <v>75</v>
      </c>
      <c r="F71" s="102" t="s">
        <v>1602</v>
      </c>
      <c r="G71" s="103" t="s">
        <v>20</v>
      </c>
      <c r="H71" s="103">
        <v>201611</v>
      </c>
      <c r="I71" s="104">
        <v>8962.92</v>
      </c>
      <c r="J71" s="144">
        <f t="shared" si="3"/>
        <v>6</v>
      </c>
      <c r="K71" s="155">
        <v>1.4833299999999999E-3</v>
      </c>
      <c r="L71" s="154">
        <f t="shared" si="4"/>
        <v>79.77</v>
      </c>
      <c r="M71" s="154">
        <f t="shared" si="5"/>
        <v>159.54</v>
      </c>
      <c r="N71" s="145"/>
      <c r="O71" s="168" t="str">
        <f>VLOOKUP(C71,'New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72" spans="1:15" ht="75">
      <c r="A72" s="102" t="s">
        <v>14</v>
      </c>
      <c r="B72" s="103" t="s">
        <v>1681</v>
      </c>
      <c r="C72" s="103" t="s">
        <v>2368</v>
      </c>
      <c r="D72" s="102" t="s">
        <v>2369</v>
      </c>
      <c r="E72" s="103" t="s">
        <v>75</v>
      </c>
      <c r="F72" s="102" t="s">
        <v>1602</v>
      </c>
      <c r="G72" s="103" t="s">
        <v>20</v>
      </c>
      <c r="H72" s="103">
        <v>201611</v>
      </c>
      <c r="I72" s="104">
        <v>14.77</v>
      </c>
      <c r="J72" s="144">
        <f t="shared" si="3"/>
        <v>6</v>
      </c>
      <c r="K72" s="148">
        <v>2.23333E-3</v>
      </c>
      <c r="L72" s="154">
        <f t="shared" si="4"/>
        <v>0.2</v>
      </c>
      <c r="M72" s="154">
        <f t="shared" si="5"/>
        <v>0.4</v>
      </c>
      <c r="N72" s="145"/>
      <c r="O72" s="168" t="str">
        <f>VLOOKUP(C72,'New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73" spans="1:15" ht="60">
      <c r="A73" s="102" t="s">
        <v>626</v>
      </c>
      <c r="B73" s="103" t="s">
        <v>1681</v>
      </c>
      <c r="C73" s="103" t="s">
        <v>2370</v>
      </c>
      <c r="D73" s="102" t="s">
        <v>2371</v>
      </c>
      <c r="E73" s="103" t="s">
        <v>75</v>
      </c>
      <c r="F73" s="102" t="s">
        <v>1602</v>
      </c>
      <c r="G73" s="103" t="s">
        <v>20</v>
      </c>
      <c r="H73" s="103">
        <v>201611</v>
      </c>
      <c r="I73" s="104">
        <v>5834.44</v>
      </c>
      <c r="J73" s="144">
        <f t="shared" si="3"/>
        <v>6</v>
      </c>
      <c r="K73" s="155">
        <v>1.4833299999999999E-3</v>
      </c>
      <c r="L73" s="154">
        <f t="shared" si="4"/>
        <v>51.93</v>
      </c>
      <c r="M73" s="154">
        <f t="shared" si="5"/>
        <v>103.85</v>
      </c>
      <c r="N73" s="145"/>
      <c r="O73" s="168" t="str">
        <f>VLOOKUP(C73,'New Wo Detailed Descr Rev'!$A$5:$D$287,4)</f>
        <v>Install 6230 Ft of 4 in and 920 Ft of 2 in PL IP main for Holden Phase 2C. Abandon 1317 Ft of 2 in PBS at above location. Total Services is 43. Main is being abandoned as part of the FY16 Bare Steel Replacement Program. - 0</v>
      </c>
    </row>
    <row r="74" spans="1:15" ht="60">
      <c r="A74" s="102" t="s">
        <v>14</v>
      </c>
      <c r="B74" s="103" t="s">
        <v>1681</v>
      </c>
      <c r="C74" s="103" t="s">
        <v>2370</v>
      </c>
      <c r="D74" s="102" t="s">
        <v>2371</v>
      </c>
      <c r="E74" s="103" t="s">
        <v>75</v>
      </c>
      <c r="F74" s="102" t="s">
        <v>1602</v>
      </c>
      <c r="G74" s="103" t="s">
        <v>20</v>
      </c>
      <c r="H74" s="103">
        <v>201611</v>
      </c>
      <c r="I74" s="104">
        <v>0.51</v>
      </c>
      <c r="J74" s="144">
        <f t="shared" si="3"/>
        <v>6</v>
      </c>
      <c r="K74" s="148">
        <v>2.23333E-3</v>
      </c>
      <c r="L74" s="154">
        <f t="shared" si="4"/>
        <v>0.01</v>
      </c>
      <c r="M74" s="154">
        <f t="shared" si="5"/>
        <v>0.01</v>
      </c>
      <c r="N74" s="145"/>
      <c r="O74" s="168" t="str">
        <f>VLOOKUP(C74,'New Wo Detailed Descr Rev'!$A$5:$D$287,4)</f>
        <v>Install 6230 Ft of 4 in and 920 Ft of 2 in PL IP main for Holden Phase 2C. Abandon 1317 Ft of 2 in PBS at above location. Total Services is 43. Main is being abandoned as part of the FY16 Bare Steel Replacement Program. - 0</v>
      </c>
    </row>
    <row r="75" spans="1:15" ht="60">
      <c r="A75" s="102" t="s">
        <v>626</v>
      </c>
      <c r="B75" s="103" t="s">
        <v>1681</v>
      </c>
      <c r="C75" s="103" t="s">
        <v>2317</v>
      </c>
      <c r="D75" s="102" t="s">
        <v>2318</v>
      </c>
      <c r="E75" s="103" t="s">
        <v>75</v>
      </c>
      <c r="F75" s="102" t="s">
        <v>1602</v>
      </c>
      <c r="G75" s="103" t="s">
        <v>20</v>
      </c>
      <c r="H75" s="103">
        <v>201611</v>
      </c>
      <c r="I75" s="104">
        <v>20.51</v>
      </c>
      <c r="J75" s="144">
        <f t="shared" si="3"/>
        <v>6</v>
      </c>
      <c r="K75" s="155">
        <v>1.4833299999999999E-3</v>
      </c>
      <c r="L75" s="154">
        <f t="shared" si="4"/>
        <v>0.18</v>
      </c>
      <c r="M75" s="154">
        <f t="shared" si="5"/>
        <v>0.37</v>
      </c>
      <c r="N75" s="145"/>
      <c r="O75" s="168" t="str">
        <f>VLOOKUP(C75,'New Wo Detailed Descr Rev'!$A$5:$D$287,4)</f>
        <v>Install 595 Ft of 4 in PL MP and 3086 Ft of 2 in PL MP main for Centerview Phase 1. Abandon 3600 Ft of 2 in PBS, 344 Ft of 2 in PCS, and 12 Ft of 2 in PL MP main. Total service tie-overs are 20 and 9 abandons. FY16 Bare Steel Repl - 0</v>
      </c>
    </row>
    <row r="76" spans="1:15" ht="105">
      <c r="A76" s="102" t="s">
        <v>626</v>
      </c>
      <c r="B76" s="103" t="s">
        <v>1681</v>
      </c>
      <c r="C76" s="103" t="s">
        <v>2009</v>
      </c>
      <c r="D76" s="102" t="s">
        <v>2010</v>
      </c>
      <c r="E76" s="103" t="s">
        <v>260</v>
      </c>
      <c r="F76" s="102" t="s">
        <v>1608</v>
      </c>
      <c r="G76" s="103" t="s">
        <v>20</v>
      </c>
      <c r="H76" s="103">
        <v>201611</v>
      </c>
      <c r="I76" s="104">
        <v>-14.24</v>
      </c>
      <c r="J76" s="144">
        <f t="shared" si="3"/>
        <v>6</v>
      </c>
      <c r="K76" s="155">
        <v>1.4833299999999999E-3</v>
      </c>
      <c r="L76" s="154">
        <f t="shared" si="4"/>
        <v>-0.13</v>
      </c>
      <c r="M76" s="154">
        <f t="shared" si="5"/>
        <v>-0.25</v>
      </c>
      <c r="N76" s="145"/>
      <c r="O76" s="168" t="str">
        <f>VLOOKUP(C76,'New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77" spans="1:15" ht="105">
      <c r="A77" s="102" t="s">
        <v>14</v>
      </c>
      <c r="B77" s="103" t="s">
        <v>1681</v>
      </c>
      <c r="C77" s="103" t="s">
        <v>2009</v>
      </c>
      <c r="D77" s="102" t="s">
        <v>2010</v>
      </c>
      <c r="E77" s="103" t="s">
        <v>260</v>
      </c>
      <c r="F77" s="102" t="s">
        <v>1608</v>
      </c>
      <c r="G77" s="103" t="s">
        <v>20</v>
      </c>
      <c r="H77" s="103">
        <v>201611</v>
      </c>
      <c r="I77" s="104">
        <v>-0.26</v>
      </c>
      <c r="J77" s="144">
        <f t="shared" si="3"/>
        <v>6</v>
      </c>
      <c r="K77" s="148">
        <v>2.23333E-3</v>
      </c>
      <c r="L77" s="154">
        <f t="shared" si="4"/>
        <v>0</v>
      </c>
      <c r="M77" s="154">
        <f t="shared" si="5"/>
        <v>-0.01</v>
      </c>
      <c r="N77" s="145"/>
      <c r="O77" s="168" t="str">
        <f>VLOOKUP(C77,'New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78" spans="1:15" ht="75">
      <c r="A78" s="102" t="s">
        <v>626</v>
      </c>
      <c r="B78" s="103" t="s">
        <v>1681</v>
      </c>
      <c r="C78" s="103" t="s">
        <v>2265</v>
      </c>
      <c r="D78" s="102" t="s">
        <v>2266</v>
      </c>
      <c r="E78" s="103" t="s">
        <v>164</v>
      </c>
      <c r="F78" s="102" t="s">
        <v>1600</v>
      </c>
      <c r="G78" s="103" t="s">
        <v>20</v>
      </c>
      <c r="H78" s="103">
        <v>201611</v>
      </c>
      <c r="I78" s="104">
        <v>1714.93</v>
      </c>
      <c r="J78" s="144">
        <f t="shared" si="3"/>
        <v>6</v>
      </c>
      <c r="K78" s="155">
        <v>1.4833299999999999E-3</v>
      </c>
      <c r="L78" s="154">
        <f t="shared" si="4"/>
        <v>15.26</v>
      </c>
      <c r="M78" s="154">
        <f t="shared" si="5"/>
        <v>30.53</v>
      </c>
      <c r="N78" s="145"/>
      <c r="O78" s="168" t="str">
        <f>VLOOKUP(C78,'New Wo Detailed Descr Rev'!$A$5:$D$287,4)</f>
        <v>Inst 236 Ft of 4 in PL LP, 617 Ft of 2 in PL LP and 1478 Ft of 6 in PL IP main for St Joseph Grid Phase 1A. Abandon 157 Ft of 2 PL LP, 816 Ft of 2 in PBS LP, 498 Ft of 2 in PCS LP, 170 Ft of 4 in PBS LP, and 1402 Ft of 4 in PBS IP Main - This main is being replaced as part of the FY 2016 Bare Steel Replacement Program.</v>
      </c>
    </row>
    <row r="79" spans="1:15" ht="60">
      <c r="A79" s="102" t="s">
        <v>626</v>
      </c>
      <c r="B79" s="103" t="s">
        <v>1681</v>
      </c>
      <c r="C79" s="103" t="s">
        <v>2319</v>
      </c>
      <c r="D79" s="102" t="s">
        <v>2320</v>
      </c>
      <c r="E79" s="103" t="s">
        <v>164</v>
      </c>
      <c r="F79" s="102" t="s">
        <v>1600</v>
      </c>
      <c r="G79" s="103" t="s">
        <v>20</v>
      </c>
      <c r="H79" s="103">
        <v>201611</v>
      </c>
      <c r="I79" s="104">
        <v>881.62</v>
      </c>
      <c r="J79" s="144">
        <f t="shared" si="3"/>
        <v>6</v>
      </c>
      <c r="K79" s="155">
        <v>1.4833299999999999E-3</v>
      </c>
      <c r="L79" s="154">
        <f t="shared" si="4"/>
        <v>7.85</v>
      </c>
      <c r="M79" s="154">
        <f t="shared" si="5"/>
        <v>15.69</v>
      </c>
      <c r="N79" s="145"/>
      <c r="O79" s="168" t="str">
        <f>VLOOKUP(C79,'New Wo Detailed Descr Rev'!$A$5:$D$287,4)</f>
        <v>Install 1403 Ft of 2 in PL IP main for St Joe Phase 1B. Abandon 35 Ft of 4 in PL and 1603 of Ft 4 in ST LP main. Uprate 338 Ft of 2 in and 497 Ft of 4 in PL LP main to IP.FY16 Bare Steel Replacement Program. - 0</v>
      </c>
    </row>
    <row r="80" spans="1:15" ht="60">
      <c r="A80" s="102" t="s">
        <v>14</v>
      </c>
      <c r="B80" s="103" t="s">
        <v>1681</v>
      </c>
      <c r="C80" s="103" t="s">
        <v>2319</v>
      </c>
      <c r="D80" s="102" t="s">
        <v>2320</v>
      </c>
      <c r="E80" s="103" t="s">
        <v>164</v>
      </c>
      <c r="F80" s="102" t="s">
        <v>1600</v>
      </c>
      <c r="G80" s="103" t="s">
        <v>20</v>
      </c>
      <c r="H80" s="103">
        <v>201611</v>
      </c>
      <c r="I80" s="104">
        <v>24.67</v>
      </c>
      <c r="J80" s="144">
        <f t="shared" si="3"/>
        <v>6</v>
      </c>
      <c r="K80" s="148">
        <v>2.23333E-3</v>
      </c>
      <c r="L80" s="154">
        <f t="shared" si="4"/>
        <v>0.33</v>
      </c>
      <c r="M80" s="154">
        <f t="shared" si="5"/>
        <v>0.66</v>
      </c>
      <c r="N80" s="145"/>
      <c r="O80" s="168" t="str">
        <f>VLOOKUP(C80,'New Wo Detailed Descr Rev'!$A$5:$D$287,4)</f>
        <v>Install 1403 Ft of 2 in PL IP main for St Joe Phase 1B. Abandon 35 Ft of 4 in PL and 1603 of Ft 4 in ST LP main. Uprate 338 Ft of 2 in and 497 Ft of 4 in PL LP main to IP.FY16 Bare Steel Replacement Program. - 0</v>
      </c>
    </row>
    <row r="81" spans="1:15" ht="105">
      <c r="A81" s="102" t="s">
        <v>626</v>
      </c>
      <c r="B81" s="103" t="s">
        <v>1681</v>
      </c>
      <c r="C81" s="103" t="s">
        <v>2321</v>
      </c>
      <c r="D81" s="102" t="s">
        <v>2322</v>
      </c>
      <c r="E81" s="103" t="s">
        <v>164</v>
      </c>
      <c r="F81" s="102" t="s">
        <v>1600</v>
      </c>
      <c r="G81" s="103" t="s">
        <v>20</v>
      </c>
      <c r="H81" s="103">
        <v>201611</v>
      </c>
      <c r="I81" s="104">
        <v>41699.64</v>
      </c>
      <c r="J81" s="144">
        <f t="shared" si="3"/>
        <v>6</v>
      </c>
      <c r="K81" s="155">
        <v>1.4833299999999999E-3</v>
      </c>
      <c r="L81" s="154">
        <f t="shared" si="4"/>
        <v>371.13</v>
      </c>
      <c r="M81" s="154">
        <f t="shared" si="5"/>
        <v>742.25</v>
      </c>
      <c r="N81" s="145"/>
      <c r="O81" s="168" t="str">
        <f>VLOOKUP(C81,'New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82" spans="1:15" ht="105">
      <c r="A82" s="102" t="s">
        <v>14</v>
      </c>
      <c r="B82" s="103" t="s">
        <v>1681</v>
      </c>
      <c r="C82" s="103" t="s">
        <v>2321</v>
      </c>
      <c r="D82" s="102" t="s">
        <v>2322</v>
      </c>
      <c r="E82" s="103" t="s">
        <v>164</v>
      </c>
      <c r="F82" s="102" t="s">
        <v>1600</v>
      </c>
      <c r="G82" s="103" t="s">
        <v>20</v>
      </c>
      <c r="H82" s="103">
        <v>201611</v>
      </c>
      <c r="I82" s="104">
        <v>367.67</v>
      </c>
      <c r="J82" s="144">
        <f t="shared" si="3"/>
        <v>6</v>
      </c>
      <c r="K82" s="148">
        <v>2.23333E-3</v>
      </c>
      <c r="L82" s="154">
        <f t="shared" si="4"/>
        <v>4.93</v>
      </c>
      <c r="M82" s="154">
        <f t="shared" si="5"/>
        <v>9.85</v>
      </c>
      <c r="N82" s="145"/>
      <c r="O82" s="168" t="str">
        <f>VLOOKUP(C82,'New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83" spans="1:15" ht="150">
      <c r="A83" s="102" t="s">
        <v>626</v>
      </c>
      <c r="B83" s="103" t="s">
        <v>1681</v>
      </c>
      <c r="C83" s="103" t="s">
        <v>2372</v>
      </c>
      <c r="D83" s="102" t="s">
        <v>2373</v>
      </c>
      <c r="E83" s="103" t="s">
        <v>164</v>
      </c>
      <c r="F83" s="102" t="s">
        <v>1600</v>
      </c>
      <c r="G83" s="103" t="s">
        <v>20</v>
      </c>
      <c r="H83" s="103">
        <v>201611</v>
      </c>
      <c r="I83" s="104">
        <v>-5895.54</v>
      </c>
      <c r="J83" s="144">
        <f t="shared" si="3"/>
        <v>6</v>
      </c>
      <c r="K83" s="155">
        <v>1.4833299999999999E-3</v>
      </c>
      <c r="L83" s="154">
        <f t="shared" si="4"/>
        <v>-52.47</v>
      </c>
      <c r="M83" s="154">
        <f t="shared" si="5"/>
        <v>-104.94</v>
      </c>
      <c r="N83" s="145"/>
      <c r="O83" s="168" t="str">
        <f>VLOOKUP(C83,'New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84" spans="1:15" ht="150">
      <c r="A84" s="102" t="s">
        <v>14</v>
      </c>
      <c r="B84" s="103" t="s">
        <v>1681</v>
      </c>
      <c r="C84" s="103" t="s">
        <v>2372</v>
      </c>
      <c r="D84" s="102" t="s">
        <v>2373</v>
      </c>
      <c r="E84" s="103" t="s">
        <v>164</v>
      </c>
      <c r="F84" s="102" t="s">
        <v>1600</v>
      </c>
      <c r="G84" s="103" t="s">
        <v>20</v>
      </c>
      <c r="H84" s="103">
        <v>201611</v>
      </c>
      <c r="I84" s="104">
        <v>-73.12</v>
      </c>
      <c r="J84" s="144">
        <f t="shared" si="3"/>
        <v>6</v>
      </c>
      <c r="K84" s="148">
        <v>2.23333E-3</v>
      </c>
      <c r="L84" s="154">
        <f t="shared" si="4"/>
        <v>-0.98</v>
      </c>
      <c r="M84" s="154">
        <f t="shared" si="5"/>
        <v>-1.96</v>
      </c>
      <c r="N84" s="145"/>
      <c r="O84" s="168" t="str">
        <f>VLOOKUP(C84,'New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85" spans="1:15" ht="45">
      <c r="A85" s="102" t="s">
        <v>626</v>
      </c>
      <c r="B85" s="103" t="s">
        <v>1681</v>
      </c>
      <c r="C85" s="103" t="s">
        <v>2374</v>
      </c>
      <c r="D85" s="102" t="s">
        <v>2375</v>
      </c>
      <c r="E85" s="103" t="s">
        <v>164</v>
      </c>
      <c r="F85" s="102" t="s">
        <v>1600</v>
      </c>
      <c r="G85" s="103" t="s">
        <v>20</v>
      </c>
      <c r="H85" s="103">
        <v>201611</v>
      </c>
      <c r="I85" s="104">
        <v>-328.15</v>
      </c>
      <c r="J85" s="144">
        <f t="shared" si="3"/>
        <v>6</v>
      </c>
      <c r="K85" s="155">
        <v>1.4833299999999999E-3</v>
      </c>
      <c r="L85" s="154">
        <f t="shared" si="4"/>
        <v>-2.92</v>
      </c>
      <c r="M85" s="154">
        <f t="shared" si="5"/>
        <v>-5.84</v>
      </c>
      <c r="N85" s="145"/>
      <c r="O85" s="168" t="str">
        <f>VLOOKUP(C85,'New Wo Detailed Descr Rev'!$A$5:$D$287,4)</f>
        <v>Install 3082' of 2'' PE, 1079' of 4'' PE - Hwy 71 &amp; Gregory Grid - B.  Abandon 1731' of 4'' CI, 2991' of 6'' CI, 6' of 4'' Coated STL (less than 20% of footage). Strategic Cast Iron Replacement. - 0</v>
      </c>
    </row>
    <row r="86" spans="1:15" ht="45">
      <c r="A86" s="102" t="s">
        <v>14</v>
      </c>
      <c r="B86" s="103" t="s">
        <v>1681</v>
      </c>
      <c r="C86" s="103" t="s">
        <v>2374</v>
      </c>
      <c r="D86" s="102" t="s">
        <v>2375</v>
      </c>
      <c r="E86" s="103" t="s">
        <v>164</v>
      </c>
      <c r="F86" s="102" t="s">
        <v>1600</v>
      </c>
      <c r="G86" s="103" t="s">
        <v>20</v>
      </c>
      <c r="H86" s="103">
        <v>201611</v>
      </c>
      <c r="I86" s="104">
        <v>-88.27</v>
      </c>
      <c r="J86" s="144">
        <f t="shared" si="3"/>
        <v>6</v>
      </c>
      <c r="K86" s="148">
        <v>2.23333E-3</v>
      </c>
      <c r="L86" s="154">
        <f t="shared" si="4"/>
        <v>-1.18</v>
      </c>
      <c r="M86" s="154">
        <f t="shared" si="5"/>
        <v>-2.37</v>
      </c>
      <c r="N86" s="145"/>
      <c r="O86" s="168" t="str">
        <f>VLOOKUP(C86,'New Wo Detailed Descr Rev'!$A$5:$D$287,4)</f>
        <v>Install 3082' of 2'' PE, 1079' of 4'' PE - Hwy 71 &amp; Gregory Grid - B.  Abandon 1731' of 4'' CI, 2991' of 6'' CI, 6' of 4'' Coated STL (less than 20% of footage). Strategic Cast Iron Replacement. - 0</v>
      </c>
    </row>
    <row r="87" spans="1:15" ht="75">
      <c r="A87" s="102" t="s">
        <v>626</v>
      </c>
      <c r="B87" s="103" t="s">
        <v>1681</v>
      </c>
      <c r="C87" s="103" t="s">
        <v>2376</v>
      </c>
      <c r="D87" s="102" t="s">
        <v>2377</v>
      </c>
      <c r="E87" s="103" t="s">
        <v>164</v>
      </c>
      <c r="F87" s="102" t="s">
        <v>1600</v>
      </c>
      <c r="G87" s="103" t="s">
        <v>20</v>
      </c>
      <c r="H87" s="103">
        <v>201611</v>
      </c>
      <c r="I87" s="104">
        <v>-78.709999999999994</v>
      </c>
      <c r="J87" s="144">
        <f t="shared" si="3"/>
        <v>6</v>
      </c>
      <c r="K87" s="155">
        <v>1.4833299999999999E-3</v>
      </c>
      <c r="L87" s="154">
        <f t="shared" si="4"/>
        <v>-0.7</v>
      </c>
      <c r="M87" s="154">
        <f t="shared" si="5"/>
        <v>-1.4</v>
      </c>
      <c r="N87" s="145"/>
      <c r="O87" s="168" t="str">
        <f>VLOOKUP(C87,'New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88" spans="1:15" ht="75">
      <c r="A88" s="102" t="s">
        <v>14</v>
      </c>
      <c r="B88" s="103" t="s">
        <v>1681</v>
      </c>
      <c r="C88" s="103" t="s">
        <v>2376</v>
      </c>
      <c r="D88" s="102" t="s">
        <v>2377</v>
      </c>
      <c r="E88" s="103" t="s">
        <v>164</v>
      </c>
      <c r="F88" s="102" t="s">
        <v>1600</v>
      </c>
      <c r="G88" s="103" t="s">
        <v>20</v>
      </c>
      <c r="H88" s="103">
        <v>201611</v>
      </c>
      <c r="I88" s="104">
        <v>-11.4</v>
      </c>
      <c r="J88" s="144">
        <f t="shared" si="3"/>
        <v>6</v>
      </c>
      <c r="K88" s="148">
        <v>2.23333E-3</v>
      </c>
      <c r="L88" s="154">
        <f t="shared" si="4"/>
        <v>-0.15</v>
      </c>
      <c r="M88" s="154">
        <f t="shared" si="5"/>
        <v>-0.31</v>
      </c>
      <c r="N88" s="145"/>
      <c r="O88" s="168" t="str">
        <f>VLOOKUP(C88,'New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89" spans="1:15" ht="90">
      <c r="A89" s="102" t="s">
        <v>626</v>
      </c>
      <c r="B89" s="103" t="s">
        <v>1681</v>
      </c>
      <c r="C89" s="103" t="s">
        <v>2380</v>
      </c>
      <c r="D89" s="102" t="s">
        <v>2381</v>
      </c>
      <c r="E89" s="103" t="s">
        <v>164</v>
      </c>
      <c r="F89" s="102" t="s">
        <v>1600</v>
      </c>
      <c r="G89" s="103" t="s">
        <v>20</v>
      </c>
      <c r="H89" s="103">
        <v>201611</v>
      </c>
      <c r="I89" s="104">
        <v>152.84</v>
      </c>
      <c r="J89" s="144">
        <f t="shared" si="3"/>
        <v>6</v>
      </c>
      <c r="K89" s="155">
        <v>1.4833299999999999E-3</v>
      </c>
      <c r="L89" s="154">
        <f t="shared" si="4"/>
        <v>1.36</v>
      </c>
      <c r="M89" s="154">
        <f t="shared" si="5"/>
        <v>2.72</v>
      </c>
      <c r="N89" s="145"/>
      <c r="O89" s="168" t="str">
        <f>VLOOKUP(C89,'New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90" spans="1:15" ht="90">
      <c r="A90" s="102" t="s">
        <v>1942</v>
      </c>
      <c r="B90" s="103" t="s">
        <v>1681</v>
      </c>
      <c r="C90" s="103" t="s">
        <v>2380</v>
      </c>
      <c r="D90" s="102" t="s">
        <v>2381</v>
      </c>
      <c r="E90" s="103" t="s">
        <v>164</v>
      </c>
      <c r="F90" s="102" t="s">
        <v>1600</v>
      </c>
      <c r="G90" s="103" t="s">
        <v>20</v>
      </c>
      <c r="H90" s="103">
        <v>201611</v>
      </c>
      <c r="I90" s="104">
        <v>0.43</v>
      </c>
      <c r="J90" s="144">
        <f t="shared" si="3"/>
        <v>6</v>
      </c>
      <c r="K90" s="155">
        <v>2.23333E-3</v>
      </c>
      <c r="L90" s="154">
        <f t="shared" si="4"/>
        <v>0.01</v>
      </c>
      <c r="M90" s="154">
        <f t="shared" si="5"/>
        <v>0.01</v>
      </c>
      <c r="N90" s="145"/>
      <c r="O90" s="168" t="str">
        <f>VLOOKUP(C90,'New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91" spans="1:15" ht="90">
      <c r="A91" s="102" t="s">
        <v>14</v>
      </c>
      <c r="B91" s="103" t="s">
        <v>1681</v>
      </c>
      <c r="C91" s="103" t="s">
        <v>2380</v>
      </c>
      <c r="D91" s="102" t="s">
        <v>2381</v>
      </c>
      <c r="E91" s="103" t="s">
        <v>164</v>
      </c>
      <c r="F91" s="102" t="s">
        <v>1600</v>
      </c>
      <c r="G91" s="103" t="s">
        <v>20</v>
      </c>
      <c r="H91" s="103">
        <v>201611</v>
      </c>
      <c r="I91" s="104">
        <v>34.85</v>
      </c>
      <c r="J91" s="144">
        <f t="shared" si="3"/>
        <v>6</v>
      </c>
      <c r="K91" s="148">
        <v>2.23333E-3</v>
      </c>
      <c r="L91" s="154">
        <f t="shared" si="4"/>
        <v>0.47</v>
      </c>
      <c r="M91" s="154">
        <f t="shared" si="5"/>
        <v>0.93</v>
      </c>
      <c r="N91" s="145"/>
      <c r="O91" s="168" t="str">
        <f>VLOOKUP(C91,'New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92" spans="1:15" ht="75">
      <c r="A92" s="102" t="s">
        <v>626</v>
      </c>
      <c r="B92" s="103" t="s">
        <v>1681</v>
      </c>
      <c r="C92" s="103" t="s">
        <v>2382</v>
      </c>
      <c r="D92" s="102" t="s">
        <v>2383</v>
      </c>
      <c r="E92" s="103" t="s">
        <v>164</v>
      </c>
      <c r="F92" s="102" t="s">
        <v>1600</v>
      </c>
      <c r="G92" s="103" t="s">
        <v>20</v>
      </c>
      <c r="H92" s="103">
        <v>201611</v>
      </c>
      <c r="I92" s="104">
        <v>-380.09</v>
      </c>
      <c r="J92" s="144">
        <f t="shared" si="3"/>
        <v>6</v>
      </c>
      <c r="K92" s="155">
        <v>1.4833299999999999E-3</v>
      </c>
      <c r="L92" s="154">
        <f t="shared" si="4"/>
        <v>-3.38</v>
      </c>
      <c r="M92" s="154">
        <f t="shared" si="5"/>
        <v>-6.77</v>
      </c>
      <c r="N92" s="145"/>
      <c r="O92" s="168" t="str">
        <f>VLOOKUP(C92,'New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93" spans="1:15" ht="75">
      <c r="A93" s="102" t="s">
        <v>1942</v>
      </c>
      <c r="B93" s="103" t="s">
        <v>1681</v>
      </c>
      <c r="C93" s="103" t="s">
        <v>2382</v>
      </c>
      <c r="D93" s="102" t="s">
        <v>2383</v>
      </c>
      <c r="E93" s="103" t="s">
        <v>164</v>
      </c>
      <c r="F93" s="102" t="s">
        <v>1600</v>
      </c>
      <c r="G93" s="103" t="s">
        <v>20</v>
      </c>
      <c r="H93" s="103">
        <v>201611</v>
      </c>
      <c r="I93" s="104">
        <v>-1.19</v>
      </c>
      <c r="J93" s="144">
        <f t="shared" si="3"/>
        <v>6</v>
      </c>
      <c r="K93" s="155">
        <v>2.23333E-3</v>
      </c>
      <c r="L93" s="154">
        <f t="shared" si="4"/>
        <v>-0.02</v>
      </c>
      <c r="M93" s="154">
        <f t="shared" si="5"/>
        <v>-0.03</v>
      </c>
      <c r="N93" s="145"/>
      <c r="O93" s="168" t="str">
        <f>VLOOKUP(C93,'New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94" spans="1:15" ht="75">
      <c r="A94" s="102" t="s">
        <v>14</v>
      </c>
      <c r="B94" s="103" t="s">
        <v>1681</v>
      </c>
      <c r="C94" s="103" t="s">
        <v>2382</v>
      </c>
      <c r="D94" s="102" t="s">
        <v>2383</v>
      </c>
      <c r="E94" s="103" t="s">
        <v>164</v>
      </c>
      <c r="F94" s="102" t="s">
        <v>1600</v>
      </c>
      <c r="G94" s="103" t="s">
        <v>20</v>
      </c>
      <c r="H94" s="103">
        <v>201611</v>
      </c>
      <c r="I94" s="104">
        <v>-44.86</v>
      </c>
      <c r="J94" s="144">
        <f t="shared" si="3"/>
        <v>6</v>
      </c>
      <c r="K94" s="148">
        <v>2.23333E-3</v>
      </c>
      <c r="L94" s="154">
        <f t="shared" si="4"/>
        <v>-0.6</v>
      </c>
      <c r="M94" s="154">
        <f t="shared" si="5"/>
        <v>-1.2</v>
      </c>
      <c r="N94" s="145"/>
      <c r="O94" s="168" t="str">
        <f>VLOOKUP(C94,'New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95" spans="1:15" ht="120">
      <c r="A95" s="102" t="s">
        <v>626</v>
      </c>
      <c r="B95" s="103" t="s">
        <v>1681</v>
      </c>
      <c r="C95" s="103" t="s">
        <v>2267</v>
      </c>
      <c r="D95" s="102" t="s">
        <v>2268</v>
      </c>
      <c r="E95" s="103" t="s">
        <v>260</v>
      </c>
      <c r="F95" s="102" t="s">
        <v>1608</v>
      </c>
      <c r="G95" s="103" t="s">
        <v>20</v>
      </c>
      <c r="H95" s="103">
        <v>201611</v>
      </c>
      <c r="I95" s="104">
        <v>967.16</v>
      </c>
      <c r="J95" s="144">
        <f t="shared" si="3"/>
        <v>6</v>
      </c>
      <c r="K95" s="155">
        <v>1.4833299999999999E-3</v>
      </c>
      <c r="L95" s="154">
        <f t="shared" si="4"/>
        <v>8.61</v>
      </c>
      <c r="M95" s="154">
        <f t="shared" si="5"/>
        <v>17.22</v>
      </c>
      <c r="N95" s="145"/>
      <c r="O95" s="168" t="str">
        <f>VLOOKUP(C95,'New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96" spans="1:15" ht="120">
      <c r="A96" s="102" t="s">
        <v>14</v>
      </c>
      <c r="B96" s="103" t="s">
        <v>1681</v>
      </c>
      <c r="C96" s="103" t="s">
        <v>2267</v>
      </c>
      <c r="D96" s="102" t="s">
        <v>2268</v>
      </c>
      <c r="E96" s="103" t="s">
        <v>260</v>
      </c>
      <c r="F96" s="102" t="s">
        <v>1608</v>
      </c>
      <c r="G96" s="103" t="s">
        <v>20</v>
      </c>
      <c r="H96" s="103">
        <v>201611</v>
      </c>
      <c r="I96" s="104">
        <v>200.25</v>
      </c>
      <c r="J96" s="144">
        <f t="shared" si="3"/>
        <v>6</v>
      </c>
      <c r="K96" s="148">
        <v>2.23333E-3</v>
      </c>
      <c r="L96" s="154">
        <f t="shared" si="4"/>
        <v>2.68</v>
      </c>
      <c r="M96" s="154">
        <f t="shared" si="5"/>
        <v>5.37</v>
      </c>
      <c r="N96" s="145"/>
      <c r="O96" s="168" t="str">
        <f>VLOOKUP(C96,'New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97" spans="1:15" ht="105">
      <c r="A97" s="102" t="s">
        <v>626</v>
      </c>
      <c r="B97" s="103" t="s">
        <v>1681</v>
      </c>
      <c r="C97" s="103" t="s">
        <v>2384</v>
      </c>
      <c r="D97" s="102" t="s">
        <v>2385</v>
      </c>
      <c r="E97" s="103" t="s">
        <v>260</v>
      </c>
      <c r="F97" s="102" t="s">
        <v>1608</v>
      </c>
      <c r="G97" s="103" t="s">
        <v>20</v>
      </c>
      <c r="H97" s="103">
        <v>201611</v>
      </c>
      <c r="I97" s="104">
        <v>1034.31</v>
      </c>
      <c r="J97" s="144">
        <f t="shared" si="3"/>
        <v>6</v>
      </c>
      <c r="K97" s="155">
        <v>1.4833299999999999E-3</v>
      </c>
      <c r="L97" s="154">
        <f t="shared" si="4"/>
        <v>9.2100000000000009</v>
      </c>
      <c r="M97" s="154">
        <f t="shared" si="5"/>
        <v>18.41</v>
      </c>
      <c r="N97" s="145"/>
      <c r="O97" s="168" t="str">
        <f>VLOOKUP(C97,'New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98" spans="1:15" ht="105">
      <c r="A98" s="102" t="s">
        <v>14</v>
      </c>
      <c r="B98" s="103" t="s">
        <v>1681</v>
      </c>
      <c r="C98" s="103" t="s">
        <v>2384</v>
      </c>
      <c r="D98" s="102" t="s">
        <v>2385</v>
      </c>
      <c r="E98" s="103" t="s">
        <v>260</v>
      </c>
      <c r="F98" s="102" t="s">
        <v>1608</v>
      </c>
      <c r="G98" s="103" t="s">
        <v>20</v>
      </c>
      <c r="H98" s="103">
        <v>201611</v>
      </c>
      <c r="I98" s="104">
        <v>27.82</v>
      </c>
      <c r="J98" s="144">
        <f t="shared" si="3"/>
        <v>6</v>
      </c>
      <c r="K98" s="148">
        <v>2.23333E-3</v>
      </c>
      <c r="L98" s="154">
        <f t="shared" si="4"/>
        <v>0.37</v>
      </c>
      <c r="M98" s="154">
        <f t="shared" si="5"/>
        <v>0.75</v>
      </c>
      <c r="N98" s="145"/>
      <c r="O98" s="168" t="str">
        <f>VLOOKUP(C98,'New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99" spans="1:15" ht="135">
      <c r="A99" s="102" t="s">
        <v>626</v>
      </c>
      <c r="B99" s="103" t="s">
        <v>1681</v>
      </c>
      <c r="C99" s="103" t="s">
        <v>2386</v>
      </c>
      <c r="D99" s="102" t="s">
        <v>2387</v>
      </c>
      <c r="E99" s="103" t="s">
        <v>260</v>
      </c>
      <c r="F99" s="102" t="s">
        <v>1608</v>
      </c>
      <c r="G99" s="103" t="s">
        <v>20</v>
      </c>
      <c r="H99" s="103">
        <v>201611</v>
      </c>
      <c r="I99" s="104">
        <v>14167.82</v>
      </c>
      <c r="J99" s="144">
        <f t="shared" si="3"/>
        <v>6</v>
      </c>
      <c r="K99" s="155">
        <v>1.4833299999999999E-3</v>
      </c>
      <c r="L99" s="154">
        <f t="shared" si="4"/>
        <v>126.09</v>
      </c>
      <c r="M99" s="154">
        <f t="shared" si="5"/>
        <v>252.19</v>
      </c>
      <c r="N99" s="145"/>
      <c r="O99" s="168" t="str">
        <f>VLOOKUP(C99,'New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100" spans="1:15" ht="135">
      <c r="A100" s="102" t="s">
        <v>14</v>
      </c>
      <c r="B100" s="103" t="s">
        <v>1681</v>
      </c>
      <c r="C100" s="103" t="s">
        <v>2386</v>
      </c>
      <c r="D100" s="102" t="s">
        <v>2387</v>
      </c>
      <c r="E100" s="103" t="s">
        <v>260</v>
      </c>
      <c r="F100" s="102" t="s">
        <v>1608</v>
      </c>
      <c r="G100" s="103" t="s">
        <v>20</v>
      </c>
      <c r="H100" s="103">
        <v>201611</v>
      </c>
      <c r="I100" s="104">
        <v>10.1</v>
      </c>
      <c r="J100" s="144">
        <f t="shared" si="3"/>
        <v>6</v>
      </c>
      <c r="K100" s="148">
        <v>2.23333E-3</v>
      </c>
      <c r="L100" s="154">
        <f t="shared" si="4"/>
        <v>0.14000000000000001</v>
      </c>
      <c r="M100" s="154">
        <f t="shared" si="5"/>
        <v>0.27</v>
      </c>
      <c r="N100" s="145"/>
      <c r="O100" s="168" t="str">
        <f>VLOOKUP(C100,'New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101" spans="1:15">
      <c r="A101" s="102" t="s">
        <v>626</v>
      </c>
      <c r="B101" s="103" t="s">
        <v>1681</v>
      </c>
      <c r="C101" s="103" t="s">
        <v>2073</v>
      </c>
      <c r="D101" s="102" t="s">
        <v>2074</v>
      </c>
      <c r="E101" s="103" t="s">
        <v>164</v>
      </c>
      <c r="F101" s="102" t="s">
        <v>1600</v>
      </c>
      <c r="G101" s="103" t="s">
        <v>20</v>
      </c>
      <c r="H101" s="103">
        <v>201611</v>
      </c>
      <c r="I101" s="104">
        <v>-2081.13</v>
      </c>
      <c r="J101" s="144">
        <f t="shared" si="3"/>
        <v>6</v>
      </c>
      <c r="K101" s="155">
        <v>1.4833299999999999E-3</v>
      </c>
      <c r="L101" s="154">
        <f t="shared" si="4"/>
        <v>-18.52</v>
      </c>
      <c r="M101" s="154">
        <f t="shared" si="5"/>
        <v>-37.04</v>
      </c>
      <c r="N101" s="145"/>
      <c r="O101" s="168" t="str">
        <f>VLOOKUP(C101,'New Wo Detailed Descr Rev'!$A$5:$D$287,4)</f>
        <v>Replace 45' of 6'' CI with 50' of 6'' PE due to AOR. Due 11/28 - 0</v>
      </c>
    </row>
    <row r="102" spans="1:15" ht="45">
      <c r="A102" s="102" t="s">
        <v>626</v>
      </c>
      <c r="B102" s="103" t="s">
        <v>1681</v>
      </c>
      <c r="C102" s="103" t="s">
        <v>2015</v>
      </c>
      <c r="D102" s="102" t="s">
        <v>2016</v>
      </c>
      <c r="E102" s="103" t="s">
        <v>164</v>
      </c>
      <c r="F102" s="102" t="s">
        <v>1600</v>
      </c>
      <c r="G102" s="103" t="s">
        <v>20</v>
      </c>
      <c r="H102" s="103">
        <v>201611</v>
      </c>
      <c r="I102" s="104">
        <v>16441.93</v>
      </c>
      <c r="J102" s="144">
        <f t="shared" si="3"/>
        <v>6</v>
      </c>
      <c r="K102" s="155">
        <v>1.4833299999999999E-3</v>
      </c>
      <c r="L102" s="154">
        <f t="shared" si="4"/>
        <v>146.33000000000001</v>
      </c>
      <c r="M102" s="154">
        <f t="shared" si="5"/>
        <v>292.67</v>
      </c>
      <c r="N102" s="145"/>
      <c r="O102" s="168" t="str">
        <f>VLOOKUP(C102,'New Wo Detailed Descr Rev'!$A$5:$D$287,4)</f>
        <v>Install 449' of 4'' PE and 9' of 6" PE. Abandon 439' of 6'' CI - 31st St &amp; College Ave. This replacement is due to graphitization and compliance date is 02/10/2016. - 0</v>
      </c>
    </row>
    <row r="103" spans="1:15" ht="45">
      <c r="A103" s="102" t="s">
        <v>14</v>
      </c>
      <c r="B103" s="103" t="s">
        <v>1681</v>
      </c>
      <c r="C103" s="103" t="s">
        <v>2015</v>
      </c>
      <c r="D103" s="102" t="s">
        <v>2016</v>
      </c>
      <c r="E103" s="103" t="s">
        <v>164</v>
      </c>
      <c r="F103" s="102" t="s">
        <v>1600</v>
      </c>
      <c r="G103" s="103" t="s">
        <v>20</v>
      </c>
      <c r="H103" s="103">
        <v>201611</v>
      </c>
      <c r="I103" s="104">
        <v>1476.09</v>
      </c>
      <c r="J103" s="144">
        <f t="shared" si="3"/>
        <v>6</v>
      </c>
      <c r="K103" s="148">
        <v>2.23333E-3</v>
      </c>
      <c r="L103" s="154">
        <f t="shared" si="4"/>
        <v>19.78</v>
      </c>
      <c r="M103" s="154">
        <f t="shared" si="5"/>
        <v>39.56</v>
      </c>
      <c r="N103" s="145"/>
      <c r="O103" s="168" t="str">
        <f>VLOOKUP(C103,'New Wo Detailed Descr Rev'!$A$5:$D$287,4)</f>
        <v>Install 449' of 4'' PE and 9' of 6" PE. Abandon 439' of 6'' CI - 31st St &amp; College Ave. This replacement is due to graphitization and compliance date is 02/10/2016. - 0</v>
      </c>
    </row>
    <row r="104" spans="1:15" ht="135">
      <c r="A104" s="102" t="s">
        <v>626</v>
      </c>
      <c r="B104" s="103" t="s">
        <v>1681</v>
      </c>
      <c r="C104" s="103" t="s">
        <v>2077</v>
      </c>
      <c r="D104" s="102" t="s">
        <v>2078</v>
      </c>
      <c r="E104" s="103" t="s">
        <v>260</v>
      </c>
      <c r="F104" s="102" t="s">
        <v>1608</v>
      </c>
      <c r="G104" s="103" t="s">
        <v>20</v>
      </c>
      <c r="H104" s="103">
        <v>201611</v>
      </c>
      <c r="I104" s="104">
        <v>-1204.58</v>
      </c>
      <c r="J104" s="144">
        <f t="shared" si="3"/>
        <v>6</v>
      </c>
      <c r="K104" s="155">
        <v>1.4833299999999999E-3</v>
      </c>
      <c r="L104" s="154">
        <f t="shared" si="4"/>
        <v>-10.72</v>
      </c>
      <c r="M104" s="154">
        <f t="shared" si="5"/>
        <v>-21.44</v>
      </c>
      <c r="N104" s="145"/>
      <c r="O104" s="168" t="str">
        <f>VLOOKUP(C104,'New Wo Detailed Descr Rev'!$A$5:$D$287,4)</f>
        <v>Replace 1598ft 4in PBS  &amp; 124ft 4in PE with 1895ft 4in PE from 18th to 23rd along Conner Ave due to CP issues (CP 15-042). -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05" spans="1:15" ht="105">
      <c r="A105" s="102" t="s">
        <v>626</v>
      </c>
      <c r="B105" s="103" t="s">
        <v>1681</v>
      </c>
      <c r="C105" s="103" t="s">
        <v>2083</v>
      </c>
      <c r="D105" s="102" t="s">
        <v>2084</v>
      </c>
      <c r="E105" s="103" t="s">
        <v>75</v>
      </c>
      <c r="F105" s="102" t="s">
        <v>1602</v>
      </c>
      <c r="G105" s="103" t="s">
        <v>20</v>
      </c>
      <c r="H105" s="103">
        <v>201611</v>
      </c>
      <c r="I105" s="104">
        <v>109.44</v>
      </c>
      <c r="J105" s="144">
        <f t="shared" si="3"/>
        <v>6</v>
      </c>
      <c r="K105" s="155">
        <v>1.4833299999999999E-3</v>
      </c>
      <c r="L105" s="154">
        <f t="shared" si="4"/>
        <v>0.97</v>
      </c>
      <c r="M105" s="154">
        <f t="shared" si="5"/>
        <v>1.95</v>
      </c>
      <c r="N105" s="145"/>
      <c r="O105" s="168" t="str">
        <f>VLOOKUP(C105,'New Wo Detailed Descr Rev'!$A$5:$D$287,4)</f>
        <v>Install 2,005 ft of 2 in pl main - Savage &amp; Pacific. Abandon 105 ft of 2 in bs main 1949, 797 ft of 2 in bs main 1950, 346 ft of 2 in bs main 1952, 307 ft of 2 in bs main 1955, 165 ft of 2 in pl main 1974 and 199 ft of 2 in pl main 1987. - Work is to  to clear leak number 417915 which has allowed water in the main due to the 22 ounce pressure system. The new 2 inch plastic main will tie into the 44 psig maop pressure system.</v>
      </c>
    </row>
    <row r="106" spans="1:15" ht="165">
      <c r="A106" s="102" t="s">
        <v>21</v>
      </c>
      <c r="B106" s="103" t="s">
        <v>1681</v>
      </c>
      <c r="C106" s="103" t="s">
        <v>2392</v>
      </c>
      <c r="D106" s="102" t="s">
        <v>2393</v>
      </c>
      <c r="E106" s="103" t="s">
        <v>75</v>
      </c>
      <c r="F106" s="102" t="s">
        <v>1602</v>
      </c>
      <c r="G106" s="103" t="s">
        <v>20</v>
      </c>
      <c r="H106" s="103">
        <v>201611</v>
      </c>
      <c r="I106" s="104">
        <v>-0.48</v>
      </c>
      <c r="J106" s="144">
        <f t="shared" si="3"/>
        <v>6</v>
      </c>
      <c r="K106" s="155">
        <v>1.4833299999999999E-3</v>
      </c>
      <c r="L106" s="154">
        <f t="shared" si="4"/>
        <v>0</v>
      </c>
      <c r="M106" s="154">
        <f t="shared" si="5"/>
        <v>-0.01</v>
      </c>
      <c r="N106" s="145"/>
      <c r="O106" s="168" t="str">
        <f>VLOOKUP(C106,'New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07" spans="1:15" ht="165">
      <c r="A107" s="102" t="s">
        <v>626</v>
      </c>
      <c r="B107" s="103" t="s">
        <v>1681</v>
      </c>
      <c r="C107" s="103" t="s">
        <v>2392</v>
      </c>
      <c r="D107" s="102" t="s">
        <v>2393</v>
      </c>
      <c r="E107" s="103" t="s">
        <v>75</v>
      </c>
      <c r="F107" s="102" t="s">
        <v>1602</v>
      </c>
      <c r="G107" s="103" t="s">
        <v>20</v>
      </c>
      <c r="H107" s="103">
        <v>201611</v>
      </c>
      <c r="I107" s="104">
        <v>-6498.03</v>
      </c>
      <c r="J107" s="144">
        <f t="shared" si="3"/>
        <v>6</v>
      </c>
      <c r="K107" s="155">
        <v>1.4833299999999999E-3</v>
      </c>
      <c r="L107" s="154">
        <f t="shared" si="4"/>
        <v>-57.83</v>
      </c>
      <c r="M107" s="154">
        <f t="shared" si="5"/>
        <v>-115.66</v>
      </c>
      <c r="N107" s="145"/>
      <c r="O107" s="168" t="str">
        <f>VLOOKUP(C107,'New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08" spans="1:15" ht="165">
      <c r="A108" s="102" t="s">
        <v>14</v>
      </c>
      <c r="B108" s="103" t="s">
        <v>1681</v>
      </c>
      <c r="C108" s="103" t="s">
        <v>2392</v>
      </c>
      <c r="D108" s="102" t="s">
        <v>2393</v>
      </c>
      <c r="E108" s="103" t="s">
        <v>75</v>
      </c>
      <c r="F108" s="102" t="s">
        <v>1602</v>
      </c>
      <c r="G108" s="103" t="s">
        <v>20</v>
      </c>
      <c r="H108" s="103">
        <v>201611</v>
      </c>
      <c r="I108" s="104">
        <v>-3.62</v>
      </c>
      <c r="J108" s="144">
        <f t="shared" si="3"/>
        <v>6</v>
      </c>
      <c r="K108" s="148">
        <v>2.23333E-3</v>
      </c>
      <c r="L108" s="154">
        <f t="shared" si="4"/>
        <v>-0.05</v>
      </c>
      <c r="M108" s="154">
        <f t="shared" si="5"/>
        <v>-0.1</v>
      </c>
      <c r="N108" s="145"/>
      <c r="O108" s="168" t="str">
        <f>VLOOKUP(C108,'New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09" spans="1:15" ht="120">
      <c r="A109" s="102" t="s">
        <v>626</v>
      </c>
      <c r="B109" s="103" t="s">
        <v>1681</v>
      </c>
      <c r="C109" s="103" t="s">
        <v>2394</v>
      </c>
      <c r="D109" s="102" t="s">
        <v>2395</v>
      </c>
      <c r="E109" s="103" t="s">
        <v>75</v>
      </c>
      <c r="F109" s="102" t="s">
        <v>1602</v>
      </c>
      <c r="G109" s="103" t="s">
        <v>20</v>
      </c>
      <c r="H109" s="103">
        <v>201611</v>
      </c>
      <c r="I109" s="104">
        <v>20147.21</v>
      </c>
      <c r="J109" s="144">
        <f t="shared" si="3"/>
        <v>6</v>
      </c>
      <c r="K109" s="155">
        <v>1.4833299999999999E-3</v>
      </c>
      <c r="L109" s="154">
        <f t="shared" si="4"/>
        <v>179.31</v>
      </c>
      <c r="M109" s="154">
        <f t="shared" si="5"/>
        <v>358.62</v>
      </c>
      <c r="N109" s="145"/>
      <c r="O109" s="168" t="str">
        <f>VLOOKUP(C109,'New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10" spans="1:15" ht="120">
      <c r="A110" s="102" t="s">
        <v>14</v>
      </c>
      <c r="B110" s="103" t="s">
        <v>1681</v>
      </c>
      <c r="C110" s="103" t="s">
        <v>2394</v>
      </c>
      <c r="D110" s="102" t="s">
        <v>2395</v>
      </c>
      <c r="E110" s="103" t="s">
        <v>75</v>
      </c>
      <c r="F110" s="102" t="s">
        <v>1602</v>
      </c>
      <c r="G110" s="103" t="s">
        <v>20</v>
      </c>
      <c r="H110" s="103">
        <v>201611</v>
      </c>
      <c r="I110" s="104">
        <v>845.84</v>
      </c>
      <c r="J110" s="144">
        <f t="shared" si="3"/>
        <v>6</v>
      </c>
      <c r="K110" s="148">
        <v>2.23333E-3</v>
      </c>
      <c r="L110" s="154">
        <f t="shared" si="4"/>
        <v>11.33</v>
      </c>
      <c r="M110" s="154">
        <f t="shared" si="5"/>
        <v>22.67</v>
      </c>
      <c r="N110" s="145"/>
      <c r="O110" s="168" t="str">
        <f>VLOOKUP(C110,'New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11" spans="1:15" ht="60">
      <c r="A111" s="102" t="s">
        <v>626</v>
      </c>
      <c r="B111" s="103" t="s">
        <v>1681</v>
      </c>
      <c r="C111" s="103" t="s">
        <v>2087</v>
      </c>
      <c r="D111" s="102" t="s">
        <v>2088</v>
      </c>
      <c r="E111" s="103" t="s">
        <v>164</v>
      </c>
      <c r="F111" s="102" t="s">
        <v>1600</v>
      </c>
      <c r="G111" s="103" t="s">
        <v>20</v>
      </c>
      <c r="H111" s="103">
        <v>201611</v>
      </c>
      <c r="I111" s="104">
        <v>13307.55</v>
      </c>
      <c r="J111" s="144">
        <f t="shared" si="3"/>
        <v>6</v>
      </c>
      <c r="K111" s="155">
        <v>1.4833299999999999E-3</v>
      </c>
      <c r="L111" s="154">
        <f t="shared" si="4"/>
        <v>118.44</v>
      </c>
      <c r="M111" s="154">
        <f t="shared" si="5"/>
        <v>236.87</v>
      </c>
      <c r="N111" s="145"/>
      <c r="O111" s="168" t="str">
        <f>VLOOKUP(C111,'New Wo Detailed Descr Rev'!$A$5:$D$287,4)</f>
        <v>Install 754ft of 4in PE - 20th &amp; McGee. Abandon 502ft of 4in  CI, 112ft of 6in CI, and 466ft of 4in STL (Majority installed prior to 1966). This replacement is due to an AOR. Compliance date of 2/17/2016 - 0</v>
      </c>
    </row>
    <row r="112" spans="1:15" ht="60">
      <c r="A112" s="102" t="s">
        <v>14</v>
      </c>
      <c r="B112" s="103" t="s">
        <v>1681</v>
      </c>
      <c r="C112" s="103" t="s">
        <v>2087</v>
      </c>
      <c r="D112" s="102" t="s">
        <v>2088</v>
      </c>
      <c r="E112" s="103" t="s">
        <v>164</v>
      </c>
      <c r="F112" s="102" t="s">
        <v>1600</v>
      </c>
      <c r="G112" s="103" t="s">
        <v>20</v>
      </c>
      <c r="H112" s="103">
        <v>201611</v>
      </c>
      <c r="I112" s="104">
        <v>1005.42</v>
      </c>
      <c r="J112" s="144">
        <f t="shared" si="3"/>
        <v>6</v>
      </c>
      <c r="K112" s="148">
        <v>2.23333E-3</v>
      </c>
      <c r="L112" s="154">
        <f t="shared" si="4"/>
        <v>13.47</v>
      </c>
      <c r="M112" s="154">
        <f t="shared" si="5"/>
        <v>26.95</v>
      </c>
      <c r="N112" s="145"/>
      <c r="O112" s="168" t="str">
        <f>VLOOKUP(C112,'New Wo Detailed Descr Rev'!$A$5:$D$287,4)</f>
        <v>Install 754ft of 4in PE - 20th &amp; McGee. Abandon 502ft of 4in  CI, 112ft of 6in CI, and 466ft of 4in STL (Majority installed prior to 1966). This replacement is due to an AOR. Compliance date of 2/17/2016 - 0</v>
      </c>
    </row>
    <row r="113" spans="1:15" ht="90">
      <c r="A113" s="102" t="s">
        <v>626</v>
      </c>
      <c r="B113" s="103" t="s">
        <v>1681</v>
      </c>
      <c r="C113" s="103" t="s">
        <v>2398</v>
      </c>
      <c r="D113" s="102" t="s">
        <v>2399</v>
      </c>
      <c r="E113" s="103" t="s">
        <v>93</v>
      </c>
      <c r="F113" s="102" t="s">
        <v>1601</v>
      </c>
      <c r="G113" s="103" t="s">
        <v>20</v>
      </c>
      <c r="H113" s="103">
        <v>201611</v>
      </c>
      <c r="I113" s="104">
        <v>20105.490000000002</v>
      </c>
      <c r="J113" s="144">
        <f t="shared" si="3"/>
        <v>6</v>
      </c>
      <c r="K113" s="155">
        <v>1.4833299999999999E-3</v>
      </c>
      <c r="L113" s="154">
        <f t="shared" si="4"/>
        <v>178.94</v>
      </c>
      <c r="M113" s="154">
        <f t="shared" si="5"/>
        <v>357.88</v>
      </c>
      <c r="N113" s="145"/>
      <c r="O113" s="168" t="str">
        <f>VLOOKUP(C113,'New Wo Detailed Descr Rev'!$A$5:$D$287,4)</f>
        <v>Relocate of 568ft of 2in ST, 2189ft of 3in ST, 126ft of 4in ST and 1371ft of 4in PL with 159ft 2in PL, 2053ft 4in PL and 1186ft of 6in PL along Rt 14 and Hwy 160 due to MODOT improvements. Division: 08 Town: 16 Sector: A1412. - Pressure System: C-0001 MAOP: 44 psig MOP: 44 psig Design: 66 psig Test: 100 psig Cost: $194,906.56 ($57.36/ft ) ISRS</v>
      </c>
    </row>
    <row r="114" spans="1:15" ht="45">
      <c r="A114" s="102" t="s">
        <v>626</v>
      </c>
      <c r="B114" s="103" t="s">
        <v>1681</v>
      </c>
      <c r="C114" s="103" t="s">
        <v>2402</v>
      </c>
      <c r="D114" s="102" t="s">
        <v>2403</v>
      </c>
      <c r="E114" s="103" t="s">
        <v>87</v>
      </c>
      <c r="F114" s="102" t="s">
        <v>1603</v>
      </c>
      <c r="G114" s="103" t="s">
        <v>20</v>
      </c>
      <c r="H114" s="103">
        <v>201611</v>
      </c>
      <c r="I114" s="104">
        <v>-2766.62</v>
      </c>
      <c r="J114" s="144">
        <f t="shared" si="3"/>
        <v>6</v>
      </c>
      <c r="K114" s="155">
        <v>1.4833299999999999E-3</v>
      </c>
      <c r="L114" s="154">
        <f t="shared" si="4"/>
        <v>-24.62</v>
      </c>
      <c r="M114" s="154">
        <f t="shared" si="5"/>
        <v>-49.25</v>
      </c>
      <c r="N114" s="145"/>
      <c r="O114" s="168" t="str">
        <f>VLOOKUP(C114,'New Wo Detailed Descr Rev'!$A$5:$D$287,4)</f>
        <v>Install 2320 ft of 2 in MP PE main, 886 ft of 4 in MP PE main and 1872 ft of 6 in MP PE main. Abandon 721 ft of 12 in MP CI main, 30 ft of 8 in LP CI main, 2858 ft of 6 in LP CI main, 807 ft of 4 in LP CI. - 0</v>
      </c>
    </row>
    <row r="115" spans="1:15" ht="45">
      <c r="A115" s="102" t="s">
        <v>14</v>
      </c>
      <c r="B115" s="103" t="s">
        <v>1681</v>
      </c>
      <c r="C115" s="103" t="s">
        <v>2402</v>
      </c>
      <c r="D115" s="102" t="s">
        <v>2403</v>
      </c>
      <c r="E115" s="103" t="s">
        <v>87</v>
      </c>
      <c r="F115" s="102" t="s">
        <v>1603</v>
      </c>
      <c r="G115" s="103" t="s">
        <v>20</v>
      </c>
      <c r="H115" s="103">
        <v>201611</v>
      </c>
      <c r="I115" s="104">
        <v>-447.88</v>
      </c>
      <c r="J115" s="144">
        <f t="shared" si="3"/>
        <v>6</v>
      </c>
      <c r="K115" s="148">
        <v>2.23333E-3</v>
      </c>
      <c r="L115" s="154">
        <f t="shared" si="4"/>
        <v>-6</v>
      </c>
      <c r="M115" s="154">
        <f t="shared" si="5"/>
        <v>-12</v>
      </c>
      <c r="N115" s="145"/>
      <c r="O115" s="168" t="str">
        <f>VLOOKUP(C115,'New Wo Detailed Descr Rev'!$A$5:$D$287,4)</f>
        <v>Install 2320 ft of 2 in MP PE main, 886 ft of 4 in MP PE main and 1872 ft of 6 in MP PE main. Abandon 721 ft of 12 in MP CI main, 30 ft of 8 in LP CI main, 2858 ft of 6 in LP CI main, 807 ft of 4 in LP CI. - 0</v>
      </c>
    </row>
    <row r="116" spans="1:15" ht="45">
      <c r="A116" s="102" t="s">
        <v>626</v>
      </c>
      <c r="B116" s="103" t="s">
        <v>1681</v>
      </c>
      <c r="C116" s="103" t="s">
        <v>2101</v>
      </c>
      <c r="D116" s="102" t="s">
        <v>2102</v>
      </c>
      <c r="E116" s="103" t="s">
        <v>260</v>
      </c>
      <c r="F116" s="102" t="s">
        <v>1608</v>
      </c>
      <c r="G116" s="103" t="s">
        <v>20</v>
      </c>
      <c r="H116" s="103">
        <v>201611</v>
      </c>
      <c r="I116" s="104">
        <v>209.52</v>
      </c>
      <c r="J116" s="144">
        <f t="shared" si="3"/>
        <v>6</v>
      </c>
      <c r="K116" s="155">
        <v>1.4833299999999999E-3</v>
      </c>
      <c r="L116" s="154">
        <f t="shared" si="4"/>
        <v>1.86</v>
      </c>
      <c r="M116" s="154">
        <f t="shared" si="5"/>
        <v>3.73</v>
      </c>
      <c r="N116" s="145"/>
      <c r="O116" s="168" t="str">
        <f>VLOOKUP(C116,'New Wo Detailed Descr Rev'!$A$5:$D$287,4)</f>
        <v>Install 88 Ft of 2 in PL LP Main at 2nd St and Broadway St.  Abandon 90 Ft of 2 in ST LP Main at above location. - Main being replaced due to cathodic protection - corrosion issues.</v>
      </c>
    </row>
    <row r="117" spans="1:15" ht="90">
      <c r="A117" s="102" t="s">
        <v>626</v>
      </c>
      <c r="B117" s="103" t="s">
        <v>1681</v>
      </c>
      <c r="C117" s="103" t="s">
        <v>2404</v>
      </c>
      <c r="D117" s="102" t="s">
        <v>2405</v>
      </c>
      <c r="E117" s="103" t="s">
        <v>209</v>
      </c>
      <c r="F117" s="102" t="s">
        <v>1612</v>
      </c>
      <c r="G117" s="103" t="s">
        <v>20</v>
      </c>
      <c r="H117" s="103">
        <v>201611</v>
      </c>
      <c r="I117" s="104">
        <v>346.27</v>
      </c>
      <c r="J117" s="144">
        <f t="shared" si="3"/>
        <v>6</v>
      </c>
      <c r="K117" s="155">
        <v>1.4833299999999999E-3</v>
      </c>
      <c r="L117" s="154">
        <f t="shared" si="4"/>
        <v>3.08</v>
      </c>
      <c r="M117" s="154">
        <f t="shared" si="5"/>
        <v>6.16</v>
      </c>
      <c r="N117" s="145"/>
      <c r="O117" s="168" t="str">
        <f>VLOOKUP(C117,'New Wo Detailed Descr Rev'!$A$5:$D$287,4)</f>
        <v>Install 1609 ft of 2 inch PE and 455 ft of 6 inch PE on Overton, Evanston and Arlington from Arlington and Evanston south to 16th St. Abandon 148 ft of 2in PL, 1451 ft of 2in BS, 340 ft of 4in BS, &amp; 340 ft of 6in BS. - Main is in conflict with City of Independence sewer improvements.  Work is not reimbursable. Work is ISRS recoverable.</v>
      </c>
    </row>
    <row r="118" spans="1:15" ht="60">
      <c r="A118" s="102" t="s">
        <v>626</v>
      </c>
      <c r="B118" s="103" t="s">
        <v>1681</v>
      </c>
      <c r="C118" s="103" t="s">
        <v>2273</v>
      </c>
      <c r="D118" s="102" t="s">
        <v>2274</v>
      </c>
      <c r="E118" s="103" t="s">
        <v>260</v>
      </c>
      <c r="F118" s="102" t="s">
        <v>1608</v>
      </c>
      <c r="G118" s="103" t="s">
        <v>20</v>
      </c>
      <c r="H118" s="103">
        <v>201611</v>
      </c>
      <c r="I118" s="104">
        <v>3919.19</v>
      </c>
      <c r="J118" s="144">
        <f t="shared" si="3"/>
        <v>6</v>
      </c>
      <c r="K118" s="155">
        <v>1.4833299999999999E-3</v>
      </c>
      <c r="L118" s="154">
        <f t="shared" si="4"/>
        <v>34.880000000000003</v>
      </c>
      <c r="M118" s="154">
        <f t="shared" si="5"/>
        <v>69.760000000000005</v>
      </c>
      <c r="N118" s="145"/>
      <c r="O118" s="168" t="str">
        <f>VLOOKUP(C118,'New Wo Detailed Descr Rev'!$A$5:$D$287,4)</f>
        <v>Install 740 Ft of 2 in PL LP main on McKinley Ave in between W 1st St and W 3rd St. Abandon 10 Ft of 2 in PL, 814 Ft of 2 in ST and 5 Ft of 3 in ST main. - This main is being replaced due to failed CP reads and is part of the bare steel replacement program.</v>
      </c>
    </row>
    <row r="119" spans="1:15" ht="45">
      <c r="A119" s="102" t="s">
        <v>626</v>
      </c>
      <c r="B119" s="103" t="s">
        <v>1681</v>
      </c>
      <c r="C119" s="103" t="s">
        <v>2105</v>
      </c>
      <c r="D119" s="102" t="s">
        <v>2106</v>
      </c>
      <c r="E119" s="103" t="s">
        <v>75</v>
      </c>
      <c r="F119" s="102" t="s">
        <v>1602</v>
      </c>
      <c r="G119" s="103" t="s">
        <v>20</v>
      </c>
      <c r="H119" s="103">
        <v>201611</v>
      </c>
      <c r="I119" s="104">
        <v>-4007.6</v>
      </c>
      <c r="J119" s="144">
        <f t="shared" si="3"/>
        <v>6</v>
      </c>
      <c r="K119" s="155">
        <v>1.4833299999999999E-3</v>
      </c>
      <c r="L119" s="154">
        <f t="shared" si="4"/>
        <v>-35.67</v>
      </c>
      <c r="M119" s="154">
        <f t="shared" si="5"/>
        <v>-71.34</v>
      </c>
      <c r="N119" s="145"/>
      <c r="O119" s="168" t="str">
        <f>VLOOKUP(C119,'New Wo Detailed Descr Rev'!$A$5:$D$287,4)</f>
        <v>Replace and abandon 2,339ft of 4in bare steel main - 1925 vintage by installing 2,380ft of 2in plastic main at Aber and Morrell, in Independence - 0</v>
      </c>
    </row>
    <row r="120" spans="1:15" ht="105">
      <c r="A120" s="102" t="s">
        <v>626</v>
      </c>
      <c r="B120" s="103" t="s">
        <v>1681</v>
      </c>
      <c r="C120" s="103" t="s">
        <v>2406</v>
      </c>
      <c r="D120" s="102" t="s">
        <v>2407</v>
      </c>
      <c r="E120" s="103" t="s">
        <v>75</v>
      </c>
      <c r="F120" s="102" t="s">
        <v>1602</v>
      </c>
      <c r="G120" s="103" t="s">
        <v>20</v>
      </c>
      <c r="H120" s="103">
        <v>201611</v>
      </c>
      <c r="I120" s="104">
        <v>-248.73</v>
      </c>
      <c r="J120" s="144">
        <f t="shared" si="3"/>
        <v>6</v>
      </c>
      <c r="K120" s="155">
        <v>1.4833299999999999E-3</v>
      </c>
      <c r="L120" s="154">
        <f t="shared" si="4"/>
        <v>-2.21</v>
      </c>
      <c r="M120" s="154">
        <f t="shared" si="5"/>
        <v>-4.43</v>
      </c>
      <c r="N120" s="145"/>
      <c r="O120" s="168" t="str">
        <f>VLOOKUP(C120,'New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21" spans="1:15" ht="105">
      <c r="A121" s="102" t="s">
        <v>14</v>
      </c>
      <c r="B121" s="103" t="s">
        <v>1681</v>
      </c>
      <c r="C121" s="103" t="s">
        <v>2406</v>
      </c>
      <c r="D121" s="102" t="s">
        <v>2407</v>
      </c>
      <c r="E121" s="103" t="s">
        <v>75</v>
      </c>
      <c r="F121" s="102" t="s">
        <v>1602</v>
      </c>
      <c r="G121" s="103" t="s">
        <v>20</v>
      </c>
      <c r="H121" s="103">
        <v>201611</v>
      </c>
      <c r="I121" s="104">
        <v>-5.86</v>
      </c>
      <c r="J121" s="144">
        <f t="shared" si="3"/>
        <v>6</v>
      </c>
      <c r="K121" s="148">
        <v>2.23333E-3</v>
      </c>
      <c r="L121" s="154">
        <f t="shared" si="4"/>
        <v>-0.08</v>
      </c>
      <c r="M121" s="154">
        <f t="shared" si="5"/>
        <v>-0.16</v>
      </c>
      <c r="N121" s="145"/>
      <c r="O121" s="168" t="str">
        <f>VLOOKUP(C121,'New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122" spans="1:15" ht="60">
      <c r="A122" s="102" t="s">
        <v>626</v>
      </c>
      <c r="B122" s="103" t="s">
        <v>1681</v>
      </c>
      <c r="C122" s="103" t="s">
        <v>2412</v>
      </c>
      <c r="D122" s="102" t="s">
        <v>2413</v>
      </c>
      <c r="E122" s="103" t="s">
        <v>75</v>
      </c>
      <c r="F122" s="102" t="s">
        <v>1602</v>
      </c>
      <c r="G122" s="103" t="s">
        <v>20</v>
      </c>
      <c r="H122" s="103">
        <v>201611</v>
      </c>
      <c r="I122" s="104">
        <v>1070.44</v>
      </c>
      <c r="J122" s="144">
        <f t="shared" si="3"/>
        <v>6</v>
      </c>
      <c r="K122" s="155">
        <v>1.4833299999999999E-3</v>
      </c>
      <c r="L122" s="154">
        <f t="shared" si="4"/>
        <v>9.5299999999999994</v>
      </c>
      <c r="M122" s="154">
        <f t="shared" si="5"/>
        <v>19.05</v>
      </c>
      <c r="N122" s="145"/>
      <c r="O122" s="168" t="str">
        <f>VLOOKUP(C122,'New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23" spans="1:15" ht="60">
      <c r="A123" s="102" t="s">
        <v>14</v>
      </c>
      <c r="B123" s="103" t="s">
        <v>1681</v>
      </c>
      <c r="C123" s="103" t="s">
        <v>2412</v>
      </c>
      <c r="D123" s="102" t="s">
        <v>2413</v>
      </c>
      <c r="E123" s="103" t="s">
        <v>75</v>
      </c>
      <c r="F123" s="102" t="s">
        <v>1602</v>
      </c>
      <c r="G123" s="103" t="s">
        <v>20</v>
      </c>
      <c r="H123" s="103">
        <v>201611</v>
      </c>
      <c r="I123" s="104">
        <v>11.24</v>
      </c>
      <c r="J123" s="144">
        <f t="shared" si="3"/>
        <v>6</v>
      </c>
      <c r="K123" s="148">
        <v>2.23333E-3</v>
      </c>
      <c r="L123" s="154">
        <f t="shared" si="4"/>
        <v>0.15</v>
      </c>
      <c r="M123" s="154">
        <f t="shared" si="5"/>
        <v>0.3</v>
      </c>
      <c r="N123" s="145"/>
      <c r="O123" s="168" t="str">
        <f>VLOOKUP(C123,'New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124" spans="1:15" ht="60">
      <c r="A124" s="102" t="s">
        <v>626</v>
      </c>
      <c r="B124" s="103" t="s">
        <v>1681</v>
      </c>
      <c r="C124" s="103" t="s">
        <v>2416</v>
      </c>
      <c r="D124" s="102" t="s">
        <v>2417</v>
      </c>
      <c r="E124" s="103" t="s">
        <v>164</v>
      </c>
      <c r="F124" s="102" t="s">
        <v>1600</v>
      </c>
      <c r="G124" s="103" t="s">
        <v>20</v>
      </c>
      <c r="H124" s="103">
        <v>201611</v>
      </c>
      <c r="I124" s="104">
        <v>32673.68</v>
      </c>
      <c r="J124" s="144">
        <f t="shared" si="3"/>
        <v>6</v>
      </c>
      <c r="K124" s="155">
        <v>1.4833299999999999E-3</v>
      </c>
      <c r="L124" s="154">
        <f t="shared" si="4"/>
        <v>290.8</v>
      </c>
      <c r="M124" s="154">
        <f t="shared" si="5"/>
        <v>581.59</v>
      </c>
      <c r="N124" s="145"/>
      <c r="O124" s="168" t="str">
        <f>VLOOKUP(C124,'New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125" spans="1:15" ht="60">
      <c r="A125" s="102" t="s">
        <v>1942</v>
      </c>
      <c r="B125" s="103" t="s">
        <v>1681</v>
      </c>
      <c r="C125" s="103" t="s">
        <v>2416</v>
      </c>
      <c r="D125" s="102" t="s">
        <v>2417</v>
      </c>
      <c r="E125" s="103" t="s">
        <v>164</v>
      </c>
      <c r="F125" s="102" t="s">
        <v>1600</v>
      </c>
      <c r="G125" s="103" t="s">
        <v>20</v>
      </c>
      <c r="H125" s="103">
        <v>201611</v>
      </c>
      <c r="I125" s="104">
        <v>70.87</v>
      </c>
      <c r="J125" s="144">
        <f t="shared" si="3"/>
        <v>6</v>
      </c>
      <c r="K125" s="155">
        <v>2.23333E-3</v>
      </c>
      <c r="L125" s="154">
        <f t="shared" si="4"/>
        <v>0.95</v>
      </c>
      <c r="M125" s="154">
        <f t="shared" si="5"/>
        <v>1.9</v>
      </c>
      <c r="N125" s="145"/>
      <c r="O125" s="168" t="str">
        <f>VLOOKUP(C125,'New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126" spans="1:15" ht="105">
      <c r="A126" s="102" t="s">
        <v>21</v>
      </c>
      <c r="B126" s="103" t="s">
        <v>1681</v>
      </c>
      <c r="C126" s="103" t="s">
        <v>2418</v>
      </c>
      <c r="D126" s="102" t="s">
        <v>2419</v>
      </c>
      <c r="E126" s="103" t="s">
        <v>75</v>
      </c>
      <c r="F126" s="102" t="s">
        <v>1602</v>
      </c>
      <c r="G126" s="103" t="s">
        <v>20</v>
      </c>
      <c r="H126" s="103">
        <v>201611</v>
      </c>
      <c r="I126" s="104">
        <v>-85.8</v>
      </c>
      <c r="J126" s="144">
        <f t="shared" si="3"/>
        <v>6</v>
      </c>
      <c r="K126" s="155">
        <v>1.4833299999999999E-3</v>
      </c>
      <c r="L126" s="154">
        <f t="shared" si="4"/>
        <v>-0.76</v>
      </c>
      <c r="M126" s="154">
        <f t="shared" si="5"/>
        <v>-1.53</v>
      </c>
      <c r="N126" s="145"/>
      <c r="O126" s="168" t="str">
        <f>VLOOKUP(C126,'New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27" spans="1:15" ht="105">
      <c r="A127" s="102" t="s">
        <v>1942</v>
      </c>
      <c r="B127" s="103" t="s">
        <v>1681</v>
      </c>
      <c r="C127" s="103" t="s">
        <v>2418</v>
      </c>
      <c r="D127" s="102" t="s">
        <v>2419</v>
      </c>
      <c r="E127" s="103" t="s">
        <v>75</v>
      </c>
      <c r="F127" s="102" t="s">
        <v>1602</v>
      </c>
      <c r="G127" s="103" t="s">
        <v>20</v>
      </c>
      <c r="H127" s="103">
        <v>201611</v>
      </c>
      <c r="I127" s="104">
        <v>-0.33</v>
      </c>
      <c r="J127" s="144">
        <f t="shared" si="3"/>
        <v>6</v>
      </c>
      <c r="K127" s="155">
        <v>2.23333E-3</v>
      </c>
      <c r="L127" s="154">
        <f t="shared" si="4"/>
        <v>0</v>
      </c>
      <c r="M127" s="154">
        <f t="shared" si="5"/>
        <v>-0.01</v>
      </c>
      <c r="N127" s="145"/>
      <c r="O127" s="168" t="str">
        <f>VLOOKUP(C127,'New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28" spans="1:15" ht="45">
      <c r="A128" s="102" t="s">
        <v>21</v>
      </c>
      <c r="B128" s="103" t="s">
        <v>1681</v>
      </c>
      <c r="C128" s="103" t="s">
        <v>2279</v>
      </c>
      <c r="D128" s="102" t="s">
        <v>2280</v>
      </c>
      <c r="E128" s="103" t="s">
        <v>87</v>
      </c>
      <c r="F128" s="102" t="s">
        <v>1603</v>
      </c>
      <c r="G128" s="103" t="s">
        <v>20</v>
      </c>
      <c r="H128" s="103">
        <v>201611</v>
      </c>
      <c r="I128" s="104">
        <v>1951.19</v>
      </c>
      <c r="J128" s="144">
        <f t="shared" si="3"/>
        <v>6</v>
      </c>
      <c r="K128" s="155">
        <v>1.4833299999999999E-3</v>
      </c>
      <c r="L128" s="154">
        <f t="shared" si="4"/>
        <v>17.37</v>
      </c>
      <c r="M128" s="154">
        <f t="shared" si="5"/>
        <v>34.729999999999997</v>
      </c>
      <c r="N128" s="145"/>
      <c r="O128" s="168" t="str">
        <f>VLOOKUP(C128,'New Wo Detailed Descr Rev'!$A$5:$D$287,4)</f>
        <v>Install 450ft of 12ST main on Illinois Ave at Stockyards Expressway in St. Joe, MO for a public improvement project.  Abandon 450 ft of 12ST main at above location. Tie-over 1 service. - 0</v>
      </c>
    </row>
    <row r="129" spans="1:15" ht="60">
      <c r="A129" s="102" t="s">
        <v>626</v>
      </c>
      <c r="B129" s="103" t="s">
        <v>1681</v>
      </c>
      <c r="C129" s="103" t="s">
        <v>2420</v>
      </c>
      <c r="D129" s="102" t="s">
        <v>2421</v>
      </c>
      <c r="E129" s="103" t="s">
        <v>164</v>
      </c>
      <c r="F129" s="102" t="s">
        <v>1600</v>
      </c>
      <c r="G129" s="103" t="s">
        <v>20</v>
      </c>
      <c r="H129" s="103">
        <v>201611</v>
      </c>
      <c r="I129" s="104">
        <v>-230.15</v>
      </c>
      <c r="J129" s="144">
        <f t="shared" si="3"/>
        <v>6</v>
      </c>
      <c r="K129" s="155">
        <v>1.4833299999999999E-3</v>
      </c>
      <c r="L129" s="154">
        <f t="shared" si="4"/>
        <v>-2.0499999999999998</v>
      </c>
      <c r="M129" s="154">
        <f t="shared" si="5"/>
        <v>-4.0999999999999996</v>
      </c>
      <c r="N129" s="145"/>
      <c r="O129" s="168" t="str">
        <f>VLOOKUP(C129,'New Wo Detailed Descr Rev'!$A$5:$D$287,4)</f>
        <v>Install 30 ft of 4 in PL LP main on Troost between Missouri and Pacific Street.  Retire 30 ft of 4 in CI LP main.Total Service Tie-over = 3. - This is being replaced as part of the FY16 cast iron replacement program.</v>
      </c>
    </row>
    <row r="130" spans="1:15" ht="45">
      <c r="A130" s="102" t="s">
        <v>21</v>
      </c>
      <c r="B130" s="103" t="s">
        <v>1681</v>
      </c>
      <c r="C130" s="103" t="s">
        <v>2107</v>
      </c>
      <c r="D130" s="102" t="s">
        <v>2108</v>
      </c>
      <c r="E130" s="103" t="s">
        <v>209</v>
      </c>
      <c r="F130" s="102" t="s">
        <v>1612</v>
      </c>
      <c r="G130" s="103" t="s">
        <v>20</v>
      </c>
      <c r="H130" s="103">
        <v>201611</v>
      </c>
      <c r="I130" s="104">
        <v>16663.86</v>
      </c>
      <c r="J130" s="144">
        <f t="shared" si="3"/>
        <v>6</v>
      </c>
      <c r="K130" s="155">
        <v>1.4833299999999999E-3</v>
      </c>
      <c r="L130" s="154">
        <f t="shared" si="4"/>
        <v>148.31</v>
      </c>
      <c r="M130" s="154">
        <f t="shared" si="5"/>
        <v>296.62</v>
      </c>
      <c r="N130" s="145"/>
      <c r="O130" s="168" t="str">
        <f>VLOOKUP(C130,'New Wo Detailed Descr Rev'!$A$5:$D$287,4)</f>
        <v>Install 160' - 8" Coated Steel main and abandon 150' - 8" coated steel main to allow City to build road - main is in existing right-of-way. - 0</v>
      </c>
    </row>
    <row r="131" spans="1:15" ht="75">
      <c r="A131" s="102" t="s">
        <v>626</v>
      </c>
      <c r="B131" s="103" t="s">
        <v>1681</v>
      </c>
      <c r="C131" s="103" t="s">
        <v>2289</v>
      </c>
      <c r="D131" s="102" t="s">
        <v>2290</v>
      </c>
      <c r="E131" s="103" t="s">
        <v>93</v>
      </c>
      <c r="F131" s="102" t="s">
        <v>1601</v>
      </c>
      <c r="G131" s="103" t="s">
        <v>20</v>
      </c>
      <c r="H131" s="103">
        <v>201611</v>
      </c>
      <c r="I131" s="104">
        <v>1292.3499999999999</v>
      </c>
      <c r="J131" s="144">
        <f t="shared" si="3"/>
        <v>6</v>
      </c>
      <c r="K131" s="155">
        <v>1.4833299999999999E-3</v>
      </c>
      <c r="L131" s="154">
        <f t="shared" si="4"/>
        <v>11.5</v>
      </c>
      <c r="M131" s="154">
        <f t="shared" si="5"/>
        <v>23</v>
      </c>
      <c r="N131" s="145"/>
      <c r="O131" s="168" t="str">
        <f>VLOOKUP(C131,'New Wo Detailed Descr Rev'!$A$5:$D$287,4)</f>
        <v>Install 1997 Ft of 4 in PL MP main on 20th Street between Vermont and Deleware for the Bankers Addition Civic Improvements. Abandon 176 Ft of 1.25 in PL MP main, 18 Ft 2 in PL MP main &amp; 22 Ft 4 in PL MP main. - This main is being replaced as part of a 2016 Public Improvement and is ISRS recoverable.</v>
      </c>
    </row>
    <row r="132" spans="1:15" ht="60">
      <c r="A132" s="102" t="s">
        <v>626</v>
      </c>
      <c r="B132" s="103" t="s">
        <v>1681</v>
      </c>
      <c r="C132" s="103" t="s">
        <v>2422</v>
      </c>
      <c r="D132" s="102" t="s">
        <v>2423</v>
      </c>
      <c r="E132" s="103" t="s">
        <v>164</v>
      </c>
      <c r="F132" s="102" t="s">
        <v>1600</v>
      </c>
      <c r="G132" s="103" t="s">
        <v>20</v>
      </c>
      <c r="H132" s="103">
        <v>201611</v>
      </c>
      <c r="I132" s="104">
        <v>-36.35</v>
      </c>
      <c r="J132" s="144">
        <f t="shared" ref="J132:J193" si="6">HLOOKUP(H132,$Q$2:$W$3,2)</f>
        <v>6</v>
      </c>
      <c r="K132" s="155">
        <v>1.4833299999999999E-3</v>
      </c>
      <c r="L132" s="154">
        <f t="shared" ref="L132:L193" si="7">ROUND(I132*J132*K132,2)</f>
        <v>-0.32</v>
      </c>
      <c r="M132" s="154">
        <f t="shared" ref="M132:M193" si="8">ROUND(I132*K132*12,2)</f>
        <v>-0.65</v>
      </c>
      <c r="N132" s="145"/>
      <c r="O132" s="168" t="str">
        <f>VLOOKUP(C132,'New Wo Detailed Descr Rev'!$A$5:$D$287,4)</f>
        <v>Install 947 ft of 4 in PL IP main on 53rd Ter &amp; Ditman.  Abandon 6 ft of 2 in PL IP main, 6 ft of 4 in PL IP main, 564 ft of 4 in ST IP main, and 337 ft of 2 in ST IP main.  - This main is being replaced as part of FY16 Bare Steel Replacement Program.</v>
      </c>
    </row>
    <row r="133" spans="1:15" ht="60">
      <c r="A133" s="102" t="s">
        <v>626</v>
      </c>
      <c r="B133" s="103" t="s">
        <v>1681</v>
      </c>
      <c r="C133" s="103" t="s">
        <v>2424</v>
      </c>
      <c r="D133" s="102" t="s">
        <v>2425</v>
      </c>
      <c r="E133" s="103" t="s">
        <v>93</v>
      </c>
      <c r="F133" s="102" t="s">
        <v>1601</v>
      </c>
      <c r="G133" s="103" t="s">
        <v>20</v>
      </c>
      <c r="H133" s="103">
        <v>201611</v>
      </c>
      <c r="I133" s="104">
        <v>3023.8</v>
      </c>
      <c r="J133" s="144">
        <f t="shared" si="6"/>
        <v>6</v>
      </c>
      <c r="K133" s="155">
        <v>1.4833299999999999E-3</v>
      </c>
      <c r="L133" s="154">
        <f t="shared" si="7"/>
        <v>26.91</v>
      </c>
      <c r="M133" s="154">
        <f t="shared" si="8"/>
        <v>53.82</v>
      </c>
      <c r="N133" s="145"/>
      <c r="O133" s="168" t="str">
        <f>VLOOKUP(C133,'New Wo Detailed Descr Rev'!$A$5:$D$287,4)</f>
        <v>Install ~ 800 Ft of 4 in PL IP Main on Garden Grove  Rd N of Canterbee Ln. - Abandon ~ 800 Ft of 3 in ST IP Main at the above location.  Total Service Tie-Over = 6.  This main is being relocated due to Civic Improvements</v>
      </c>
    </row>
    <row r="134" spans="1:15" ht="60">
      <c r="A134" s="102" t="s">
        <v>14</v>
      </c>
      <c r="B134" s="103" t="s">
        <v>30</v>
      </c>
      <c r="C134" s="103" t="s">
        <v>31</v>
      </c>
      <c r="D134" s="102" t="s">
        <v>32</v>
      </c>
      <c r="E134" s="103" t="s">
        <v>33</v>
      </c>
      <c r="F134" s="102" t="s">
        <v>34</v>
      </c>
      <c r="G134" s="103" t="s">
        <v>20</v>
      </c>
      <c r="H134" s="103">
        <v>201612</v>
      </c>
      <c r="I134" s="104">
        <v>8530.15</v>
      </c>
      <c r="J134" s="144">
        <f t="shared" si="6"/>
        <v>5</v>
      </c>
      <c r="K134" s="148">
        <v>2.23333E-3</v>
      </c>
      <c r="L134" s="154">
        <f t="shared" si="7"/>
        <v>95.25</v>
      </c>
      <c r="M134" s="154">
        <f t="shared" si="8"/>
        <v>228.61</v>
      </c>
      <c r="N134" s="145"/>
      <c r="O134" s="168" t="str">
        <f>VLOOKUP(C134,'New Wo Detailed Descr Rev'!$A$5:$D$287,4)</f>
        <v>BWO SERVICE LINE LEAK RESPONSIVE COMP - Service/Yard Line Replacement (SLRP): Company Crew.  Immediate response - replacement single unprotected steel or copper  (Kansas City - Central Region)</v>
      </c>
    </row>
    <row r="135" spans="1:15" ht="30">
      <c r="A135" s="102" t="s">
        <v>554</v>
      </c>
      <c r="B135" s="103" t="s">
        <v>116</v>
      </c>
      <c r="C135" s="103" t="s">
        <v>117</v>
      </c>
      <c r="D135" s="102" t="s">
        <v>2432</v>
      </c>
      <c r="E135" s="103" t="s">
        <v>119</v>
      </c>
      <c r="F135" s="102" t="s">
        <v>1605</v>
      </c>
      <c r="G135" s="103" t="s">
        <v>20</v>
      </c>
      <c r="H135" s="103">
        <v>201612</v>
      </c>
      <c r="I135" s="104">
        <v>93849.82</v>
      </c>
      <c r="J135" s="144">
        <f t="shared" si="6"/>
        <v>5</v>
      </c>
      <c r="K135" s="148">
        <v>1.4833299999999999E-3</v>
      </c>
      <c r="L135" s="154">
        <f t="shared" si="7"/>
        <v>696.05</v>
      </c>
      <c r="M135" s="154">
        <f t="shared" si="8"/>
        <v>1670.52</v>
      </c>
      <c r="N135" s="145"/>
      <c r="O135" s="168" t="str">
        <f>VLOOKUP(C135,'New Wo Detailed Descr Rev'!$A$5:$D$287,4)</f>
        <v>BWO-Encapsulation Cast Iron Joints - Encapsulation of Cast Iron Joints</v>
      </c>
    </row>
    <row r="136" spans="1:15">
      <c r="A136" s="102" t="s">
        <v>14</v>
      </c>
      <c r="B136" s="103" t="s">
        <v>195</v>
      </c>
      <c r="C136" s="103" t="s">
        <v>196</v>
      </c>
      <c r="D136" s="102" t="s">
        <v>1674</v>
      </c>
      <c r="E136" s="103" t="s">
        <v>198</v>
      </c>
      <c r="F136" s="102" t="s">
        <v>1610</v>
      </c>
      <c r="G136" s="103" t="s">
        <v>20</v>
      </c>
      <c r="H136" s="103">
        <v>201612</v>
      </c>
      <c r="I136" s="104">
        <v>359592.56</v>
      </c>
      <c r="J136" s="144">
        <f t="shared" si="6"/>
        <v>5</v>
      </c>
      <c r="K136" s="148">
        <v>2.23333E-3</v>
      </c>
      <c r="L136" s="154">
        <f t="shared" si="7"/>
        <v>4015.44</v>
      </c>
      <c r="M136" s="154">
        <f t="shared" si="8"/>
        <v>9637.07</v>
      </c>
      <c r="N136" s="145"/>
      <c r="O136" s="168" t="str">
        <f>VLOOKUP(C136,'New Wo Detailed Descr Rev'!$A$5:$D$287,4)</f>
        <v>BWO-Replace Service w/ Plastic (North Region) - Project Type:B</v>
      </c>
    </row>
    <row r="137" spans="1:15">
      <c r="A137" s="102" t="s">
        <v>14</v>
      </c>
      <c r="B137" s="103" t="s">
        <v>200</v>
      </c>
      <c r="C137" s="103" t="s">
        <v>201</v>
      </c>
      <c r="D137" s="102" t="s">
        <v>1675</v>
      </c>
      <c r="E137" s="103" t="s">
        <v>202</v>
      </c>
      <c r="F137" s="102" t="s">
        <v>1611</v>
      </c>
      <c r="G137" s="103" t="s">
        <v>20</v>
      </c>
      <c r="H137" s="103">
        <v>201612</v>
      </c>
      <c r="I137" s="104">
        <v>138136.6</v>
      </c>
      <c r="J137" s="144">
        <f t="shared" si="6"/>
        <v>5</v>
      </c>
      <c r="K137" s="148">
        <v>2.23333E-3</v>
      </c>
      <c r="L137" s="154">
        <f t="shared" si="7"/>
        <v>1542.52</v>
      </c>
      <c r="M137" s="154">
        <f t="shared" si="8"/>
        <v>3702.06</v>
      </c>
      <c r="N137" s="145"/>
      <c r="O137" s="168" t="str">
        <f>VLOOKUP(C137,'New Wo Detailed Descr Rev'!$A$5:$D$287,4)</f>
        <v>BWO-Replace Service w/ Plastic (South Region) - Project Type:B</v>
      </c>
    </row>
    <row r="138" spans="1:15" ht="60">
      <c r="A138" s="102" t="s">
        <v>14</v>
      </c>
      <c r="B138" s="103" t="s">
        <v>481</v>
      </c>
      <c r="C138" s="103" t="s">
        <v>482</v>
      </c>
      <c r="D138" s="102" t="s">
        <v>483</v>
      </c>
      <c r="E138" s="103" t="s">
        <v>484</v>
      </c>
      <c r="F138" s="102" t="s">
        <v>190</v>
      </c>
      <c r="G138" s="103" t="s">
        <v>20</v>
      </c>
      <c r="H138" s="103">
        <v>201612</v>
      </c>
      <c r="I138" s="104">
        <v>8.76</v>
      </c>
      <c r="J138" s="144">
        <f t="shared" si="6"/>
        <v>5</v>
      </c>
      <c r="K138" s="148">
        <v>2.23333E-3</v>
      </c>
      <c r="L138" s="154">
        <f t="shared" si="7"/>
        <v>0.1</v>
      </c>
      <c r="M138" s="154">
        <f t="shared" si="8"/>
        <v>0.23</v>
      </c>
      <c r="N138" s="145"/>
      <c r="O138" s="168" t="str">
        <f>VLOOKUP(C138,'New Wo Detailed Descr Rev'!$A$5:$D$287,4)</f>
        <v>BWO SERVICE LINE MATERIAL CONTRACTOR SLRP - Service/Yard Line Replacement (SLRP): Contract Crew.  Service/yard line replacement - Material Charges Only  (Kansas City - Central Region)</v>
      </c>
    </row>
    <row r="139" spans="1:15" ht="45">
      <c r="A139" s="102" t="s">
        <v>14</v>
      </c>
      <c r="B139" s="103" t="s">
        <v>236</v>
      </c>
      <c r="C139" s="103" t="s">
        <v>237</v>
      </c>
      <c r="D139" s="102" t="s">
        <v>188</v>
      </c>
      <c r="E139" s="103" t="s">
        <v>238</v>
      </c>
      <c r="F139" s="102" t="s">
        <v>190</v>
      </c>
      <c r="G139" s="103" t="s">
        <v>20</v>
      </c>
      <c r="H139" s="103">
        <v>201612</v>
      </c>
      <c r="I139" s="104">
        <v>64180.19</v>
      </c>
      <c r="J139" s="144">
        <f t="shared" si="6"/>
        <v>5</v>
      </c>
      <c r="K139" s="148">
        <v>2.23333E-3</v>
      </c>
      <c r="L139" s="154">
        <f t="shared" si="7"/>
        <v>716.68</v>
      </c>
      <c r="M139" s="154">
        <f t="shared" si="8"/>
        <v>1720.03</v>
      </c>
      <c r="N139" s="145"/>
      <c r="O139" s="168" t="str">
        <f>VLOOKUP(C139,'New Wo Detailed Descr Rev'!$A$5:$D$287,4)</f>
        <v>BWO MATERIAL SERV LINE REPL CONT - Service/Yard Line Replacement (SLRP): Contract Crew.  Service/yard line replacement - Material Charges Only  (Lee's Summit - East Region)</v>
      </c>
    </row>
    <row r="140" spans="1:15">
      <c r="A140" s="102" t="s">
        <v>14</v>
      </c>
      <c r="B140" s="103" t="s">
        <v>2433</v>
      </c>
      <c r="C140" s="103" t="s">
        <v>2434</v>
      </c>
      <c r="D140" s="102" t="s">
        <v>197</v>
      </c>
      <c r="E140" s="103" t="s">
        <v>198</v>
      </c>
      <c r="F140" s="102" t="s">
        <v>1610</v>
      </c>
      <c r="G140" s="103" t="s">
        <v>20</v>
      </c>
      <c r="H140" s="103">
        <v>201612</v>
      </c>
      <c r="I140" s="104">
        <v>800</v>
      </c>
      <c r="J140" s="144">
        <f t="shared" si="6"/>
        <v>5</v>
      </c>
      <c r="K140" s="148">
        <v>2.23333E-3</v>
      </c>
      <c r="L140" s="154">
        <f t="shared" si="7"/>
        <v>8.93</v>
      </c>
      <c r="M140" s="154">
        <f t="shared" si="8"/>
        <v>21.44</v>
      </c>
      <c r="N140" s="145"/>
      <c r="O140" s="168" t="str">
        <f>VLOOKUP(C140,'New Wo Detailed Descr Rev'!$A$5:$D$287,4)</f>
        <v>BWO-REPLACE SERVICE - Project Type:B</v>
      </c>
    </row>
    <row r="141" spans="1:15" ht="30">
      <c r="A141" s="102" t="s">
        <v>14</v>
      </c>
      <c r="B141" s="103" t="s">
        <v>292</v>
      </c>
      <c r="C141" s="103" t="s">
        <v>293</v>
      </c>
      <c r="D141" s="102" t="s">
        <v>1679</v>
      </c>
      <c r="E141" s="103" t="s">
        <v>294</v>
      </c>
      <c r="F141" s="102" t="s">
        <v>1613</v>
      </c>
      <c r="G141" s="103" t="s">
        <v>20</v>
      </c>
      <c r="H141" s="103">
        <v>201612</v>
      </c>
      <c r="I141" s="104">
        <v>24886.94</v>
      </c>
      <c r="J141" s="144">
        <f t="shared" si="6"/>
        <v>5</v>
      </c>
      <c r="K141" s="148">
        <v>2.23333E-3</v>
      </c>
      <c r="L141" s="154">
        <f t="shared" si="7"/>
        <v>277.89999999999998</v>
      </c>
      <c r="M141" s="154">
        <f t="shared" si="8"/>
        <v>666.97</v>
      </c>
      <c r="N141" s="145"/>
      <c r="O141" s="168" t="str">
        <f>VLOOKUP(C141,'New Wo Detailed Descr Rev'!$A$5:$D$287,4)</f>
        <v>BWO-Replace Service w/ Plastic (Southwest Region) - Project Type:B</v>
      </c>
    </row>
    <row r="142" spans="1:15" ht="60">
      <c r="A142" s="102" t="s">
        <v>14</v>
      </c>
      <c r="B142" s="103" t="s">
        <v>419</v>
      </c>
      <c r="C142" s="103" t="s">
        <v>420</v>
      </c>
      <c r="D142" s="102" t="s">
        <v>50</v>
      </c>
      <c r="E142" s="103" t="s">
        <v>421</v>
      </c>
      <c r="F142" s="102" t="s">
        <v>52</v>
      </c>
      <c r="G142" s="103" t="s">
        <v>20</v>
      </c>
      <c r="H142" s="103">
        <v>201612</v>
      </c>
      <c r="I142" s="104">
        <v>27.26</v>
      </c>
      <c r="J142" s="144">
        <f t="shared" si="6"/>
        <v>5</v>
      </c>
      <c r="K142" s="148">
        <v>2.23333E-3</v>
      </c>
      <c r="L142" s="154">
        <f t="shared" si="7"/>
        <v>0.3</v>
      </c>
      <c r="M142" s="154">
        <f t="shared" si="8"/>
        <v>0.73</v>
      </c>
      <c r="N142" s="145"/>
      <c r="O142" s="168" t="str">
        <f>VLOOKUP(C142,'New Wo Detailed Descr Rev'!$A$5:$D$287,4)</f>
        <v>BWO SERVICE LINE REPL MODIFIED BLOCK CONT - Service/Yard Line Replacement (SLRP): Contract Crew.  Modified Block by Block - Planned replacement of unprotected steel or copper  (Joplin - South Region)</v>
      </c>
    </row>
    <row r="143" spans="1:15" ht="45">
      <c r="A143" s="102" t="s">
        <v>14</v>
      </c>
      <c r="B143" s="103" t="s">
        <v>325</v>
      </c>
      <c r="C143" s="103" t="s">
        <v>326</v>
      </c>
      <c r="D143" s="102" t="s">
        <v>327</v>
      </c>
      <c r="E143" s="103" t="s">
        <v>328</v>
      </c>
      <c r="F143" s="102" t="s">
        <v>58</v>
      </c>
      <c r="G143" s="103" t="s">
        <v>20</v>
      </c>
      <c r="H143" s="103">
        <v>201612</v>
      </c>
      <c r="I143" s="104">
        <v>9.7200000000000006</v>
      </c>
      <c r="J143" s="144">
        <f t="shared" si="6"/>
        <v>5</v>
      </c>
      <c r="K143" s="148">
        <v>2.23333E-3</v>
      </c>
      <c r="L143" s="154">
        <f t="shared" si="7"/>
        <v>0.11</v>
      </c>
      <c r="M143" s="154">
        <f t="shared" si="8"/>
        <v>0.26</v>
      </c>
      <c r="N143" s="145"/>
      <c r="O143" s="168" t="str">
        <f>VLOOKUP(C143,'New Wo Detailed Descr Rev'!$A$5:$D$287,4)</f>
        <v>BWO MATERIAL SERV LINE REPL COMP - Service/Yard Line Replacement (SLRP): Company Crew.  Service/yard line replacement - Material Charges Only  (Lee's Summit - East Region)</v>
      </c>
    </row>
    <row r="144" spans="1:15" ht="30">
      <c r="A144" s="102" t="s">
        <v>626</v>
      </c>
      <c r="B144" s="103" t="s">
        <v>1681</v>
      </c>
      <c r="C144" s="103" t="s">
        <v>1703</v>
      </c>
      <c r="D144" s="102" t="s">
        <v>1704</v>
      </c>
      <c r="E144" s="103" t="s">
        <v>164</v>
      </c>
      <c r="F144" s="102" t="s">
        <v>1600</v>
      </c>
      <c r="G144" s="103" t="s">
        <v>20</v>
      </c>
      <c r="H144" s="103">
        <v>201612</v>
      </c>
      <c r="I144" s="104">
        <v>8031.33</v>
      </c>
      <c r="J144" s="144">
        <f t="shared" si="6"/>
        <v>5</v>
      </c>
      <c r="K144" s="155">
        <v>1.4833299999999999E-3</v>
      </c>
      <c r="L144" s="154">
        <f t="shared" si="7"/>
        <v>59.57</v>
      </c>
      <c r="M144" s="154">
        <f t="shared" si="8"/>
        <v>142.96</v>
      </c>
      <c r="N144" s="145"/>
      <c r="O144" s="168" t="str">
        <f>VLOOKUP(C144,'New Wo Detailed Descr Rev'!$A$5:$D$287,4)</f>
        <v>BWO Main Installed Mtce North Region - For short replacements of main done on emergency basis - North Region</v>
      </c>
    </row>
    <row r="145" spans="1:15" ht="30">
      <c r="A145" s="102" t="s">
        <v>626</v>
      </c>
      <c r="B145" s="103" t="s">
        <v>1681</v>
      </c>
      <c r="C145" s="103" t="s">
        <v>1705</v>
      </c>
      <c r="D145" s="102" t="s">
        <v>1706</v>
      </c>
      <c r="E145" s="103" t="s">
        <v>75</v>
      </c>
      <c r="F145" s="102" t="s">
        <v>1602</v>
      </c>
      <c r="G145" s="103" t="s">
        <v>20</v>
      </c>
      <c r="H145" s="103">
        <v>201612</v>
      </c>
      <c r="I145" s="104">
        <v>11047.11</v>
      </c>
      <c r="J145" s="144">
        <f t="shared" si="6"/>
        <v>5</v>
      </c>
      <c r="K145" s="155">
        <v>1.4833299999999999E-3</v>
      </c>
      <c r="L145" s="154">
        <f t="shared" si="7"/>
        <v>81.93</v>
      </c>
      <c r="M145" s="154">
        <f t="shared" si="8"/>
        <v>196.64</v>
      </c>
      <c r="N145" s="145"/>
      <c r="O145" s="168" t="str">
        <f>VLOOKUP(C145,'New Wo Detailed Descr Rev'!$A$5:$D$287,4)</f>
        <v>BWO Mains Installed Mtce-South Region - For short replacements of main done on emergency basis - South Region</v>
      </c>
    </row>
    <row r="146" spans="1:15" ht="45">
      <c r="A146" s="102" t="s">
        <v>626</v>
      </c>
      <c r="B146" s="103" t="s">
        <v>1681</v>
      </c>
      <c r="C146" s="103" t="s">
        <v>1707</v>
      </c>
      <c r="D146" s="102" t="s">
        <v>1708</v>
      </c>
      <c r="E146" s="103" t="s">
        <v>75</v>
      </c>
      <c r="F146" s="102" t="s">
        <v>1602</v>
      </c>
      <c r="G146" s="103" t="s">
        <v>20</v>
      </c>
      <c r="H146" s="103">
        <v>201612</v>
      </c>
      <c r="I146" s="104">
        <v>3487.62</v>
      </c>
      <c r="J146" s="144">
        <f t="shared" si="6"/>
        <v>5</v>
      </c>
      <c r="K146" s="155">
        <v>1.4833299999999999E-3</v>
      </c>
      <c r="L146" s="154">
        <f t="shared" si="7"/>
        <v>25.87</v>
      </c>
      <c r="M146" s="154">
        <f t="shared" si="8"/>
        <v>62.08</v>
      </c>
      <c r="N146" s="145"/>
      <c r="O146" s="168" t="str">
        <f>VLOOKUP(C146,'New Wo Detailed Descr Rev'!$A$5:$D$287,4)</f>
        <v>BWO Mains Installed Mtce Southwest Region - For short replacements of main done on emergency basis - Southwest Region</v>
      </c>
    </row>
    <row r="147" spans="1:15" ht="150">
      <c r="A147" s="102" t="s">
        <v>626</v>
      </c>
      <c r="B147" s="103" t="s">
        <v>1620</v>
      </c>
      <c r="C147" s="103" t="s">
        <v>1621</v>
      </c>
      <c r="D147" s="102" t="s">
        <v>1622</v>
      </c>
      <c r="E147" s="103" t="s">
        <v>497</v>
      </c>
      <c r="F147" s="102" t="s">
        <v>26</v>
      </c>
      <c r="G147" s="103" t="s">
        <v>20</v>
      </c>
      <c r="H147" s="103">
        <v>201612</v>
      </c>
      <c r="I147" s="104">
        <v>-2869.94</v>
      </c>
      <c r="J147" s="144">
        <f t="shared" si="6"/>
        <v>5</v>
      </c>
      <c r="K147" s="155">
        <v>1.4833299999999999E-3</v>
      </c>
      <c r="L147" s="154">
        <f t="shared" si="7"/>
        <v>-21.29</v>
      </c>
      <c r="M147" s="154">
        <f t="shared" si="8"/>
        <v>-51.08</v>
      </c>
      <c r="N147" s="145"/>
      <c r="O147" s="168" t="str">
        <f>VLOOKUP(C147,'New Wo Detailed Descr Rev'!$A$5:$D$287,4)</f>
        <v>12th St and Geneva Ave PBS Replacement: Joplin: Replace Bare Steel Main - 3760 Safety Related (34-394) - 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148" spans="1:15" ht="90">
      <c r="A148" s="102" t="s">
        <v>626</v>
      </c>
      <c r="B148" s="103" t="s">
        <v>2036</v>
      </c>
      <c r="C148" s="103" t="s">
        <v>2037</v>
      </c>
      <c r="D148" s="102" t="s">
        <v>2038</v>
      </c>
      <c r="E148" s="103" t="s">
        <v>160</v>
      </c>
      <c r="F148" s="102" t="s">
        <v>19</v>
      </c>
      <c r="G148" s="103" t="s">
        <v>20</v>
      </c>
      <c r="H148" s="103">
        <v>201612</v>
      </c>
      <c r="I148" s="104">
        <v>532</v>
      </c>
      <c r="J148" s="144">
        <f t="shared" si="6"/>
        <v>5</v>
      </c>
      <c r="K148" s="155">
        <v>1.4833299999999999E-3</v>
      </c>
      <c r="L148" s="154">
        <f t="shared" si="7"/>
        <v>3.95</v>
      </c>
      <c r="M148" s="154">
        <f t="shared" si="8"/>
        <v>9.4700000000000006</v>
      </c>
      <c r="N148" s="145"/>
      <c r="O148" s="168" t="str">
        <f>VLOOKUP(C148,'New Wo Detailed Descr Rev'!$A$5:$D$287,4)</f>
        <v>PCS Main Replacement: Joplin: Replace Coated Steel &amp; Plastic Main - 3760 (34-396) - Approved by: Michael Fornelli on 01/26/2015,  Replace 259' of 3" PCS (WO 744151) with 260' 4" PE due to cathodic protections issues.  Project Location: 31st St. between Main St. &amp; Virginia Ave.  System: C-2.  MOP: 1.5 PSIG.  MAOP: 1.5 PSIG.  Design: 58 PSIG.  Test: 100 PSIG.  Price Per Foot: $66.22.</v>
      </c>
    </row>
    <row r="149" spans="1:15" ht="135">
      <c r="A149" s="102" t="s">
        <v>626</v>
      </c>
      <c r="B149" s="103" t="s">
        <v>2042</v>
      </c>
      <c r="C149" s="103" t="s">
        <v>2043</v>
      </c>
      <c r="D149" s="102" t="s">
        <v>2044</v>
      </c>
      <c r="E149" s="103" t="s">
        <v>497</v>
      </c>
      <c r="F149" s="102" t="s">
        <v>26</v>
      </c>
      <c r="G149" s="103" t="s">
        <v>20</v>
      </c>
      <c r="H149" s="103">
        <v>201612</v>
      </c>
      <c r="I149" s="104">
        <v>1530.72</v>
      </c>
      <c r="J149" s="144">
        <f t="shared" si="6"/>
        <v>5</v>
      </c>
      <c r="K149" s="155">
        <v>1.4833299999999999E-3</v>
      </c>
      <c r="L149" s="154">
        <f t="shared" si="7"/>
        <v>11.35</v>
      </c>
      <c r="M149" s="154">
        <f t="shared" si="8"/>
        <v>27.25</v>
      </c>
      <c r="N149" s="145"/>
      <c r="O149" s="168" t="str">
        <f>VLOOKUP(C149,'New Wo Detailed Descr Rev'!$A$5:$D$287,4)</f>
        <v>8th St and Virginia Ave 3in PBS Main Replacement: Joplin: Replace Bare Steel Main - 3760 Safety Related (34-394) - 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150" spans="1:15" ht="105">
      <c r="A150" s="102" t="s">
        <v>626</v>
      </c>
      <c r="B150" s="103" t="s">
        <v>2115</v>
      </c>
      <c r="C150" s="103" t="s">
        <v>2116</v>
      </c>
      <c r="D150" s="102" t="s">
        <v>1338</v>
      </c>
      <c r="E150" s="103" t="s">
        <v>75</v>
      </c>
      <c r="F150" s="102" t="s">
        <v>1602</v>
      </c>
      <c r="G150" s="103" t="s">
        <v>20</v>
      </c>
      <c r="H150" s="103">
        <v>201612</v>
      </c>
      <c r="I150" s="104">
        <v>-50.58</v>
      </c>
      <c r="J150" s="144">
        <f t="shared" si="6"/>
        <v>5</v>
      </c>
      <c r="K150" s="155">
        <v>1.4833299999999999E-3</v>
      </c>
      <c r="L150" s="154">
        <f t="shared" si="7"/>
        <v>-0.38</v>
      </c>
      <c r="M150" s="154">
        <f t="shared" si="8"/>
        <v>-0.9</v>
      </c>
      <c r="N150" s="145"/>
      <c r="O150" s="168" t="str">
        <f>VLOOKUP(C150,'New Wo Detailed Descr Rev'!$A$5:$D$287,4)</f>
        <v>Replace  2in &amp; 4in PBS Main: Independence: Replace Bare Steel Main - 3760 Safety Related (34-394) - Approved by: Joe Hampton on 06/23/2015,  Replace and abandon 2" and 4" pbs main by installing 2,140' of pe main to clear CP 15-42 dated 02/25/15 due to a low CP read which would require the installation of anodes on O&amp;M (ISRS).
FCOMP 7-22-16 PER MAXIMO</v>
      </c>
    </row>
    <row r="151" spans="1:15" ht="90">
      <c r="A151" s="102" t="s">
        <v>21</v>
      </c>
      <c r="B151" s="103" t="s">
        <v>1964</v>
      </c>
      <c r="C151" s="103" t="s">
        <v>1965</v>
      </c>
      <c r="D151" s="102" t="s">
        <v>1966</v>
      </c>
      <c r="E151" s="103" t="s">
        <v>87</v>
      </c>
      <c r="F151" s="102" t="s">
        <v>1603</v>
      </c>
      <c r="G151" s="103" t="s">
        <v>20</v>
      </c>
      <c r="H151" s="103">
        <v>201612</v>
      </c>
      <c r="I151" s="104">
        <v>3252.36</v>
      </c>
      <c r="J151" s="144">
        <f t="shared" si="6"/>
        <v>5</v>
      </c>
      <c r="K151" s="155">
        <v>1.4833299999999999E-3</v>
      </c>
      <c r="L151" s="154">
        <f t="shared" si="7"/>
        <v>24.12</v>
      </c>
      <c r="M151" s="154">
        <f t="shared" si="8"/>
        <v>57.89</v>
      </c>
      <c r="N151" s="145"/>
      <c r="O151" s="168" t="str">
        <f>VLOOKUP(C151,'New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152" spans="1:15" ht="90">
      <c r="A152" s="102" t="s">
        <v>626</v>
      </c>
      <c r="B152" s="103" t="s">
        <v>1964</v>
      </c>
      <c r="C152" s="103" t="s">
        <v>1965</v>
      </c>
      <c r="D152" s="102" t="s">
        <v>1966</v>
      </c>
      <c r="E152" s="103" t="s">
        <v>87</v>
      </c>
      <c r="F152" s="102" t="s">
        <v>1603</v>
      </c>
      <c r="G152" s="103" t="s">
        <v>20</v>
      </c>
      <c r="H152" s="103">
        <v>201612</v>
      </c>
      <c r="I152" s="104">
        <v>1830.85</v>
      </c>
      <c r="J152" s="144">
        <f t="shared" si="6"/>
        <v>5</v>
      </c>
      <c r="K152" s="155">
        <v>1.4833299999999999E-3</v>
      </c>
      <c r="L152" s="154">
        <f t="shared" si="7"/>
        <v>13.58</v>
      </c>
      <c r="M152" s="154">
        <f t="shared" si="8"/>
        <v>32.590000000000003</v>
      </c>
      <c r="N152" s="145"/>
      <c r="O152" s="168" t="str">
        <f>VLOOKUP(C152,'New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153" spans="1:15" ht="90">
      <c r="A153" s="102" t="s">
        <v>127</v>
      </c>
      <c r="B153" s="103" t="s">
        <v>1964</v>
      </c>
      <c r="C153" s="103" t="s">
        <v>1965</v>
      </c>
      <c r="D153" s="102" t="s">
        <v>1966</v>
      </c>
      <c r="E153" s="103" t="s">
        <v>87</v>
      </c>
      <c r="F153" s="102" t="s">
        <v>1603</v>
      </c>
      <c r="G153" s="103" t="s">
        <v>20</v>
      </c>
      <c r="H153" s="103">
        <v>201612</v>
      </c>
      <c r="I153" s="104">
        <v>-5083.21</v>
      </c>
      <c r="J153" s="144">
        <f t="shared" si="6"/>
        <v>5</v>
      </c>
      <c r="K153" s="148">
        <v>2.3833299999999999E-3</v>
      </c>
      <c r="L153" s="147">
        <f t="shared" si="7"/>
        <v>-60.57</v>
      </c>
      <c r="M153" s="147">
        <f t="shared" si="8"/>
        <v>-145.38</v>
      </c>
      <c r="N153" s="145"/>
      <c r="O153" s="168" t="str">
        <f>VLOOKUP(C153,'New Wo Detailed Descr Rev'!$A$5:$D$287,4)</f>
        <v>Inlet and Outlet Piping to DRS 763: Kansas City-Jackson: Relocate for Street &amp; Highway-Public Improvements (44-388) - Approved by: Gary Williams on 07/07/2015,  ISRS Inlet and Oulet piping for relocated DRS 103 from 51st and Brookside to 51st and Wyandotte (new DRS 763), a new right hand turn lane will be installed at the existing location of DRS 103 which is in a vault.</v>
      </c>
    </row>
    <row r="154" spans="1:15" ht="75">
      <c r="A154" s="102" t="s">
        <v>626</v>
      </c>
      <c r="B154" s="103" t="s">
        <v>2294</v>
      </c>
      <c r="C154" s="103" t="s">
        <v>2293</v>
      </c>
      <c r="D154" s="102" t="s">
        <v>2295</v>
      </c>
      <c r="E154" s="103" t="s">
        <v>75</v>
      </c>
      <c r="F154" s="102" t="s">
        <v>1602</v>
      </c>
      <c r="G154" s="103" t="s">
        <v>20</v>
      </c>
      <c r="H154" s="103">
        <v>201612</v>
      </c>
      <c r="I154" s="104">
        <v>0.76</v>
      </c>
      <c r="J154" s="144">
        <f t="shared" si="6"/>
        <v>5</v>
      </c>
      <c r="K154" s="155">
        <v>1.4833299999999999E-3</v>
      </c>
      <c r="L154" s="154">
        <f t="shared" si="7"/>
        <v>0.01</v>
      </c>
      <c r="M154" s="154">
        <f t="shared" si="8"/>
        <v>0.01</v>
      </c>
      <c r="N154" s="145"/>
      <c r="O154" s="168" t="str">
        <f>VLOOKUP(C154,'New Wo Detailed Descr Rev'!$A$5:$D$287,4)</f>
        <v>Replace 10in and 6in pbs main: Raytown: Replace Bare Steel Main - 3760 Safety Related (34-394) - Approved by: Joe Hampton on 07/07/2015,  Relocate and abandon 10", 6", and 2" bare steel main by installing 2,485' - 8" pe and 1,240' - 2" pe main to allow the City of Raytown to improve Blue Ridge Blvd.  (ISRS)</v>
      </c>
    </row>
    <row r="155" spans="1:15" ht="120">
      <c r="A155" s="102" t="s">
        <v>21</v>
      </c>
      <c r="B155" s="103" t="s">
        <v>1970</v>
      </c>
      <c r="C155" s="103" t="s">
        <v>1971</v>
      </c>
      <c r="D155" s="102" t="s">
        <v>1972</v>
      </c>
      <c r="E155" s="103" t="s">
        <v>93</v>
      </c>
      <c r="F155" s="102" t="s">
        <v>1601</v>
      </c>
      <c r="G155" s="103" t="s">
        <v>20</v>
      </c>
      <c r="H155" s="103">
        <v>201612</v>
      </c>
      <c r="I155" s="104">
        <v>10.89</v>
      </c>
      <c r="J155" s="144">
        <f t="shared" si="6"/>
        <v>5</v>
      </c>
      <c r="K155" s="155">
        <v>1.4833299999999999E-3</v>
      </c>
      <c r="L155" s="154">
        <f t="shared" si="7"/>
        <v>0.08</v>
      </c>
      <c r="M155" s="154">
        <f t="shared" si="8"/>
        <v>0.19</v>
      </c>
      <c r="N155" s="145"/>
      <c r="O155" s="168" t="str">
        <f>VLOOKUP(C155,'New Wo Detailed Descr Rev'!$A$5:$D$287,4)</f>
        <v>Target Marlborough East phase 1: Kansas City-Jackson: Relocate for Street &amp; Highway-Public Improvements (44-388) - 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56" spans="1:15" ht="120">
      <c r="A156" s="102" t="s">
        <v>626</v>
      </c>
      <c r="B156" s="103" t="s">
        <v>1970</v>
      </c>
      <c r="C156" s="103" t="s">
        <v>1971</v>
      </c>
      <c r="D156" s="102" t="s">
        <v>1972</v>
      </c>
      <c r="E156" s="103" t="s">
        <v>93</v>
      </c>
      <c r="F156" s="102" t="s">
        <v>1601</v>
      </c>
      <c r="G156" s="103" t="s">
        <v>20</v>
      </c>
      <c r="H156" s="103">
        <v>201612</v>
      </c>
      <c r="I156" s="104">
        <v>283.39999999999998</v>
      </c>
      <c r="J156" s="144">
        <f t="shared" si="6"/>
        <v>5</v>
      </c>
      <c r="K156" s="155">
        <v>1.4833299999999999E-3</v>
      </c>
      <c r="L156" s="154">
        <f t="shared" si="7"/>
        <v>2.1</v>
      </c>
      <c r="M156" s="154">
        <f t="shared" si="8"/>
        <v>5.04</v>
      </c>
      <c r="N156" s="145"/>
      <c r="O156" s="168" t="str">
        <f>VLOOKUP(C156,'New Wo Detailed Descr Rev'!$A$5:$D$287,4)</f>
        <v>Target Marlborough East phase 1: Kansas City-Jackson: Relocate for Street &amp; Highway-Public Improvements (44-388) - 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57" spans="1:15" ht="30">
      <c r="A157" s="102" t="s">
        <v>1942</v>
      </c>
      <c r="B157" s="103" t="s">
        <v>1681</v>
      </c>
      <c r="C157" s="103" t="s">
        <v>1682</v>
      </c>
      <c r="D157" s="102" t="s">
        <v>1683</v>
      </c>
      <c r="E157" s="103" t="s">
        <v>198</v>
      </c>
      <c r="F157" s="102" t="s">
        <v>1610</v>
      </c>
      <c r="G157" s="103" t="s">
        <v>20</v>
      </c>
      <c r="H157" s="103">
        <v>201612</v>
      </c>
      <c r="I157" s="104">
        <v>469.24</v>
      </c>
      <c r="J157" s="144">
        <f t="shared" si="6"/>
        <v>5</v>
      </c>
      <c r="K157" s="155">
        <v>2.23333E-3</v>
      </c>
      <c r="L157" s="154">
        <f t="shared" si="7"/>
        <v>5.24</v>
      </c>
      <c r="M157" s="154">
        <f t="shared" si="8"/>
        <v>12.58</v>
      </c>
      <c r="N157" s="145"/>
      <c r="O157" s="168" t="str">
        <f>VLOOKUP(C157,'New Wo Detailed Descr Rev'!$A$5:$D$287,4)</f>
        <v>BWO- Replace Service with Steel (North Region) - Replace service lines with steel - North Region</v>
      </c>
    </row>
    <row r="158" spans="1:15" ht="30">
      <c r="A158" s="102" t="s">
        <v>1942</v>
      </c>
      <c r="B158" s="103" t="s">
        <v>1681</v>
      </c>
      <c r="C158" s="103" t="s">
        <v>1943</v>
      </c>
      <c r="D158" s="102" t="s">
        <v>1944</v>
      </c>
      <c r="E158" s="103" t="s">
        <v>202</v>
      </c>
      <c r="F158" s="102" t="s">
        <v>1611</v>
      </c>
      <c r="G158" s="103" t="s">
        <v>20</v>
      </c>
      <c r="H158" s="103">
        <v>201612</v>
      </c>
      <c r="I158" s="104">
        <v>273.69</v>
      </c>
      <c r="J158" s="144">
        <f t="shared" si="6"/>
        <v>5</v>
      </c>
      <c r="K158" s="155">
        <v>2.23333E-3</v>
      </c>
      <c r="L158" s="154">
        <f t="shared" si="7"/>
        <v>3.06</v>
      </c>
      <c r="M158" s="154">
        <f t="shared" si="8"/>
        <v>7.33</v>
      </c>
      <c r="N158" s="145"/>
      <c r="O158" s="168" t="str">
        <f>VLOOKUP(C158,'New Wo Detailed Descr Rev'!$A$5:$D$287,4)</f>
        <v>BWO-Replace Service with Steel (South Region) - BWO-Replace Service with Steel (South Region)</v>
      </c>
    </row>
    <row r="159" spans="1:15" ht="30">
      <c r="A159" s="102" t="s">
        <v>1942</v>
      </c>
      <c r="B159" s="103" t="s">
        <v>1681</v>
      </c>
      <c r="C159" s="103" t="s">
        <v>1976</v>
      </c>
      <c r="D159" s="102" t="s">
        <v>1977</v>
      </c>
      <c r="E159" s="103" t="s">
        <v>294</v>
      </c>
      <c r="F159" s="102" t="s">
        <v>1613</v>
      </c>
      <c r="G159" s="103" t="s">
        <v>20</v>
      </c>
      <c r="H159" s="103">
        <v>201612</v>
      </c>
      <c r="I159" s="104">
        <v>6674.56</v>
      </c>
      <c r="J159" s="144">
        <f t="shared" si="6"/>
        <v>5</v>
      </c>
      <c r="K159" s="155">
        <v>2.23333E-3</v>
      </c>
      <c r="L159" s="154">
        <f t="shared" si="7"/>
        <v>74.53</v>
      </c>
      <c r="M159" s="154">
        <f t="shared" si="8"/>
        <v>178.88</v>
      </c>
      <c r="N159" s="145"/>
      <c r="O159" s="168" t="str">
        <f>VLOOKUP(C159,'New Wo Detailed Descr Rev'!$A$5:$D$287,4)</f>
        <v>BWO-Replace Svc w/ Steel (Southwest) - BWO-Replace Svc w/ Steel (Southwest)</v>
      </c>
    </row>
    <row r="160" spans="1:15" ht="165">
      <c r="A160" s="102" t="s">
        <v>626</v>
      </c>
      <c r="B160" s="103" t="s">
        <v>1945</v>
      </c>
      <c r="C160" s="103" t="s">
        <v>1946</v>
      </c>
      <c r="D160" s="102" t="s">
        <v>1947</v>
      </c>
      <c r="E160" s="103" t="s">
        <v>93</v>
      </c>
      <c r="F160" s="102" t="s">
        <v>1601</v>
      </c>
      <c r="G160" s="103" t="s">
        <v>20</v>
      </c>
      <c r="H160" s="103">
        <v>201612</v>
      </c>
      <c r="I160" s="104">
        <v>12.85</v>
      </c>
      <c r="J160" s="144">
        <f t="shared" si="6"/>
        <v>5</v>
      </c>
      <c r="K160" s="155">
        <v>1.4833299999999999E-3</v>
      </c>
      <c r="L160" s="154">
        <f t="shared" si="7"/>
        <v>0.1</v>
      </c>
      <c r="M160" s="154">
        <f t="shared" si="8"/>
        <v>0.23</v>
      </c>
      <c r="N160" s="145"/>
      <c r="O160" s="168" t="str">
        <f>VLOOKUP(C160,'New Wo Detailed Descr Rev'!$A$5:$D$287,4)</f>
        <v>Lincoln to Highview along Zora: Joplin: Relocate for Street &amp; Highway-Public Improvements (44-388) - 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
    </row>
    <row r="161" spans="1:15" ht="75">
      <c r="A161" s="102" t="s">
        <v>21</v>
      </c>
      <c r="B161" s="103" t="s">
        <v>1681</v>
      </c>
      <c r="C161" s="103" t="s">
        <v>2257</v>
      </c>
      <c r="D161" s="102" t="s">
        <v>2258</v>
      </c>
      <c r="E161" s="103" t="s">
        <v>93</v>
      </c>
      <c r="F161" s="102" t="s">
        <v>1601</v>
      </c>
      <c r="G161" s="103" t="s">
        <v>20</v>
      </c>
      <c r="H161" s="103">
        <v>201612</v>
      </c>
      <c r="I161" s="104">
        <v>-14.04</v>
      </c>
      <c r="J161" s="144">
        <f t="shared" si="6"/>
        <v>5</v>
      </c>
      <c r="K161" s="155">
        <v>1.4833299999999999E-3</v>
      </c>
      <c r="L161" s="154">
        <f t="shared" si="7"/>
        <v>-0.1</v>
      </c>
      <c r="M161" s="154">
        <f t="shared" si="8"/>
        <v>-0.25</v>
      </c>
      <c r="N161" s="145"/>
      <c r="O161" s="168" t="str">
        <f>VLOOKUP(C161,'New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162" spans="1:15" ht="75">
      <c r="A162" s="102" t="s">
        <v>626</v>
      </c>
      <c r="B162" s="103" t="s">
        <v>1681</v>
      </c>
      <c r="C162" s="103" t="s">
        <v>2257</v>
      </c>
      <c r="D162" s="102" t="s">
        <v>2258</v>
      </c>
      <c r="E162" s="103" t="s">
        <v>93</v>
      </c>
      <c r="F162" s="102" t="s">
        <v>1601</v>
      </c>
      <c r="G162" s="103" t="s">
        <v>20</v>
      </c>
      <c r="H162" s="103">
        <v>201612</v>
      </c>
      <c r="I162" s="104">
        <v>-329.01</v>
      </c>
      <c r="J162" s="144">
        <f t="shared" si="6"/>
        <v>5</v>
      </c>
      <c r="K162" s="155">
        <v>1.4833299999999999E-3</v>
      </c>
      <c r="L162" s="154">
        <f t="shared" si="7"/>
        <v>-2.44</v>
      </c>
      <c r="M162" s="154">
        <f t="shared" si="8"/>
        <v>-5.86</v>
      </c>
      <c r="N162" s="145"/>
      <c r="O162" s="168" t="str">
        <f>VLOOKUP(C162,'New Wo Detailed Descr Rev'!$A$5:$D$287,4)</f>
        <v>Replace 4in BS, 4in CS, 6in PE and 6in CS with 1425ft of 4in PE and 80ft 4in CST due to isolated bare steel and proposed city improvements. Project Location: 13th and Maiden Lane/Junge Blvd. - System: C-1. MOP: 58 PSIG. MAOP: 58 PSIG. Design: 66 PSIG. Test: 100 PSIG. Services: 1 Leaks: 0 Price: $44.79/ft ($67,414.22) ISRS</v>
      </c>
    </row>
    <row r="163" spans="1:15" ht="45">
      <c r="A163" s="102" t="s">
        <v>626</v>
      </c>
      <c r="B163" s="103" t="s">
        <v>1681</v>
      </c>
      <c r="C163" s="103" t="s">
        <v>1999</v>
      </c>
      <c r="D163" s="102" t="s">
        <v>2000</v>
      </c>
      <c r="E163" s="103" t="s">
        <v>75</v>
      </c>
      <c r="F163" s="102" t="s">
        <v>1602</v>
      </c>
      <c r="G163" s="103" t="s">
        <v>20</v>
      </c>
      <c r="H163" s="103">
        <v>201612</v>
      </c>
      <c r="I163" s="104">
        <v>-14555.55</v>
      </c>
      <c r="J163" s="144">
        <f t="shared" si="6"/>
        <v>5</v>
      </c>
      <c r="K163" s="155">
        <v>1.4833299999999999E-3</v>
      </c>
      <c r="L163" s="154">
        <f t="shared" si="7"/>
        <v>-107.95</v>
      </c>
      <c r="M163" s="154">
        <f t="shared" si="8"/>
        <v>-259.08999999999997</v>
      </c>
      <c r="N163" s="145"/>
      <c r="O163" s="168" t="str">
        <f>VLOOKUP(C163,'New Wo Detailed Descr Rev'!$A$5:$D$287,4)</f>
        <v>Install 2,615 feet of 2 inch plastic main to retire 2,564 feet of bare steel main and 45 feet of coated steel main to clear cp15-02 - S. Home, S Hall, E22nd and S Cedar Ave. - 0</v>
      </c>
    </row>
    <row r="164" spans="1:15" ht="45">
      <c r="A164" s="102" t="s">
        <v>1942</v>
      </c>
      <c r="B164" s="103" t="s">
        <v>1681</v>
      </c>
      <c r="C164" s="103" t="s">
        <v>1999</v>
      </c>
      <c r="D164" s="102" t="s">
        <v>2000</v>
      </c>
      <c r="E164" s="103" t="s">
        <v>75</v>
      </c>
      <c r="F164" s="102" t="s">
        <v>1602</v>
      </c>
      <c r="G164" s="103" t="s">
        <v>20</v>
      </c>
      <c r="H164" s="103">
        <v>201612</v>
      </c>
      <c r="I164" s="104">
        <v>-60.89</v>
      </c>
      <c r="J164" s="144">
        <f t="shared" si="6"/>
        <v>5</v>
      </c>
      <c r="K164" s="155">
        <v>2.23333E-3</v>
      </c>
      <c r="L164" s="154">
        <f t="shared" si="7"/>
        <v>-0.68</v>
      </c>
      <c r="M164" s="154">
        <f t="shared" si="8"/>
        <v>-1.63</v>
      </c>
      <c r="N164" s="145"/>
      <c r="O164" s="168" t="str">
        <f>VLOOKUP(C164,'New Wo Detailed Descr Rev'!$A$5:$D$287,4)</f>
        <v>Install 2,615 feet of 2 inch plastic main to retire 2,564 feet of bare steel main and 45 feet of coated steel main to clear cp15-02 - S. Home, S Hall, E22nd and S Cedar Ave. - 0</v>
      </c>
    </row>
    <row r="165" spans="1:15" ht="45">
      <c r="A165" s="102" t="s">
        <v>14</v>
      </c>
      <c r="B165" s="103" t="s">
        <v>1681</v>
      </c>
      <c r="C165" s="103" t="s">
        <v>1999</v>
      </c>
      <c r="D165" s="102" t="s">
        <v>2000</v>
      </c>
      <c r="E165" s="103" t="s">
        <v>75</v>
      </c>
      <c r="F165" s="102" t="s">
        <v>1602</v>
      </c>
      <c r="G165" s="103" t="s">
        <v>20</v>
      </c>
      <c r="H165" s="103">
        <v>201612</v>
      </c>
      <c r="I165" s="104">
        <v>-1861.63</v>
      </c>
      <c r="J165" s="144">
        <f t="shared" si="6"/>
        <v>5</v>
      </c>
      <c r="K165" s="148">
        <v>2.23333E-3</v>
      </c>
      <c r="L165" s="154">
        <f t="shared" si="7"/>
        <v>-20.79</v>
      </c>
      <c r="M165" s="154">
        <f t="shared" si="8"/>
        <v>-49.89</v>
      </c>
      <c r="N165" s="145"/>
      <c r="O165" s="168" t="str">
        <f>VLOOKUP(C165,'New Wo Detailed Descr Rev'!$A$5:$D$287,4)</f>
        <v>Install 2,615 feet of 2 inch plastic main to retire 2,564 feet of bare steel main and 45 feet of coated steel main to clear cp15-02 - S. Home, S Hall, E22nd and S Cedar Ave. - 0</v>
      </c>
    </row>
    <row r="166" spans="1:15" ht="165">
      <c r="A166" s="102" t="s">
        <v>626</v>
      </c>
      <c r="B166" s="103" t="s">
        <v>1681</v>
      </c>
      <c r="C166" s="103" t="s">
        <v>2259</v>
      </c>
      <c r="D166" s="102" t="s">
        <v>2260</v>
      </c>
      <c r="E166" s="103" t="s">
        <v>209</v>
      </c>
      <c r="F166" s="102" t="s">
        <v>1612</v>
      </c>
      <c r="G166" s="103" t="s">
        <v>20</v>
      </c>
      <c r="H166" s="103">
        <v>201612</v>
      </c>
      <c r="I166" s="104">
        <v>5.09</v>
      </c>
      <c r="J166" s="144">
        <f t="shared" si="6"/>
        <v>5</v>
      </c>
      <c r="K166" s="155">
        <v>1.4833299999999999E-3</v>
      </c>
      <c r="L166" s="154">
        <f t="shared" si="7"/>
        <v>0.04</v>
      </c>
      <c r="M166" s="154">
        <f t="shared" si="8"/>
        <v>0.09</v>
      </c>
      <c r="N166" s="145"/>
      <c r="O166" s="168" t="str">
        <f>VLOOKUP(C166,'New Wo Detailed Descr Rev'!$A$5:$D$287,4)</f>
        <v>Install 1879 ft of 2 in PE on Mechanic St (Route 7) between Bradley and Edgevale &amp; north on Bradley from Mechanic to Wall St., south on Eastwood to the tie-in, North on King to the tie-in &amp; south on Edgevale to the tie-in in Harrisonville. -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167" spans="1:15" ht="120">
      <c r="A167" s="102" t="s">
        <v>626</v>
      </c>
      <c r="B167" s="103" t="s">
        <v>1681</v>
      </c>
      <c r="C167" s="103" t="s">
        <v>2311</v>
      </c>
      <c r="D167" s="102" t="s">
        <v>2312</v>
      </c>
      <c r="E167" s="103" t="s">
        <v>209</v>
      </c>
      <c r="F167" s="102" t="s">
        <v>1612</v>
      </c>
      <c r="G167" s="103" t="s">
        <v>20</v>
      </c>
      <c r="H167" s="103">
        <v>201612</v>
      </c>
      <c r="I167" s="104">
        <v>10.09</v>
      </c>
      <c r="J167" s="144">
        <f t="shared" si="6"/>
        <v>5</v>
      </c>
      <c r="K167" s="155">
        <v>1.4833299999999999E-3</v>
      </c>
      <c r="L167" s="154">
        <f t="shared" si="7"/>
        <v>7.0000000000000007E-2</v>
      </c>
      <c r="M167" s="154">
        <f t="shared" si="8"/>
        <v>0.18</v>
      </c>
      <c r="N167" s="145"/>
      <c r="O167" s="168" t="str">
        <f>VLOOKUP(C167,'New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168" spans="1:15" ht="120">
      <c r="A168" s="102" t="s">
        <v>14</v>
      </c>
      <c r="B168" s="103" t="s">
        <v>1681</v>
      </c>
      <c r="C168" s="103" t="s">
        <v>2311</v>
      </c>
      <c r="D168" s="102" t="s">
        <v>2312</v>
      </c>
      <c r="E168" s="103" t="s">
        <v>209</v>
      </c>
      <c r="F168" s="102" t="s">
        <v>1612</v>
      </c>
      <c r="G168" s="103" t="s">
        <v>20</v>
      </c>
      <c r="H168" s="103">
        <v>201612</v>
      </c>
      <c r="I168" s="104">
        <v>0.2</v>
      </c>
      <c r="J168" s="144">
        <f t="shared" si="6"/>
        <v>5</v>
      </c>
      <c r="K168" s="148">
        <v>2.23333E-3</v>
      </c>
      <c r="L168" s="154">
        <f t="shared" si="7"/>
        <v>0</v>
      </c>
      <c r="M168" s="154">
        <f t="shared" si="8"/>
        <v>0.01</v>
      </c>
      <c r="N168" s="145"/>
      <c r="O168" s="168" t="str">
        <f>VLOOKUP(C168,'New Wo Detailed Descr Rev'!$A$5:$D$287,4)</f>
        <v>Install 1229 ft of 4 in PE on Mechanic St (Route 7) between Lexington and Lake and north on Marler from Mechanic to Wall St. in Harrisonville, MO.  Abandon 40 ft of 4 in PE, 883 ft of 3 in bare steel,and 315 ft of 4 in steel. - Main on Mechanic is in conflict with proposed sewer and road improvements by the Missouri Department of Transportation. Main to be replaced on Marler is bare steel. Work is not reimbursable. Work is ISRS recoverable.MODOT PERMIT REQUIRED.</v>
      </c>
    </row>
    <row r="169" spans="1:15" ht="75">
      <c r="A169" s="102" t="s">
        <v>626</v>
      </c>
      <c r="B169" s="103" t="s">
        <v>1681</v>
      </c>
      <c r="C169" s="103" t="s">
        <v>2313</v>
      </c>
      <c r="D169" s="102" t="s">
        <v>2314</v>
      </c>
      <c r="E169" s="103" t="s">
        <v>260</v>
      </c>
      <c r="F169" s="102" t="s">
        <v>1608</v>
      </c>
      <c r="G169" s="103" t="s">
        <v>20</v>
      </c>
      <c r="H169" s="103">
        <v>201612</v>
      </c>
      <c r="I169" s="104">
        <v>133.21</v>
      </c>
      <c r="J169" s="144">
        <f t="shared" si="6"/>
        <v>5</v>
      </c>
      <c r="K169" s="155">
        <v>1.4833299999999999E-3</v>
      </c>
      <c r="L169" s="154">
        <f t="shared" si="7"/>
        <v>0.99</v>
      </c>
      <c r="M169" s="154">
        <f t="shared" si="8"/>
        <v>2.37</v>
      </c>
      <c r="N169" s="145"/>
      <c r="O169" s="168" t="str">
        <f>VLOOKUP(C169,'New Wo Detailed Descr Rev'!$A$5:$D$287,4)</f>
        <v>Abandon 5,525' - 2" Steel due to multiple CP and isolated steel and replace with 7,625' 2" PE - South St &amp; Faulkner in Marionville. - Project Location: Marionville; Pressure System: S-0006; MOP: 30 psig; MAOP: 30 psig; Design: 66 psig; Test: 100 psig; 47 - Services, ISRS $35.71/ft ($268,174.76)</v>
      </c>
    </row>
    <row r="170" spans="1:15" ht="60">
      <c r="A170" s="102" t="s">
        <v>21</v>
      </c>
      <c r="B170" s="103" t="s">
        <v>1681</v>
      </c>
      <c r="C170" s="103" t="s">
        <v>2315</v>
      </c>
      <c r="D170" s="102" t="s">
        <v>2316</v>
      </c>
      <c r="E170" s="103" t="s">
        <v>164</v>
      </c>
      <c r="F170" s="102" t="s">
        <v>1600</v>
      </c>
      <c r="G170" s="103" t="s">
        <v>20</v>
      </c>
      <c r="H170" s="103">
        <v>201612</v>
      </c>
      <c r="I170" s="104">
        <v>-0.01</v>
      </c>
      <c r="J170" s="144">
        <f t="shared" si="6"/>
        <v>5</v>
      </c>
      <c r="K170" s="155">
        <v>1.4833299999999999E-3</v>
      </c>
      <c r="L170" s="154">
        <f t="shared" si="7"/>
        <v>0</v>
      </c>
      <c r="M170" s="154">
        <f t="shared" si="8"/>
        <v>0</v>
      </c>
      <c r="N170" s="145"/>
      <c r="O170" s="168" t="str">
        <f>VLOOKUP(C170,'New Wo Detailed Descr Rev'!$A$5:$D$287,4)</f>
        <v>Install 6439' of 2'' PE and 3027' of 4'' PE. Abandon 230' of 2'' PL, 220' of 2’’ ST, 28’ of 4’’ PL, 4024’ of 4’’ STL, 4944’ of 6’’ CI, 320’ of 6’’ STL. Existing PE main in the project area will be uprated. - FY16 Main replacement program for St. Joseph, MO</v>
      </c>
    </row>
    <row r="171" spans="1:15" ht="60">
      <c r="A171" s="102" t="s">
        <v>626</v>
      </c>
      <c r="B171" s="103" t="s">
        <v>1681</v>
      </c>
      <c r="C171" s="103" t="s">
        <v>2315</v>
      </c>
      <c r="D171" s="102" t="s">
        <v>2316</v>
      </c>
      <c r="E171" s="103" t="s">
        <v>164</v>
      </c>
      <c r="F171" s="102" t="s">
        <v>1600</v>
      </c>
      <c r="G171" s="103" t="s">
        <v>20</v>
      </c>
      <c r="H171" s="103">
        <v>201612</v>
      </c>
      <c r="I171" s="104">
        <v>-13.77</v>
      </c>
      <c r="J171" s="144">
        <f t="shared" si="6"/>
        <v>5</v>
      </c>
      <c r="K171" s="155">
        <v>1.4833299999999999E-3</v>
      </c>
      <c r="L171" s="154">
        <f t="shared" si="7"/>
        <v>-0.1</v>
      </c>
      <c r="M171" s="154">
        <f t="shared" si="8"/>
        <v>-0.25</v>
      </c>
      <c r="N171" s="145"/>
      <c r="O171" s="168" t="str">
        <f>VLOOKUP(C171,'New Wo Detailed Descr Rev'!$A$5:$D$287,4)</f>
        <v>Install 6439' of 2'' PE and 3027' of 4'' PE. Abandon 230' of 2'' PL, 220' of 2’’ ST, 28’ of 4’’ PL, 4024’ of 4’’ STL, 4944’ of 6’’ CI, 320’ of 6’’ STL. Existing PE main in the project area will be uprated. - FY16 Main replacement program for St. Joseph, MO</v>
      </c>
    </row>
    <row r="172" spans="1:15" ht="60">
      <c r="A172" s="102" t="s">
        <v>14</v>
      </c>
      <c r="B172" s="103" t="s">
        <v>1681</v>
      </c>
      <c r="C172" s="103" t="s">
        <v>2315</v>
      </c>
      <c r="D172" s="102" t="s">
        <v>2316</v>
      </c>
      <c r="E172" s="103" t="s">
        <v>164</v>
      </c>
      <c r="F172" s="102" t="s">
        <v>1600</v>
      </c>
      <c r="G172" s="103" t="s">
        <v>20</v>
      </c>
      <c r="H172" s="103">
        <v>201612</v>
      </c>
      <c r="I172" s="104">
        <v>-5.89</v>
      </c>
      <c r="J172" s="144">
        <f t="shared" si="6"/>
        <v>5</v>
      </c>
      <c r="K172" s="148">
        <v>2.23333E-3</v>
      </c>
      <c r="L172" s="154">
        <f t="shared" si="7"/>
        <v>-7.0000000000000007E-2</v>
      </c>
      <c r="M172" s="154">
        <f t="shared" si="8"/>
        <v>-0.16</v>
      </c>
      <c r="N172" s="145"/>
      <c r="O172" s="168" t="str">
        <f>VLOOKUP(C172,'New Wo Detailed Descr Rev'!$A$5:$D$287,4)</f>
        <v>Install 6439' of 2'' PE and 3027' of 4'' PE. Abandon 230' of 2'' PL, 220' of 2’’ ST, 28’ of 4’’ PL, 4024’ of 4’’ STL, 4944’ of 6’’ CI, 320’ of 6’’ STL. Existing PE main in the project area will be uprated. - FY16 Main replacement program for St. Joseph, MO</v>
      </c>
    </row>
    <row r="173" spans="1:15" ht="90">
      <c r="A173" s="102" t="s">
        <v>626</v>
      </c>
      <c r="B173" s="103" t="s">
        <v>1681</v>
      </c>
      <c r="C173" s="103" t="s">
        <v>2334</v>
      </c>
      <c r="D173" s="102" t="s">
        <v>2335</v>
      </c>
      <c r="E173" s="103" t="s">
        <v>164</v>
      </c>
      <c r="F173" s="102" t="s">
        <v>1600</v>
      </c>
      <c r="G173" s="103" t="s">
        <v>20</v>
      </c>
      <c r="H173" s="103">
        <v>201612</v>
      </c>
      <c r="I173" s="104">
        <v>1529.02</v>
      </c>
      <c r="J173" s="144">
        <f t="shared" si="6"/>
        <v>5</v>
      </c>
      <c r="K173" s="155">
        <v>1.4833299999999999E-3</v>
      </c>
      <c r="L173" s="154">
        <f t="shared" si="7"/>
        <v>11.34</v>
      </c>
      <c r="M173" s="154">
        <f t="shared" si="8"/>
        <v>27.22</v>
      </c>
      <c r="N173" s="145"/>
      <c r="O173" s="168" t="str">
        <f>VLOOKUP(C173,'New Wo Detailed Descr Rev'!$A$5:$D$287,4)</f>
        <v>Install 1450 ft of 4 in and 355 ft of 2 in PL IP main on E Mill St and W Liberty Dr. Abandon 58 ft of 4 in PL, 255 ft of 2 in Steel, 9 ft of 4 in Steel, 760 ft of 5 in Steel, and 609 ft of 6 in Steel main at the same location. - Total Service Estimate: 20 Service Tie-Overs.  Main is being installed as part of the FY 2016 Bare Steel Replacement Program.</v>
      </c>
    </row>
    <row r="174" spans="1:15" ht="75">
      <c r="A174" s="102" t="s">
        <v>626</v>
      </c>
      <c r="B174" s="103" t="s">
        <v>1681</v>
      </c>
      <c r="C174" s="103" t="s">
        <v>2336</v>
      </c>
      <c r="D174" s="102" t="s">
        <v>2337</v>
      </c>
      <c r="E174" s="103" t="s">
        <v>164</v>
      </c>
      <c r="F174" s="102" t="s">
        <v>1600</v>
      </c>
      <c r="G174" s="103" t="s">
        <v>20</v>
      </c>
      <c r="H174" s="103">
        <v>201612</v>
      </c>
      <c r="I174" s="104">
        <v>9142.4699999999993</v>
      </c>
      <c r="J174" s="144">
        <f t="shared" si="6"/>
        <v>5</v>
      </c>
      <c r="K174" s="155">
        <v>1.4833299999999999E-3</v>
      </c>
      <c r="L174" s="154">
        <f t="shared" si="7"/>
        <v>67.81</v>
      </c>
      <c r="M174" s="154">
        <f t="shared" si="8"/>
        <v>162.74</v>
      </c>
      <c r="N174" s="145"/>
      <c r="O174" s="168" t="str">
        <f>VLOOKUP(C174,'New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175" spans="1:15" ht="75">
      <c r="A175" s="102" t="s">
        <v>14</v>
      </c>
      <c r="B175" s="103" t="s">
        <v>1681</v>
      </c>
      <c r="C175" s="103" t="s">
        <v>2336</v>
      </c>
      <c r="D175" s="102" t="s">
        <v>2337</v>
      </c>
      <c r="E175" s="103" t="s">
        <v>164</v>
      </c>
      <c r="F175" s="102" t="s">
        <v>1600</v>
      </c>
      <c r="G175" s="103" t="s">
        <v>20</v>
      </c>
      <c r="H175" s="103">
        <v>201612</v>
      </c>
      <c r="I175" s="104">
        <v>37.880000000000003</v>
      </c>
      <c r="J175" s="144">
        <f t="shared" si="6"/>
        <v>5</v>
      </c>
      <c r="K175" s="148">
        <v>2.23333E-3</v>
      </c>
      <c r="L175" s="154">
        <f t="shared" si="7"/>
        <v>0.42</v>
      </c>
      <c r="M175" s="154">
        <f t="shared" si="8"/>
        <v>1.02</v>
      </c>
      <c r="N175" s="145"/>
      <c r="O175" s="168" t="str">
        <f>VLOOKUP(C175,'New Wo Detailed Descr Rev'!$A$5:$D$287,4)</f>
        <v>Install 5130’ of 2’’ PL IP Main - Liberty Grid Ph A . Abandon 595’ of 3’’ and 1209’ of 4’’ PBS, 2339’ of 4’’ and 90’ of 6’’ PCS (Majority installed Prior to 1966),260’ of 1-1/4’’ and 100’ of 2’’ PL LP main. Uprate 2866’ of 2’’ PL LP main to IP. - Main is being replaced as part of the FY 2016 Bare Steel Main Replacement Program.</v>
      </c>
    </row>
    <row r="176" spans="1:15" ht="90">
      <c r="A176" s="102" t="s">
        <v>626</v>
      </c>
      <c r="B176" s="103" t="s">
        <v>1681</v>
      </c>
      <c r="C176" s="103" t="s">
        <v>2338</v>
      </c>
      <c r="D176" s="102" t="s">
        <v>2339</v>
      </c>
      <c r="E176" s="103" t="s">
        <v>164</v>
      </c>
      <c r="F176" s="102" t="s">
        <v>1600</v>
      </c>
      <c r="G176" s="103" t="s">
        <v>20</v>
      </c>
      <c r="H176" s="103">
        <v>201612</v>
      </c>
      <c r="I176" s="104">
        <v>687.79</v>
      </c>
      <c r="J176" s="144">
        <f t="shared" si="6"/>
        <v>5</v>
      </c>
      <c r="K176" s="155">
        <v>1.4833299999999999E-3</v>
      </c>
      <c r="L176" s="154">
        <f t="shared" si="7"/>
        <v>5.0999999999999996</v>
      </c>
      <c r="M176" s="154">
        <f t="shared" si="8"/>
        <v>12.24</v>
      </c>
      <c r="N176" s="145"/>
      <c r="O176" s="168" t="str">
        <f>VLOOKUP(C176,'New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177" spans="1:15" ht="90">
      <c r="A177" s="102" t="s">
        <v>14</v>
      </c>
      <c r="B177" s="103" t="s">
        <v>1681</v>
      </c>
      <c r="C177" s="103" t="s">
        <v>2338</v>
      </c>
      <c r="D177" s="102" t="s">
        <v>2339</v>
      </c>
      <c r="E177" s="103" t="s">
        <v>164</v>
      </c>
      <c r="F177" s="102" t="s">
        <v>1600</v>
      </c>
      <c r="G177" s="103" t="s">
        <v>20</v>
      </c>
      <c r="H177" s="103">
        <v>201612</v>
      </c>
      <c r="I177" s="104">
        <v>5.14</v>
      </c>
      <c r="J177" s="144">
        <f t="shared" si="6"/>
        <v>5</v>
      </c>
      <c r="K177" s="148">
        <v>2.23333E-3</v>
      </c>
      <c r="L177" s="154">
        <f t="shared" si="7"/>
        <v>0.06</v>
      </c>
      <c r="M177" s="154">
        <f t="shared" si="8"/>
        <v>0.14000000000000001</v>
      </c>
      <c r="N177" s="145"/>
      <c r="O177" s="168" t="str">
        <f>VLOOKUP(C177,'New Wo Detailed Descr Rev'!$A$5:$D$287,4)</f>
        <v>Install 2660 ft of 2 in PL IP main - Liberty Grid Ph B. Abandon 118 ft of 4 in PL, 1870 ft of 3 in PBS,1377 ft of 4 in PBS, and 961 ft of 4 in PCS (Majority installed Prior to 1966) LP main. - Uprate ~290' of 2'' PL LP, ~620' of 3'' PL LP, and ~990' of 4'' PL LP main to IP on N Missouri St, McCarty St, and N Water St.  Main is being replaced as part of the FY 2016 Bare Steel Main Replacement Program.</v>
      </c>
    </row>
    <row r="178" spans="1:15" ht="75">
      <c r="A178" s="102" t="s">
        <v>626</v>
      </c>
      <c r="B178" s="103" t="s">
        <v>1681</v>
      </c>
      <c r="C178" s="103" t="s">
        <v>2340</v>
      </c>
      <c r="D178" s="102" t="s">
        <v>2341</v>
      </c>
      <c r="E178" s="103" t="s">
        <v>260</v>
      </c>
      <c r="F178" s="102" t="s">
        <v>1608</v>
      </c>
      <c r="G178" s="103" t="s">
        <v>20</v>
      </c>
      <c r="H178" s="103">
        <v>201612</v>
      </c>
      <c r="I178" s="104">
        <v>10.210000000000001</v>
      </c>
      <c r="J178" s="144">
        <f t="shared" si="6"/>
        <v>5</v>
      </c>
      <c r="K178" s="155">
        <v>1.4833299999999999E-3</v>
      </c>
      <c r="L178" s="154">
        <f t="shared" si="7"/>
        <v>0.08</v>
      </c>
      <c r="M178" s="154">
        <f t="shared" si="8"/>
        <v>0.18</v>
      </c>
      <c r="N178" s="145"/>
      <c r="O178" s="168" t="str">
        <f>VLOOKUP(C178,'New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79" spans="1:15" ht="75">
      <c r="A179" s="102" t="s">
        <v>14</v>
      </c>
      <c r="B179" s="103" t="s">
        <v>1681</v>
      </c>
      <c r="C179" s="103" t="s">
        <v>2340</v>
      </c>
      <c r="D179" s="102" t="s">
        <v>2341</v>
      </c>
      <c r="E179" s="103" t="s">
        <v>260</v>
      </c>
      <c r="F179" s="102" t="s">
        <v>1608</v>
      </c>
      <c r="G179" s="103" t="s">
        <v>20</v>
      </c>
      <c r="H179" s="103">
        <v>201612</v>
      </c>
      <c r="I179" s="104">
        <v>0.14000000000000001</v>
      </c>
      <c r="J179" s="144">
        <f t="shared" si="6"/>
        <v>5</v>
      </c>
      <c r="K179" s="148">
        <v>2.23333E-3</v>
      </c>
      <c r="L179" s="154">
        <f t="shared" si="7"/>
        <v>0</v>
      </c>
      <c r="M179" s="154">
        <f t="shared" si="8"/>
        <v>0</v>
      </c>
      <c r="N179" s="145"/>
      <c r="O179" s="168" t="str">
        <f>VLOOKUP(C179,'New Wo Detailed Descr Rev'!$A$5:$D$287,4)</f>
        <v>Install 466 Ft of 2in PL IP, 2686 Ft of 4in PL MP and abandon 117 Ft of 1.25in PL IP main, 20 Ft of 3in PL IP, 15 Ft of 4 in PL IP, 100 Ft of 1in ST IP, 2790 Ft of 3 in ST IP, and 223 Ft of 12 in ST IP main in Leawood, Mo - 48th &amp; Range Line. - Main being replaced due to cathodic protection - corrosion issues.</v>
      </c>
    </row>
    <row r="180" spans="1:15" ht="240">
      <c r="A180" s="102" t="s">
        <v>626</v>
      </c>
      <c r="B180" s="103" t="s">
        <v>1681</v>
      </c>
      <c r="C180" s="103" t="s">
        <v>2342</v>
      </c>
      <c r="D180" s="102" t="s">
        <v>2343</v>
      </c>
      <c r="E180" s="103" t="s">
        <v>75</v>
      </c>
      <c r="F180" s="102" t="s">
        <v>1602</v>
      </c>
      <c r="G180" s="103" t="s">
        <v>20</v>
      </c>
      <c r="H180" s="103">
        <v>201612</v>
      </c>
      <c r="I180" s="104">
        <v>1943.6</v>
      </c>
      <c r="J180" s="144">
        <f t="shared" si="6"/>
        <v>5</v>
      </c>
      <c r="K180" s="155">
        <v>1.4833299999999999E-3</v>
      </c>
      <c r="L180" s="154">
        <f t="shared" si="7"/>
        <v>14.42</v>
      </c>
      <c r="M180" s="154">
        <f t="shared" si="8"/>
        <v>34.6</v>
      </c>
      <c r="N180" s="145"/>
      <c r="O180" s="168" t="str">
        <f>VLOOKUP(C180,'New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81" spans="1:15" ht="240">
      <c r="A181" s="102" t="s">
        <v>14</v>
      </c>
      <c r="B181" s="103" t="s">
        <v>1681</v>
      </c>
      <c r="C181" s="103" t="s">
        <v>2342</v>
      </c>
      <c r="D181" s="102" t="s">
        <v>2343</v>
      </c>
      <c r="E181" s="103" t="s">
        <v>75</v>
      </c>
      <c r="F181" s="102" t="s">
        <v>1602</v>
      </c>
      <c r="G181" s="103" t="s">
        <v>20</v>
      </c>
      <c r="H181" s="103">
        <v>201612</v>
      </c>
      <c r="I181" s="104">
        <v>7.0000000000000007E-2</v>
      </c>
      <c r="J181" s="144">
        <f t="shared" si="6"/>
        <v>5</v>
      </c>
      <c r="K181" s="148">
        <v>2.23333E-3</v>
      </c>
      <c r="L181" s="154">
        <f t="shared" si="7"/>
        <v>0</v>
      </c>
      <c r="M181" s="154">
        <f t="shared" si="8"/>
        <v>0</v>
      </c>
      <c r="N181" s="145"/>
      <c r="O181" s="168" t="str">
        <f>VLOOKUP(C181,'New Wo Detailed Descr Rev'!$A$5:$D$287,4)</f>
        <v>Install 6762 Ft of 2 in and 2335 Ft of 4 in PL IP main for Tipton Grid Phase A. Abandon 8636 Ft various main - see Notes section.  Main is being replaced as part of the FY16 Bare Steel Replacement Program -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82" spans="1:15" ht="60">
      <c r="A182" s="102" t="s">
        <v>626</v>
      </c>
      <c r="B182" s="103" t="s">
        <v>1681</v>
      </c>
      <c r="C182" s="103" t="s">
        <v>2344</v>
      </c>
      <c r="D182" s="102" t="s">
        <v>2345</v>
      </c>
      <c r="E182" s="103" t="s">
        <v>75</v>
      </c>
      <c r="F182" s="102" t="s">
        <v>1602</v>
      </c>
      <c r="G182" s="103" t="s">
        <v>20</v>
      </c>
      <c r="H182" s="103">
        <v>201612</v>
      </c>
      <c r="I182" s="104">
        <v>4788.9799999999996</v>
      </c>
      <c r="J182" s="144">
        <f t="shared" si="6"/>
        <v>5</v>
      </c>
      <c r="K182" s="155">
        <v>1.4833299999999999E-3</v>
      </c>
      <c r="L182" s="154">
        <f t="shared" si="7"/>
        <v>35.520000000000003</v>
      </c>
      <c r="M182" s="154">
        <f t="shared" si="8"/>
        <v>85.24</v>
      </c>
      <c r="N182" s="145"/>
      <c r="O182" s="168" t="str">
        <f>VLOOKUP(C182,'New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83" spans="1:15" ht="60">
      <c r="A183" s="102" t="s">
        <v>14</v>
      </c>
      <c r="B183" s="103" t="s">
        <v>1681</v>
      </c>
      <c r="C183" s="103" t="s">
        <v>2344</v>
      </c>
      <c r="D183" s="102" t="s">
        <v>2345</v>
      </c>
      <c r="E183" s="103" t="s">
        <v>75</v>
      </c>
      <c r="F183" s="102" t="s">
        <v>1602</v>
      </c>
      <c r="G183" s="103" t="s">
        <v>20</v>
      </c>
      <c r="H183" s="103">
        <v>201612</v>
      </c>
      <c r="I183" s="104">
        <v>1.1200000000000001</v>
      </c>
      <c r="J183" s="144">
        <f t="shared" si="6"/>
        <v>5</v>
      </c>
      <c r="K183" s="148">
        <v>2.23333E-3</v>
      </c>
      <c r="L183" s="154">
        <f t="shared" si="7"/>
        <v>0.01</v>
      </c>
      <c r="M183" s="154">
        <f t="shared" si="8"/>
        <v>0.03</v>
      </c>
      <c r="N183" s="145"/>
      <c r="O183" s="168" t="str">
        <f>VLOOKUP(C183,'New Wo Detailed Descr Rev'!$A$5:$D$287,4)</f>
        <v>Install 4529 Ft of 2 in PL and 2863 Ft of 4 in PL MP Main for Tipton Phase C. Abandon 2168 Ft of 2 in and 74 Ft of 4 in PCS (Majority poorly coated), 4819 Ft of 2 in PBS and 138 Ft of 3 in PBS MP Main. - Total services are 79. FY 2016 Bare Steel Replacement Program</v>
      </c>
    </row>
    <row r="184" spans="1:15" ht="90">
      <c r="A184" s="102" t="s">
        <v>626</v>
      </c>
      <c r="B184" s="103" t="s">
        <v>1681</v>
      </c>
      <c r="C184" s="103" t="s">
        <v>2346</v>
      </c>
      <c r="D184" s="102" t="s">
        <v>2347</v>
      </c>
      <c r="E184" s="103" t="s">
        <v>75</v>
      </c>
      <c r="F184" s="102" t="s">
        <v>1602</v>
      </c>
      <c r="G184" s="103" t="s">
        <v>20</v>
      </c>
      <c r="H184" s="103">
        <v>201612</v>
      </c>
      <c r="I184" s="104">
        <v>-520.87</v>
      </c>
      <c r="J184" s="144">
        <f t="shared" si="6"/>
        <v>5</v>
      </c>
      <c r="K184" s="155">
        <v>1.4833299999999999E-3</v>
      </c>
      <c r="L184" s="154">
        <f t="shared" si="7"/>
        <v>-3.86</v>
      </c>
      <c r="M184" s="154">
        <f t="shared" si="8"/>
        <v>-9.27</v>
      </c>
      <c r="N184" s="145"/>
      <c r="O184" s="168" t="str">
        <f>VLOOKUP(C184,'New Wo Detailed Descr Rev'!$A$5:$D$287,4)</f>
        <v>Install 1277 Ft of 4 in and 1089 Ft of 2 in PL MP Main on Briar, S. Ferguson &amp; Prospect St (Tipton Grid Ph D). Abandon 1997 Ft of 3 in PCS and 388 Ft of 2 in PBS MP main at the above locations. - Total Service Tie overs = 20; Total Service Abandon = 1; Total Service uprate = 0  This main is being replaced as part of the FY16 Bare Steel Replacement Program.</v>
      </c>
    </row>
    <row r="185" spans="1:15" ht="120">
      <c r="A185" s="102" t="s">
        <v>626</v>
      </c>
      <c r="B185" s="103" t="s">
        <v>1681</v>
      </c>
      <c r="C185" s="103" t="s">
        <v>2348</v>
      </c>
      <c r="D185" s="102" t="s">
        <v>2349</v>
      </c>
      <c r="E185" s="103" t="s">
        <v>75</v>
      </c>
      <c r="F185" s="102" t="s">
        <v>1602</v>
      </c>
      <c r="G185" s="103" t="s">
        <v>20</v>
      </c>
      <c r="H185" s="103">
        <v>201612</v>
      </c>
      <c r="I185" s="104">
        <v>5751.91</v>
      </c>
      <c r="J185" s="144">
        <f t="shared" si="6"/>
        <v>5</v>
      </c>
      <c r="K185" s="155">
        <v>1.4833299999999999E-3</v>
      </c>
      <c r="L185" s="154">
        <f t="shared" si="7"/>
        <v>42.66</v>
      </c>
      <c r="M185" s="154">
        <f t="shared" si="8"/>
        <v>102.38</v>
      </c>
      <c r="N185" s="145"/>
      <c r="O185" s="168" t="str">
        <f>VLOOKUP(C185,'New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86" spans="1:15" ht="120">
      <c r="A186" s="102" t="s">
        <v>14</v>
      </c>
      <c r="B186" s="103" t="s">
        <v>1681</v>
      </c>
      <c r="C186" s="103" t="s">
        <v>2348</v>
      </c>
      <c r="D186" s="102" t="s">
        <v>2349</v>
      </c>
      <c r="E186" s="103" t="s">
        <v>75</v>
      </c>
      <c r="F186" s="102" t="s">
        <v>1602</v>
      </c>
      <c r="G186" s="103" t="s">
        <v>20</v>
      </c>
      <c r="H186" s="103">
        <v>201612</v>
      </c>
      <c r="I186" s="104">
        <v>2.2599999999999998</v>
      </c>
      <c r="J186" s="144">
        <f t="shared" si="6"/>
        <v>5</v>
      </c>
      <c r="K186" s="148">
        <v>2.23333E-3</v>
      </c>
      <c r="L186" s="154">
        <f t="shared" si="7"/>
        <v>0.03</v>
      </c>
      <c r="M186" s="154">
        <f t="shared" si="8"/>
        <v>0.06</v>
      </c>
      <c r="N186" s="145"/>
      <c r="O186" s="168" t="str">
        <f>VLOOKUP(C186,'New Wo Detailed Descr Rev'!$A$5:$D$287,4)</f>
        <v>Install 7556 Ft of 2 and 4125 Ft of 4 in PL IP. Abandon 93 Ft of 2 in PL, 1309 Ft of 2 in PBS, 3197 Ft of 2 in PCS, 95 Ft of 3 in PL, 2548 Ft of 3 in PBS, 443 Ft of 3 in PCS, 657 Ft of 4 in PL, 3243 Ft of 4 in PBS on various streets - Tipton Grid Ph B. - Also abandon 403 Ft. 4 in. PCS MP Main at the above location. Total service tie-overs = 121; Total service renewals = 12; Total service abandon = 27 This main is being replaced as part of the FY16 Bare Steel Replacement Program.</v>
      </c>
    </row>
    <row r="187" spans="1:15" ht="75">
      <c r="A187" s="102" t="s">
        <v>626</v>
      </c>
      <c r="B187" s="103" t="s">
        <v>1681</v>
      </c>
      <c r="C187" s="103" t="s">
        <v>2350</v>
      </c>
      <c r="D187" s="102" t="s">
        <v>2351</v>
      </c>
      <c r="E187" s="103" t="s">
        <v>75</v>
      </c>
      <c r="F187" s="102" t="s">
        <v>1602</v>
      </c>
      <c r="G187" s="103" t="s">
        <v>20</v>
      </c>
      <c r="H187" s="103">
        <v>201612</v>
      </c>
      <c r="I187" s="104">
        <v>22859.34</v>
      </c>
      <c r="J187" s="144">
        <f t="shared" si="6"/>
        <v>5</v>
      </c>
      <c r="K187" s="155">
        <v>1.4833299999999999E-3</v>
      </c>
      <c r="L187" s="154">
        <f t="shared" si="7"/>
        <v>169.54</v>
      </c>
      <c r="M187" s="154">
        <f t="shared" si="8"/>
        <v>406.9</v>
      </c>
      <c r="N187" s="145"/>
      <c r="O187" s="168" t="str">
        <f>VLOOKUP(C187,'New Wo Detailed Descr Rev'!$A$5:$D$287,4)</f>
        <v>Inst 8563ft 2in, 3479ft of 4in, and 1634ft of 6in PL MP main for Tipton Grid Phase F. Abdn 210ft of 2in PL, 2740ft of 2in, 6115ft of 3in and 865ft of 4in PBS, 3436 Ft of 2 in, 600 Ft of 3 in and 284 Ft of 4 in PCS (Majority poorly coated) MP main. - FY16 Bare Steel Replacement Program.</v>
      </c>
    </row>
    <row r="188" spans="1:15" ht="60">
      <c r="A188" s="102" t="s">
        <v>626</v>
      </c>
      <c r="B188" s="103" t="s">
        <v>1681</v>
      </c>
      <c r="C188" s="103" t="s">
        <v>2352</v>
      </c>
      <c r="D188" s="102" t="s">
        <v>2353</v>
      </c>
      <c r="E188" s="103" t="s">
        <v>75</v>
      </c>
      <c r="F188" s="102" t="s">
        <v>1602</v>
      </c>
      <c r="G188" s="103" t="s">
        <v>20</v>
      </c>
      <c r="H188" s="103">
        <v>201612</v>
      </c>
      <c r="I188" s="104">
        <v>12721.13</v>
      </c>
      <c r="J188" s="144">
        <f t="shared" si="6"/>
        <v>5</v>
      </c>
      <c r="K188" s="155">
        <v>1.4833299999999999E-3</v>
      </c>
      <c r="L188" s="154">
        <f t="shared" si="7"/>
        <v>94.35</v>
      </c>
      <c r="M188" s="154">
        <f t="shared" si="8"/>
        <v>226.44</v>
      </c>
      <c r="N188" s="145"/>
      <c r="O188" s="168" t="str">
        <f>VLOOKUP(C188,'New Wo Detailed Descr Rev'!$A$5:$D$287,4)</f>
        <v>Install 6759 Ft of 2 in and 7361 Ft of 4 in PL IP Main for Tipton Grid Phase E. Abandon 25 Ft of 2 in PL, 6846 Ft of 2 in Steel, 5266 Ft of 3 in Steel and 200 Ft of 4 in Steel MP and IP main. FY16 Bare Steel Replacement Program. - 0</v>
      </c>
    </row>
    <row r="189" spans="1:15" ht="60">
      <c r="A189" s="102" t="s">
        <v>14</v>
      </c>
      <c r="B189" s="103" t="s">
        <v>1681</v>
      </c>
      <c r="C189" s="103" t="s">
        <v>2352</v>
      </c>
      <c r="D189" s="102" t="s">
        <v>2353</v>
      </c>
      <c r="E189" s="103" t="s">
        <v>75</v>
      </c>
      <c r="F189" s="102" t="s">
        <v>1602</v>
      </c>
      <c r="G189" s="103" t="s">
        <v>20</v>
      </c>
      <c r="H189" s="103">
        <v>201612</v>
      </c>
      <c r="I189" s="104">
        <v>20.71</v>
      </c>
      <c r="J189" s="144">
        <f t="shared" si="6"/>
        <v>5</v>
      </c>
      <c r="K189" s="148">
        <v>2.23333E-3</v>
      </c>
      <c r="L189" s="154">
        <f t="shared" si="7"/>
        <v>0.23</v>
      </c>
      <c r="M189" s="154">
        <f t="shared" si="8"/>
        <v>0.56000000000000005</v>
      </c>
      <c r="N189" s="145"/>
      <c r="O189" s="168" t="str">
        <f>VLOOKUP(C189,'New Wo Detailed Descr Rev'!$A$5:$D$287,4)</f>
        <v>Install 6759 Ft of 2 in and 7361 Ft of 4 in PL IP Main for Tipton Grid Phase E. Abandon 25 Ft of 2 in PL, 6846 Ft of 2 in Steel, 5266 Ft of 3 in Steel and 200 Ft of 4 in Steel MP and IP main. FY16 Bare Steel Replacement Program. - 0</v>
      </c>
    </row>
    <row r="190" spans="1:15" ht="75">
      <c r="A190" s="102" t="s">
        <v>626</v>
      </c>
      <c r="B190" s="103" t="s">
        <v>1681</v>
      </c>
      <c r="C190" s="103" t="s">
        <v>2354</v>
      </c>
      <c r="D190" s="102" t="s">
        <v>2355</v>
      </c>
      <c r="E190" s="103" t="s">
        <v>164</v>
      </c>
      <c r="F190" s="102" t="s">
        <v>1600</v>
      </c>
      <c r="G190" s="103" t="s">
        <v>20</v>
      </c>
      <c r="H190" s="103">
        <v>201612</v>
      </c>
      <c r="I190" s="104">
        <v>333.5</v>
      </c>
      <c r="J190" s="144">
        <f t="shared" si="6"/>
        <v>5</v>
      </c>
      <c r="K190" s="155">
        <v>1.4833299999999999E-3</v>
      </c>
      <c r="L190" s="154">
        <f t="shared" si="7"/>
        <v>2.4700000000000002</v>
      </c>
      <c r="M190" s="154">
        <f t="shared" si="8"/>
        <v>5.94</v>
      </c>
      <c r="N190" s="145"/>
      <c r="O190" s="168" t="str">
        <f>VLOOKUP(C190,'New Wo Detailed Descr Rev'!$A$5:$D$287,4)</f>
        <v>Install ~5685 feet of 4 inch PLS. IP Main on Corbin St, N Grover St, Nwater St, Doniphan St, N Lightburne St, Miller St, and Jewel St. Total Service Estimate: 41 Service Tie-Overs. Replacement Program. - Main is being installed as part of the FY 2016 Bare Steel.  Work order estimates also contain 100 ft 2in Pl.</v>
      </c>
    </row>
    <row r="191" spans="1:15" ht="105">
      <c r="A191" s="102" t="s">
        <v>626</v>
      </c>
      <c r="B191" s="103" t="s">
        <v>1681</v>
      </c>
      <c r="C191" s="103" t="s">
        <v>2358</v>
      </c>
      <c r="D191" s="102" t="s">
        <v>2359</v>
      </c>
      <c r="E191" s="103" t="s">
        <v>75</v>
      </c>
      <c r="F191" s="102" t="s">
        <v>1602</v>
      </c>
      <c r="G191" s="103" t="s">
        <v>20</v>
      </c>
      <c r="H191" s="103">
        <v>201612</v>
      </c>
      <c r="I191" s="104">
        <v>1925.7</v>
      </c>
      <c r="J191" s="144">
        <f t="shared" si="6"/>
        <v>5</v>
      </c>
      <c r="K191" s="155">
        <v>1.4833299999999999E-3</v>
      </c>
      <c r="L191" s="154">
        <f t="shared" si="7"/>
        <v>14.28</v>
      </c>
      <c r="M191" s="154">
        <f t="shared" si="8"/>
        <v>34.28</v>
      </c>
      <c r="N191" s="145"/>
      <c r="O191" s="168" t="str">
        <f>VLOOKUP(C191,'New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92" spans="1:15" ht="105">
      <c r="A192" s="102" t="s">
        <v>14</v>
      </c>
      <c r="B192" s="103" t="s">
        <v>1681</v>
      </c>
      <c r="C192" s="103" t="s">
        <v>2358</v>
      </c>
      <c r="D192" s="102" t="s">
        <v>2359</v>
      </c>
      <c r="E192" s="103" t="s">
        <v>75</v>
      </c>
      <c r="F192" s="102" t="s">
        <v>1602</v>
      </c>
      <c r="G192" s="103" t="s">
        <v>20</v>
      </c>
      <c r="H192" s="103">
        <v>201612</v>
      </c>
      <c r="I192" s="104">
        <v>21.7</v>
      </c>
      <c r="J192" s="144">
        <f t="shared" si="6"/>
        <v>5</v>
      </c>
      <c r="K192" s="148">
        <v>2.23333E-3</v>
      </c>
      <c r="L192" s="154">
        <f t="shared" si="7"/>
        <v>0.24</v>
      </c>
      <c r="M192" s="154">
        <f t="shared" si="8"/>
        <v>0.57999999999999996</v>
      </c>
      <c r="N192" s="145"/>
      <c r="O192" s="168" t="str">
        <f>VLOOKUP(C192,'New Wo Detailed Descr Rev'!$A$5:$D$287,4)</f>
        <v>Install 4030 Ft of 2 in PL IP main for Holden Phase 2I. Abandon 1951 Ft of 2 in PL, 6163 Ft of 2 in ST, 3809 Ft of 3 in ST main, 350 Ft of 4 in PL main, 710 Ft of 4 in ST main and 1015 Ft of 6 in ST main. FY16 Bare Steel Replacement Program. - Uprate ~ 2071 Ft of 4 in PL LP main IP main in Olive/ MO-131.Total Service Tie-over =58; Total Service Replacement = 2; Total Service Abandoned = 16; Total Service Upgrade = 17</v>
      </c>
    </row>
    <row r="193" spans="1:15" ht="90">
      <c r="A193" s="102" t="s">
        <v>626</v>
      </c>
      <c r="B193" s="103" t="s">
        <v>1681</v>
      </c>
      <c r="C193" s="103" t="s">
        <v>2360</v>
      </c>
      <c r="D193" s="102" t="s">
        <v>2361</v>
      </c>
      <c r="E193" s="103" t="s">
        <v>75</v>
      </c>
      <c r="F193" s="102" t="s">
        <v>1602</v>
      </c>
      <c r="G193" s="103" t="s">
        <v>20</v>
      </c>
      <c r="H193" s="103">
        <v>201612</v>
      </c>
      <c r="I193" s="104">
        <v>1129.0899999999999</v>
      </c>
      <c r="J193" s="144">
        <f t="shared" si="6"/>
        <v>5</v>
      </c>
      <c r="K193" s="155">
        <v>1.4833299999999999E-3</v>
      </c>
      <c r="L193" s="154">
        <f t="shared" si="7"/>
        <v>8.3699999999999992</v>
      </c>
      <c r="M193" s="154">
        <f t="shared" si="8"/>
        <v>20.100000000000001</v>
      </c>
      <c r="N193" s="145"/>
      <c r="O193" s="168" t="str">
        <f>VLOOKUP(C193,'New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94" spans="1:15" ht="90">
      <c r="A194" s="102" t="s">
        <v>14</v>
      </c>
      <c r="B194" s="103" t="s">
        <v>1681</v>
      </c>
      <c r="C194" s="103" t="s">
        <v>2360</v>
      </c>
      <c r="D194" s="102" t="s">
        <v>2361</v>
      </c>
      <c r="E194" s="103" t="s">
        <v>75</v>
      </c>
      <c r="F194" s="102" t="s">
        <v>1602</v>
      </c>
      <c r="G194" s="103" t="s">
        <v>20</v>
      </c>
      <c r="H194" s="103">
        <v>201612</v>
      </c>
      <c r="I194" s="104">
        <v>14.72</v>
      </c>
      <c r="J194" s="144">
        <f t="shared" ref="J194:J257" si="9">HLOOKUP(H194,$Q$2:$W$3,2)</f>
        <v>5</v>
      </c>
      <c r="K194" s="148">
        <v>2.23333E-3</v>
      </c>
      <c r="L194" s="154">
        <f t="shared" ref="L194:L257" si="10">ROUND(I194*J194*K194,2)</f>
        <v>0.16</v>
      </c>
      <c r="M194" s="154">
        <f t="shared" ref="M194:M257" si="11">ROUND(I194*K194*12,2)</f>
        <v>0.39</v>
      </c>
      <c r="N194" s="145"/>
      <c r="O194" s="168" t="str">
        <f>VLOOKUP(C194,'New Wo Detailed Descr Rev'!$A$5:$D$287,4)</f>
        <v>Install 7745 Ft of 2 in PL IP main on 4th St, Vine St, MO-58, Main &amp; 9th St. for Holden Ph 2H. Abandon 607 Ft 2in PL, 3401 Ft 2in ST, 1073 Ft 4in PL &amp; 2499 Ft 4 in ST main at above locations. - Total Service Tie-over =71; Total Service Replacement =4; Total Service Abandoned =16; Total Service Upgrade =0. This main is being abandoned as part of FY16 Bare Steel Replacement Program</v>
      </c>
    </row>
    <row r="195" spans="1:15" ht="120">
      <c r="A195" s="102" t="s">
        <v>626</v>
      </c>
      <c r="B195" s="103" t="s">
        <v>1681</v>
      </c>
      <c r="C195" s="103" t="s">
        <v>2362</v>
      </c>
      <c r="D195" s="102" t="s">
        <v>2363</v>
      </c>
      <c r="E195" s="103" t="s">
        <v>75</v>
      </c>
      <c r="F195" s="102" t="s">
        <v>1602</v>
      </c>
      <c r="G195" s="103" t="s">
        <v>20</v>
      </c>
      <c r="H195" s="103">
        <v>201612</v>
      </c>
      <c r="I195" s="104">
        <v>526.04999999999995</v>
      </c>
      <c r="J195" s="144">
        <f t="shared" si="9"/>
        <v>5</v>
      </c>
      <c r="K195" s="155">
        <v>1.4833299999999999E-3</v>
      </c>
      <c r="L195" s="154">
        <f t="shared" si="10"/>
        <v>3.9</v>
      </c>
      <c r="M195" s="154">
        <f t="shared" si="11"/>
        <v>9.36</v>
      </c>
      <c r="N195" s="145"/>
      <c r="O195" s="168" t="str">
        <f>VLOOKUP(C195,'New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96" spans="1:15" ht="120">
      <c r="A196" s="102" t="s">
        <v>14</v>
      </c>
      <c r="B196" s="103" t="s">
        <v>1681</v>
      </c>
      <c r="C196" s="103" t="s">
        <v>2362</v>
      </c>
      <c r="D196" s="102" t="s">
        <v>2363</v>
      </c>
      <c r="E196" s="103" t="s">
        <v>75</v>
      </c>
      <c r="F196" s="102" t="s">
        <v>1602</v>
      </c>
      <c r="G196" s="103" t="s">
        <v>20</v>
      </c>
      <c r="H196" s="103">
        <v>201612</v>
      </c>
      <c r="I196" s="104">
        <v>9.01</v>
      </c>
      <c r="J196" s="144">
        <f t="shared" si="9"/>
        <v>5</v>
      </c>
      <c r="K196" s="148">
        <v>2.23333E-3</v>
      </c>
      <c r="L196" s="154">
        <f t="shared" si="10"/>
        <v>0.1</v>
      </c>
      <c r="M196" s="154">
        <f t="shared" si="11"/>
        <v>0.24</v>
      </c>
      <c r="N196" s="145"/>
      <c r="O196" s="168" t="str">
        <f>VLOOKUP(C196,'New Wo Detailed Descr Rev'!$A$5:$D$287,4)</f>
        <v>Install 4695 Ft of 2 in PL IP main for Holden Phase 2G (Saint Charles St, W 5th St, Buffalo St, Niagara St, S Buffalo St and 8th St.) Abandon 4538 Ft of 2 in Steel and 472 Ft of 2 in PL LP main. - This main is being replaced as part of FY16 Bare Steel Replacement Program.
Uprate ~ 665 Ft of 2 in PL LP main to IP main at 7th St, and Lindy Ln
Total Service Tie-over = 34; Total Service Replacement = 3; Total Service Abandoned = 8; Total Service Upgrade =2</v>
      </c>
    </row>
    <row r="197" spans="1:15" ht="195">
      <c r="A197" s="102" t="s">
        <v>626</v>
      </c>
      <c r="B197" s="103" t="s">
        <v>1681</v>
      </c>
      <c r="C197" s="103" t="s">
        <v>2364</v>
      </c>
      <c r="D197" s="102" t="s">
        <v>2365</v>
      </c>
      <c r="E197" s="103" t="s">
        <v>75</v>
      </c>
      <c r="F197" s="102" t="s">
        <v>1602</v>
      </c>
      <c r="G197" s="103" t="s">
        <v>20</v>
      </c>
      <c r="H197" s="103">
        <v>201612</v>
      </c>
      <c r="I197" s="104">
        <v>1112.7</v>
      </c>
      <c r="J197" s="144">
        <f t="shared" si="9"/>
        <v>5</v>
      </c>
      <c r="K197" s="155">
        <v>1.4833299999999999E-3</v>
      </c>
      <c r="L197" s="154">
        <f t="shared" si="10"/>
        <v>8.25</v>
      </c>
      <c r="M197" s="154">
        <f t="shared" si="11"/>
        <v>19.809999999999999</v>
      </c>
      <c r="N197" s="145"/>
      <c r="O197" s="168" t="str">
        <f>VLOOKUP(C197,'New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98" spans="1:15" ht="195">
      <c r="A198" s="102" t="s">
        <v>14</v>
      </c>
      <c r="B198" s="103" t="s">
        <v>1681</v>
      </c>
      <c r="C198" s="103" t="s">
        <v>2364</v>
      </c>
      <c r="D198" s="102" t="s">
        <v>2365</v>
      </c>
      <c r="E198" s="103" t="s">
        <v>75</v>
      </c>
      <c r="F198" s="102" t="s">
        <v>1602</v>
      </c>
      <c r="G198" s="103" t="s">
        <v>20</v>
      </c>
      <c r="H198" s="103">
        <v>201612</v>
      </c>
      <c r="I198" s="104">
        <v>11.43</v>
      </c>
      <c r="J198" s="144">
        <f t="shared" si="9"/>
        <v>5</v>
      </c>
      <c r="K198" s="148">
        <v>2.23333E-3</v>
      </c>
      <c r="L198" s="154">
        <f t="shared" si="10"/>
        <v>0.13</v>
      </c>
      <c r="M198" s="154">
        <f t="shared" si="11"/>
        <v>0.31</v>
      </c>
      <c r="N198" s="145"/>
      <c r="O198" s="168" t="str">
        <f>VLOOKUP(C198,'New Wo Detailed Descr Rev'!$A$5:$D$287,4)</f>
        <v>Install 1815 Ft of 4 in and 5045 Ft of 2 in PL IP main for Holden Phase 2F. Abandon 3514 Ft of 2 in and 370 Ft of 6 in PBS, 210 Ft of 2 in and 560 Ft of 4 in PCS (Majority poorly coated), 311 Ft of 4 in PL and 10 Ft of 2 in PL LP. -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99" spans="1:15" ht="75">
      <c r="A199" s="102" t="s">
        <v>21</v>
      </c>
      <c r="B199" s="103" t="s">
        <v>1681</v>
      </c>
      <c r="C199" s="103" t="s">
        <v>2366</v>
      </c>
      <c r="D199" s="102" t="s">
        <v>2367</v>
      </c>
      <c r="E199" s="103" t="s">
        <v>75</v>
      </c>
      <c r="F199" s="102" t="s">
        <v>1602</v>
      </c>
      <c r="G199" s="103" t="s">
        <v>20</v>
      </c>
      <c r="H199" s="103">
        <v>201612</v>
      </c>
      <c r="I199" s="104">
        <v>0.09</v>
      </c>
      <c r="J199" s="144">
        <f t="shared" si="9"/>
        <v>5</v>
      </c>
      <c r="K199" s="155">
        <v>1.4833299999999999E-3</v>
      </c>
      <c r="L199" s="154">
        <f t="shared" si="10"/>
        <v>0</v>
      </c>
      <c r="M199" s="154">
        <f t="shared" si="11"/>
        <v>0</v>
      </c>
      <c r="N199" s="145"/>
      <c r="O199" s="168" t="str">
        <f>VLOOKUP(C199,'New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200" spans="1:15" ht="75">
      <c r="A200" s="102" t="s">
        <v>626</v>
      </c>
      <c r="B200" s="103" t="s">
        <v>1681</v>
      </c>
      <c r="C200" s="103" t="s">
        <v>2366</v>
      </c>
      <c r="D200" s="102" t="s">
        <v>2367</v>
      </c>
      <c r="E200" s="103" t="s">
        <v>75</v>
      </c>
      <c r="F200" s="102" t="s">
        <v>1602</v>
      </c>
      <c r="G200" s="103" t="s">
        <v>20</v>
      </c>
      <c r="H200" s="103">
        <v>201612</v>
      </c>
      <c r="I200" s="104">
        <v>640.67999999999995</v>
      </c>
      <c r="J200" s="144">
        <f t="shared" si="9"/>
        <v>5</v>
      </c>
      <c r="K200" s="155">
        <v>1.4833299999999999E-3</v>
      </c>
      <c r="L200" s="154">
        <f t="shared" si="10"/>
        <v>4.75</v>
      </c>
      <c r="M200" s="154">
        <f t="shared" si="11"/>
        <v>11.4</v>
      </c>
      <c r="N200" s="145"/>
      <c r="O200" s="168" t="str">
        <f>VLOOKUP(C200,'New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201" spans="1:15" ht="75">
      <c r="A201" s="102" t="s">
        <v>14</v>
      </c>
      <c r="B201" s="103" t="s">
        <v>1681</v>
      </c>
      <c r="C201" s="103" t="s">
        <v>2366</v>
      </c>
      <c r="D201" s="102" t="s">
        <v>2367</v>
      </c>
      <c r="E201" s="103" t="s">
        <v>75</v>
      </c>
      <c r="F201" s="102" t="s">
        <v>1602</v>
      </c>
      <c r="G201" s="103" t="s">
        <v>20</v>
      </c>
      <c r="H201" s="103">
        <v>201612</v>
      </c>
      <c r="I201" s="104">
        <v>0.84</v>
      </c>
      <c r="J201" s="144">
        <f t="shared" si="9"/>
        <v>5</v>
      </c>
      <c r="K201" s="148">
        <v>2.23333E-3</v>
      </c>
      <c r="L201" s="154">
        <f t="shared" si="10"/>
        <v>0.01</v>
      </c>
      <c r="M201" s="154">
        <f t="shared" si="11"/>
        <v>0.02</v>
      </c>
      <c r="N201" s="145"/>
      <c r="O201" s="168" t="str">
        <f>VLOOKUP(C201,'New Wo Detailed Descr Rev'!$A$5:$D$287,4)</f>
        <v>Inst 6571 Ft of 2 in PL IP Main for Holden Phase 2E. Abandon 89 Ft of 1-1/4 in PL, 3815 Ft of 2 in PBS, 1644 Ft of 2 in, 805 Ft of 3 in and 1517 Ft of 4 in PCS (Majority poorly coated) Main. - Uprate 1318 Ft of 4 in, 220 Ft of 2 in and 344 Ft of 1-1/4 in PL Main to IP.  FY 2016 Bare Steel Replacement Program.</v>
      </c>
    </row>
    <row r="202" spans="1:15" ht="75">
      <c r="A202" s="102" t="s">
        <v>21</v>
      </c>
      <c r="B202" s="103" t="s">
        <v>1681</v>
      </c>
      <c r="C202" s="103" t="s">
        <v>2368</v>
      </c>
      <c r="D202" s="102" t="s">
        <v>2369</v>
      </c>
      <c r="E202" s="103" t="s">
        <v>75</v>
      </c>
      <c r="F202" s="102" t="s">
        <v>1602</v>
      </c>
      <c r="G202" s="103" t="s">
        <v>20</v>
      </c>
      <c r="H202" s="103">
        <v>201612</v>
      </c>
      <c r="I202" s="104">
        <v>0.09</v>
      </c>
      <c r="J202" s="144">
        <f t="shared" si="9"/>
        <v>5</v>
      </c>
      <c r="K202" s="155">
        <v>1.4833299999999999E-3</v>
      </c>
      <c r="L202" s="154">
        <f t="shared" si="10"/>
        <v>0</v>
      </c>
      <c r="M202" s="154">
        <f t="shared" si="11"/>
        <v>0</v>
      </c>
      <c r="N202" s="145"/>
      <c r="O202" s="168" t="str">
        <f>VLOOKUP(C202,'New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203" spans="1:15" ht="75">
      <c r="A203" s="102" t="s">
        <v>626</v>
      </c>
      <c r="B203" s="103" t="s">
        <v>1681</v>
      </c>
      <c r="C203" s="103" t="s">
        <v>2368</v>
      </c>
      <c r="D203" s="102" t="s">
        <v>2369</v>
      </c>
      <c r="E203" s="103" t="s">
        <v>75</v>
      </c>
      <c r="F203" s="102" t="s">
        <v>1602</v>
      </c>
      <c r="G203" s="103" t="s">
        <v>20</v>
      </c>
      <c r="H203" s="103">
        <v>201612</v>
      </c>
      <c r="I203" s="104">
        <v>1080.8699999999999</v>
      </c>
      <c r="J203" s="144">
        <f t="shared" si="9"/>
        <v>5</v>
      </c>
      <c r="K203" s="155">
        <v>1.4833299999999999E-3</v>
      </c>
      <c r="L203" s="154">
        <f t="shared" si="10"/>
        <v>8.02</v>
      </c>
      <c r="M203" s="154">
        <f t="shared" si="11"/>
        <v>19.239999999999998</v>
      </c>
      <c r="N203" s="145"/>
      <c r="O203" s="168" t="str">
        <f>VLOOKUP(C203,'New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204" spans="1:15" ht="75">
      <c r="A204" s="102" t="s">
        <v>14</v>
      </c>
      <c r="B204" s="103" t="s">
        <v>1681</v>
      </c>
      <c r="C204" s="103" t="s">
        <v>2368</v>
      </c>
      <c r="D204" s="102" t="s">
        <v>2369</v>
      </c>
      <c r="E204" s="103" t="s">
        <v>75</v>
      </c>
      <c r="F204" s="102" t="s">
        <v>1602</v>
      </c>
      <c r="G204" s="103" t="s">
        <v>20</v>
      </c>
      <c r="H204" s="103">
        <v>201612</v>
      </c>
      <c r="I204" s="104">
        <v>1.78</v>
      </c>
      <c r="J204" s="144">
        <f t="shared" si="9"/>
        <v>5</v>
      </c>
      <c r="K204" s="148">
        <v>2.23333E-3</v>
      </c>
      <c r="L204" s="154">
        <f t="shared" si="10"/>
        <v>0.02</v>
      </c>
      <c r="M204" s="154">
        <f t="shared" si="11"/>
        <v>0.05</v>
      </c>
      <c r="N204" s="145"/>
      <c r="O204" s="168" t="str">
        <f>VLOOKUP(C204,'New Wo Detailed Descr Rev'!$A$5:$D$287,4)</f>
        <v>Install 1697 Ft of 4 in and 224 Ft of 2 in PL IP main for Holden Grid Ph 2D. Abandon 10 Ft of 4 in PL, 1434 Ft of 2 in PBS and 480 Ft of 2 in PCS MP main. Uprate 600Ft of 1 1/4 in PL, 1480 Ft of 2 in PL, 3382 Ft of 4 in PL, and 1362 Ft of 2 in PCS main. - This main is being replaced as part of FY16 Bare Steel Replacement Program.</v>
      </c>
    </row>
    <row r="205" spans="1:15" ht="60">
      <c r="A205" s="102" t="s">
        <v>626</v>
      </c>
      <c r="B205" s="103" t="s">
        <v>1681</v>
      </c>
      <c r="C205" s="103" t="s">
        <v>2370</v>
      </c>
      <c r="D205" s="102" t="s">
        <v>2371</v>
      </c>
      <c r="E205" s="103" t="s">
        <v>75</v>
      </c>
      <c r="F205" s="102" t="s">
        <v>1602</v>
      </c>
      <c r="G205" s="103" t="s">
        <v>20</v>
      </c>
      <c r="H205" s="103">
        <v>201612</v>
      </c>
      <c r="I205" s="104">
        <v>274.27999999999997</v>
      </c>
      <c r="J205" s="144">
        <f t="shared" si="9"/>
        <v>5</v>
      </c>
      <c r="K205" s="155">
        <v>1.4833299999999999E-3</v>
      </c>
      <c r="L205" s="154">
        <f t="shared" si="10"/>
        <v>2.0299999999999998</v>
      </c>
      <c r="M205" s="154">
        <f t="shared" si="11"/>
        <v>4.88</v>
      </c>
      <c r="N205" s="145"/>
      <c r="O205" s="168" t="str">
        <f>VLOOKUP(C205,'New Wo Detailed Descr Rev'!$A$5:$D$287,4)</f>
        <v>Install 6230 Ft of 4 in and 920 Ft of 2 in PL IP main for Holden Phase 2C. Abandon 1317 Ft of 2 in PBS at above location. Total Services is 43. Main is being abandoned as part of the FY16 Bare Steel Replacement Program. - 0</v>
      </c>
    </row>
    <row r="206" spans="1:15" ht="60">
      <c r="A206" s="102" t="s">
        <v>14</v>
      </c>
      <c r="B206" s="103" t="s">
        <v>1681</v>
      </c>
      <c r="C206" s="103" t="s">
        <v>2370</v>
      </c>
      <c r="D206" s="102" t="s">
        <v>2371</v>
      </c>
      <c r="E206" s="103" t="s">
        <v>75</v>
      </c>
      <c r="F206" s="102" t="s">
        <v>1602</v>
      </c>
      <c r="G206" s="103" t="s">
        <v>20</v>
      </c>
      <c r="H206" s="103">
        <v>201612</v>
      </c>
      <c r="I206" s="104">
        <v>0.03</v>
      </c>
      <c r="J206" s="144">
        <f t="shared" si="9"/>
        <v>5</v>
      </c>
      <c r="K206" s="148">
        <v>2.23333E-3</v>
      </c>
      <c r="L206" s="154">
        <f t="shared" si="10"/>
        <v>0</v>
      </c>
      <c r="M206" s="154">
        <f t="shared" si="11"/>
        <v>0</v>
      </c>
      <c r="N206" s="145"/>
      <c r="O206" s="168" t="str">
        <f>VLOOKUP(C206,'New Wo Detailed Descr Rev'!$A$5:$D$287,4)</f>
        <v>Install 6230 Ft of 4 in and 920 Ft of 2 in PL IP main for Holden Phase 2C. Abandon 1317 Ft of 2 in PBS at above location. Total Services is 43. Main is being abandoned as part of the FY16 Bare Steel Replacement Program. - 0</v>
      </c>
    </row>
    <row r="207" spans="1:15" ht="60">
      <c r="A207" s="102" t="s">
        <v>626</v>
      </c>
      <c r="B207" s="103" t="s">
        <v>1681</v>
      </c>
      <c r="C207" s="103" t="s">
        <v>2317</v>
      </c>
      <c r="D207" s="102" t="s">
        <v>2318</v>
      </c>
      <c r="E207" s="103" t="s">
        <v>75</v>
      </c>
      <c r="F207" s="102" t="s">
        <v>1602</v>
      </c>
      <c r="G207" s="103" t="s">
        <v>20</v>
      </c>
      <c r="H207" s="103">
        <v>201612</v>
      </c>
      <c r="I207" s="104">
        <v>-15.14</v>
      </c>
      <c r="J207" s="144">
        <f t="shared" si="9"/>
        <v>5</v>
      </c>
      <c r="K207" s="155">
        <v>1.4833299999999999E-3</v>
      </c>
      <c r="L207" s="154">
        <f t="shared" si="10"/>
        <v>-0.11</v>
      </c>
      <c r="M207" s="154">
        <f t="shared" si="11"/>
        <v>-0.27</v>
      </c>
      <c r="N207" s="145"/>
      <c r="O207" s="168" t="str">
        <f>VLOOKUP(C207,'New Wo Detailed Descr Rev'!$A$5:$D$287,4)</f>
        <v>Install 595 Ft of 4 in PL MP and 3086 Ft of 2 in PL MP main for Centerview Phase 1. Abandon 3600 Ft of 2 in PBS, 344 Ft of 2 in PCS, and 12 Ft of 2 in PL MP main. Total service tie-overs are 20 and 9 abandons. FY16 Bare Steel Repl - 0</v>
      </c>
    </row>
    <row r="208" spans="1:15" ht="60">
      <c r="A208" s="102" t="s">
        <v>626</v>
      </c>
      <c r="B208" s="103" t="s">
        <v>1681</v>
      </c>
      <c r="C208" s="103" t="s">
        <v>2007</v>
      </c>
      <c r="D208" s="102" t="s">
        <v>2008</v>
      </c>
      <c r="E208" s="103" t="s">
        <v>260</v>
      </c>
      <c r="F208" s="102" t="s">
        <v>1608</v>
      </c>
      <c r="G208" s="103" t="s">
        <v>20</v>
      </c>
      <c r="H208" s="103">
        <v>201612</v>
      </c>
      <c r="I208" s="104">
        <v>-744.49</v>
      </c>
      <c r="J208" s="144">
        <f t="shared" si="9"/>
        <v>5</v>
      </c>
      <c r="K208" s="155">
        <v>1.4833299999999999E-3</v>
      </c>
      <c r="L208" s="154">
        <f t="shared" si="10"/>
        <v>-5.52</v>
      </c>
      <c r="M208" s="154">
        <f t="shared" si="11"/>
        <v>-13.25</v>
      </c>
      <c r="N208" s="145"/>
      <c r="O208" s="168" t="str">
        <f>VLOOKUP(C208,'New Wo Detailed Descr Rev'!$A$5:$D$287,4)</f>
        <v>Install 1400 Ft of 4 in PL IP main for Webb City Phase 1A. Abandon 1282 Ft of 4 in PBS IP and 27 Ft of 4in PL IP main at the same location. Project includes 5 Service Tie-Overs and 2 Abandonments. FY16 Bare Steel Replacement Program. - 0</v>
      </c>
    </row>
    <row r="209" spans="1:15" ht="60">
      <c r="A209" s="102" t="s">
        <v>14</v>
      </c>
      <c r="B209" s="103" t="s">
        <v>1681</v>
      </c>
      <c r="C209" s="103" t="s">
        <v>2007</v>
      </c>
      <c r="D209" s="102" t="s">
        <v>2008</v>
      </c>
      <c r="E209" s="103" t="s">
        <v>260</v>
      </c>
      <c r="F209" s="102" t="s">
        <v>1608</v>
      </c>
      <c r="G209" s="103" t="s">
        <v>20</v>
      </c>
      <c r="H209" s="103">
        <v>201612</v>
      </c>
      <c r="I209" s="104">
        <v>744.49</v>
      </c>
      <c r="J209" s="144">
        <f t="shared" si="9"/>
        <v>5</v>
      </c>
      <c r="K209" s="148">
        <v>2.23333E-3</v>
      </c>
      <c r="L209" s="154">
        <f t="shared" si="10"/>
        <v>8.31</v>
      </c>
      <c r="M209" s="154">
        <f t="shared" si="11"/>
        <v>19.95</v>
      </c>
      <c r="N209" s="145"/>
      <c r="O209" s="168" t="str">
        <f>VLOOKUP(C209,'New Wo Detailed Descr Rev'!$A$5:$D$287,4)</f>
        <v>Install 1400 Ft of 4 in PL IP main for Webb City Phase 1A. Abandon 1282 Ft of 4 in PBS IP and 27 Ft of 4in PL IP main at the same location. Project includes 5 Service Tie-Overs and 2 Abandonments. FY16 Bare Steel Replacement Program. - 0</v>
      </c>
    </row>
    <row r="210" spans="1:15" ht="105">
      <c r="A210" s="102" t="s">
        <v>626</v>
      </c>
      <c r="B210" s="103" t="s">
        <v>1681</v>
      </c>
      <c r="C210" s="103" t="s">
        <v>2009</v>
      </c>
      <c r="D210" s="102" t="s">
        <v>2010</v>
      </c>
      <c r="E210" s="103" t="s">
        <v>260</v>
      </c>
      <c r="F210" s="102" t="s">
        <v>1608</v>
      </c>
      <c r="G210" s="103" t="s">
        <v>20</v>
      </c>
      <c r="H210" s="103">
        <v>201612</v>
      </c>
      <c r="I210" s="104">
        <v>7196.27</v>
      </c>
      <c r="J210" s="144">
        <f t="shared" si="9"/>
        <v>5</v>
      </c>
      <c r="K210" s="155">
        <v>1.4833299999999999E-3</v>
      </c>
      <c r="L210" s="154">
        <f t="shared" si="10"/>
        <v>53.37</v>
      </c>
      <c r="M210" s="154">
        <f t="shared" si="11"/>
        <v>128.09</v>
      </c>
      <c r="N210" s="145"/>
      <c r="O210" s="168" t="str">
        <f>VLOOKUP(C210,'New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11" spans="1:15" ht="105">
      <c r="A211" s="102" t="s">
        <v>14</v>
      </c>
      <c r="B211" s="103" t="s">
        <v>1681</v>
      </c>
      <c r="C211" s="103" t="s">
        <v>2009</v>
      </c>
      <c r="D211" s="102" t="s">
        <v>2010</v>
      </c>
      <c r="E211" s="103" t="s">
        <v>260</v>
      </c>
      <c r="F211" s="102" t="s">
        <v>1608</v>
      </c>
      <c r="G211" s="103" t="s">
        <v>20</v>
      </c>
      <c r="H211" s="103">
        <v>201612</v>
      </c>
      <c r="I211" s="104">
        <v>-7185.14</v>
      </c>
      <c r="J211" s="144">
        <f t="shared" si="9"/>
        <v>5</v>
      </c>
      <c r="K211" s="148">
        <v>2.23333E-3</v>
      </c>
      <c r="L211" s="154">
        <f t="shared" si="10"/>
        <v>-80.23</v>
      </c>
      <c r="M211" s="154">
        <f t="shared" si="11"/>
        <v>-192.56</v>
      </c>
      <c r="N211" s="145"/>
      <c r="O211" s="168" t="str">
        <f>VLOOKUP(C211,'New Wo Detailed Descr Rev'!$A$5:$D$287,4)</f>
        <v>Install 2150 Ft of 4 in and 4450 Ft of 2 in PL IP main - Webb City Ph1B.  Abandon 3467 Ft of 2 in PBS, 1585 Ft of 2 in PCS, 210 Ft of 3 in PBS, 732 Ft of 3 in PCS, 1029 Ft of 4 in PBS, 19 Ft of 4 in PCS, 57 Ft of 2 in PL, and 91 Ft of 4 in PL LP. - Main is being replaced as part of the FY 2016 Bare Steel Main Replacement Program.  Per Alison Spalding the Estimate and the As Built are properly reflected with a difference in footage of 2010 Feet.</v>
      </c>
    </row>
    <row r="212" spans="1:15" ht="135">
      <c r="A212" s="102" t="s">
        <v>626</v>
      </c>
      <c r="B212" s="103" t="s">
        <v>1681</v>
      </c>
      <c r="C212" s="103" t="s">
        <v>2011</v>
      </c>
      <c r="D212" s="102" t="s">
        <v>2012</v>
      </c>
      <c r="E212" s="103" t="s">
        <v>260</v>
      </c>
      <c r="F212" s="102" t="s">
        <v>1608</v>
      </c>
      <c r="G212" s="103" t="s">
        <v>20</v>
      </c>
      <c r="H212" s="103">
        <v>201612</v>
      </c>
      <c r="I212" s="104">
        <v>677.12</v>
      </c>
      <c r="J212" s="144">
        <f t="shared" si="9"/>
        <v>5</v>
      </c>
      <c r="K212" s="155">
        <v>1.4833299999999999E-3</v>
      </c>
      <c r="L212" s="154">
        <f t="shared" si="10"/>
        <v>5.0199999999999996</v>
      </c>
      <c r="M212" s="154">
        <f t="shared" si="11"/>
        <v>12.05</v>
      </c>
      <c r="N212" s="145"/>
      <c r="O212" s="168" t="str">
        <f>VLOOKUP(C212,'New Wo Detailed Descr Rev'!$A$5:$D$287,4)</f>
        <v>Install 2405 Ft of 2 in and 2275 Ft of 4 in PL IP main for Webb City Ph 1C. Abandon 595 Ft of 3 in PBS, 2753 Ft of 3 in PCS, 80 Ft of 3 in PL, and 1243 Ft of 4 in PCS LP main. - 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
    </row>
    <row r="213" spans="1:15" ht="135">
      <c r="A213" s="102" t="s">
        <v>14</v>
      </c>
      <c r="B213" s="103" t="s">
        <v>1681</v>
      </c>
      <c r="C213" s="103" t="s">
        <v>2011</v>
      </c>
      <c r="D213" s="102" t="s">
        <v>2012</v>
      </c>
      <c r="E213" s="103" t="s">
        <v>260</v>
      </c>
      <c r="F213" s="102" t="s">
        <v>1608</v>
      </c>
      <c r="G213" s="103" t="s">
        <v>20</v>
      </c>
      <c r="H213" s="103">
        <v>201612</v>
      </c>
      <c r="I213" s="104">
        <v>-677.12</v>
      </c>
      <c r="J213" s="144">
        <f t="shared" si="9"/>
        <v>5</v>
      </c>
      <c r="K213" s="148">
        <v>2.23333E-3</v>
      </c>
      <c r="L213" s="154">
        <f t="shared" si="10"/>
        <v>-7.56</v>
      </c>
      <c r="M213" s="154">
        <f t="shared" si="11"/>
        <v>-18.149999999999999</v>
      </c>
      <c r="N213" s="145"/>
      <c r="O213" s="168" t="str">
        <f>VLOOKUP(C213,'New Wo Detailed Descr Rev'!$A$5:$D$287,4)</f>
        <v>Install 2405 Ft of 2 in and 2275 Ft of 4 in PL IP main for Webb City Ph 1C. Abandon 595 Ft of 3 in PBS, 2753 Ft of 3 in PCS, 80 Ft of 3 in PL, and 1243 Ft of 4 in PCS LP main. - 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
    </row>
    <row r="214" spans="1:15" ht="75">
      <c r="A214" s="102" t="s">
        <v>626</v>
      </c>
      <c r="B214" s="103" t="s">
        <v>1681</v>
      </c>
      <c r="C214" s="103" t="s">
        <v>2265</v>
      </c>
      <c r="D214" s="102" t="s">
        <v>2266</v>
      </c>
      <c r="E214" s="103" t="s">
        <v>164</v>
      </c>
      <c r="F214" s="102" t="s">
        <v>1600</v>
      </c>
      <c r="G214" s="103" t="s">
        <v>20</v>
      </c>
      <c r="H214" s="103">
        <v>201612</v>
      </c>
      <c r="I214" s="104">
        <v>26.13</v>
      </c>
      <c r="J214" s="144">
        <f t="shared" si="9"/>
        <v>5</v>
      </c>
      <c r="K214" s="155">
        <v>1.4833299999999999E-3</v>
      </c>
      <c r="L214" s="154">
        <f t="shared" si="10"/>
        <v>0.19</v>
      </c>
      <c r="M214" s="154">
        <f t="shared" si="11"/>
        <v>0.47</v>
      </c>
      <c r="N214" s="145"/>
      <c r="O214" s="168" t="str">
        <f>VLOOKUP(C214,'New Wo Detailed Descr Rev'!$A$5:$D$287,4)</f>
        <v>Inst 236 Ft of 4 in PL LP, 617 Ft of 2 in PL LP and 1478 Ft of 6 in PL IP main for St Joseph Grid Phase 1A. Abandon 157 Ft of 2 PL LP, 816 Ft of 2 in PBS LP, 498 Ft of 2 in PCS LP, 170 Ft of 4 in PBS LP, and 1402 Ft of 4 in PBS IP Main - This main is being replaced as part of the FY 2016 Bare Steel Replacement Program.</v>
      </c>
    </row>
    <row r="215" spans="1:15" ht="60">
      <c r="A215" s="102" t="s">
        <v>626</v>
      </c>
      <c r="B215" s="103" t="s">
        <v>1681</v>
      </c>
      <c r="C215" s="103" t="s">
        <v>2319</v>
      </c>
      <c r="D215" s="102" t="s">
        <v>2320</v>
      </c>
      <c r="E215" s="103" t="s">
        <v>164</v>
      </c>
      <c r="F215" s="102" t="s">
        <v>1600</v>
      </c>
      <c r="G215" s="103" t="s">
        <v>20</v>
      </c>
      <c r="H215" s="103">
        <v>201612</v>
      </c>
      <c r="I215" s="104">
        <v>-174.17</v>
      </c>
      <c r="J215" s="144">
        <f t="shared" si="9"/>
        <v>5</v>
      </c>
      <c r="K215" s="155">
        <v>1.4833299999999999E-3</v>
      </c>
      <c r="L215" s="154">
        <f t="shared" si="10"/>
        <v>-1.29</v>
      </c>
      <c r="M215" s="154">
        <f t="shared" si="11"/>
        <v>-3.1</v>
      </c>
      <c r="N215" s="145"/>
      <c r="O215" s="168" t="str">
        <f>VLOOKUP(C215,'New Wo Detailed Descr Rev'!$A$5:$D$287,4)</f>
        <v>Install 1403 Ft of 2 in PL IP main for St Joe Phase 1B. Abandon 35 Ft of 4 in PL and 1603 of Ft 4 in ST LP main. Uprate 338 Ft of 2 in and 497 Ft of 4 in PL LP main to IP.FY16 Bare Steel Replacement Program. - 0</v>
      </c>
    </row>
    <row r="216" spans="1:15" ht="60">
      <c r="A216" s="102" t="s">
        <v>14</v>
      </c>
      <c r="B216" s="103" t="s">
        <v>1681</v>
      </c>
      <c r="C216" s="103" t="s">
        <v>2319</v>
      </c>
      <c r="D216" s="102" t="s">
        <v>2320</v>
      </c>
      <c r="E216" s="103" t="s">
        <v>164</v>
      </c>
      <c r="F216" s="102" t="s">
        <v>1600</v>
      </c>
      <c r="G216" s="103" t="s">
        <v>20</v>
      </c>
      <c r="H216" s="103">
        <v>201612</v>
      </c>
      <c r="I216" s="104">
        <v>-4.87</v>
      </c>
      <c r="J216" s="144">
        <f t="shared" si="9"/>
        <v>5</v>
      </c>
      <c r="K216" s="148">
        <v>2.23333E-3</v>
      </c>
      <c r="L216" s="154">
        <f t="shared" si="10"/>
        <v>-0.05</v>
      </c>
      <c r="M216" s="154">
        <f t="shared" si="11"/>
        <v>-0.13</v>
      </c>
      <c r="N216" s="145"/>
      <c r="O216" s="168" t="str">
        <f>VLOOKUP(C216,'New Wo Detailed Descr Rev'!$A$5:$D$287,4)</f>
        <v>Install 1403 Ft of 2 in PL IP main for St Joe Phase 1B. Abandon 35 Ft of 4 in PL and 1603 of Ft 4 in ST LP main. Uprate 338 Ft of 2 in and 497 Ft of 4 in PL LP main to IP.FY16 Bare Steel Replacement Program. - 0</v>
      </c>
    </row>
    <row r="217" spans="1:15" ht="105">
      <c r="A217" s="102" t="s">
        <v>626</v>
      </c>
      <c r="B217" s="103" t="s">
        <v>1681</v>
      </c>
      <c r="C217" s="103" t="s">
        <v>2321</v>
      </c>
      <c r="D217" s="102" t="s">
        <v>2322</v>
      </c>
      <c r="E217" s="103" t="s">
        <v>164</v>
      </c>
      <c r="F217" s="102" t="s">
        <v>1600</v>
      </c>
      <c r="G217" s="103" t="s">
        <v>20</v>
      </c>
      <c r="H217" s="103">
        <v>201612</v>
      </c>
      <c r="I217" s="104">
        <v>885.68</v>
      </c>
      <c r="J217" s="144">
        <f t="shared" si="9"/>
        <v>5</v>
      </c>
      <c r="K217" s="155">
        <v>1.4833299999999999E-3</v>
      </c>
      <c r="L217" s="154">
        <f t="shared" si="10"/>
        <v>6.57</v>
      </c>
      <c r="M217" s="154">
        <f t="shared" si="11"/>
        <v>15.77</v>
      </c>
      <c r="N217" s="145"/>
      <c r="O217" s="168" t="str">
        <f>VLOOKUP(C217,'New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218" spans="1:15" ht="105">
      <c r="A218" s="102" t="s">
        <v>14</v>
      </c>
      <c r="B218" s="103" t="s">
        <v>1681</v>
      </c>
      <c r="C218" s="103" t="s">
        <v>2321</v>
      </c>
      <c r="D218" s="102" t="s">
        <v>2322</v>
      </c>
      <c r="E218" s="103" t="s">
        <v>164</v>
      </c>
      <c r="F218" s="102" t="s">
        <v>1600</v>
      </c>
      <c r="G218" s="103" t="s">
        <v>20</v>
      </c>
      <c r="H218" s="103">
        <v>201612</v>
      </c>
      <c r="I218" s="104">
        <v>7.81</v>
      </c>
      <c r="J218" s="144">
        <f t="shared" si="9"/>
        <v>5</v>
      </c>
      <c r="K218" s="148">
        <v>2.23333E-3</v>
      </c>
      <c r="L218" s="154">
        <f t="shared" si="10"/>
        <v>0.09</v>
      </c>
      <c r="M218" s="154">
        <f t="shared" si="11"/>
        <v>0.21</v>
      </c>
      <c r="N218" s="145"/>
      <c r="O218" s="168" t="str">
        <f>VLOOKUP(C218,'New Wo Detailed Descr Rev'!$A$5:$D$287,4)</f>
        <v>Install 3545 Ft of 2 in and 440 Ft of 4 in PL IP main for St. Joe's South Phase 1C. Abandon 3124 Ft of 2 in PBS, 1554 Ft of 4 in PBS, and 127 Ft of 4 in PCS (Poorly coated) LP main. - Uprate ~621' of 2'' PL LP and ~2027' of 4'' PL LP to IP on Lookout St, Belding St, 1st St, and Yale St. Total Service Estimate: 55 Tie-Overs, 27 Uprates, 2 Replacements, and 2 Abandonments. Main is being replaced as part of the FY 2016 Bare Steel Main Replacement Program.</v>
      </c>
    </row>
    <row r="219" spans="1:15" ht="150">
      <c r="A219" s="102" t="s">
        <v>626</v>
      </c>
      <c r="B219" s="103" t="s">
        <v>1681</v>
      </c>
      <c r="C219" s="103" t="s">
        <v>2372</v>
      </c>
      <c r="D219" s="102" t="s">
        <v>2373</v>
      </c>
      <c r="E219" s="103" t="s">
        <v>164</v>
      </c>
      <c r="F219" s="102" t="s">
        <v>1600</v>
      </c>
      <c r="G219" s="103" t="s">
        <v>20</v>
      </c>
      <c r="H219" s="103">
        <v>201612</v>
      </c>
      <c r="I219" s="104">
        <v>5276.87</v>
      </c>
      <c r="J219" s="144">
        <f t="shared" si="9"/>
        <v>5</v>
      </c>
      <c r="K219" s="155">
        <v>1.4833299999999999E-3</v>
      </c>
      <c r="L219" s="154">
        <f t="shared" si="10"/>
        <v>39.14</v>
      </c>
      <c r="M219" s="154">
        <f t="shared" si="11"/>
        <v>93.93</v>
      </c>
      <c r="N219" s="145"/>
      <c r="O219" s="168" t="str">
        <f>VLOOKUP(C219,'New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220" spans="1:15" ht="150">
      <c r="A220" s="102" t="s">
        <v>14</v>
      </c>
      <c r="B220" s="103" t="s">
        <v>1681</v>
      </c>
      <c r="C220" s="103" t="s">
        <v>2372</v>
      </c>
      <c r="D220" s="102" t="s">
        <v>2373</v>
      </c>
      <c r="E220" s="103" t="s">
        <v>164</v>
      </c>
      <c r="F220" s="102" t="s">
        <v>1600</v>
      </c>
      <c r="G220" s="103" t="s">
        <v>20</v>
      </c>
      <c r="H220" s="103">
        <v>201612</v>
      </c>
      <c r="I220" s="104">
        <v>65.47</v>
      </c>
      <c r="J220" s="144">
        <f t="shared" si="9"/>
        <v>5</v>
      </c>
      <c r="K220" s="148">
        <v>2.23333E-3</v>
      </c>
      <c r="L220" s="154">
        <f t="shared" si="10"/>
        <v>0.73</v>
      </c>
      <c r="M220" s="154">
        <f t="shared" si="11"/>
        <v>1.75</v>
      </c>
      <c r="N220" s="145"/>
      <c r="O220" s="168" t="str">
        <f>VLOOKUP(C220,'New Wo Detailed Descr Rev'!$A$5:$D$287,4)</f>
        <v>Install 1895 Ft of 2 in PL IP main for St Joseph Grid Phase 1C. Abandon 90 Ft of 2 in PBS IP, 1842 Ft of 2 in PBS LP, 42 Ft of 2 in PCS LP, and 36 Ft of 2 in PL LP main. - Uprate ~225' of 2'' PL LP main to IP on Vassar St.
Total Service Estimate: 22 Service Tie-Overs, 1 Service Replacement, 1 Service Abandonment, and 2 Service Upgrades.
Main is being replaced as part of the FY 2016 Bare Steel Main Replacement Program.</v>
      </c>
    </row>
    <row r="221" spans="1:15" ht="45">
      <c r="A221" s="102" t="s">
        <v>626</v>
      </c>
      <c r="B221" s="103" t="s">
        <v>1681</v>
      </c>
      <c r="C221" s="103" t="s">
        <v>2374</v>
      </c>
      <c r="D221" s="102" t="s">
        <v>2375</v>
      </c>
      <c r="E221" s="103" t="s">
        <v>164</v>
      </c>
      <c r="F221" s="102" t="s">
        <v>1600</v>
      </c>
      <c r="G221" s="103" t="s">
        <v>20</v>
      </c>
      <c r="H221" s="103">
        <v>201612</v>
      </c>
      <c r="I221" s="104">
        <v>503.46</v>
      </c>
      <c r="J221" s="144">
        <f t="shared" si="9"/>
        <v>5</v>
      </c>
      <c r="K221" s="155">
        <v>1.4833299999999999E-3</v>
      </c>
      <c r="L221" s="154">
        <f t="shared" si="10"/>
        <v>3.73</v>
      </c>
      <c r="M221" s="154">
        <f t="shared" si="11"/>
        <v>8.9600000000000009</v>
      </c>
      <c r="N221" s="145"/>
      <c r="O221" s="168" t="str">
        <f>VLOOKUP(C221,'New Wo Detailed Descr Rev'!$A$5:$D$287,4)</f>
        <v>Install 3082' of 2'' PE, 1079' of 4'' PE - Hwy 71 &amp; Gregory Grid - B.  Abandon 1731' of 4'' CI, 2991' of 6'' CI, 6' of 4'' Coated STL (less than 20% of footage). Strategic Cast Iron Replacement. - 0</v>
      </c>
    </row>
    <row r="222" spans="1:15" ht="45">
      <c r="A222" s="102" t="s">
        <v>14</v>
      </c>
      <c r="B222" s="103" t="s">
        <v>1681</v>
      </c>
      <c r="C222" s="103" t="s">
        <v>2374</v>
      </c>
      <c r="D222" s="102" t="s">
        <v>2375</v>
      </c>
      <c r="E222" s="103" t="s">
        <v>164</v>
      </c>
      <c r="F222" s="102" t="s">
        <v>1600</v>
      </c>
      <c r="G222" s="103" t="s">
        <v>20</v>
      </c>
      <c r="H222" s="103">
        <v>201612</v>
      </c>
      <c r="I222" s="104">
        <v>135.44999999999999</v>
      </c>
      <c r="J222" s="144">
        <f t="shared" si="9"/>
        <v>5</v>
      </c>
      <c r="K222" s="148">
        <v>2.23333E-3</v>
      </c>
      <c r="L222" s="154">
        <f t="shared" si="10"/>
        <v>1.51</v>
      </c>
      <c r="M222" s="154">
        <f t="shared" si="11"/>
        <v>3.63</v>
      </c>
      <c r="N222" s="145"/>
      <c r="O222" s="168" t="str">
        <f>VLOOKUP(C222,'New Wo Detailed Descr Rev'!$A$5:$D$287,4)</f>
        <v>Install 3082' of 2'' PE, 1079' of 4'' PE - Hwy 71 &amp; Gregory Grid - B.  Abandon 1731' of 4'' CI, 2991' of 6'' CI, 6' of 4'' Coated STL (less than 20% of footage). Strategic Cast Iron Replacement. - 0</v>
      </c>
    </row>
    <row r="223" spans="1:15" ht="75">
      <c r="A223" s="102" t="s">
        <v>626</v>
      </c>
      <c r="B223" s="103" t="s">
        <v>1681</v>
      </c>
      <c r="C223" s="103" t="s">
        <v>2376</v>
      </c>
      <c r="D223" s="102" t="s">
        <v>2377</v>
      </c>
      <c r="E223" s="103" t="s">
        <v>164</v>
      </c>
      <c r="F223" s="102" t="s">
        <v>1600</v>
      </c>
      <c r="G223" s="103" t="s">
        <v>20</v>
      </c>
      <c r="H223" s="103">
        <v>201612</v>
      </c>
      <c r="I223" s="104">
        <v>48.08</v>
      </c>
      <c r="J223" s="144">
        <f t="shared" si="9"/>
        <v>5</v>
      </c>
      <c r="K223" s="155">
        <v>1.4833299999999999E-3</v>
      </c>
      <c r="L223" s="154">
        <f t="shared" si="10"/>
        <v>0.36</v>
      </c>
      <c r="M223" s="154">
        <f t="shared" si="11"/>
        <v>0.86</v>
      </c>
      <c r="N223" s="145"/>
      <c r="O223" s="168" t="str">
        <f>VLOOKUP(C223,'New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224" spans="1:15" ht="75">
      <c r="A224" s="102" t="s">
        <v>14</v>
      </c>
      <c r="B224" s="103" t="s">
        <v>1681</v>
      </c>
      <c r="C224" s="103" t="s">
        <v>2376</v>
      </c>
      <c r="D224" s="102" t="s">
        <v>2377</v>
      </c>
      <c r="E224" s="103" t="s">
        <v>164</v>
      </c>
      <c r="F224" s="102" t="s">
        <v>1600</v>
      </c>
      <c r="G224" s="103" t="s">
        <v>20</v>
      </c>
      <c r="H224" s="103">
        <v>201612</v>
      </c>
      <c r="I224" s="104">
        <v>6.98</v>
      </c>
      <c r="J224" s="144">
        <f t="shared" si="9"/>
        <v>5</v>
      </c>
      <c r="K224" s="148">
        <v>2.23333E-3</v>
      </c>
      <c r="L224" s="154">
        <f t="shared" si="10"/>
        <v>0.08</v>
      </c>
      <c r="M224" s="154">
        <f t="shared" si="11"/>
        <v>0.19</v>
      </c>
      <c r="N224" s="145"/>
      <c r="O224" s="168" t="str">
        <f>VLOOKUP(C224,'New Wo Detailed Descr Rev'!$A$5:$D$287,4)</f>
        <v>Install 2695' of 2'' PE and 1292' of 4'' PE - Hwy 71 &amp; Gregory Ph C. Abandon 2905' of 4'' CI, 16' of 4'' PE, 86' of 4'' CS (Less than 20% of abandonment), 1054' of 6'' CI and 5' of 6'' PE. - This main is being replaced as part of the FY16 Strategic Cast Iron Replacement Program</v>
      </c>
    </row>
    <row r="225" spans="1:15" ht="75">
      <c r="A225" s="102" t="s">
        <v>626</v>
      </c>
      <c r="B225" s="103" t="s">
        <v>1681</v>
      </c>
      <c r="C225" s="103" t="s">
        <v>2378</v>
      </c>
      <c r="D225" s="102" t="s">
        <v>2379</v>
      </c>
      <c r="E225" s="103" t="s">
        <v>87</v>
      </c>
      <c r="F225" s="102" t="s">
        <v>1603</v>
      </c>
      <c r="G225" s="103" t="s">
        <v>20</v>
      </c>
      <c r="H225" s="103">
        <v>201612</v>
      </c>
      <c r="I225" s="104">
        <v>3147.03</v>
      </c>
      <c r="J225" s="144">
        <f t="shared" si="9"/>
        <v>5</v>
      </c>
      <c r="K225" s="155">
        <v>1.4833299999999999E-3</v>
      </c>
      <c r="L225" s="154">
        <f t="shared" si="10"/>
        <v>23.34</v>
      </c>
      <c r="M225" s="154">
        <f t="shared" si="11"/>
        <v>56.02</v>
      </c>
      <c r="N225" s="145"/>
      <c r="O225" s="168" t="str">
        <f>VLOOKUP(C225,'New Wo Detailed Descr Rev'!$A$5:$D$287,4)</f>
        <v>Install 3356ft of 2in PE and 1596ft of 4in PE to replace existing CI main - Hwy 71 &amp; Gregory Grid Ph D. Abandon 682ft of 12in CI, 1483ft of 6in CI, 1938ft of 4in CI, and 158ft of 2in Bare STL. Strategic CI Replacement. - 15 Service Replacements, 13 Service upgrades, and 52 service tie overs</v>
      </c>
    </row>
    <row r="226" spans="1:15" ht="75">
      <c r="A226" s="102" t="s">
        <v>14</v>
      </c>
      <c r="B226" s="103" t="s">
        <v>1681</v>
      </c>
      <c r="C226" s="103" t="s">
        <v>2378</v>
      </c>
      <c r="D226" s="102" t="s">
        <v>2379</v>
      </c>
      <c r="E226" s="103" t="s">
        <v>87</v>
      </c>
      <c r="F226" s="102" t="s">
        <v>1603</v>
      </c>
      <c r="G226" s="103" t="s">
        <v>20</v>
      </c>
      <c r="H226" s="103">
        <v>201612</v>
      </c>
      <c r="I226" s="104">
        <v>656.45</v>
      </c>
      <c r="J226" s="144">
        <f t="shared" si="9"/>
        <v>5</v>
      </c>
      <c r="K226" s="148">
        <v>2.23333E-3</v>
      </c>
      <c r="L226" s="154">
        <f t="shared" si="10"/>
        <v>7.33</v>
      </c>
      <c r="M226" s="154">
        <f t="shared" si="11"/>
        <v>17.59</v>
      </c>
      <c r="N226" s="145"/>
      <c r="O226" s="168" t="str">
        <f>VLOOKUP(C226,'New Wo Detailed Descr Rev'!$A$5:$D$287,4)</f>
        <v>Install 3356ft of 2in PE and 1596ft of 4in PE to replace existing CI main - Hwy 71 &amp; Gregory Grid Ph D. Abandon 682ft of 12in CI, 1483ft of 6in CI, 1938ft of 4in CI, and 158ft of 2in Bare STL. Strategic CI Replacement. - 15 Service Replacements, 13 Service upgrades, and 52 service tie overs</v>
      </c>
    </row>
    <row r="227" spans="1:15" ht="90">
      <c r="A227" s="102" t="s">
        <v>626</v>
      </c>
      <c r="B227" s="103" t="s">
        <v>1681</v>
      </c>
      <c r="C227" s="103" t="s">
        <v>2380</v>
      </c>
      <c r="D227" s="102" t="s">
        <v>2381</v>
      </c>
      <c r="E227" s="103" t="s">
        <v>164</v>
      </c>
      <c r="F227" s="102" t="s">
        <v>1600</v>
      </c>
      <c r="G227" s="103" t="s">
        <v>20</v>
      </c>
      <c r="H227" s="103">
        <v>201612</v>
      </c>
      <c r="I227" s="104">
        <v>43.04</v>
      </c>
      <c r="J227" s="144">
        <f t="shared" si="9"/>
        <v>5</v>
      </c>
      <c r="K227" s="155">
        <v>1.4833299999999999E-3</v>
      </c>
      <c r="L227" s="154">
        <f t="shared" si="10"/>
        <v>0.32</v>
      </c>
      <c r="M227" s="154">
        <f t="shared" si="11"/>
        <v>0.77</v>
      </c>
      <c r="N227" s="145"/>
      <c r="O227" s="168" t="str">
        <f>VLOOKUP(C227,'New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228" spans="1:15" ht="90">
      <c r="A228" s="102" t="s">
        <v>1942</v>
      </c>
      <c r="B228" s="103" t="s">
        <v>1681</v>
      </c>
      <c r="C228" s="103" t="s">
        <v>2380</v>
      </c>
      <c r="D228" s="102" t="s">
        <v>2381</v>
      </c>
      <c r="E228" s="103" t="s">
        <v>164</v>
      </c>
      <c r="F228" s="102" t="s">
        <v>1600</v>
      </c>
      <c r="G228" s="103" t="s">
        <v>20</v>
      </c>
      <c r="H228" s="103">
        <v>201612</v>
      </c>
      <c r="I228" s="104">
        <v>0.12</v>
      </c>
      <c r="J228" s="144">
        <f t="shared" si="9"/>
        <v>5</v>
      </c>
      <c r="K228" s="155">
        <v>2.23333E-3</v>
      </c>
      <c r="L228" s="154">
        <f t="shared" si="10"/>
        <v>0</v>
      </c>
      <c r="M228" s="154">
        <f t="shared" si="11"/>
        <v>0</v>
      </c>
      <c r="N228" s="145"/>
      <c r="O228" s="168" t="str">
        <f>VLOOKUP(C228,'New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229" spans="1:15" ht="90">
      <c r="A229" s="102" t="s">
        <v>14</v>
      </c>
      <c r="B229" s="103" t="s">
        <v>1681</v>
      </c>
      <c r="C229" s="103" t="s">
        <v>2380</v>
      </c>
      <c r="D229" s="102" t="s">
        <v>2381</v>
      </c>
      <c r="E229" s="103" t="s">
        <v>164</v>
      </c>
      <c r="F229" s="102" t="s">
        <v>1600</v>
      </c>
      <c r="G229" s="103" t="s">
        <v>20</v>
      </c>
      <c r="H229" s="103">
        <v>201612</v>
      </c>
      <c r="I229" s="104">
        <v>9.82</v>
      </c>
      <c r="J229" s="144">
        <f t="shared" si="9"/>
        <v>5</v>
      </c>
      <c r="K229" s="148">
        <v>2.23333E-3</v>
      </c>
      <c r="L229" s="154">
        <f t="shared" si="10"/>
        <v>0.11</v>
      </c>
      <c r="M229" s="154">
        <f t="shared" si="11"/>
        <v>0.26</v>
      </c>
      <c r="N229" s="145"/>
      <c r="O229" s="168" t="str">
        <f>VLOOKUP(C229,'New Wo Detailed Descr Rev'!$A$5:$D$287,4)</f>
        <v>Install 753 ft of 4in PL IP main and 4,271 ft of 2in PL IP main - Hwy 71 &amp; Gregory Ph E. Abandon 494 ft 2in PL LP, 557 ft 2in ST LP main, 993 ft of 3" ST LP main, 482 ft of 4in CI LP main, 3109 ft of 6in CI LP main, &amp; 135 ft of 8in CI LP main. - This main is being replaced as part of FY16 Cast Iron Replacement Program. Strategic cast iron replacement.</v>
      </c>
    </row>
    <row r="230" spans="1:15" ht="75">
      <c r="A230" s="102" t="s">
        <v>626</v>
      </c>
      <c r="B230" s="103" t="s">
        <v>1681</v>
      </c>
      <c r="C230" s="103" t="s">
        <v>2382</v>
      </c>
      <c r="D230" s="102" t="s">
        <v>2383</v>
      </c>
      <c r="E230" s="103" t="s">
        <v>164</v>
      </c>
      <c r="F230" s="102" t="s">
        <v>1600</v>
      </c>
      <c r="G230" s="103" t="s">
        <v>20</v>
      </c>
      <c r="H230" s="103">
        <v>201612</v>
      </c>
      <c r="I230" s="104">
        <v>22221.61</v>
      </c>
      <c r="J230" s="144">
        <f t="shared" si="9"/>
        <v>5</v>
      </c>
      <c r="K230" s="155">
        <v>1.4833299999999999E-3</v>
      </c>
      <c r="L230" s="154">
        <f t="shared" si="10"/>
        <v>164.81</v>
      </c>
      <c r="M230" s="154">
        <f t="shared" si="11"/>
        <v>395.54</v>
      </c>
      <c r="N230" s="145"/>
      <c r="O230" s="168" t="str">
        <f>VLOOKUP(C230,'New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231" spans="1:15" ht="75">
      <c r="A231" s="102" t="s">
        <v>1942</v>
      </c>
      <c r="B231" s="103" t="s">
        <v>1681</v>
      </c>
      <c r="C231" s="103" t="s">
        <v>2382</v>
      </c>
      <c r="D231" s="102" t="s">
        <v>2383</v>
      </c>
      <c r="E231" s="103" t="s">
        <v>164</v>
      </c>
      <c r="F231" s="102" t="s">
        <v>1600</v>
      </c>
      <c r="G231" s="103" t="s">
        <v>20</v>
      </c>
      <c r="H231" s="103">
        <v>201612</v>
      </c>
      <c r="I231" s="104">
        <v>69.010000000000005</v>
      </c>
      <c r="J231" s="144">
        <f t="shared" si="9"/>
        <v>5</v>
      </c>
      <c r="K231" s="155">
        <v>2.23333E-3</v>
      </c>
      <c r="L231" s="154">
        <f t="shared" si="10"/>
        <v>0.77</v>
      </c>
      <c r="M231" s="154">
        <f t="shared" si="11"/>
        <v>1.85</v>
      </c>
      <c r="N231" s="145"/>
      <c r="O231" s="168" t="str">
        <f>VLOOKUP(C231,'New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232" spans="1:15" ht="75">
      <c r="A232" s="102" t="s">
        <v>14</v>
      </c>
      <c r="B232" s="103" t="s">
        <v>1681</v>
      </c>
      <c r="C232" s="103" t="s">
        <v>2382</v>
      </c>
      <c r="D232" s="102" t="s">
        <v>2383</v>
      </c>
      <c r="E232" s="103" t="s">
        <v>164</v>
      </c>
      <c r="F232" s="102" t="s">
        <v>1600</v>
      </c>
      <c r="G232" s="103" t="s">
        <v>20</v>
      </c>
      <c r="H232" s="103">
        <v>201612</v>
      </c>
      <c r="I232" s="104">
        <v>2622.83</v>
      </c>
      <c r="J232" s="144">
        <f t="shared" si="9"/>
        <v>5</v>
      </c>
      <c r="K232" s="148">
        <v>2.23333E-3</v>
      </c>
      <c r="L232" s="154">
        <f t="shared" si="10"/>
        <v>29.29</v>
      </c>
      <c r="M232" s="154">
        <f t="shared" si="11"/>
        <v>70.290000000000006</v>
      </c>
      <c r="N232" s="145"/>
      <c r="O232" s="168" t="str">
        <f>VLOOKUP(C232,'New Wo Detailed Descr Rev'!$A$5:$D$287,4)</f>
        <v> Install 4506 ft of 2 in IP PE main and 902 ft of 4 in IP PE main for Hwy 71 &amp; Gregory Ph F.  Abandon 303 ft of 12 in CI LP main, 647 ft of 2 in CI LP main, 592 ft if 4 in CI LP main, 2202 ft of 6 in CI LP main, 865 ft of 8 in CI LP main. - Main is being replaced as part of the FY16 Strategic Cast Iron Replacement Program.</v>
      </c>
    </row>
    <row r="233" spans="1:15" ht="120">
      <c r="A233" s="102" t="s">
        <v>626</v>
      </c>
      <c r="B233" s="103" t="s">
        <v>1681</v>
      </c>
      <c r="C233" s="103" t="s">
        <v>2267</v>
      </c>
      <c r="D233" s="102" t="s">
        <v>2268</v>
      </c>
      <c r="E233" s="103" t="s">
        <v>260</v>
      </c>
      <c r="F233" s="102" t="s">
        <v>1608</v>
      </c>
      <c r="G233" s="103" t="s">
        <v>20</v>
      </c>
      <c r="H233" s="103">
        <v>201612</v>
      </c>
      <c r="I233" s="104">
        <v>1028.3499999999999</v>
      </c>
      <c r="J233" s="144">
        <f t="shared" si="9"/>
        <v>5</v>
      </c>
      <c r="K233" s="155">
        <v>1.4833299999999999E-3</v>
      </c>
      <c r="L233" s="154">
        <f t="shared" si="10"/>
        <v>7.63</v>
      </c>
      <c r="M233" s="154">
        <f t="shared" si="11"/>
        <v>18.3</v>
      </c>
      <c r="N233" s="145"/>
      <c r="O233" s="168" t="str">
        <f>VLOOKUP(C233,'New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34" spans="1:15" ht="120">
      <c r="A234" s="102" t="s">
        <v>14</v>
      </c>
      <c r="B234" s="103" t="s">
        <v>1681</v>
      </c>
      <c r="C234" s="103" t="s">
        <v>2267</v>
      </c>
      <c r="D234" s="102" t="s">
        <v>2268</v>
      </c>
      <c r="E234" s="103" t="s">
        <v>260</v>
      </c>
      <c r="F234" s="102" t="s">
        <v>1608</v>
      </c>
      <c r="G234" s="103" t="s">
        <v>20</v>
      </c>
      <c r="H234" s="103">
        <v>201612</v>
      </c>
      <c r="I234" s="104">
        <v>212.94</v>
      </c>
      <c r="J234" s="144">
        <f t="shared" si="9"/>
        <v>5</v>
      </c>
      <c r="K234" s="148">
        <v>2.23333E-3</v>
      </c>
      <c r="L234" s="154">
        <f t="shared" si="10"/>
        <v>2.38</v>
      </c>
      <c r="M234" s="154">
        <f t="shared" si="11"/>
        <v>5.71</v>
      </c>
      <c r="N234" s="145"/>
      <c r="O234" s="168" t="str">
        <f>VLOOKUP(C234,'New Wo Detailed Descr Rev'!$A$5:$D$287,4)</f>
        <v>Install 5455 Ft of 2 in PL IP main for Webb City Phase 1D. Abandon 97 Ft of 1-1/4 in and 262 Ft of 2 in PL, 785 Ft of 2 in and 748 Ft of 3 in PBS, 2227 Ft of 2 in, 1435 Ft of 3 in and 191 Ft of 4 in PCS (Majority poorly coated) LP - Uprate ~525' of 2'' PL LP main on Mineral St to IP. Total Service Estimate: 71 Service Tie-Overs, 3 Service Replacements, 14 Service Upgrades and 7 Service Abandons.  Main is being replaced as part of the FY 2016 Bare Steel Main Replacement Program.</v>
      </c>
    </row>
    <row r="235" spans="1:15" ht="105">
      <c r="A235" s="102" t="s">
        <v>626</v>
      </c>
      <c r="B235" s="103" t="s">
        <v>1681</v>
      </c>
      <c r="C235" s="103" t="s">
        <v>2384</v>
      </c>
      <c r="D235" s="102" t="s">
        <v>2385</v>
      </c>
      <c r="E235" s="103" t="s">
        <v>260</v>
      </c>
      <c r="F235" s="102" t="s">
        <v>1608</v>
      </c>
      <c r="G235" s="103" t="s">
        <v>20</v>
      </c>
      <c r="H235" s="103">
        <v>201612</v>
      </c>
      <c r="I235" s="104">
        <v>-1727.22</v>
      </c>
      <c r="J235" s="144">
        <f t="shared" si="9"/>
        <v>5</v>
      </c>
      <c r="K235" s="155">
        <v>1.4833299999999999E-3</v>
      </c>
      <c r="L235" s="154">
        <f t="shared" si="10"/>
        <v>-12.81</v>
      </c>
      <c r="M235" s="154">
        <f t="shared" si="11"/>
        <v>-30.74</v>
      </c>
      <c r="N235" s="145"/>
      <c r="O235" s="168" t="str">
        <f>VLOOKUP(C235,'New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36" spans="1:15" ht="105">
      <c r="A236" s="102" t="s">
        <v>14</v>
      </c>
      <c r="B236" s="103" t="s">
        <v>1681</v>
      </c>
      <c r="C236" s="103" t="s">
        <v>2384</v>
      </c>
      <c r="D236" s="102" t="s">
        <v>2385</v>
      </c>
      <c r="E236" s="103" t="s">
        <v>260</v>
      </c>
      <c r="F236" s="102" t="s">
        <v>1608</v>
      </c>
      <c r="G236" s="103" t="s">
        <v>20</v>
      </c>
      <c r="H236" s="103">
        <v>201612</v>
      </c>
      <c r="I236" s="104">
        <v>-46.47</v>
      </c>
      <c r="J236" s="144">
        <f t="shared" si="9"/>
        <v>5</v>
      </c>
      <c r="K236" s="148">
        <v>2.23333E-3</v>
      </c>
      <c r="L236" s="154">
        <f t="shared" si="10"/>
        <v>-0.52</v>
      </c>
      <c r="M236" s="154">
        <f t="shared" si="11"/>
        <v>-1.25</v>
      </c>
      <c r="N236" s="145"/>
      <c r="O236" s="168" t="str">
        <f>VLOOKUP(C236,'New Wo Detailed Descr Rev'!$A$5:$D$287,4)</f>
        <v>Install 4495 Ft of 2in PL IP main for Webb City Phase 1E. Abandon 204 Ft of 2 in PL, 446 Ft of 4 in PL,105 Ft of 1-1/4 in, 2489 Ft of 2 in and 408 Ft of 4 in PCS (Majority poorly coated),360 Ft of 3 in and 870 Ft of 4 in PBS LP main. - Total Service Estimate: 82 Service Tie-Overs, 2 Service Replacements, and 23 Service Abandonments. Main is being replaced as part of the FY 2016 Bare Steel Main Replacement Program.</v>
      </c>
    </row>
    <row r="237" spans="1:15" ht="135">
      <c r="A237" s="102" t="s">
        <v>626</v>
      </c>
      <c r="B237" s="103" t="s">
        <v>1681</v>
      </c>
      <c r="C237" s="103" t="s">
        <v>2386</v>
      </c>
      <c r="D237" s="102" t="s">
        <v>2387</v>
      </c>
      <c r="E237" s="103" t="s">
        <v>260</v>
      </c>
      <c r="F237" s="102" t="s">
        <v>1608</v>
      </c>
      <c r="G237" s="103" t="s">
        <v>20</v>
      </c>
      <c r="H237" s="103">
        <v>201612</v>
      </c>
      <c r="I237" s="104">
        <v>-4392.83</v>
      </c>
      <c r="J237" s="144">
        <f t="shared" si="9"/>
        <v>5</v>
      </c>
      <c r="K237" s="155">
        <v>1.4833299999999999E-3</v>
      </c>
      <c r="L237" s="154">
        <f t="shared" si="10"/>
        <v>-32.58</v>
      </c>
      <c r="M237" s="154">
        <f t="shared" si="11"/>
        <v>-78.19</v>
      </c>
      <c r="N237" s="145"/>
      <c r="O237" s="168" t="str">
        <f>VLOOKUP(C237,'New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38" spans="1:15" ht="135">
      <c r="A238" s="102" t="s">
        <v>14</v>
      </c>
      <c r="B238" s="103" t="s">
        <v>1681</v>
      </c>
      <c r="C238" s="103" t="s">
        <v>2386</v>
      </c>
      <c r="D238" s="102" t="s">
        <v>2387</v>
      </c>
      <c r="E238" s="103" t="s">
        <v>260</v>
      </c>
      <c r="F238" s="102" t="s">
        <v>1608</v>
      </c>
      <c r="G238" s="103" t="s">
        <v>20</v>
      </c>
      <c r="H238" s="103">
        <v>201612</v>
      </c>
      <c r="I238" s="104">
        <v>-3.14</v>
      </c>
      <c r="J238" s="144">
        <f t="shared" si="9"/>
        <v>5</v>
      </c>
      <c r="K238" s="148">
        <v>2.23333E-3</v>
      </c>
      <c r="L238" s="154">
        <f t="shared" si="10"/>
        <v>-0.04</v>
      </c>
      <c r="M238" s="154">
        <f t="shared" si="11"/>
        <v>-0.08</v>
      </c>
      <c r="N238" s="145"/>
      <c r="O238" s="168" t="str">
        <f>VLOOKUP(C238,'New Wo Detailed Descr Rev'!$A$5:$D$287,4)</f>
        <v>Inst 2740ft of 2in, 415ft of 4in, and 925ft of 6in PL IP main for Webb City Phase 1F. Abdn 362ft of 2in, 42ft of 4in and 5ft of 6in PL, 802ft of 2in and 902ft of 6in PBS, 163ft of 2in, 2165ft of 3in and 302ft of 4in PCS (majority poorly coated). -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239" spans="1:15" ht="45">
      <c r="A239" s="102" t="s">
        <v>626</v>
      </c>
      <c r="B239" s="103" t="s">
        <v>1681</v>
      </c>
      <c r="C239" s="103" t="s">
        <v>2436</v>
      </c>
      <c r="D239" s="102" t="s">
        <v>2437</v>
      </c>
      <c r="E239" s="103" t="s">
        <v>209</v>
      </c>
      <c r="F239" s="102" t="s">
        <v>1612</v>
      </c>
      <c r="G239" s="103" t="s">
        <v>20</v>
      </c>
      <c r="H239" s="103">
        <v>201612</v>
      </c>
      <c r="I239" s="104">
        <v>108946.6</v>
      </c>
      <c r="J239" s="144">
        <f t="shared" si="9"/>
        <v>5</v>
      </c>
      <c r="K239" s="155">
        <v>1.4833299999999999E-3</v>
      </c>
      <c r="L239" s="154">
        <f t="shared" si="10"/>
        <v>808.02</v>
      </c>
      <c r="M239" s="154">
        <f t="shared" si="11"/>
        <v>1939.25</v>
      </c>
      <c r="N239" s="145"/>
      <c r="O239" s="168" t="str">
        <f>VLOOKUP(C239,'New Wo Detailed Descr Rev'!$A$5:$D$287,4)</f>
        <v>Relocate and abandon 2,250' - 2PE Main (2001), 22' - 4PE Main (1986) and 167' 4PE Main by installing 2,515' 4PE Main to allow the City to widen Tudor Road and install new storm structures. - 0</v>
      </c>
    </row>
    <row r="240" spans="1:15" ht="45">
      <c r="A240" s="102" t="s">
        <v>14</v>
      </c>
      <c r="B240" s="103" t="s">
        <v>1681</v>
      </c>
      <c r="C240" s="103" t="s">
        <v>2436</v>
      </c>
      <c r="D240" s="102" t="s">
        <v>2437</v>
      </c>
      <c r="E240" s="103" t="s">
        <v>209</v>
      </c>
      <c r="F240" s="102" t="s">
        <v>1612</v>
      </c>
      <c r="G240" s="103" t="s">
        <v>20</v>
      </c>
      <c r="H240" s="103">
        <v>201612</v>
      </c>
      <c r="I240" s="104">
        <v>1797.12</v>
      </c>
      <c r="J240" s="144">
        <f t="shared" si="9"/>
        <v>5</v>
      </c>
      <c r="K240" s="148">
        <v>2.23333E-3</v>
      </c>
      <c r="L240" s="154">
        <f t="shared" si="10"/>
        <v>20.07</v>
      </c>
      <c r="M240" s="154">
        <f t="shared" si="11"/>
        <v>48.16</v>
      </c>
      <c r="N240" s="145"/>
      <c r="O240" s="168" t="str">
        <f>VLOOKUP(C240,'New Wo Detailed Descr Rev'!$A$5:$D$287,4)</f>
        <v>Relocate and abandon 2,250' - 2PE Main (2001), 22' - 4PE Main (1986) and 167' 4PE Main by installing 2,515' 4PE Main to allow the City to widen Tudor Road and install new storm structures. - 0</v>
      </c>
    </row>
    <row r="241" spans="1:15" ht="75">
      <c r="A241" s="102" t="s">
        <v>626</v>
      </c>
      <c r="B241" s="103" t="s">
        <v>1681</v>
      </c>
      <c r="C241" s="103" t="s">
        <v>2071</v>
      </c>
      <c r="D241" s="102" t="s">
        <v>2072</v>
      </c>
      <c r="E241" s="103" t="s">
        <v>260</v>
      </c>
      <c r="F241" s="102" t="s">
        <v>1608</v>
      </c>
      <c r="G241" s="103" t="s">
        <v>20</v>
      </c>
      <c r="H241" s="103">
        <v>201612</v>
      </c>
      <c r="I241" s="104">
        <v>-5098.3500000000004</v>
      </c>
      <c r="J241" s="144">
        <f t="shared" si="9"/>
        <v>5</v>
      </c>
      <c r="K241" s="155">
        <v>1.4833299999999999E-3</v>
      </c>
      <c r="L241" s="154">
        <f t="shared" si="10"/>
        <v>-37.81</v>
      </c>
      <c r="M241" s="154">
        <f t="shared" si="11"/>
        <v>-90.75</v>
      </c>
      <c r="N241" s="145"/>
      <c r="O241" s="168" t="str">
        <f>VLOOKUP(C241,'New Wo Detailed Descr Rev'!$A$5:$D$287,4)</f>
        <v>Install 865 Ft of 4in PL IP on 26th Street. Abandon 50 Ft of 2PL LP main, 350 Ft 2in ST LP main and 602 Ft 3in ST LP main along 26th Street. Abandon existing Reg Station 01-52-C to eliminate LP main. - This main is being replaced as part of the FY16 Bare Steel Replacement Program</v>
      </c>
    </row>
    <row r="242" spans="1:15" ht="135">
      <c r="A242" s="102" t="s">
        <v>626</v>
      </c>
      <c r="B242" s="103" t="s">
        <v>1681</v>
      </c>
      <c r="C242" s="103" t="s">
        <v>2077</v>
      </c>
      <c r="D242" s="102" t="s">
        <v>2078</v>
      </c>
      <c r="E242" s="103" t="s">
        <v>260</v>
      </c>
      <c r="F242" s="102" t="s">
        <v>1608</v>
      </c>
      <c r="G242" s="103" t="s">
        <v>20</v>
      </c>
      <c r="H242" s="103">
        <v>201612</v>
      </c>
      <c r="I242" s="104">
        <v>647.78</v>
      </c>
      <c r="J242" s="144">
        <f t="shared" si="9"/>
        <v>5</v>
      </c>
      <c r="K242" s="155">
        <v>1.4833299999999999E-3</v>
      </c>
      <c r="L242" s="154">
        <f t="shared" si="10"/>
        <v>4.8</v>
      </c>
      <c r="M242" s="154">
        <f t="shared" si="11"/>
        <v>11.53</v>
      </c>
      <c r="N242" s="145"/>
      <c r="O242" s="168" t="str">
        <f>VLOOKUP(C242,'New Wo Detailed Descr Rev'!$A$5:$D$287,4)</f>
        <v>Replace 1598ft 4in PBS  &amp; 124ft 4in PE with 1895ft 4in PE from 18th to 23rd along Conner Ave due to CP issues (CP 15-042). -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243" spans="1:15" ht="60">
      <c r="A243" s="102" t="s">
        <v>626</v>
      </c>
      <c r="B243" s="103" t="s">
        <v>1681</v>
      </c>
      <c r="C243" s="103" t="s">
        <v>2390</v>
      </c>
      <c r="D243" s="102" t="s">
        <v>2391</v>
      </c>
      <c r="E243" s="103" t="s">
        <v>164</v>
      </c>
      <c r="F243" s="102" t="s">
        <v>1600</v>
      </c>
      <c r="G243" s="103" t="s">
        <v>20</v>
      </c>
      <c r="H243" s="103">
        <v>201612</v>
      </c>
      <c r="I243" s="104">
        <v>-46.74</v>
      </c>
      <c r="J243" s="144">
        <f t="shared" si="9"/>
        <v>5</v>
      </c>
      <c r="K243" s="155">
        <v>1.4833299999999999E-3</v>
      </c>
      <c r="L243" s="154">
        <f t="shared" si="10"/>
        <v>-0.35</v>
      </c>
      <c r="M243" s="154">
        <f t="shared" si="11"/>
        <v>-0.83</v>
      </c>
      <c r="N243" s="145"/>
      <c r="O243" s="168" t="str">
        <f>VLOOKUP(C243,'New Wo Detailed Descr Rev'!$A$5:$D$287,4)</f>
        <v>Install 180 ft of 2 in IP PE main.  Abandon 453 ft of 12 in LP CI, 148 ft of 4 in LP CI and 200 ft of 4 in LP ST at E 55th &amp; Jackson. - Total Service Tie overs= 3;Total Service Replacement= 3; Total Service Upgrade = 0; Total Abandoned Services: 2.</v>
      </c>
    </row>
    <row r="244" spans="1:15" ht="60">
      <c r="A244" s="102" t="s">
        <v>14</v>
      </c>
      <c r="B244" s="103" t="s">
        <v>1681</v>
      </c>
      <c r="C244" s="103" t="s">
        <v>2390</v>
      </c>
      <c r="D244" s="102" t="s">
        <v>2391</v>
      </c>
      <c r="E244" s="103" t="s">
        <v>164</v>
      </c>
      <c r="F244" s="102" t="s">
        <v>1600</v>
      </c>
      <c r="G244" s="103" t="s">
        <v>20</v>
      </c>
      <c r="H244" s="103">
        <v>201612</v>
      </c>
      <c r="I244" s="104">
        <v>-5.33</v>
      </c>
      <c r="J244" s="144">
        <f t="shared" si="9"/>
        <v>5</v>
      </c>
      <c r="K244" s="148">
        <v>2.23333E-3</v>
      </c>
      <c r="L244" s="154">
        <f t="shared" si="10"/>
        <v>-0.06</v>
      </c>
      <c r="M244" s="154">
        <f t="shared" si="11"/>
        <v>-0.14000000000000001</v>
      </c>
      <c r="N244" s="145"/>
      <c r="O244" s="168" t="str">
        <f>VLOOKUP(C244,'New Wo Detailed Descr Rev'!$A$5:$D$287,4)</f>
        <v>Install 180 ft of 2 in IP PE main.  Abandon 453 ft of 12 in LP CI, 148 ft of 4 in LP CI and 200 ft of 4 in LP ST at E 55th &amp; Jackson. - Total Service Tie overs= 3;Total Service Replacement= 3; Total Service Upgrade = 0; Total Abandoned Services: 2.</v>
      </c>
    </row>
    <row r="245" spans="1:15" ht="165">
      <c r="A245" s="102" t="s">
        <v>21</v>
      </c>
      <c r="B245" s="103" t="s">
        <v>1681</v>
      </c>
      <c r="C245" s="103" t="s">
        <v>2392</v>
      </c>
      <c r="D245" s="102" t="s">
        <v>2393</v>
      </c>
      <c r="E245" s="103" t="s">
        <v>75</v>
      </c>
      <c r="F245" s="102" t="s">
        <v>1602</v>
      </c>
      <c r="G245" s="103" t="s">
        <v>20</v>
      </c>
      <c r="H245" s="103">
        <v>201612</v>
      </c>
      <c r="I245" s="104">
        <v>1.38</v>
      </c>
      <c r="J245" s="144">
        <f t="shared" si="9"/>
        <v>5</v>
      </c>
      <c r="K245" s="155">
        <v>1.4833299999999999E-3</v>
      </c>
      <c r="L245" s="154">
        <f t="shared" si="10"/>
        <v>0.01</v>
      </c>
      <c r="M245" s="154">
        <f t="shared" si="11"/>
        <v>0.02</v>
      </c>
      <c r="N245" s="145"/>
      <c r="O245" s="168" t="str">
        <f>VLOOKUP(C245,'New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246" spans="1:15" ht="165">
      <c r="A246" s="102" t="s">
        <v>626</v>
      </c>
      <c r="B246" s="103" t="s">
        <v>1681</v>
      </c>
      <c r="C246" s="103" t="s">
        <v>2392</v>
      </c>
      <c r="D246" s="102" t="s">
        <v>2393</v>
      </c>
      <c r="E246" s="103" t="s">
        <v>75</v>
      </c>
      <c r="F246" s="102" t="s">
        <v>1602</v>
      </c>
      <c r="G246" s="103" t="s">
        <v>20</v>
      </c>
      <c r="H246" s="103">
        <v>201612</v>
      </c>
      <c r="I246" s="104">
        <v>19109.57</v>
      </c>
      <c r="J246" s="144">
        <f t="shared" si="9"/>
        <v>5</v>
      </c>
      <c r="K246" s="155">
        <v>1.4833299999999999E-3</v>
      </c>
      <c r="L246" s="154">
        <f t="shared" si="10"/>
        <v>141.72999999999999</v>
      </c>
      <c r="M246" s="154">
        <f t="shared" si="11"/>
        <v>340.15</v>
      </c>
      <c r="N246" s="145"/>
      <c r="O246" s="168" t="str">
        <f>VLOOKUP(C246,'New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247" spans="1:15" ht="165">
      <c r="A247" s="102" t="s">
        <v>14</v>
      </c>
      <c r="B247" s="103" t="s">
        <v>1681</v>
      </c>
      <c r="C247" s="103" t="s">
        <v>2392</v>
      </c>
      <c r="D247" s="102" t="s">
        <v>2393</v>
      </c>
      <c r="E247" s="103" t="s">
        <v>75</v>
      </c>
      <c r="F247" s="102" t="s">
        <v>1602</v>
      </c>
      <c r="G247" s="103" t="s">
        <v>20</v>
      </c>
      <c r="H247" s="103">
        <v>201612</v>
      </c>
      <c r="I247" s="104">
        <v>10.69</v>
      </c>
      <c r="J247" s="144">
        <f t="shared" si="9"/>
        <v>5</v>
      </c>
      <c r="K247" s="148">
        <v>2.23333E-3</v>
      </c>
      <c r="L247" s="154">
        <f t="shared" si="10"/>
        <v>0.12</v>
      </c>
      <c r="M247" s="154">
        <f t="shared" si="11"/>
        <v>0.28999999999999998</v>
      </c>
      <c r="N247" s="145"/>
      <c r="O247" s="168" t="str">
        <f>VLOOKUP(C247,'New Wo Detailed Descr Rev'!$A$5:$D$287,4)</f>
        <v>Install 2603 Ft 2 in PL IP, 2707 Ft 4 in PL IP, &amp; 1969 Ft  6 in PL IP main on Commercial St, Oakland St, Miller St, Walnut St, Front St, 2nd St, Harrison St, Jefferson St, Webster St, Hwy 58, &amp; Main St (Pleasant Hill).  Abandon various - see Notes. -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248" spans="1:15" ht="120">
      <c r="A248" s="102" t="s">
        <v>626</v>
      </c>
      <c r="B248" s="103" t="s">
        <v>1681</v>
      </c>
      <c r="C248" s="103" t="s">
        <v>2394</v>
      </c>
      <c r="D248" s="102" t="s">
        <v>2395</v>
      </c>
      <c r="E248" s="103" t="s">
        <v>75</v>
      </c>
      <c r="F248" s="102" t="s">
        <v>1602</v>
      </c>
      <c r="G248" s="103" t="s">
        <v>20</v>
      </c>
      <c r="H248" s="103">
        <v>201612</v>
      </c>
      <c r="I248" s="104">
        <v>527.91</v>
      </c>
      <c r="J248" s="144">
        <f t="shared" si="9"/>
        <v>5</v>
      </c>
      <c r="K248" s="155">
        <v>1.4833299999999999E-3</v>
      </c>
      <c r="L248" s="154">
        <f t="shared" si="10"/>
        <v>3.92</v>
      </c>
      <c r="M248" s="154">
        <f t="shared" si="11"/>
        <v>9.4</v>
      </c>
      <c r="N248" s="145"/>
      <c r="O248" s="168" t="str">
        <f>VLOOKUP(C248,'New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249" spans="1:15" ht="120">
      <c r="A249" s="102" t="s">
        <v>14</v>
      </c>
      <c r="B249" s="103" t="s">
        <v>1681</v>
      </c>
      <c r="C249" s="103" t="s">
        <v>2394</v>
      </c>
      <c r="D249" s="102" t="s">
        <v>2395</v>
      </c>
      <c r="E249" s="103" t="s">
        <v>75</v>
      </c>
      <c r="F249" s="102" t="s">
        <v>1602</v>
      </c>
      <c r="G249" s="103" t="s">
        <v>20</v>
      </c>
      <c r="H249" s="103">
        <v>201612</v>
      </c>
      <c r="I249" s="104">
        <v>22.17</v>
      </c>
      <c r="J249" s="144">
        <f t="shared" si="9"/>
        <v>5</v>
      </c>
      <c r="K249" s="148">
        <v>2.23333E-3</v>
      </c>
      <c r="L249" s="154">
        <f t="shared" si="10"/>
        <v>0.25</v>
      </c>
      <c r="M249" s="154">
        <f t="shared" si="11"/>
        <v>0.59</v>
      </c>
      <c r="N249" s="145"/>
      <c r="O249" s="168" t="str">
        <f>VLOOKUP(C249,'New Wo Detailed Descr Rev'!$A$5:$D$287,4)</f>
        <v>Install 2936Ft of 2in and 704Ft of 4in PL IP main for Pleasant Hill Grid Phase 2. Abandon 80Ft of 2in PL, 215Ft of 4in PL, 668Ft of 2in ST, 512Ft of 3in ST, 2968ft of 4in ST and 115ft of 5in ST main. -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250" spans="1:15" ht="30">
      <c r="A250" s="102" t="s">
        <v>626</v>
      </c>
      <c r="B250" s="103" t="s">
        <v>1681</v>
      </c>
      <c r="C250" s="103" t="s">
        <v>2095</v>
      </c>
      <c r="D250" s="102" t="s">
        <v>2096</v>
      </c>
      <c r="E250" s="103" t="s">
        <v>164</v>
      </c>
      <c r="F250" s="102" t="s">
        <v>1600</v>
      </c>
      <c r="G250" s="103" t="s">
        <v>20</v>
      </c>
      <c r="H250" s="103">
        <v>201612</v>
      </c>
      <c r="I250" s="104">
        <v>742.14</v>
      </c>
      <c r="J250" s="144">
        <f t="shared" si="9"/>
        <v>5</v>
      </c>
      <c r="K250" s="155">
        <v>1.4833299999999999E-3</v>
      </c>
      <c r="L250" s="154">
        <f t="shared" si="10"/>
        <v>5.5</v>
      </c>
      <c r="M250" s="154">
        <f t="shared" si="11"/>
        <v>13.21</v>
      </c>
      <c r="N250" s="145"/>
      <c r="O250" s="168" t="str">
        <f>VLOOKUP(C250,'New Wo Detailed Descr Rev'!$A$5:$D$287,4)</f>
        <v>Install 40' of 4'' PE. Abandon 30' of 6'' CI due to AOR at 3211 Cypress Ave. - 0</v>
      </c>
    </row>
    <row r="251" spans="1:15" ht="90">
      <c r="A251" s="102" t="s">
        <v>626</v>
      </c>
      <c r="B251" s="103" t="s">
        <v>1681</v>
      </c>
      <c r="C251" s="103" t="s">
        <v>2398</v>
      </c>
      <c r="D251" s="102" t="s">
        <v>2399</v>
      </c>
      <c r="E251" s="103" t="s">
        <v>93</v>
      </c>
      <c r="F251" s="102" t="s">
        <v>1601</v>
      </c>
      <c r="G251" s="103" t="s">
        <v>20</v>
      </c>
      <c r="H251" s="103">
        <v>201612</v>
      </c>
      <c r="I251" s="104">
        <v>390.75</v>
      </c>
      <c r="J251" s="144">
        <f t="shared" si="9"/>
        <v>5</v>
      </c>
      <c r="K251" s="155">
        <v>1.4833299999999999E-3</v>
      </c>
      <c r="L251" s="154">
        <f t="shared" si="10"/>
        <v>2.9</v>
      </c>
      <c r="M251" s="154">
        <f t="shared" si="11"/>
        <v>6.96</v>
      </c>
      <c r="N251" s="145"/>
      <c r="O251" s="168" t="str">
        <f>VLOOKUP(C251,'New Wo Detailed Descr Rev'!$A$5:$D$287,4)</f>
        <v>Relocate of 568ft of 2in ST, 2189ft of 3in ST, 126ft of 4in ST and 1371ft of 4in PL with 159ft 2in PL, 2053ft 4in PL and 1186ft of 6in PL along Rt 14 and Hwy 160 due to MODOT improvements. Division: 08 Town: 16 Sector: A1412. - Pressure System: C-0001 MAOP: 44 psig MOP: 44 psig Design: 66 psig Test: 100 psig Cost: $194,906.56 ($57.36/ft ) ISRS</v>
      </c>
    </row>
    <row r="252" spans="1:15" ht="45">
      <c r="A252" s="102" t="s">
        <v>626</v>
      </c>
      <c r="B252" s="103" t="s">
        <v>1681</v>
      </c>
      <c r="C252" s="103" t="s">
        <v>2402</v>
      </c>
      <c r="D252" s="102" t="s">
        <v>2403</v>
      </c>
      <c r="E252" s="103" t="s">
        <v>87</v>
      </c>
      <c r="F252" s="102" t="s">
        <v>1603</v>
      </c>
      <c r="G252" s="103" t="s">
        <v>20</v>
      </c>
      <c r="H252" s="103">
        <v>201612</v>
      </c>
      <c r="I252" s="104">
        <v>1831.6</v>
      </c>
      <c r="J252" s="144">
        <f t="shared" si="9"/>
        <v>5</v>
      </c>
      <c r="K252" s="155">
        <v>1.4833299999999999E-3</v>
      </c>
      <c r="L252" s="154">
        <f t="shared" si="10"/>
        <v>13.58</v>
      </c>
      <c r="M252" s="154">
        <f t="shared" si="11"/>
        <v>32.6</v>
      </c>
      <c r="N252" s="145"/>
      <c r="O252" s="168" t="str">
        <f>VLOOKUP(C252,'New Wo Detailed Descr Rev'!$A$5:$D$287,4)</f>
        <v>Install 2320 ft of 2 in MP PE main, 886 ft of 4 in MP PE main and 1872 ft of 6 in MP PE main. Abandon 721 ft of 12 in MP CI main, 30 ft of 8 in LP CI main, 2858 ft of 6 in LP CI main, 807 ft of 4 in LP CI. - 0</v>
      </c>
    </row>
    <row r="253" spans="1:15" ht="45">
      <c r="A253" s="102" t="s">
        <v>14</v>
      </c>
      <c r="B253" s="103" t="s">
        <v>1681</v>
      </c>
      <c r="C253" s="103" t="s">
        <v>2402</v>
      </c>
      <c r="D253" s="102" t="s">
        <v>2403</v>
      </c>
      <c r="E253" s="103" t="s">
        <v>87</v>
      </c>
      <c r="F253" s="102" t="s">
        <v>1603</v>
      </c>
      <c r="G253" s="103" t="s">
        <v>20</v>
      </c>
      <c r="H253" s="103">
        <v>201612</v>
      </c>
      <c r="I253" s="104">
        <v>296.51</v>
      </c>
      <c r="J253" s="144">
        <f t="shared" si="9"/>
        <v>5</v>
      </c>
      <c r="K253" s="148">
        <v>2.23333E-3</v>
      </c>
      <c r="L253" s="154">
        <f t="shared" si="10"/>
        <v>3.31</v>
      </c>
      <c r="M253" s="154">
        <f t="shared" si="11"/>
        <v>7.95</v>
      </c>
      <c r="N253" s="145"/>
      <c r="O253" s="168" t="str">
        <f>VLOOKUP(C253,'New Wo Detailed Descr Rev'!$A$5:$D$287,4)</f>
        <v>Install 2320 ft of 2 in MP PE main, 886 ft of 4 in MP PE main and 1872 ft of 6 in MP PE main. Abandon 721 ft of 12 in MP CI main, 30 ft of 8 in LP CI main, 2858 ft of 6 in LP CI main, 807 ft of 4 in LP CI. - 0</v>
      </c>
    </row>
    <row r="254" spans="1:15" ht="75">
      <c r="A254" s="102" t="s">
        <v>626</v>
      </c>
      <c r="B254" s="103" t="s">
        <v>1681</v>
      </c>
      <c r="C254" s="103" t="s">
        <v>2097</v>
      </c>
      <c r="D254" s="102" t="s">
        <v>2098</v>
      </c>
      <c r="E254" s="103" t="s">
        <v>260</v>
      </c>
      <c r="F254" s="102" t="s">
        <v>1608</v>
      </c>
      <c r="G254" s="103" t="s">
        <v>20</v>
      </c>
      <c r="H254" s="103">
        <v>201612</v>
      </c>
      <c r="I254" s="104">
        <v>5113.9799999999996</v>
      </c>
      <c r="J254" s="144">
        <f t="shared" si="9"/>
        <v>5</v>
      </c>
      <c r="K254" s="155">
        <v>1.4833299999999999E-3</v>
      </c>
      <c r="L254" s="154">
        <f t="shared" si="10"/>
        <v>37.93</v>
      </c>
      <c r="M254" s="154">
        <f t="shared" si="11"/>
        <v>91.03</v>
      </c>
      <c r="N254" s="145"/>
      <c r="O254" s="168" t="str">
        <f>VLOOKUP(C254,'New Wo Detailed Descr Rev'!$A$5:$D$287,4)</f>
        <v>Install 1533 Ft of 2 PL IP main on Commercial St and Elm St. Abandon 396 Ft of 2 in ST and 1131 Ft of 4 in ST LP main on Front and Elm St. - This main is being replaced as part of FY16 Bare Steel Replacement Program and is needed due to low reads (.850 and lower). Crews cannot keep readings above .850.</v>
      </c>
    </row>
    <row r="255" spans="1:15" ht="75">
      <c r="A255" s="102" t="s">
        <v>14</v>
      </c>
      <c r="B255" s="103" t="s">
        <v>1681</v>
      </c>
      <c r="C255" s="103" t="s">
        <v>2097</v>
      </c>
      <c r="D255" s="102" t="s">
        <v>2098</v>
      </c>
      <c r="E255" s="103" t="s">
        <v>260</v>
      </c>
      <c r="F255" s="102" t="s">
        <v>1608</v>
      </c>
      <c r="G255" s="103" t="s">
        <v>20</v>
      </c>
      <c r="H255" s="103">
        <v>201612</v>
      </c>
      <c r="I255" s="104">
        <v>-5113.9799999999996</v>
      </c>
      <c r="J255" s="144">
        <f t="shared" si="9"/>
        <v>5</v>
      </c>
      <c r="K255" s="148">
        <v>2.23333E-3</v>
      </c>
      <c r="L255" s="154">
        <f t="shared" si="10"/>
        <v>-57.11</v>
      </c>
      <c r="M255" s="154">
        <f t="shared" si="11"/>
        <v>-137.05000000000001</v>
      </c>
      <c r="N255" s="145"/>
      <c r="O255" s="168" t="str">
        <f>VLOOKUP(C255,'New Wo Detailed Descr Rev'!$A$5:$D$287,4)</f>
        <v>Install 1533 Ft of 2 PL IP main on Commercial St and Elm St. Abandon 396 Ft of 2 in ST and 1131 Ft of 4 in ST LP main on Front and Elm St. - This main is being replaced as part of FY16 Bare Steel Replacement Program and is needed due to low reads (.850 and lower). Crews cannot keep readings above .850.</v>
      </c>
    </row>
    <row r="256" spans="1:15" ht="60">
      <c r="A256" s="102" t="s">
        <v>626</v>
      </c>
      <c r="B256" s="103" t="s">
        <v>1681</v>
      </c>
      <c r="C256" s="103" t="s">
        <v>2099</v>
      </c>
      <c r="D256" s="102" t="s">
        <v>2100</v>
      </c>
      <c r="E256" s="103" t="s">
        <v>260</v>
      </c>
      <c r="F256" s="102" t="s">
        <v>1608</v>
      </c>
      <c r="G256" s="103" t="s">
        <v>20</v>
      </c>
      <c r="H256" s="103">
        <v>201612</v>
      </c>
      <c r="I256" s="104">
        <v>-1189.27</v>
      </c>
      <c r="J256" s="144">
        <f t="shared" si="9"/>
        <v>5</v>
      </c>
      <c r="K256" s="155">
        <v>1.4833299999999999E-3</v>
      </c>
      <c r="L256" s="154">
        <f t="shared" si="10"/>
        <v>-8.82</v>
      </c>
      <c r="M256" s="154">
        <f t="shared" si="11"/>
        <v>-21.17</v>
      </c>
      <c r="N256" s="145"/>
      <c r="O256" s="168" t="str">
        <f>VLOOKUP(C256,'New Wo Detailed Descr Rev'!$A$5:$D$287,4)</f>
        <v>Install 800 Ft of 2 in PL IP main on Carnation Dr. Abandon 778 Ft of 2 in ST IP Main at the above location. - This main is being abandoned as part of FY16 Bare Steel Replacement Program and will clear class 3 leak at 507 Carnation.</v>
      </c>
    </row>
    <row r="257" spans="1:15" ht="60">
      <c r="A257" s="102" t="s">
        <v>14</v>
      </c>
      <c r="B257" s="103" t="s">
        <v>1681</v>
      </c>
      <c r="C257" s="103" t="s">
        <v>2099</v>
      </c>
      <c r="D257" s="102" t="s">
        <v>2100</v>
      </c>
      <c r="E257" s="103" t="s">
        <v>260</v>
      </c>
      <c r="F257" s="102" t="s">
        <v>1608</v>
      </c>
      <c r="G257" s="103" t="s">
        <v>20</v>
      </c>
      <c r="H257" s="103">
        <v>201612</v>
      </c>
      <c r="I257" s="104">
        <v>1189.27</v>
      </c>
      <c r="J257" s="144">
        <f t="shared" si="9"/>
        <v>5</v>
      </c>
      <c r="K257" s="148">
        <v>2.23333E-3</v>
      </c>
      <c r="L257" s="154">
        <f t="shared" si="10"/>
        <v>13.28</v>
      </c>
      <c r="M257" s="154">
        <f t="shared" si="11"/>
        <v>31.87</v>
      </c>
      <c r="N257" s="145"/>
      <c r="O257" s="168" t="str">
        <f>VLOOKUP(C257,'New Wo Detailed Descr Rev'!$A$5:$D$287,4)</f>
        <v>Install 800 Ft of 2 in PL IP main on Carnation Dr. Abandon 778 Ft of 2 in ST IP Main at the above location. - This main is being abandoned as part of FY16 Bare Steel Replacement Program and will clear class 3 leak at 507 Carnation.</v>
      </c>
    </row>
    <row r="258" spans="1:15" ht="45">
      <c r="A258" s="102" t="s">
        <v>626</v>
      </c>
      <c r="B258" s="103" t="s">
        <v>1681</v>
      </c>
      <c r="C258" s="103" t="s">
        <v>2101</v>
      </c>
      <c r="D258" s="102" t="s">
        <v>2102</v>
      </c>
      <c r="E258" s="103" t="s">
        <v>260</v>
      </c>
      <c r="F258" s="102" t="s">
        <v>1608</v>
      </c>
      <c r="G258" s="103" t="s">
        <v>20</v>
      </c>
      <c r="H258" s="103">
        <v>201612</v>
      </c>
      <c r="I258" s="104">
        <v>4.74</v>
      </c>
      <c r="J258" s="144">
        <f t="shared" ref="J258:J291" si="12">HLOOKUP(H258,$Q$2:$W$3,2)</f>
        <v>5</v>
      </c>
      <c r="K258" s="155">
        <v>1.4833299999999999E-3</v>
      </c>
      <c r="L258" s="154">
        <f t="shared" ref="L258:L291" si="13">ROUND(I258*J258*K258,2)</f>
        <v>0.04</v>
      </c>
      <c r="M258" s="154">
        <f t="shared" ref="M258:M291" si="14">ROUND(I258*K258*12,2)</f>
        <v>0.08</v>
      </c>
      <c r="N258" s="145"/>
      <c r="O258" s="168" t="str">
        <f>VLOOKUP(C258,'New Wo Detailed Descr Rev'!$A$5:$D$287,4)</f>
        <v>Install 88 Ft of 2 in PL LP Main at 2nd St and Broadway St.  Abandon 90 Ft of 2 in ST LP Main at above location. - Main being replaced due to cathodic protection - corrosion issues.</v>
      </c>
    </row>
    <row r="259" spans="1:15" ht="90">
      <c r="A259" s="102" t="s">
        <v>626</v>
      </c>
      <c r="B259" s="103" t="s">
        <v>1681</v>
      </c>
      <c r="C259" s="103" t="s">
        <v>2404</v>
      </c>
      <c r="D259" s="102" t="s">
        <v>2405</v>
      </c>
      <c r="E259" s="103" t="s">
        <v>209</v>
      </c>
      <c r="F259" s="102" t="s">
        <v>1612</v>
      </c>
      <c r="G259" s="103" t="s">
        <v>20</v>
      </c>
      <c r="H259" s="103">
        <v>201612</v>
      </c>
      <c r="I259" s="104">
        <v>12000.25</v>
      </c>
      <c r="J259" s="144">
        <f t="shared" si="12"/>
        <v>5</v>
      </c>
      <c r="K259" s="155">
        <v>1.4833299999999999E-3</v>
      </c>
      <c r="L259" s="154">
        <f t="shared" si="13"/>
        <v>89</v>
      </c>
      <c r="M259" s="154">
        <f t="shared" si="14"/>
        <v>213.6</v>
      </c>
      <c r="N259" s="145"/>
      <c r="O259" s="168" t="str">
        <f>VLOOKUP(C259,'New Wo Detailed Descr Rev'!$A$5:$D$287,4)</f>
        <v>Install 1609 ft of 2 inch PE and 455 ft of 6 inch PE on Overton, Evanston and Arlington from Arlington and Evanston south to 16th St. Abandon 148 ft of 2in PL, 1451 ft of 2in BS, 340 ft of 4in BS, &amp; 340 ft of 6in BS. - Main is in conflict with City of Independence sewer improvements.  Work is not reimbursable. Work is ISRS recoverable.</v>
      </c>
    </row>
    <row r="260" spans="1:15" ht="60">
      <c r="A260" s="102" t="s">
        <v>626</v>
      </c>
      <c r="B260" s="103" t="s">
        <v>1681</v>
      </c>
      <c r="C260" s="103" t="s">
        <v>2273</v>
      </c>
      <c r="D260" s="102" t="s">
        <v>2274</v>
      </c>
      <c r="E260" s="103" t="s">
        <v>260</v>
      </c>
      <c r="F260" s="102" t="s">
        <v>1608</v>
      </c>
      <c r="G260" s="103" t="s">
        <v>20</v>
      </c>
      <c r="H260" s="103">
        <v>201612</v>
      </c>
      <c r="I260" s="104">
        <v>-3883.56</v>
      </c>
      <c r="J260" s="144">
        <f t="shared" si="12"/>
        <v>5</v>
      </c>
      <c r="K260" s="155">
        <v>1.4833299999999999E-3</v>
      </c>
      <c r="L260" s="154">
        <f t="shared" si="13"/>
        <v>-28.8</v>
      </c>
      <c r="M260" s="154">
        <f t="shared" si="14"/>
        <v>-69.13</v>
      </c>
      <c r="N260" s="145"/>
      <c r="O260" s="168" t="str">
        <f>VLOOKUP(C260,'New Wo Detailed Descr Rev'!$A$5:$D$287,4)</f>
        <v>Install 740 Ft of 2 in PL LP main on McKinley Ave in between W 1st St and W 3rd St. Abandon 10 Ft of 2 in PL, 814 Ft of 2 in ST and 5 Ft of 3 in ST main. - This main is being replaced due to failed CP reads and is part of the bare steel replacement program.</v>
      </c>
    </row>
    <row r="261" spans="1:15" ht="60">
      <c r="A261" s="102" t="s">
        <v>21</v>
      </c>
      <c r="B261" s="103" t="s">
        <v>1681</v>
      </c>
      <c r="C261" s="103" t="s">
        <v>2438</v>
      </c>
      <c r="D261" s="102" t="s">
        <v>2439</v>
      </c>
      <c r="E261" s="103" t="s">
        <v>260</v>
      </c>
      <c r="F261" s="102" t="s">
        <v>1608</v>
      </c>
      <c r="G261" s="103" t="s">
        <v>20</v>
      </c>
      <c r="H261" s="103">
        <v>201612</v>
      </c>
      <c r="I261" s="104">
        <v>810.66</v>
      </c>
      <c r="J261" s="144">
        <f t="shared" si="12"/>
        <v>5</v>
      </c>
      <c r="K261" s="155">
        <v>1.4833299999999999E-3</v>
      </c>
      <c r="L261" s="154">
        <f t="shared" si="13"/>
        <v>6.01</v>
      </c>
      <c r="M261" s="154">
        <f t="shared" si="14"/>
        <v>14.43</v>
      </c>
      <c r="N261" s="145"/>
      <c r="O261" s="168" t="str">
        <f>VLOOKUP(C261,'New Wo Detailed Descr Rev'!$A$5:$D$287,4)</f>
        <v>Install ~455 Ft of 2 in PL MP main on Kansas Ave and 18th Street in Joplin. - Abandon ~384 Ft of 2 in ST MP main and 58 Ft of 3 in ST MP main at the above locations.  Total Service Tie Overs - 2.  ISRS - Replace due to CP 15-092.</v>
      </c>
    </row>
    <row r="262" spans="1:15" ht="60">
      <c r="A262" s="102" t="s">
        <v>626</v>
      </c>
      <c r="B262" s="103" t="s">
        <v>1681</v>
      </c>
      <c r="C262" s="103" t="s">
        <v>2438</v>
      </c>
      <c r="D262" s="102" t="s">
        <v>2439</v>
      </c>
      <c r="E262" s="103" t="s">
        <v>260</v>
      </c>
      <c r="F262" s="102" t="s">
        <v>1608</v>
      </c>
      <c r="G262" s="103" t="s">
        <v>20</v>
      </c>
      <c r="H262" s="103">
        <v>201612</v>
      </c>
      <c r="I262" s="104">
        <v>18841.66</v>
      </c>
      <c r="J262" s="144">
        <f t="shared" si="12"/>
        <v>5</v>
      </c>
      <c r="K262" s="155">
        <v>1.4833299999999999E-3</v>
      </c>
      <c r="L262" s="154">
        <f t="shared" si="13"/>
        <v>139.74</v>
      </c>
      <c r="M262" s="154">
        <f t="shared" si="14"/>
        <v>335.38</v>
      </c>
      <c r="N262" s="145"/>
      <c r="O262" s="168" t="str">
        <f>VLOOKUP(C262,'New Wo Detailed Descr Rev'!$A$5:$D$287,4)</f>
        <v>Install ~455 Ft of 2 in PL MP main on Kansas Ave and 18th Street in Joplin. - Abandon ~384 Ft of 2 in ST MP main and 58 Ft of 3 in ST MP main at the above locations.  Total Service Tie Overs - 2.  ISRS - Replace due to CP 15-092.</v>
      </c>
    </row>
    <row r="263" spans="1:15" ht="60">
      <c r="A263" s="102" t="s">
        <v>14</v>
      </c>
      <c r="B263" s="103" t="s">
        <v>1681</v>
      </c>
      <c r="C263" s="103" t="s">
        <v>2438</v>
      </c>
      <c r="D263" s="102" t="s">
        <v>2439</v>
      </c>
      <c r="E263" s="103" t="s">
        <v>260</v>
      </c>
      <c r="F263" s="102" t="s">
        <v>1608</v>
      </c>
      <c r="G263" s="103" t="s">
        <v>20</v>
      </c>
      <c r="H263" s="103">
        <v>201612</v>
      </c>
      <c r="I263" s="104">
        <v>130.94</v>
      </c>
      <c r="J263" s="144">
        <f t="shared" si="12"/>
        <v>5</v>
      </c>
      <c r="K263" s="148">
        <v>2.23333E-3</v>
      </c>
      <c r="L263" s="154">
        <f t="shared" si="13"/>
        <v>1.46</v>
      </c>
      <c r="M263" s="154">
        <f t="shared" si="14"/>
        <v>3.51</v>
      </c>
      <c r="N263" s="145"/>
      <c r="O263" s="168" t="str">
        <f>VLOOKUP(C263,'New Wo Detailed Descr Rev'!$A$5:$D$287,4)</f>
        <v>Install ~455 Ft of 2 in PL MP main on Kansas Ave and 18th Street in Joplin. - Abandon ~384 Ft of 2 in ST MP main and 58 Ft of 3 in ST MP main at the above locations.  Total Service Tie Overs - 2.  ISRS - Replace due to CP 15-092.</v>
      </c>
    </row>
    <row r="264" spans="1:15" ht="45">
      <c r="A264" s="102" t="s">
        <v>626</v>
      </c>
      <c r="B264" s="103" t="s">
        <v>1681</v>
      </c>
      <c r="C264" s="103" t="s">
        <v>2113</v>
      </c>
      <c r="D264" s="102" t="s">
        <v>2114</v>
      </c>
      <c r="E264" s="103" t="s">
        <v>87</v>
      </c>
      <c r="F264" s="102" t="s">
        <v>1603</v>
      </c>
      <c r="G264" s="103" t="s">
        <v>20</v>
      </c>
      <c r="H264" s="103">
        <v>201612</v>
      </c>
      <c r="I264" s="104">
        <v>965</v>
      </c>
      <c r="J264" s="144">
        <f t="shared" si="12"/>
        <v>5</v>
      </c>
      <c r="K264" s="155">
        <v>1.4833299999999999E-3</v>
      </c>
      <c r="L264" s="154">
        <f t="shared" si="13"/>
        <v>7.16</v>
      </c>
      <c r="M264" s="154">
        <f t="shared" si="14"/>
        <v>17.18</v>
      </c>
      <c r="N264" s="145"/>
      <c r="O264" s="168" t="str">
        <f>VLOOKUP(C264,'New Wo Detailed Descr Rev'!$A$5:$D$287,4)</f>
        <v>Install 508' of 2" PE IP main on N Amity Ave.  Abandon 500' of 2" STL IP main.This project is due to curb inlet box and street approach. - 0</v>
      </c>
    </row>
    <row r="265" spans="1:15" ht="105">
      <c r="A265" s="102" t="s">
        <v>626</v>
      </c>
      <c r="B265" s="103" t="s">
        <v>1681</v>
      </c>
      <c r="C265" s="103" t="s">
        <v>2406</v>
      </c>
      <c r="D265" s="102" t="s">
        <v>2407</v>
      </c>
      <c r="E265" s="103" t="s">
        <v>75</v>
      </c>
      <c r="F265" s="102" t="s">
        <v>1602</v>
      </c>
      <c r="G265" s="103" t="s">
        <v>20</v>
      </c>
      <c r="H265" s="103">
        <v>201612</v>
      </c>
      <c r="I265" s="104">
        <v>150.94</v>
      </c>
      <c r="J265" s="144">
        <f t="shared" si="12"/>
        <v>5</v>
      </c>
      <c r="K265" s="155">
        <v>1.4833299999999999E-3</v>
      </c>
      <c r="L265" s="154">
        <f t="shared" si="13"/>
        <v>1.1200000000000001</v>
      </c>
      <c r="M265" s="154">
        <f t="shared" si="14"/>
        <v>2.69</v>
      </c>
      <c r="N265" s="145"/>
      <c r="O265" s="168" t="str">
        <f>VLOOKUP(C265,'New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266" spans="1:15" ht="105">
      <c r="A266" s="102" t="s">
        <v>14</v>
      </c>
      <c r="B266" s="103" t="s">
        <v>1681</v>
      </c>
      <c r="C266" s="103" t="s">
        <v>2406</v>
      </c>
      <c r="D266" s="102" t="s">
        <v>2407</v>
      </c>
      <c r="E266" s="103" t="s">
        <v>75</v>
      </c>
      <c r="F266" s="102" t="s">
        <v>1602</v>
      </c>
      <c r="G266" s="103" t="s">
        <v>20</v>
      </c>
      <c r="H266" s="103">
        <v>201612</v>
      </c>
      <c r="I266" s="104">
        <v>3.56</v>
      </c>
      <c r="J266" s="144">
        <f t="shared" si="12"/>
        <v>5</v>
      </c>
      <c r="K266" s="148">
        <v>2.23333E-3</v>
      </c>
      <c r="L266" s="154">
        <f t="shared" si="13"/>
        <v>0.04</v>
      </c>
      <c r="M266" s="154">
        <f t="shared" si="14"/>
        <v>0.1</v>
      </c>
      <c r="N266" s="145"/>
      <c r="O266" s="168" t="str">
        <f>VLOOKUP(C266,'New Wo Detailed Descr Rev'!$A$5:$D$287,4)</f>
        <v>Install 3430 Ft of 2in PL IP, 1195 Ft of 4in PL IP, abandon 130 ft of 2in PL LP, 118 Ft of 4in PL LP, 939 Ft of 2in ST LP, 3443 Ft of 4in ST LP Main on T.C. Lea Rd, Westwood Dr, Westwood Ct, and Waldo Dr. - This main is being replaced as part of the FY16 Bare Steel Replacement Program.
Total service tie overs = 88; Total service abandon = 5; Total service replace = 5</v>
      </c>
    </row>
    <row r="267" spans="1:15" ht="60">
      <c r="A267" s="102" t="s">
        <v>626</v>
      </c>
      <c r="B267" s="103" t="s">
        <v>1681</v>
      </c>
      <c r="C267" s="103" t="s">
        <v>2412</v>
      </c>
      <c r="D267" s="102" t="s">
        <v>2413</v>
      </c>
      <c r="E267" s="103" t="s">
        <v>75</v>
      </c>
      <c r="F267" s="102" t="s">
        <v>1602</v>
      </c>
      <c r="G267" s="103" t="s">
        <v>20</v>
      </c>
      <c r="H267" s="103">
        <v>201612</v>
      </c>
      <c r="I267" s="104">
        <v>340.08</v>
      </c>
      <c r="J267" s="144">
        <f t="shared" si="12"/>
        <v>5</v>
      </c>
      <c r="K267" s="155">
        <v>1.4833299999999999E-3</v>
      </c>
      <c r="L267" s="154">
        <f t="shared" si="13"/>
        <v>2.52</v>
      </c>
      <c r="M267" s="154">
        <f t="shared" si="14"/>
        <v>6.05</v>
      </c>
      <c r="N267" s="145"/>
      <c r="O267" s="168" t="str">
        <f>VLOOKUP(C267,'New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268" spans="1:15" ht="60">
      <c r="A268" s="102" t="s">
        <v>14</v>
      </c>
      <c r="B268" s="103" t="s">
        <v>1681</v>
      </c>
      <c r="C268" s="103" t="s">
        <v>2412</v>
      </c>
      <c r="D268" s="102" t="s">
        <v>2413</v>
      </c>
      <c r="E268" s="103" t="s">
        <v>75</v>
      </c>
      <c r="F268" s="102" t="s">
        <v>1602</v>
      </c>
      <c r="G268" s="103" t="s">
        <v>20</v>
      </c>
      <c r="H268" s="103">
        <v>201612</v>
      </c>
      <c r="I268" s="104">
        <v>3.56</v>
      </c>
      <c r="J268" s="144">
        <f t="shared" si="12"/>
        <v>5</v>
      </c>
      <c r="K268" s="148">
        <v>2.23333E-3</v>
      </c>
      <c r="L268" s="154">
        <f t="shared" si="13"/>
        <v>0.04</v>
      </c>
      <c r="M268" s="154">
        <f t="shared" si="14"/>
        <v>0.1</v>
      </c>
      <c r="N268" s="145"/>
      <c r="O268" s="168" t="str">
        <f>VLOOKUP(C268,'New Wo Detailed Descr Rev'!$A$5:$D$287,4)</f>
        <v>Install 4265 Ft of 2 in PL IP and abandon 383 Ft of 2 in PL LP Main, 2124 Ft of 2 in ST LP, 1847 Ft of 4" ST LP Main on Rogers St, Sunrise Dr, Sunset Dr and Westwood Dr. - This main is being replaced as part of the FY16 Bare Steel Replacement Program.</v>
      </c>
    </row>
    <row r="269" spans="1:15" ht="60">
      <c r="A269" s="102" t="s">
        <v>626</v>
      </c>
      <c r="B269" s="103" t="s">
        <v>1681</v>
      </c>
      <c r="C269" s="103" t="s">
        <v>2416</v>
      </c>
      <c r="D269" s="102" t="s">
        <v>2417</v>
      </c>
      <c r="E269" s="103" t="s">
        <v>164</v>
      </c>
      <c r="F269" s="102" t="s">
        <v>1600</v>
      </c>
      <c r="G269" s="103" t="s">
        <v>20</v>
      </c>
      <c r="H269" s="103">
        <v>201612</v>
      </c>
      <c r="I269" s="104">
        <v>2081.54</v>
      </c>
      <c r="J269" s="144">
        <f t="shared" si="12"/>
        <v>5</v>
      </c>
      <c r="K269" s="155">
        <v>1.4833299999999999E-3</v>
      </c>
      <c r="L269" s="154">
        <f t="shared" si="13"/>
        <v>15.44</v>
      </c>
      <c r="M269" s="154">
        <f t="shared" si="14"/>
        <v>37.049999999999997</v>
      </c>
      <c r="N269" s="145"/>
      <c r="O269" s="168" t="str">
        <f>VLOOKUP(C269,'New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270" spans="1:15" ht="60">
      <c r="A270" s="102" t="s">
        <v>1942</v>
      </c>
      <c r="B270" s="103" t="s">
        <v>1681</v>
      </c>
      <c r="C270" s="103" t="s">
        <v>2416</v>
      </c>
      <c r="D270" s="102" t="s">
        <v>2417</v>
      </c>
      <c r="E270" s="103" t="s">
        <v>164</v>
      </c>
      <c r="F270" s="102" t="s">
        <v>1600</v>
      </c>
      <c r="G270" s="103" t="s">
        <v>20</v>
      </c>
      <c r="H270" s="103">
        <v>201612</v>
      </c>
      <c r="I270" s="104">
        <v>4.5199999999999996</v>
      </c>
      <c r="J270" s="144">
        <f t="shared" si="12"/>
        <v>5</v>
      </c>
      <c r="K270" s="155">
        <v>2.23333E-3</v>
      </c>
      <c r="L270" s="154">
        <f t="shared" si="13"/>
        <v>0.05</v>
      </c>
      <c r="M270" s="154">
        <f t="shared" si="14"/>
        <v>0.12</v>
      </c>
      <c r="N270" s="145"/>
      <c r="O270" s="168" t="str">
        <f>VLOOKUP(C270,'New Wo Detailed Descr Rev'!$A$5:$D$287,4)</f>
        <v>Install 2,926ft of 2in PL IP main at Olive Street from 55th to 59th. Abandon 773ft of 3in steel LP main, 262ft if 4in CI LP, 2,059ft of 6in CI LP main, 7ft of 6in PE LP main, and 302ft of 8in CI LP main. - Main being replaced as part of the FY16 cast iron replacement program.</v>
      </c>
    </row>
    <row r="271" spans="1:15" ht="105">
      <c r="A271" s="102" t="s">
        <v>21</v>
      </c>
      <c r="B271" s="103" t="s">
        <v>1681</v>
      </c>
      <c r="C271" s="103" t="s">
        <v>2418</v>
      </c>
      <c r="D271" s="102" t="s">
        <v>2419</v>
      </c>
      <c r="E271" s="103" t="s">
        <v>75</v>
      </c>
      <c r="F271" s="102" t="s">
        <v>1602</v>
      </c>
      <c r="G271" s="103" t="s">
        <v>20</v>
      </c>
      <c r="H271" s="103">
        <v>201612</v>
      </c>
      <c r="I271" s="104">
        <v>79.400000000000006</v>
      </c>
      <c r="J271" s="144">
        <f t="shared" si="12"/>
        <v>5</v>
      </c>
      <c r="K271" s="155">
        <v>1.4833299999999999E-3</v>
      </c>
      <c r="L271" s="154">
        <f t="shared" si="13"/>
        <v>0.59</v>
      </c>
      <c r="M271" s="154">
        <f t="shared" si="14"/>
        <v>1.41</v>
      </c>
      <c r="N271" s="145"/>
      <c r="O271" s="168" t="str">
        <f>VLOOKUP(C271,'New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272" spans="1:15" ht="105">
      <c r="A272" s="102" t="s">
        <v>1942</v>
      </c>
      <c r="B272" s="103" t="s">
        <v>1681</v>
      </c>
      <c r="C272" s="103" t="s">
        <v>2418</v>
      </c>
      <c r="D272" s="102" t="s">
        <v>2419</v>
      </c>
      <c r="E272" s="103" t="s">
        <v>75</v>
      </c>
      <c r="F272" s="102" t="s">
        <v>1602</v>
      </c>
      <c r="G272" s="103" t="s">
        <v>20</v>
      </c>
      <c r="H272" s="103">
        <v>201612</v>
      </c>
      <c r="I272" s="104">
        <v>0.3</v>
      </c>
      <c r="J272" s="144">
        <f t="shared" si="12"/>
        <v>5</v>
      </c>
      <c r="K272" s="155">
        <v>2.23333E-3</v>
      </c>
      <c r="L272" s="154">
        <f t="shared" si="13"/>
        <v>0</v>
      </c>
      <c r="M272" s="154">
        <f t="shared" si="14"/>
        <v>0.01</v>
      </c>
      <c r="N272" s="145"/>
      <c r="O272" s="168" t="str">
        <f>VLOOKUP(C272,'New Wo Detailed Descr Rev'!$A$5:$D$287,4)</f>
        <v>Install 4185' of 8" HP STL. Abandon 4,194' of 10" STL - Colbern Rd. -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273" spans="1:15" ht="45">
      <c r="A273" s="102" t="s">
        <v>21</v>
      </c>
      <c r="B273" s="103" t="s">
        <v>1681</v>
      </c>
      <c r="C273" s="103" t="s">
        <v>2279</v>
      </c>
      <c r="D273" s="102" t="s">
        <v>2280</v>
      </c>
      <c r="E273" s="103" t="s">
        <v>87</v>
      </c>
      <c r="F273" s="102" t="s">
        <v>1603</v>
      </c>
      <c r="G273" s="103" t="s">
        <v>20</v>
      </c>
      <c r="H273" s="103">
        <v>201612</v>
      </c>
      <c r="I273" s="104">
        <v>37.68</v>
      </c>
      <c r="J273" s="144">
        <f t="shared" si="12"/>
        <v>5</v>
      </c>
      <c r="K273" s="155">
        <v>1.4833299999999999E-3</v>
      </c>
      <c r="L273" s="154">
        <f t="shared" si="13"/>
        <v>0.28000000000000003</v>
      </c>
      <c r="M273" s="154">
        <f t="shared" si="14"/>
        <v>0.67</v>
      </c>
      <c r="N273" s="145"/>
      <c r="O273" s="168" t="str">
        <f>VLOOKUP(C273,'New Wo Detailed Descr Rev'!$A$5:$D$287,4)</f>
        <v>Install 450ft of 12ST main on Illinois Ave at Stockyards Expressway in St. Joe, MO for a public improvement project.  Abandon 450 ft of 12ST main at above location. Tie-over 1 service. - 0</v>
      </c>
    </row>
    <row r="274" spans="1:15" ht="60">
      <c r="A274" s="102" t="s">
        <v>626</v>
      </c>
      <c r="B274" s="103" t="s">
        <v>1681</v>
      </c>
      <c r="C274" s="103" t="s">
        <v>2420</v>
      </c>
      <c r="D274" s="102" t="s">
        <v>2421</v>
      </c>
      <c r="E274" s="103" t="s">
        <v>164</v>
      </c>
      <c r="F274" s="102" t="s">
        <v>1600</v>
      </c>
      <c r="G274" s="103" t="s">
        <v>20</v>
      </c>
      <c r="H274" s="103">
        <v>201612</v>
      </c>
      <c r="I274" s="104">
        <v>133.13999999999999</v>
      </c>
      <c r="J274" s="144">
        <f t="shared" si="12"/>
        <v>5</v>
      </c>
      <c r="K274" s="155">
        <v>1.4833299999999999E-3</v>
      </c>
      <c r="L274" s="154">
        <f t="shared" si="13"/>
        <v>0.99</v>
      </c>
      <c r="M274" s="154">
        <f t="shared" si="14"/>
        <v>2.37</v>
      </c>
      <c r="N274" s="145"/>
      <c r="O274" s="168" t="str">
        <f>VLOOKUP(C274,'New Wo Detailed Descr Rev'!$A$5:$D$287,4)</f>
        <v>Install 30 ft of 4 in PL LP main on Troost between Missouri and Pacific Street.  Retire 30 ft of 4 in CI LP main.Total Service Tie-over = 3. - This is being replaced as part of the FY16 cast iron replacement program.</v>
      </c>
    </row>
    <row r="275" spans="1:15" ht="75">
      <c r="A275" s="102" t="s">
        <v>626</v>
      </c>
      <c r="B275" s="103" t="s">
        <v>1681</v>
      </c>
      <c r="C275" s="103" t="s">
        <v>2289</v>
      </c>
      <c r="D275" s="102" t="s">
        <v>2290</v>
      </c>
      <c r="E275" s="103" t="s">
        <v>93</v>
      </c>
      <c r="F275" s="102" t="s">
        <v>1601</v>
      </c>
      <c r="G275" s="103" t="s">
        <v>20</v>
      </c>
      <c r="H275" s="103">
        <v>201612</v>
      </c>
      <c r="I275" s="104">
        <v>24.09</v>
      </c>
      <c r="J275" s="144">
        <f t="shared" si="12"/>
        <v>5</v>
      </c>
      <c r="K275" s="155">
        <v>1.4833299999999999E-3</v>
      </c>
      <c r="L275" s="154">
        <f t="shared" si="13"/>
        <v>0.18</v>
      </c>
      <c r="M275" s="154">
        <f t="shared" si="14"/>
        <v>0.43</v>
      </c>
      <c r="N275" s="145"/>
      <c r="O275" s="168" t="str">
        <f>VLOOKUP(C275,'New Wo Detailed Descr Rev'!$A$5:$D$287,4)</f>
        <v>Install 1997 Ft of 4 in PL MP main on 20th Street between Vermont and Deleware for the Bankers Addition Civic Improvements. Abandon 176 Ft of 1.25 in PL MP main, 18 Ft 2 in PL MP main &amp; 22 Ft 4 in PL MP main. - This main is being replaced as part of a 2016 Public Improvement and is ISRS recoverable.</v>
      </c>
    </row>
    <row r="276" spans="1:15" ht="75">
      <c r="A276" s="102" t="s">
        <v>626</v>
      </c>
      <c r="B276" s="103" t="s">
        <v>1681</v>
      </c>
      <c r="C276" s="103" t="s">
        <v>2440</v>
      </c>
      <c r="D276" s="102" t="s">
        <v>2441</v>
      </c>
      <c r="E276" s="103" t="s">
        <v>75</v>
      </c>
      <c r="F276" s="102" t="s">
        <v>1602</v>
      </c>
      <c r="G276" s="103" t="s">
        <v>20</v>
      </c>
      <c r="H276" s="103">
        <v>201612</v>
      </c>
      <c r="I276" s="104">
        <v>254401.45</v>
      </c>
      <c r="J276" s="144">
        <f t="shared" si="12"/>
        <v>5</v>
      </c>
      <c r="K276" s="155">
        <v>1.4833299999999999E-3</v>
      </c>
      <c r="L276" s="154">
        <f t="shared" si="13"/>
        <v>1886.81</v>
      </c>
      <c r="M276" s="154">
        <f t="shared" si="14"/>
        <v>4528.34</v>
      </c>
      <c r="N276" s="145"/>
      <c r="O276" s="168" t="str">
        <f>VLOOKUP(C276,'New Wo Detailed Descr Rev'!$A$5:$D$287,4)</f>
        <v>Install 5785 Ft of 2PL IP Main - 29th &amp; Northern Blvd. Abandon 3193 ft of 4LP ST Main,  2019 Ft of 2'' LP ST Main,  238 Ft of 4LP PL Main, 105 Ft of 2LP PL Main. - This Main is being replaced as part of the bare steel main strategic replacement. Uprate is required as we will tie in to an IP system.</v>
      </c>
    </row>
    <row r="277" spans="1:15" ht="75">
      <c r="A277" s="102" t="s">
        <v>14</v>
      </c>
      <c r="B277" s="103" t="s">
        <v>1681</v>
      </c>
      <c r="C277" s="103" t="s">
        <v>2440</v>
      </c>
      <c r="D277" s="102" t="s">
        <v>2441</v>
      </c>
      <c r="E277" s="103" t="s">
        <v>75</v>
      </c>
      <c r="F277" s="102" t="s">
        <v>1602</v>
      </c>
      <c r="G277" s="103" t="s">
        <v>20</v>
      </c>
      <c r="H277" s="103">
        <v>201612</v>
      </c>
      <c r="I277" s="104">
        <v>168434.91</v>
      </c>
      <c r="J277" s="144">
        <f t="shared" si="12"/>
        <v>5</v>
      </c>
      <c r="K277" s="148">
        <v>2.23333E-3</v>
      </c>
      <c r="L277" s="154">
        <f t="shared" si="13"/>
        <v>1880.85</v>
      </c>
      <c r="M277" s="154">
        <f t="shared" si="14"/>
        <v>4514.05</v>
      </c>
      <c r="N277" s="145"/>
      <c r="O277" s="168" t="str">
        <f>VLOOKUP(C277,'New Wo Detailed Descr Rev'!$A$5:$D$287,4)</f>
        <v>Install 5785 Ft of 2PL IP Main - 29th &amp; Northern Blvd. Abandon 3193 ft of 4LP ST Main,  2019 Ft of 2'' LP ST Main,  238 Ft of 4LP PL Main, 105 Ft of 2LP PL Main. - This Main is being replaced as part of the bare steel main strategic replacement. Uprate is required as we will tie in to an IP system.</v>
      </c>
    </row>
    <row r="278" spans="1:15" ht="60">
      <c r="A278" s="102" t="s">
        <v>626</v>
      </c>
      <c r="B278" s="103" t="s">
        <v>1681</v>
      </c>
      <c r="C278" s="103" t="s">
        <v>2422</v>
      </c>
      <c r="D278" s="102" t="s">
        <v>2423</v>
      </c>
      <c r="E278" s="103" t="s">
        <v>164</v>
      </c>
      <c r="F278" s="102" t="s">
        <v>1600</v>
      </c>
      <c r="G278" s="103" t="s">
        <v>20</v>
      </c>
      <c r="H278" s="103">
        <v>201612</v>
      </c>
      <c r="I278" s="104">
        <v>21.13</v>
      </c>
      <c r="J278" s="144">
        <f t="shared" si="12"/>
        <v>5</v>
      </c>
      <c r="K278" s="155">
        <v>1.4833299999999999E-3</v>
      </c>
      <c r="L278" s="154">
        <f t="shared" si="13"/>
        <v>0.16</v>
      </c>
      <c r="M278" s="154">
        <f t="shared" si="14"/>
        <v>0.38</v>
      </c>
      <c r="N278" s="145"/>
      <c r="O278" s="168" t="str">
        <f>VLOOKUP(C278,'New Wo Detailed Descr Rev'!$A$5:$D$287,4)</f>
        <v>Install 947 ft of 4 in PL IP main on 53rd Ter &amp; Ditman.  Abandon 6 ft of 2 in PL IP main, 6 ft of 4 in PL IP main, 564 ft of 4 in ST IP main, and 337 ft of 2 in ST IP main.  - This main is being replaced as part of FY16 Bare Steel Replacement Program.</v>
      </c>
    </row>
    <row r="279" spans="1:15" ht="60">
      <c r="A279" s="102" t="s">
        <v>626</v>
      </c>
      <c r="B279" s="103" t="s">
        <v>1681</v>
      </c>
      <c r="C279" s="103" t="s">
        <v>2424</v>
      </c>
      <c r="D279" s="102" t="s">
        <v>2425</v>
      </c>
      <c r="E279" s="103" t="s">
        <v>93</v>
      </c>
      <c r="F279" s="102" t="s">
        <v>1601</v>
      </c>
      <c r="G279" s="103" t="s">
        <v>20</v>
      </c>
      <c r="H279" s="103">
        <v>201612</v>
      </c>
      <c r="I279" s="104">
        <v>3091.39</v>
      </c>
      <c r="J279" s="144">
        <f t="shared" si="12"/>
        <v>5</v>
      </c>
      <c r="K279" s="155">
        <v>1.4833299999999999E-3</v>
      </c>
      <c r="L279" s="154">
        <f t="shared" si="13"/>
        <v>22.93</v>
      </c>
      <c r="M279" s="154">
        <f t="shared" si="14"/>
        <v>55.03</v>
      </c>
      <c r="N279" s="145"/>
      <c r="O279" s="168" t="str">
        <f>VLOOKUP(C279,'New Wo Detailed Descr Rev'!$A$5:$D$287,4)</f>
        <v>Install ~ 800 Ft of 4 in PL IP Main on Garden Grove  Rd N of Canterbee Ln. - Abandon ~ 800 Ft of 3 in ST IP Main at the above location.  Total Service Tie-Over = 6.  This main is being relocated due to Civic Improvements</v>
      </c>
    </row>
    <row r="280" spans="1:15" ht="105">
      <c r="A280" s="102" t="s">
        <v>626</v>
      </c>
      <c r="B280" s="103" t="s">
        <v>1681</v>
      </c>
      <c r="C280" s="103" t="s">
        <v>2442</v>
      </c>
      <c r="D280" s="102" t="s">
        <v>2443</v>
      </c>
      <c r="E280" s="103" t="s">
        <v>260</v>
      </c>
      <c r="F280" s="102" t="s">
        <v>1608</v>
      </c>
      <c r="G280" s="103" t="s">
        <v>20</v>
      </c>
      <c r="H280" s="103">
        <v>201612</v>
      </c>
      <c r="I280" s="104">
        <v>136272.18</v>
      </c>
      <c r="J280" s="144">
        <f t="shared" si="12"/>
        <v>5</v>
      </c>
      <c r="K280" s="155">
        <v>1.4833299999999999E-3</v>
      </c>
      <c r="L280" s="154">
        <f t="shared" si="13"/>
        <v>1010.68</v>
      </c>
      <c r="M280" s="154">
        <f t="shared" si="14"/>
        <v>2425.64</v>
      </c>
      <c r="N280" s="145"/>
      <c r="O280" s="168" t="str">
        <f>VLOOKUP(C280,'New Wo Detailed Descr Rev'!$A$5:$D$287,4)</f>
        <v>Install 1416 ft of 2 in PL IP main and 1332 Ft of 4 in PL IP main on 10th St, 11th St, Bond St, 9th St, Broadway St, and 13th St. - 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
    </row>
    <row r="281" spans="1:15" ht="105">
      <c r="A281" s="102" t="s">
        <v>14</v>
      </c>
      <c r="B281" s="103" t="s">
        <v>1681</v>
      </c>
      <c r="C281" s="103" t="s">
        <v>2442</v>
      </c>
      <c r="D281" s="102" t="s">
        <v>2443</v>
      </c>
      <c r="E281" s="103" t="s">
        <v>260</v>
      </c>
      <c r="F281" s="102" t="s">
        <v>1608</v>
      </c>
      <c r="G281" s="103" t="s">
        <v>20</v>
      </c>
      <c r="H281" s="103">
        <v>201612</v>
      </c>
      <c r="I281" s="104">
        <v>8198.89</v>
      </c>
      <c r="J281" s="144">
        <f t="shared" si="12"/>
        <v>5</v>
      </c>
      <c r="K281" s="148">
        <v>2.23333E-3</v>
      </c>
      <c r="L281" s="154">
        <f t="shared" si="13"/>
        <v>91.55</v>
      </c>
      <c r="M281" s="154">
        <f t="shared" si="14"/>
        <v>219.73</v>
      </c>
      <c r="N281" s="145"/>
      <c r="O281" s="168" t="str">
        <f>VLOOKUP(C281,'New Wo Detailed Descr Rev'!$A$5:$D$287,4)</f>
        <v>Install 1416 ft of 2 in PL IP main and 1332 Ft of 4 in PL IP main on 10th St, 11th St, Bond St, 9th St, Broadway St, and 13th St. - 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
    </row>
    <row r="282" spans="1:15" ht="75">
      <c r="A282" s="102" t="s">
        <v>626</v>
      </c>
      <c r="B282" s="103" t="s">
        <v>1681</v>
      </c>
      <c r="C282" s="103" t="s">
        <v>2444</v>
      </c>
      <c r="D282" s="102" t="s">
        <v>2445</v>
      </c>
      <c r="E282" s="103" t="s">
        <v>75</v>
      </c>
      <c r="F282" s="102" t="s">
        <v>1602</v>
      </c>
      <c r="G282" s="103" t="s">
        <v>20</v>
      </c>
      <c r="H282" s="103">
        <v>201612</v>
      </c>
      <c r="I282" s="104">
        <v>61311.21</v>
      </c>
      <c r="J282" s="144">
        <f t="shared" si="12"/>
        <v>5</v>
      </c>
      <c r="K282" s="155">
        <v>1.4833299999999999E-3</v>
      </c>
      <c r="L282" s="154">
        <f t="shared" si="13"/>
        <v>454.72</v>
      </c>
      <c r="M282" s="154">
        <f t="shared" si="14"/>
        <v>1091.3399999999999</v>
      </c>
      <c r="N282" s="145"/>
      <c r="O282" s="168" t="str">
        <f>VLOOKUP(C282,'New Wo Detailed Descr Rev'!$A$5:$D$287,4)</f>
        <v>Install ~1815 Ft of 2" PL MP Main, ~675 Ft of 4" PL MP Main. - Abandon ~85 Ft of 2" PL MP Main, ~7 Ft of PL MP Main, ~1728 Ft of 2" ST MP Main, ~671 Ft of 4" ST MP Main Total Service Tie-overs= 30 This bare steel grid main replacement project will clear active leak 419978.</v>
      </c>
    </row>
    <row r="283" spans="1:15" ht="75">
      <c r="A283" s="102" t="s">
        <v>14</v>
      </c>
      <c r="B283" s="103" t="s">
        <v>1681</v>
      </c>
      <c r="C283" s="103" t="s">
        <v>2444</v>
      </c>
      <c r="D283" s="102" t="s">
        <v>2445</v>
      </c>
      <c r="E283" s="103" t="s">
        <v>75</v>
      </c>
      <c r="F283" s="102" t="s">
        <v>1602</v>
      </c>
      <c r="G283" s="103" t="s">
        <v>20</v>
      </c>
      <c r="H283" s="103">
        <v>201612</v>
      </c>
      <c r="I283" s="104">
        <v>33859.339999999997</v>
      </c>
      <c r="J283" s="144">
        <f t="shared" si="12"/>
        <v>5</v>
      </c>
      <c r="K283" s="148">
        <v>2.23333E-3</v>
      </c>
      <c r="L283" s="154">
        <f t="shared" si="13"/>
        <v>378.1</v>
      </c>
      <c r="M283" s="154">
        <f t="shared" si="14"/>
        <v>907.43</v>
      </c>
      <c r="N283" s="145"/>
      <c r="O283" s="168" t="str">
        <f>VLOOKUP(C283,'New Wo Detailed Descr Rev'!$A$5:$D$287,4)</f>
        <v>Install ~1815 Ft of 2" PL MP Main, ~675 Ft of 4" PL MP Main. - Abandon ~85 Ft of 2" PL MP Main, ~7 Ft of PL MP Main, ~1728 Ft of 2" ST MP Main, ~671 Ft of 4" ST MP Main Total Service Tie-overs= 30 This bare steel grid main replacement project will clear active leak 419978.</v>
      </c>
    </row>
    <row r="284" spans="1:15" ht="75">
      <c r="A284" s="102" t="s">
        <v>626</v>
      </c>
      <c r="B284" s="103" t="s">
        <v>1681</v>
      </c>
      <c r="C284" s="103" t="s">
        <v>2446</v>
      </c>
      <c r="D284" s="102" t="s">
        <v>2447</v>
      </c>
      <c r="E284" s="103" t="s">
        <v>164</v>
      </c>
      <c r="F284" s="102" t="s">
        <v>1600</v>
      </c>
      <c r="G284" s="103" t="s">
        <v>20</v>
      </c>
      <c r="H284" s="103">
        <v>201612</v>
      </c>
      <c r="I284" s="104">
        <v>25529.48</v>
      </c>
      <c r="J284" s="144">
        <f t="shared" si="12"/>
        <v>5</v>
      </c>
      <c r="K284" s="155">
        <v>1.4833299999999999E-3</v>
      </c>
      <c r="L284" s="154">
        <f t="shared" si="13"/>
        <v>189.34</v>
      </c>
      <c r="M284" s="154">
        <f t="shared" si="14"/>
        <v>454.42</v>
      </c>
      <c r="N284" s="145"/>
      <c r="O284" s="168" t="str">
        <f>VLOOKUP(C284,'New Wo Detailed Descr Rev'!$A$5:$D$287,4)</f>
        <v>Install ~30 ft of 4 in PL LP main on 12th at Indiana due to exposed bell joint- AOR.  Retire ~30 ft of 4 in CI LP main on 12th at Indiana.  No services to tie-over or replace. - Bell joint was exposed at 6 ft EWC of Indiana and 10 ft NSC of 12th Street.  This AOR has a compliance date of 11/29/2016.</v>
      </c>
    </row>
    <row r="285" spans="1:15" ht="60">
      <c r="A285" s="102" t="s">
        <v>626</v>
      </c>
      <c r="B285" s="103" t="s">
        <v>1681</v>
      </c>
      <c r="C285" s="103" t="s">
        <v>2448</v>
      </c>
      <c r="D285" s="102" t="s">
        <v>2449</v>
      </c>
      <c r="E285" s="103" t="s">
        <v>260</v>
      </c>
      <c r="F285" s="102" t="s">
        <v>1608</v>
      </c>
      <c r="G285" s="103" t="s">
        <v>20</v>
      </c>
      <c r="H285" s="103">
        <v>201612</v>
      </c>
      <c r="I285" s="104">
        <v>23096.26</v>
      </c>
      <c r="J285" s="144">
        <f t="shared" si="12"/>
        <v>5</v>
      </c>
      <c r="K285" s="155">
        <v>1.4833299999999999E-3</v>
      </c>
      <c r="L285" s="154">
        <f t="shared" si="13"/>
        <v>171.3</v>
      </c>
      <c r="M285" s="154">
        <f t="shared" si="14"/>
        <v>411.11</v>
      </c>
      <c r="N285" s="145"/>
      <c r="O285" s="168" t="str">
        <f>VLOOKUP(C285,'New Wo Detailed Descr Rev'!$A$5:$D$287,4)</f>
        <v>Install ~ 194 Ft of 2 in PL LP main on St Louis Ave and 5th St. - Abandon ~ 82 Ft of 2 in PL LP main, ~ 495 Ft of 2 in ST LP main at the above locations.  This main is being replaced due to CP deficiencies and as part of FY16 Bare Steel Replacement Program.</v>
      </c>
    </row>
    <row r="286" spans="1:15" ht="60">
      <c r="A286" s="102" t="s">
        <v>14</v>
      </c>
      <c r="B286" s="103" t="s">
        <v>1681</v>
      </c>
      <c r="C286" s="103" t="s">
        <v>2448</v>
      </c>
      <c r="D286" s="102" t="s">
        <v>2449</v>
      </c>
      <c r="E286" s="103" t="s">
        <v>260</v>
      </c>
      <c r="F286" s="102" t="s">
        <v>1608</v>
      </c>
      <c r="G286" s="103" t="s">
        <v>20</v>
      </c>
      <c r="H286" s="103">
        <v>201612</v>
      </c>
      <c r="I286" s="104">
        <v>321.33</v>
      </c>
      <c r="J286" s="144">
        <f t="shared" si="12"/>
        <v>5</v>
      </c>
      <c r="K286" s="148">
        <v>2.23333E-3</v>
      </c>
      <c r="L286" s="154">
        <f t="shared" si="13"/>
        <v>3.59</v>
      </c>
      <c r="M286" s="154">
        <f t="shared" si="14"/>
        <v>8.61</v>
      </c>
      <c r="N286" s="145"/>
      <c r="O286" s="168" t="str">
        <f>VLOOKUP(C286,'New Wo Detailed Descr Rev'!$A$5:$D$287,4)</f>
        <v>Install ~ 194 Ft of 2 in PL LP main on St Louis Ave and 5th St. - Abandon ~ 82 Ft of 2 in PL LP main, ~ 495 Ft of 2 in ST LP main at the above locations.  This main is being replaced due to CP deficiencies and as part of FY16 Bare Steel Replacement Program.</v>
      </c>
    </row>
    <row r="287" spans="1:15" ht="75">
      <c r="A287" s="102" t="s">
        <v>626</v>
      </c>
      <c r="B287" s="103" t="s">
        <v>1681</v>
      </c>
      <c r="C287" s="103" t="s">
        <v>2450</v>
      </c>
      <c r="D287" s="102" t="s">
        <v>2451</v>
      </c>
      <c r="E287" s="103" t="s">
        <v>209</v>
      </c>
      <c r="F287" s="102" t="s">
        <v>1612</v>
      </c>
      <c r="G287" s="103" t="s">
        <v>20</v>
      </c>
      <c r="H287" s="103">
        <v>201612</v>
      </c>
      <c r="I287" s="104">
        <v>32272.07</v>
      </c>
      <c r="J287" s="144">
        <f t="shared" si="12"/>
        <v>5</v>
      </c>
      <c r="K287" s="155">
        <v>1.4833299999999999E-3</v>
      </c>
      <c r="L287" s="154">
        <f t="shared" si="13"/>
        <v>239.35</v>
      </c>
      <c r="M287" s="154">
        <f t="shared" si="14"/>
        <v>574.44000000000005</v>
      </c>
      <c r="N287" s="145"/>
      <c r="O287" s="168" t="str">
        <f>VLOOKUP(C287,'New Wo Detailed Descr Rev'!$A$5:$D$287,4)</f>
        <v>Install ~625 Ft of 6" PL IP Main. - Abandon ~627 Ft of PL IP Main The City of Lee's Summit is installing new storm structures on Hook Road and a portion of our existing 6" plastic main is in conflict. Main is looped. Project Type: Main Relocation (MRELO) due to Civic Improvement</v>
      </c>
    </row>
    <row r="288" spans="1:15">
      <c r="D288" s="102" t="s">
        <v>2453</v>
      </c>
      <c r="E288" s="103"/>
      <c r="F288" s="102"/>
      <c r="G288" s="103"/>
      <c r="H288" s="103">
        <v>201701</v>
      </c>
      <c r="I288" s="104">
        <v>774474.25000000012</v>
      </c>
      <c r="J288" s="144">
        <f t="shared" si="12"/>
        <v>4</v>
      </c>
      <c r="K288" s="148">
        <v>2.23333E-3</v>
      </c>
      <c r="L288" s="154">
        <f t="shared" si="13"/>
        <v>6918.63</v>
      </c>
      <c r="M288" s="154">
        <f t="shared" si="14"/>
        <v>20755.88</v>
      </c>
      <c r="O288" s="168" t="e">
        <f>VLOOKUP(C288,'New Wo Detailed Descr Rev'!$A$5:$D$287,4)</f>
        <v>#N/A</v>
      </c>
    </row>
    <row r="289" spans="4:15">
      <c r="D289" s="102" t="s">
        <v>2454</v>
      </c>
      <c r="E289" s="103"/>
      <c r="F289" s="102"/>
      <c r="G289" s="103"/>
      <c r="H289" s="103">
        <v>201701</v>
      </c>
      <c r="I289" s="104">
        <v>837185.7699999999</v>
      </c>
      <c r="J289" s="144">
        <f t="shared" si="12"/>
        <v>4</v>
      </c>
      <c r="K289" s="148">
        <v>1.4833299999999999E-3</v>
      </c>
      <c r="L289" s="154">
        <f t="shared" si="13"/>
        <v>4967.29</v>
      </c>
      <c r="M289" s="154">
        <f t="shared" si="14"/>
        <v>14901.87</v>
      </c>
      <c r="O289" s="168" t="e">
        <f>VLOOKUP(C289,'New Wo Detailed Descr Rev'!$A$5:$D$287,4)</f>
        <v>#N/A</v>
      </c>
    </row>
    <row r="290" spans="4:15">
      <c r="D290" s="102" t="s">
        <v>2453</v>
      </c>
      <c r="E290" s="103"/>
      <c r="F290" s="102"/>
      <c r="G290" s="103"/>
      <c r="H290" s="103">
        <v>201702</v>
      </c>
      <c r="I290" s="104">
        <v>774474.25000000012</v>
      </c>
      <c r="J290" s="144">
        <f t="shared" si="12"/>
        <v>3</v>
      </c>
      <c r="K290" s="148">
        <v>2.23333E-3</v>
      </c>
      <c r="L290" s="154">
        <f t="shared" si="13"/>
        <v>5188.97</v>
      </c>
      <c r="M290" s="154">
        <f t="shared" si="14"/>
        <v>20755.88</v>
      </c>
      <c r="O290" s="168" t="e">
        <f>VLOOKUP(C290,'New Wo Detailed Descr Rev'!$A$5:$D$287,4)</f>
        <v>#N/A</v>
      </c>
    </row>
    <row r="291" spans="4:15">
      <c r="D291" s="102" t="s">
        <v>2454</v>
      </c>
      <c r="E291" s="103"/>
      <c r="F291" s="102"/>
      <c r="G291" s="103"/>
      <c r="H291" s="103">
        <v>201702</v>
      </c>
      <c r="I291" s="104">
        <v>15057552.939999999</v>
      </c>
      <c r="J291" s="144">
        <f t="shared" si="12"/>
        <v>3</v>
      </c>
      <c r="K291" s="148">
        <v>1.4833299999999999E-3</v>
      </c>
      <c r="L291" s="154">
        <f t="shared" si="13"/>
        <v>67005.960000000006</v>
      </c>
      <c r="M291" s="154">
        <f t="shared" si="14"/>
        <v>268023.84000000003</v>
      </c>
      <c r="O291" s="168" t="e">
        <f>VLOOKUP(C291,'New Wo Detailed Descr Rev'!$A$5:$D$287,4)</f>
        <v>#N/A</v>
      </c>
    </row>
    <row r="293" spans="4:15" ht="13.5" thickBot="1">
      <c r="H293" s="311" t="s">
        <v>2291</v>
      </c>
      <c r="I293" s="355">
        <f>SUM(I5:I291)</f>
        <v>20474925.599999998</v>
      </c>
      <c r="L293" s="355">
        <f>SUM(L5:L291)</f>
        <v>114880.20999999999</v>
      </c>
      <c r="M293" s="355">
        <f>SUM(M5:M291)</f>
        <v>392302.85000000003</v>
      </c>
    </row>
    <row r="294" spans="4:15" ht="15.75" thickTop="1"/>
    <row r="295" spans="4:15">
      <c r="I295" s="165">
        <f>+I293-I288-I289-I290-I291</f>
        <v>3031238.3899999987</v>
      </c>
    </row>
    <row r="296" spans="4:15">
      <c r="I296" s="165">
        <v>3374147.52</v>
      </c>
    </row>
    <row r="297" spans="4:15">
      <c r="I297" s="165">
        <f>+I295+I296</f>
        <v>6405385.9099999983</v>
      </c>
    </row>
  </sheetData>
  <autoFilter ref="A1:N294"/>
  <sortState ref="A5:O294">
    <sortCondition ref="H5:H294"/>
    <sortCondition ref="C5:C294"/>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N475"/>
  <sheetViews>
    <sheetView zoomScale="85" zoomScaleNormal="85" workbookViewId="0">
      <pane ySplit="4" topLeftCell="A298" activePane="bottomLeft" state="frozen"/>
      <selection pane="bottomLeft" activeCell="A316" sqref="A316:XFD316"/>
    </sheetView>
  </sheetViews>
  <sheetFormatPr defaultColWidth="9.140625" defaultRowHeight="15"/>
  <cols>
    <col min="1" max="1" width="39.85546875" style="203" bestFit="1" customWidth="1"/>
    <col min="2" max="2" width="16.42578125" style="400" customWidth="1"/>
    <col min="3" max="3" width="13.140625" style="400" customWidth="1"/>
    <col min="4" max="4" width="40.85546875" style="203" customWidth="1"/>
    <col min="5" max="5" width="9.42578125" style="400" customWidth="1"/>
    <col min="6" max="6" width="34.85546875" style="203" customWidth="1"/>
    <col min="7" max="7" width="12.42578125" style="400" customWidth="1"/>
    <col min="8" max="8" width="15.28515625" style="400" bestFit="1" customWidth="1"/>
    <col min="9" max="9" width="14.7109375" style="165" customWidth="1"/>
    <col min="10" max="10" width="10.140625" style="203" customWidth="1"/>
    <col min="11" max="11" width="14.7109375" style="203" customWidth="1"/>
    <col min="12" max="12" width="15.5703125" style="203" customWidth="1"/>
    <col min="13" max="13" width="16" style="203" customWidth="1"/>
    <col min="14" max="14" width="24.5703125" style="203" customWidth="1"/>
    <col min="15" max="16384" width="9.140625" style="203"/>
  </cols>
  <sheetData>
    <row r="1" spans="1:14">
      <c r="A1" s="385" t="s">
        <v>0</v>
      </c>
      <c r="B1" s="386"/>
      <c r="C1" s="386"/>
      <c r="D1" s="389"/>
      <c r="E1" s="386"/>
      <c r="F1" s="389"/>
      <c r="G1" s="386"/>
      <c r="H1" s="386"/>
      <c r="I1" s="136"/>
      <c r="J1" s="389"/>
      <c r="K1" s="389"/>
      <c r="L1" s="389"/>
      <c r="M1" s="389"/>
      <c r="N1" s="389"/>
    </row>
    <row r="2" spans="1:14">
      <c r="A2" s="385" t="s">
        <v>2657</v>
      </c>
      <c r="B2" s="386"/>
      <c r="C2" s="386"/>
      <c r="D2" s="389"/>
      <c r="E2" s="386"/>
      <c r="F2" s="389"/>
      <c r="G2" s="386"/>
      <c r="H2" s="386"/>
      <c r="I2" s="136"/>
      <c r="J2" s="389"/>
      <c r="K2" s="389"/>
      <c r="L2" s="389"/>
      <c r="M2" s="389"/>
      <c r="N2" s="389"/>
    </row>
    <row r="3" spans="1:14">
      <c r="A3" s="389"/>
      <c r="B3" s="386"/>
      <c r="C3" s="386"/>
      <c r="D3" s="389"/>
      <c r="E3" s="386"/>
      <c r="F3" s="389"/>
      <c r="G3" s="386"/>
      <c r="H3" s="386"/>
      <c r="I3" s="136"/>
      <c r="J3" s="389"/>
      <c r="K3" s="389"/>
      <c r="L3" s="389"/>
      <c r="M3" s="389"/>
      <c r="N3" s="389"/>
    </row>
    <row r="4" spans="1:14" s="394" customFormat="1" ht="35.25" customHeight="1">
      <c r="A4" s="393" t="s">
        <v>6</v>
      </c>
      <c r="B4" s="391" t="s">
        <v>7</v>
      </c>
      <c r="C4" s="391" t="s">
        <v>8</v>
      </c>
      <c r="D4" s="393" t="s">
        <v>9</v>
      </c>
      <c r="E4" s="391" t="s">
        <v>10</v>
      </c>
      <c r="F4" s="393" t="s">
        <v>11</v>
      </c>
      <c r="G4" s="462" t="s">
        <v>12</v>
      </c>
      <c r="H4" s="391" t="s">
        <v>1</v>
      </c>
      <c r="I4" s="141" t="s">
        <v>13</v>
      </c>
      <c r="J4" s="463" t="s">
        <v>2020</v>
      </c>
      <c r="K4" s="463" t="s">
        <v>2021</v>
      </c>
      <c r="L4" s="463" t="s">
        <v>2022</v>
      </c>
      <c r="M4" s="463" t="s">
        <v>2023</v>
      </c>
      <c r="N4" s="463" t="s">
        <v>2024</v>
      </c>
    </row>
    <row r="5" spans="1:14">
      <c r="A5" s="464" t="s">
        <v>14</v>
      </c>
      <c r="B5" s="465" t="s">
        <v>30</v>
      </c>
      <c r="C5" s="465" t="s">
        <v>31</v>
      </c>
      <c r="D5" s="464" t="s">
        <v>32</v>
      </c>
      <c r="E5" s="465" t="s">
        <v>33</v>
      </c>
      <c r="F5" s="464" t="s">
        <v>34</v>
      </c>
      <c r="G5" s="465" t="s">
        <v>20</v>
      </c>
      <c r="H5" s="465">
        <v>201611</v>
      </c>
      <c r="I5" s="480">
        <v>5755.05</v>
      </c>
      <c r="J5" s="464">
        <v>0</v>
      </c>
      <c r="K5" s="468">
        <v>2.23333E-3</v>
      </c>
      <c r="L5" s="469">
        <f t="shared" ref="L5:L67" si="0">ROUND(I5*J5*K5,2)</f>
        <v>0</v>
      </c>
      <c r="M5" s="469">
        <f t="shared" ref="M5:M67" si="1">ROUND(I5*K5*12,2)</f>
        <v>154.24</v>
      </c>
      <c r="N5" s="470"/>
    </row>
    <row r="6" spans="1:14">
      <c r="A6" s="464" t="s">
        <v>554</v>
      </c>
      <c r="B6" s="465" t="s">
        <v>116</v>
      </c>
      <c r="C6" s="465" t="s">
        <v>117</v>
      </c>
      <c r="D6" s="464" t="s">
        <v>118</v>
      </c>
      <c r="E6" s="465" t="s">
        <v>119</v>
      </c>
      <c r="F6" s="464" t="s">
        <v>1605</v>
      </c>
      <c r="G6" s="465" t="s">
        <v>20</v>
      </c>
      <c r="H6" s="465">
        <v>201611</v>
      </c>
      <c r="I6" s="480">
        <v>244437.36</v>
      </c>
      <c r="J6" s="464">
        <v>0</v>
      </c>
      <c r="K6" s="468">
        <v>1.4833299999999999E-3</v>
      </c>
      <c r="L6" s="469">
        <f t="shared" si="0"/>
        <v>0</v>
      </c>
      <c r="M6" s="469">
        <f t="shared" si="1"/>
        <v>4350.9799999999996</v>
      </c>
      <c r="N6" s="470"/>
    </row>
    <row r="7" spans="1:14">
      <c r="A7" s="464" t="s">
        <v>14</v>
      </c>
      <c r="B7" s="465" t="s">
        <v>195</v>
      </c>
      <c r="C7" s="465" t="s">
        <v>196</v>
      </c>
      <c r="D7" s="464" t="s">
        <v>1674</v>
      </c>
      <c r="E7" s="465" t="s">
        <v>198</v>
      </c>
      <c r="F7" s="464" t="s">
        <v>1610</v>
      </c>
      <c r="G7" s="465" t="s">
        <v>20</v>
      </c>
      <c r="H7" s="465">
        <v>201611</v>
      </c>
      <c r="I7" s="480">
        <v>487210.4</v>
      </c>
      <c r="J7" s="464">
        <v>0</v>
      </c>
      <c r="K7" s="468">
        <v>2.23333E-3</v>
      </c>
      <c r="L7" s="469">
        <f t="shared" si="0"/>
        <v>0</v>
      </c>
      <c r="M7" s="469">
        <f t="shared" si="1"/>
        <v>13057.22</v>
      </c>
      <c r="N7" s="470"/>
    </row>
    <row r="8" spans="1:14">
      <c r="A8" s="464" t="s">
        <v>14</v>
      </c>
      <c r="B8" s="465" t="s">
        <v>200</v>
      </c>
      <c r="C8" s="465" t="s">
        <v>201</v>
      </c>
      <c r="D8" s="464" t="s">
        <v>1675</v>
      </c>
      <c r="E8" s="465" t="s">
        <v>202</v>
      </c>
      <c r="F8" s="464" t="s">
        <v>1611</v>
      </c>
      <c r="G8" s="465" t="s">
        <v>20</v>
      </c>
      <c r="H8" s="465">
        <v>201611</v>
      </c>
      <c r="I8" s="480">
        <v>68282.350000000006</v>
      </c>
      <c r="J8" s="464">
        <v>0</v>
      </c>
      <c r="K8" s="468">
        <v>2.23333E-3</v>
      </c>
      <c r="L8" s="469">
        <f t="shared" si="0"/>
        <v>0</v>
      </c>
      <c r="M8" s="469">
        <f t="shared" si="1"/>
        <v>1829.96</v>
      </c>
      <c r="N8" s="470"/>
    </row>
    <row r="9" spans="1:14">
      <c r="A9" s="464" t="s">
        <v>14</v>
      </c>
      <c r="B9" s="465" t="s">
        <v>481</v>
      </c>
      <c r="C9" s="465" t="s">
        <v>482</v>
      </c>
      <c r="D9" s="464" t="s">
        <v>483</v>
      </c>
      <c r="E9" s="465" t="s">
        <v>484</v>
      </c>
      <c r="F9" s="464" t="s">
        <v>190</v>
      </c>
      <c r="G9" s="465" t="s">
        <v>20</v>
      </c>
      <c r="H9" s="465">
        <v>201611</v>
      </c>
      <c r="I9" s="480">
        <v>-11.35</v>
      </c>
      <c r="J9" s="464">
        <v>0</v>
      </c>
      <c r="K9" s="468">
        <v>2.23333E-3</v>
      </c>
      <c r="L9" s="469">
        <f t="shared" si="0"/>
        <v>0</v>
      </c>
      <c r="M9" s="469">
        <f t="shared" si="1"/>
        <v>-0.3</v>
      </c>
      <c r="N9" s="470"/>
    </row>
    <row r="10" spans="1:14">
      <c r="A10" s="464" t="s">
        <v>14</v>
      </c>
      <c r="B10" s="465" t="s">
        <v>236</v>
      </c>
      <c r="C10" s="465" t="s">
        <v>237</v>
      </c>
      <c r="D10" s="464" t="s">
        <v>188</v>
      </c>
      <c r="E10" s="465" t="s">
        <v>238</v>
      </c>
      <c r="F10" s="464" t="s">
        <v>190</v>
      </c>
      <c r="G10" s="465" t="s">
        <v>20</v>
      </c>
      <c r="H10" s="465">
        <v>201611</v>
      </c>
      <c r="I10" s="480">
        <v>126706.33</v>
      </c>
      <c r="J10" s="464">
        <v>0</v>
      </c>
      <c r="K10" s="468">
        <v>2.23333E-3</v>
      </c>
      <c r="L10" s="469">
        <f t="shared" si="0"/>
        <v>0</v>
      </c>
      <c r="M10" s="469">
        <f t="shared" si="1"/>
        <v>3395.72</v>
      </c>
      <c r="N10" s="470"/>
    </row>
    <row r="11" spans="1:14">
      <c r="A11" s="464" t="s">
        <v>14</v>
      </c>
      <c r="B11" s="465" t="s">
        <v>292</v>
      </c>
      <c r="C11" s="465" t="s">
        <v>293</v>
      </c>
      <c r="D11" s="464" t="s">
        <v>1679</v>
      </c>
      <c r="E11" s="465" t="s">
        <v>294</v>
      </c>
      <c r="F11" s="464" t="s">
        <v>1613</v>
      </c>
      <c r="G11" s="465" t="s">
        <v>20</v>
      </c>
      <c r="H11" s="465">
        <v>201611</v>
      </c>
      <c r="I11" s="480">
        <v>50506.33</v>
      </c>
      <c r="J11" s="464">
        <v>0</v>
      </c>
      <c r="K11" s="468">
        <v>2.23333E-3</v>
      </c>
      <c r="L11" s="469">
        <f t="shared" si="0"/>
        <v>0</v>
      </c>
      <c r="M11" s="469">
        <f t="shared" si="1"/>
        <v>1353.57</v>
      </c>
      <c r="N11" s="470"/>
    </row>
    <row r="12" spans="1:14">
      <c r="A12" s="464" t="s">
        <v>14</v>
      </c>
      <c r="B12" s="465" t="s">
        <v>419</v>
      </c>
      <c r="C12" s="465" t="s">
        <v>420</v>
      </c>
      <c r="D12" s="464" t="s">
        <v>50</v>
      </c>
      <c r="E12" s="465" t="s">
        <v>421</v>
      </c>
      <c r="F12" s="464" t="s">
        <v>52</v>
      </c>
      <c r="G12" s="465" t="s">
        <v>20</v>
      </c>
      <c r="H12" s="465">
        <v>201611</v>
      </c>
      <c r="I12" s="480">
        <v>-35.36</v>
      </c>
      <c r="J12" s="464">
        <v>0</v>
      </c>
      <c r="K12" s="468">
        <v>2.23333E-3</v>
      </c>
      <c r="L12" s="469">
        <f t="shared" si="0"/>
        <v>0</v>
      </c>
      <c r="M12" s="469">
        <f t="shared" si="1"/>
        <v>-0.95</v>
      </c>
      <c r="N12" s="470"/>
    </row>
    <row r="13" spans="1:14">
      <c r="A13" s="464" t="s">
        <v>14</v>
      </c>
      <c r="B13" s="465" t="s">
        <v>325</v>
      </c>
      <c r="C13" s="465" t="s">
        <v>326</v>
      </c>
      <c r="D13" s="464" t="s">
        <v>327</v>
      </c>
      <c r="E13" s="465" t="s">
        <v>328</v>
      </c>
      <c r="F13" s="464" t="s">
        <v>58</v>
      </c>
      <c r="G13" s="465" t="s">
        <v>20</v>
      </c>
      <c r="H13" s="465">
        <v>201611</v>
      </c>
      <c r="I13" s="480">
        <v>365.01</v>
      </c>
      <c r="J13" s="464">
        <v>0</v>
      </c>
      <c r="K13" s="468">
        <v>2.23333E-3</v>
      </c>
      <c r="L13" s="469">
        <f t="shared" si="0"/>
        <v>0</v>
      </c>
      <c r="M13" s="469">
        <f t="shared" si="1"/>
        <v>9.7799999999999994</v>
      </c>
      <c r="N13" s="470"/>
    </row>
    <row r="14" spans="1:14">
      <c r="A14" s="464" t="s">
        <v>626</v>
      </c>
      <c r="B14" s="465" t="s">
        <v>1681</v>
      </c>
      <c r="C14" s="465" t="s">
        <v>1703</v>
      </c>
      <c r="D14" s="464" t="s">
        <v>1704</v>
      </c>
      <c r="E14" s="465" t="s">
        <v>164</v>
      </c>
      <c r="F14" s="464" t="s">
        <v>1600</v>
      </c>
      <c r="G14" s="465" t="s">
        <v>20</v>
      </c>
      <c r="H14" s="465">
        <v>201611</v>
      </c>
      <c r="I14" s="480">
        <v>471.84</v>
      </c>
      <c r="J14" s="464">
        <v>0</v>
      </c>
      <c r="K14" s="472">
        <v>1.4833299999999999E-3</v>
      </c>
      <c r="L14" s="469">
        <f t="shared" si="0"/>
        <v>0</v>
      </c>
      <c r="M14" s="469">
        <f t="shared" si="1"/>
        <v>8.4</v>
      </c>
      <c r="N14" s="470"/>
    </row>
    <row r="15" spans="1:14">
      <c r="A15" s="464" t="s">
        <v>626</v>
      </c>
      <c r="B15" s="465" t="s">
        <v>1681</v>
      </c>
      <c r="C15" s="465" t="s">
        <v>1705</v>
      </c>
      <c r="D15" s="464" t="s">
        <v>1706</v>
      </c>
      <c r="E15" s="465" t="s">
        <v>75</v>
      </c>
      <c r="F15" s="464" t="s">
        <v>1602</v>
      </c>
      <c r="G15" s="465" t="s">
        <v>20</v>
      </c>
      <c r="H15" s="465">
        <v>201611</v>
      </c>
      <c r="I15" s="480">
        <v>-5185.78</v>
      </c>
      <c r="J15" s="464">
        <v>0</v>
      </c>
      <c r="K15" s="472">
        <v>1.4833299999999999E-3</v>
      </c>
      <c r="L15" s="469">
        <f t="shared" si="0"/>
        <v>0</v>
      </c>
      <c r="M15" s="469">
        <f t="shared" si="1"/>
        <v>-92.31</v>
      </c>
      <c r="N15" s="470"/>
    </row>
    <row r="16" spans="1:14">
      <c r="A16" s="464" t="s">
        <v>626</v>
      </c>
      <c r="B16" s="465" t="s">
        <v>1681</v>
      </c>
      <c r="C16" s="465" t="s">
        <v>1707</v>
      </c>
      <c r="D16" s="464" t="s">
        <v>1708</v>
      </c>
      <c r="E16" s="465" t="s">
        <v>75</v>
      </c>
      <c r="F16" s="464" t="s">
        <v>1602</v>
      </c>
      <c r="G16" s="465" t="s">
        <v>20</v>
      </c>
      <c r="H16" s="465">
        <v>201611</v>
      </c>
      <c r="I16" s="480">
        <v>-6874.34</v>
      </c>
      <c r="J16" s="464">
        <v>0</v>
      </c>
      <c r="K16" s="472">
        <v>1.4833299999999999E-3</v>
      </c>
      <c r="L16" s="469">
        <f t="shared" si="0"/>
        <v>0</v>
      </c>
      <c r="M16" s="469">
        <f t="shared" si="1"/>
        <v>-122.36</v>
      </c>
      <c r="N16" s="470"/>
    </row>
    <row r="17" spans="1:14">
      <c r="A17" s="464" t="s">
        <v>626</v>
      </c>
      <c r="B17" s="465" t="s">
        <v>2036</v>
      </c>
      <c r="C17" s="465" t="s">
        <v>2037</v>
      </c>
      <c r="D17" s="464" t="s">
        <v>2038</v>
      </c>
      <c r="E17" s="465" t="s">
        <v>160</v>
      </c>
      <c r="F17" s="464" t="s">
        <v>19</v>
      </c>
      <c r="G17" s="465" t="s">
        <v>20</v>
      </c>
      <c r="H17" s="465">
        <v>201611</v>
      </c>
      <c r="I17" s="480">
        <v>-1155.7</v>
      </c>
      <c r="J17" s="464">
        <v>0</v>
      </c>
      <c r="K17" s="472">
        <v>1.4833299999999999E-3</v>
      </c>
      <c r="L17" s="469">
        <f t="shared" si="0"/>
        <v>0</v>
      </c>
      <c r="M17" s="469">
        <f t="shared" si="1"/>
        <v>-20.57</v>
      </c>
      <c r="N17" s="470"/>
    </row>
    <row r="18" spans="1:14">
      <c r="A18" s="464" t="s">
        <v>626</v>
      </c>
      <c r="B18" s="465" t="s">
        <v>2042</v>
      </c>
      <c r="C18" s="465" t="s">
        <v>2043</v>
      </c>
      <c r="D18" s="464" t="s">
        <v>2044</v>
      </c>
      <c r="E18" s="465" t="s">
        <v>497</v>
      </c>
      <c r="F18" s="464" t="s">
        <v>26</v>
      </c>
      <c r="G18" s="465" t="s">
        <v>20</v>
      </c>
      <c r="H18" s="465">
        <v>201611</v>
      </c>
      <c r="I18" s="480">
        <v>-1904.41</v>
      </c>
      <c r="J18" s="464">
        <v>0</v>
      </c>
      <c r="K18" s="472">
        <v>1.4833299999999999E-3</v>
      </c>
      <c r="L18" s="469">
        <f t="shared" si="0"/>
        <v>0</v>
      </c>
      <c r="M18" s="469">
        <f t="shared" si="1"/>
        <v>-33.9</v>
      </c>
      <c r="N18" s="470"/>
    </row>
    <row r="19" spans="1:14">
      <c r="A19" s="464" t="s">
        <v>21</v>
      </c>
      <c r="B19" s="465" t="s">
        <v>1956</v>
      </c>
      <c r="C19" s="465" t="s">
        <v>1957</v>
      </c>
      <c r="D19" s="464" t="s">
        <v>2435</v>
      </c>
      <c r="E19" s="465" t="s">
        <v>75</v>
      </c>
      <c r="F19" s="464" t="s">
        <v>1602</v>
      </c>
      <c r="G19" s="465" t="s">
        <v>20</v>
      </c>
      <c r="H19" s="465">
        <v>201611</v>
      </c>
      <c r="I19" s="480">
        <v>43089</v>
      </c>
      <c r="J19" s="464">
        <v>0</v>
      </c>
      <c r="K19" s="472">
        <v>1.4833299999999999E-3</v>
      </c>
      <c r="L19" s="469">
        <f t="shared" si="0"/>
        <v>0</v>
      </c>
      <c r="M19" s="469">
        <f t="shared" si="1"/>
        <v>766.98</v>
      </c>
      <c r="N19" s="470"/>
    </row>
    <row r="20" spans="1:14">
      <c r="A20" s="464" t="s">
        <v>626</v>
      </c>
      <c r="B20" s="465" t="s">
        <v>1918</v>
      </c>
      <c r="C20" s="465" t="s">
        <v>1919</v>
      </c>
      <c r="D20" s="464" t="s">
        <v>1920</v>
      </c>
      <c r="E20" s="465" t="s">
        <v>75</v>
      </c>
      <c r="F20" s="464" t="s">
        <v>1602</v>
      </c>
      <c r="G20" s="465" t="s">
        <v>20</v>
      </c>
      <c r="H20" s="465">
        <v>201611</v>
      </c>
      <c r="I20" s="480">
        <v>637.71</v>
      </c>
      <c r="J20" s="464">
        <v>0</v>
      </c>
      <c r="K20" s="472">
        <v>1.4833299999999999E-3</v>
      </c>
      <c r="L20" s="469">
        <f t="shared" si="0"/>
        <v>0</v>
      </c>
      <c r="M20" s="469">
        <f t="shared" si="1"/>
        <v>11.35</v>
      </c>
      <c r="N20" s="470"/>
    </row>
    <row r="21" spans="1:14">
      <c r="A21" s="464" t="s">
        <v>21</v>
      </c>
      <c r="B21" s="465" t="s">
        <v>1664</v>
      </c>
      <c r="C21" s="465" t="s">
        <v>1665</v>
      </c>
      <c r="D21" s="464" t="s">
        <v>1666</v>
      </c>
      <c r="E21" s="465" t="s">
        <v>87</v>
      </c>
      <c r="F21" s="464" t="s">
        <v>1603</v>
      </c>
      <c r="G21" s="465" t="s">
        <v>20</v>
      </c>
      <c r="H21" s="465">
        <v>201611</v>
      </c>
      <c r="I21" s="480">
        <v>32355.61</v>
      </c>
      <c r="J21" s="464">
        <v>0</v>
      </c>
      <c r="K21" s="472">
        <v>1.4833299999999999E-3</v>
      </c>
      <c r="L21" s="469">
        <f t="shared" si="0"/>
        <v>0</v>
      </c>
      <c r="M21" s="469">
        <f t="shared" si="1"/>
        <v>575.92999999999995</v>
      </c>
      <c r="N21" s="470"/>
    </row>
    <row r="22" spans="1:14">
      <c r="A22" s="464" t="s">
        <v>626</v>
      </c>
      <c r="B22" s="465" t="s">
        <v>2294</v>
      </c>
      <c r="C22" s="465" t="s">
        <v>2293</v>
      </c>
      <c r="D22" s="464" t="s">
        <v>2295</v>
      </c>
      <c r="E22" s="465" t="s">
        <v>75</v>
      </c>
      <c r="F22" s="464" t="s">
        <v>1602</v>
      </c>
      <c r="G22" s="465" t="s">
        <v>20</v>
      </c>
      <c r="H22" s="465">
        <v>201611</v>
      </c>
      <c r="I22" s="480">
        <v>-25.18</v>
      </c>
      <c r="J22" s="464">
        <v>0</v>
      </c>
      <c r="K22" s="472">
        <v>1.4833299999999999E-3</v>
      </c>
      <c r="L22" s="469">
        <f t="shared" si="0"/>
        <v>0</v>
      </c>
      <c r="M22" s="469">
        <f t="shared" si="1"/>
        <v>-0.45</v>
      </c>
      <c r="N22" s="470"/>
    </row>
    <row r="23" spans="1:14">
      <c r="A23" s="464" t="s">
        <v>1942</v>
      </c>
      <c r="B23" s="465" t="s">
        <v>1681</v>
      </c>
      <c r="C23" s="465" t="s">
        <v>1943</v>
      </c>
      <c r="D23" s="464" t="s">
        <v>1944</v>
      </c>
      <c r="E23" s="465" t="s">
        <v>202</v>
      </c>
      <c r="F23" s="464" t="s">
        <v>1611</v>
      </c>
      <c r="G23" s="465" t="s">
        <v>20</v>
      </c>
      <c r="H23" s="465">
        <v>201611</v>
      </c>
      <c r="I23" s="480">
        <v>-41.15</v>
      </c>
      <c r="J23" s="464">
        <v>0</v>
      </c>
      <c r="K23" s="472">
        <v>2.23333E-3</v>
      </c>
      <c r="L23" s="469">
        <f t="shared" si="0"/>
        <v>0</v>
      </c>
      <c r="M23" s="469">
        <f t="shared" si="1"/>
        <v>-1.1000000000000001</v>
      </c>
      <c r="N23" s="470"/>
    </row>
    <row r="24" spans="1:14">
      <c r="A24" s="464" t="s">
        <v>21</v>
      </c>
      <c r="B24" s="465" t="s">
        <v>2117</v>
      </c>
      <c r="C24" s="465" t="s">
        <v>2118</v>
      </c>
      <c r="D24" s="464" t="s">
        <v>2119</v>
      </c>
      <c r="E24" s="465" t="s">
        <v>75</v>
      </c>
      <c r="F24" s="464" t="s">
        <v>1602</v>
      </c>
      <c r="G24" s="465" t="s">
        <v>20</v>
      </c>
      <c r="H24" s="465">
        <v>201611</v>
      </c>
      <c r="I24" s="480">
        <v>24336.87</v>
      </c>
      <c r="J24" s="464">
        <v>0</v>
      </c>
      <c r="K24" s="472">
        <v>1.4833299999999999E-3</v>
      </c>
      <c r="L24" s="469">
        <f t="shared" si="0"/>
        <v>0</v>
      </c>
      <c r="M24" s="469">
        <f t="shared" si="1"/>
        <v>433.2</v>
      </c>
      <c r="N24" s="470"/>
    </row>
    <row r="25" spans="1:14">
      <c r="A25" s="464" t="s">
        <v>626</v>
      </c>
      <c r="B25" s="465" t="s">
        <v>2117</v>
      </c>
      <c r="C25" s="465" t="s">
        <v>2118</v>
      </c>
      <c r="D25" s="464" t="s">
        <v>2119</v>
      </c>
      <c r="E25" s="465" t="s">
        <v>75</v>
      </c>
      <c r="F25" s="464" t="s">
        <v>1602</v>
      </c>
      <c r="G25" s="465" t="s">
        <v>20</v>
      </c>
      <c r="H25" s="465">
        <v>201611</v>
      </c>
      <c r="I25" s="480">
        <v>-24336.87</v>
      </c>
      <c r="J25" s="464">
        <v>0</v>
      </c>
      <c r="K25" s="472">
        <v>1.4833299999999999E-3</v>
      </c>
      <c r="L25" s="469">
        <f t="shared" si="0"/>
        <v>0</v>
      </c>
      <c r="M25" s="469">
        <f t="shared" si="1"/>
        <v>-433.2</v>
      </c>
      <c r="N25" s="470"/>
    </row>
    <row r="26" spans="1:14">
      <c r="A26" s="464" t="s">
        <v>21</v>
      </c>
      <c r="B26" s="465" t="s">
        <v>2060</v>
      </c>
      <c r="C26" s="465" t="s">
        <v>2061</v>
      </c>
      <c r="D26" s="464" t="s">
        <v>2062</v>
      </c>
      <c r="E26" s="465" t="s">
        <v>156</v>
      </c>
      <c r="F26" s="464" t="s">
        <v>26</v>
      </c>
      <c r="G26" s="465" t="s">
        <v>20</v>
      </c>
      <c r="H26" s="465">
        <v>201611</v>
      </c>
      <c r="I26" s="480">
        <v>114794.17</v>
      </c>
      <c r="J26" s="464">
        <v>0</v>
      </c>
      <c r="K26" s="472">
        <v>1.4833299999999999E-3</v>
      </c>
      <c r="L26" s="469">
        <f t="shared" si="0"/>
        <v>0</v>
      </c>
      <c r="M26" s="469">
        <f t="shared" si="1"/>
        <v>2043.33</v>
      </c>
      <c r="N26" s="470">
        <f>-1047.18-4.09+16.46</f>
        <v>-1034.81</v>
      </c>
    </row>
    <row r="27" spans="1:14">
      <c r="A27" s="464" t="s">
        <v>626</v>
      </c>
      <c r="B27" s="465" t="s">
        <v>2060</v>
      </c>
      <c r="C27" s="465" t="s">
        <v>2061</v>
      </c>
      <c r="D27" s="464" t="s">
        <v>2062</v>
      </c>
      <c r="E27" s="465" t="s">
        <v>156</v>
      </c>
      <c r="F27" s="464" t="s">
        <v>26</v>
      </c>
      <c r="G27" s="465" t="s">
        <v>20</v>
      </c>
      <c r="H27" s="465">
        <v>201611</v>
      </c>
      <c r="I27" s="480">
        <v>-114794.17</v>
      </c>
      <c r="J27" s="464">
        <v>0</v>
      </c>
      <c r="K27" s="472">
        <v>1.4833299999999999E-3</v>
      </c>
      <c r="L27" s="469">
        <f t="shared" si="0"/>
        <v>0</v>
      </c>
      <c r="M27" s="469">
        <f t="shared" si="1"/>
        <v>-2043.33</v>
      </c>
      <c r="N27" s="470"/>
    </row>
    <row r="28" spans="1:14">
      <c r="A28" s="464" t="s">
        <v>626</v>
      </c>
      <c r="B28" s="465" t="s">
        <v>1945</v>
      </c>
      <c r="C28" s="465" t="s">
        <v>1946</v>
      </c>
      <c r="D28" s="464" t="s">
        <v>1947</v>
      </c>
      <c r="E28" s="465" t="s">
        <v>93</v>
      </c>
      <c r="F28" s="464" t="s">
        <v>1601</v>
      </c>
      <c r="G28" s="465" t="s">
        <v>20</v>
      </c>
      <c r="H28" s="465">
        <v>201611</v>
      </c>
      <c r="I28" s="480">
        <v>1969.48</v>
      </c>
      <c r="J28" s="464">
        <v>0</v>
      </c>
      <c r="K28" s="472">
        <v>1.4833299999999999E-3</v>
      </c>
      <c r="L28" s="469">
        <f t="shared" si="0"/>
        <v>0</v>
      </c>
      <c r="M28" s="469">
        <f t="shared" si="1"/>
        <v>35.06</v>
      </c>
      <c r="N28" s="470"/>
    </row>
    <row r="29" spans="1:14">
      <c r="A29" s="464" t="s">
        <v>21</v>
      </c>
      <c r="B29" s="465" t="s">
        <v>1681</v>
      </c>
      <c r="C29" s="465" t="s">
        <v>2257</v>
      </c>
      <c r="D29" s="464" t="s">
        <v>2258</v>
      </c>
      <c r="E29" s="465" t="s">
        <v>93</v>
      </c>
      <c r="F29" s="464" t="s">
        <v>1601</v>
      </c>
      <c r="G29" s="465" t="s">
        <v>20</v>
      </c>
      <c r="H29" s="465">
        <v>201611</v>
      </c>
      <c r="I29" s="480">
        <v>158.80000000000001</v>
      </c>
      <c r="J29" s="464">
        <v>0</v>
      </c>
      <c r="K29" s="472">
        <v>1.4833299999999999E-3</v>
      </c>
      <c r="L29" s="469">
        <f t="shared" si="0"/>
        <v>0</v>
      </c>
      <c r="M29" s="469">
        <f t="shared" si="1"/>
        <v>2.83</v>
      </c>
      <c r="N29" s="470"/>
    </row>
    <row r="30" spans="1:14">
      <c r="A30" s="464" t="s">
        <v>626</v>
      </c>
      <c r="B30" s="465" t="s">
        <v>1681</v>
      </c>
      <c r="C30" s="465" t="s">
        <v>2257</v>
      </c>
      <c r="D30" s="464" t="s">
        <v>2258</v>
      </c>
      <c r="E30" s="465" t="s">
        <v>93</v>
      </c>
      <c r="F30" s="464" t="s">
        <v>1601</v>
      </c>
      <c r="G30" s="465" t="s">
        <v>20</v>
      </c>
      <c r="H30" s="465">
        <v>201611</v>
      </c>
      <c r="I30" s="480">
        <v>3720.99</v>
      </c>
      <c r="J30" s="464">
        <v>0</v>
      </c>
      <c r="K30" s="472">
        <v>1.4833299999999999E-3</v>
      </c>
      <c r="L30" s="469">
        <f t="shared" si="0"/>
        <v>0</v>
      </c>
      <c r="M30" s="469">
        <f t="shared" si="1"/>
        <v>66.23</v>
      </c>
      <c r="N30" s="470"/>
    </row>
    <row r="31" spans="1:14">
      <c r="A31" s="464" t="s">
        <v>626</v>
      </c>
      <c r="B31" s="465" t="s">
        <v>1681</v>
      </c>
      <c r="C31" s="465" t="s">
        <v>2259</v>
      </c>
      <c r="D31" s="464" t="s">
        <v>2260</v>
      </c>
      <c r="E31" s="465" t="s">
        <v>209</v>
      </c>
      <c r="F31" s="464" t="s">
        <v>1612</v>
      </c>
      <c r="G31" s="465" t="s">
        <v>20</v>
      </c>
      <c r="H31" s="465">
        <v>201611</v>
      </c>
      <c r="I31" s="480">
        <v>194.49</v>
      </c>
      <c r="J31" s="464">
        <v>0</v>
      </c>
      <c r="K31" s="472">
        <v>1.4833299999999999E-3</v>
      </c>
      <c r="L31" s="469">
        <f t="shared" si="0"/>
        <v>0</v>
      </c>
      <c r="M31" s="469">
        <f t="shared" si="1"/>
        <v>3.46</v>
      </c>
      <c r="N31" s="470"/>
    </row>
    <row r="32" spans="1:14">
      <c r="A32" s="464" t="s">
        <v>21</v>
      </c>
      <c r="B32" s="465" t="s">
        <v>1681</v>
      </c>
      <c r="C32" s="465" t="s">
        <v>2003</v>
      </c>
      <c r="D32" s="464" t="s">
        <v>2004</v>
      </c>
      <c r="E32" s="465" t="s">
        <v>164</v>
      </c>
      <c r="F32" s="464" t="s">
        <v>1600</v>
      </c>
      <c r="G32" s="465" t="s">
        <v>20</v>
      </c>
      <c r="H32" s="465">
        <v>201611</v>
      </c>
      <c r="I32" s="480">
        <v>1138.8699999999999</v>
      </c>
      <c r="J32" s="464">
        <v>0</v>
      </c>
      <c r="K32" s="472">
        <v>1.4833299999999999E-3</v>
      </c>
      <c r="L32" s="469">
        <f t="shared" si="0"/>
        <v>0</v>
      </c>
      <c r="M32" s="469">
        <f t="shared" si="1"/>
        <v>20.27</v>
      </c>
      <c r="N32" s="470"/>
    </row>
    <row r="33" spans="1:14">
      <c r="A33" s="464" t="s">
        <v>626</v>
      </c>
      <c r="B33" s="465" t="s">
        <v>1681</v>
      </c>
      <c r="C33" s="465" t="s">
        <v>2003</v>
      </c>
      <c r="D33" s="464" t="s">
        <v>2004</v>
      </c>
      <c r="E33" s="465" t="s">
        <v>164</v>
      </c>
      <c r="F33" s="464" t="s">
        <v>1600</v>
      </c>
      <c r="G33" s="465" t="s">
        <v>20</v>
      </c>
      <c r="H33" s="465">
        <v>201611</v>
      </c>
      <c r="I33" s="480">
        <v>23447.360000000001</v>
      </c>
      <c r="J33" s="464">
        <v>0</v>
      </c>
      <c r="K33" s="472">
        <v>1.4833299999999999E-3</v>
      </c>
      <c r="L33" s="469">
        <f t="shared" si="0"/>
        <v>0</v>
      </c>
      <c r="M33" s="469">
        <f t="shared" si="1"/>
        <v>417.36</v>
      </c>
      <c r="N33" s="470"/>
    </row>
    <row r="34" spans="1:14">
      <c r="A34" s="464" t="s">
        <v>14</v>
      </c>
      <c r="B34" s="465" t="s">
        <v>1681</v>
      </c>
      <c r="C34" s="465" t="s">
        <v>2003</v>
      </c>
      <c r="D34" s="464" t="s">
        <v>2004</v>
      </c>
      <c r="E34" s="465" t="s">
        <v>164</v>
      </c>
      <c r="F34" s="464" t="s">
        <v>1600</v>
      </c>
      <c r="G34" s="465" t="s">
        <v>20</v>
      </c>
      <c r="H34" s="465">
        <v>201611</v>
      </c>
      <c r="I34" s="480">
        <v>1128.8499999999999</v>
      </c>
      <c r="J34" s="464">
        <v>0</v>
      </c>
      <c r="K34" s="468">
        <v>2.23333E-3</v>
      </c>
      <c r="L34" s="469">
        <f t="shared" si="0"/>
        <v>0</v>
      </c>
      <c r="M34" s="469">
        <f t="shared" si="1"/>
        <v>30.25</v>
      </c>
      <c r="N34" s="470"/>
    </row>
    <row r="35" spans="1:14">
      <c r="A35" s="464" t="s">
        <v>626</v>
      </c>
      <c r="B35" s="465" t="s">
        <v>1681</v>
      </c>
      <c r="C35" s="465" t="s">
        <v>2311</v>
      </c>
      <c r="D35" s="464" t="s">
        <v>2312</v>
      </c>
      <c r="E35" s="465" t="s">
        <v>209</v>
      </c>
      <c r="F35" s="464" t="s">
        <v>1612</v>
      </c>
      <c r="G35" s="465" t="s">
        <v>20</v>
      </c>
      <c r="H35" s="465">
        <v>201611</v>
      </c>
      <c r="I35" s="480">
        <v>275.16000000000003</v>
      </c>
      <c r="J35" s="464">
        <v>0</v>
      </c>
      <c r="K35" s="472">
        <v>1.4833299999999999E-3</v>
      </c>
      <c r="L35" s="469">
        <f t="shared" si="0"/>
        <v>0</v>
      </c>
      <c r="M35" s="469">
        <f t="shared" si="1"/>
        <v>4.9000000000000004</v>
      </c>
      <c r="N35" s="470"/>
    </row>
    <row r="36" spans="1:14">
      <c r="A36" s="464" t="s">
        <v>14</v>
      </c>
      <c r="B36" s="465" t="s">
        <v>1681</v>
      </c>
      <c r="C36" s="465" t="s">
        <v>2311</v>
      </c>
      <c r="D36" s="464" t="s">
        <v>2312</v>
      </c>
      <c r="E36" s="465" t="s">
        <v>209</v>
      </c>
      <c r="F36" s="464" t="s">
        <v>1612</v>
      </c>
      <c r="G36" s="465" t="s">
        <v>20</v>
      </c>
      <c r="H36" s="465">
        <v>201611</v>
      </c>
      <c r="I36" s="480">
        <v>5.43</v>
      </c>
      <c r="J36" s="464">
        <v>0</v>
      </c>
      <c r="K36" s="468">
        <v>2.23333E-3</v>
      </c>
      <c r="L36" s="469">
        <f t="shared" si="0"/>
        <v>0</v>
      </c>
      <c r="M36" s="469">
        <f t="shared" si="1"/>
        <v>0.15</v>
      </c>
      <c r="N36" s="470"/>
    </row>
    <row r="37" spans="1:14">
      <c r="A37" s="464" t="s">
        <v>626</v>
      </c>
      <c r="B37" s="465" t="s">
        <v>1681</v>
      </c>
      <c r="C37" s="465" t="s">
        <v>2313</v>
      </c>
      <c r="D37" s="464" t="s">
        <v>2314</v>
      </c>
      <c r="E37" s="465" t="s">
        <v>260</v>
      </c>
      <c r="F37" s="464" t="s">
        <v>1608</v>
      </c>
      <c r="G37" s="465" t="s">
        <v>20</v>
      </c>
      <c r="H37" s="465">
        <v>201611</v>
      </c>
      <c r="I37" s="480">
        <v>-3331.29</v>
      </c>
      <c r="J37" s="464">
        <v>0</v>
      </c>
      <c r="K37" s="472">
        <v>1.4833299999999999E-3</v>
      </c>
      <c r="L37" s="469">
        <f t="shared" si="0"/>
        <v>0</v>
      </c>
      <c r="M37" s="469">
        <f t="shared" si="1"/>
        <v>-59.3</v>
      </c>
      <c r="N37" s="470"/>
    </row>
    <row r="38" spans="1:14">
      <c r="A38" s="464" t="s">
        <v>21</v>
      </c>
      <c r="B38" s="465" t="s">
        <v>1681</v>
      </c>
      <c r="C38" s="465" t="s">
        <v>2315</v>
      </c>
      <c r="D38" s="464" t="s">
        <v>2316</v>
      </c>
      <c r="E38" s="465" t="s">
        <v>164</v>
      </c>
      <c r="F38" s="464" t="s">
        <v>1600</v>
      </c>
      <c r="G38" s="465" t="s">
        <v>20</v>
      </c>
      <c r="H38" s="465">
        <v>201611</v>
      </c>
      <c r="I38" s="480">
        <v>0.06</v>
      </c>
      <c r="J38" s="464">
        <v>0</v>
      </c>
      <c r="K38" s="472">
        <v>1.4833299999999999E-3</v>
      </c>
      <c r="L38" s="469">
        <f t="shared" si="0"/>
        <v>0</v>
      </c>
      <c r="M38" s="469">
        <f t="shared" si="1"/>
        <v>0</v>
      </c>
      <c r="N38" s="470"/>
    </row>
    <row r="39" spans="1:14">
      <c r="A39" s="464" t="s">
        <v>626</v>
      </c>
      <c r="B39" s="465" t="s">
        <v>1681</v>
      </c>
      <c r="C39" s="465" t="s">
        <v>2315</v>
      </c>
      <c r="D39" s="464" t="s">
        <v>2316</v>
      </c>
      <c r="E39" s="465" t="s">
        <v>164</v>
      </c>
      <c r="F39" s="464" t="s">
        <v>1600</v>
      </c>
      <c r="G39" s="465" t="s">
        <v>20</v>
      </c>
      <c r="H39" s="465">
        <v>201611</v>
      </c>
      <c r="I39" s="480">
        <v>118.87</v>
      </c>
      <c r="J39" s="464">
        <v>0</v>
      </c>
      <c r="K39" s="472">
        <v>1.4833299999999999E-3</v>
      </c>
      <c r="L39" s="469">
        <f t="shared" si="0"/>
        <v>0</v>
      </c>
      <c r="M39" s="469">
        <f t="shared" si="1"/>
        <v>2.12</v>
      </c>
      <c r="N39" s="470"/>
    </row>
    <row r="40" spans="1:14">
      <c r="A40" s="464" t="s">
        <v>14</v>
      </c>
      <c r="B40" s="465" t="s">
        <v>1681</v>
      </c>
      <c r="C40" s="465" t="s">
        <v>2315</v>
      </c>
      <c r="D40" s="464" t="s">
        <v>2316</v>
      </c>
      <c r="E40" s="465" t="s">
        <v>164</v>
      </c>
      <c r="F40" s="464" t="s">
        <v>1600</v>
      </c>
      <c r="G40" s="465" t="s">
        <v>20</v>
      </c>
      <c r="H40" s="465">
        <v>201611</v>
      </c>
      <c r="I40" s="480">
        <v>50.94</v>
      </c>
      <c r="J40" s="464">
        <v>0</v>
      </c>
      <c r="K40" s="468">
        <v>2.23333E-3</v>
      </c>
      <c r="L40" s="469">
        <f t="shared" si="0"/>
        <v>0</v>
      </c>
      <c r="M40" s="469">
        <f t="shared" si="1"/>
        <v>1.37</v>
      </c>
      <c r="N40" s="470"/>
    </row>
    <row r="41" spans="1:14">
      <c r="A41" s="464" t="s">
        <v>626</v>
      </c>
      <c r="B41" s="465" t="s">
        <v>1681</v>
      </c>
      <c r="C41" s="465" t="s">
        <v>2334</v>
      </c>
      <c r="D41" s="464" t="s">
        <v>2335</v>
      </c>
      <c r="E41" s="465" t="s">
        <v>164</v>
      </c>
      <c r="F41" s="464" t="s">
        <v>1600</v>
      </c>
      <c r="G41" s="465" t="s">
        <v>20</v>
      </c>
      <c r="H41" s="465">
        <v>201611</v>
      </c>
      <c r="I41" s="480">
        <v>4048.93</v>
      </c>
      <c r="J41" s="464">
        <v>0</v>
      </c>
      <c r="K41" s="472">
        <v>1.4833299999999999E-3</v>
      </c>
      <c r="L41" s="469">
        <f t="shared" si="0"/>
        <v>0</v>
      </c>
      <c r="M41" s="469">
        <f t="shared" si="1"/>
        <v>72.069999999999993</v>
      </c>
      <c r="N41" s="470"/>
    </row>
    <row r="42" spans="1:14">
      <c r="A42" s="464" t="s">
        <v>626</v>
      </c>
      <c r="B42" s="465" t="s">
        <v>1681</v>
      </c>
      <c r="C42" s="465" t="s">
        <v>2336</v>
      </c>
      <c r="D42" s="464" t="s">
        <v>2337</v>
      </c>
      <c r="E42" s="465" t="s">
        <v>164</v>
      </c>
      <c r="F42" s="464" t="s">
        <v>1600</v>
      </c>
      <c r="G42" s="465" t="s">
        <v>20</v>
      </c>
      <c r="H42" s="465">
        <v>201611</v>
      </c>
      <c r="I42" s="480">
        <v>-11961.6</v>
      </c>
      <c r="J42" s="464">
        <v>0</v>
      </c>
      <c r="K42" s="472">
        <v>1.4833299999999999E-3</v>
      </c>
      <c r="L42" s="469">
        <f t="shared" si="0"/>
        <v>0</v>
      </c>
      <c r="M42" s="469">
        <f t="shared" si="1"/>
        <v>-212.92</v>
      </c>
      <c r="N42" s="470"/>
    </row>
    <row r="43" spans="1:14">
      <c r="A43" s="464" t="s">
        <v>14</v>
      </c>
      <c r="B43" s="465" t="s">
        <v>1681</v>
      </c>
      <c r="C43" s="465" t="s">
        <v>2336</v>
      </c>
      <c r="D43" s="464" t="s">
        <v>2337</v>
      </c>
      <c r="E43" s="465" t="s">
        <v>164</v>
      </c>
      <c r="F43" s="464" t="s">
        <v>1600</v>
      </c>
      <c r="G43" s="465" t="s">
        <v>20</v>
      </c>
      <c r="H43" s="465">
        <v>201611</v>
      </c>
      <c r="I43" s="480">
        <v>-49.55</v>
      </c>
      <c r="J43" s="464">
        <v>0</v>
      </c>
      <c r="K43" s="468">
        <v>2.23333E-3</v>
      </c>
      <c r="L43" s="469">
        <f t="shared" si="0"/>
        <v>0</v>
      </c>
      <c r="M43" s="469">
        <f t="shared" si="1"/>
        <v>-1.33</v>
      </c>
      <c r="N43" s="470"/>
    </row>
    <row r="44" spans="1:14">
      <c r="A44" s="464" t="s">
        <v>626</v>
      </c>
      <c r="B44" s="465" t="s">
        <v>1681</v>
      </c>
      <c r="C44" s="465" t="s">
        <v>2338</v>
      </c>
      <c r="D44" s="464" t="s">
        <v>2339</v>
      </c>
      <c r="E44" s="465" t="s">
        <v>164</v>
      </c>
      <c r="F44" s="464" t="s">
        <v>1600</v>
      </c>
      <c r="G44" s="465" t="s">
        <v>20</v>
      </c>
      <c r="H44" s="465">
        <v>201611</v>
      </c>
      <c r="I44" s="480">
        <v>27197.14</v>
      </c>
      <c r="J44" s="464">
        <v>0</v>
      </c>
      <c r="K44" s="472">
        <v>1.4833299999999999E-3</v>
      </c>
      <c r="L44" s="469">
        <f t="shared" si="0"/>
        <v>0</v>
      </c>
      <c r="M44" s="469">
        <f t="shared" si="1"/>
        <v>484.11</v>
      </c>
      <c r="N44" s="470"/>
    </row>
    <row r="45" spans="1:14">
      <c r="A45" s="464" t="s">
        <v>14</v>
      </c>
      <c r="B45" s="465" t="s">
        <v>1681</v>
      </c>
      <c r="C45" s="465" t="s">
        <v>2338</v>
      </c>
      <c r="D45" s="464" t="s">
        <v>2339</v>
      </c>
      <c r="E45" s="465" t="s">
        <v>164</v>
      </c>
      <c r="F45" s="464" t="s">
        <v>1600</v>
      </c>
      <c r="G45" s="465" t="s">
        <v>20</v>
      </c>
      <c r="H45" s="465">
        <v>201611</v>
      </c>
      <c r="I45" s="480">
        <v>203.06</v>
      </c>
      <c r="J45" s="464">
        <v>0</v>
      </c>
      <c r="K45" s="468">
        <v>2.23333E-3</v>
      </c>
      <c r="L45" s="469">
        <f t="shared" si="0"/>
        <v>0</v>
      </c>
      <c r="M45" s="469">
        <f t="shared" si="1"/>
        <v>5.44</v>
      </c>
      <c r="N45" s="470"/>
    </row>
    <row r="46" spans="1:14">
      <c r="A46" s="464" t="s">
        <v>626</v>
      </c>
      <c r="B46" s="465" t="s">
        <v>1681</v>
      </c>
      <c r="C46" s="465" t="s">
        <v>2340</v>
      </c>
      <c r="D46" s="464" t="s">
        <v>2341</v>
      </c>
      <c r="E46" s="465" t="s">
        <v>260</v>
      </c>
      <c r="F46" s="464" t="s">
        <v>1608</v>
      </c>
      <c r="G46" s="465" t="s">
        <v>20</v>
      </c>
      <c r="H46" s="465">
        <v>201611</v>
      </c>
      <c r="I46" s="480">
        <v>-104.26</v>
      </c>
      <c r="J46" s="464">
        <v>0</v>
      </c>
      <c r="K46" s="472">
        <v>1.4833299999999999E-3</v>
      </c>
      <c r="L46" s="469">
        <f t="shared" si="0"/>
        <v>0</v>
      </c>
      <c r="M46" s="469">
        <f t="shared" si="1"/>
        <v>-1.86</v>
      </c>
      <c r="N46" s="470"/>
    </row>
    <row r="47" spans="1:14">
      <c r="A47" s="464" t="s">
        <v>14</v>
      </c>
      <c r="B47" s="465" t="s">
        <v>1681</v>
      </c>
      <c r="C47" s="465" t="s">
        <v>2340</v>
      </c>
      <c r="D47" s="464" t="s">
        <v>2341</v>
      </c>
      <c r="E47" s="465" t="s">
        <v>260</v>
      </c>
      <c r="F47" s="464" t="s">
        <v>1608</v>
      </c>
      <c r="G47" s="465" t="s">
        <v>20</v>
      </c>
      <c r="H47" s="465">
        <v>201611</v>
      </c>
      <c r="I47" s="480">
        <v>-1.56</v>
      </c>
      <c r="J47" s="464">
        <v>0</v>
      </c>
      <c r="K47" s="468">
        <v>2.23333E-3</v>
      </c>
      <c r="L47" s="469">
        <f t="shared" si="0"/>
        <v>0</v>
      </c>
      <c r="M47" s="469">
        <f t="shared" si="1"/>
        <v>-0.04</v>
      </c>
      <c r="N47" s="470"/>
    </row>
    <row r="48" spans="1:14">
      <c r="A48" s="464" t="s">
        <v>626</v>
      </c>
      <c r="B48" s="465" t="s">
        <v>1681</v>
      </c>
      <c r="C48" s="465" t="s">
        <v>2342</v>
      </c>
      <c r="D48" s="464" t="s">
        <v>2343</v>
      </c>
      <c r="E48" s="465" t="s">
        <v>75</v>
      </c>
      <c r="F48" s="464" t="s">
        <v>1602</v>
      </c>
      <c r="G48" s="465" t="s">
        <v>20</v>
      </c>
      <c r="H48" s="465">
        <v>201611</v>
      </c>
      <c r="I48" s="480">
        <v>283.68</v>
      </c>
      <c r="J48" s="464">
        <v>0</v>
      </c>
      <c r="K48" s="472">
        <v>1.4833299999999999E-3</v>
      </c>
      <c r="L48" s="469">
        <f t="shared" si="0"/>
        <v>0</v>
      </c>
      <c r="M48" s="469">
        <f t="shared" si="1"/>
        <v>5.05</v>
      </c>
      <c r="N48" s="470"/>
    </row>
    <row r="49" spans="1:14">
      <c r="A49" s="464" t="s">
        <v>14</v>
      </c>
      <c r="B49" s="465" t="s">
        <v>1681</v>
      </c>
      <c r="C49" s="465" t="s">
        <v>2342</v>
      </c>
      <c r="D49" s="464" t="s">
        <v>2343</v>
      </c>
      <c r="E49" s="465" t="s">
        <v>75</v>
      </c>
      <c r="F49" s="464" t="s">
        <v>1602</v>
      </c>
      <c r="G49" s="465" t="s">
        <v>20</v>
      </c>
      <c r="H49" s="465">
        <v>201611</v>
      </c>
      <c r="I49" s="480">
        <v>0.01</v>
      </c>
      <c r="J49" s="464">
        <v>0</v>
      </c>
      <c r="K49" s="468">
        <v>2.23333E-3</v>
      </c>
      <c r="L49" s="469">
        <f t="shared" si="0"/>
        <v>0</v>
      </c>
      <c r="M49" s="469">
        <f t="shared" si="1"/>
        <v>0</v>
      </c>
      <c r="N49" s="470"/>
    </row>
    <row r="50" spans="1:14">
      <c r="A50" s="464" t="s">
        <v>626</v>
      </c>
      <c r="B50" s="465" t="s">
        <v>1681</v>
      </c>
      <c r="C50" s="465" t="s">
        <v>2344</v>
      </c>
      <c r="D50" s="464" t="s">
        <v>2345</v>
      </c>
      <c r="E50" s="465" t="s">
        <v>75</v>
      </c>
      <c r="F50" s="464" t="s">
        <v>1602</v>
      </c>
      <c r="G50" s="465" t="s">
        <v>20</v>
      </c>
      <c r="H50" s="465">
        <v>201611</v>
      </c>
      <c r="I50" s="480">
        <v>-56.2</v>
      </c>
      <c r="J50" s="464">
        <v>0</v>
      </c>
      <c r="K50" s="472">
        <v>1.4833299999999999E-3</v>
      </c>
      <c r="L50" s="469">
        <f t="shared" si="0"/>
        <v>0</v>
      </c>
      <c r="M50" s="469">
        <f t="shared" si="1"/>
        <v>-1</v>
      </c>
      <c r="N50" s="470"/>
    </row>
    <row r="51" spans="1:14">
      <c r="A51" s="464" t="s">
        <v>14</v>
      </c>
      <c r="B51" s="465" t="s">
        <v>1681</v>
      </c>
      <c r="C51" s="465" t="s">
        <v>2344</v>
      </c>
      <c r="D51" s="464" t="s">
        <v>2345</v>
      </c>
      <c r="E51" s="465" t="s">
        <v>75</v>
      </c>
      <c r="F51" s="464" t="s">
        <v>1602</v>
      </c>
      <c r="G51" s="465" t="s">
        <v>20</v>
      </c>
      <c r="H51" s="465">
        <v>201611</v>
      </c>
      <c r="I51" s="480">
        <v>-0.01</v>
      </c>
      <c r="J51" s="464">
        <v>0</v>
      </c>
      <c r="K51" s="468">
        <v>2.23333E-3</v>
      </c>
      <c r="L51" s="469">
        <f t="shared" si="0"/>
        <v>0</v>
      </c>
      <c r="M51" s="469">
        <f t="shared" si="1"/>
        <v>0</v>
      </c>
      <c r="N51" s="470"/>
    </row>
    <row r="52" spans="1:14">
      <c r="A52" s="464" t="s">
        <v>626</v>
      </c>
      <c r="B52" s="465" t="s">
        <v>1681</v>
      </c>
      <c r="C52" s="465" t="s">
        <v>2346</v>
      </c>
      <c r="D52" s="464" t="s">
        <v>2347</v>
      </c>
      <c r="E52" s="465" t="s">
        <v>75</v>
      </c>
      <c r="F52" s="464" t="s">
        <v>1602</v>
      </c>
      <c r="G52" s="465" t="s">
        <v>20</v>
      </c>
      <c r="H52" s="465">
        <v>201611</v>
      </c>
      <c r="I52" s="480">
        <v>721.06</v>
      </c>
      <c r="J52" s="464">
        <v>0</v>
      </c>
      <c r="K52" s="472">
        <v>1.4833299999999999E-3</v>
      </c>
      <c r="L52" s="469">
        <f t="shared" si="0"/>
        <v>0</v>
      </c>
      <c r="M52" s="469">
        <f t="shared" si="1"/>
        <v>12.83</v>
      </c>
      <c r="N52" s="470"/>
    </row>
    <row r="53" spans="1:14">
      <c r="A53" s="464" t="s">
        <v>626</v>
      </c>
      <c r="B53" s="465" t="s">
        <v>1681</v>
      </c>
      <c r="C53" s="465" t="s">
        <v>2348</v>
      </c>
      <c r="D53" s="464" t="s">
        <v>2349</v>
      </c>
      <c r="E53" s="465" t="s">
        <v>75</v>
      </c>
      <c r="F53" s="464" t="s">
        <v>1602</v>
      </c>
      <c r="G53" s="465" t="s">
        <v>20</v>
      </c>
      <c r="H53" s="465">
        <v>201611</v>
      </c>
      <c r="I53" s="480">
        <v>-153.71</v>
      </c>
      <c r="J53" s="464">
        <v>0</v>
      </c>
      <c r="K53" s="472">
        <v>1.4833299999999999E-3</v>
      </c>
      <c r="L53" s="469">
        <f t="shared" si="0"/>
        <v>0</v>
      </c>
      <c r="M53" s="469">
        <f t="shared" si="1"/>
        <v>-2.74</v>
      </c>
      <c r="N53" s="470"/>
    </row>
    <row r="54" spans="1:14">
      <c r="A54" s="464" t="s">
        <v>14</v>
      </c>
      <c r="B54" s="465" t="s">
        <v>1681</v>
      </c>
      <c r="C54" s="465" t="s">
        <v>2348</v>
      </c>
      <c r="D54" s="464" t="s">
        <v>2349</v>
      </c>
      <c r="E54" s="465" t="s">
        <v>75</v>
      </c>
      <c r="F54" s="464" t="s">
        <v>1602</v>
      </c>
      <c r="G54" s="465" t="s">
        <v>20</v>
      </c>
      <c r="H54" s="465">
        <v>201611</v>
      </c>
      <c r="I54" s="480">
        <v>-7.0000000000000007E-2</v>
      </c>
      <c r="J54" s="464">
        <v>0</v>
      </c>
      <c r="K54" s="468">
        <v>2.23333E-3</v>
      </c>
      <c r="L54" s="469">
        <f t="shared" si="0"/>
        <v>0</v>
      </c>
      <c r="M54" s="469">
        <f t="shared" si="1"/>
        <v>0</v>
      </c>
      <c r="N54" s="470"/>
    </row>
    <row r="55" spans="1:14">
      <c r="A55" s="464" t="s">
        <v>626</v>
      </c>
      <c r="B55" s="465" t="s">
        <v>1681</v>
      </c>
      <c r="C55" s="465" t="s">
        <v>2350</v>
      </c>
      <c r="D55" s="464" t="s">
        <v>2351</v>
      </c>
      <c r="E55" s="465" t="s">
        <v>75</v>
      </c>
      <c r="F55" s="464" t="s">
        <v>1602</v>
      </c>
      <c r="G55" s="465" t="s">
        <v>20</v>
      </c>
      <c r="H55" s="465">
        <v>201611</v>
      </c>
      <c r="I55" s="480">
        <v>5599.15</v>
      </c>
      <c r="J55" s="464">
        <v>0</v>
      </c>
      <c r="K55" s="472">
        <v>1.4833299999999999E-3</v>
      </c>
      <c r="L55" s="469">
        <f t="shared" si="0"/>
        <v>0</v>
      </c>
      <c r="M55" s="469">
        <f t="shared" si="1"/>
        <v>99.66</v>
      </c>
      <c r="N55" s="470"/>
    </row>
    <row r="56" spans="1:14">
      <c r="A56" s="464" t="s">
        <v>626</v>
      </c>
      <c r="B56" s="465" t="s">
        <v>1681</v>
      </c>
      <c r="C56" s="465" t="s">
        <v>2352</v>
      </c>
      <c r="D56" s="464" t="s">
        <v>2353</v>
      </c>
      <c r="E56" s="465" t="s">
        <v>75</v>
      </c>
      <c r="F56" s="464" t="s">
        <v>1602</v>
      </c>
      <c r="G56" s="465" t="s">
        <v>20</v>
      </c>
      <c r="H56" s="465">
        <v>201611</v>
      </c>
      <c r="I56" s="480">
        <v>-12.31</v>
      </c>
      <c r="J56" s="464">
        <v>0</v>
      </c>
      <c r="K56" s="472">
        <v>1.4833299999999999E-3</v>
      </c>
      <c r="L56" s="469">
        <f t="shared" si="0"/>
        <v>0</v>
      </c>
      <c r="M56" s="469">
        <f t="shared" si="1"/>
        <v>-0.22</v>
      </c>
      <c r="N56" s="470"/>
    </row>
    <row r="57" spans="1:14">
      <c r="A57" s="464" t="s">
        <v>14</v>
      </c>
      <c r="B57" s="465" t="s">
        <v>1681</v>
      </c>
      <c r="C57" s="465" t="s">
        <v>2352</v>
      </c>
      <c r="D57" s="464" t="s">
        <v>2353</v>
      </c>
      <c r="E57" s="465" t="s">
        <v>75</v>
      </c>
      <c r="F57" s="464" t="s">
        <v>1602</v>
      </c>
      <c r="G57" s="465" t="s">
        <v>20</v>
      </c>
      <c r="H57" s="465">
        <v>201611</v>
      </c>
      <c r="I57" s="480">
        <v>-0.02</v>
      </c>
      <c r="J57" s="464">
        <v>0</v>
      </c>
      <c r="K57" s="468">
        <v>2.23333E-3</v>
      </c>
      <c r="L57" s="469">
        <f t="shared" si="0"/>
        <v>0</v>
      </c>
      <c r="M57" s="469">
        <f t="shared" si="1"/>
        <v>0</v>
      </c>
      <c r="N57" s="470"/>
    </row>
    <row r="58" spans="1:14">
      <c r="A58" s="464" t="s">
        <v>626</v>
      </c>
      <c r="B58" s="465" t="s">
        <v>1681</v>
      </c>
      <c r="C58" s="465" t="s">
        <v>2354</v>
      </c>
      <c r="D58" s="464" t="s">
        <v>2355</v>
      </c>
      <c r="E58" s="465" t="s">
        <v>164</v>
      </c>
      <c r="F58" s="464" t="s">
        <v>1600</v>
      </c>
      <c r="G58" s="465" t="s">
        <v>20</v>
      </c>
      <c r="H58" s="465">
        <v>201611</v>
      </c>
      <c r="I58" s="480">
        <v>-432.84</v>
      </c>
      <c r="J58" s="464">
        <v>0</v>
      </c>
      <c r="K58" s="472">
        <v>1.4833299999999999E-3</v>
      </c>
      <c r="L58" s="469">
        <f t="shared" si="0"/>
        <v>0</v>
      </c>
      <c r="M58" s="469">
        <f t="shared" si="1"/>
        <v>-7.7</v>
      </c>
      <c r="N58" s="470"/>
    </row>
    <row r="59" spans="1:14">
      <c r="A59" s="464" t="s">
        <v>626</v>
      </c>
      <c r="B59" s="465" t="s">
        <v>1681</v>
      </c>
      <c r="C59" s="465" t="s">
        <v>2358</v>
      </c>
      <c r="D59" s="464" t="s">
        <v>2359</v>
      </c>
      <c r="E59" s="465" t="s">
        <v>75</v>
      </c>
      <c r="F59" s="464" t="s">
        <v>1602</v>
      </c>
      <c r="G59" s="465" t="s">
        <v>20</v>
      </c>
      <c r="H59" s="465">
        <v>201611</v>
      </c>
      <c r="I59" s="480">
        <v>1058.54</v>
      </c>
      <c r="J59" s="464">
        <v>0</v>
      </c>
      <c r="K59" s="472">
        <v>1.4833299999999999E-3</v>
      </c>
      <c r="L59" s="469">
        <f t="shared" si="0"/>
        <v>0</v>
      </c>
      <c r="M59" s="469">
        <f t="shared" si="1"/>
        <v>18.84</v>
      </c>
      <c r="N59" s="470"/>
    </row>
    <row r="60" spans="1:14">
      <c r="A60" s="464" t="s">
        <v>14</v>
      </c>
      <c r="B60" s="465" t="s">
        <v>1681</v>
      </c>
      <c r="C60" s="465" t="s">
        <v>2358</v>
      </c>
      <c r="D60" s="464" t="s">
        <v>2359</v>
      </c>
      <c r="E60" s="465" t="s">
        <v>75</v>
      </c>
      <c r="F60" s="464" t="s">
        <v>1602</v>
      </c>
      <c r="G60" s="465" t="s">
        <v>20</v>
      </c>
      <c r="H60" s="465">
        <v>201611</v>
      </c>
      <c r="I60" s="480">
        <v>11.92</v>
      </c>
      <c r="J60" s="464">
        <v>0</v>
      </c>
      <c r="K60" s="468">
        <v>2.23333E-3</v>
      </c>
      <c r="L60" s="469">
        <f t="shared" si="0"/>
        <v>0</v>
      </c>
      <c r="M60" s="469">
        <f t="shared" si="1"/>
        <v>0.32</v>
      </c>
      <c r="N60" s="470"/>
    </row>
    <row r="61" spans="1:14">
      <c r="A61" s="464" t="s">
        <v>626</v>
      </c>
      <c r="B61" s="465" t="s">
        <v>1681</v>
      </c>
      <c r="C61" s="465" t="s">
        <v>2360</v>
      </c>
      <c r="D61" s="464" t="s">
        <v>2361</v>
      </c>
      <c r="E61" s="465" t="s">
        <v>75</v>
      </c>
      <c r="F61" s="464" t="s">
        <v>1602</v>
      </c>
      <c r="G61" s="465" t="s">
        <v>20</v>
      </c>
      <c r="H61" s="465">
        <v>201611</v>
      </c>
      <c r="I61" s="480">
        <v>11804.01</v>
      </c>
      <c r="J61" s="464">
        <v>0</v>
      </c>
      <c r="K61" s="472">
        <v>1.4833299999999999E-3</v>
      </c>
      <c r="L61" s="469">
        <f t="shared" si="0"/>
        <v>0</v>
      </c>
      <c r="M61" s="469">
        <f t="shared" si="1"/>
        <v>210.11</v>
      </c>
      <c r="N61" s="470"/>
    </row>
    <row r="62" spans="1:14">
      <c r="A62" s="464" t="s">
        <v>14</v>
      </c>
      <c r="B62" s="465" t="s">
        <v>1681</v>
      </c>
      <c r="C62" s="465" t="s">
        <v>2360</v>
      </c>
      <c r="D62" s="464" t="s">
        <v>2361</v>
      </c>
      <c r="E62" s="465" t="s">
        <v>75</v>
      </c>
      <c r="F62" s="464" t="s">
        <v>1602</v>
      </c>
      <c r="G62" s="465" t="s">
        <v>20</v>
      </c>
      <c r="H62" s="465">
        <v>201611</v>
      </c>
      <c r="I62" s="480">
        <v>153.94999999999999</v>
      </c>
      <c r="J62" s="464">
        <v>0</v>
      </c>
      <c r="K62" s="468">
        <v>2.23333E-3</v>
      </c>
      <c r="L62" s="469">
        <f t="shared" si="0"/>
        <v>0</v>
      </c>
      <c r="M62" s="469">
        <f t="shared" si="1"/>
        <v>4.13</v>
      </c>
      <c r="N62" s="470"/>
    </row>
    <row r="63" spans="1:14">
      <c r="A63" s="464" t="s">
        <v>626</v>
      </c>
      <c r="B63" s="465" t="s">
        <v>1681</v>
      </c>
      <c r="C63" s="465" t="s">
        <v>2362</v>
      </c>
      <c r="D63" s="464" t="s">
        <v>2363</v>
      </c>
      <c r="E63" s="465" t="s">
        <v>75</v>
      </c>
      <c r="F63" s="464" t="s">
        <v>1602</v>
      </c>
      <c r="G63" s="465" t="s">
        <v>20</v>
      </c>
      <c r="H63" s="465">
        <v>201611</v>
      </c>
      <c r="I63" s="480">
        <v>15917.24</v>
      </c>
      <c r="J63" s="464">
        <v>0</v>
      </c>
      <c r="K63" s="472">
        <v>1.4833299999999999E-3</v>
      </c>
      <c r="L63" s="469">
        <f t="shared" si="0"/>
        <v>0</v>
      </c>
      <c r="M63" s="469">
        <f t="shared" si="1"/>
        <v>283.33</v>
      </c>
      <c r="N63" s="470"/>
    </row>
    <row r="64" spans="1:14">
      <c r="A64" s="464" t="s">
        <v>14</v>
      </c>
      <c r="B64" s="465" t="s">
        <v>1681</v>
      </c>
      <c r="C64" s="465" t="s">
        <v>2362</v>
      </c>
      <c r="D64" s="464" t="s">
        <v>2363</v>
      </c>
      <c r="E64" s="465" t="s">
        <v>75</v>
      </c>
      <c r="F64" s="464" t="s">
        <v>1602</v>
      </c>
      <c r="G64" s="465" t="s">
        <v>20</v>
      </c>
      <c r="H64" s="465">
        <v>201611</v>
      </c>
      <c r="I64" s="480">
        <v>272.72000000000003</v>
      </c>
      <c r="J64" s="464">
        <v>0</v>
      </c>
      <c r="K64" s="468">
        <v>2.23333E-3</v>
      </c>
      <c r="L64" s="469">
        <f t="shared" si="0"/>
        <v>0</v>
      </c>
      <c r="M64" s="469">
        <f t="shared" si="1"/>
        <v>7.31</v>
      </c>
      <c r="N64" s="470"/>
    </row>
    <row r="65" spans="1:14">
      <c r="A65" s="464" t="s">
        <v>626</v>
      </c>
      <c r="B65" s="465" t="s">
        <v>1681</v>
      </c>
      <c r="C65" s="465" t="s">
        <v>2364</v>
      </c>
      <c r="D65" s="464" t="s">
        <v>2365</v>
      </c>
      <c r="E65" s="465" t="s">
        <v>75</v>
      </c>
      <c r="F65" s="464" t="s">
        <v>1602</v>
      </c>
      <c r="G65" s="465" t="s">
        <v>20</v>
      </c>
      <c r="H65" s="465">
        <v>201611</v>
      </c>
      <c r="I65" s="480">
        <v>10838.4</v>
      </c>
      <c r="J65" s="464">
        <v>0</v>
      </c>
      <c r="K65" s="472">
        <v>1.4833299999999999E-3</v>
      </c>
      <c r="L65" s="469">
        <f t="shared" si="0"/>
        <v>0</v>
      </c>
      <c r="M65" s="469">
        <f t="shared" si="1"/>
        <v>192.92</v>
      </c>
      <c r="N65" s="470"/>
    </row>
    <row r="66" spans="1:14">
      <c r="A66" s="464" t="s">
        <v>14</v>
      </c>
      <c r="B66" s="465" t="s">
        <v>1681</v>
      </c>
      <c r="C66" s="465" t="s">
        <v>2364</v>
      </c>
      <c r="D66" s="464" t="s">
        <v>2365</v>
      </c>
      <c r="E66" s="465" t="s">
        <v>75</v>
      </c>
      <c r="F66" s="464" t="s">
        <v>1602</v>
      </c>
      <c r="G66" s="465" t="s">
        <v>20</v>
      </c>
      <c r="H66" s="465">
        <v>201611</v>
      </c>
      <c r="I66" s="480">
        <v>111.35</v>
      </c>
      <c r="J66" s="464">
        <v>0</v>
      </c>
      <c r="K66" s="468">
        <v>2.23333E-3</v>
      </c>
      <c r="L66" s="469">
        <f t="shared" si="0"/>
        <v>0</v>
      </c>
      <c r="M66" s="469">
        <f t="shared" si="1"/>
        <v>2.98</v>
      </c>
      <c r="N66" s="470"/>
    </row>
    <row r="67" spans="1:14">
      <c r="A67" s="464" t="s">
        <v>21</v>
      </c>
      <c r="B67" s="465" t="s">
        <v>1681</v>
      </c>
      <c r="C67" s="465" t="s">
        <v>2366</v>
      </c>
      <c r="D67" s="464" t="s">
        <v>2367</v>
      </c>
      <c r="E67" s="465" t="s">
        <v>75</v>
      </c>
      <c r="F67" s="464" t="s">
        <v>1602</v>
      </c>
      <c r="G67" s="465" t="s">
        <v>20</v>
      </c>
      <c r="H67" s="465">
        <v>201611</v>
      </c>
      <c r="I67" s="480">
        <v>-0.19</v>
      </c>
      <c r="J67" s="464">
        <v>0</v>
      </c>
      <c r="K67" s="472">
        <v>1.4833299999999999E-3</v>
      </c>
      <c r="L67" s="469">
        <f t="shared" si="0"/>
        <v>0</v>
      </c>
      <c r="M67" s="469">
        <f t="shared" si="1"/>
        <v>0</v>
      </c>
      <c r="N67" s="470"/>
    </row>
    <row r="68" spans="1:14">
      <c r="A68" s="464" t="s">
        <v>626</v>
      </c>
      <c r="B68" s="465" t="s">
        <v>1681</v>
      </c>
      <c r="C68" s="465" t="s">
        <v>2366</v>
      </c>
      <c r="D68" s="464" t="s">
        <v>2367</v>
      </c>
      <c r="E68" s="465" t="s">
        <v>75</v>
      </c>
      <c r="F68" s="464" t="s">
        <v>1602</v>
      </c>
      <c r="G68" s="465" t="s">
        <v>20</v>
      </c>
      <c r="H68" s="465">
        <v>201611</v>
      </c>
      <c r="I68" s="480">
        <v>-1080.55</v>
      </c>
      <c r="J68" s="464">
        <v>0</v>
      </c>
      <c r="K68" s="472">
        <v>1.4833299999999999E-3</v>
      </c>
      <c r="L68" s="469">
        <f t="shared" ref="L68:L131" si="2">ROUND(I68*J68*K68,2)</f>
        <v>0</v>
      </c>
      <c r="M68" s="469">
        <f t="shared" ref="M68:M131" si="3">ROUND(I68*K68*12,2)</f>
        <v>-19.23</v>
      </c>
      <c r="N68" s="470"/>
    </row>
    <row r="69" spans="1:14">
      <c r="A69" s="464" t="s">
        <v>14</v>
      </c>
      <c r="B69" s="465" t="s">
        <v>1681</v>
      </c>
      <c r="C69" s="465" t="s">
        <v>2366</v>
      </c>
      <c r="D69" s="464" t="s">
        <v>2367</v>
      </c>
      <c r="E69" s="465" t="s">
        <v>75</v>
      </c>
      <c r="F69" s="464" t="s">
        <v>1602</v>
      </c>
      <c r="G69" s="465" t="s">
        <v>20</v>
      </c>
      <c r="H69" s="465">
        <v>201611</v>
      </c>
      <c r="I69" s="480">
        <v>-1.39</v>
      </c>
      <c r="J69" s="464">
        <v>0</v>
      </c>
      <c r="K69" s="468">
        <v>2.23333E-3</v>
      </c>
      <c r="L69" s="469">
        <f t="shared" si="2"/>
        <v>0</v>
      </c>
      <c r="M69" s="469">
        <f t="shared" si="3"/>
        <v>-0.04</v>
      </c>
      <c r="N69" s="470"/>
    </row>
    <row r="70" spans="1:14">
      <c r="A70" s="464" t="s">
        <v>21</v>
      </c>
      <c r="B70" s="465" t="s">
        <v>1681</v>
      </c>
      <c r="C70" s="465" t="s">
        <v>2368</v>
      </c>
      <c r="D70" s="464" t="s">
        <v>2369</v>
      </c>
      <c r="E70" s="465" t="s">
        <v>75</v>
      </c>
      <c r="F70" s="464" t="s">
        <v>1602</v>
      </c>
      <c r="G70" s="465" t="s">
        <v>20</v>
      </c>
      <c r="H70" s="465">
        <v>201611</v>
      </c>
      <c r="I70" s="480">
        <v>0.84</v>
      </c>
      <c r="J70" s="464">
        <v>0</v>
      </c>
      <c r="K70" s="472">
        <v>1.4833299999999999E-3</v>
      </c>
      <c r="L70" s="469">
        <f t="shared" si="2"/>
        <v>0</v>
      </c>
      <c r="M70" s="469">
        <f t="shared" si="3"/>
        <v>0.01</v>
      </c>
      <c r="N70" s="470"/>
    </row>
    <row r="71" spans="1:14">
      <c r="A71" s="464" t="s">
        <v>626</v>
      </c>
      <c r="B71" s="465" t="s">
        <v>1681</v>
      </c>
      <c r="C71" s="465" t="s">
        <v>2368</v>
      </c>
      <c r="D71" s="464" t="s">
        <v>2369</v>
      </c>
      <c r="E71" s="465" t="s">
        <v>75</v>
      </c>
      <c r="F71" s="464" t="s">
        <v>1602</v>
      </c>
      <c r="G71" s="465" t="s">
        <v>20</v>
      </c>
      <c r="H71" s="465">
        <v>201611</v>
      </c>
      <c r="I71" s="480">
        <v>8962.92</v>
      </c>
      <c r="J71" s="464">
        <v>0</v>
      </c>
      <c r="K71" s="472">
        <v>1.4833299999999999E-3</v>
      </c>
      <c r="L71" s="469">
        <f t="shared" si="2"/>
        <v>0</v>
      </c>
      <c r="M71" s="469">
        <f t="shared" si="3"/>
        <v>159.54</v>
      </c>
      <c r="N71" s="470"/>
    </row>
    <row r="72" spans="1:14">
      <c r="A72" s="464" t="s">
        <v>14</v>
      </c>
      <c r="B72" s="465" t="s">
        <v>1681</v>
      </c>
      <c r="C72" s="465" t="s">
        <v>2368</v>
      </c>
      <c r="D72" s="464" t="s">
        <v>2369</v>
      </c>
      <c r="E72" s="465" t="s">
        <v>75</v>
      </c>
      <c r="F72" s="464" t="s">
        <v>1602</v>
      </c>
      <c r="G72" s="465" t="s">
        <v>20</v>
      </c>
      <c r="H72" s="465">
        <v>201611</v>
      </c>
      <c r="I72" s="480">
        <v>14.77</v>
      </c>
      <c r="J72" s="464">
        <v>0</v>
      </c>
      <c r="K72" s="468">
        <v>2.23333E-3</v>
      </c>
      <c r="L72" s="469">
        <f t="shared" si="2"/>
        <v>0</v>
      </c>
      <c r="M72" s="469">
        <f t="shared" si="3"/>
        <v>0.4</v>
      </c>
      <c r="N72" s="470"/>
    </row>
    <row r="73" spans="1:14">
      <c r="A73" s="464" t="s">
        <v>626</v>
      </c>
      <c r="B73" s="465" t="s">
        <v>1681</v>
      </c>
      <c r="C73" s="465" t="s">
        <v>2370</v>
      </c>
      <c r="D73" s="464" t="s">
        <v>2371</v>
      </c>
      <c r="E73" s="465" t="s">
        <v>75</v>
      </c>
      <c r="F73" s="464" t="s">
        <v>1602</v>
      </c>
      <c r="G73" s="465" t="s">
        <v>20</v>
      </c>
      <c r="H73" s="465">
        <v>201611</v>
      </c>
      <c r="I73" s="480">
        <v>5834.44</v>
      </c>
      <c r="J73" s="464">
        <v>0</v>
      </c>
      <c r="K73" s="472">
        <v>1.4833299999999999E-3</v>
      </c>
      <c r="L73" s="469">
        <f t="shared" si="2"/>
        <v>0</v>
      </c>
      <c r="M73" s="469">
        <f t="shared" si="3"/>
        <v>103.85</v>
      </c>
      <c r="N73" s="470"/>
    </row>
    <row r="74" spans="1:14">
      <c r="A74" s="464" t="s">
        <v>14</v>
      </c>
      <c r="B74" s="465" t="s">
        <v>1681</v>
      </c>
      <c r="C74" s="465" t="s">
        <v>2370</v>
      </c>
      <c r="D74" s="464" t="s">
        <v>2371</v>
      </c>
      <c r="E74" s="465" t="s">
        <v>75</v>
      </c>
      <c r="F74" s="464" t="s">
        <v>1602</v>
      </c>
      <c r="G74" s="465" t="s">
        <v>20</v>
      </c>
      <c r="H74" s="465">
        <v>201611</v>
      </c>
      <c r="I74" s="480">
        <v>0.51</v>
      </c>
      <c r="J74" s="464">
        <v>0</v>
      </c>
      <c r="K74" s="468">
        <v>2.23333E-3</v>
      </c>
      <c r="L74" s="469">
        <f t="shared" si="2"/>
        <v>0</v>
      </c>
      <c r="M74" s="469">
        <f t="shared" si="3"/>
        <v>0.01</v>
      </c>
      <c r="N74" s="470"/>
    </row>
    <row r="75" spans="1:14">
      <c r="A75" s="464" t="s">
        <v>626</v>
      </c>
      <c r="B75" s="465" t="s">
        <v>1681</v>
      </c>
      <c r="C75" s="465" t="s">
        <v>2317</v>
      </c>
      <c r="D75" s="464" t="s">
        <v>2318</v>
      </c>
      <c r="E75" s="465" t="s">
        <v>75</v>
      </c>
      <c r="F75" s="464" t="s">
        <v>1602</v>
      </c>
      <c r="G75" s="465" t="s">
        <v>20</v>
      </c>
      <c r="H75" s="465">
        <v>201611</v>
      </c>
      <c r="I75" s="480">
        <v>20.51</v>
      </c>
      <c r="J75" s="464">
        <v>0</v>
      </c>
      <c r="K75" s="472">
        <v>1.4833299999999999E-3</v>
      </c>
      <c r="L75" s="469">
        <f t="shared" si="2"/>
        <v>0</v>
      </c>
      <c r="M75" s="469">
        <f t="shared" si="3"/>
        <v>0.37</v>
      </c>
      <c r="N75" s="470"/>
    </row>
    <row r="76" spans="1:14">
      <c r="A76" s="464" t="s">
        <v>626</v>
      </c>
      <c r="B76" s="465" t="s">
        <v>1681</v>
      </c>
      <c r="C76" s="465" t="s">
        <v>2009</v>
      </c>
      <c r="D76" s="464" t="s">
        <v>2010</v>
      </c>
      <c r="E76" s="465" t="s">
        <v>260</v>
      </c>
      <c r="F76" s="464" t="s">
        <v>1608</v>
      </c>
      <c r="G76" s="465" t="s">
        <v>20</v>
      </c>
      <c r="H76" s="465">
        <v>201611</v>
      </c>
      <c r="I76" s="480">
        <v>-14.24</v>
      </c>
      <c r="J76" s="464">
        <v>0</v>
      </c>
      <c r="K76" s="472">
        <v>1.4833299999999999E-3</v>
      </c>
      <c r="L76" s="469">
        <f t="shared" si="2"/>
        <v>0</v>
      </c>
      <c r="M76" s="469">
        <f t="shared" si="3"/>
        <v>-0.25</v>
      </c>
      <c r="N76" s="470"/>
    </row>
    <row r="77" spans="1:14">
      <c r="A77" s="464" t="s">
        <v>14</v>
      </c>
      <c r="B77" s="465" t="s">
        <v>1681</v>
      </c>
      <c r="C77" s="465" t="s">
        <v>2009</v>
      </c>
      <c r="D77" s="464" t="s">
        <v>2010</v>
      </c>
      <c r="E77" s="465" t="s">
        <v>260</v>
      </c>
      <c r="F77" s="464" t="s">
        <v>1608</v>
      </c>
      <c r="G77" s="465" t="s">
        <v>20</v>
      </c>
      <c r="H77" s="465">
        <v>201611</v>
      </c>
      <c r="I77" s="480">
        <v>-0.26</v>
      </c>
      <c r="J77" s="464">
        <v>0</v>
      </c>
      <c r="K77" s="468">
        <v>2.23333E-3</v>
      </c>
      <c r="L77" s="469">
        <f t="shared" si="2"/>
        <v>0</v>
      </c>
      <c r="M77" s="469">
        <f t="shared" si="3"/>
        <v>-0.01</v>
      </c>
      <c r="N77" s="470"/>
    </row>
    <row r="78" spans="1:14">
      <c r="A78" s="464" t="s">
        <v>626</v>
      </c>
      <c r="B78" s="465" t="s">
        <v>1681</v>
      </c>
      <c r="C78" s="465" t="s">
        <v>2265</v>
      </c>
      <c r="D78" s="464" t="s">
        <v>2266</v>
      </c>
      <c r="E78" s="465" t="s">
        <v>164</v>
      </c>
      <c r="F78" s="464" t="s">
        <v>1600</v>
      </c>
      <c r="G78" s="465" t="s">
        <v>20</v>
      </c>
      <c r="H78" s="465">
        <v>201611</v>
      </c>
      <c r="I78" s="480">
        <v>1714.93</v>
      </c>
      <c r="J78" s="464">
        <v>0</v>
      </c>
      <c r="K78" s="472">
        <v>1.4833299999999999E-3</v>
      </c>
      <c r="L78" s="469">
        <f t="shared" si="2"/>
        <v>0</v>
      </c>
      <c r="M78" s="469">
        <f t="shared" si="3"/>
        <v>30.53</v>
      </c>
      <c r="N78" s="470"/>
    </row>
    <row r="79" spans="1:14">
      <c r="A79" s="464" t="s">
        <v>626</v>
      </c>
      <c r="B79" s="465" t="s">
        <v>1681</v>
      </c>
      <c r="C79" s="465" t="s">
        <v>2319</v>
      </c>
      <c r="D79" s="464" t="s">
        <v>2320</v>
      </c>
      <c r="E79" s="465" t="s">
        <v>164</v>
      </c>
      <c r="F79" s="464" t="s">
        <v>1600</v>
      </c>
      <c r="G79" s="465" t="s">
        <v>20</v>
      </c>
      <c r="H79" s="465">
        <v>201611</v>
      </c>
      <c r="I79" s="480">
        <v>881.62</v>
      </c>
      <c r="J79" s="464">
        <v>0</v>
      </c>
      <c r="K79" s="472">
        <v>1.4833299999999999E-3</v>
      </c>
      <c r="L79" s="469">
        <f t="shared" si="2"/>
        <v>0</v>
      </c>
      <c r="M79" s="469">
        <f t="shared" si="3"/>
        <v>15.69</v>
      </c>
      <c r="N79" s="470"/>
    </row>
    <row r="80" spans="1:14">
      <c r="A80" s="464" t="s">
        <v>14</v>
      </c>
      <c r="B80" s="465" t="s">
        <v>1681</v>
      </c>
      <c r="C80" s="465" t="s">
        <v>2319</v>
      </c>
      <c r="D80" s="464" t="s">
        <v>2320</v>
      </c>
      <c r="E80" s="465" t="s">
        <v>164</v>
      </c>
      <c r="F80" s="464" t="s">
        <v>1600</v>
      </c>
      <c r="G80" s="465" t="s">
        <v>20</v>
      </c>
      <c r="H80" s="465">
        <v>201611</v>
      </c>
      <c r="I80" s="480">
        <v>24.67</v>
      </c>
      <c r="J80" s="464">
        <v>0</v>
      </c>
      <c r="K80" s="468">
        <v>2.23333E-3</v>
      </c>
      <c r="L80" s="469">
        <f t="shared" si="2"/>
        <v>0</v>
      </c>
      <c r="M80" s="469">
        <f t="shared" si="3"/>
        <v>0.66</v>
      </c>
      <c r="N80" s="470"/>
    </row>
    <row r="81" spans="1:14">
      <c r="A81" s="464" t="s">
        <v>626</v>
      </c>
      <c r="B81" s="465" t="s">
        <v>1681</v>
      </c>
      <c r="C81" s="465" t="s">
        <v>2321</v>
      </c>
      <c r="D81" s="464" t="s">
        <v>2322</v>
      </c>
      <c r="E81" s="465" t="s">
        <v>164</v>
      </c>
      <c r="F81" s="464" t="s">
        <v>1600</v>
      </c>
      <c r="G81" s="465" t="s">
        <v>20</v>
      </c>
      <c r="H81" s="465">
        <v>201611</v>
      </c>
      <c r="I81" s="480">
        <v>41699.64</v>
      </c>
      <c r="J81" s="464">
        <v>0</v>
      </c>
      <c r="K81" s="472">
        <v>1.4833299999999999E-3</v>
      </c>
      <c r="L81" s="469">
        <f t="shared" si="2"/>
        <v>0</v>
      </c>
      <c r="M81" s="469">
        <f t="shared" si="3"/>
        <v>742.25</v>
      </c>
      <c r="N81" s="470"/>
    </row>
    <row r="82" spans="1:14">
      <c r="A82" s="464" t="s">
        <v>14</v>
      </c>
      <c r="B82" s="465" t="s">
        <v>1681</v>
      </c>
      <c r="C82" s="465" t="s">
        <v>2321</v>
      </c>
      <c r="D82" s="464" t="s">
        <v>2322</v>
      </c>
      <c r="E82" s="465" t="s">
        <v>164</v>
      </c>
      <c r="F82" s="464" t="s">
        <v>1600</v>
      </c>
      <c r="G82" s="465" t="s">
        <v>20</v>
      </c>
      <c r="H82" s="465">
        <v>201611</v>
      </c>
      <c r="I82" s="480">
        <v>367.67</v>
      </c>
      <c r="J82" s="464">
        <v>0</v>
      </c>
      <c r="K82" s="468">
        <v>2.23333E-3</v>
      </c>
      <c r="L82" s="469">
        <f t="shared" si="2"/>
        <v>0</v>
      </c>
      <c r="M82" s="469">
        <f t="shared" si="3"/>
        <v>9.85</v>
      </c>
      <c r="N82" s="470"/>
    </row>
    <row r="83" spans="1:14">
      <c r="A83" s="464" t="s">
        <v>626</v>
      </c>
      <c r="B83" s="465" t="s">
        <v>1681</v>
      </c>
      <c r="C83" s="465" t="s">
        <v>2372</v>
      </c>
      <c r="D83" s="464" t="s">
        <v>2373</v>
      </c>
      <c r="E83" s="465" t="s">
        <v>164</v>
      </c>
      <c r="F83" s="464" t="s">
        <v>1600</v>
      </c>
      <c r="G83" s="465" t="s">
        <v>20</v>
      </c>
      <c r="H83" s="465">
        <v>201611</v>
      </c>
      <c r="I83" s="480">
        <v>-5895.54</v>
      </c>
      <c r="J83" s="464">
        <v>0</v>
      </c>
      <c r="K83" s="472">
        <v>1.4833299999999999E-3</v>
      </c>
      <c r="L83" s="469">
        <f t="shared" si="2"/>
        <v>0</v>
      </c>
      <c r="M83" s="469">
        <f t="shared" si="3"/>
        <v>-104.94</v>
      </c>
      <c r="N83" s="470"/>
    </row>
    <row r="84" spans="1:14">
      <c r="A84" s="464" t="s">
        <v>14</v>
      </c>
      <c r="B84" s="465" t="s">
        <v>1681</v>
      </c>
      <c r="C84" s="465" t="s">
        <v>2372</v>
      </c>
      <c r="D84" s="464" t="s">
        <v>2373</v>
      </c>
      <c r="E84" s="465" t="s">
        <v>164</v>
      </c>
      <c r="F84" s="464" t="s">
        <v>1600</v>
      </c>
      <c r="G84" s="465" t="s">
        <v>20</v>
      </c>
      <c r="H84" s="465">
        <v>201611</v>
      </c>
      <c r="I84" s="480">
        <v>-73.12</v>
      </c>
      <c r="J84" s="464">
        <v>0</v>
      </c>
      <c r="K84" s="468">
        <v>2.23333E-3</v>
      </c>
      <c r="L84" s="469">
        <f t="shared" si="2"/>
        <v>0</v>
      </c>
      <c r="M84" s="469">
        <f t="shared" si="3"/>
        <v>-1.96</v>
      </c>
      <c r="N84" s="470"/>
    </row>
    <row r="85" spans="1:14">
      <c r="A85" s="464" t="s">
        <v>626</v>
      </c>
      <c r="B85" s="465" t="s">
        <v>1681</v>
      </c>
      <c r="C85" s="465" t="s">
        <v>2374</v>
      </c>
      <c r="D85" s="464" t="s">
        <v>2375</v>
      </c>
      <c r="E85" s="465" t="s">
        <v>164</v>
      </c>
      <c r="F85" s="464" t="s">
        <v>1600</v>
      </c>
      <c r="G85" s="465" t="s">
        <v>20</v>
      </c>
      <c r="H85" s="465">
        <v>201611</v>
      </c>
      <c r="I85" s="480">
        <v>-328.15</v>
      </c>
      <c r="J85" s="464">
        <v>0</v>
      </c>
      <c r="K85" s="472">
        <v>1.4833299999999999E-3</v>
      </c>
      <c r="L85" s="469">
        <f t="shared" si="2"/>
        <v>0</v>
      </c>
      <c r="M85" s="469">
        <f t="shared" si="3"/>
        <v>-5.84</v>
      </c>
      <c r="N85" s="470"/>
    </row>
    <row r="86" spans="1:14">
      <c r="A86" s="464" t="s">
        <v>14</v>
      </c>
      <c r="B86" s="465" t="s">
        <v>1681</v>
      </c>
      <c r="C86" s="465" t="s">
        <v>2374</v>
      </c>
      <c r="D86" s="464" t="s">
        <v>2375</v>
      </c>
      <c r="E86" s="465" t="s">
        <v>164</v>
      </c>
      <c r="F86" s="464" t="s">
        <v>1600</v>
      </c>
      <c r="G86" s="465" t="s">
        <v>20</v>
      </c>
      <c r="H86" s="465">
        <v>201611</v>
      </c>
      <c r="I86" s="480">
        <v>-88.27</v>
      </c>
      <c r="J86" s="464">
        <v>0</v>
      </c>
      <c r="K86" s="468">
        <v>2.23333E-3</v>
      </c>
      <c r="L86" s="469">
        <f t="shared" si="2"/>
        <v>0</v>
      </c>
      <c r="M86" s="469">
        <f t="shared" si="3"/>
        <v>-2.37</v>
      </c>
      <c r="N86" s="470"/>
    </row>
    <row r="87" spans="1:14">
      <c r="A87" s="464" t="s">
        <v>626</v>
      </c>
      <c r="B87" s="465" t="s">
        <v>1681</v>
      </c>
      <c r="C87" s="465" t="s">
        <v>2376</v>
      </c>
      <c r="D87" s="464" t="s">
        <v>2377</v>
      </c>
      <c r="E87" s="465" t="s">
        <v>164</v>
      </c>
      <c r="F87" s="464" t="s">
        <v>1600</v>
      </c>
      <c r="G87" s="465" t="s">
        <v>20</v>
      </c>
      <c r="H87" s="465">
        <v>201611</v>
      </c>
      <c r="I87" s="480">
        <v>-78.709999999999994</v>
      </c>
      <c r="J87" s="464">
        <v>0</v>
      </c>
      <c r="K87" s="472">
        <v>1.4833299999999999E-3</v>
      </c>
      <c r="L87" s="469">
        <f t="shared" si="2"/>
        <v>0</v>
      </c>
      <c r="M87" s="469">
        <f t="shared" si="3"/>
        <v>-1.4</v>
      </c>
      <c r="N87" s="470"/>
    </row>
    <row r="88" spans="1:14">
      <c r="A88" s="464" t="s">
        <v>14</v>
      </c>
      <c r="B88" s="465" t="s">
        <v>1681</v>
      </c>
      <c r="C88" s="465" t="s">
        <v>2376</v>
      </c>
      <c r="D88" s="464" t="s">
        <v>2377</v>
      </c>
      <c r="E88" s="465" t="s">
        <v>164</v>
      </c>
      <c r="F88" s="464" t="s">
        <v>1600</v>
      </c>
      <c r="G88" s="465" t="s">
        <v>20</v>
      </c>
      <c r="H88" s="465">
        <v>201611</v>
      </c>
      <c r="I88" s="480">
        <v>-11.4</v>
      </c>
      <c r="J88" s="464">
        <v>0</v>
      </c>
      <c r="K88" s="468">
        <v>2.23333E-3</v>
      </c>
      <c r="L88" s="469">
        <f t="shared" si="2"/>
        <v>0</v>
      </c>
      <c r="M88" s="469">
        <f t="shared" si="3"/>
        <v>-0.31</v>
      </c>
      <c r="N88" s="470"/>
    </row>
    <row r="89" spans="1:14">
      <c r="A89" s="464" t="s">
        <v>626</v>
      </c>
      <c r="B89" s="465" t="s">
        <v>1681</v>
      </c>
      <c r="C89" s="465" t="s">
        <v>2380</v>
      </c>
      <c r="D89" s="464" t="s">
        <v>2381</v>
      </c>
      <c r="E89" s="465" t="s">
        <v>164</v>
      </c>
      <c r="F89" s="464" t="s">
        <v>1600</v>
      </c>
      <c r="G89" s="465" t="s">
        <v>20</v>
      </c>
      <c r="H89" s="465">
        <v>201611</v>
      </c>
      <c r="I89" s="480">
        <v>152.84</v>
      </c>
      <c r="J89" s="464">
        <v>0</v>
      </c>
      <c r="K89" s="472">
        <v>1.4833299999999999E-3</v>
      </c>
      <c r="L89" s="469">
        <f t="shared" si="2"/>
        <v>0</v>
      </c>
      <c r="M89" s="469">
        <f t="shared" si="3"/>
        <v>2.72</v>
      </c>
      <c r="N89" s="470"/>
    </row>
    <row r="90" spans="1:14">
      <c r="A90" s="464" t="s">
        <v>1942</v>
      </c>
      <c r="B90" s="465" t="s">
        <v>1681</v>
      </c>
      <c r="C90" s="465" t="s">
        <v>2380</v>
      </c>
      <c r="D90" s="464" t="s">
        <v>2381</v>
      </c>
      <c r="E90" s="465" t="s">
        <v>164</v>
      </c>
      <c r="F90" s="464" t="s">
        <v>1600</v>
      </c>
      <c r="G90" s="465" t="s">
        <v>20</v>
      </c>
      <c r="H90" s="465">
        <v>201611</v>
      </c>
      <c r="I90" s="480">
        <v>0.43</v>
      </c>
      <c r="J90" s="464">
        <v>0</v>
      </c>
      <c r="K90" s="472">
        <v>2.23333E-3</v>
      </c>
      <c r="L90" s="469">
        <f t="shared" si="2"/>
        <v>0</v>
      </c>
      <c r="M90" s="469">
        <f t="shared" si="3"/>
        <v>0.01</v>
      </c>
      <c r="N90" s="470"/>
    </row>
    <row r="91" spans="1:14">
      <c r="A91" s="464" t="s">
        <v>14</v>
      </c>
      <c r="B91" s="465" t="s">
        <v>1681</v>
      </c>
      <c r="C91" s="465" t="s">
        <v>2380</v>
      </c>
      <c r="D91" s="464" t="s">
        <v>2381</v>
      </c>
      <c r="E91" s="465" t="s">
        <v>164</v>
      </c>
      <c r="F91" s="464" t="s">
        <v>1600</v>
      </c>
      <c r="G91" s="465" t="s">
        <v>20</v>
      </c>
      <c r="H91" s="465">
        <v>201611</v>
      </c>
      <c r="I91" s="480">
        <v>34.85</v>
      </c>
      <c r="J91" s="464">
        <v>0</v>
      </c>
      <c r="K91" s="468">
        <v>2.23333E-3</v>
      </c>
      <c r="L91" s="469">
        <f t="shared" si="2"/>
        <v>0</v>
      </c>
      <c r="M91" s="469">
        <f t="shared" si="3"/>
        <v>0.93</v>
      </c>
      <c r="N91" s="470"/>
    </row>
    <row r="92" spans="1:14">
      <c r="A92" s="464" t="s">
        <v>626</v>
      </c>
      <c r="B92" s="465" t="s">
        <v>1681</v>
      </c>
      <c r="C92" s="465" t="s">
        <v>2382</v>
      </c>
      <c r="D92" s="464" t="s">
        <v>2383</v>
      </c>
      <c r="E92" s="465" t="s">
        <v>164</v>
      </c>
      <c r="F92" s="464" t="s">
        <v>1600</v>
      </c>
      <c r="G92" s="465" t="s">
        <v>20</v>
      </c>
      <c r="H92" s="465">
        <v>201611</v>
      </c>
      <c r="I92" s="480">
        <v>-380.09</v>
      </c>
      <c r="J92" s="464">
        <v>0</v>
      </c>
      <c r="K92" s="472">
        <v>1.4833299999999999E-3</v>
      </c>
      <c r="L92" s="469">
        <f t="shared" si="2"/>
        <v>0</v>
      </c>
      <c r="M92" s="469">
        <f t="shared" si="3"/>
        <v>-6.77</v>
      </c>
      <c r="N92" s="470"/>
    </row>
    <row r="93" spans="1:14">
      <c r="A93" s="464" t="s">
        <v>1942</v>
      </c>
      <c r="B93" s="465" t="s">
        <v>1681</v>
      </c>
      <c r="C93" s="465" t="s">
        <v>2382</v>
      </c>
      <c r="D93" s="464" t="s">
        <v>2383</v>
      </c>
      <c r="E93" s="465" t="s">
        <v>164</v>
      </c>
      <c r="F93" s="464" t="s">
        <v>1600</v>
      </c>
      <c r="G93" s="465" t="s">
        <v>20</v>
      </c>
      <c r="H93" s="465">
        <v>201611</v>
      </c>
      <c r="I93" s="480">
        <v>-1.19</v>
      </c>
      <c r="J93" s="464">
        <v>0</v>
      </c>
      <c r="K93" s="472">
        <v>2.23333E-3</v>
      </c>
      <c r="L93" s="469">
        <f t="shared" si="2"/>
        <v>0</v>
      </c>
      <c r="M93" s="469">
        <f t="shared" si="3"/>
        <v>-0.03</v>
      </c>
      <c r="N93" s="470"/>
    </row>
    <row r="94" spans="1:14">
      <c r="A94" s="464" t="s">
        <v>14</v>
      </c>
      <c r="B94" s="465" t="s">
        <v>1681</v>
      </c>
      <c r="C94" s="465" t="s">
        <v>2382</v>
      </c>
      <c r="D94" s="464" t="s">
        <v>2383</v>
      </c>
      <c r="E94" s="465" t="s">
        <v>164</v>
      </c>
      <c r="F94" s="464" t="s">
        <v>1600</v>
      </c>
      <c r="G94" s="465" t="s">
        <v>20</v>
      </c>
      <c r="H94" s="465">
        <v>201611</v>
      </c>
      <c r="I94" s="480">
        <v>-44.86</v>
      </c>
      <c r="J94" s="464">
        <v>0</v>
      </c>
      <c r="K94" s="468">
        <v>2.23333E-3</v>
      </c>
      <c r="L94" s="469">
        <f t="shared" si="2"/>
        <v>0</v>
      </c>
      <c r="M94" s="469">
        <f t="shared" si="3"/>
        <v>-1.2</v>
      </c>
      <c r="N94" s="470"/>
    </row>
    <row r="95" spans="1:14">
      <c r="A95" s="464" t="s">
        <v>626</v>
      </c>
      <c r="B95" s="465" t="s">
        <v>1681</v>
      </c>
      <c r="C95" s="465" t="s">
        <v>2267</v>
      </c>
      <c r="D95" s="464" t="s">
        <v>2268</v>
      </c>
      <c r="E95" s="465" t="s">
        <v>260</v>
      </c>
      <c r="F95" s="464" t="s">
        <v>1608</v>
      </c>
      <c r="G95" s="465" t="s">
        <v>20</v>
      </c>
      <c r="H95" s="465">
        <v>201611</v>
      </c>
      <c r="I95" s="480">
        <v>967.16</v>
      </c>
      <c r="J95" s="464">
        <v>0</v>
      </c>
      <c r="K95" s="472">
        <v>1.4833299999999999E-3</v>
      </c>
      <c r="L95" s="469">
        <f t="shared" si="2"/>
        <v>0</v>
      </c>
      <c r="M95" s="469">
        <f t="shared" si="3"/>
        <v>17.22</v>
      </c>
      <c r="N95" s="470"/>
    </row>
    <row r="96" spans="1:14">
      <c r="A96" s="464" t="s">
        <v>14</v>
      </c>
      <c r="B96" s="465" t="s">
        <v>1681</v>
      </c>
      <c r="C96" s="465" t="s">
        <v>2267</v>
      </c>
      <c r="D96" s="464" t="s">
        <v>2268</v>
      </c>
      <c r="E96" s="465" t="s">
        <v>260</v>
      </c>
      <c r="F96" s="464" t="s">
        <v>1608</v>
      </c>
      <c r="G96" s="465" t="s">
        <v>20</v>
      </c>
      <c r="H96" s="465">
        <v>201611</v>
      </c>
      <c r="I96" s="480">
        <v>200.25</v>
      </c>
      <c r="J96" s="464">
        <v>0</v>
      </c>
      <c r="K96" s="468">
        <v>2.23333E-3</v>
      </c>
      <c r="L96" s="469">
        <f t="shared" si="2"/>
        <v>0</v>
      </c>
      <c r="M96" s="469">
        <f t="shared" si="3"/>
        <v>5.37</v>
      </c>
      <c r="N96" s="470"/>
    </row>
    <row r="97" spans="1:14">
      <c r="A97" s="464" t="s">
        <v>626</v>
      </c>
      <c r="B97" s="465" t="s">
        <v>1681</v>
      </c>
      <c r="C97" s="465" t="s">
        <v>2384</v>
      </c>
      <c r="D97" s="464" t="s">
        <v>2385</v>
      </c>
      <c r="E97" s="465" t="s">
        <v>260</v>
      </c>
      <c r="F97" s="464" t="s">
        <v>1608</v>
      </c>
      <c r="G97" s="465" t="s">
        <v>20</v>
      </c>
      <c r="H97" s="465">
        <v>201611</v>
      </c>
      <c r="I97" s="480">
        <v>1034.31</v>
      </c>
      <c r="J97" s="464">
        <v>0</v>
      </c>
      <c r="K97" s="472">
        <v>1.4833299999999999E-3</v>
      </c>
      <c r="L97" s="469">
        <f t="shared" si="2"/>
        <v>0</v>
      </c>
      <c r="M97" s="469">
        <f t="shared" si="3"/>
        <v>18.41</v>
      </c>
      <c r="N97" s="470"/>
    </row>
    <row r="98" spans="1:14">
      <c r="A98" s="464" t="s">
        <v>14</v>
      </c>
      <c r="B98" s="465" t="s">
        <v>1681</v>
      </c>
      <c r="C98" s="465" t="s">
        <v>2384</v>
      </c>
      <c r="D98" s="464" t="s">
        <v>2385</v>
      </c>
      <c r="E98" s="465" t="s">
        <v>260</v>
      </c>
      <c r="F98" s="464" t="s">
        <v>1608</v>
      </c>
      <c r="G98" s="465" t="s">
        <v>20</v>
      </c>
      <c r="H98" s="465">
        <v>201611</v>
      </c>
      <c r="I98" s="480">
        <v>27.82</v>
      </c>
      <c r="J98" s="464">
        <v>0</v>
      </c>
      <c r="K98" s="468">
        <v>2.23333E-3</v>
      </c>
      <c r="L98" s="469">
        <f t="shared" si="2"/>
        <v>0</v>
      </c>
      <c r="M98" s="469">
        <f t="shared" si="3"/>
        <v>0.75</v>
      </c>
      <c r="N98" s="470"/>
    </row>
    <row r="99" spans="1:14">
      <c r="A99" s="464" t="s">
        <v>626</v>
      </c>
      <c r="B99" s="465" t="s">
        <v>1681</v>
      </c>
      <c r="C99" s="465" t="s">
        <v>2386</v>
      </c>
      <c r="D99" s="464" t="s">
        <v>2387</v>
      </c>
      <c r="E99" s="465" t="s">
        <v>260</v>
      </c>
      <c r="F99" s="464" t="s">
        <v>1608</v>
      </c>
      <c r="G99" s="465" t="s">
        <v>20</v>
      </c>
      <c r="H99" s="465">
        <v>201611</v>
      </c>
      <c r="I99" s="480">
        <v>14167.82</v>
      </c>
      <c r="J99" s="464">
        <v>0</v>
      </c>
      <c r="K99" s="472">
        <v>1.4833299999999999E-3</v>
      </c>
      <c r="L99" s="469">
        <f t="shared" si="2"/>
        <v>0</v>
      </c>
      <c r="M99" s="469">
        <f t="shared" si="3"/>
        <v>252.19</v>
      </c>
      <c r="N99" s="470"/>
    </row>
    <row r="100" spans="1:14">
      <c r="A100" s="464" t="s">
        <v>14</v>
      </c>
      <c r="B100" s="465" t="s">
        <v>1681</v>
      </c>
      <c r="C100" s="465" t="s">
        <v>2386</v>
      </c>
      <c r="D100" s="464" t="s">
        <v>2387</v>
      </c>
      <c r="E100" s="465" t="s">
        <v>260</v>
      </c>
      <c r="F100" s="464" t="s">
        <v>1608</v>
      </c>
      <c r="G100" s="465" t="s">
        <v>20</v>
      </c>
      <c r="H100" s="465">
        <v>201611</v>
      </c>
      <c r="I100" s="480">
        <v>10.1</v>
      </c>
      <c r="J100" s="464">
        <v>0</v>
      </c>
      <c r="K100" s="468">
        <v>2.23333E-3</v>
      </c>
      <c r="L100" s="469">
        <f t="shared" si="2"/>
        <v>0</v>
      </c>
      <c r="M100" s="469">
        <f t="shared" si="3"/>
        <v>0.27</v>
      </c>
      <c r="N100" s="470"/>
    </row>
    <row r="101" spans="1:14">
      <c r="A101" s="464" t="s">
        <v>626</v>
      </c>
      <c r="B101" s="465" t="s">
        <v>1681</v>
      </c>
      <c r="C101" s="465" t="s">
        <v>2073</v>
      </c>
      <c r="D101" s="464" t="s">
        <v>2074</v>
      </c>
      <c r="E101" s="465" t="s">
        <v>164</v>
      </c>
      <c r="F101" s="464" t="s">
        <v>1600</v>
      </c>
      <c r="G101" s="465" t="s">
        <v>20</v>
      </c>
      <c r="H101" s="465">
        <v>201611</v>
      </c>
      <c r="I101" s="480">
        <v>-2081.13</v>
      </c>
      <c r="J101" s="464">
        <v>0</v>
      </c>
      <c r="K101" s="472">
        <v>1.4833299999999999E-3</v>
      </c>
      <c r="L101" s="469">
        <f t="shared" si="2"/>
        <v>0</v>
      </c>
      <c r="M101" s="469">
        <f t="shared" si="3"/>
        <v>-37.04</v>
      </c>
      <c r="N101" s="470"/>
    </row>
    <row r="102" spans="1:14">
      <c r="A102" s="464" t="s">
        <v>626</v>
      </c>
      <c r="B102" s="465" t="s">
        <v>1681</v>
      </c>
      <c r="C102" s="465" t="s">
        <v>2015</v>
      </c>
      <c r="D102" s="464" t="s">
        <v>2016</v>
      </c>
      <c r="E102" s="465" t="s">
        <v>164</v>
      </c>
      <c r="F102" s="464" t="s">
        <v>1600</v>
      </c>
      <c r="G102" s="465" t="s">
        <v>20</v>
      </c>
      <c r="H102" s="465">
        <v>201611</v>
      </c>
      <c r="I102" s="480">
        <v>16441.93</v>
      </c>
      <c r="J102" s="464">
        <v>0</v>
      </c>
      <c r="K102" s="472">
        <v>1.4833299999999999E-3</v>
      </c>
      <c r="L102" s="469">
        <f t="shared" si="2"/>
        <v>0</v>
      </c>
      <c r="M102" s="469">
        <f t="shared" si="3"/>
        <v>292.67</v>
      </c>
      <c r="N102" s="470"/>
    </row>
    <row r="103" spans="1:14">
      <c r="A103" s="464" t="s">
        <v>14</v>
      </c>
      <c r="B103" s="465" t="s">
        <v>1681</v>
      </c>
      <c r="C103" s="465" t="s">
        <v>2015</v>
      </c>
      <c r="D103" s="464" t="s">
        <v>2016</v>
      </c>
      <c r="E103" s="465" t="s">
        <v>164</v>
      </c>
      <c r="F103" s="464" t="s">
        <v>1600</v>
      </c>
      <c r="G103" s="465" t="s">
        <v>20</v>
      </c>
      <c r="H103" s="465">
        <v>201611</v>
      </c>
      <c r="I103" s="480">
        <v>1476.09</v>
      </c>
      <c r="J103" s="464">
        <v>0</v>
      </c>
      <c r="K103" s="468">
        <v>2.23333E-3</v>
      </c>
      <c r="L103" s="469">
        <f t="shared" si="2"/>
        <v>0</v>
      </c>
      <c r="M103" s="469">
        <f t="shared" si="3"/>
        <v>39.56</v>
      </c>
      <c r="N103" s="470"/>
    </row>
    <row r="104" spans="1:14">
      <c r="A104" s="464" t="s">
        <v>626</v>
      </c>
      <c r="B104" s="465" t="s">
        <v>1681</v>
      </c>
      <c r="C104" s="465" t="s">
        <v>2077</v>
      </c>
      <c r="D104" s="464" t="s">
        <v>2078</v>
      </c>
      <c r="E104" s="465" t="s">
        <v>260</v>
      </c>
      <c r="F104" s="464" t="s">
        <v>1608</v>
      </c>
      <c r="G104" s="465" t="s">
        <v>20</v>
      </c>
      <c r="H104" s="465">
        <v>201611</v>
      </c>
      <c r="I104" s="480">
        <v>-1204.58</v>
      </c>
      <c r="J104" s="464">
        <v>0</v>
      </c>
      <c r="K104" s="472">
        <v>1.4833299999999999E-3</v>
      </c>
      <c r="L104" s="469">
        <f t="shared" si="2"/>
        <v>0</v>
      </c>
      <c r="M104" s="469">
        <f t="shared" si="3"/>
        <v>-21.44</v>
      </c>
      <c r="N104" s="470"/>
    </row>
    <row r="105" spans="1:14">
      <c r="A105" s="464" t="s">
        <v>626</v>
      </c>
      <c r="B105" s="465" t="s">
        <v>1681</v>
      </c>
      <c r="C105" s="465" t="s">
        <v>2083</v>
      </c>
      <c r="D105" s="464" t="s">
        <v>2084</v>
      </c>
      <c r="E105" s="465" t="s">
        <v>75</v>
      </c>
      <c r="F105" s="464" t="s">
        <v>1602</v>
      </c>
      <c r="G105" s="465" t="s">
        <v>20</v>
      </c>
      <c r="H105" s="465">
        <v>201611</v>
      </c>
      <c r="I105" s="480">
        <v>109.44</v>
      </c>
      <c r="J105" s="464">
        <v>0</v>
      </c>
      <c r="K105" s="472">
        <v>1.4833299999999999E-3</v>
      </c>
      <c r="L105" s="469">
        <f t="shared" si="2"/>
        <v>0</v>
      </c>
      <c r="M105" s="469">
        <f t="shared" si="3"/>
        <v>1.95</v>
      </c>
      <c r="N105" s="470"/>
    </row>
    <row r="106" spans="1:14">
      <c r="A106" s="464" t="s">
        <v>21</v>
      </c>
      <c r="B106" s="465" t="s">
        <v>1681</v>
      </c>
      <c r="C106" s="465" t="s">
        <v>2392</v>
      </c>
      <c r="D106" s="464" t="s">
        <v>2393</v>
      </c>
      <c r="E106" s="465" t="s">
        <v>75</v>
      </c>
      <c r="F106" s="464" t="s">
        <v>1602</v>
      </c>
      <c r="G106" s="465" t="s">
        <v>20</v>
      </c>
      <c r="H106" s="465">
        <v>201611</v>
      </c>
      <c r="I106" s="480">
        <v>-0.48</v>
      </c>
      <c r="J106" s="464">
        <v>0</v>
      </c>
      <c r="K106" s="472">
        <v>1.4833299999999999E-3</v>
      </c>
      <c r="L106" s="469">
        <f t="shared" si="2"/>
        <v>0</v>
      </c>
      <c r="M106" s="469">
        <f t="shared" si="3"/>
        <v>-0.01</v>
      </c>
      <c r="N106" s="470"/>
    </row>
    <row r="107" spans="1:14">
      <c r="A107" s="464" t="s">
        <v>626</v>
      </c>
      <c r="B107" s="465" t="s">
        <v>1681</v>
      </c>
      <c r="C107" s="465" t="s">
        <v>2392</v>
      </c>
      <c r="D107" s="464" t="s">
        <v>2393</v>
      </c>
      <c r="E107" s="465" t="s">
        <v>75</v>
      </c>
      <c r="F107" s="464" t="s">
        <v>1602</v>
      </c>
      <c r="G107" s="465" t="s">
        <v>20</v>
      </c>
      <c r="H107" s="465">
        <v>201611</v>
      </c>
      <c r="I107" s="480">
        <v>-6498.03</v>
      </c>
      <c r="J107" s="464">
        <v>0</v>
      </c>
      <c r="K107" s="472">
        <v>1.4833299999999999E-3</v>
      </c>
      <c r="L107" s="469">
        <f t="shared" si="2"/>
        <v>0</v>
      </c>
      <c r="M107" s="469">
        <f t="shared" si="3"/>
        <v>-115.66</v>
      </c>
      <c r="N107" s="470"/>
    </row>
    <row r="108" spans="1:14">
      <c r="A108" s="464" t="s">
        <v>14</v>
      </c>
      <c r="B108" s="465" t="s">
        <v>1681</v>
      </c>
      <c r="C108" s="465" t="s">
        <v>2392</v>
      </c>
      <c r="D108" s="464" t="s">
        <v>2393</v>
      </c>
      <c r="E108" s="465" t="s">
        <v>75</v>
      </c>
      <c r="F108" s="464" t="s">
        <v>1602</v>
      </c>
      <c r="G108" s="465" t="s">
        <v>20</v>
      </c>
      <c r="H108" s="465">
        <v>201611</v>
      </c>
      <c r="I108" s="480">
        <v>-3.62</v>
      </c>
      <c r="J108" s="464">
        <v>0</v>
      </c>
      <c r="K108" s="468">
        <v>2.23333E-3</v>
      </c>
      <c r="L108" s="469">
        <f t="shared" si="2"/>
        <v>0</v>
      </c>
      <c r="M108" s="469">
        <f t="shared" si="3"/>
        <v>-0.1</v>
      </c>
      <c r="N108" s="470"/>
    </row>
    <row r="109" spans="1:14">
      <c r="A109" s="464" t="s">
        <v>626</v>
      </c>
      <c r="B109" s="465" t="s">
        <v>1681</v>
      </c>
      <c r="C109" s="465" t="s">
        <v>2394</v>
      </c>
      <c r="D109" s="464" t="s">
        <v>2395</v>
      </c>
      <c r="E109" s="465" t="s">
        <v>75</v>
      </c>
      <c r="F109" s="464" t="s">
        <v>1602</v>
      </c>
      <c r="G109" s="465" t="s">
        <v>20</v>
      </c>
      <c r="H109" s="465">
        <v>201611</v>
      </c>
      <c r="I109" s="480">
        <v>20147.21</v>
      </c>
      <c r="J109" s="464">
        <v>0</v>
      </c>
      <c r="K109" s="472">
        <v>1.4833299999999999E-3</v>
      </c>
      <c r="L109" s="469">
        <f t="shared" si="2"/>
        <v>0</v>
      </c>
      <c r="M109" s="469">
        <f t="shared" si="3"/>
        <v>358.62</v>
      </c>
      <c r="N109" s="470"/>
    </row>
    <row r="110" spans="1:14">
      <c r="A110" s="464" t="s">
        <v>14</v>
      </c>
      <c r="B110" s="465" t="s">
        <v>1681</v>
      </c>
      <c r="C110" s="465" t="s">
        <v>2394</v>
      </c>
      <c r="D110" s="464" t="s">
        <v>2395</v>
      </c>
      <c r="E110" s="465" t="s">
        <v>75</v>
      </c>
      <c r="F110" s="464" t="s">
        <v>1602</v>
      </c>
      <c r="G110" s="465" t="s">
        <v>20</v>
      </c>
      <c r="H110" s="465">
        <v>201611</v>
      </c>
      <c r="I110" s="480">
        <v>845.84</v>
      </c>
      <c r="J110" s="464">
        <v>0</v>
      </c>
      <c r="K110" s="468">
        <v>2.23333E-3</v>
      </c>
      <c r="L110" s="469">
        <f t="shared" si="2"/>
        <v>0</v>
      </c>
      <c r="M110" s="469">
        <f t="shared" si="3"/>
        <v>22.67</v>
      </c>
      <c r="N110" s="470"/>
    </row>
    <row r="111" spans="1:14">
      <c r="A111" s="464" t="s">
        <v>626</v>
      </c>
      <c r="B111" s="465" t="s">
        <v>1681</v>
      </c>
      <c r="C111" s="465" t="s">
        <v>2087</v>
      </c>
      <c r="D111" s="464" t="s">
        <v>2088</v>
      </c>
      <c r="E111" s="465" t="s">
        <v>164</v>
      </c>
      <c r="F111" s="464" t="s">
        <v>1600</v>
      </c>
      <c r="G111" s="465" t="s">
        <v>20</v>
      </c>
      <c r="H111" s="465">
        <v>201611</v>
      </c>
      <c r="I111" s="480">
        <v>13307.55</v>
      </c>
      <c r="J111" s="464">
        <v>0</v>
      </c>
      <c r="K111" s="472">
        <v>1.4833299999999999E-3</v>
      </c>
      <c r="L111" s="469">
        <f t="shared" si="2"/>
        <v>0</v>
      </c>
      <c r="M111" s="469">
        <f t="shared" si="3"/>
        <v>236.87</v>
      </c>
      <c r="N111" s="470"/>
    </row>
    <row r="112" spans="1:14">
      <c r="A112" s="464" t="s">
        <v>14</v>
      </c>
      <c r="B112" s="465" t="s">
        <v>1681</v>
      </c>
      <c r="C112" s="465" t="s">
        <v>2087</v>
      </c>
      <c r="D112" s="464" t="s">
        <v>2088</v>
      </c>
      <c r="E112" s="465" t="s">
        <v>164</v>
      </c>
      <c r="F112" s="464" t="s">
        <v>1600</v>
      </c>
      <c r="G112" s="465" t="s">
        <v>20</v>
      </c>
      <c r="H112" s="465">
        <v>201611</v>
      </c>
      <c r="I112" s="480">
        <v>1005.42</v>
      </c>
      <c r="J112" s="464">
        <v>0</v>
      </c>
      <c r="K112" s="468">
        <v>2.23333E-3</v>
      </c>
      <c r="L112" s="469">
        <f t="shared" si="2"/>
        <v>0</v>
      </c>
      <c r="M112" s="469">
        <f t="shared" si="3"/>
        <v>26.95</v>
      </c>
      <c r="N112" s="470"/>
    </row>
    <row r="113" spans="1:14">
      <c r="A113" s="464" t="s">
        <v>626</v>
      </c>
      <c r="B113" s="465" t="s">
        <v>1681</v>
      </c>
      <c r="C113" s="465" t="s">
        <v>2398</v>
      </c>
      <c r="D113" s="464" t="s">
        <v>2399</v>
      </c>
      <c r="E113" s="465" t="s">
        <v>93</v>
      </c>
      <c r="F113" s="464" t="s">
        <v>1601</v>
      </c>
      <c r="G113" s="465" t="s">
        <v>20</v>
      </c>
      <c r="H113" s="465">
        <v>201611</v>
      </c>
      <c r="I113" s="480">
        <v>20105.490000000002</v>
      </c>
      <c r="J113" s="464">
        <v>0</v>
      </c>
      <c r="K113" s="472">
        <v>1.4833299999999999E-3</v>
      </c>
      <c r="L113" s="469">
        <f t="shared" si="2"/>
        <v>0</v>
      </c>
      <c r="M113" s="469">
        <f t="shared" si="3"/>
        <v>357.88</v>
      </c>
      <c r="N113" s="470"/>
    </row>
    <row r="114" spans="1:14">
      <c r="A114" s="464" t="s">
        <v>626</v>
      </c>
      <c r="B114" s="465" t="s">
        <v>1681</v>
      </c>
      <c r="C114" s="465" t="s">
        <v>2402</v>
      </c>
      <c r="D114" s="464" t="s">
        <v>2403</v>
      </c>
      <c r="E114" s="465" t="s">
        <v>87</v>
      </c>
      <c r="F114" s="464" t="s">
        <v>1603</v>
      </c>
      <c r="G114" s="465" t="s">
        <v>20</v>
      </c>
      <c r="H114" s="465">
        <v>201611</v>
      </c>
      <c r="I114" s="480">
        <v>-2766.62</v>
      </c>
      <c r="J114" s="464">
        <v>0</v>
      </c>
      <c r="K114" s="472">
        <v>1.4833299999999999E-3</v>
      </c>
      <c r="L114" s="469">
        <f t="shared" si="2"/>
        <v>0</v>
      </c>
      <c r="M114" s="469">
        <f t="shared" si="3"/>
        <v>-49.25</v>
      </c>
      <c r="N114" s="470"/>
    </row>
    <row r="115" spans="1:14">
      <c r="A115" s="464" t="s">
        <v>14</v>
      </c>
      <c r="B115" s="465" t="s">
        <v>1681</v>
      </c>
      <c r="C115" s="465" t="s">
        <v>2402</v>
      </c>
      <c r="D115" s="464" t="s">
        <v>2403</v>
      </c>
      <c r="E115" s="465" t="s">
        <v>87</v>
      </c>
      <c r="F115" s="464" t="s">
        <v>1603</v>
      </c>
      <c r="G115" s="465" t="s">
        <v>20</v>
      </c>
      <c r="H115" s="465">
        <v>201611</v>
      </c>
      <c r="I115" s="480">
        <v>-447.88</v>
      </c>
      <c r="J115" s="464">
        <v>0</v>
      </c>
      <c r="K115" s="468">
        <v>2.23333E-3</v>
      </c>
      <c r="L115" s="469">
        <f t="shared" si="2"/>
        <v>0</v>
      </c>
      <c r="M115" s="469">
        <f t="shared" si="3"/>
        <v>-12</v>
      </c>
      <c r="N115" s="470"/>
    </row>
    <row r="116" spans="1:14">
      <c r="A116" s="464" t="s">
        <v>626</v>
      </c>
      <c r="B116" s="465" t="s">
        <v>1681</v>
      </c>
      <c r="C116" s="465" t="s">
        <v>2101</v>
      </c>
      <c r="D116" s="464" t="s">
        <v>2102</v>
      </c>
      <c r="E116" s="465" t="s">
        <v>260</v>
      </c>
      <c r="F116" s="464" t="s">
        <v>1608</v>
      </c>
      <c r="G116" s="465" t="s">
        <v>20</v>
      </c>
      <c r="H116" s="465">
        <v>201611</v>
      </c>
      <c r="I116" s="480">
        <v>209.52</v>
      </c>
      <c r="J116" s="464">
        <v>0</v>
      </c>
      <c r="K116" s="472">
        <v>1.4833299999999999E-3</v>
      </c>
      <c r="L116" s="469">
        <f t="shared" si="2"/>
        <v>0</v>
      </c>
      <c r="M116" s="469">
        <f t="shared" si="3"/>
        <v>3.73</v>
      </c>
      <c r="N116" s="470"/>
    </row>
    <row r="117" spans="1:14">
      <c r="A117" s="464" t="s">
        <v>626</v>
      </c>
      <c r="B117" s="465" t="s">
        <v>1681</v>
      </c>
      <c r="C117" s="465" t="s">
        <v>2404</v>
      </c>
      <c r="D117" s="464" t="s">
        <v>2405</v>
      </c>
      <c r="E117" s="465" t="s">
        <v>209</v>
      </c>
      <c r="F117" s="464" t="s">
        <v>1612</v>
      </c>
      <c r="G117" s="465" t="s">
        <v>20</v>
      </c>
      <c r="H117" s="465">
        <v>201611</v>
      </c>
      <c r="I117" s="480">
        <v>346.27</v>
      </c>
      <c r="J117" s="464">
        <v>0</v>
      </c>
      <c r="K117" s="472">
        <v>1.4833299999999999E-3</v>
      </c>
      <c r="L117" s="469">
        <f t="shared" si="2"/>
        <v>0</v>
      </c>
      <c r="M117" s="469">
        <f t="shared" si="3"/>
        <v>6.16</v>
      </c>
      <c r="N117" s="470"/>
    </row>
    <row r="118" spans="1:14">
      <c r="A118" s="464" t="s">
        <v>626</v>
      </c>
      <c r="B118" s="465" t="s">
        <v>1681</v>
      </c>
      <c r="C118" s="465" t="s">
        <v>2273</v>
      </c>
      <c r="D118" s="464" t="s">
        <v>2274</v>
      </c>
      <c r="E118" s="465" t="s">
        <v>260</v>
      </c>
      <c r="F118" s="464" t="s">
        <v>1608</v>
      </c>
      <c r="G118" s="465" t="s">
        <v>20</v>
      </c>
      <c r="H118" s="465">
        <v>201611</v>
      </c>
      <c r="I118" s="480">
        <v>3919.19</v>
      </c>
      <c r="J118" s="464">
        <v>0</v>
      </c>
      <c r="K118" s="472">
        <v>1.4833299999999999E-3</v>
      </c>
      <c r="L118" s="469">
        <f t="shared" si="2"/>
        <v>0</v>
      </c>
      <c r="M118" s="469">
        <f t="shared" si="3"/>
        <v>69.760000000000005</v>
      </c>
      <c r="N118" s="470"/>
    </row>
    <row r="119" spans="1:14">
      <c r="A119" s="464" t="s">
        <v>626</v>
      </c>
      <c r="B119" s="465" t="s">
        <v>1681</v>
      </c>
      <c r="C119" s="465" t="s">
        <v>2105</v>
      </c>
      <c r="D119" s="464" t="s">
        <v>2106</v>
      </c>
      <c r="E119" s="465" t="s">
        <v>75</v>
      </c>
      <c r="F119" s="464" t="s">
        <v>1602</v>
      </c>
      <c r="G119" s="465" t="s">
        <v>20</v>
      </c>
      <c r="H119" s="465">
        <v>201611</v>
      </c>
      <c r="I119" s="480">
        <v>-4007.6</v>
      </c>
      <c r="J119" s="464">
        <v>0</v>
      </c>
      <c r="K119" s="472">
        <v>1.4833299999999999E-3</v>
      </c>
      <c r="L119" s="469">
        <f t="shared" si="2"/>
        <v>0</v>
      </c>
      <c r="M119" s="469">
        <f t="shared" si="3"/>
        <v>-71.34</v>
      </c>
      <c r="N119" s="470"/>
    </row>
    <row r="120" spans="1:14">
      <c r="A120" s="464" t="s">
        <v>626</v>
      </c>
      <c r="B120" s="465" t="s">
        <v>1681</v>
      </c>
      <c r="C120" s="465" t="s">
        <v>2406</v>
      </c>
      <c r="D120" s="464" t="s">
        <v>2407</v>
      </c>
      <c r="E120" s="465" t="s">
        <v>75</v>
      </c>
      <c r="F120" s="464" t="s">
        <v>1602</v>
      </c>
      <c r="G120" s="465" t="s">
        <v>20</v>
      </c>
      <c r="H120" s="465">
        <v>201611</v>
      </c>
      <c r="I120" s="480">
        <v>-248.73</v>
      </c>
      <c r="J120" s="464">
        <v>0</v>
      </c>
      <c r="K120" s="472">
        <v>1.4833299999999999E-3</v>
      </c>
      <c r="L120" s="469">
        <f t="shared" si="2"/>
        <v>0</v>
      </c>
      <c r="M120" s="469">
        <f t="shared" si="3"/>
        <v>-4.43</v>
      </c>
      <c r="N120" s="470"/>
    </row>
    <row r="121" spans="1:14">
      <c r="A121" s="464" t="s">
        <v>14</v>
      </c>
      <c r="B121" s="465" t="s">
        <v>1681</v>
      </c>
      <c r="C121" s="465" t="s">
        <v>2406</v>
      </c>
      <c r="D121" s="464" t="s">
        <v>2407</v>
      </c>
      <c r="E121" s="465" t="s">
        <v>75</v>
      </c>
      <c r="F121" s="464" t="s">
        <v>1602</v>
      </c>
      <c r="G121" s="465" t="s">
        <v>20</v>
      </c>
      <c r="H121" s="465">
        <v>201611</v>
      </c>
      <c r="I121" s="480">
        <v>-5.86</v>
      </c>
      <c r="J121" s="464">
        <v>0</v>
      </c>
      <c r="K121" s="468">
        <v>2.23333E-3</v>
      </c>
      <c r="L121" s="469">
        <f t="shared" si="2"/>
        <v>0</v>
      </c>
      <c r="M121" s="469">
        <f t="shared" si="3"/>
        <v>-0.16</v>
      </c>
      <c r="N121" s="470"/>
    </row>
    <row r="122" spans="1:14">
      <c r="A122" s="464" t="s">
        <v>626</v>
      </c>
      <c r="B122" s="465" t="s">
        <v>1681</v>
      </c>
      <c r="C122" s="465" t="s">
        <v>2412</v>
      </c>
      <c r="D122" s="464" t="s">
        <v>2413</v>
      </c>
      <c r="E122" s="465" t="s">
        <v>75</v>
      </c>
      <c r="F122" s="464" t="s">
        <v>1602</v>
      </c>
      <c r="G122" s="465" t="s">
        <v>20</v>
      </c>
      <c r="H122" s="465">
        <v>201611</v>
      </c>
      <c r="I122" s="480">
        <v>1070.44</v>
      </c>
      <c r="J122" s="464">
        <v>0</v>
      </c>
      <c r="K122" s="472">
        <v>1.4833299999999999E-3</v>
      </c>
      <c r="L122" s="469">
        <f t="shared" si="2"/>
        <v>0</v>
      </c>
      <c r="M122" s="469">
        <f t="shared" si="3"/>
        <v>19.05</v>
      </c>
      <c r="N122" s="470"/>
    </row>
    <row r="123" spans="1:14">
      <c r="A123" s="464" t="s">
        <v>14</v>
      </c>
      <c r="B123" s="465" t="s">
        <v>1681</v>
      </c>
      <c r="C123" s="465" t="s">
        <v>2412</v>
      </c>
      <c r="D123" s="464" t="s">
        <v>2413</v>
      </c>
      <c r="E123" s="465" t="s">
        <v>75</v>
      </c>
      <c r="F123" s="464" t="s">
        <v>1602</v>
      </c>
      <c r="G123" s="465" t="s">
        <v>20</v>
      </c>
      <c r="H123" s="465">
        <v>201611</v>
      </c>
      <c r="I123" s="480">
        <v>11.24</v>
      </c>
      <c r="J123" s="464">
        <v>0</v>
      </c>
      <c r="K123" s="468">
        <v>2.23333E-3</v>
      </c>
      <c r="L123" s="469">
        <f t="shared" si="2"/>
        <v>0</v>
      </c>
      <c r="M123" s="469">
        <f t="shared" si="3"/>
        <v>0.3</v>
      </c>
      <c r="N123" s="470"/>
    </row>
    <row r="124" spans="1:14">
      <c r="A124" s="464" t="s">
        <v>626</v>
      </c>
      <c r="B124" s="465" t="s">
        <v>1681</v>
      </c>
      <c r="C124" s="465" t="s">
        <v>2416</v>
      </c>
      <c r="D124" s="464" t="s">
        <v>2417</v>
      </c>
      <c r="E124" s="465" t="s">
        <v>164</v>
      </c>
      <c r="F124" s="464" t="s">
        <v>1600</v>
      </c>
      <c r="G124" s="465" t="s">
        <v>20</v>
      </c>
      <c r="H124" s="465">
        <v>201611</v>
      </c>
      <c r="I124" s="480">
        <v>32673.68</v>
      </c>
      <c r="J124" s="464">
        <v>0</v>
      </c>
      <c r="K124" s="472">
        <v>1.4833299999999999E-3</v>
      </c>
      <c r="L124" s="469">
        <f t="shared" si="2"/>
        <v>0</v>
      </c>
      <c r="M124" s="469">
        <f t="shared" si="3"/>
        <v>581.59</v>
      </c>
      <c r="N124" s="470"/>
    </row>
    <row r="125" spans="1:14">
      <c r="A125" s="464" t="s">
        <v>1942</v>
      </c>
      <c r="B125" s="465" t="s">
        <v>1681</v>
      </c>
      <c r="C125" s="465" t="s">
        <v>2416</v>
      </c>
      <c r="D125" s="464" t="s">
        <v>2417</v>
      </c>
      <c r="E125" s="465" t="s">
        <v>164</v>
      </c>
      <c r="F125" s="464" t="s">
        <v>1600</v>
      </c>
      <c r="G125" s="465" t="s">
        <v>20</v>
      </c>
      <c r="H125" s="465">
        <v>201611</v>
      </c>
      <c r="I125" s="480">
        <v>70.87</v>
      </c>
      <c r="J125" s="464">
        <v>0</v>
      </c>
      <c r="K125" s="472">
        <v>2.23333E-3</v>
      </c>
      <c r="L125" s="469">
        <f t="shared" si="2"/>
        <v>0</v>
      </c>
      <c r="M125" s="469">
        <f t="shared" si="3"/>
        <v>1.9</v>
      </c>
      <c r="N125" s="470"/>
    </row>
    <row r="126" spans="1:14">
      <c r="A126" s="464" t="s">
        <v>21</v>
      </c>
      <c r="B126" s="465" t="s">
        <v>1681</v>
      </c>
      <c r="C126" s="465" t="s">
        <v>2418</v>
      </c>
      <c r="D126" s="464" t="s">
        <v>2419</v>
      </c>
      <c r="E126" s="465" t="s">
        <v>75</v>
      </c>
      <c r="F126" s="464" t="s">
        <v>1602</v>
      </c>
      <c r="G126" s="465" t="s">
        <v>20</v>
      </c>
      <c r="H126" s="465">
        <v>201611</v>
      </c>
      <c r="I126" s="480">
        <v>-85.8</v>
      </c>
      <c r="J126" s="464">
        <v>0</v>
      </c>
      <c r="K126" s="472">
        <v>1.4833299999999999E-3</v>
      </c>
      <c r="L126" s="469">
        <f t="shared" si="2"/>
        <v>0</v>
      </c>
      <c r="M126" s="469">
        <f t="shared" si="3"/>
        <v>-1.53</v>
      </c>
      <c r="N126" s="470"/>
    </row>
    <row r="127" spans="1:14">
      <c r="A127" s="464" t="s">
        <v>1942</v>
      </c>
      <c r="B127" s="465" t="s">
        <v>1681</v>
      </c>
      <c r="C127" s="465" t="s">
        <v>2418</v>
      </c>
      <c r="D127" s="464" t="s">
        <v>2419</v>
      </c>
      <c r="E127" s="465" t="s">
        <v>75</v>
      </c>
      <c r="F127" s="464" t="s">
        <v>1602</v>
      </c>
      <c r="G127" s="465" t="s">
        <v>20</v>
      </c>
      <c r="H127" s="465">
        <v>201611</v>
      </c>
      <c r="I127" s="480">
        <v>-0.33</v>
      </c>
      <c r="J127" s="464">
        <v>0</v>
      </c>
      <c r="K127" s="472">
        <v>2.23333E-3</v>
      </c>
      <c r="L127" s="469">
        <f t="shared" si="2"/>
        <v>0</v>
      </c>
      <c r="M127" s="469">
        <f t="shared" si="3"/>
        <v>-0.01</v>
      </c>
      <c r="N127" s="470"/>
    </row>
    <row r="128" spans="1:14">
      <c r="A128" s="464" t="s">
        <v>21</v>
      </c>
      <c r="B128" s="465" t="s">
        <v>1681</v>
      </c>
      <c r="C128" s="465" t="s">
        <v>2279</v>
      </c>
      <c r="D128" s="464" t="s">
        <v>2280</v>
      </c>
      <c r="E128" s="465" t="s">
        <v>87</v>
      </c>
      <c r="F128" s="464" t="s">
        <v>1603</v>
      </c>
      <c r="G128" s="465" t="s">
        <v>20</v>
      </c>
      <c r="H128" s="465">
        <v>201611</v>
      </c>
      <c r="I128" s="480">
        <v>1951.19</v>
      </c>
      <c r="J128" s="464">
        <v>0</v>
      </c>
      <c r="K128" s="472">
        <v>1.4833299999999999E-3</v>
      </c>
      <c r="L128" s="469">
        <f t="shared" si="2"/>
        <v>0</v>
      </c>
      <c r="M128" s="469">
        <f t="shared" si="3"/>
        <v>34.729999999999997</v>
      </c>
      <c r="N128" s="470"/>
    </row>
    <row r="129" spans="1:14">
      <c r="A129" s="464" t="s">
        <v>626</v>
      </c>
      <c r="B129" s="465" t="s">
        <v>1681</v>
      </c>
      <c r="C129" s="465" t="s">
        <v>2420</v>
      </c>
      <c r="D129" s="464" t="s">
        <v>2421</v>
      </c>
      <c r="E129" s="465" t="s">
        <v>164</v>
      </c>
      <c r="F129" s="464" t="s">
        <v>1600</v>
      </c>
      <c r="G129" s="465" t="s">
        <v>20</v>
      </c>
      <c r="H129" s="465">
        <v>201611</v>
      </c>
      <c r="I129" s="480">
        <v>-230.15</v>
      </c>
      <c r="J129" s="464">
        <v>0</v>
      </c>
      <c r="K129" s="472">
        <v>1.4833299999999999E-3</v>
      </c>
      <c r="L129" s="469">
        <f t="shared" si="2"/>
        <v>0</v>
      </c>
      <c r="M129" s="469">
        <f t="shared" si="3"/>
        <v>-4.0999999999999996</v>
      </c>
      <c r="N129" s="470"/>
    </row>
    <row r="130" spans="1:14">
      <c r="A130" s="464" t="s">
        <v>21</v>
      </c>
      <c r="B130" s="465" t="s">
        <v>1681</v>
      </c>
      <c r="C130" s="465" t="s">
        <v>2107</v>
      </c>
      <c r="D130" s="464" t="s">
        <v>2108</v>
      </c>
      <c r="E130" s="465" t="s">
        <v>209</v>
      </c>
      <c r="F130" s="464" t="s">
        <v>1612</v>
      </c>
      <c r="G130" s="465" t="s">
        <v>20</v>
      </c>
      <c r="H130" s="465">
        <v>201611</v>
      </c>
      <c r="I130" s="480">
        <v>16663.86</v>
      </c>
      <c r="J130" s="464">
        <v>0</v>
      </c>
      <c r="K130" s="472">
        <v>1.4833299999999999E-3</v>
      </c>
      <c r="L130" s="469">
        <f t="shared" si="2"/>
        <v>0</v>
      </c>
      <c r="M130" s="469">
        <f t="shared" si="3"/>
        <v>296.62</v>
      </c>
      <c r="N130" s="470"/>
    </row>
    <row r="131" spans="1:14">
      <c r="A131" s="464" t="s">
        <v>626</v>
      </c>
      <c r="B131" s="465" t="s">
        <v>1681</v>
      </c>
      <c r="C131" s="465" t="s">
        <v>2289</v>
      </c>
      <c r="D131" s="464" t="s">
        <v>2290</v>
      </c>
      <c r="E131" s="465" t="s">
        <v>93</v>
      </c>
      <c r="F131" s="464" t="s">
        <v>1601</v>
      </c>
      <c r="G131" s="465" t="s">
        <v>20</v>
      </c>
      <c r="H131" s="465">
        <v>201611</v>
      </c>
      <c r="I131" s="480">
        <v>1292.3499999999999</v>
      </c>
      <c r="J131" s="464">
        <v>0</v>
      </c>
      <c r="K131" s="472">
        <v>1.4833299999999999E-3</v>
      </c>
      <c r="L131" s="469">
        <f t="shared" si="2"/>
        <v>0</v>
      </c>
      <c r="M131" s="469">
        <f t="shared" si="3"/>
        <v>23</v>
      </c>
      <c r="N131" s="470"/>
    </row>
    <row r="132" spans="1:14">
      <c r="A132" s="464" t="s">
        <v>626</v>
      </c>
      <c r="B132" s="465" t="s">
        <v>1681</v>
      </c>
      <c r="C132" s="465" t="s">
        <v>2422</v>
      </c>
      <c r="D132" s="464" t="s">
        <v>2423</v>
      </c>
      <c r="E132" s="465" t="s">
        <v>164</v>
      </c>
      <c r="F132" s="464" t="s">
        <v>1600</v>
      </c>
      <c r="G132" s="465" t="s">
        <v>20</v>
      </c>
      <c r="H132" s="465">
        <v>201611</v>
      </c>
      <c r="I132" s="480">
        <v>-36.35</v>
      </c>
      <c r="J132" s="464">
        <v>0</v>
      </c>
      <c r="K132" s="472">
        <v>1.4833299999999999E-3</v>
      </c>
      <c r="L132" s="469">
        <f t="shared" ref="L132:L193" si="4">ROUND(I132*J132*K132,2)</f>
        <v>0</v>
      </c>
      <c r="M132" s="469">
        <f t="shared" ref="M132:M193" si="5">ROUND(I132*K132*12,2)</f>
        <v>-0.65</v>
      </c>
      <c r="N132" s="470"/>
    </row>
    <row r="133" spans="1:14">
      <c r="A133" s="464" t="s">
        <v>626</v>
      </c>
      <c r="B133" s="465" t="s">
        <v>1681</v>
      </c>
      <c r="C133" s="465" t="s">
        <v>2424</v>
      </c>
      <c r="D133" s="464" t="s">
        <v>2425</v>
      </c>
      <c r="E133" s="465" t="s">
        <v>93</v>
      </c>
      <c r="F133" s="464" t="s">
        <v>1601</v>
      </c>
      <c r="G133" s="465" t="s">
        <v>20</v>
      </c>
      <c r="H133" s="465">
        <v>201611</v>
      </c>
      <c r="I133" s="480">
        <v>3023.8</v>
      </c>
      <c r="J133" s="464">
        <v>0</v>
      </c>
      <c r="K133" s="472">
        <v>1.4833299999999999E-3</v>
      </c>
      <c r="L133" s="469">
        <f t="shared" si="4"/>
        <v>0</v>
      </c>
      <c r="M133" s="469">
        <f t="shared" si="5"/>
        <v>53.82</v>
      </c>
      <c r="N133" s="470"/>
    </row>
    <row r="134" spans="1:14">
      <c r="A134" s="464" t="s">
        <v>14</v>
      </c>
      <c r="B134" s="465" t="s">
        <v>30</v>
      </c>
      <c r="C134" s="465" t="s">
        <v>31</v>
      </c>
      <c r="D134" s="464" t="s">
        <v>32</v>
      </c>
      <c r="E134" s="465" t="s">
        <v>33</v>
      </c>
      <c r="F134" s="464" t="s">
        <v>34</v>
      </c>
      <c r="G134" s="465" t="s">
        <v>20</v>
      </c>
      <c r="H134" s="465">
        <v>201612</v>
      </c>
      <c r="I134" s="480">
        <v>8530.15</v>
      </c>
      <c r="J134" s="464">
        <v>0</v>
      </c>
      <c r="K134" s="468">
        <v>2.23333E-3</v>
      </c>
      <c r="L134" s="469">
        <f t="shared" si="4"/>
        <v>0</v>
      </c>
      <c r="M134" s="469">
        <f t="shared" si="5"/>
        <v>228.61</v>
      </c>
      <c r="N134" s="470"/>
    </row>
    <row r="135" spans="1:14">
      <c r="A135" s="464" t="s">
        <v>554</v>
      </c>
      <c r="B135" s="465" t="s">
        <v>116</v>
      </c>
      <c r="C135" s="465" t="s">
        <v>117</v>
      </c>
      <c r="D135" s="464" t="s">
        <v>2432</v>
      </c>
      <c r="E135" s="465" t="s">
        <v>119</v>
      </c>
      <c r="F135" s="464" t="s">
        <v>1605</v>
      </c>
      <c r="G135" s="465" t="s">
        <v>20</v>
      </c>
      <c r="H135" s="465">
        <v>201612</v>
      </c>
      <c r="I135" s="480">
        <v>93849.82</v>
      </c>
      <c r="J135" s="464">
        <v>0</v>
      </c>
      <c r="K135" s="468">
        <v>1.4833299999999999E-3</v>
      </c>
      <c r="L135" s="469">
        <f t="shared" si="4"/>
        <v>0</v>
      </c>
      <c r="M135" s="469">
        <f t="shared" si="5"/>
        <v>1670.52</v>
      </c>
      <c r="N135" s="470"/>
    </row>
    <row r="136" spans="1:14">
      <c r="A136" s="464" t="s">
        <v>14</v>
      </c>
      <c r="B136" s="465" t="s">
        <v>195</v>
      </c>
      <c r="C136" s="465" t="s">
        <v>196</v>
      </c>
      <c r="D136" s="464" t="s">
        <v>1674</v>
      </c>
      <c r="E136" s="465" t="s">
        <v>198</v>
      </c>
      <c r="F136" s="464" t="s">
        <v>1610</v>
      </c>
      <c r="G136" s="465" t="s">
        <v>20</v>
      </c>
      <c r="H136" s="465">
        <v>201612</v>
      </c>
      <c r="I136" s="480">
        <v>359592.56</v>
      </c>
      <c r="J136" s="464">
        <v>0</v>
      </c>
      <c r="K136" s="468">
        <v>2.23333E-3</v>
      </c>
      <c r="L136" s="469">
        <f t="shared" si="4"/>
        <v>0</v>
      </c>
      <c r="M136" s="469">
        <f t="shared" si="5"/>
        <v>9637.07</v>
      </c>
      <c r="N136" s="470"/>
    </row>
    <row r="137" spans="1:14">
      <c r="A137" s="464" t="s">
        <v>14</v>
      </c>
      <c r="B137" s="465" t="s">
        <v>200</v>
      </c>
      <c r="C137" s="465" t="s">
        <v>201</v>
      </c>
      <c r="D137" s="464" t="s">
        <v>1675</v>
      </c>
      <c r="E137" s="465" t="s">
        <v>202</v>
      </c>
      <c r="F137" s="464" t="s">
        <v>1611</v>
      </c>
      <c r="G137" s="465" t="s">
        <v>20</v>
      </c>
      <c r="H137" s="465">
        <v>201612</v>
      </c>
      <c r="I137" s="480">
        <v>138136.6</v>
      </c>
      <c r="J137" s="464">
        <v>0</v>
      </c>
      <c r="K137" s="468">
        <v>2.23333E-3</v>
      </c>
      <c r="L137" s="469">
        <f t="shared" si="4"/>
        <v>0</v>
      </c>
      <c r="M137" s="469">
        <f t="shared" si="5"/>
        <v>3702.06</v>
      </c>
      <c r="N137" s="470"/>
    </row>
    <row r="138" spans="1:14">
      <c r="A138" s="464" t="s">
        <v>14</v>
      </c>
      <c r="B138" s="465" t="s">
        <v>481</v>
      </c>
      <c r="C138" s="465" t="s">
        <v>482</v>
      </c>
      <c r="D138" s="464" t="s">
        <v>483</v>
      </c>
      <c r="E138" s="465" t="s">
        <v>484</v>
      </c>
      <c r="F138" s="464" t="s">
        <v>190</v>
      </c>
      <c r="G138" s="465" t="s">
        <v>20</v>
      </c>
      <c r="H138" s="465">
        <v>201612</v>
      </c>
      <c r="I138" s="480">
        <v>8.76</v>
      </c>
      <c r="J138" s="464">
        <v>0</v>
      </c>
      <c r="K138" s="468">
        <v>2.23333E-3</v>
      </c>
      <c r="L138" s="469">
        <f t="shared" si="4"/>
        <v>0</v>
      </c>
      <c r="M138" s="469">
        <f t="shared" si="5"/>
        <v>0.23</v>
      </c>
      <c r="N138" s="470"/>
    </row>
    <row r="139" spans="1:14">
      <c r="A139" s="464" t="s">
        <v>14</v>
      </c>
      <c r="B139" s="465" t="s">
        <v>236</v>
      </c>
      <c r="C139" s="465" t="s">
        <v>237</v>
      </c>
      <c r="D139" s="464" t="s">
        <v>188</v>
      </c>
      <c r="E139" s="465" t="s">
        <v>238</v>
      </c>
      <c r="F139" s="464" t="s">
        <v>190</v>
      </c>
      <c r="G139" s="465" t="s">
        <v>20</v>
      </c>
      <c r="H139" s="465">
        <v>201612</v>
      </c>
      <c r="I139" s="480">
        <v>64180.19</v>
      </c>
      <c r="J139" s="464">
        <v>0</v>
      </c>
      <c r="K139" s="468">
        <v>2.23333E-3</v>
      </c>
      <c r="L139" s="469">
        <f t="shared" si="4"/>
        <v>0</v>
      </c>
      <c r="M139" s="469">
        <f t="shared" si="5"/>
        <v>1720.03</v>
      </c>
      <c r="N139" s="470"/>
    </row>
    <row r="140" spans="1:14">
      <c r="A140" s="464" t="s">
        <v>14</v>
      </c>
      <c r="B140" s="465" t="s">
        <v>2433</v>
      </c>
      <c r="C140" s="465" t="s">
        <v>2434</v>
      </c>
      <c r="D140" s="464" t="s">
        <v>197</v>
      </c>
      <c r="E140" s="465" t="s">
        <v>198</v>
      </c>
      <c r="F140" s="464" t="s">
        <v>1610</v>
      </c>
      <c r="G140" s="465" t="s">
        <v>20</v>
      </c>
      <c r="H140" s="465">
        <v>201612</v>
      </c>
      <c r="I140" s="480">
        <v>800</v>
      </c>
      <c r="J140" s="464">
        <v>0</v>
      </c>
      <c r="K140" s="468">
        <v>2.23333E-3</v>
      </c>
      <c r="L140" s="469">
        <f t="shared" si="4"/>
        <v>0</v>
      </c>
      <c r="M140" s="469">
        <f t="shared" si="5"/>
        <v>21.44</v>
      </c>
      <c r="N140" s="470"/>
    </row>
    <row r="141" spans="1:14">
      <c r="A141" s="464" t="s">
        <v>14</v>
      </c>
      <c r="B141" s="465" t="s">
        <v>292</v>
      </c>
      <c r="C141" s="465" t="s">
        <v>293</v>
      </c>
      <c r="D141" s="464" t="s">
        <v>1679</v>
      </c>
      <c r="E141" s="465" t="s">
        <v>294</v>
      </c>
      <c r="F141" s="464" t="s">
        <v>1613</v>
      </c>
      <c r="G141" s="465" t="s">
        <v>20</v>
      </c>
      <c r="H141" s="465">
        <v>201612</v>
      </c>
      <c r="I141" s="480">
        <v>24886.94</v>
      </c>
      <c r="J141" s="464">
        <v>0</v>
      </c>
      <c r="K141" s="468">
        <v>2.23333E-3</v>
      </c>
      <c r="L141" s="469">
        <f t="shared" si="4"/>
        <v>0</v>
      </c>
      <c r="M141" s="469">
        <f t="shared" si="5"/>
        <v>666.97</v>
      </c>
      <c r="N141" s="470"/>
    </row>
    <row r="142" spans="1:14">
      <c r="A142" s="464" t="s">
        <v>14</v>
      </c>
      <c r="B142" s="465" t="s">
        <v>419</v>
      </c>
      <c r="C142" s="465" t="s">
        <v>420</v>
      </c>
      <c r="D142" s="464" t="s">
        <v>50</v>
      </c>
      <c r="E142" s="465" t="s">
        <v>421</v>
      </c>
      <c r="F142" s="464" t="s">
        <v>52</v>
      </c>
      <c r="G142" s="465" t="s">
        <v>20</v>
      </c>
      <c r="H142" s="465">
        <v>201612</v>
      </c>
      <c r="I142" s="480">
        <v>27.26</v>
      </c>
      <c r="J142" s="464">
        <v>0</v>
      </c>
      <c r="K142" s="468">
        <v>2.23333E-3</v>
      </c>
      <c r="L142" s="469">
        <f t="shared" si="4"/>
        <v>0</v>
      </c>
      <c r="M142" s="469">
        <f t="shared" si="5"/>
        <v>0.73</v>
      </c>
      <c r="N142" s="470"/>
    </row>
    <row r="143" spans="1:14">
      <c r="A143" s="464" t="s">
        <v>14</v>
      </c>
      <c r="B143" s="465" t="s">
        <v>325</v>
      </c>
      <c r="C143" s="465" t="s">
        <v>326</v>
      </c>
      <c r="D143" s="464" t="s">
        <v>327</v>
      </c>
      <c r="E143" s="465" t="s">
        <v>328</v>
      </c>
      <c r="F143" s="464" t="s">
        <v>58</v>
      </c>
      <c r="G143" s="465" t="s">
        <v>20</v>
      </c>
      <c r="H143" s="465">
        <v>201612</v>
      </c>
      <c r="I143" s="480">
        <v>9.7200000000000006</v>
      </c>
      <c r="J143" s="464">
        <v>0</v>
      </c>
      <c r="K143" s="468">
        <v>2.23333E-3</v>
      </c>
      <c r="L143" s="469">
        <f t="shared" si="4"/>
        <v>0</v>
      </c>
      <c r="M143" s="469">
        <f t="shared" si="5"/>
        <v>0.26</v>
      </c>
      <c r="N143" s="470"/>
    </row>
    <row r="144" spans="1:14">
      <c r="A144" s="464" t="s">
        <v>626</v>
      </c>
      <c r="B144" s="465" t="s">
        <v>1681</v>
      </c>
      <c r="C144" s="465" t="s">
        <v>1703</v>
      </c>
      <c r="D144" s="464" t="s">
        <v>1704</v>
      </c>
      <c r="E144" s="465" t="s">
        <v>164</v>
      </c>
      <c r="F144" s="464" t="s">
        <v>1600</v>
      </c>
      <c r="G144" s="465" t="s">
        <v>20</v>
      </c>
      <c r="H144" s="465">
        <v>201612</v>
      </c>
      <c r="I144" s="480">
        <v>8031.33</v>
      </c>
      <c r="J144" s="464">
        <v>0</v>
      </c>
      <c r="K144" s="472">
        <v>1.4833299999999999E-3</v>
      </c>
      <c r="L144" s="469">
        <f t="shared" si="4"/>
        <v>0</v>
      </c>
      <c r="M144" s="469">
        <f t="shared" si="5"/>
        <v>142.96</v>
      </c>
      <c r="N144" s="470"/>
    </row>
    <row r="145" spans="1:14">
      <c r="A145" s="464" t="s">
        <v>626</v>
      </c>
      <c r="B145" s="465" t="s">
        <v>1681</v>
      </c>
      <c r="C145" s="465" t="s">
        <v>1705</v>
      </c>
      <c r="D145" s="464" t="s">
        <v>1706</v>
      </c>
      <c r="E145" s="465" t="s">
        <v>75</v>
      </c>
      <c r="F145" s="464" t="s">
        <v>1602</v>
      </c>
      <c r="G145" s="465" t="s">
        <v>20</v>
      </c>
      <c r="H145" s="465">
        <v>201612</v>
      </c>
      <c r="I145" s="480">
        <v>11047.11</v>
      </c>
      <c r="J145" s="464">
        <v>0</v>
      </c>
      <c r="K145" s="472">
        <v>1.4833299999999999E-3</v>
      </c>
      <c r="L145" s="469">
        <f t="shared" si="4"/>
        <v>0</v>
      </c>
      <c r="M145" s="469">
        <f t="shared" si="5"/>
        <v>196.64</v>
      </c>
      <c r="N145" s="470"/>
    </row>
    <row r="146" spans="1:14">
      <c r="A146" s="464" t="s">
        <v>626</v>
      </c>
      <c r="B146" s="465" t="s">
        <v>1681</v>
      </c>
      <c r="C146" s="465" t="s">
        <v>1707</v>
      </c>
      <c r="D146" s="464" t="s">
        <v>1708</v>
      </c>
      <c r="E146" s="465" t="s">
        <v>75</v>
      </c>
      <c r="F146" s="464" t="s">
        <v>1602</v>
      </c>
      <c r="G146" s="465" t="s">
        <v>20</v>
      </c>
      <c r="H146" s="465">
        <v>201612</v>
      </c>
      <c r="I146" s="480">
        <v>3487.62</v>
      </c>
      <c r="J146" s="464">
        <v>0</v>
      </c>
      <c r="K146" s="472">
        <v>1.4833299999999999E-3</v>
      </c>
      <c r="L146" s="469">
        <f t="shared" si="4"/>
        <v>0</v>
      </c>
      <c r="M146" s="469">
        <f t="shared" si="5"/>
        <v>62.08</v>
      </c>
      <c r="N146" s="470"/>
    </row>
    <row r="147" spans="1:14">
      <c r="A147" s="464" t="s">
        <v>626</v>
      </c>
      <c r="B147" s="465" t="s">
        <v>1620</v>
      </c>
      <c r="C147" s="465" t="s">
        <v>1621</v>
      </c>
      <c r="D147" s="464" t="s">
        <v>1622</v>
      </c>
      <c r="E147" s="465" t="s">
        <v>497</v>
      </c>
      <c r="F147" s="464" t="s">
        <v>26</v>
      </c>
      <c r="G147" s="465" t="s">
        <v>20</v>
      </c>
      <c r="H147" s="465">
        <v>201612</v>
      </c>
      <c r="I147" s="480">
        <v>-2869.94</v>
      </c>
      <c r="J147" s="464">
        <v>0</v>
      </c>
      <c r="K147" s="472">
        <v>1.4833299999999999E-3</v>
      </c>
      <c r="L147" s="469">
        <f t="shared" si="4"/>
        <v>0</v>
      </c>
      <c r="M147" s="469">
        <f t="shared" si="5"/>
        <v>-51.08</v>
      </c>
      <c r="N147" s="470"/>
    </row>
    <row r="148" spans="1:14">
      <c r="A148" s="464" t="s">
        <v>626</v>
      </c>
      <c r="B148" s="465" t="s">
        <v>2036</v>
      </c>
      <c r="C148" s="465" t="s">
        <v>2037</v>
      </c>
      <c r="D148" s="464" t="s">
        <v>2038</v>
      </c>
      <c r="E148" s="465" t="s">
        <v>160</v>
      </c>
      <c r="F148" s="464" t="s">
        <v>19</v>
      </c>
      <c r="G148" s="465" t="s">
        <v>20</v>
      </c>
      <c r="H148" s="465">
        <v>201612</v>
      </c>
      <c r="I148" s="480">
        <v>532</v>
      </c>
      <c r="J148" s="464">
        <v>0</v>
      </c>
      <c r="K148" s="472">
        <v>1.4833299999999999E-3</v>
      </c>
      <c r="L148" s="469">
        <f t="shared" si="4"/>
        <v>0</v>
      </c>
      <c r="M148" s="469">
        <f t="shared" si="5"/>
        <v>9.4700000000000006</v>
      </c>
      <c r="N148" s="470"/>
    </row>
    <row r="149" spans="1:14">
      <c r="A149" s="464" t="s">
        <v>626</v>
      </c>
      <c r="B149" s="465" t="s">
        <v>2042</v>
      </c>
      <c r="C149" s="465" t="s">
        <v>2043</v>
      </c>
      <c r="D149" s="464" t="s">
        <v>2044</v>
      </c>
      <c r="E149" s="465" t="s">
        <v>497</v>
      </c>
      <c r="F149" s="464" t="s">
        <v>26</v>
      </c>
      <c r="G149" s="465" t="s">
        <v>20</v>
      </c>
      <c r="H149" s="465">
        <v>201612</v>
      </c>
      <c r="I149" s="480">
        <v>1530.72</v>
      </c>
      <c r="J149" s="464">
        <v>0</v>
      </c>
      <c r="K149" s="472">
        <v>1.4833299999999999E-3</v>
      </c>
      <c r="L149" s="469">
        <f t="shared" si="4"/>
        <v>0</v>
      </c>
      <c r="M149" s="469">
        <f t="shared" si="5"/>
        <v>27.25</v>
      </c>
      <c r="N149" s="470"/>
    </row>
    <row r="150" spans="1:14">
      <c r="A150" s="464" t="s">
        <v>626</v>
      </c>
      <c r="B150" s="465" t="s">
        <v>2115</v>
      </c>
      <c r="C150" s="465" t="s">
        <v>2116</v>
      </c>
      <c r="D150" s="464" t="s">
        <v>1338</v>
      </c>
      <c r="E150" s="465" t="s">
        <v>75</v>
      </c>
      <c r="F150" s="464" t="s">
        <v>1602</v>
      </c>
      <c r="G150" s="465" t="s">
        <v>20</v>
      </c>
      <c r="H150" s="465">
        <v>201612</v>
      </c>
      <c r="I150" s="480">
        <v>-50.58</v>
      </c>
      <c r="J150" s="464">
        <v>0</v>
      </c>
      <c r="K150" s="472">
        <v>1.4833299999999999E-3</v>
      </c>
      <c r="L150" s="469">
        <f t="shared" si="4"/>
        <v>0</v>
      </c>
      <c r="M150" s="469">
        <f t="shared" si="5"/>
        <v>-0.9</v>
      </c>
      <c r="N150" s="470"/>
    </row>
    <row r="151" spans="1:14">
      <c r="A151" s="464" t="s">
        <v>21</v>
      </c>
      <c r="B151" s="465" t="s">
        <v>1964</v>
      </c>
      <c r="C151" s="465" t="s">
        <v>1965</v>
      </c>
      <c r="D151" s="464" t="s">
        <v>1966</v>
      </c>
      <c r="E151" s="465" t="s">
        <v>87</v>
      </c>
      <c r="F151" s="464" t="s">
        <v>1603</v>
      </c>
      <c r="G151" s="465" t="s">
        <v>20</v>
      </c>
      <c r="H151" s="465">
        <v>201612</v>
      </c>
      <c r="I151" s="480">
        <v>3252.36</v>
      </c>
      <c r="J151" s="464">
        <v>0</v>
      </c>
      <c r="K151" s="472">
        <v>1.4833299999999999E-3</v>
      </c>
      <c r="L151" s="469">
        <f t="shared" si="4"/>
        <v>0</v>
      </c>
      <c r="M151" s="469">
        <f t="shared" si="5"/>
        <v>57.89</v>
      </c>
      <c r="N151" s="470"/>
    </row>
    <row r="152" spans="1:14">
      <c r="A152" s="464" t="s">
        <v>626</v>
      </c>
      <c r="B152" s="465" t="s">
        <v>1964</v>
      </c>
      <c r="C152" s="465" t="s">
        <v>1965</v>
      </c>
      <c r="D152" s="464" t="s">
        <v>1966</v>
      </c>
      <c r="E152" s="465" t="s">
        <v>87</v>
      </c>
      <c r="F152" s="464" t="s">
        <v>1603</v>
      </c>
      <c r="G152" s="465" t="s">
        <v>20</v>
      </c>
      <c r="H152" s="465">
        <v>201612</v>
      </c>
      <c r="I152" s="480">
        <v>1830.85</v>
      </c>
      <c r="J152" s="464">
        <v>0</v>
      </c>
      <c r="K152" s="472">
        <v>1.4833299999999999E-3</v>
      </c>
      <c r="L152" s="469">
        <f t="shared" si="4"/>
        <v>0</v>
      </c>
      <c r="M152" s="469">
        <f t="shared" si="5"/>
        <v>32.590000000000003</v>
      </c>
      <c r="N152" s="470"/>
    </row>
    <row r="153" spans="1:14">
      <c r="A153" s="464" t="s">
        <v>127</v>
      </c>
      <c r="B153" s="465" t="s">
        <v>1964</v>
      </c>
      <c r="C153" s="465" t="s">
        <v>1965</v>
      </c>
      <c r="D153" s="464" t="s">
        <v>1966</v>
      </c>
      <c r="E153" s="465" t="s">
        <v>87</v>
      </c>
      <c r="F153" s="464" t="s">
        <v>1603</v>
      </c>
      <c r="G153" s="465" t="s">
        <v>20</v>
      </c>
      <c r="H153" s="465">
        <v>201612</v>
      </c>
      <c r="I153" s="480">
        <v>-5083.21</v>
      </c>
      <c r="J153" s="470">
        <v>0</v>
      </c>
      <c r="K153" s="468">
        <v>2.3833299999999999E-3</v>
      </c>
      <c r="L153" s="471">
        <f t="shared" si="4"/>
        <v>0</v>
      </c>
      <c r="M153" s="471">
        <f t="shared" si="5"/>
        <v>-145.38</v>
      </c>
      <c r="N153" s="470"/>
    </row>
    <row r="154" spans="1:14">
      <c r="A154" s="464" t="s">
        <v>626</v>
      </c>
      <c r="B154" s="465" t="s">
        <v>2294</v>
      </c>
      <c r="C154" s="465" t="s">
        <v>2293</v>
      </c>
      <c r="D154" s="464" t="s">
        <v>2295</v>
      </c>
      <c r="E154" s="465" t="s">
        <v>75</v>
      </c>
      <c r="F154" s="464" t="s">
        <v>1602</v>
      </c>
      <c r="G154" s="465" t="s">
        <v>20</v>
      </c>
      <c r="H154" s="465">
        <v>201612</v>
      </c>
      <c r="I154" s="480">
        <v>0.76</v>
      </c>
      <c r="J154" s="464">
        <v>0</v>
      </c>
      <c r="K154" s="472">
        <v>1.4833299999999999E-3</v>
      </c>
      <c r="L154" s="469">
        <f t="shared" si="4"/>
        <v>0</v>
      </c>
      <c r="M154" s="469">
        <f t="shared" si="5"/>
        <v>0.01</v>
      </c>
      <c r="N154" s="470"/>
    </row>
    <row r="155" spans="1:14">
      <c r="A155" s="464" t="s">
        <v>21</v>
      </c>
      <c r="B155" s="465" t="s">
        <v>1970</v>
      </c>
      <c r="C155" s="465" t="s">
        <v>1971</v>
      </c>
      <c r="D155" s="464" t="s">
        <v>1972</v>
      </c>
      <c r="E155" s="465" t="s">
        <v>93</v>
      </c>
      <c r="F155" s="464" t="s">
        <v>1601</v>
      </c>
      <c r="G155" s="465" t="s">
        <v>20</v>
      </c>
      <c r="H155" s="465">
        <v>201612</v>
      </c>
      <c r="I155" s="480">
        <v>10.89</v>
      </c>
      <c r="J155" s="464">
        <v>0</v>
      </c>
      <c r="K155" s="472">
        <v>1.4833299999999999E-3</v>
      </c>
      <c r="L155" s="469">
        <f t="shared" si="4"/>
        <v>0</v>
      </c>
      <c r="M155" s="469">
        <f t="shared" si="5"/>
        <v>0.19</v>
      </c>
      <c r="N155" s="470"/>
    </row>
    <row r="156" spans="1:14">
      <c r="A156" s="464" t="s">
        <v>626</v>
      </c>
      <c r="B156" s="465" t="s">
        <v>1970</v>
      </c>
      <c r="C156" s="465" t="s">
        <v>1971</v>
      </c>
      <c r="D156" s="464" t="s">
        <v>1972</v>
      </c>
      <c r="E156" s="465" t="s">
        <v>93</v>
      </c>
      <c r="F156" s="464" t="s">
        <v>1601</v>
      </c>
      <c r="G156" s="465" t="s">
        <v>20</v>
      </c>
      <c r="H156" s="465">
        <v>201612</v>
      </c>
      <c r="I156" s="480">
        <v>283.39999999999998</v>
      </c>
      <c r="J156" s="464">
        <v>0</v>
      </c>
      <c r="K156" s="472">
        <v>1.4833299999999999E-3</v>
      </c>
      <c r="L156" s="469">
        <f t="shared" si="4"/>
        <v>0</v>
      </c>
      <c r="M156" s="469">
        <f t="shared" si="5"/>
        <v>5.04</v>
      </c>
      <c r="N156" s="470"/>
    </row>
    <row r="157" spans="1:14">
      <c r="A157" s="464" t="s">
        <v>1942</v>
      </c>
      <c r="B157" s="465" t="s">
        <v>1681</v>
      </c>
      <c r="C157" s="465" t="s">
        <v>1682</v>
      </c>
      <c r="D157" s="464" t="s">
        <v>1683</v>
      </c>
      <c r="E157" s="465" t="s">
        <v>198</v>
      </c>
      <c r="F157" s="464" t="s">
        <v>1610</v>
      </c>
      <c r="G157" s="465" t="s">
        <v>20</v>
      </c>
      <c r="H157" s="465">
        <v>201612</v>
      </c>
      <c r="I157" s="480">
        <v>469.24</v>
      </c>
      <c r="J157" s="464">
        <v>0</v>
      </c>
      <c r="K157" s="472">
        <v>2.23333E-3</v>
      </c>
      <c r="L157" s="469">
        <f t="shared" si="4"/>
        <v>0</v>
      </c>
      <c r="M157" s="469">
        <f t="shared" si="5"/>
        <v>12.58</v>
      </c>
      <c r="N157" s="470"/>
    </row>
    <row r="158" spans="1:14">
      <c r="A158" s="464" t="s">
        <v>1942</v>
      </c>
      <c r="B158" s="465" t="s">
        <v>1681</v>
      </c>
      <c r="C158" s="465" t="s">
        <v>1943</v>
      </c>
      <c r="D158" s="464" t="s">
        <v>1944</v>
      </c>
      <c r="E158" s="465" t="s">
        <v>202</v>
      </c>
      <c r="F158" s="464" t="s">
        <v>1611</v>
      </c>
      <c r="G158" s="465" t="s">
        <v>20</v>
      </c>
      <c r="H158" s="465">
        <v>201612</v>
      </c>
      <c r="I158" s="480">
        <v>273.69</v>
      </c>
      <c r="J158" s="464">
        <v>0</v>
      </c>
      <c r="K158" s="472">
        <v>2.23333E-3</v>
      </c>
      <c r="L158" s="469">
        <f t="shared" si="4"/>
        <v>0</v>
      </c>
      <c r="M158" s="469">
        <f t="shared" si="5"/>
        <v>7.33</v>
      </c>
      <c r="N158" s="470"/>
    </row>
    <row r="159" spans="1:14">
      <c r="A159" s="464" t="s">
        <v>1942</v>
      </c>
      <c r="B159" s="465" t="s">
        <v>1681</v>
      </c>
      <c r="C159" s="465" t="s">
        <v>1976</v>
      </c>
      <c r="D159" s="464" t="s">
        <v>1977</v>
      </c>
      <c r="E159" s="465" t="s">
        <v>294</v>
      </c>
      <c r="F159" s="464" t="s">
        <v>1613</v>
      </c>
      <c r="G159" s="465" t="s">
        <v>20</v>
      </c>
      <c r="H159" s="465">
        <v>201612</v>
      </c>
      <c r="I159" s="480">
        <v>6674.56</v>
      </c>
      <c r="J159" s="464">
        <v>0</v>
      </c>
      <c r="K159" s="472">
        <v>2.23333E-3</v>
      </c>
      <c r="L159" s="469">
        <f t="shared" si="4"/>
        <v>0</v>
      </c>
      <c r="M159" s="469">
        <f t="shared" si="5"/>
        <v>178.88</v>
      </c>
      <c r="N159" s="470"/>
    </row>
    <row r="160" spans="1:14">
      <c r="A160" s="464" t="s">
        <v>626</v>
      </c>
      <c r="B160" s="465" t="s">
        <v>1945</v>
      </c>
      <c r="C160" s="465" t="s">
        <v>1946</v>
      </c>
      <c r="D160" s="464" t="s">
        <v>1947</v>
      </c>
      <c r="E160" s="465" t="s">
        <v>93</v>
      </c>
      <c r="F160" s="464" t="s">
        <v>1601</v>
      </c>
      <c r="G160" s="465" t="s">
        <v>20</v>
      </c>
      <c r="H160" s="465">
        <v>201612</v>
      </c>
      <c r="I160" s="480">
        <v>12.85</v>
      </c>
      <c r="J160" s="464">
        <v>0</v>
      </c>
      <c r="K160" s="472">
        <v>1.4833299999999999E-3</v>
      </c>
      <c r="L160" s="469">
        <f t="shared" si="4"/>
        <v>0</v>
      </c>
      <c r="M160" s="469">
        <f t="shared" si="5"/>
        <v>0.23</v>
      </c>
      <c r="N160" s="470"/>
    </row>
    <row r="161" spans="1:14">
      <c r="A161" s="464" t="s">
        <v>21</v>
      </c>
      <c r="B161" s="465" t="s">
        <v>1681</v>
      </c>
      <c r="C161" s="465" t="s">
        <v>2257</v>
      </c>
      <c r="D161" s="464" t="s">
        <v>2258</v>
      </c>
      <c r="E161" s="465" t="s">
        <v>93</v>
      </c>
      <c r="F161" s="464" t="s">
        <v>1601</v>
      </c>
      <c r="G161" s="465" t="s">
        <v>20</v>
      </c>
      <c r="H161" s="465">
        <v>201612</v>
      </c>
      <c r="I161" s="480">
        <v>-14.04</v>
      </c>
      <c r="J161" s="464">
        <v>0</v>
      </c>
      <c r="K161" s="472">
        <v>1.4833299999999999E-3</v>
      </c>
      <c r="L161" s="469">
        <f t="shared" si="4"/>
        <v>0</v>
      </c>
      <c r="M161" s="469">
        <f t="shared" si="5"/>
        <v>-0.25</v>
      </c>
      <c r="N161" s="470"/>
    </row>
    <row r="162" spans="1:14">
      <c r="A162" s="464" t="s">
        <v>626</v>
      </c>
      <c r="B162" s="465" t="s">
        <v>1681</v>
      </c>
      <c r="C162" s="465" t="s">
        <v>2257</v>
      </c>
      <c r="D162" s="464" t="s">
        <v>2258</v>
      </c>
      <c r="E162" s="465" t="s">
        <v>93</v>
      </c>
      <c r="F162" s="464" t="s">
        <v>1601</v>
      </c>
      <c r="G162" s="465" t="s">
        <v>20</v>
      </c>
      <c r="H162" s="465">
        <v>201612</v>
      </c>
      <c r="I162" s="480">
        <v>-329.01</v>
      </c>
      <c r="J162" s="464">
        <v>0</v>
      </c>
      <c r="K162" s="472">
        <v>1.4833299999999999E-3</v>
      </c>
      <c r="L162" s="469">
        <f t="shared" si="4"/>
        <v>0</v>
      </c>
      <c r="M162" s="469">
        <f t="shared" si="5"/>
        <v>-5.86</v>
      </c>
      <c r="N162" s="470"/>
    </row>
    <row r="163" spans="1:14">
      <c r="A163" s="464" t="s">
        <v>626</v>
      </c>
      <c r="B163" s="465" t="s">
        <v>1681</v>
      </c>
      <c r="C163" s="465" t="s">
        <v>1999</v>
      </c>
      <c r="D163" s="464" t="s">
        <v>2000</v>
      </c>
      <c r="E163" s="465" t="s">
        <v>75</v>
      </c>
      <c r="F163" s="464" t="s">
        <v>1602</v>
      </c>
      <c r="G163" s="465" t="s">
        <v>20</v>
      </c>
      <c r="H163" s="465">
        <v>201612</v>
      </c>
      <c r="I163" s="480">
        <v>-14555.55</v>
      </c>
      <c r="J163" s="464">
        <v>0</v>
      </c>
      <c r="K163" s="472">
        <v>1.4833299999999999E-3</v>
      </c>
      <c r="L163" s="469">
        <f t="shared" si="4"/>
        <v>0</v>
      </c>
      <c r="M163" s="469">
        <f t="shared" si="5"/>
        <v>-259.08999999999997</v>
      </c>
      <c r="N163" s="470"/>
    </row>
    <row r="164" spans="1:14">
      <c r="A164" s="464" t="s">
        <v>1942</v>
      </c>
      <c r="B164" s="465" t="s">
        <v>1681</v>
      </c>
      <c r="C164" s="465" t="s">
        <v>1999</v>
      </c>
      <c r="D164" s="464" t="s">
        <v>2000</v>
      </c>
      <c r="E164" s="465" t="s">
        <v>75</v>
      </c>
      <c r="F164" s="464" t="s">
        <v>1602</v>
      </c>
      <c r="G164" s="465" t="s">
        <v>20</v>
      </c>
      <c r="H164" s="465">
        <v>201612</v>
      </c>
      <c r="I164" s="480">
        <v>-60.89</v>
      </c>
      <c r="J164" s="464">
        <v>0</v>
      </c>
      <c r="K164" s="472">
        <v>2.23333E-3</v>
      </c>
      <c r="L164" s="469">
        <f t="shared" si="4"/>
        <v>0</v>
      </c>
      <c r="M164" s="469">
        <f t="shared" si="5"/>
        <v>-1.63</v>
      </c>
      <c r="N164" s="470"/>
    </row>
    <row r="165" spans="1:14">
      <c r="A165" s="464" t="s">
        <v>14</v>
      </c>
      <c r="B165" s="465" t="s">
        <v>1681</v>
      </c>
      <c r="C165" s="465" t="s">
        <v>1999</v>
      </c>
      <c r="D165" s="464" t="s">
        <v>2000</v>
      </c>
      <c r="E165" s="465" t="s">
        <v>75</v>
      </c>
      <c r="F165" s="464" t="s">
        <v>1602</v>
      </c>
      <c r="G165" s="465" t="s">
        <v>20</v>
      </c>
      <c r="H165" s="465">
        <v>201612</v>
      </c>
      <c r="I165" s="480">
        <v>-1861.63</v>
      </c>
      <c r="J165" s="464">
        <v>0</v>
      </c>
      <c r="K165" s="468">
        <v>2.23333E-3</v>
      </c>
      <c r="L165" s="469">
        <f t="shared" si="4"/>
        <v>0</v>
      </c>
      <c r="M165" s="469">
        <f t="shared" si="5"/>
        <v>-49.89</v>
      </c>
      <c r="N165" s="470"/>
    </row>
    <row r="166" spans="1:14">
      <c r="A166" s="464" t="s">
        <v>626</v>
      </c>
      <c r="B166" s="465" t="s">
        <v>1681</v>
      </c>
      <c r="C166" s="465" t="s">
        <v>2259</v>
      </c>
      <c r="D166" s="464" t="s">
        <v>2260</v>
      </c>
      <c r="E166" s="465" t="s">
        <v>209</v>
      </c>
      <c r="F166" s="464" t="s">
        <v>1612</v>
      </c>
      <c r="G166" s="465" t="s">
        <v>20</v>
      </c>
      <c r="H166" s="465">
        <v>201612</v>
      </c>
      <c r="I166" s="480">
        <v>5.09</v>
      </c>
      <c r="J166" s="464">
        <v>0</v>
      </c>
      <c r="K166" s="472">
        <v>1.4833299999999999E-3</v>
      </c>
      <c r="L166" s="469">
        <f t="shared" si="4"/>
        <v>0</v>
      </c>
      <c r="M166" s="469">
        <f t="shared" si="5"/>
        <v>0.09</v>
      </c>
      <c r="N166" s="470"/>
    </row>
    <row r="167" spans="1:14">
      <c r="A167" s="464" t="s">
        <v>626</v>
      </c>
      <c r="B167" s="465" t="s">
        <v>1681</v>
      </c>
      <c r="C167" s="465" t="s">
        <v>2311</v>
      </c>
      <c r="D167" s="464" t="s">
        <v>2312</v>
      </c>
      <c r="E167" s="465" t="s">
        <v>209</v>
      </c>
      <c r="F167" s="464" t="s">
        <v>1612</v>
      </c>
      <c r="G167" s="465" t="s">
        <v>20</v>
      </c>
      <c r="H167" s="465">
        <v>201612</v>
      </c>
      <c r="I167" s="480">
        <v>10.09</v>
      </c>
      <c r="J167" s="464">
        <v>0</v>
      </c>
      <c r="K167" s="472">
        <v>1.4833299999999999E-3</v>
      </c>
      <c r="L167" s="469">
        <f t="shared" si="4"/>
        <v>0</v>
      </c>
      <c r="M167" s="469">
        <f t="shared" si="5"/>
        <v>0.18</v>
      </c>
      <c r="N167" s="470"/>
    </row>
    <row r="168" spans="1:14">
      <c r="A168" s="464" t="s">
        <v>14</v>
      </c>
      <c r="B168" s="465" t="s">
        <v>1681</v>
      </c>
      <c r="C168" s="465" t="s">
        <v>2311</v>
      </c>
      <c r="D168" s="464" t="s">
        <v>2312</v>
      </c>
      <c r="E168" s="465" t="s">
        <v>209</v>
      </c>
      <c r="F168" s="464" t="s">
        <v>1612</v>
      </c>
      <c r="G168" s="465" t="s">
        <v>20</v>
      </c>
      <c r="H168" s="465">
        <v>201612</v>
      </c>
      <c r="I168" s="480">
        <v>0.2</v>
      </c>
      <c r="J168" s="464">
        <v>0</v>
      </c>
      <c r="K168" s="468">
        <v>2.23333E-3</v>
      </c>
      <c r="L168" s="469">
        <f t="shared" si="4"/>
        <v>0</v>
      </c>
      <c r="M168" s="469">
        <f t="shared" si="5"/>
        <v>0.01</v>
      </c>
      <c r="N168" s="470"/>
    </row>
    <row r="169" spans="1:14">
      <c r="A169" s="464" t="s">
        <v>626</v>
      </c>
      <c r="B169" s="465" t="s">
        <v>1681</v>
      </c>
      <c r="C169" s="465" t="s">
        <v>2313</v>
      </c>
      <c r="D169" s="464" t="s">
        <v>2314</v>
      </c>
      <c r="E169" s="465" t="s">
        <v>260</v>
      </c>
      <c r="F169" s="464" t="s">
        <v>1608</v>
      </c>
      <c r="G169" s="465" t="s">
        <v>20</v>
      </c>
      <c r="H169" s="465">
        <v>201612</v>
      </c>
      <c r="I169" s="480">
        <v>133.21</v>
      </c>
      <c r="J169" s="464">
        <v>0</v>
      </c>
      <c r="K169" s="472">
        <v>1.4833299999999999E-3</v>
      </c>
      <c r="L169" s="469">
        <f t="shared" si="4"/>
        <v>0</v>
      </c>
      <c r="M169" s="469">
        <f t="shared" si="5"/>
        <v>2.37</v>
      </c>
      <c r="N169" s="470"/>
    </row>
    <row r="170" spans="1:14">
      <c r="A170" s="464" t="s">
        <v>21</v>
      </c>
      <c r="B170" s="465" t="s">
        <v>1681</v>
      </c>
      <c r="C170" s="465" t="s">
        <v>2315</v>
      </c>
      <c r="D170" s="464" t="s">
        <v>2316</v>
      </c>
      <c r="E170" s="465" t="s">
        <v>164</v>
      </c>
      <c r="F170" s="464" t="s">
        <v>1600</v>
      </c>
      <c r="G170" s="465" t="s">
        <v>20</v>
      </c>
      <c r="H170" s="465">
        <v>201612</v>
      </c>
      <c r="I170" s="480">
        <v>-0.01</v>
      </c>
      <c r="J170" s="464">
        <v>0</v>
      </c>
      <c r="K170" s="472">
        <v>1.4833299999999999E-3</v>
      </c>
      <c r="L170" s="469">
        <f t="shared" si="4"/>
        <v>0</v>
      </c>
      <c r="M170" s="469">
        <f t="shared" si="5"/>
        <v>0</v>
      </c>
      <c r="N170" s="470"/>
    </row>
    <row r="171" spans="1:14">
      <c r="A171" s="464" t="s">
        <v>626</v>
      </c>
      <c r="B171" s="465" t="s">
        <v>1681</v>
      </c>
      <c r="C171" s="465" t="s">
        <v>2315</v>
      </c>
      <c r="D171" s="464" t="s">
        <v>2316</v>
      </c>
      <c r="E171" s="465" t="s">
        <v>164</v>
      </c>
      <c r="F171" s="464" t="s">
        <v>1600</v>
      </c>
      <c r="G171" s="465" t="s">
        <v>20</v>
      </c>
      <c r="H171" s="465">
        <v>201612</v>
      </c>
      <c r="I171" s="480">
        <v>-13.77</v>
      </c>
      <c r="J171" s="464">
        <v>0</v>
      </c>
      <c r="K171" s="472">
        <v>1.4833299999999999E-3</v>
      </c>
      <c r="L171" s="469">
        <f t="shared" si="4"/>
        <v>0</v>
      </c>
      <c r="M171" s="469">
        <f t="shared" si="5"/>
        <v>-0.25</v>
      </c>
      <c r="N171" s="470"/>
    </row>
    <row r="172" spans="1:14">
      <c r="A172" s="464" t="s">
        <v>14</v>
      </c>
      <c r="B172" s="465" t="s">
        <v>1681</v>
      </c>
      <c r="C172" s="465" t="s">
        <v>2315</v>
      </c>
      <c r="D172" s="464" t="s">
        <v>2316</v>
      </c>
      <c r="E172" s="465" t="s">
        <v>164</v>
      </c>
      <c r="F172" s="464" t="s">
        <v>1600</v>
      </c>
      <c r="G172" s="465" t="s">
        <v>20</v>
      </c>
      <c r="H172" s="465">
        <v>201612</v>
      </c>
      <c r="I172" s="480">
        <v>-5.89</v>
      </c>
      <c r="J172" s="464">
        <v>0</v>
      </c>
      <c r="K172" s="468">
        <v>2.23333E-3</v>
      </c>
      <c r="L172" s="469">
        <f t="shared" si="4"/>
        <v>0</v>
      </c>
      <c r="M172" s="469">
        <f t="shared" si="5"/>
        <v>-0.16</v>
      </c>
      <c r="N172" s="470"/>
    </row>
    <row r="173" spans="1:14">
      <c r="A173" s="464" t="s">
        <v>626</v>
      </c>
      <c r="B173" s="465" t="s">
        <v>1681</v>
      </c>
      <c r="C173" s="465" t="s">
        <v>2334</v>
      </c>
      <c r="D173" s="464" t="s">
        <v>2335</v>
      </c>
      <c r="E173" s="465" t="s">
        <v>164</v>
      </c>
      <c r="F173" s="464" t="s">
        <v>1600</v>
      </c>
      <c r="G173" s="465" t="s">
        <v>20</v>
      </c>
      <c r="H173" s="465">
        <v>201612</v>
      </c>
      <c r="I173" s="480">
        <v>1529.02</v>
      </c>
      <c r="J173" s="464">
        <v>0</v>
      </c>
      <c r="K173" s="472">
        <v>1.4833299999999999E-3</v>
      </c>
      <c r="L173" s="469">
        <f t="shared" si="4"/>
        <v>0</v>
      </c>
      <c r="M173" s="469">
        <f t="shared" si="5"/>
        <v>27.22</v>
      </c>
      <c r="N173" s="470"/>
    </row>
    <row r="174" spans="1:14">
      <c r="A174" s="464" t="s">
        <v>626</v>
      </c>
      <c r="B174" s="465" t="s">
        <v>1681</v>
      </c>
      <c r="C174" s="465" t="s">
        <v>2336</v>
      </c>
      <c r="D174" s="464" t="s">
        <v>2337</v>
      </c>
      <c r="E174" s="465" t="s">
        <v>164</v>
      </c>
      <c r="F174" s="464" t="s">
        <v>1600</v>
      </c>
      <c r="G174" s="465" t="s">
        <v>20</v>
      </c>
      <c r="H174" s="465">
        <v>201612</v>
      </c>
      <c r="I174" s="480">
        <v>9142.4699999999993</v>
      </c>
      <c r="J174" s="464">
        <v>0</v>
      </c>
      <c r="K174" s="472">
        <v>1.4833299999999999E-3</v>
      </c>
      <c r="L174" s="469">
        <f t="shared" si="4"/>
        <v>0</v>
      </c>
      <c r="M174" s="469">
        <f t="shared" si="5"/>
        <v>162.74</v>
      </c>
      <c r="N174" s="470"/>
    </row>
    <row r="175" spans="1:14">
      <c r="A175" s="464" t="s">
        <v>14</v>
      </c>
      <c r="B175" s="465" t="s">
        <v>1681</v>
      </c>
      <c r="C175" s="465" t="s">
        <v>2336</v>
      </c>
      <c r="D175" s="464" t="s">
        <v>2337</v>
      </c>
      <c r="E175" s="465" t="s">
        <v>164</v>
      </c>
      <c r="F175" s="464" t="s">
        <v>1600</v>
      </c>
      <c r="G175" s="465" t="s">
        <v>20</v>
      </c>
      <c r="H175" s="465">
        <v>201612</v>
      </c>
      <c r="I175" s="480">
        <v>37.880000000000003</v>
      </c>
      <c r="J175" s="464">
        <v>0</v>
      </c>
      <c r="K175" s="468">
        <v>2.23333E-3</v>
      </c>
      <c r="L175" s="469">
        <f t="shared" si="4"/>
        <v>0</v>
      </c>
      <c r="M175" s="469">
        <f t="shared" si="5"/>
        <v>1.02</v>
      </c>
      <c r="N175" s="470"/>
    </row>
    <row r="176" spans="1:14">
      <c r="A176" s="464" t="s">
        <v>626</v>
      </c>
      <c r="B176" s="465" t="s">
        <v>1681</v>
      </c>
      <c r="C176" s="465" t="s">
        <v>2338</v>
      </c>
      <c r="D176" s="464" t="s">
        <v>2339</v>
      </c>
      <c r="E176" s="465" t="s">
        <v>164</v>
      </c>
      <c r="F176" s="464" t="s">
        <v>1600</v>
      </c>
      <c r="G176" s="465" t="s">
        <v>20</v>
      </c>
      <c r="H176" s="465">
        <v>201612</v>
      </c>
      <c r="I176" s="480">
        <v>687.79</v>
      </c>
      <c r="J176" s="464">
        <v>0</v>
      </c>
      <c r="K176" s="472">
        <v>1.4833299999999999E-3</v>
      </c>
      <c r="L176" s="469">
        <f t="shared" si="4"/>
        <v>0</v>
      </c>
      <c r="M176" s="469">
        <f t="shared" si="5"/>
        <v>12.24</v>
      </c>
      <c r="N176" s="470"/>
    </row>
    <row r="177" spans="1:14">
      <c r="A177" s="464" t="s">
        <v>14</v>
      </c>
      <c r="B177" s="465" t="s">
        <v>1681</v>
      </c>
      <c r="C177" s="465" t="s">
        <v>2338</v>
      </c>
      <c r="D177" s="464" t="s">
        <v>2339</v>
      </c>
      <c r="E177" s="465" t="s">
        <v>164</v>
      </c>
      <c r="F177" s="464" t="s">
        <v>1600</v>
      </c>
      <c r="G177" s="465" t="s">
        <v>20</v>
      </c>
      <c r="H177" s="465">
        <v>201612</v>
      </c>
      <c r="I177" s="480">
        <v>5.14</v>
      </c>
      <c r="J177" s="464">
        <v>0</v>
      </c>
      <c r="K177" s="468">
        <v>2.23333E-3</v>
      </c>
      <c r="L177" s="469">
        <f t="shared" si="4"/>
        <v>0</v>
      </c>
      <c r="M177" s="469">
        <f t="shared" si="5"/>
        <v>0.14000000000000001</v>
      </c>
      <c r="N177" s="470"/>
    </row>
    <row r="178" spans="1:14">
      <c r="A178" s="464" t="s">
        <v>626</v>
      </c>
      <c r="B178" s="465" t="s">
        <v>1681</v>
      </c>
      <c r="C178" s="465" t="s">
        <v>2340</v>
      </c>
      <c r="D178" s="464" t="s">
        <v>2341</v>
      </c>
      <c r="E178" s="465" t="s">
        <v>260</v>
      </c>
      <c r="F178" s="464" t="s">
        <v>1608</v>
      </c>
      <c r="G178" s="465" t="s">
        <v>20</v>
      </c>
      <c r="H178" s="465">
        <v>201612</v>
      </c>
      <c r="I178" s="480">
        <v>10.210000000000001</v>
      </c>
      <c r="J178" s="464">
        <v>0</v>
      </c>
      <c r="K178" s="472">
        <v>1.4833299999999999E-3</v>
      </c>
      <c r="L178" s="469">
        <f t="shared" si="4"/>
        <v>0</v>
      </c>
      <c r="M178" s="469">
        <f t="shared" si="5"/>
        <v>0.18</v>
      </c>
      <c r="N178" s="470"/>
    </row>
    <row r="179" spans="1:14">
      <c r="A179" s="464" t="s">
        <v>14</v>
      </c>
      <c r="B179" s="465" t="s">
        <v>1681</v>
      </c>
      <c r="C179" s="465" t="s">
        <v>2340</v>
      </c>
      <c r="D179" s="464" t="s">
        <v>2341</v>
      </c>
      <c r="E179" s="465" t="s">
        <v>260</v>
      </c>
      <c r="F179" s="464" t="s">
        <v>1608</v>
      </c>
      <c r="G179" s="465" t="s">
        <v>20</v>
      </c>
      <c r="H179" s="465">
        <v>201612</v>
      </c>
      <c r="I179" s="480">
        <v>0.14000000000000001</v>
      </c>
      <c r="J179" s="464">
        <v>0</v>
      </c>
      <c r="K179" s="468">
        <v>2.23333E-3</v>
      </c>
      <c r="L179" s="469">
        <f t="shared" si="4"/>
        <v>0</v>
      </c>
      <c r="M179" s="469">
        <f t="shared" si="5"/>
        <v>0</v>
      </c>
      <c r="N179" s="470"/>
    </row>
    <row r="180" spans="1:14">
      <c r="A180" s="464" t="s">
        <v>626</v>
      </c>
      <c r="B180" s="465" t="s">
        <v>1681</v>
      </c>
      <c r="C180" s="465" t="s">
        <v>2342</v>
      </c>
      <c r="D180" s="464" t="s">
        <v>2343</v>
      </c>
      <c r="E180" s="465" t="s">
        <v>75</v>
      </c>
      <c r="F180" s="464" t="s">
        <v>1602</v>
      </c>
      <c r="G180" s="465" t="s">
        <v>20</v>
      </c>
      <c r="H180" s="465">
        <v>201612</v>
      </c>
      <c r="I180" s="480">
        <v>1943.6</v>
      </c>
      <c r="J180" s="464">
        <v>0</v>
      </c>
      <c r="K180" s="472">
        <v>1.4833299999999999E-3</v>
      </c>
      <c r="L180" s="469">
        <f t="shared" si="4"/>
        <v>0</v>
      </c>
      <c r="M180" s="469">
        <f t="shared" si="5"/>
        <v>34.6</v>
      </c>
      <c r="N180" s="470"/>
    </row>
    <row r="181" spans="1:14">
      <c r="A181" s="464" t="s">
        <v>14</v>
      </c>
      <c r="B181" s="465" t="s">
        <v>1681</v>
      </c>
      <c r="C181" s="465" t="s">
        <v>2342</v>
      </c>
      <c r="D181" s="464" t="s">
        <v>2343</v>
      </c>
      <c r="E181" s="465" t="s">
        <v>75</v>
      </c>
      <c r="F181" s="464" t="s">
        <v>1602</v>
      </c>
      <c r="G181" s="465" t="s">
        <v>20</v>
      </c>
      <c r="H181" s="465">
        <v>201612</v>
      </c>
      <c r="I181" s="480">
        <v>7.0000000000000007E-2</v>
      </c>
      <c r="J181" s="464">
        <v>0</v>
      </c>
      <c r="K181" s="468">
        <v>2.23333E-3</v>
      </c>
      <c r="L181" s="469">
        <f t="shared" si="4"/>
        <v>0</v>
      </c>
      <c r="M181" s="469">
        <f t="shared" si="5"/>
        <v>0</v>
      </c>
      <c r="N181" s="470"/>
    </row>
    <row r="182" spans="1:14">
      <c r="A182" s="464" t="s">
        <v>626</v>
      </c>
      <c r="B182" s="465" t="s">
        <v>1681</v>
      </c>
      <c r="C182" s="465" t="s">
        <v>2344</v>
      </c>
      <c r="D182" s="464" t="s">
        <v>2345</v>
      </c>
      <c r="E182" s="465" t="s">
        <v>75</v>
      </c>
      <c r="F182" s="464" t="s">
        <v>1602</v>
      </c>
      <c r="G182" s="465" t="s">
        <v>20</v>
      </c>
      <c r="H182" s="465">
        <v>201612</v>
      </c>
      <c r="I182" s="480">
        <v>4788.9799999999996</v>
      </c>
      <c r="J182" s="464">
        <v>0</v>
      </c>
      <c r="K182" s="472">
        <v>1.4833299999999999E-3</v>
      </c>
      <c r="L182" s="469">
        <f t="shared" si="4"/>
        <v>0</v>
      </c>
      <c r="M182" s="469">
        <f t="shared" si="5"/>
        <v>85.24</v>
      </c>
      <c r="N182" s="470"/>
    </row>
    <row r="183" spans="1:14">
      <c r="A183" s="464" t="s">
        <v>14</v>
      </c>
      <c r="B183" s="465" t="s">
        <v>1681</v>
      </c>
      <c r="C183" s="465" t="s">
        <v>2344</v>
      </c>
      <c r="D183" s="464" t="s">
        <v>2345</v>
      </c>
      <c r="E183" s="465" t="s">
        <v>75</v>
      </c>
      <c r="F183" s="464" t="s">
        <v>1602</v>
      </c>
      <c r="G183" s="465" t="s">
        <v>20</v>
      </c>
      <c r="H183" s="465">
        <v>201612</v>
      </c>
      <c r="I183" s="480">
        <v>1.1200000000000001</v>
      </c>
      <c r="J183" s="464">
        <v>0</v>
      </c>
      <c r="K183" s="468">
        <v>2.23333E-3</v>
      </c>
      <c r="L183" s="469">
        <f t="shared" si="4"/>
        <v>0</v>
      </c>
      <c r="M183" s="469">
        <f t="shared" si="5"/>
        <v>0.03</v>
      </c>
      <c r="N183" s="470"/>
    </row>
    <row r="184" spans="1:14">
      <c r="A184" s="464" t="s">
        <v>626</v>
      </c>
      <c r="B184" s="465" t="s">
        <v>1681</v>
      </c>
      <c r="C184" s="465" t="s">
        <v>2346</v>
      </c>
      <c r="D184" s="464" t="s">
        <v>2347</v>
      </c>
      <c r="E184" s="465" t="s">
        <v>75</v>
      </c>
      <c r="F184" s="464" t="s">
        <v>1602</v>
      </c>
      <c r="G184" s="465" t="s">
        <v>20</v>
      </c>
      <c r="H184" s="465">
        <v>201612</v>
      </c>
      <c r="I184" s="480">
        <v>-520.87</v>
      </c>
      <c r="J184" s="464">
        <v>0</v>
      </c>
      <c r="K184" s="472">
        <v>1.4833299999999999E-3</v>
      </c>
      <c r="L184" s="469">
        <f t="shared" si="4"/>
        <v>0</v>
      </c>
      <c r="M184" s="469">
        <f t="shared" si="5"/>
        <v>-9.27</v>
      </c>
      <c r="N184" s="470"/>
    </row>
    <row r="185" spans="1:14">
      <c r="A185" s="464" t="s">
        <v>626</v>
      </c>
      <c r="B185" s="465" t="s">
        <v>1681</v>
      </c>
      <c r="C185" s="465" t="s">
        <v>2348</v>
      </c>
      <c r="D185" s="464" t="s">
        <v>2349</v>
      </c>
      <c r="E185" s="465" t="s">
        <v>75</v>
      </c>
      <c r="F185" s="464" t="s">
        <v>1602</v>
      </c>
      <c r="G185" s="465" t="s">
        <v>20</v>
      </c>
      <c r="H185" s="465">
        <v>201612</v>
      </c>
      <c r="I185" s="480">
        <v>5751.91</v>
      </c>
      <c r="J185" s="464">
        <v>0</v>
      </c>
      <c r="K185" s="472">
        <v>1.4833299999999999E-3</v>
      </c>
      <c r="L185" s="469">
        <f t="shared" si="4"/>
        <v>0</v>
      </c>
      <c r="M185" s="469">
        <f t="shared" si="5"/>
        <v>102.38</v>
      </c>
      <c r="N185" s="470"/>
    </row>
    <row r="186" spans="1:14">
      <c r="A186" s="464" t="s">
        <v>14</v>
      </c>
      <c r="B186" s="465" t="s">
        <v>1681</v>
      </c>
      <c r="C186" s="465" t="s">
        <v>2348</v>
      </c>
      <c r="D186" s="464" t="s">
        <v>2349</v>
      </c>
      <c r="E186" s="465" t="s">
        <v>75</v>
      </c>
      <c r="F186" s="464" t="s">
        <v>1602</v>
      </c>
      <c r="G186" s="465" t="s">
        <v>20</v>
      </c>
      <c r="H186" s="465">
        <v>201612</v>
      </c>
      <c r="I186" s="480">
        <v>2.2599999999999998</v>
      </c>
      <c r="J186" s="464">
        <v>0</v>
      </c>
      <c r="K186" s="468">
        <v>2.23333E-3</v>
      </c>
      <c r="L186" s="469">
        <f t="shared" si="4"/>
        <v>0</v>
      </c>
      <c r="M186" s="469">
        <f t="shared" si="5"/>
        <v>0.06</v>
      </c>
      <c r="N186" s="470"/>
    </row>
    <row r="187" spans="1:14">
      <c r="A187" s="464" t="s">
        <v>626</v>
      </c>
      <c r="B187" s="465" t="s">
        <v>1681</v>
      </c>
      <c r="C187" s="465" t="s">
        <v>2350</v>
      </c>
      <c r="D187" s="464" t="s">
        <v>2351</v>
      </c>
      <c r="E187" s="465" t="s">
        <v>75</v>
      </c>
      <c r="F187" s="464" t="s">
        <v>1602</v>
      </c>
      <c r="G187" s="465" t="s">
        <v>20</v>
      </c>
      <c r="H187" s="465">
        <v>201612</v>
      </c>
      <c r="I187" s="480">
        <v>22859.34</v>
      </c>
      <c r="J187" s="464">
        <v>0</v>
      </c>
      <c r="K187" s="472">
        <v>1.4833299999999999E-3</v>
      </c>
      <c r="L187" s="469">
        <f t="shared" si="4"/>
        <v>0</v>
      </c>
      <c r="M187" s="469">
        <f t="shared" si="5"/>
        <v>406.9</v>
      </c>
      <c r="N187" s="470"/>
    </row>
    <row r="188" spans="1:14">
      <c r="A188" s="464" t="s">
        <v>626</v>
      </c>
      <c r="B188" s="465" t="s">
        <v>1681</v>
      </c>
      <c r="C188" s="465" t="s">
        <v>2352</v>
      </c>
      <c r="D188" s="464" t="s">
        <v>2353</v>
      </c>
      <c r="E188" s="465" t="s">
        <v>75</v>
      </c>
      <c r="F188" s="464" t="s">
        <v>1602</v>
      </c>
      <c r="G188" s="465" t="s">
        <v>20</v>
      </c>
      <c r="H188" s="465">
        <v>201612</v>
      </c>
      <c r="I188" s="480">
        <v>12721.13</v>
      </c>
      <c r="J188" s="464">
        <v>0</v>
      </c>
      <c r="K188" s="472">
        <v>1.4833299999999999E-3</v>
      </c>
      <c r="L188" s="469">
        <f t="shared" si="4"/>
        <v>0</v>
      </c>
      <c r="M188" s="469">
        <f t="shared" si="5"/>
        <v>226.44</v>
      </c>
      <c r="N188" s="470"/>
    </row>
    <row r="189" spans="1:14">
      <c r="A189" s="464" t="s">
        <v>14</v>
      </c>
      <c r="B189" s="465" t="s">
        <v>1681</v>
      </c>
      <c r="C189" s="465" t="s">
        <v>2352</v>
      </c>
      <c r="D189" s="464" t="s">
        <v>2353</v>
      </c>
      <c r="E189" s="465" t="s">
        <v>75</v>
      </c>
      <c r="F189" s="464" t="s">
        <v>1602</v>
      </c>
      <c r="G189" s="465" t="s">
        <v>20</v>
      </c>
      <c r="H189" s="465">
        <v>201612</v>
      </c>
      <c r="I189" s="480">
        <v>20.71</v>
      </c>
      <c r="J189" s="464">
        <v>0</v>
      </c>
      <c r="K189" s="468">
        <v>2.23333E-3</v>
      </c>
      <c r="L189" s="469">
        <f t="shared" si="4"/>
        <v>0</v>
      </c>
      <c r="M189" s="469">
        <f t="shared" si="5"/>
        <v>0.56000000000000005</v>
      </c>
      <c r="N189" s="470"/>
    </row>
    <row r="190" spans="1:14">
      <c r="A190" s="464" t="s">
        <v>626</v>
      </c>
      <c r="B190" s="465" t="s">
        <v>1681</v>
      </c>
      <c r="C190" s="465" t="s">
        <v>2354</v>
      </c>
      <c r="D190" s="464" t="s">
        <v>2355</v>
      </c>
      <c r="E190" s="465" t="s">
        <v>164</v>
      </c>
      <c r="F190" s="464" t="s">
        <v>1600</v>
      </c>
      <c r="G190" s="465" t="s">
        <v>20</v>
      </c>
      <c r="H190" s="465">
        <v>201612</v>
      </c>
      <c r="I190" s="480">
        <v>333.5</v>
      </c>
      <c r="J190" s="464">
        <v>0</v>
      </c>
      <c r="K190" s="472">
        <v>1.4833299999999999E-3</v>
      </c>
      <c r="L190" s="469">
        <f t="shared" si="4"/>
        <v>0</v>
      </c>
      <c r="M190" s="469">
        <f t="shared" si="5"/>
        <v>5.94</v>
      </c>
      <c r="N190" s="470"/>
    </row>
    <row r="191" spans="1:14">
      <c r="A191" s="464" t="s">
        <v>626</v>
      </c>
      <c r="B191" s="465" t="s">
        <v>1681</v>
      </c>
      <c r="C191" s="465" t="s">
        <v>2358</v>
      </c>
      <c r="D191" s="464" t="s">
        <v>2359</v>
      </c>
      <c r="E191" s="465" t="s">
        <v>75</v>
      </c>
      <c r="F191" s="464" t="s">
        <v>1602</v>
      </c>
      <c r="G191" s="465" t="s">
        <v>20</v>
      </c>
      <c r="H191" s="465">
        <v>201612</v>
      </c>
      <c r="I191" s="480">
        <v>1925.7</v>
      </c>
      <c r="J191" s="464">
        <v>0</v>
      </c>
      <c r="K191" s="472">
        <v>1.4833299999999999E-3</v>
      </c>
      <c r="L191" s="469">
        <f t="shared" si="4"/>
        <v>0</v>
      </c>
      <c r="M191" s="469">
        <f t="shared" si="5"/>
        <v>34.28</v>
      </c>
      <c r="N191" s="470"/>
    </row>
    <row r="192" spans="1:14">
      <c r="A192" s="464" t="s">
        <v>14</v>
      </c>
      <c r="B192" s="465" t="s">
        <v>1681</v>
      </c>
      <c r="C192" s="465" t="s">
        <v>2358</v>
      </c>
      <c r="D192" s="464" t="s">
        <v>2359</v>
      </c>
      <c r="E192" s="465" t="s">
        <v>75</v>
      </c>
      <c r="F192" s="464" t="s">
        <v>1602</v>
      </c>
      <c r="G192" s="465" t="s">
        <v>20</v>
      </c>
      <c r="H192" s="465">
        <v>201612</v>
      </c>
      <c r="I192" s="480">
        <v>21.7</v>
      </c>
      <c r="J192" s="464">
        <v>0</v>
      </c>
      <c r="K192" s="468">
        <v>2.23333E-3</v>
      </c>
      <c r="L192" s="469">
        <f t="shared" si="4"/>
        <v>0</v>
      </c>
      <c r="M192" s="469">
        <f t="shared" si="5"/>
        <v>0.57999999999999996</v>
      </c>
      <c r="N192" s="470"/>
    </row>
    <row r="193" spans="1:14">
      <c r="A193" s="464" t="s">
        <v>626</v>
      </c>
      <c r="B193" s="465" t="s">
        <v>1681</v>
      </c>
      <c r="C193" s="465" t="s">
        <v>2360</v>
      </c>
      <c r="D193" s="464" t="s">
        <v>2361</v>
      </c>
      <c r="E193" s="465" t="s">
        <v>75</v>
      </c>
      <c r="F193" s="464" t="s">
        <v>1602</v>
      </c>
      <c r="G193" s="465" t="s">
        <v>20</v>
      </c>
      <c r="H193" s="465">
        <v>201612</v>
      </c>
      <c r="I193" s="480">
        <v>1129.0899999999999</v>
      </c>
      <c r="J193" s="464">
        <v>0</v>
      </c>
      <c r="K193" s="472">
        <v>1.4833299999999999E-3</v>
      </c>
      <c r="L193" s="469">
        <f t="shared" si="4"/>
        <v>0</v>
      </c>
      <c r="M193" s="469">
        <f t="shared" si="5"/>
        <v>20.100000000000001</v>
      </c>
      <c r="N193" s="470"/>
    </row>
    <row r="194" spans="1:14">
      <c r="A194" s="464" t="s">
        <v>14</v>
      </c>
      <c r="B194" s="465" t="s">
        <v>1681</v>
      </c>
      <c r="C194" s="465" t="s">
        <v>2360</v>
      </c>
      <c r="D194" s="464" t="s">
        <v>2361</v>
      </c>
      <c r="E194" s="465" t="s">
        <v>75</v>
      </c>
      <c r="F194" s="464" t="s">
        <v>1602</v>
      </c>
      <c r="G194" s="465" t="s">
        <v>20</v>
      </c>
      <c r="H194" s="465">
        <v>201612</v>
      </c>
      <c r="I194" s="480">
        <v>14.72</v>
      </c>
      <c r="J194" s="464">
        <v>0</v>
      </c>
      <c r="K194" s="468">
        <v>2.23333E-3</v>
      </c>
      <c r="L194" s="469">
        <f t="shared" ref="L194:L257" si="6">ROUND(I194*J194*K194,2)</f>
        <v>0</v>
      </c>
      <c r="M194" s="469">
        <f t="shared" ref="M194:M257" si="7">ROUND(I194*K194*12,2)</f>
        <v>0.39</v>
      </c>
      <c r="N194" s="470"/>
    </row>
    <row r="195" spans="1:14">
      <c r="A195" s="464" t="s">
        <v>626</v>
      </c>
      <c r="B195" s="465" t="s">
        <v>1681</v>
      </c>
      <c r="C195" s="465" t="s">
        <v>2362</v>
      </c>
      <c r="D195" s="464" t="s">
        <v>2363</v>
      </c>
      <c r="E195" s="465" t="s">
        <v>75</v>
      </c>
      <c r="F195" s="464" t="s">
        <v>1602</v>
      </c>
      <c r="G195" s="465" t="s">
        <v>20</v>
      </c>
      <c r="H195" s="465">
        <v>201612</v>
      </c>
      <c r="I195" s="480">
        <v>526.04999999999995</v>
      </c>
      <c r="J195" s="464">
        <v>0</v>
      </c>
      <c r="K195" s="472">
        <v>1.4833299999999999E-3</v>
      </c>
      <c r="L195" s="469">
        <f t="shared" si="6"/>
        <v>0</v>
      </c>
      <c r="M195" s="469">
        <f t="shared" si="7"/>
        <v>9.36</v>
      </c>
      <c r="N195" s="470"/>
    </row>
    <row r="196" spans="1:14">
      <c r="A196" s="464" t="s">
        <v>14</v>
      </c>
      <c r="B196" s="465" t="s">
        <v>1681</v>
      </c>
      <c r="C196" s="465" t="s">
        <v>2362</v>
      </c>
      <c r="D196" s="464" t="s">
        <v>2363</v>
      </c>
      <c r="E196" s="465" t="s">
        <v>75</v>
      </c>
      <c r="F196" s="464" t="s">
        <v>1602</v>
      </c>
      <c r="G196" s="465" t="s">
        <v>20</v>
      </c>
      <c r="H196" s="465">
        <v>201612</v>
      </c>
      <c r="I196" s="480">
        <v>9.01</v>
      </c>
      <c r="J196" s="464">
        <v>0</v>
      </c>
      <c r="K196" s="468">
        <v>2.23333E-3</v>
      </c>
      <c r="L196" s="469">
        <f t="shared" si="6"/>
        <v>0</v>
      </c>
      <c r="M196" s="469">
        <f t="shared" si="7"/>
        <v>0.24</v>
      </c>
      <c r="N196" s="470"/>
    </row>
    <row r="197" spans="1:14">
      <c r="A197" s="464" t="s">
        <v>626</v>
      </c>
      <c r="B197" s="465" t="s">
        <v>1681</v>
      </c>
      <c r="C197" s="465" t="s">
        <v>2364</v>
      </c>
      <c r="D197" s="464" t="s">
        <v>2365</v>
      </c>
      <c r="E197" s="465" t="s">
        <v>75</v>
      </c>
      <c r="F197" s="464" t="s">
        <v>1602</v>
      </c>
      <c r="G197" s="465" t="s">
        <v>20</v>
      </c>
      <c r="H197" s="465">
        <v>201612</v>
      </c>
      <c r="I197" s="480">
        <v>1112.7</v>
      </c>
      <c r="J197" s="464">
        <v>0</v>
      </c>
      <c r="K197" s="472">
        <v>1.4833299999999999E-3</v>
      </c>
      <c r="L197" s="469">
        <f t="shared" si="6"/>
        <v>0</v>
      </c>
      <c r="M197" s="469">
        <f t="shared" si="7"/>
        <v>19.809999999999999</v>
      </c>
      <c r="N197" s="470"/>
    </row>
    <row r="198" spans="1:14">
      <c r="A198" s="464" t="s">
        <v>14</v>
      </c>
      <c r="B198" s="465" t="s">
        <v>1681</v>
      </c>
      <c r="C198" s="465" t="s">
        <v>2364</v>
      </c>
      <c r="D198" s="464" t="s">
        <v>2365</v>
      </c>
      <c r="E198" s="465" t="s">
        <v>75</v>
      </c>
      <c r="F198" s="464" t="s">
        <v>1602</v>
      </c>
      <c r="G198" s="465" t="s">
        <v>20</v>
      </c>
      <c r="H198" s="465">
        <v>201612</v>
      </c>
      <c r="I198" s="480">
        <v>11.43</v>
      </c>
      <c r="J198" s="464">
        <v>0</v>
      </c>
      <c r="K198" s="468">
        <v>2.23333E-3</v>
      </c>
      <c r="L198" s="469">
        <f t="shared" si="6"/>
        <v>0</v>
      </c>
      <c r="M198" s="469">
        <f t="shared" si="7"/>
        <v>0.31</v>
      </c>
      <c r="N198" s="470"/>
    </row>
    <row r="199" spans="1:14">
      <c r="A199" s="464" t="s">
        <v>21</v>
      </c>
      <c r="B199" s="465" t="s">
        <v>1681</v>
      </c>
      <c r="C199" s="465" t="s">
        <v>2366</v>
      </c>
      <c r="D199" s="464" t="s">
        <v>2367</v>
      </c>
      <c r="E199" s="465" t="s">
        <v>75</v>
      </c>
      <c r="F199" s="464" t="s">
        <v>1602</v>
      </c>
      <c r="G199" s="465" t="s">
        <v>20</v>
      </c>
      <c r="H199" s="465">
        <v>201612</v>
      </c>
      <c r="I199" s="480">
        <v>0.09</v>
      </c>
      <c r="J199" s="464">
        <v>0</v>
      </c>
      <c r="K199" s="472">
        <v>1.4833299999999999E-3</v>
      </c>
      <c r="L199" s="469">
        <f t="shared" si="6"/>
        <v>0</v>
      </c>
      <c r="M199" s="469">
        <f t="shared" si="7"/>
        <v>0</v>
      </c>
      <c r="N199" s="470"/>
    </row>
    <row r="200" spans="1:14">
      <c r="A200" s="464" t="s">
        <v>626</v>
      </c>
      <c r="B200" s="465" t="s">
        <v>1681</v>
      </c>
      <c r="C200" s="465" t="s">
        <v>2366</v>
      </c>
      <c r="D200" s="464" t="s">
        <v>2367</v>
      </c>
      <c r="E200" s="465" t="s">
        <v>75</v>
      </c>
      <c r="F200" s="464" t="s">
        <v>1602</v>
      </c>
      <c r="G200" s="465" t="s">
        <v>20</v>
      </c>
      <c r="H200" s="465">
        <v>201612</v>
      </c>
      <c r="I200" s="480">
        <v>640.67999999999995</v>
      </c>
      <c r="J200" s="464">
        <v>0</v>
      </c>
      <c r="K200" s="472">
        <v>1.4833299999999999E-3</v>
      </c>
      <c r="L200" s="469">
        <f t="shared" si="6"/>
        <v>0</v>
      </c>
      <c r="M200" s="469">
        <f t="shared" si="7"/>
        <v>11.4</v>
      </c>
      <c r="N200" s="470"/>
    </row>
    <row r="201" spans="1:14">
      <c r="A201" s="464" t="s">
        <v>14</v>
      </c>
      <c r="B201" s="465" t="s">
        <v>1681</v>
      </c>
      <c r="C201" s="465" t="s">
        <v>2366</v>
      </c>
      <c r="D201" s="464" t="s">
        <v>2367</v>
      </c>
      <c r="E201" s="465" t="s">
        <v>75</v>
      </c>
      <c r="F201" s="464" t="s">
        <v>1602</v>
      </c>
      <c r="G201" s="465" t="s">
        <v>20</v>
      </c>
      <c r="H201" s="465">
        <v>201612</v>
      </c>
      <c r="I201" s="480">
        <v>0.84</v>
      </c>
      <c r="J201" s="464">
        <v>0</v>
      </c>
      <c r="K201" s="468">
        <v>2.23333E-3</v>
      </c>
      <c r="L201" s="469">
        <f t="shared" si="6"/>
        <v>0</v>
      </c>
      <c r="M201" s="469">
        <f t="shared" si="7"/>
        <v>0.02</v>
      </c>
      <c r="N201" s="470"/>
    </row>
    <row r="202" spans="1:14">
      <c r="A202" s="464" t="s">
        <v>21</v>
      </c>
      <c r="B202" s="465" t="s">
        <v>1681</v>
      </c>
      <c r="C202" s="465" t="s">
        <v>2368</v>
      </c>
      <c r="D202" s="464" t="s">
        <v>2369</v>
      </c>
      <c r="E202" s="465" t="s">
        <v>75</v>
      </c>
      <c r="F202" s="464" t="s">
        <v>1602</v>
      </c>
      <c r="G202" s="465" t="s">
        <v>20</v>
      </c>
      <c r="H202" s="465">
        <v>201612</v>
      </c>
      <c r="I202" s="480">
        <v>0.09</v>
      </c>
      <c r="J202" s="464">
        <v>0</v>
      </c>
      <c r="K202" s="472">
        <v>1.4833299999999999E-3</v>
      </c>
      <c r="L202" s="469">
        <f t="shared" si="6"/>
        <v>0</v>
      </c>
      <c r="M202" s="469">
        <f t="shared" si="7"/>
        <v>0</v>
      </c>
      <c r="N202" s="470"/>
    </row>
    <row r="203" spans="1:14">
      <c r="A203" s="464" t="s">
        <v>626</v>
      </c>
      <c r="B203" s="465" t="s">
        <v>1681</v>
      </c>
      <c r="C203" s="465" t="s">
        <v>2368</v>
      </c>
      <c r="D203" s="464" t="s">
        <v>2369</v>
      </c>
      <c r="E203" s="465" t="s">
        <v>75</v>
      </c>
      <c r="F203" s="464" t="s">
        <v>1602</v>
      </c>
      <c r="G203" s="465" t="s">
        <v>20</v>
      </c>
      <c r="H203" s="465">
        <v>201612</v>
      </c>
      <c r="I203" s="480">
        <v>1080.8699999999999</v>
      </c>
      <c r="J203" s="464">
        <v>0</v>
      </c>
      <c r="K203" s="472">
        <v>1.4833299999999999E-3</v>
      </c>
      <c r="L203" s="469">
        <f t="shared" si="6"/>
        <v>0</v>
      </c>
      <c r="M203" s="469">
        <f t="shared" si="7"/>
        <v>19.239999999999998</v>
      </c>
      <c r="N203" s="470"/>
    </row>
    <row r="204" spans="1:14">
      <c r="A204" s="464" t="s">
        <v>14</v>
      </c>
      <c r="B204" s="465" t="s">
        <v>1681</v>
      </c>
      <c r="C204" s="465" t="s">
        <v>2368</v>
      </c>
      <c r="D204" s="464" t="s">
        <v>2369</v>
      </c>
      <c r="E204" s="465" t="s">
        <v>75</v>
      </c>
      <c r="F204" s="464" t="s">
        <v>1602</v>
      </c>
      <c r="G204" s="465" t="s">
        <v>20</v>
      </c>
      <c r="H204" s="465">
        <v>201612</v>
      </c>
      <c r="I204" s="480">
        <v>1.78</v>
      </c>
      <c r="J204" s="464">
        <v>0</v>
      </c>
      <c r="K204" s="468">
        <v>2.23333E-3</v>
      </c>
      <c r="L204" s="469">
        <f t="shared" si="6"/>
        <v>0</v>
      </c>
      <c r="M204" s="469">
        <f t="shared" si="7"/>
        <v>0.05</v>
      </c>
      <c r="N204" s="470"/>
    </row>
    <row r="205" spans="1:14">
      <c r="A205" s="464" t="s">
        <v>626</v>
      </c>
      <c r="B205" s="465" t="s">
        <v>1681</v>
      </c>
      <c r="C205" s="465" t="s">
        <v>2370</v>
      </c>
      <c r="D205" s="464" t="s">
        <v>2371</v>
      </c>
      <c r="E205" s="465" t="s">
        <v>75</v>
      </c>
      <c r="F205" s="464" t="s">
        <v>1602</v>
      </c>
      <c r="G205" s="465" t="s">
        <v>20</v>
      </c>
      <c r="H205" s="465">
        <v>201612</v>
      </c>
      <c r="I205" s="480">
        <v>274.27999999999997</v>
      </c>
      <c r="J205" s="464">
        <v>0</v>
      </c>
      <c r="K205" s="472">
        <v>1.4833299999999999E-3</v>
      </c>
      <c r="L205" s="469">
        <f t="shared" si="6"/>
        <v>0</v>
      </c>
      <c r="M205" s="469">
        <f t="shared" si="7"/>
        <v>4.88</v>
      </c>
      <c r="N205" s="470"/>
    </row>
    <row r="206" spans="1:14">
      <c r="A206" s="464" t="s">
        <v>14</v>
      </c>
      <c r="B206" s="465" t="s">
        <v>1681</v>
      </c>
      <c r="C206" s="465" t="s">
        <v>2370</v>
      </c>
      <c r="D206" s="464" t="s">
        <v>2371</v>
      </c>
      <c r="E206" s="465" t="s">
        <v>75</v>
      </c>
      <c r="F206" s="464" t="s">
        <v>1602</v>
      </c>
      <c r="G206" s="465" t="s">
        <v>20</v>
      </c>
      <c r="H206" s="465">
        <v>201612</v>
      </c>
      <c r="I206" s="480">
        <v>0.03</v>
      </c>
      <c r="J206" s="464">
        <v>0</v>
      </c>
      <c r="K206" s="468">
        <v>2.23333E-3</v>
      </c>
      <c r="L206" s="469">
        <f t="shared" si="6"/>
        <v>0</v>
      </c>
      <c r="M206" s="469">
        <f t="shared" si="7"/>
        <v>0</v>
      </c>
      <c r="N206" s="470"/>
    </row>
    <row r="207" spans="1:14">
      <c r="A207" s="464" t="s">
        <v>626</v>
      </c>
      <c r="B207" s="465" t="s">
        <v>1681</v>
      </c>
      <c r="C207" s="465" t="s">
        <v>2317</v>
      </c>
      <c r="D207" s="464" t="s">
        <v>2318</v>
      </c>
      <c r="E207" s="465" t="s">
        <v>75</v>
      </c>
      <c r="F207" s="464" t="s">
        <v>1602</v>
      </c>
      <c r="G207" s="465" t="s">
        <v>20</v>
      </c>
      <c r="H207" s="465">
        <v>201612</v>
      </c>
      <c r="I207" s="480">
        <v>-15.14</v>
      </c>
      <c r="J207" s="464">
        <v>0</v>
      </c>
      <c r="K207" s="472">
        <v>1.4833299999999999E-3</v>
      </c>
      <c r="L207" s="469">
        <f t="shared" si="6"/>
        <v>0</v>
      </c>
      <c r="M207" s="469">
        <f t="shared" si="7"/>
        <v>-0.27</v>
      </c>
      <c r="N207" s="470"/>
    </row>
    <row r="208" spans="1:14">
      <c r="A208" s="464" t="s">
        <v>626</v>
      </c>
      <c r="B208" s="465" t="s">
        <v>1681</v>
      </c>
      <c r="C208" s="465" t="s">
        <v>2007</v>
      </c>
      <c r="D208" s="464" t="s">
        <v>2008</v>
      </c>
      <c r="E208" s="465" t="s">
        <v>260</v>
      </c>
      <c r="F208" s="464" t="s">
        <v>1608</v>
      </c>
      <c r="G208" s="465" t="s">
        <v>20</v>
      </c>
      <c r="H208" s="465">
        <v>201612</v>
      </c>
      <c r="I208" s="480">
        <v>-744.49</v>
      </c>
      <c r="J208" s="464">
        <v>0</v>
      </c>
      <c r="K208" s="472">
        <v>1.4833299999999999E-3</v>
      </c>
      <c r="L208" s="469">
        <f t="shared" si="6"/>
        <v>0</v>
      </c>
      <c r="M208" s="469">
        <f t="shared" si="7"/>
        <v>-13.25</v>
      </c>
      <c r="N208" s="470"/>
    </row>
    <row r="209" spans="1:14">
      <c r="A209" s="464" t="s">
        <v>14</v>
      </c>
      <c r="B209" s="465" t="s">
        <v>1681</v>
      </c>
      <c r="C209" s="465" t="s">
        <v>2007</v>
      </c>
      <c r="D209" s="464" t="s">
        <v>2008</v>
      </c>
      <c r="E209" s="465" t="s">
        <v>260</v>
      </c>
      <c r="F209" s="464" t="s">
        <v>1608</v>
      </c>
      <c r="G209" s="465" t="s">
        <v>20</v>
      </c>
      <c r="H209" s="465">
        <v>201612</v>
      </c>
      <c r="I209" s="480">
        <v>744.49</v>
      </c>
      <c r="J209" s="464">
        <v>0</v>
      </c>
      <c r="K209" s="468">
        <v>2.23333E-3</v>
      </c>
      <c r="L209" s="469">
        <f t="shared" si="6"/>
        <v>0</v>
      </c>
      <c r="M209" s="469">
        <f t="shared" si="7"/>
        <v>19.95</v>
      </c>
      <c r="N209" s="470"/>
    </row>
    <row r="210" spans="1:14">
      <c r="A210" s="464" t="s">
        <v>626</v>
      </c>
      <c r="B210" s="465" t="s">
        <v>1681</v>
      </c>
      <c r="C210" s="465" t="s">
        <v>2009</v>
      </c>
      <c r="D210" s="464" t="s">
        <v>2010</v>
      </c>
      <c r="E210" s="465" t="s">
        <v>260</v>
      </c>
      <c r="F210" s="464" t="s">
        <v>1608</v>
      </c>
      <c r="G210" s="465" t="s">
        <v>20</v>
      </c>
      <c r="H210" s="465">
        <v>201612</v>
      </c>
      <c r="I210" s="480">
        <v>7196.27</v>
      </c>
      <c r="J210" s="464">
        <v>0</v>
      </c>
      <c r="K210" s="472">
        <v>1.4833299999999999E-3</v>
      </c>
      <c r="L210" s="469">
        <f t="shared" si="6"/>
        <v>0</v>
      </c>
      <c r="M210" s="469">
        <f t="shared" si="7"/>
        <v>128.09</v>
      </c>
      <c r="N210" s="470"/>
    </row>
    <row r="211" spans="1:14">
      <c r="A211" s="464" t="s">
        <v>14</v>
      </c>
      <c r="B211" s="465" t="s">
        <v>1681</v>
      </c>
      <c r="C211" s="465" t="s">
        <v>2009</v>
      </c>
      <c r="D211" s="464" t="s">
        <v>2010</v>
      </c>
      <c r="E211" s="465" t="s">
        <v>260</v>
      </c>
      <c r="F211" s="464" t="s">
        <v>1608</v>
      </c>
      <c r="G211" s="465" t="s">
        <v>20</v>
      </c>
      <c r="H211" s="465">
        <v>201612</v>
      </c>
      <c r="I211" s="480">
        <v>-7185.14</v>
      </c>
      <c r="J211" s="464">
        <v>0</v>
      </c>
      <c r="K211" s="468">
        <v>2.23333E-3</v>
      </c>
      <c r="L211" s="469">
        <f t="shared" si="6"/>
        <v>0</v>
      </c>
      <c r="M211" s="469">
        <f t="shared" si="7"/>
        <v>-192.56</v>
      </c>
      <c r="N211" s="470"/>
    </row>
    <row r="212" spans="1:14">
      <c r="A212" s="464" t="s">
        <v>626</v>
      </c>
      <c r="B212" s="465" t="s">
        <v>1681</v>
      </c>
      <c r="C212" s="465" t="s">
        <v>2011</v>
      </c>
      <c r="D212" s="464" t="s">
        <v>2012</v>
      </c>
      <c r="E212" s="465" t="s">
        <v>260</v>
      </c>
      <c r="F212" s="464" t="s">
        <v>1608</v>
      </c>
      <c r="G212" s="465" t="s">
        <v>20</v>
      </c>
      <c r="H212" s="465">
        <v>201612</v>
      </c>
      <c r="I212" s="480">
        <v>677.12</v>
      </c>
      <c r="J212" s="464">
        <v>0</v>
      </c>
      <c r="K212" s="472">
        <v>1.4833299999999999E-3</v>
      </c>
      <c r="L212" s="469">
        <f t="shared" si="6"/>
        <v>0</v>
      </c>
      <c r="M212" s="469">
        <f t="shared" si="7"/>
        <v>12.05</v>
      </c>
      <c r="N212" s="470"/>
    </row>
    <row r="213" spans="1:14">
      <c r="A213" s="464" t="s">
        <v>14</v>
      </c>
      <c r="B213" s="465" t="s">
        <v>1681</v>
      </c>
      <c r="C213" s="465" t="s">
        <v>2011</v>
      </c>
      <c r="D213" s="464" t="s">
        <v>2012</v>
      </c>
      <c r="E213" s="465" t="s">
        <v>260</v>
      </c>
      <c r="F213" s="464" t="s">
        <v>1608</v>
      </c>
      <c r="G213" s="465" t="s">
        <v>20</v>
      </c>
      <c r="H213" s="465">
        <v>201612</v>
      </c>
      <c r="I213" s="480">
        <v>-677.12</v>
      </c>
      <c r="J213" s="464">
        <v>0</v>
      </c>
      <c r="K213" s="468">
        <v>2.23333E-3</v>
      </c>
      <c r="L213" s="469">
        <f t="shared" si="6"/>
        <v>0</v>
      </c>
      <c r="M213" s="469">
        <f t="shared" si="7"/>
        <v>-18.149999999999999</v>
      </c>
      <c r="N213" s="470"/>
    </row>
    <row r="214" spans="1:14">
      <c r="A214" s="464" t="s">
        <v>626</v>
      </c>
      <c r="B214" s="465" t="s">
        <v>1681</v>
      </c>
      <c r="C214" s="465" t="s">
        <v>2265</v>
      </c>
      <c r="D214" s="464" t="s">
        <v>2266</v>
      </c>
      <c r="E214" s="465" t="s">
        <v>164</v>
      </c>
      <c r="F214" s="464" t="s">
        <v>1600</v>
      </c>
      <c r="G214" s="465" t="s">
        <v>20</v>
      </c>
      <c r="H214" s="465">
        <v>201612</v>
      </c>
      <c r="I214" s="480">
        <v>26.13</v>
      </c>
      <c r="J214" s="464">
        <v>0</v>
      </c>
      <c r="K214" s="472">
        <v>1.4833299999999999E-3</v>
      </c>
      <c r="L214" s="469">
        <f t="shared" si="6"/>
        <v>0</v>
      </c>
      <c r="M214" s="469">
        <f t="shared" si="7"/>
        <v>0.47</v>
      </c>
      <c r="N214" s="470"/>
    </row>
    <row r="215" spans="1:14">
      <c r="A215" s="464" t="s">
        <v>626</v>
      </c>
      <c r="B215" s="465" t="s">
        <v>1681</v>
      </c>
      <c r="C215" s="465" t="s">
        <v>2319</v>
      </c>
      <c r="D215" s="464" t="s">
        <v>2320</v>
      </c>
      <c r="E215" s="465" t="s">
        <v>164</v>
      </c>
      <c r="F215" s="464" t="s">
        <v>1600</v>
      </c>
      <c r="G215" s="465" t="s">
        <v>20</v>
      </c>
      <c r="H215" s="465">
        <v>201612</v>
      </c>
      <c r="I215" s="480">
        <v>-174.17</v>
      </c>
      <c r="J215" s="464">
        <v>0</v>
      </c>
      <c r="K215" s="472">
        <v>1.4833299999999999E-3</v>
      </c>
      <c r="L215" s="469">
        <f t="shared" si="6"/>
        <v>0</v>
      </c>
      <c r="M215" s="469">
        <f t="shared" si="7"/>
        <v>-3.1</v>
      </c>
      <c r="N215" s="470"/>
    </row>
    <row r="216" spans="1:14">
      <c r="A216" s="464" t="s">
        <v>14</v>
      </c>
      <c r="B216" s="465" t="s">
        <v>1681</v>
      </c>
      <c r="C216" s="465" t="s">
        <v>2319</v>
      </c>
      <c r="D216" s="464" t="s">
        <v>2320</v>
      </c>
      <c r="E216" s="465" t="s">
        <v>164</v>
      </c>
      <c r="F216" s="464" t="s">
        <v>1600</v>
      </c>
      <c r="G216" s="465" t="s">
        <v>20</v>
      </c>
      <c r="H216" s="465">
        <v>201612</v>
      </c>
      <c r="I216" s="480">
        <v>-4.87</v>
      </c>
      <c r="J216" s="464">
        <v>0</v>
      </c>
      <c r="K216" s="468">
        <v>2.23333E-3</v>
      </c>
      <c r="L216" s="469">
        <f t="shared" si="6"/>
        <v>0</v>
      </c>
      <c r="M216" s="469">
        <f t="shared" si="7"/>
        <v>-0.13</v>
      </c>
      <c r="N216" s="470"/>
    </row>
    <row r="217" spans="1:14">
      <c r="A217" s="464" t="s">
        <v>626</v>
      </c>
      <c r="B217" s="465" t="s">
        <v>1681</v>
      </c>
      <c r="C217" s="465" t="s">
        <v>2321</v>
      </c>
      <c r="D217" s="464" t="s">
        <v>2322</v>
      </c>
      <c r="E217" s="465" t="s">
        <v>164</v>
      </c>
      <c r="F217" s="464" t="s">
        <v>1600</v>
      </c>
      <c r="G217" s="465" t="s">
        <v>20</v>
      </c>
      <c r="H217" s="465">
        <v>201612</v>
      </c>
      <c r="I217" s="480">
        <v>885.68</v>
      </c>
      <c r="J217" s="464">
        <v>0</v>
      </c>
      <c r="K217" s="472">
        <v>1.4833299999999999E-3</v>
      </c>
      <c r="L217" s="469">
        <f t="shared" si="6"/>
        <v>0</v>
      </c>
      <c r="M217" s="469">
        <f t="shared" si="7"/>
        <v>15.77</v>
      </c>
      <c r="N217" s="470"/>
    </row>
    <row r="218" spans="1:14">
      <c r="A218" s="464" t="s">
        <v>14</v>
      </c>
      <c r="B218" s="465" t="s">
        <v>1681</v>
      </c>
      <c r="C218" s="465" t="s">
        <v>2321</v>
      </c>
      <c r="D218" s="464" t="s">
        <v>2322</v>
      </c>
      <c r="E218" s="465" t="s">
        <v>164</v>
      </c>
      <c r="F218" s="464" t="s">
        <v>1600</v>
      </c>
      <c r="G218" s="465" t="s">
        <v>20</v>
      </c>
      <c r="H218" s="465">
        <v>201612</v>
      </c>
      <c r="I218" s="480">
        <v>7.81</v>
      </c>
      <c r="J218" s="464">
        <v>0</v>
      </c>
      <c r="K218" s="468">
        <v>2.23333E-3</v>
      </c>
      <c r="L218" s="469">
        <f t="shared" si="6"/>
        <v>0</v>
      </c>
      <c r="M218" s="469">
        <f t="shared" si="7"/>
        <v>0.21</v>
      </c>
      <c r="N218" s="470"/>
    </row>
    <row r="219" spans="1:14">
      <c r="A219" s="464" t="s">
        <v>626</v>
      </c>
      <c r="B219" s="465" t="s">
        <v>1681</v>
      </c>
      <c r="C219" s="465" t="s">
        <v>2372</v>
      </c>
      <c r="D219" s="464" t="s">
        <v>2373</v>
      </c>
      <c r="E219" s="465" t="s">
        <v>164</v>
      </c>
      <c r="F219" s="464" t="s">
        <v>1600</v>
      </c>
      <c r="G219" s="465" t="s">
        <v>20</v>
      </c>
      <c r="H219" s="465">
        <v>201612</v>
      </c>
      <c r="I219" s="480">
        <v>5276.87</v>
      </c>
      <c r="J219" s="464">
        <v>0</v>
      </c>
      <c r="K219" s="472">
        <v>1.4833299999999999E-3</v>
      </c>
      <c r="L219" s="469">
        <f t="shared" si="6"/>
        <v>0</v>
      </c>
      <c r="M219" s="469">
        <f t="shared" si="7"/>
        <v>93.93</v>
      </c>
      <c r="N219" s="470"/>
    </row>
    <row r="220" spans="1:14">
      <c r="A220" s="464" t="s">
        <v>14</v>
      </c>
      <c r="B220" s="465" t="s">
        <v>1681</v>
      </c>
      <c r="C220" s="465" t="s">
        <v>2372</v>
      </c>
      <c r="D220" s="464" t="s">
        <v>2373</v>
      </c>
      <c r="E220" s="465" t="s">
        <v>164</v>
      </c>
      <c r="F220" s="464" t="s">
        <v>1600</v>
      </c>
      <c r="G220" s="465" t="s">
        <v>20</v>
      </c>
      <c r="H220" s="465">
        <v>201612</v>
      </c>
      <c r="I220" s="480">
        <v>65.47</v>
      </c>
      <c r="J220" s="464">
        <v>0</v>
      </c>
      <c r="K220" s="468">
        <v>2.23333E-3</v>
      </c>
      <c r="L220" s="469">
        <f t="shared" si="6"/>
        <v>0</v>
      </c>
      <c r="M220" s="469">
        <f t="shared" si="7"/>
        <v>1.75</v>
      </c>
      <c r="N220" s="470"/>
    </row>
    <row r="221" spans="1:14">
      <c r="A221" s="464" t="s">
        <v>626</v>
      </c>
      <c r="B221" s="465" t="s">
        <v>1681</v>
      </c>
      <c r="C221" s="465" t="s">
        <v>2374</v>
      </c>
      <c r="D221" s="464" t="s">
        <v>2375</v>
      </c>
      <c r="E221" s="465" t="s">
        <v>164</v>
      </c>
      <c r="F221" s="464" t="s">
        <v>1600</v>
      </c>
      <c r="G221" s="465" t="s">
        <v>20</v>
      </c>
      <c r="H221" s="465">
        <v>201612</v>
      </c>
      <c r="I221" s="480">
        <v>503.46</v>
      </c>
      <c r="J221" s="464">
        <v>0</v>
      </c>
      <c r="K221" s="472">
        <v>1.4833299999999999E-3</v>
      </c>
      <c r="L221" s="469">
        <f t="shared" si="6"/>
        <v>0</v>
      </c>
      <c r="M221" s="469">
        <f t="shared" si="7"/>
        <v>8.9600000000000009</v>
      </c>
      <c r="N221" s="470"/>
    </row>
    <row r="222" spans="1:14">
      <c r="A222" s="464" t="s">
        <v>14</v>
      </c>
      <c r="B222" s="465" t="s">
        <v>1681</v>
      </c>
      <c r="C222" s="465" t="s">
        <v>2374</v>
      </c>
      <c r="D222" s="464" t="s">
        <v>2375</v>
      </c>
      <c r="E222" s="465" t="s">
        <v>164</v>
      </c>
      <c r="F222" s="464" t="s">
        <v>1600</v>
      </c>
      <c r="G222" s="465" t="s">
        <v>20</v>
      </c>
      <c r="H222" s="465">
        <v>201612</v>
      </c>
      <c r="I222" s="480">
        <v>135.44999999999999</v>
      </c>
      <c r="J222" s="464">
        <v>0</v>
      </c>
      <c r="K222" s="468">
        <v>2.23333E-3</v>
      </c>
      <c r="L222" s="469">
        <f t="shared" si="6"/>
        <v>0</v>
      </c>
      <c r="M222" s="469">
        <f t="shared" si="7"/>
        <v>3.63</v>
      </c>
      <c r="N222" s="470"/>
    </row>
    <row r="223" spans="1:14">
      <c r="A223" s="464" t="s">
        <v>626</v>
      </c>
      <c r="B223" s="465" t="s">
        <v>1681</v>
      </c>
      <c r="C223" s="465" t="s">
        <v>2376</v>
      </c>
      <c r="D223" s="464" t="s">
        <v>2377</v>
      </c>
      <c r="E223" s="465" t="s">
        <v>164</v>
      </c>
      <c r="F223" s="464" t="s">
        <v>1600</v>
      </c>
      <c r="G223" s="465" t="s">
        <v>20</v>
      </c>
      <c r="H223" s="465">
        <v>201612</v>
      </c>
      <c r="I223" s="480">
        <v>48.08</v>
      </c>
      <c r="J223" s="464">
        <v>0</v>
      </c>
      <c r="K223" s="472">
        <v>1.4833299999999999E-3</v>
      </c>
      <c r="L223" s="469">
        <f t="shared" si="6"/>
        <v>0</v>
      </c>
      <c r="M223" s="469">
        <f t="shared" si="7"/>
        <v>0.86</v>
      </c>
      <c r="N223" s="470"/>
    </row>
    <row r="224" spans="1:14">
      <c r="A224" s="464" t="s">
        <v>14</v>
      </c>
      <c r="B224" s="465" t="s">
        <v>1681</v>
      </c>
      <c r="C224" s="465" t="s">
        <v>2376</v>
      </c>
      <c r="D224" s="464" t="s">
        <v>2377</v>
      </c>
      <c r="E224" s="465" t="s">
        <v>164</v>
      </c>
      <c r="F224" s="464" t="s">
        <v>1600</v>
      </c>
      <c r="G224" s="465" t="s">
        <v>20</v>
      </c>
      <c r="H224" s="465">
        <v>201612</v>
      </c>
      <c r="I224" s="480">
        <v>6.98</v>
      </c>
      <c r="J224" s="464">
        <v>0</v>
      </c>
      <c r="K224" s="468">
        <v>2.23333E-3</v>
      </c>
      <c r="L224" s="469">
        <f t="shared" si="6"/>
        <v>0</v>
      </c>
      <c r="M224" s="469">
        <f t="shared" si="7"/>
        <v>0.19</v>
      </c>
      <c r="N224" s="470"/>
    </row>
    <row r="225" spans="1:14">
      <c r="A225" s="464" t="s">
        <v>626</v>
      </c>
      <c r="B225" s="465" t="s">
        <v>1681</v>
      </c>
      <c r="C225" s="465" t="s">
        <v>2378</v>
      </c>
      <c r="D225" s="464" t="s">
        <v>2379</v>
      </c>
      <c r="E225" s="465" t="s">
        <v>87</v>
      </c>
      <c r="F225" s="464" t="s">
        <v>1603</v>
      </c>
      <c r="G225" s="465" t="s">
        <v>20</v>
      </c>
      <c r="H225" s="465">
        <v>201612</v>
      </c>
      <c r="I225" s="480">
        <v>3147.03</v>
      </c>
      <c r="J225" s="464">
        <v>0</v>
      </c>
      <c r="K225" s="472">
        <v>1.4833299999999999E-3</v>
      </c>
      <c r="L225" s="469">
        <f t="shared" si="6"/>
        <v>0</v>
      </c>
      <c r="M225" s="469">
        <f t="shared" si="7"/>
        <v>56.02</v>
      </c>
      <c r="N225" s="470"/>
    </row>
    <row r="226" spans="1:14">
      <c r="A226" s="464" t="s">
        <v>14</v>
      </c>
      <c r="B226" s="465" t="s">
        <v>1681</v>
      </c>
      <c r="C226" s="465" t="s">
        <v>2378</v>
      </c>
      <c r="D226" s="464" t="s">
        <v>2379</v>
      </c>
      <c r="E226" s="465" t="s">
        <v>87</v>
      </c>
      <c r="F226" s="464" t="s">
        <v>1603</v>
      </c>
      <c r="G226" s="465" t="s">
        <v>20</v>
      </c>
      <c r="H226" s="465">
        <v>201612</v>
      </c>
      <c r="I226" s="480">
        <v>656.45</v>
      </c>
      <c r="J226" s="464">
        <v>0</v>
      </c>
      <c r="K226" s="468">
        <v>2.23333E-3</v>
      </c>
      <c r="L226" s="469">
        <f t="shared" si="6"/>
        <v>0</v>
      </c>
      <c r="M226" s="469">
        <f t="shared" si="7"/>
        <v>17.59</v>
      </c>
      <c r="N226" s="470"/>
    </row>
    <row r="227" spans="1:14">
      <c r="A227" s="464" t="s">
        <v>626</v>
      </c>
      <c r="B227" s="465" t="s">
        <v>1681</v>
      </c>
      <c r="C227" s="465" t="s">
        <v>2380</v>
      </c>
      <c r="D227" s="464" t="s">
        <v>2381</v>
      </c>
      <c r="E227" s="465" t="s">
        <v>164</v>
      </c>
      <c r="F227" s="464" t="s">
        <v>1600</v>
      </c>
      <c r="G227" s="465" t="s">
        <v>20</v>
      </c>
      <c r="H227" s="465">
        <v>201612</v>
      </c>
      <c r="I227" s="480">
        <v>43.04</v>
      </c>
      <c r="J227" s="464">
        <v>0</v>
      </c>
      <c r="K227" s="472">
        <v>1.4833299999999999E-3</v>
      </c>
      <c r="L227" s="469">
        <f t="shared" si="6"/>
        <v>0</v>
      </c>
      <c r="M227" s="469">
        <f t="shared" si="7"/>
        <v>0.77</v>
      </c>
      <c r="N227" s="470"/>
    </row>
    <row r="228" spans="1:14">
      <c r="A228" s="464" t="s">
        <v>1942</v>
      </c>
      <c r="B228" s="465" t="s">
        <v>1681</v>
      </c>
      <c r="C228" s="465" t="s">
        <v>2380</v>
      </c>
      <c r="D228" s="464" t="s">
        <v>2381</v>
      </c>
      <c r="E228" s="465" t="s">
        <v>164</v>
      </c>
      <c r="F228" s="464" t="s">
        <v>1600</v>
      </c>
      <c r="G228" s="465" t="s">
        <v>20</v>
      </c>
      <c r="H228" s="465">
        <v>201612</v>
      </c>
      <c r="I228" s="480">
        <v>0.12</v>
      </c>
      <c r="J228" s="464">
        <v>0</v>
      </c>
      <c r="K228" s="472">
        <v>2.23333E-3</v>
      </c>
      <c r="L228" s="469">
        <f t="shared" si="6"/>
        <v>0</v>
      </c>
      <c r="M228" s="469">
        <f t="shared" si="7"/>
        <v>0</v>
      </c>
      <c r="N228" s="470"/>
    </row>
    <row r="229" spans="1:14">
      <c r="A229" s="464" t="s">
        <v>14</v>
      </c>
      <c r="B229" s="465" t="s">
        <v>1681</v>
      </c>
      <c r="C229" s="465" t="s">
        <v>2380</v>
      </c>
      <c r="D229" s="464" t="s">
        <v>2381</v>
      </c>
      <c r="E229" s="465" t="s">
        <v>164</v>
      </c>
      <c r="F229" s="464" t="s">
        <v>1600</v>
      </c>
      <c r="G229" s="465" t="s">
        <v>20</v>
      </c>
      <c r="H229" s="465">
        <v>201612</v>
      </c>
      <c r="I229" s="480">
        <v>9.82</v>
      </c>
      <c r="J229" s="464">
        <v>0</v>
      </c>
      <c r="K229" s="468">
        <v>2.23333E-3</v>
      </c>
      <c r="L229" s="469">
        <f t="shared" si="6"/>
        <v>0</v>
      </c>
      <c r="M229" s="469">
        <f t="shared" si="7"/>
        <v>0.26</v>
      </c>
      <c r="N229" s="470"/>
    </row>
    <row r="230" spans="1:14">
      <c r="A230" s="464" t="s">
        <v>626</v>
      </c>
      <c r="B230" s="465" t="s">
        <v>1681</v>
      </c>
      <c r="C230" s="465" t="s">
        <v>2382</v>
      </c>
      <c r="D230" s="464" t="s">
        <v>2383</v>
      </c>
      <c r="E230" s="465" t="s">
        <v>164</v>
      </c>
      <c r="F230" s="464" t="s">
        <v>1600</v>
      </c>
      <c r="G230" s="465" t="s">
        <v>20</v>
      </c>
      <c r="H230" s="465">
        <v>201612</v>
      </c>
      <c r="I230" s="480">
        <v>22221.61</v>
      </c>
      <c r="J230" s="464">
        <v>0</v>
      </c>
      <c r="K230" s="472">
        <v>1.4833299999999999E-3</v>
      </c>
      <c r="L230" s="469">
        <f t="shared" si="6"/>
        <v>0</v>
      </c>
      <c r="M230" s="469">
        <f t="shared" si="7"/>
        <v>395.54</v>
      </c>
      <c r="N230" s="470"/>
    </row>
    <row r="231" spans="1:14">
      <c r="A231" s="464" t="s">
        <v>1942</v>
      </c>
      <c r="B231" s="465" t="s">
        <v>1681</v>
      </c>
      <c r="C231" s="465" t="s">
        <v>2382</v>
      </c>
      <c r="D231" s="464" t="s">
        <v>2383</v>
      </c>
      <c r="E231" s="465" t="s">
        <v>164</v>
      </c>
      <c r="F231" s="464" t="s">
        <v>1600</v>
      </c>
      <c r="G231" s="465" t="s">
        <v>20</v>
      </c>
      <c r="H231" s="465">
        <v>201612</v>
      </c>
      <c r="I231" s="480">
        <v>69.010000000000005</v>
      </c>
      <c r="J231" s="464">
        <v>0</v>
      </c>
      <c r="K231" s="472">
        <v>2.23333E-3</v>
      </c>
      <c r="L231" s="469">
        <f t="shared" si="6"/>
        <v>0</v>
      </c>
      <c r="M231" s="469">
        <f t="shared" si="7"/>
        <v>1.85</v>
      </c>
      <c r="N231" s="470"/>
    </row>
    <row r="232" spans="1:14">
      <c r="A232" s="464" t="s">
        <v>14</v>
      </c>
      <c r="B232" s="465" t="s">
        <v>1681</v>
      </c>
      <c r="C232" s="465" t="s">
        <v>2382</v>
      </c>
      <c r="D232" s="464" t="s">
        <v>2383</v>
      </c>
      <c r="E232" s="465" t="s">
        <v>164</v>
      </c>
      <c r="F232" s="464" t="s">
        <v>1600</v>
      </c>
      <c r="G232" s="465" t="s">
        <v>20</v>
      </c>
      <c r="H232" s="465">
        <v>201612</v>
      </c>
      <c r="I232" s="480">
        <v>2622.83</v>
      </c>
      <c r="J232" s="464">
        <v>0</v>
      </c>
      <c r="K232" s="468">
        <v>2.23333E-3</v>
      </c>
      <c r="L232" s="469">
        <f t="shared" si="6"/>
        <v>0</v>
      </c>
      <c r="M232" s="469">
        <f t="shared" si="7"/>
        <v>70.290000000000006</v>
      </c>
      <c r="N232" s="470"/>
    </row>
    <row r="233" spans="1:14">
      <c r="A233" s="464" t="s">
        <v>626</v>
      </c>
      <c r="B233" s="465" t="s">
        <v>1681</v>
      </c>
      <c r="C233" s="465" t="s">
        <v>2267</v>
      </c>
      <c r="D233" s="464" t="s">
        <v>2268</v>
      </c>
      <c r="E233" s="465" t="s">
        <v>260</v>
      </c>
      <c r="F233" s="464" t="s">
        <v>1608</v>
      </c>
      <c r="G233" s="465" t="s">
        <v>20</v>
      </c>
      <c r="H233" s="465">
        <v>201612</v>
      </c>
      <c r="I233" s="480">
        <v>1028.3499999999999</v>
      </c>
      <c r="J233" s="464">
        <v>0</v>
      </c>
      <c r="K233" s="472">
        <v>1.4833299999999999E-3</v>
      </c>
      <c r="L233" s="469">
        <f t="shared" si="6"/>
        <v>0</v>
      </c>
      <c r="M233" s="469">
        <f t="shared" si="7"/>
        <v>18.3</v>
      </c>
      <c r="N233" s="470"/>
    </row>
    <row r="234" spans="1:14">
      <c r="A234" s="464" t="s">
        <v>14</v>
      </c>
      <c r="B234" s="465" t="s">
        <v>1681</v>
      </c>
      <c r="C234" s="465" t="s">
        <v>2267</v>
      </c>
      <c r="D234" s="464" t="s">
        <v>2268</v>
      </c>
      <c r="E234" s="465" t="s">
        <v>260</v>
      </c>
      <c r="F234" s="464" t="s">
        <v>1608</v>
      </c>
      <c r="G234" s="465" t="s">
        <v>20</v>
      </c>
      <c r="H234" s="465">
        <v>201612</v>
      </c>
      <c r="I234" s="480">
        <v>212.94</v>
      </c>
      <c r="J234" s="464">
        <v>0</v>
      </c>
      <c r="K234" s="468">
        <v>2.23333E-3</v>
      </c>
      <c r="L234" s="469">
        <f t="shared" si="6"/>
        <v>0</v>
      </c>
      <c r="M234" s="469">
        <f t="shared" si="7"/>
        <v>5.71</v>
      </c>
      <c r="N234" s="470"/>
    </row>
    <row r="235" spans="1:14">
      <c r="A235" s="464" t="s">
        <v>626</v>
      </c>
      <c r="B235" s="465" t="s">
        <v>1681</v>
      </c>
      <c r="C235" s="465" t="s">
        <v>2384</v>
      </c>
      <c r="D235" s="464" t="s">
        <v>2385</v>
      </c>
      <c r="E235" s="465" t="s">
        <v>260</v>
      </c>
      <c r="F235" s="464" t="s">
        <v>1608</v>
      </c>
      <c r="G235" s="465" t="s">
        <v>20</v>
      </c>
      <c r="H235" s="465">
        <v>201612</v>
      </c>
      <c r="I235" s="480">
        <v>-1727.22</v>
      </c>
      <c r="J235" s="464">
        <v>0</v>
      </c>
      <c r="K235" s="472">
        <v>1.4833299999999999E-3</v>
      </c>
      <c r="L235" s="469">
        <f t="shared" si="6"/>
        <v>0</v>
      </c>
      <c r="M235" s="469">
        <f t="shared" si="7"/>
        <v>-30.74</v>
      </c>
      <c r="N235" s="470"/>
    </row>
    <row r="236" spans="1:14">
      <c r="A236" s="464" t="s">
        <v>14</v>
      </c>
      <c r="B236" s="465" t="s">
        <v>1681</v>
      </c>
      <c r="C236" s="465" t="s">
        <v>2384</v>
      </c>
      <c r="D236" s="464" t="s">
        <v>2385</v>
      </c>
      <c r="E236" s="465" t="s">
        <v>260</v>
      </c>
      <c r="F236" s="464" t="s">
        <v>1608</v>
      </c>
      <c r="G236" s="465" t="s">
        <v>20</v>
      </c>
      <c r="H236" s="465">
        <v>201612</v>
      </c>
      <c r="I236" s="480">
        <v>-46.47</v>
      </c>
      <c r="J236" s="464">
        <v>0</v>
      </c>
      <c r="K236" s="468">
        <v>2.23333E-3</v>
      </c>
      <c r="L236" s="469">
        <f t="shared" si="6"/>
        <v>0</v>
      </c>
      <c r="M236" s="469">
        <f t="shared" si="7"/>
        <v>-1.25</v>
      </c>
      <c r="N236" s="470"/>
    </row>
    <row r="237" spans="1:14">
      <c r="A237" s="464" t="s">
        <v>626</v>
      </c>
      <c r="B237" s="465" t="s">
        <v>1681</v>
      </c>
      <c r="C237" s="465" t="s">
        <v>2386</v>
      </c>
      <c r="D237" s="464" t="s">
        <v>2387</v>
      </c>
      <c r="E237" s="465" t="s">
        <v>260</v>
      </c>
      <c r="F237" s="464" t="s">
        <v>1608</v>
      </c>
      <c r="G237" s="465" t="s">
        <v>20</v>
      </c>
      <c r="H237" s="465">
        <v>201612</v>
      </c>
      <c r="I237" s="480">
        <v>-4392.83</v>
      </c>
      <c r="J237" s="464">
        <v>0</v>
      </c>
      <c r="K237" s="472">
        <v>1.4833299999999999E-3</v>
      </c>
      <c r="L237" s="469">
        <f t="shared" si="6"/>
        <v>0</v>
      </c>
      <c r="M237" s="469">
        <f t="shared" si="7"/>
        <v>-78.19</v>
      </c>
      <c r="N237" s="470"/>
    </row>
    <row r="238" spans="1:14">
      <c r="A238" s="464" t="s">
        <v>14</v>
      </c>
      <c r="B238" s="465" t="s">
        <v>1681</v>
      </c>
      <c r="C238" s="465" t="s">
        <v>2386</v>
      </c>
      <c r="D238" s="464" t="s">
        <v>2387</v>
      </c>
      <c r="E238" s="465" t="s">
        <v>260</v>
      </c>
      <c r="F238" s="464" t="s">
        <v>1608</v>
      </c>
      <c r="G238" s="465" t="s">
        <v>20</v>
      </c>
      <c r="H238" s="465">
        <v>201612</v>
      </c>
      <c r="I238" s="480">
        <v>-3.14</v>
      </c>
      <c r="J238" s="464">
        <v>0</v>
      </c>
      <c r="K238" s="468">
        <v>2.23333E-3</v>
      </c>
      <c r="L238" s="469">
        <f t="shared" si="6"/>
        <v>0</v>
      </c>
      <c r="M238" s="469">
        <f t="shared" si="7"/>
        <v>-0.08</v>
      </c>
      <c r="N238" s="470"/>
    </row>
    <row r="239" spans="1:14">
      <c r="A239" s="464" t="s">
        <v>626</v>
      </c>
      <c r="B239" s="465" t="s">
        <v>1681</v>
      </c>
      <c r="C239" s="465" t="s">
        <v>2436</v>
      </c>
      <c r="D239" s="464" t="s">
        <v>2437</v>
      </c>
      <c r="E239" s="465" t="s">
        <v>209</v>
      </c>
      <c r="F239" s="464" t="s">
        <v>1612</v>
      </c>
      <c r="G239" s="465" t="s">
        <v>20</v>
      </c>
      <c r="H239" s="465">
        <v>201612</v>
      </c>
      <c r="I239" s="480">
        <v>108946.6</v>
      </c>
      <c r="J239" s="464">
        <v>0</v>
      </c>
      <c r="K239" s="472">
        <v>1.4833299999999999E-3</v>
      </c>
      <c r="L239" s="469">
        <f t="shared" si="6"/>
        <v>0</v>
      </c>
      <c r="M239" s="469">
        <f t="shared" si="7"/>
        <v>1939.25</v>
      </c>
      <c r="N239" s="470"/>
    </row>
    <row r="240" spans="1:14">
      <c r="A240" s="464" t="s">
        <v>14</v>
      </c>
      <c r="B240" s="465" t="s">
        <v>1681</v>
      </c>
      <c r="C240" s="465" t="s">
        <v>2436</v>
      </c>
      <c r="D240" s="464" t="s">
        <v>2437</v>
      </c>
      <c r="E240" s="465" t="s">
        <v>209</v>
      </c>
      <c r="F240" s="464" t="s">
        <v>1612</v>
      </c>
      <c r="G240" s="465" t="s">
        <v>20</v>
      </c>
      <c r="H240" s="465">
        <v>201612</v>
      </c>
      <c r="I240" s="480">
        <v>1797.12</v>
      </c>
      <c r="J240" s="464">
        <v>0</v>
      </c>
      <c r="K240" s="468">
        <v>2.23333E-3</v>
      </c>
      <c r="L240" s="469">
        <f t="shared" si="6"/>
        <v>0</v>
      </c>
      <c r="M240" s="469">
        <f t="shared" si="7"/>
        <v>48.16</v>
      </c>
      <c r="N240" s="470"/>
    </row>
    <row r="241" spans="1:14">
      <c r="A241" s="464" t="s">
        <v>626</v>
      </c>
      <c r="B241" s="465" t="s">
        <v>1681</v>
      </c>
      <c r="C241" s="465" t="s">
        <v>2071</v>
      </c>
      <c r="D241" s="464" t="s">
        <v>2072</v>
      </c>
      <c r="E241" s="465" t="s">
        <v>260</v>
      </c>
      <c r="F241" s="464" t="s">
        <v>1608</v>
      </c>
      <c r="G241" s="465" t="s">
        <v>20</v>
      </c>
      <c r="H241" s="465">
        <v>201612</v>
      </c>
      <c r="I241" s="480">
        <v>-5098.3500000000004</v>
      </c>
      <c r="J241" s="464">
        <v>0</v>
      </c>
      <c r="K241" s="472">
        <v>1.4833299999999999E-3</v>
      </c>
      <c r="L241" s="469">
        <f t="shared" si="6"/>
        <v>0</v>
      </c>
      <c r="M241" s="469">
        <f t="shared" si="7"/>
        <v>-90.75</v>
      </c>
      <c r="N241" s="470"/>
    </row>
    <row r="242" spans="1:14">
      <c r="A242" s="464" t="s">
        <v>626</v>
      </c>
      <c r="B242" s="465" t="s">
        <v>1681</v>
      </c>
      <c r="C242" s="465" t="s">
        <v>2077</v>
      </c>
      <c r="D242" s="464" t="s">
        <v>2078</v>
      </c>
      <c r="E242" s="465" t="s">
        <v>260</v>
      </c>
      <c r="F242" s="464" t="s">
        <v>1608</v>
      </c>
      <c r="G242" s="465" t="s">
        <v>20</v>
      </c>
      <c r="H242" s="465">
        <v>201612</v>
      </c>
      <c r="I242" s="480">
        <v>647.78</v>
      </c>
      <c r="J242" s="464">
        <v>0</v>
      </c>
      <c r="K242" s="472">
        <v>1.4833299999999999E-3</v>
      </c>
      <c r="L242" s="469">
        <f t="shared" si="6"/>
        <v>0</v>
      </c>
      <c r="M242" s="469">
        <f t="shared" si="7"/>
        <v>11.53</v>
      </c>
      <c r="N242" s="470"/>
    </row>
    <row r="243" spans="1:14">
      <c r="A243" s="464" t="s">
        <v>626</v>
      </c>
      <c r="B243" s="465" t="s">
        <v>1681</v>
      </c>
      <c r="C243" s="465" t="s">
        <v>2390</v>
      </c>
      <c r="D243" s="464" t="s">
        <v>2391</v>
      </c>
      <c r="E243" s="465" t="s">
        <v>164</v>
      </c>
      <c r="F243" s="464" t="s">
        <v>1600</v>
      </c>
      <c r="G243" s="465" t="s">
        <v>20</v>
      </c>
      <c r="H243" s="465">
        <v>201612</v>
      </c>
      <c r="I243" s="480">
        <v>-46.74</v>
      </c>
      <c r="J243" s="464">
        <v>0</v>
      </c>
      <c r="K243" s="472">
        <v>1.4833299999999999E-3</v>
      </c>
      <c r="L243" s="469">
        <f t="shared" si="6"/>
        <v>0</v>
      </c>
      <c r="M243" s="469">
        <f t="shared" si="7"/>
        <v>-0.83</v>
      </c>
      <c r="N243" s="470"/>
    </row>
    <row r="244" spans="1:14">
      <c r="A244" s="464" t="s">
        <v>14</v>
      </c>
      <c r="B244" s="465" t="s">
        <v>1681</v>
      </c>
      <c r="C244" s="465" t="s">
        <v>2390</v>
      </c>
      <c r="D244" s="464" t="s">
        <v>2391</v>
      </c>
      <c r="E244" s="465" t="s">
        <v>164</v>
      </c>
      <c r="F244" s="464" t="s">
        <v>1600</v>
      </c>
      <c r="G244" s="465" t="s">
        <v>20</v>
      </c>
      <c r="H244" s="465">
        <v>201612</v>
      </c>
      <c r="I244" s="480">
        <v>-5.33</v>
      </c>
      <c r="J244" s="464">
        <v>0</v>
      </c>
      <c r="K244" s="468">
        <v>2.23333E-3</v>
      </c>
      <c r="L244" s="469">
        <f t="shared" si="6"/>
        <v>0</v>
      </c>
      <c r="M244" s="469">
        <f t="shared" si="7"/>
        <v>-0.14000000000000001</v>
      </c>
      <c r="N244" s="470"/>
    </row>
    <row r="245" spans="1:14">
      <c r="A245" s="464" t="s">
        <v>21</v>
      </c>
      <c r="B245" s="465" t="s">
        <v>1681</v>
      </c>
      <c r="C245" s="465" t="s">
        <v>2392</v>
      </c>
      <c r="D245" s="464" t="s">
        <v>2393</v>
      </c>
      <c r="E245" s="465" t="s">
        <v>75</v>
      </c>
      <c r="F245" s="464" t="s">
        <v>1602</v>
      </c>
      <c r="G245" s="465" t="s">
        <v>20</v>
      </c>
      <c r="H245" s="465">
        <v>201612</v>
      </c>
      <c r="I245" s="480">
        <v>1.38</v>
      </c>
      <c r="J245" s="464">
        <v>0</v>
      </c>
      <c r="K245" s="472">
        <v>1.4833299999999999E-3</v>
      </c>
      <c r="L245" s="469">
        <f t="shared" si="6"/>
        <v>0</v>
      </c>
      <c r="M245" s="469">
        <f t="shared" si="7"/>
        <v>0.02</v>
      </c>
      <c r="N245" s="470"/>
    </row>
    <row r="246" spans="1:14">
      <c r="A246" s="464" t="s">
        <v>626</v>
      </c>
      <c r="B246" s="465" t="s">
        <v>1681</v>
      </c>
      <c r="C246" s="465" t="s">
        <v>2392</v>
      </c>
      <c r="D246" s="464" t="s">
        <v>2393</v>
      </c>
      <c r="E246" s="465" t="s">
        <v>75</v>
      </c>
      <c r="F246" s="464" t="s">
        <v>1602</v>
      </c>
      <c r="G246" s="465" t="s">
        <v>20</v>
      </c>
      <c r="H246" s="465">
        <v>201612</v>
      </c>
      <c r="I246" s="480">
        <v>19109.57</v>
      </c>
      <c r="J246" s="464">
        <v>0</v>
      </c>
      <c r="K246" s="472">
        <v>1.4833299999999999E-3</v>
      </c>
      <c r="L246" s="469">
        <f t="shared" si="6"/>
        <v>0</v>
      </c>
      <c r="M246" s="469">
        <f t="shared" si="7"/>
        <v>340.15</v>
      </c>
      <c r="N246" s="470"/>
    </row>
    <row r="247" spans="1:14">
      <c r="A247" s="464" t="s">
        <v>14</v>
      </c>
      <c r="B247" s="465" t="s">
        <v>1681</v>
      </c>
      <c r="C247" s="465" t="s">
        <v>2392</v>
      </c>
      <c r="D247" s="464" t="s">
        <v>2393</v>
      </c>
      <c r="E247" s="465" t="s">
        <v>75</v>
      </c>
      <c r="F247" s="464" t="s">
        <v>1602</v>
      </c>
      <c r="G247" s="465" t="s">
        <v>20</v>
      </c>
      <c r="H247" s="465">
        <v>201612</v>
      </c>
      <c r="I247" s="480">
        <v>10.69</v>
      </c>
      <c r="J247" s="464">
        <v>0</v>
      </c>
      <c r="K247" s="468">
        <v>2.23333E-3</v>
      </c>
      <c r="L247" s="469">
        <f t="shared" si="6"/>
        <v>0</v>
      </c>
      <c r="M247" s="469">
        <f t="shared" si="7"/>
        <v>0.28999999999999998</v>
      </c>
      <c r="N247" s="470"/>
    </row>
    <row r="248" spans="1:14">
      <c r="A248" s="464" t="s">
        <v>626</v>
      </c>
      <c r="B248" s="465" t="s">
        <v>1681</v>
      </c>
      <c r="C248" s="465" t="s">
        <v>2394</v>
      </c>
      <c r="D248" s="464" t="s">
        <v>2395</v>
      </c>
      <c r="E248" s="465" t="s">
        <v>75</v>
      </c>
      <c r="F248" s="464" t="s">
        <v>1602</v>
      </c>
      <c r="G248" s="465" t="s">
        <v>20</v>
      </c>
      <c r="H248" s="465">
        <v>201612</v>
      </c>
      <c r="I248" s="480">
        <v>527.91</v>
      </c>
      <c r="J248" s="464">
        <v>0</v>
      </c>
      <c r="K248" s="472">
        <v>1.4833299999999999E-3</v>
      </c>
      <c r="L248" s="469">
        <f t="shared" si="6"/>
        <v>0</v>
      </c>
      <c r="M248" s="469">
        <f t="shared" si="7"/>
        <v>9.4</v>
      </c>
      <c r="N248" s="470"/>
    </row>
    <row r="249" spans="1:14">
      <c r="A249" s="464" t="s">
        <v>14</v>
      </c>
      <c r="B249" s="465" t="s">
        <v>1681</v>
      </c>
      <c r="C249" s="465" t="s">
        <v>2394</v>
      </c>
      <c r="D249" s="464" t="s">
        <v>2395</v>
      </c>
      <c r="E249" s="465" t="s">
        <v>75</v>
      </c>
      <c r="F249" s="464" t="s">
        <v>1602</v>
      </c>
      <c r="G249" s="465" t="s">
        <v>20</v>
      </c>
      <c r="H249" s="465">
        <v>201612</v>
      </c>
      <c r="I249" s="480">
        <v>22.17</v>
      </c>
      <c r="J249" s="464">
        <v>0</v>
      </c>
      <c r="K249" s="468">
        <v>2.23333E-3</v>
      </c>
      <c r="L249" s="469">
        <f t="shared" si="6"/>
        <v>0</v>
      </c>
      <c r="M249" s="469">
        <f t="shared" si="7"/>
        <v>0.59</v>
      </c>
      <c r="N249" s="470"/>
    </row>
    <row r="250" spans="1:14">
      <c r="A250" s="464" t="s">
        <v>626</v>
      </c>
      <c r="B250" s="465" t="s">
        <v>1681</v>
      </c>
      <c r="C250" s="465" t="s">
        <v>2095</v>
      </c>
      <c r="D250" s="464" t="s">
        <v>2096</v>
      </c>
      <c r="E250" s="465" t="s">
        <v>164</v>
      </c>
      <c r="F250" s="464" t="s">
        <v>1600</v>
      </c>
      <c r="G250" s="465" t="s">
        <v>20</v>
      </c>
      <c r="H250" s="465">
        <v>201612</v>
      </c>
      <c r="I250" s="480">
        <v>742.14</v>
      </c>
      <c r="J250" s="464">
        <v>0</v>
      </c>
      <c r="K250" s="472">
        <v>1.4833299999999999E-3</v>
      </c>
      <c r="L250" s="469">
        <f t="shared" si="6"/>
        <v>0</v>
      </c>
      <c r="M250" s="469">
        <f t="shared" si="7"/>
        <v>13.21</v>
      </c>
      <c r="N250" s="470"/>
    </row>
    <row r="251" spans="1:14">
      <c r="A251" s="464" t="s">
        <v>626</v>
      </c>
      <c r="B251" s="465" t="s">
        <v>1681</v>
      </c>
      <c r="C251" s="465" t="s">
        <v>2398</v>
      </c>
      <c r="D251" s="464" t="s">
        <v>2399</v>
      </c>
      <c r="E251" s="465" t="s">
        <v>93</v>
      </c>
      <c r="F251" s="464" t="s">
        <v>1601</v>
      </c>
      <c r="G251" s="465" t="s">
        <v>20</v>
      </c>
      <c r="H251" s="465">
        <v>201612</v>
      </c>
      <c r="I251" s="480">
        <v>390.75</v>
      </c>
      <c r="J251" s="464">
        <v>0</v>
      </c>
      <c r="K251" s="472">
        <v>1.4833299999999999E-3</v>
      </c>
      <c r="L251" s="469">
        <f t="shared" si="6"/>
        <v>0</v>
      </c>
      <c r="M251" s="469">
        <f t="shared" si="7"/>
        <v>6.96</v>
      </c>
      <c r="N251" s="470"/>
    </row>
    <row r="252" spans="1:14">
      <c r="A252" s="464" t="s">
        <v>626</v>
      </c>
      <c r="B252" s="465" t="s">
        <v>1681</v>
      </c>
      <c r="C252" s="465" t="s">
        <v>2402</v>
      </c>
      <c r="D252" s="464" t="s">
        <v>2403</v>
      </c>
      <c r="E252" s="465" t="s">
        <v>87</v>
      </c>
      <c r="F252" s="464" t="s">
        <v>1603</v>
      </c>
      <c r="G252" s="465" t="s">
        <v>20</v>
      </c>
      <c r="H252" s="465">
        <v>201612</v>
      </c>
      <c r="I252" s="480">
        <v>1831.6</v>
      </c>
      <c r="J252" s="464">
        <v>0</v>
      </c>
      <c r="K252" s="472">
        <v>1.4833299999999999E-3</v>
      </c>
      <c r="L252" s="469">
        <f t="shared" si="6"/>
        <v>0</v>
      </c>
      <c r="M252" s="469">
        <f t="shared" si="7"/>
        <v>32.6</v>
      </c>
      <c r="N252" s="470"/>
    </row>
    <row r="253" spans="1:14">
      <c r="A253" s="464" t="s">
        <v>14</v>
      </c>
      <c r="B253" s="465" t="s">
        <v>1681</v>
      </c>
      <c r="C253" s="465" t="s">
        <v>2402</v>
      </c>
      <c r="D253" s="464" t="s">
        <v>2403</v>
      </c>
      <c r="E253" s="465" t="s">
        <v>87</v>
      </c>
      <c r="F253" s="464" t="s">
        <v>1603</v>
      </c>
      <c r="G253" s="465" t="s">
        <v>20</v>
      </c>
      <c r="H253" s="465">
        <v>201612</v>
      </c>
      <c r="I253" s="480">
        <v>296.51</v>
      </c>
      <c r="J253" s="464">
        <v>0</v>
      </c>
      <c r="K253" s="468">
        <v>2.23333E-3</v>
      </c>
      <c r="L253" s="469">
        <f t="shared" si="6"/>
        <v>0</v>
      </c>
      <c r="M253" s="469">
        <f t="shared" si="7"/>
        <v>7.95</v>
      </c>
      <c r="N253" s="470"/>
    </row>
    <row r="254" spans="1:14">
      <c r="A254" s="464" t="s">
        <v>626</v>
      </c>
      <c r="B254" s="465" t="s">
        <v>1681</v>
      </c>
      <c r="C254" s="465" t="s">
        <v>2097</v>
      </c>
      <c r="D254" s="464" t="s">
        <v>2098</v>
      </c>
      <c r="E254" s="465" t="s">
        <v>260</v>
      </c>
      <c r="F254" s="464" t="s">
        <v>1608</v>
      </c>
      <c r="G254" s="465" t="s">
        <v>20</v>
      </c>
      <c r="H254" s="465">
        <v>201612</v>
      </c>
      <c r="I254" s="480">
        <v>5113.9799999999996</v>
      </c>
      <c r="J254" s="464">
        <v>0</v>
      </c>
      <c r="K254" s="472">
        <v>1.4833299999999999E-3</v>
      </c>
      <c r="L254" s="469">
        <f t="shared" si="6"/>
        <v>0</v>
      </c>
      <c r="M254" s="469">
        <f t="shared" si="7"/>
        <v>91.03</v>
      </c>
      <c r="N254" s="470"/>
    </row>
    <row r="255" spans="1:14">
      <c r="A255" s="464" t="s">
        <v>14</v>
      </c>
      <c r="B255" s="465" t="s">
        <v>1681</v>
      </c>
      <c r="C255" s="465" t="s">
        <v>2097</v>
      </c>
      <c r="D255" s="464" t="s">
        <v>2098</v>
      </c>
      <c r="E255" s="465" t="s">
        <v>260</v>
      </c>
      <c r="F255" s="464" t="s">
        <v>1608</v>
      </c>
      <c r="G255" s="465" t="s">
        <v>20</v>
      </c>
      <c r="H255" s="465">
        <v>201612</v>
      </c>
      <c r="I255" s="480">
        <v>-5113.9799999999996</v>
      </c>
      <c r="J255" s="464">
        <v>0</v>
      </c>
      <c r="K255" s="468">
        <v>2.23333E-3</v>
      </c>
      <c r="L255" s="469">
        <f t="shared" si="6"/>
        <v>0</v>
      </c>
      <c r="M255" s="469">
        <f t="shared" si="7"/>
        <v>-137.05000000000001</v>
      </c>
      <c r="N255" s="470"/>
    </row>
    <row r="256" spans="1:14">
      <c r="A256" s="464" t="s">
        <v>626</v>
      </c>
      <c r="B256" s="465" t="s">
        <v>1681</v>
      </c>
      <c r="C256" s="465" t="s">
        <v>2099</v>
      </c>
      <c r="D256" s="464" t="s">
        <v>2100</v>
      </c>
      <c r="E256" s="465" t="s">
        <v>260</v>
      </c>
      <c r="F256" s="464" t="s">
        <v>1608</v>
      </c>
      <c r="G256" s="465" t="s">
        <v>20</v>
      </c>
      <c r="H256" s="465">
        <v>201612</v>
      </c>
      <c r="I256" s="480">
        <v>-1189.27</v>
      </c>
      <c r="J256" s="464">
        <v>0</v>
      </c>
      <c r="K256" s="472">
        <v>1.4833299999999999E-3</v>
      </c>
      <c r="L256" s="469">
        <f t="shared" si="6"/>
        <v>0</v>
      </c>
      <c r="M256" s="469">
        <f t="shared" si="7"/>
        <v>-21.17</v>
      </c>
      <c r="N256" s="470"/>
    </row>
    <row r="257" spans="1:14">
      <c r="A257" s="464" t="s">
        <v>14</v>
      </c>
      <c r="B257" s="465" t="s">
        <v>1681</v>
      </c>
      <c r="C257" s="465" t="s">
        <v>2099</v>
      </c>
      <c r="D257" s="464" t="s">
        <v>2100</v>
      </c>
      <c r="E257" s="465" t="s">
        <v>260</v>
      </c>
      <c r="F257" s="464" t="s">
        <v>1608</v>
      </c>
      <c r="G257" s="465" t="s">
        <v>20</v>
      </c>
      <c r="H257" s="465">
        <v>201612</v>
      </c>
      <c r="I257" s="480">
        <v>1189.27</v>
      </c>
      <c r="J257" s="464">
        <v>0</v>
      </c>
      <c r="K257" s="468">
        <v>2.23333E-3</v>
      </c>
      <c r="L257" s="469">
        <f t="shared" si="6"/>
        <v>0</v>
      </c>
      <c r="M257" s="469">
        <f t="shared" si="7"/>
        <v>31.87</v>
      </c>
      <c r="N257" s="470"/>
    </row>
    <row r="258" spans="1:14">
      <c r="A258" s="464" t="s">
        <v>626</v>
      </c>
      <c r="B258" s="465" t="s">
        <v>1681</v>
      </c>
      <c r="C258" s="465" t="s">
        <v>2101</v>
      </c>
      <c r="D258" s="464" t="s">
        <v>2102</v>
      </c>
      <c r="E258" s="465" t="s">
        <v>260</v>
      </c>
      <c r="F258" s="464" t="s">
        <v>1608</v>
      </c>
      <c r="G258" s="465" t="s">
        <v>20</v>
      </c>
      <c r="H258" s="465">
        <v>201612</v>
      </c>
      <c r="I258" s="480">
        <v>4.74</v>
      </c>
      <c r="J258" s="464">
        <v>0</v>
      </c>
      <c r="K258" s="472">
        <v>1.4833299999999999E-3</v>
      </c>
      <c r="L258" s="469">
        <f t="shared" ref="L258:L320" si="8">ROUND(I258*J258*K258,2)</f>
        <v>0</v>
      </c>
      <c r="M258" s="469">
        <f t="shared" ref="M258:M320" si="9">ROUND(I258*K258*12,2)</f>
        <v>0.08</v>
      </c>
      <c r="N258" s="470"/>
    </row>
    <row r="259" spans="1:14">
      <c r="A259" s="464" t="s">
        <v>626</v>
      </c>
      <c r="B259" s="465" t="s">
        <v>1681</v>
      </c>
      <c r="C259" s="465" t="s">
        <v>2404</v>
      </c>
      <c r="D259" s="464" t="s">
        <v>2405</v>
      </c>
      <c r="E259" s="465" t="s">
        <v>209</v>
      </c>
      <c r="F259" s="464" t="s">
        <v>1612</v>
      </c>
      <c r="G259" s="465" t="s">
        <v>20</v>
      </c>
      <c r="H259" s="465">
        <v>201612</v>
      </c>
      <c r="I259" s="480">
        <v>12000.25</v>
      </c>
      <c r="J259" s="464">
        <v>0</v>
      </c>
      <c r="K259" s="472">
        <v>1.4833299999999999E-3</v>
      </c>
      <c r="L259" s="469">
        <f t="shared" si="8"/>
        <v>0</v>
      </c>
      <c r="M259" s="469">
        <f t="shared" si="9"/>
        <v>213.6</v>
      </c>
      <c r="N259" s="470"/>
    </row>
    <row r="260" spans="1:14">
      <c r="A260" s="464" t="s">
        <v>626</v>
      </c>
      <c r="B260" s="465" t="s">
        <v>1681</v>
      </c>
      <c r="C260" s="465" t="s">
        <v>2273</v>
      </c>
      <c r="D260" s="464" t="s">
        <v>2274</v>
      </c>
      <c r="E260" s="465" t="s">
        <v>260</v>
      </c>
      <c r="F260" s="464" t="s">
        <v>1608</v>
      </c>
      <c r="G260" s="465" t="s">
        <v>20</v>
      </c>
      <c r="H260" s="465">
        <v>201612</v>
      </c>
      <c r="I260" s="480">
        <v>-3883.56</v>
      </c>
      <c r="J260" s="464">
        <v>0</v>
      </c>
      <c r="K260" s="472">
        <v>1.4833299999999999E-3</v>
      </c>
      <c r="L260" s="469">
        <f t="shared" si="8"/>
        <v>0</v>
      </c>
      <c r="M260" s="469">
        <f t="shared" si="9"/>
        <v>-69.13</v>
      </c>
      <c r="N260" s="470"/>
    </row>
    <row r="261" spans="1:14">
      <c r="A261" s="464" t="s">
        <v>21</v>
      </c>
      <c r="B261" s="465" t="s">
        <v>1681</v>
      </c>
      <c r="C261" s="465" t="s">
        <v>2438</v>
      </c>
      <c r="D261" s="464" t="s">
        <v>2439</v>
      </c>
      <c r="E261" s="465" t="s">
        <v>260</v>
      </c>
      <c r="F261" s="464" t="s">
        <v>1608</v>
      </c>
      <c r="G261" s="465" t="s">
        <v>20</v>
      </c>
      <c r="H261" s="465">
        <v>201612</v>
      </c>
      <c r="I261" s="480">
        <v>810.66</v>
      </c>
      <c r="J261" s="464">
        <v>0</v>
      </c>
      <c r="K261" s="472">
        <v>1.4833299999999999E-3</v>
      </c>
      <c r="L261" s="469">
        <f t="shared" si="8"/>
        <v>0</v>
      </c>
      <c r="M261" s="469">
        <f t="shared" si="9"/>
        <v>14.43</v>
      </c>
      <c r="N261" s="470"/>
    </row>
    <row r="262" spans="1:14">
      <c r="A262" s="464" t="s">
        <v>626</v>
      </c>
      <c r="B262" s="465" t="s">
        <v>1681</v>
      </c>
      <c r="C262" s="465" t="s">
        <v>2438</v>
      </c>
      <c r="D262" s="464" t="s">
        <v>2439</v>
      </c>
      <c r="E262" s="465" t="s">
        <v>260</v>
      </c>
      <c r="F262" s="464" t="s">
        <v>1608</v>
      </c>
      <c r="G262" s="465" t="s">
        <v>20</v>
      </c>
      <c r="H262" s="465">
        <v>201612</v>
      </c>
      <c r="I262" s="480">
        <v>18841.66</v>
      </c>
      <c r="J262" s="464">
        <v>0</v>
      </c>
      <c r="K262" s="472">
        <v>1.4833299999999999E-3</v>
      </c>
      <c r="L262" s="469">
        <f t="shared" si="8"/>
        <v>0</v>
      </c>
      <c r="M262" s="469">
        <f t="shared" si="9"/>
        <v>335.38</v>
      </c>
      <c r="N262" s="470"/>
    </row>
    <row r="263" spans="1:14">
      <c r="A263" s="464" t="s">
        <v>14</v>
      </c>
      <c r="B263" s="465" t="s">
        <v>1681</v>
      </c>
      <c r="C263" s="465" t="s">
        <v>2438</v>
      </c>
      <c r="D263" s="464" t="s">
        <v>2439</v>
      </c>
      <c r="E263" s="465" t="s">
        <v>260</v>
      </c>
      <c r="F263" s="464" t="s">
        <v>1608</v>
      </c>
      <c r="G263" s="465" t="s">
        <v>20</v>
      </c>
      <c r="H263" s="465">
        <v>201612</v>
      </c>
      <c r="I263" s="480">
        <v>130.94</v>
      </c>
      <c r="J263" s="464">
        <v>0</v>
      </c>
      <c r="K263" s="468">
        <v>2.23333E-3</v>
      </c>
      <c r="L263" s="469">
        <f t="shared" si="8"/>
        <v>0</v>
      </c>
      <c r="M263" s="469">
        <f t="shared" si="9"/>
        <v>3.51</v>
      </c>
      <c r="N263" s="470"/>
    </row>
    <row r="264" spans="1:14">
      <c r="A264" s="464" t="s">
        <v>626</v>
      </c>
      <c r="B264" s="465" t="s">
        <v>1681</v>
      </c>
      <c r="C264" s="465" t="s">
        <v>2113</v>
      </c>
      <c r="D264" s="464" t="s">
        <v>2114</v>
      </c>
      <c r="E264" s="465" t="s">
        <v>87</v>
      </c>
      <c r="F264" s="464" t="s">
        <v>1603</v>
      </c>
      <c r="G264" s="465" t="s">
        <v>20</v>
      </c>
      <c r="H264" s="465">
        <v>201612</v>
      </c>
      <c r="I264" s="480">
        <v>965</v>
      </c>
      <c r="J264" s="464">
        <v>0</v>
      </c>
      <c r="K264" s="472">
        <v>1.4833299999999999E-3</v>
      </c>
      <c r="L264" s="469">
        <f t="shared" si="8"/>
        <v>0</v>
      </c>
      <c r="M264" s="469">
        <f t="shared" si="9"/>
        <v>17.18</v>
      </c>
      <c r="N264" s="470"/>
    </row>
    <row r="265" spans="1:14">
      <c r="A265" s="464" t="s">
        <v>626</v>
      </c>
      <c r="B265" s="465" t="s">
        <v>1681</v>
      </c>
      <c r="C265" s="465" t="s">
        <v>2406</v>
      </c>
      <c r="D265" s="464" t="s">
        <v>2407</v>
      </c>
      <c r="E265" s="465" t="s">
        <v>75</v>
      </c>
      <c r="F265" s="464" t="s">
        <v>1602</v>
      </c>
      <c r="G265" s="465" t="s">
        <v>20</v>
      </c>
      <c r="H265" s="465">
        <v>201612</v>
      </c>
      <c r="I265" s="480">
        <v>150.94</v>
      </c>
      <c r="J265" s="464">
        <v>0</v>
      </c>
      <c r="K265" s="472">
        <v>1.4833299999999999E-3</v>
      </c>
      <c r="L265" s="469">
        <f t="shared" si="8"/>
        <v>0</v>
      </c>
      <c r="M265" s="469">
        <f t="shared" si="9"/>
        <v>2.69</v>
      </c>
      <c r="N265" s="470"/>
    </row>
    <row r="266" spans="1:14">
      <c r="A266" s="464" t="s">
        <v>14</v>
      </c>
      <c r="B266" s="465" t="s">
        <v>1681</v>
      </c>
      <c r="C266" s="465" t="s">
        <v>2406</v>
      </c>
      <c r="D266" s="464" t="s">
        <v>2407</v>
      </c>
      <c r="E266" s="465" t="s">
        <v>75</v>
      </c>
      <c r="F266" s="464" t="s">
        <v>1602</v>
      </c>
      <c r="G266" s="465" t="s">
        <v>20</v>
      </c>
      <c r="H266" s="465">
        <v>201612</v>
      </c>
      <c r="I266" s="480">
        <v>3.56</v>
      </c>
      <c r="J266" s="464">
        <v>0</v>
      </c>
      <c r="K266" s="468">
        <v>2.23333E-3</v>
      </c>
      <c r="L266" s="469">
        <f t="shared" si="8"/>
        <v>0</v>
      </c>
      <c r="M266" s="469">
        <f t="shared" si="9"/>
        <v>0.1</v>
      </c>
      <c r="N266" s="470"/>
    </row>
    <row r="267" spans="1:14">
      <c r="A267" s="464" t="s">
        <v>626</v>
      </c>
      <c r="B267" s="465" t="s">
        <v>1681</v>
      </c>
      <c r="C267" s="465" t="s">
        <v>2412</v>
      </c>
      <c r="D267" s="464" t="s">
        <v>2413</v>
      </c>
      <c r="E267" s="465" t="s">
        <v>75</v>
      </c>
      <c r="F267" s="464" t="s">
        <v>1602</v>
      </c>
      <c r="G267" s="465" t="s">
        <v>20</v>
      </c>
      <c r="H267" s="465">
        <v>201612</v>
      </c>
      <c r="I267" s="480">
        <v>340.08</v>
      </c>
      <c r="J267" s="464">
        <v>0</v>
      </c>
      <c r="K267" s="472">
        <v>1.4833299999999999E-3</v>
      </c>
      <c r="L267" s="469">
        <f t="shared" si="8"/>
        <v>0</v>
      </c>
      <c r="M267" s="469">
        <f t="shared" si="9"/>
        <v>6.05</v>
      </c>
      <c r="N267" s="470"/>
    </row>
    <row r="268" spans="1:14">
      <c r="A268" s="464" t="s">
        <v>14</v>
      </c>
      <c r="B268" s="465" t="s">
        <v>1681</v>
      </c>
      <c r="C268" s="465" t="s">
        <v>2412</v>
      </c>
      <c r="D268" s="464" t="s">
        <v>2413</v>
      </c>
      <c r="E268" s="465" t="s">
        <v>75</v>
      </c>
      <c r="F268" s="464" t="s">
        <v>1602</v>
      </c>
      <c r="G268" s="465" t="s">
        <v>20</v>
      </c>
      <c r="H268" s="465">
        <v>201612</v>
      </c>
      <c r="I268" s="480">
        <v>3.56</v>
      </c>
      <c r="J268" s="464">
        <v>0</v>
      </c>
      <c r="K268" s="468">
        <v>2.23333E-3</v>
      </c>
      <c r="L268" s="469">
        <f t="shared" si="8"/>
        <v>0</v>
      </c>
      <c r="M268" s="469">
        <f t="shared" si="9"/>
        <v>0.1</v>
      </c>
      <c r="N268" s="470"/>
    </row>
    <row r="269" spans="1:14">
      <c r="A269" s="464" t="s">
        <v>626</v>
      </c>
      <c r="B269" s="465" t="s">
        <v>1681</v>
      </c>
      <c r="C269" s="465" t="s">
        <v>2416</v>
      </c>
      <c r="D269" s="464" t="s">
        <v>2417</v>
      </c>
      <c r="E269" s="465" t="s">
        <v>164</v>
      </c>
      <c r="F269" s="464" t="s">
        <v>1600</v>
      </c>
      <c r="G269" s="465" t="s">
        <v>20</v>
      </c>
      <c r="H269" s="465">
        <v>201612</v>
      </c>
      <c r="I269" s="480">
        <v>2081.54</v>
      </c>
      <c r="J269" s="464">
        <v>0</v>
      </c>
      <c r="K269" s="472">
        <v>1.4833299999999999E-3</v>
      </c>
      <c r="L269" s="469">
        <f t="shared" si="8"/>
        <v>0</v>
      </c>
      <c r="M269" s="469">
        <f t="shared" si="9"/>
        <v>37.049999999999997</v>
      </c>
      <c r="N269" s="470"/>
    </row>
    <row r="270" spans="1:14">
      <c r="A270" s="464" t="s">
        <v>1942</v>
      </c>
      <c r="B270" s="465" t="s">
        <v>1681</v>
      </c>
      <c r="C270" s="465" t="s">
        <v>2416</v>
      </c>
      <c r="D270" s="464" t="s">
        <v>2417</v>
      </c>
      <c r="E270" s="465" t="s">
        <v>164</v>
      </c>
      <c r="F270" s="464" t="s">
        <v>1600</v>
      </c>
      <c r="G270" s="465" t="s">
        <v>20</v>
      </c>
      <c r="H270" s="465">
        <v>201612</v>
      </c>
      <c r="I270" s="480">
        <v>4.5199999999999996</v>
      </c>
      <c r="J270" s="464">
        <v>0</v>
      </c>
      <c r="K270" s="472">
        <v>2.23333E-3</v>
      </c>
      <c r="L270" s="469">
        <f t="shared" si="8"/>
        <v>0</v>
      </c>
      <c r="M270" s="469">
        <f t="shared" si="9"/>
        <v>0.12</v>
      </c>
      <c r="N270" s="470"/>
    </row>
    <row r="271" spans="1:14">
      <c r="A271" s="464" t="s">
        <v>21</v>
      </c>
      <c r="B271" s="465" t="s">
        <v>1681</v>
      </c>
      <c r="C271" s="465" t="s">
        <v>2418</v>
      </c>
      <c r="D271" s="464" t="s">
        <v>2419</v>
      </c>
      <c r="E271" s="465" t="s">
        <v>75</v>
      </c>
      <c r="F271" s="464" t="s">
        <v>1602</v>
      </c>
      <c r="G271" s="465" t="s">
        <v>20</v>
      </c>
      <c r="H271" s="465">
        <v>201612</v>
      </c>
      <c r="I271" s="480">
        <v>79.400000000000006</v>
      </c>
      <c r="J271" s="464">
        <v>0</v>
      </c>
      <c r="K271" s="472">
        <v>1.4833299999999999E-3</v>
      </c>
      <c r="L271" s="469">
        <f t="shared" si="8"/>
        <v>0</v>
      </c>
      <c r="M271" s="469">
        <f t="shared" si="9"/>
        <v>1.41</v>
      </c>
      <c r="N271" s="470"/>
    </row>
    <row r="272" spans="1:14">
      <c r="A272" s="464" t="s">
        <v>1942</v>
      </c>
      <c r="B272" s="465" t="s">
        <v>1681</v>
      </c>
      <c r="C272" s="465" t="s">
        <v>2418</v>
      </c>
      <c r="D272" s="464" t="s">
        <v>2419</v>
      </c>
      <c r="E272" s="465" t="s">
        <v>75</v>
      </c>
      <c r="F272" s="464" t="s">
        <v>1602</v>
      </c>
      <c r="G272" s="465" t="s">
        <v>20</v>
      </c>
      <c r="H272" s="465">
        <v>201612</v>
      </c>
      <c r="I272" s="480">
        <v>0.3</v>
      </c>
      <c r="J272" s="464">
        <v>0</v>
      </c>
      <c r="K272" s="472">
        <v>2.23333E-3</v>
      </c>
      <c r="L272" s="469">
        <f t="shared" si="8"/>
        <v>0</v>
      </c>
      <c r="M272" s="469">
        <f t="shared" si="9"/>
        <v>0.01</v>
      </c>
      <c r="N272" s="470"/>
    </row>
    <row r="273" spans="1:14">
      <c r="A273" s="464" t="s">
        <v>21</v>
      </c>
      <c r="B273" s="465" t="s">
        <v>1681</v>
      </c>
      <c r="C273" s="465" t="s">
        <v>2279</v>
      </c>
      <c r="D273" s="464" t="s">
        <v>2280</v>
      </c>
      <c r="E273" s="465" t="s">
        <v>87</v>
      </c>
      <c r="F273" s="464" t="s">
        <v>1603</v>
      </c>
      <c r="G273" s="465" t="s">
        <v>20</v>
      </c>
      <c r="H273" s="465">
        <v>201612</v>
      </c>
      <c r="I273" s="480">
        <v>37.68</v>
      </c>
      <c r="J273" s="464">
        <v>0</v>
      </c>
      <c r="K273" s="472">
        <v>1.4833299999999999E-3</v>
      </c>
      <c r="L273" s="469">
        <f t="shared" si="8"/>
        <v>0</v>
      </c>
      <c r="M273" s="469">
        <f t="shared" si="9"/>
        <v>0.67</v>
      </c>
      <c r="N273" s="470"/>
    </row>
    <row r="274" spans="1:14">
      <c r="A274" s="464" t="s">
        <v>626</v>
      </c>
      <c r="B274" s="465" t="s">
        <v>1681</v>
      </c>
      <c r="C274" s="465" t="s">
        <v>2420</v>
      </c>
      <c r="D274" s="464" t="s">
        <v>2421</v>
      </c>
      <c r="E274" s="465" t="s">
        <v>164</v>
      </c>
      <c r="F274" s="464" t="s">
        <v>1600</v>
      </c>
      <c r="G274" s="465" t="s">
        <v>20</v>
      </c>
      <c r="H274" s="465">
        <v>201612</v>
      </c>
      <c r="I274" s="480">
        <v>133.13999999999999</v>
      </c>
      <c r="J274" s="464">
        <v>0</v>
      </c>
      <c r="K274" s="472">
        <v>1.4833299999999999E-3</v>
      </c>
      <c r="L274" s="469">
        <f t="shared" si="8"/>
        <v>0</v>
      </c>
      <c r="M274" s="469">
        <f t="shared" si="9"/>
        <v>2.37</v>
      </c>
      <c r="N274" s="470"/>
    </row>
    <row r="275" spans="1:14">
      <c r="A275" s="464" t="s">
        <v>626</v>
      </c>
      <c r="B275" s="465" t="s">
        <v>1681</v>
      </c>
      <c r="C275" s="465" t="s">
        <v>2289</v>
      </c>
      <c r="D275" s="464" t="s">
        <v>2290</v>
      </c>
      <c r="E275" s="465" t="s">
        <v>93</v>
      </c>
      <c r="F275" s="464" t="s">
        <v>1601</v>
      </c>
      <c r="G275" s="465" t="s">
        <v>20</v>
      </c>
      <c r="H275" s="465">
        <v>201612</v>
      </c>
      <c r="I275" s="480">
        <v>24.09</v>
      </c>
      <c r="J275" s="464">
        <v>0</v>
      </c>
      <c r="K275" s="472">
        <v>1.4833299999999999E-3</v>
      </c>
      <c r="L275" s="469">
        <f t="shared" si="8"/>
        <v>0</v>
      </c>
      <c r="M275" s="469">
        <f t="shared" si="9"/>
        <v>0.43</v>
      </c>
      <c r="N275" s="470"/>
    </row>
    <row r="276" spans="1:14">
      <c r="A276" s="464" t="s">
        <v>626</v>
      </c>
      <c r="B276" s="465" t="s">
        <v>1681</v>
      </c>
      <c r="C276" s="465" t="s">
        <v>2440</v>
      </c>
      <c r="D276" s="464" t="s">
        <v>2441</v>
      </c>
      <c r="E276" s="465" t="s">
        <v>75</v>
      </c>
      <c r="F276" s="464" t="s">
        <v>1602</v>
      </c>
      <c r="G276" s="465" t="s">
        <v>20</v>
      </c>
      <c r="H276" s="465">
        <v>201612</v>
      </c>
      <c r="I276" s="480">
        <v>254401.45</v>
      </c>
      <c r="J276" s="464">
        <v>0</v>
      </c>
      <c r="K276" s="472">
        <v>1.4833299999999999E-3</v>
      </c>
      <c r="L276" s="469">
        <f t="shared" si="8"/>
        <v>0</v>
      </c>
      <c r="M276" s="469">
        <f t="shared" si="9"/>
        <v>4528.34</v>
      </c>
      <c r="N276" s="470"/>
    </row>
    <row r="277" spans="1:14">
      <c r="A277" s="464" t="s">
        <v>14</v>
      </c>
      <c r="B277" s="465" t="s">
        <v>1681</v>
      </c>
      <c r="C277" s="465" t="s">
        <v>2440</v>
      </c>
      <c r="D277" s="464" t="s">
        <v>2441</v>
      </c>
      <c r="E277" s="465" t="s">
        <v>75</v>
      </c>
      <c r="F277" s="464" t="s">
        <v>1602</v>
      </c>
      <c r="G277" s="465" t="s">
        <v>20</v>
      </c>
      <c r="H277" s="465">
        <v>201612</v>
      </c>
      <c r="I277" s="480">
        <v>168434.91</v>
      </c>
      <c r="J277" s="464">
        <v>0</v>
      </c>
      <c r="K277" s="468">
        <v>2.23333E-3</v>
      </c>
      <c r="L277" s="469">
        <f t="shared" si="8"/>
        <v>0</v>
      </c>
      <c r="M277" s="469">
        <f t="shared" si="9"/>
        <v>4514.05</v>
      </c>
      <c r="N277" s="470"/>
    </row>
    <row r="278" spans="1:14">
      <c r="A278" s="464" t="s">
        <v>626</v>
      </c>
      <c r="B278" s="465" t="s">
        <v>1681</v>
      </c>
      <c r="C278" s="465" t="s">
        <v>2422</v>
      </c>
      <c r="D278" s="464" t="s">
        <v>2423</v>
      </c>
      <c r="E278" s="465" t="s">
        <v>164</v>
      </c>
      <c r="F278" s="464" t="s">
        <v>1600</v>
      </c>
      <c r="G278" s="465" t="s">
        <v>20</v>
      </c>
      <c r="H278" s="465">
        <v>201612</v>
      </c>
      <c r="I278" s="480">
        <v>21.13</v>
      </c>
      <c r="J278" s="464">
        <v>0</v>
      </c>
      <c r="K278" s="472">
        <v>1.4833299999999999E-3</v>
      </c>
      <c r="L278" s="469">
        <f t="shared" si="8"/>
        <v>0</v>
      </c>
      <c r="M278" s="469">
        <f t="shared" si="9"/>
        <v>0.38</v>
      </c>
      <c r="N278" s="470"/>
    </row>
    <row r="279" spans="1:14">
      <c r="A279" s="464" t="s">
        <v>626</v>
      </c>
      <c r="B279" s="465" t="s">
        <v>1681</v>
      </c>
      <c r="C279" s="465" t="s">
        <v>2424</v>
      </c>
      <c r="D279" s="464" t="s">
        <v>2425</v>
      </c>
      <c r="E279" s="465" t="s">
        <v>93</v>
      </c>
      <c r="F279" s="464" t="s">
        <v>1601</v>
      </c>
      <c r="G279" s="465" t="s">
        <v>20</v>
      </c>
      <c r="H279" s="465">
        <v>201612</v>
      </c>
      <c r="I279" s="480">
        <v>3091.39</v>
      </c>
      <c r="J279" s="464">
        <v>0</v>
      </c>
      <c r="K279" s="472">
        <v>1.4833299999999999E-3</v>
      </c>
      <c r="L279" s="469">
        <f t="shared" si="8"/>
        <v>0</v>
      </c>
      <c r="M279" s="469">
        <f t="shared" si="9"/>
        <v>55.03</v>
      </c>
      <c r="N279" s="470"/>
    </row>
    <row r="280" spans="1:14">
      <c r="A280" s="464" t="s">
        <v>626</v>
      </c>
      <c r="B280" s="465" t="s">
        <v>1681</v>
      </c>
      <c r="C280" s="465" t="s">
        <v>2442</v>
      </c>
      <c r="D280" s="464" t="s">
        <v>2443</v>
      </c>
      <c r="E280" s="465" t="s">
        <v>260</v>
      </c>
      <c r="F280" s="464" t="s">
        <v>1608</v>
      </c>
      <c r="G280" s="465" t="s">
        <v>20</v>
      </c>
      <c r="H280" s="465">
        <v>201612</v>
      </c>
      <c r="I280" s="480">
        <v>136272.18</v>
      </c>
      <c r="J280" s="464">
        <v>0</v>
      </c>
      <c r="K280" s="472">
        <v>1.4833299999999999E-3</v>
      </c>
      <c r="L280" s="469">
        <f t="shared" si="8"/>
        <v>0</v>
      </c>
      <c r="M280" s="469">
        <f t="shared" si="9"/>
        <v>2425.64</v>
      </c>
      <c r="N280" s="470"/>
    </row>
    <row r="281" spans="1:14">
      <c r="A281" s="464" t="s">
        <v>14</v>
      </c>
      <c r="B281" s="465" t="s">
        <v>1681</v>
      </c>
      <c r="C281" s="465" t="s">
        <v>2442</v>
      </c>
      <c r="D281" s="464" t="s">
        <v>2443</v>
      </c>
      <c r="E281" s="465" t="s">
        <v>260</v>
      </c>
      <c r="F281" s="464" t="s">
        <v>1608</v>
      </c>
      <c r="G281" s="465" t="s">
        <v>20</v>
      </c>
      <c r="H281" s="465">
        <v>201612</v>
      </c>
      <c r="I281" s="480">
        <v>8198.89</v>
      </c>
      <c r="J281" s="464">
        <v>0</v>
      </c>
      <c r="K281" s="468">
        <v>2.23333E-3</v>
      </c>
      <c r="L281" s="469">
        <f t="shared" si="8"/>
        <v>0</v>
      </c>
      <c r="M281" s="469">
        <f t="shared" si="9"/>
        <v>219.73</v>
      </c>
      <c r="N281" s="470"/>
    </row>
    <row r="282" spans="1:14">
      <c r="A282" s="464" t="s">
        <v>626</v>
      </c>
      <c r="B282" s="465" t="s">
        <v>1681</v>
      </c>
      <c r="C282" s="465" t="s">
        <v>2444</v>
      </c>
      <c r="D282" s="464" t="s">
        <v>2445</v>
      </c>
      <c r="E282" s="465" t="s">
        <v>75</v>
      </c>
      <c r="F282" s="464" t="s">
        <v>1602</v>
      </c>
      <c r="G282" s="465" t="s">
        <v>20</v>
      </c>
      <c r="H282" s="465">
        <v>201612</v>
      </c>
      <c r="I282" s="480">
        <v>61311.21</v>
      </c>
      <c r="J282" s="464">
        <v>0</v>
      </c>
      <c r="K282" s="472">
        <v>1.4833299999999999E-3</v>
      </c>
      <c r="L282" s="469">
        <f t="shared" si="8"/>
        <v>0</v>
      </c>
      <c r="M282" s="469">
        <f t="shared" si="9"/>
        <v>1091.3399999999999</v>
      </c>
      <c r="N282" s="470"/>
    </row>
    <row r="283" spans="1:14">
      <c r="A283" s="464" t="s">
        <v>14</v>
      </c>
      <c r="B283" s="465" t="s">
        <v>1681</v>
      </c>
      <c r="C283" s="465" t="s">
        <v>2444</v>
      </c>
      <c r="D283" s="464" t="s">
        <v>2445</v>
      </c>
      <c r="E283" s="465" t="s">
        <v>75</v>
      </c>
      <c r="F283" s="464" t="s">
        <v>1602</v>
      </c>
      <c r="G283" s="465" t="s">
        <v>20</v>
      </c>
      <c r="H283" s="465">
        <v>201612</v>
      </c>
      <c r="I283" s="480">
        <v>33859.339999999997</v>
      </c>
      <c r="J283" s="464">
        <v>0</v>
      </c>
      <c r="K283" s="468">
        <v>2.23333E-3</v>
      </c>
      <c r="L283" s="469">
        <f t="shared" si="8"/>
        <v>0</v>
      </c>
      <c r="M283" s="469">
        <f t="shared" si="9"/>
        <v>907.43</v>
      </c>
      <c r="N283" s="470"/>
    </row>
    <row r="284" spans="1:14">
      <c r="A284" s="464" t="s">
        <v>626</v>
      </c>
      <c r="B284" s="465" t="s">
        <v>1681</v>
      </c>
      <c r="C284" s="465" t="s">
        <v>2446</v>
      </c>
      <c r="D284" s="464" t="s">
        <v>2447</v>
      </c>
      <c r="E284" s="465" t="s">
        <v>164</v>
      </c>
      <c r="F284" s="464" t="s">
        <v>1600</v>
      </c>
      <c r="G284" s="465" t="s">
        <v>20</v>
      </c>
      <c r="H284" s="465">
        <v>201612</v>
      </c>
      <c r="I284" s="480">
        <v>25529.48</v>
      </c>
      <c r="J284" s="464">
        <v>0</v>
      </c>
      <c r="K284" s="472">
        <v>1.4833299999999999E-3</v>
      </c>
      <c r="L284" s="469">
        <f t="shared" si="8"/>
        <v>0</v>
      </c>
      <c r="M284" s="469">
        <f t="shared" si="9"/>
        <v>454.42</v>
      </c>
      <c r="N284" s="470"/>
    </row>
    <row r="285" spans="1:14">
      <c r="A285" s="464" t="s">
        <v>626</v>
      </c>
      <c r="B285" s="465" t="s">
        <v>1681</v>
      </c>
      <c r="C285" s="465" t="s">
        <v>2448</v>
      </c>
      <c r="D285" s="464" t="s">
        <v>2449</v>
      </c>
      <c r="E285" s="465" t="s">
        <v>260</v>
      </c>
      <c r="F285" s="464" t="s">
        <v>1608</v>
      </c>
      <c r="G285" s="465" t="s">
        <v>20</v>
      </c>
      <c r="H285" s="465">
        <v>201612</v>
      </c>
      <c r="I285" s="480">
        <v>23096.26</v>
      </c>
      <c r="J285" s="464">
        <v>0</v>
      </c>
      <c r="K285" s="472">
        <v>1.4833299999999999E-3</v>
      </c>
      <c r="L285" s="469">
        <f t="shared" si="8"/>
        <v>0</v>
      </c>
      <c r="M285" s="469">
        <f t="shared" si="9"/>
        <v>411.11</v>
      </c>
      <c r="N285" s="470"/>
    </row>
    <row r="286" spans="1:14">
      <c r="A286" s="464" t="s">
        <v>14</v>
      </c>
      <c r="B286" s="465" t="s">
        <v>1681</v>
      </c>
      <c r="C286" s="465" t="s">
        <v>2448</v>
      </c>
      <c r="D286" s="464" t="s">
        <v>2449</v>
      </c>
      <c r="E286" s="465" t="s">
        <v>260</v>
      </c>
      <c r="F286" s="464" t="s">
        <v>1608</v>
      </c>
      <c r="G286" s="465" t="s">
        <v>20</v>
      </c>
      <c r="H286" s="465">
        <v>201612</v>
      </c>
      <c r="I286" s="480">
        <v>321.33</v>
      </c>
      <c r="J286" s="464">
        <v>0</v>
      </c>
      <c r="K286" s="468">
        <v>2.23333E-3</v>
      </c>
      <c r="L286" s="469">
        <f t="shared" si="8"/>
        <v>0</v>
      </c>
      <c r="M286" s="469">
        <f t="shared" si="9"/>
        <v>8.61</v>
      </c>
      <c r="N286" s="470"/>
    </row>
    <row r="287" spans="1:14">
      <c r="A287" s="464" t="s">
        <v>626</v>
      </c>
      <c r="B287" s="465" t="s">
        <v>1681</v>
      </c>
      <c r="C287" s="465" t="s">
        <v>2450</v>
      </c>
      <c r="D287" s="464" t="s">
        <v>2451</v>
      </c>
      <c r="E287" s="465" t="s">
        <v>209</v>
      </c>
      <c r="F287" s="464" t="s">
        <v>1612</v>
      </c>
      <c r="G287" s="465" t="s">
        <v>20</v>
      </c>
      <c r="H287" s="465">
        <v>201612</v>
      </c>
      <c r="I287" s="480">
        <v>32272.07</v>
      </c>
      <c r="J287" s="464">
        <v>0</v>
      </c>
      <c r="K287" s="472">
        <v>1.4833299999999999E-3</v>
      </c>
      <c r="L287" s="469">
        <f t="shared" si="8"/>
        <v>0</v>
      </c>
      <c r="M287" s="469">
        <f t="shared" si="9"/>
        <v>574.44000000000005</v>
      </c>
      <c r="N287" s="470"/>
    </row>
    <row r="288" spans="1:14">
      <c r="A288" s="464" t="s">
        <v>14</v>
      </c>
      <c r="B288" s="465" t="str">
        <f>VLOOKUP(C288,'[10]Project Detail Query'!$A$1:$R$2830,5,FALSE)</f>
        <v>20401050360</v>
      </c>
      <c r="C288" s="466" t="s">
        <v>31</v>
      </c>
      <c r="D288" s="464" t="s">
        <v>32</v>
      </c>
      <c r="E288" s="465" t="str">
        <f>VLOOKUP(C288,'[10]Project Detail Query'!$A$1:$R$2830,6,FALSE)</f>
        <v>F0558</v>
      </c>
      <c r="F288" s="464" t="str">
        <f>VLOOKUP(C288,'[10]Project Detail Query'!$A$1:$R$2830,7,FALSE)</f>
        <v>SLRP - immediate response - company</v>
      </c>
      <c r="G288" s="465" t="s">
        <v>20</v>
      </c>
      <c r="H288" s="465">
        <v>201701</v>
      </c>
      <c r="I288" s="467">
        <v>4952.22</v>
      </c>
      <c r="J288" s="464">
        <v>0</v>
      </c>
      <c r="K288" s="468">
        <v>2.23333E-3</v>
      </c>
      <c r="L288" s="469">
        <f t="shared" si="8"/>
        <v>0</v>
      </c>
      <c r="M288" s="469">
        <f t="shared" si="9"/>
        <v>132.72</v>
      </c>
      <c r="N288" s="470"/>
    </row>
    <row r="289" spans="1:14">
      <c r="A289" s="464" t="s">
        <v>554</v>
      </c>
      <c r="B289" s="465" t="str">
        <f>VLOOKUP(C289,'[10]Project Detail Query'!$A$1:$R$2830,5,FALSE)</f>
        <v>20401050325</v>
      </c>
      <c r="C289" s="466" t="s">
        <v>117</v>
      </c>
      <c r="D289" s="464" t="s">
        <v>2432</v>
      </c>
      <c r="E289" s="465" t="str">
        <f>VLOOKUP(C289,'[10]Project Detail Query'!$A$1:$R$2830,6,FALSE)</f>
        <v>F0524</v>
      </c>
      <c r="F289" s="464" t="str">
        <f>VLOOKUP(C289,'[10]Project Detail Query'!$A$1:$R$2830,7,FALSE)</f>
        <v>BWO CI Joint Encapsulation ISRS (N)</v>
      </c>
      <c r="G289" s="465" t="s">
        <v>20</v>
      </c>
      <c r="H289" s="465">
        <v>201701</v>
      </c>
      <c r="I289" s="467">
        <v>37348.589999999997</v>
      </c>
      <c r="J289" s="464">
        <v>0</v>
      </c>
      <c r="K289" s="468">
        <v>1.4833299999999999E-3</v>
      </c>
      <c r="L289" s="469">
        <f t="shared" si="8"/>
        <v>0</v>
      </c>
      <c r="M289" s="469">
        <f t="shared" si="9"/>
        <v>664.8</v>
      </c>
      <c r="N289" s="470"/>
    </row>
    <row r="290" spans="1:14">
      <c r="A290" s="464" t="s">
        <v>14</v>
      </c>
      <c r="B290" s="465" t="str">
        <f>VLOOKUP(C290,'[10]Project Detail Query'!$A$1:$R$2830,5,FALSE)</f>
        <v>20401050301</v>
      </c>
      <c r="C290" s="466" t="s">
        <v>196</v>
      </c>
      <c r="D290" s="464" t="s">
        <v>1674</v>
      </c>
      <c r="E290" s="465" t="str">
        <f>VLOOKUP(C290,'[10]Project Detail Query'!$A$1:$R$2830,6,FALSE)</f>
        <v>F0608</v>
      </c>
      <c r="F290" s="464" t="str">
        <f>VLOOKUP(C290,'[10]Project Detail Query'!$A$1:$R$2830,7,FALSE)</f>
        <v>BWO Service Line Repl - ISRS (N)</v>
      </c>
      <c r="G290" s="465" t="s">
        <v>20</v>
      </c>
      <c r="H290" s="465">
        <v>201701</v>
      </c>
      <c r="I290" s="467">
        <v>827510.98</v>
      </c>
      <c r="J290" s="464">
        <v>0</v>
      </c>
      <c r="K290" s="468">
        <v>2.23333E-3</v>
      </c>
      <c r="L290" s="469">
        <f t="shared" si="8"/>
        <v>0</v>
      </c>
      <c r="M290" s="469">
        <f t="shared" si="9"/>
        <v>22177.26</v>
      </c>
      <c r="N290" s="470"/>
    </row>
    <row r="291" spans="1:14">
      <c r="A291" s="464" t="s">
        <v>14</v>
      </c>
      <c r="B291" s="465" t="str">
        <f>VLOOKUP(C291,'[10]Project Detail Query'!$A$1:$R$2830,5,FALSE)</f>
        <v>20901050301</v>
      </c>
      <c r="C291" s="466" t="s">
        <v>201</v>
      </c>
      <c r="D291" s="464" t="s">
        <v>1675</v>
      </c>
      <c r="E291" s="465" t="str">
        <f>VLOOKUP(C291,'[10]Project Detail Query'!$A$1:$R$2830,6,FALSE)</f>
        <v>F0513</v>
      </c>
      <c r="F291" s="464" t="str">
        <f>VLOOKUP(C291,'[10]Project Detail Query'!$A$1:$R$2830,7,FALSE)</f>
        <v>BWO Service Line Repl - ISRS (S)</v>
      </c>
      <c r="G291" s="465" t="s">
        <v>20</v>
      </c>
      <c r="H291" s="465">
        <v>201701</v>
      </c>
      <c r="I291" s="467">
        <v>127189.07</v>
      </c>
      <c r="J291" s="464">
        <v>0</v>
      </c>
      <c r="K291" s="468">
        <v>2.23333E-3</v>
      </c>
      <c r="L291" s="469">
        <f t="shared" si="8"/>
        <v>0</v>
      </c>
      <c r="M291" s="469">
        <f t="shared" si="9"/>
        <v>3408.66</v>
      </c>
      <c r="N291" s="470"/>
    </row>
    <row r="292" spans="1:14">
      <c r="A292" s="464" t="s">
        <v>14</v>
      </c>
      <c r="B292" s="465" t="str">
        <f>VLOOKUP(C292,'[10]Project Detail Query'!$A$1:$R$2830,5,FALSE)</f>
        <v>20401050377</v>
      </c>
      <c r="C292" s="466" t="s">
        <v>482</v>
      </c>
      <c r="D292" s="464" t="s">
        <v>483</v>
      </c>
      <c r="E292" s="465" t="str">
        <f>VLOOKUP(C292,'[10]Project Detail Query'!$A$1:$R$2830,6,FALSE)</f>
        <v>F0586</v>
      </c>
      <c r="F292" s="464" t="str">
        <f>VLOOKUP(C292,'[10]Project Detail Query'!$A$1:$R$2830,7,FALSE)</f>
        <v>SLRP - materials - contract</v>
      </c>
      <c r="G292" s="465" t="s">
        <v>20</v>
      </c>
      <c r="H292" s="465">
        <v>201701</v>
      </c>
      <c r="I292" s="467">
        <v>5</v>
      </c>
      <c r="J292" s="464">
        <v>0</v>
      </c>
      <c r="K292" s="468">
        <v>2.23333E-3</v>
      </c>
      <c r="L292" s="469">
        <f t="shared" si="8"/>
        <v>0</v>
      </c>
      <c r="M292" s="469">
        <f t="shared" si="9"/>
        <v>0.13</v>
      </c>
      <c r="N292" s="470"/>
    </row>
    <row r="293" spans="1:14">
      <c r="A293" s="464" t="s">
        <v>14</v>
      </c>
      <c r="B293" s="465" t="str">
        <f>VLOOKUP(C293,'[10]Project Detail Query'!$A$1:$R$2830,5,FALSE)</f>
        <v>20901050377</v>
      </c>
      <c r="C293" s="466" t="s">
        <v>237</v>
      </c>
      <c r="D293" s="464" t="s">
        <v>188</v>
      </c>
      <c r="E293" s="465" t="str">
        <f>VLOOKUP(C293,'[10]Project Detail Query'!$A$1:$R$2830,6,FALSE)</f>
        <v>F0607</v>
      </c>
      <c r="F293" s="464" t="str">
        <f>VLOOKUP(C293,'[10]Project Detail Query'!$A$1:$R$2830,7,FALSE)</f>
        <v>SLRP - materials - contract</v>
      </c>
      <c r="G293" s="465" t="s">
        <v>20</v>
      </c>
      <c r="H293" s="465">
        <v>201701</v>
      </c>
      <c r="I293" s="467">
        <v>11281.39</v>
      </c>
      <c r="J293" s="464">
        <v>0</v>
      </c>
      <c r="K293" s="468">
        <v>2.23333E-3</v>
      </c>
      <c r="L293" s="469">
        <f t="shared" si="8"/>
        <v>0</v>
      </c>
      <c r="M293" s="469">
        <f t="shared" si="9"/>
        <v>302.33999999999997</v>
      </c>
      <c r="N293" s="470"/>
    </row>
    <row r="294" spans="1:14">
      <c r="A294" s="464" t="s">
        <v>14</v>
      </c>
      <c r="B294" s="465" t="str">
        <f>VLOOKUP(C294,'[10]Project Detail Query'!$A$1:$R$2830,5,FALSE)</f>
        <v>20801050301</v>
      </c>
      <c r="C294" s="466" t="s">
        <v>293</v>
      </c>
      <c r="D294" s="464" t="s">
        <v>1679</v>
      </c>
      <c r="E294" s="465" t="str">
        <f>VLOOKUP(C294,'[10]Project Detail Query'!$A$1:$R$2830,6,FALSE)</f>
        <v>F0659</v>
      </c>
      <c r="F294" s="464" t="str">
        <f>VLOOKUP(C294,'[10]Project Detail Query'!$A$1:$R$2830,7,FALSE)</f>
        <v>BWO Service Line Repl - ISRS (SW)</v>
      </c>
      <c r="G294" s="465" t="s">
        <v>20</v>
      </c>
      <c r="H294" s="465">
        <v>201701</v>
      </c>
      <c r="I294" s="467">
        <v>14505.39</v>
      </c>
      <c r="J294" s="464">
        <v>0</v>
      </c>
      <c r="K294" s="468">
        <v>2.23333E-3</v>
      </c>
      <c r="L294" s="469">
        <f t="shared" si="8"/>
        <v>0</v>
      </c>
      <c r="M294" s="469">
        <f t="shared" si="9"/>
        <v>388.74</v>
      </c>
      <c r="N294" s="470"/>
    </row>
    <row r="295" spans="1:14">
      <c r="A295" s="464" t="s">
        <v>14</v>
      </c>
      <c r="B295" s="465" t="str">
        <f>VLOOKUP(C295,'[10]Project Detail Query'!$A$1:$R$2830,5,FALSE)</f>
        <v>20501050371</v>
      </c>
      <c r="C295" s="466" t="s">
        <v>420</v>
      </c>
      <c r="D295" s="464" t="s">
        <v>50</v>
      </c>
      <c r="E295" s="465" t="str">
        <f>VLOOKUP(C295,'[10]Project Detail Query'!$A$1:$R$2830,6,FALSE)</f>
        <v>F0669</v>
      </c>
      <c r="F295" s="464" t="str">
        <f>VLOOKUP(C295,'[10]Project Detail Query'!$A$1:$R$2830,7,FALSE)</f>
        <v>SLRP - modified block by block - co</v>
      </c>
      <c r="G295" s="465" t="s">
        <v>20</v>
      </c>
      <c r="H295" s="465">
        <v>201701</v>
      </c>
      <c r="I295" s="467">
        <v>15.52</v>
      </c>
      <c r="J295" s="464">
        <v>0</v>
      </c>
      <c r="K295" s="468">
        <v>2.23333E-3</v>
      </c>
      <c r="L295" s="469">
        <f t="shared" si="8"/>
        <v>0</v>
      </c>
      <c r="M295" s="469">
        <f t="shared" si="9"/>
        <v>0.42</v>
      </c>
      <c r="N295" s="470"/>
    </row>
    <row r="296" spans="1:14">
      <c r="A296" s="464" t="s">
        <v>14</v>
      </c>
      <c r="B296" s="465" t="str">
        <f>VLOOKUP(C296,'[10]Project Detail Query'!$A$1:$R$2830,5,FALSE)</f>
        <v>20901050367</v>
      </c>
      <c r="C296" s="466" t="s">
        <v>326</v>
      </c>
      <c r="D296" s="464" t="s">
        <v>327</v>
      </c>
      <c r="E296" s="465" t="str">
        <f>VLOOKUP(C296,'[10]Project Detail Query'!$A$1:$R$2830,6,FALSE)</f>
        <v>F0649</v>
      </c>
      <c r="F296" s="464" t="str">
        <f>VLOOKUP(C296,'[10]Project Detail Query'!$A$1:$R$2830,7,FALSE)</f>
        <v>SLRP - materials - company crews</v>
      </c>
      <c r="G296" s="465" t="s">
        <v>20</v>
      </c>
      <c r="H296" s="465">
        <v>201701</v>
      </c>
      <c r="I296" s="467">
        <v>5.33</v>
      </c>
      <c r="J296" s="464">
        <v>0</v>
      </c>
      <c r="K296" s="468">
        <v>2.23333E-3</v>
      </c>
      <c r="L296" s="469">
        <f t="shared" si="8"/>
        <v>0</v>
      </c>
      <c r="M296" s="469">
        <f t="shared" si="9"/>
        <v>0.14000000000000001</v>
      </c>
      <c r="N296" s="470"/>
    </row>
    <row r="297" spans="1:14">
      <c r="A297" s="464" t="s">
        <v>127</v>
      </c>
      <c r="B297" s="465" t="str">
        <f>VLOOKUP(C297,'[10]Project Detail Query'!$A$1:$R$2830,5,FALSE)</f>
        <v>20401143628</v>
      </c>
      <c r="C297" s="466" t="s">
        <v>2613</v>
      </c>
      <c r="D297" s="464" t="s">
        <v>2614</v>
      </c>
      <c r="E297" s="465" t="str">
        <f>VLOOKUP(C297,'[10]Project Detail Query'!$A$1:$R$2830,6,FALSE)</f>
        <v>F0501</v>
      </c>
      <c r="F297" s="464" t="str">
        <f>VLOOKUP(C297,'[10]Project Detail Query'!$A$1:$R$2830,7,FALSE)</f>
        <v>Station rebuild &amp; replacement</v>
      </c>
      <c r="G297" s="465" t="s">
        <v>20</v>
      </c>
      <c r="H297" s="465">
        <v>201701</v>
      </c>
      <c r="I297" s="467">
        <v>1281.1300000000001</v>
      </c>
      <c r="J297" s="470">
        <v>0</v>
      </c>
      <c r="K297" s="468">
        <v>2.3833299999999999E-3</v>
      </c>
      <c r="L297" s="471">
        <f t="shared" si="8"/>
        <v>0</v>
      </c>
      <c r="M297" s="471">
        <f t="shared" si="9"/>
        <v>36.64</v>
      </c>
      <c r="N297" s="470"/>
    </row>
    <row r="298" spans="1:14">
      <c r="A298" s="464" t="s">
        <v>626</v>
      </c>
      <c r="B298" s="465" t="s">
        <v>1681</v>
      </c>
      <c r="C298" s="466" t="s">
        <v>1703</v>
      </c>
      <c r="D298" s="464" t="s">
        <v>1704</v>
      </c>
      <c r="E298" s="465" t="str">
        <f>VLOOKUP(C298,'[10]Project Detail Query'!$A$1:$R$2830,6,FALSE)</f>
        <v>F0599</v>
      </c>
      <c r="F298" s="464" t="str">
        <f>VLOOKUP(C298,'[10]Project Detail Query'!$A$1:$R$2830,7,FALSE)</f>
        <v>Main Replacement - ISRS (N)</v>
      </c>
      <c r="G298" s="465" t="s">
        <v>20</v>
      </c>
      <c r="H298" s="465">
        <v>201701</v>
      </c>
      <c r="I298" s="467">
        <v>4000.13</v>
      </c>
      <c r="J298" s="464">
        <v>0</v>
      </c>
      <c r="K298" s="472">
        <v>1.4833299999999999E-3</v>
      </c>
      <c r="L298" s="469">
        <f t="shared" si="8"/>
        <v>0</v>
      </c>
      <c r="M298" s="469">
        <f t="shared" si="9"/>
        <v>71.2</v>
      </c>
      <c r="N298" s="470"/>
    </row>
    <row r="299" spans="1:14">
      <c r="A299" s="464" t="s">
        <v>626</v>
      </c>
      <c r="B299" s="465" t="s">
        <v>1681</v>
      </c>
      <c r="C299" s="466" t="s">
        <v>1705</v>
      </c>
      <c r="D299" s="464" t="s">
        <v>1706</v>
      </c>
      <c r="E299" s="465" t="str">
        <f>VLOOKUP(C299,'[10]Project Detail Query'!$A$1:$R$2830,6,FALSE)</f>
        <v>F0604</v>
      </c>
      <c r="F299" s="464" t="str">
        <f>VLOOKUP(C299,'[10]Project Detail Query'!$A$1:$R$2830,7,FALSE)</f>
        <v>Main Replacement - ISRS (S)</v>
      </c>
      <c r="G299" s="465" t="s">
        <v>20</v>
      </c>
      <c r="H299" s="465">
        <v>201701</v>
      </c>
      <c r="I299" s="467">
        <v>45382.57</v>
      </c>
      <c r="J299" s="464">
        <v>0</v>
      </c>
      <c r="K299" s="472">
        <v>1.4833299999999999E-3</v>
      </c>
      <c r="L299" s="469">
        <f t="shared" si="8"/>
        <v>0</v>
      </c>
      <c r="M299" s="469">
        <f t="shared" si="9"/>
        <v>807.81</v>
      </c>
      <c r="N299" s="470"/>
    </row>
    <row r="300" spans="1:14">
      <c r="A300" s="464" t="s">
        <v>626</v>
      </c>
      <c r="B300" s="465" t="s">
        <v>1681</v>
      </c>
      <c r="C300" s="466" t="s">
        <v>1707</v>
      </c>
      <c r="D300" s="464" t="s">
        <v>1708</v>
      </c>
      <c r="E300" s="465" t="str">
        <f>VLOOKUP(C300,'[10]Project Detail Query'!$A$1:$R$2830,6,FALSE)</f>
        <v>F0604</v>
      </c>
      <c r="F300" s="464" t="str">
        <f>VLOOKUP(C300,'[10]Project Detail Query'!$A$1:$R$2830,7,FALSE)</f>
        <v>Main Replacement - ISRS (S)</v>
      </c>
      <c r="G300" s="465" t="s">
        <v>20</v>
      </c>
      <c r="H300" s="465">
        <v>201701</v>
      </c>
      <c r="I300" s="467">
        <v>2618.46</v>
      </c>
      <c r="J300" s="464">
        <v>0</v>
      </c>
      <c r="K300" s="472">
        <v>1.4833299999999999E-3</v>
      </c>
      <c r="L300" s="469">
        <f t="shared" si="8"/>
        <v>0</v>
      </c>
      <c r="M300" s="469">
        <f t="shared" si="9"/>
        <v>46.61</v>
      </c>
      <c r="N300" s="470"/>
    </row>
    <row r="301" spans="1:14">
      <c r="A301" s="464" t="s">
        <v>626</v>
      </c>
      <c r="B301" s="465" t="str">
        <f>VLOOKUP(C301,'[10]Project Detail Query'!$A$1:$R$2830,5,FALSE)</f>
        <v>20502144017</v>
      </c>
      <c r="C301" s="466" t="s">
        <v>2031</v>
      </c>
      <c r="D301" s="464" t="s">
        <v>2032</v>
      </c>
      <c r="E301" s="465" t="str">
        <f>VLOOKUP(C301,'[10]Project Detail Query'!$A$1:$R$2830,6,FALSE)</f>
        <v>F0544</v>
      </c>
      <c r="F301" s="464" t="str">
        <f>VLOOKUP(C301,'[10]Project Detail Query'!$A$1:$R$2830,7,FALSE)</f>
        <v>Replace bare steel main - safety re</v>
      </c>
      <c r="G301" s="465" t="s">
        <v>20</v>
      </c>
      <c r="H301" s="465">
        <v>201701</v>
      </c>
      <c r="I301" s="467">
        <v>7093.62</v>
      </c>
      <c r="J301" s="464">
        <v>0</v>
      </c>
      <c r="K301" s="472">
        <v>1.4833299999999999E-3</v>
      </c>
      <c r="L301" s="469">
        <f t="shared" si="8"/>
        <v>0</v>
      </c>
      <c r="M301" s="469">
        <f t="shared" si="9"/>
        <v>126.27</v>
      </c>
      <c r="N301" s="470"/>
    </row>
    <row r="302" spans="1:14">
      <c r="A302" s="464" t="s">
        <v>626</v>
      </c>
      <c r="B302" s="465" t="str">
        <f>VLOOKUP(C302,'[10]Project Detail Query'!$A$1:$R$2830,5,FALSE)</f>
        <v>20501155072</v>
      </c>
      <c r="C302" s="466" t="s">
        <v>1621</v>
      </c>
      <c r="D302" s="464" t="s">
        <v>1622</v>
      </c>
      <c r="E302" s="465" t="str">
        <f>VLOOKUP(C302,'[10]Project Detail Query'!$A$1:$R$2830,6,FALSE)</f>
        <v>F0544</v>
      </c>
      <c r="F302" s="464" t="str">
        <f>VLOOKUP(C302,'[10]Project Detail Query'!$A$1:$R$2830,7,FALSE)</f>
        <v>Replace bare steel main - safety re</v>
      </c>
      <c r="G302" s="465" t="s">
        <v>20</v>
      </c>
      <c r="H302" s="465">
        <v>201701</v>
      </c>
      <c r="I302" s="467">
        <v>18.04</v>
      </c>
      <c r="J302" s="464">
        <v>0</v>
      </c>
      <c r="K302" s="472">
        <v>1.4833299999999999E-3</v>
      </c>
      <c r="L302" s="469">
        <f t="shared" si="8"/>
        <v>0</v>
      </c>
      <c r="M302" s="469">
        <f t="shared" si="9"/>
        <v>0.32</v>
      </c>
      <c r="N302" s="470"/>
    </row>
    <row r="303" spans="1:14">
      <c r="A303" s="464" t="s">
        <v>626</v>
      </c>
      <c r="B303" s="465" t="str">
        <f>VLOOKUP(C303,'[10]Project Detail Query'!$A$1:$R$2830,5,FALSE)</f>
        <v>20501155098</v>
      </c>
      <c r="C303" s="466" t="s">
        <v>2037</v>
      </c>
      <c r="D303" s="464" t="s">
        <v>2038</v>
      </c>
      <c r="E303" s="465" t="str">
        <f>VLOOKUP(C303,'[10]Project Detail Query'!$A$1:$R$2830,6,FALSE)</f>
        <v>F0575</v>
      </c>
      <c r="F303" s="464" t="str">
        <f>VLOOKUP(C303,'[10]Project Detail Query'!$A$1:$R$2830,7,FALSE)</f>
        <v>Replace steel &amp; plastic main</v>
      </c>
      <c r="G303" s="465" t="s">
        <v>20</v>
      </c>
      <c r="H303" s="465">
        <v>201701</v>
      </c>
      <c r="I303" s="467">
        <v>295.97000000000003</v>
      </c>
      <c r="J303" s="464">
        <v>0</v>
      </c>
      <c r="K303" s="472">
        <v>1.4833299999999999E-3</v>
      </c>
      <c r="L303" s="469">
        <f t="shared" si="8"/>
        <v>0</v>
      </c>
      <c r="M303" s="469">
        <f t="shared" si="9"/>
        <v>5.27</v>
      </c>
      <c r="N303" s="470"/>
    </row>
    <row r="304" spans="1:14">
      <c r="A304" s="464" t="s">
        <v>626</v>
      </c>
      <c r="B304" s="465" t="str">
        <f>VLOOKUP(C304,'[10]Project Detail Query'!$A$1:$R$2830,5,FALSE)</f>
        <v>20501155262</v>
      </c>
      <c r="C304" s="466" t="s">
        <v>2043</v>
      </c>
      <c r="D304" s="464" t="s">
        <v>2044</v>
      </c>
      <c r="E304" s="465" t="str">
        <f>VLOOKUP(C304,'[10]Project Detail Query'!$A$1:$R$2830,6,FALSE)</f>
        <v>F0544</v>
      </c>
      <c r="F304" s="464" t="str">
        <f>VLOOKUP(C304,'[10]Project Detail Query'!$A$1:$R$2830,7,FALSE)</f>
        <v>Replace bare steel main - safety re</v>
      </c>
      <c r="G304" s="465" t="s">
        <v>20</v>
      </c>
      <c r="H304" s="465">
        <v>201701</v>
      </c>
      <c r="I304" s="467">
        <v>851.63</v>
      </c>
      <c r="J304" s="464">
        <v>0</v>
      </c>
      <c r="K304" s="472">
        <v>1.4833299999999999E-3</v>
      </c>
      <c r="L304" s="469">
        <f t="shared" si="8"/>
        <v>0</v>
      </c>
      <c r="M304" s="469">
        <f t="shared" si="9"/>
        <v>15.16</v>
      </c>
      <c r="N304" s="470"/>
    </row>
    <row r="305" spans="1:14">
      <c r="A305" s="464" t="s">
        <v>21</v>
      </c>
      <c r="B305" s="465" t="str">
        <f>VLOOKUP(C305,'[10]Project Detail Query'!$A$1:$R$2830,5,FALSE)</f>
        <v>20901155079</v>
      </c>
      <c r="C305" s="466" t="s">
        <v>1957</v>
      </c>
      <c r="D305" s="464" t="s">
        <v>2435</v>
      </c>
      <c r="E305" s="465" t="str">
        <f>VLOOKUP(C305,'[10]Project Detail Query'!$A$1:$R$2830,6,FALSE)</f>
        <v>F0604</v>
      </c>
      <c r="F305" s="464" t="str">
        <f>VLOOKUP(C305,'[10]Project Detail Query'!$A$1:$R$2830,7,FALSE)</f>
        <v>Main Replacement - ISRS (S)</v>
      </c>
      <c r="G305" s="465" t="s">
        <v>20</v>
      </c>
      <c r="H305" s="465">
        <v>201701</v>
      </c>
      <c r="I305" s="467">
        <v>8312.1299999999992</v>
      </c>
      <c r="J305" s="464">
        <v>0</v>
      </c>
      <c r="K305" s="472">
        <v>1.4833299999999999E-3</v>
      </c>
      <c r="L305" s="469">
        <f t="shared" si="8"/>
        <v>0</v>
      </c>
      <c r="M305" s="469">
        <f t="shared" si="9"/>
        <v>147.96</v>
      </c>
      <c r="N305" s="470"/>
    </row>
    <row r="306" spans="1:14">
      <c r="A306" s="464" t="s">
        <v>21</v>
      </c>
      <c r="B306" s="465" t="str">
        <f>VLOOKUP(C306,'[10]Project Detail Query'!$A$1:$R$2830,5,FALSE)</f>
        <v>20401155393</v>
      </c>
      <c r="C306" s="466" t="s">
        <v>1821</v>
      </c>
      <c r="D306" s="464" t="s">
        <v>1822</v>
      </c>
      <c r="E306" s="465" t="str">
        <f>VLOOKUP(C306,'[10]Project Detail Query'!$A$1:$R$2830,6,FALSE)</f>
        <v>F0547</v>
      </c>
      <c r="F306" s="464" t="str">
        <f>VLOOKUP(C306,'[10]Project Detail Query'!$A$1:$R$2830,7,FALSE)</f>
        <v>Street &amp; Highway Relocates ISRS (N)</v>
      </c>
      <c r="G306" s="465" t="s">
        <v>20</v>
      </c>
      <c r="H306" s="465">
        <v>201701</v>
      </c>
      <c r="I306" s="467">
        <v>155.56</v>
      </c>
      <c r="J306" s="464">
        <v>0</v>
      </c>
      <c r="K306" s="472">
        <v>1.4833299999999999E-3</v>
      </c>
      <c r="L306" s="469">
        <f t="shared" si="8"/>
        <v>0</v>
      </c>
      <c r="M306" s="469">
        <f t="shared" si="9"/>
        <v>2.77</v>
      </c>
      <c r="N306" s="470"/>
    </row>
    <row r="307" spans="1:14">
      <c r="A307" s="464" t="s">
        <v>626</v>
      </c>
      <c r="B307" s="465" t="str">
        <f>VLOOKUP(C307,'[10]Project Detail Query'!$A$1:$R$2830,5,FALSE)</f>
        <v>20305155105</v>
      </c>
      <c r="C307" s="466" t="s">
        <v>1931</v>
      </c>
      <c r="D307" s="464" t="s">
        <v>1932</v>
      </c>
      <c r="E307" s="465" t="str">
        <f>VLOOKUP(C307,'[10]Project Detail Query'!$A$1:$R$2830,6,FALSE)</f>
        <v>F0604</v>
      </c>
      <c r="F307" s="464" t="str">
        <f>VLOOKUP(C307,'[10]Project Detail Query'!$A$1:$R$2830,7,FALSE)</f>
        <v>Main Replacement - ISRS (S)</v>
      </c>
      <c r="G307" s="465" t="s">
        <v>20</v>
      </c>
      <c r="H307" s="465">
        <v>201701</v>
      </c>
      <c r="I307" s="467">
        <v>863.33</v>
      </c>
      <c r="J307" s="464">
        <v>0</v>
      </c>
      <c r="K307" s="472">
        <v>1.4833299999999999E-3</v>
      </c>
      <c r="L307" s="469">
        <f t="shared" si="8"/>
        <v>0</v>
      </c>
      <c r="M307" s="469">
        <f t="shared" si="9"/>
        <v>15.37</v>
      </c>
      <c r="N307" s="470"/>
    </row>
    <row r="308" spans="1:14">
      <c r="A308" s="464" t="s">
        <v>626</v>
      </c>
      <c r="B308" s="465" t="str">
        <f>VLOOKUP(C308,'[10]Project Detail Query'!$A$1:$R$2830,5,FALSE)</f>
        <v>20902155399</v>
      </c>
      <c r="C308" s="466" t="s">
        <v>2293</v>
      </c>
      <c r="D308" s="464" t="s">
        <v>2295</v>
      </c>
      <c r="E308" s="465" t="str">
        <f>VLOOKUP(C308,'[10]Project Detail Query'!$A$1:$R$2830,6,FALSE)</f>
        <v>F0604</v>
      </c>
      <c r="F308" s="464" t="str">
        <f>VLOOKUP(C308,'[10]Project Detail Query'!$A$1:$R$2830,7,FALSE)</f>
        <v>Main Replacement - ISRS (S)</v>
      </c>
      <c r="G308" s="465" t="s">
        <v>20</v>
      </c>
      <c r="H308" s="465">
        <v>201701</v>
      </c>
      <c r="I308" s="467">
        <v>32.619999999999997</v>
      </c>
      <c r="J308" s="464">
        <v>0</v>
      </c>
      <c r="K308" s="472">
        <v>1.4833299999999999E-3</v>
      </c>
      <c r="L308" s="469">
        <f t="shared" si="8"/>
        <v>0</v>
      </c>
      <c r="M308" s="469">
        <f t="shared" si="9"/>
        <v>0.57999999999999996</v>
      </c>
      <c r="N308" s="470"/>
    </row>
    <row r="309" spans="1:14">
      <c r="A309" s="464" t="s">
        <v>21</v>
      </c>
      <c r="B309" s="465" t="str">
        <f>VLOOKUP(C309,'[10]Project Detail Query'!$A$1:$R$2830,5,FALSE)</f>
        <v>20401155420</v>
      </c>
      <c r="C309" s="466" t="s">
        <v>1971</v>
      </c>
      <c r="D309" s="464" t="s">
        <v>1972</v>
      </c>
      <c r="E309" s="465" t="str">
        <f>VLOOKUP(C309,'[10]Project Detail Query'!$A$1:$R$2830,6,FALSE)</f>
        <v>F0664</v>
      </c>
      <c r="F309" s="464" t="str">
        <f>VLOOKUP(C309,'[10]Project Detail Query'!$A$1:$R$2830,7,FALSE)</f>
        <v>Street &amp; Hwy Relocates ISRS (SW)</v>
      </c>
      <c r="G309" s="465" t="s">
        <v>20</v>
      </c>
      <c r="H309" s="465">
        <v>201701</v>
      </c>
      <c r="I309" s="467">
        <v>40.28</v>
      </c>
      <c r="J309" s="464">
        <v>0</v>
      </c>
      <c r="K309" s="472">
        <v>1.4833299999999999E-3</v>
      </c>
      <c r="L309" s="469">
        <f t="shared" si="8"/>
        <v>0</v>
      </c>
      <c r="M309" s="469">
        <f t="shared" si="9"/>
        <v>0.72</v>
      </c>
      <c r="N309" s="470"/>
    </row>
    <row r="310" spans="1:14">
      <c r="A310" s="464" t="s">
        <v>626</v>
      </c>
      <c r="B310" s="465" t="str">
        <f>VLOOKUP(C310,'[10]Project Detail Query'!$A$1:$R$2830,5,FALSE)</f>
        <v>20401155420</v>
      </c>
      <c r="C310" s="466" t="s">
        <v>1971</v>
      </c>
      <c r="D310" s="464" t="s">
        <v>1972</v>
      </c>
      <c r="E310" s="465" t="str">
        <f>VLOOKUP(C310,'[10]Project Detail Query'!$A$1:$R$2830,6,FALSE)</f>
        <v>F0664</v>
      </c>
      <c r="F310" s="464" t="str">
        <f>VLOOKUP(C310,'[10]Project Detail Query'!$A$1:$R$2830,7,FALSE)</f>
        <v>Street &amp; Hwy Relocates ISRS (SW)</v>
      </c>
      <c r="G310" s="465" t="s">
        <v>20</v>
      </c>
      <c r="H310" s="465">
        <v>201701</v>
      </c>
      <c r="I310" s="467">
        <v>1047.3599999999999</v>
      </c>
      <c r="J310" s="464">
        <v>0</v>
      </c>
      <c r="K310" s="472">
        <v>1.4833299999999999E-3</v>
      </c>
      <c r="L310" s="469">
        <f t="shared" si="8"/>
        <v>0</v>
      </c>
      <c r="M310" s="469">
        <f t="shared" si="9"/>
        <v>18.64</v>
      </c>
      <c r="N310" s="470"/>
    </row>
    <row r="311" spans="1:14">
      <c r="A311" s="464" t="s">
        <v>1942</v>
      </c>
      <c r="B311" s="465" t="s">
        <v>1681</v>
      </c>
      <c r="C311" s="466" t="s">
        <v>1682</v>
      </c>
      <c r="D311" s="464" t="s">
        <v>1683</v>
      </c>
      <c r="E311" s="465" t="str">
        <f>VLOOKUP(C311,'[10]Project Detail Query'!$A$1:$R$2830,6,FALSE)</f>
        <v>F0608</v>
      </c>
      <c r="F311" s="464" t="str">
        <f>VLOOKUP(C311,'[10]Project Detail Query'!$A$1:$R$2830,7,FALSE)</f>
        <v>BWO Service Line Repl - ISRS (N)</v>
      </c>
      <c r="G311" s="465" t="s">
        <v>20</v>
      </c>
      <c r="H311" s="465">
        <v>201701</v>
      </c>
      <c r="I311" s="467">
        <v>7.01</v>
      </c>
      <c r="J311" s="464">
        <v>0</v>
      </c>
      <c r="K311" s="472">
        <v>2.23333E-3</v>
      </c>
      <c r="L311" s="469">
        <f t="shared" si="8"/>
        <v>0</v>
      </c>
      <c r="M311" s="469">
        <f t="shared" si="9"/>
        <v>0.19</v>
      </c>
      <c r="N311" s="470"/>
    </row>
    <row r="312" spans="1:14">
      <c r="A312" s="464" t="s">
        <v>1942</v>
      </c>
      <c r="B312" s="465" t="s">
        <v>1681</v>
      </c>
      <c r="C312" s="466" t="s">
        <v>1943</v>
      </c>
      <c r="D312" s="464" t="s">
        <v>1944</v>
      </c>
      <c r="E312" s="465" t="str">
        <f>VLOOKUP(C312,'[10]Project Detail Query'!$A$1:$R$2830,6,FALSE)</f>
        <v>F0513</v>
      </c>
      <c r="F312" s="464" t="str">
        <f>VLOOKUP(C312,'[10]Project Detail Query'!$A$1:$R$2830,7,FALSE)</f>
        <v>BWO Service Line Repl - ISRS (S)</v>
      </c>
      <c r="G312" s="465" t="s">
        <v>20</v>
      </c>
      <c r="H312" s="465">
        <v>201701</v>
      </c>
      <c r="I312" s="467">
        <v>205.88</v>
      </c>
      <c r="J312" s="464">
        <v>0</v>
      </c>
      <c r="K312" s="472">
        <v>2.23333E-3</v>
      </c>
      <c r="L312" s="469">
        <f t="shared" si="8"/>
        <v>0</v>
      </c>
      <c r="M312" s="469">
        <f t="shared" si="9"/>
        <v>5.52</v>
      </c>
      <c r="N312" s="470"/>
    </row>
    <row r="313" spans="1:14">
      <c r="A313" s="464" t="s">
        <v>1942</v>
      </c>
      <c r="B313" s="465" t="s">
        <v>1681</v>
      </c>
      <c r="C313" s="466" t="s">
        <v>1976</v>
      </c>
      <c r="D313" s="464" t="s">
        <v>1977</v>
      </c>
      <c r="E313" s="465" t="str">
        <f>VLOOKUP(C313,'[10]Project Detail Query'!$A$1:$R$2830,6,FALSE)</f>
        <v>F0659</v>
      </c>
      <c r="F313" s="464" t="str">
        <f>VLOOKUP(C313,'[10]Project Detail Query'!$A$1:$R$2830,7,FALSE)</f>
        <v>BWO Service Line Repl - ISRS (SW)</v>
      </c>
      <c r="G313" s="465" t="s">
        <v>20</v>
      </c>
      <c r="H313" s="465">
        <v>201701</v>
      </c>
      <c r="I313" s="467">
        <v>3961.9</v>
      </c>
      <c r="J313" s="464">
        <v>0</v>
      </c>
      <c r="K313" s="472">
        <v>2.23333E-3</v>
      </c>
      <c r="L313" s="469">
        <f t="shared" si="8"/>
        <v>0</v>
      </c>
      <c r="M313" s="469">
        <f t="shared" si="9"/>
        <v>106.18</v>
      </c>
      <c r="N313" s="470"/>
    </row>
    <row r="314" spans="1:14">
      <c r="A314" s="464" t="s">
        <v>626</v>
      </c>
      <c r="B314" s="465" t="str">
        <f>VLOOKUP(C314,'[10]Project Detail Query'!$A$1:$R$2830,5,FALSE)</f>
        <v>20501155526</v>
      </c>
      <c r="C314" s="466" t="s">
        <v>1946</v>
      </c>
      <c r="D314" s="464" t="s">
        <v>1947</v>
      </c>
      <c r="E314" s="465" t="str">
        <f>VLOOKUP(C314,'[10]Project Detail Query'!$A$1:$R$2830,6,FALSE)</f>
        <v>F0664</v>
      </c>
      <c r="F314" s="464" t="str">
        <f>VLOOKUP(C314,'[10]Project Detail Query'!$A$1:$R$2830,7,FALSE)</f>
        <v>Street &amp; Hwy Relocates ISRS (SW)</v>
      </c>
      <c r="G314" s="465" t="s">
        <v>20</v>
      </c>
      <c r="H314" s="465">
        <v>201701</v>
      </c>
      <c r="I314" s="467">
        <v>6763.48</v>
      </c>
      <c r="J314" s="464">
        <v>0</v>
      </c>
      <c r="K314" s="472">
        <v>1.4833299999999999E-3</v>
      </c>
      <c r="L314" s="469">
        <f t="shared" si="8"/>
        <v>0</v>
      </c>
      <c r="M314" s="469">
        <f t="shared" si="9"/>
        <v>120.39</v>
      </c>
      <c r="N314" s="470"/>
    </row>
    <row r="315" spans="1:14">
      <c r="A315" s="464" t="s">
        <v>626</v>
      </c>
      <c r="B315" s="465" t="str">
        <f>VLOOKUP(C315,'[10]Project Detail Query'!$A$1:$R$2830,5,FALSE)</f>
        <v>20902155379</v>
      </c>
      <c r="C315" s="466" t="s">
        <v>2331</v>
      </c>
      <c r="D315" s="464" t="s">
        <v>2053</v>
      </c>
      <c r="E315" s="465" t="str">
        <f>VLOOKUP(C315,'[10]Project Detail Query'!$A$1:$R$2830,6,FALSE)</f>
        <v>F0604</v>
      </c>
      <c r="F315" s="464" t="str">
        <f>VLOOKUP(C315,'[10]Project Detail Query'!$A$1:$R$2830,7,FALSE)</f>
        <v>Main Replacement - ISRS (S)</v>
      </c>
      <c r="G315" s="465" t="s">
        <v>20</v>
      </c>
      <c r="H315" s="465">
        <v>201701</v>
      </c>
      <c r="I315" s="467">
        <v>9700.67</v>
      </c>
      <c r="J315" s="464">
        <v>0</v>
      </c>
      <c r="K315" s="472">
        <v>1.4833299999999999E-3</v>
      </c>
      <c r="L315" s="469">
        <f t="shared" si="8"/>
        <v>0</v>
      </c>
      <c r="M315" s="469">
        <f t="shared" si="9"/>
        <v>172.67</v>
      </c>
      <c r="N315" s="470"/>
    </row>
    <row r="316" spans="1:14">
      <c r="A316" s="464" t="s">
        <v>21</v>
      </c>
      <c r="B316" s="465" t="s">
        <v>1681</v>
      </c>
      <c r="C316" s="466" t="s">
        <v>2257</v>
      </c>
      <c r="D316" s="464" t="s">
        <v>2258</v>
      </c>
      <c r="E316" s="465" t="str">
        <f>VLOOKUP(C316,'[10]Project Detail Query'!$A$1:$R$2830,6,FALSE)</f>
        <v>F0664</v>
      </c>
      <c r="F316" s="464" t="str">
        <f>VLOOKUP(C316,'[10]Project Detail Query'!$A$1:$R$2830,7,FALSE)</f>
        <v>Street &amp; Hwy Relocates ISRS (SW)</v>
      </c>
      <c r="G316" s="465" t="s">
        <v>20</v>
      </c>
      <c r="H316" s="465">
        <v>201701</v>
      </c>
      <c r="I316" s="467">
        <v>20.309999999999999</v>
      </c>
      <c r="J316" s="464">
        <v>0</v>
      </c>
      <c r="K316" s="472">
        <v>1.4833299999999999E-3</v>
      </c>
      <c r="L316" s="469">
        <f t="shared" si="8"/>
        <v>0</v>
      </c>
      <c r="M316" s="469">
        <f t="shared" si="9"/>
        <v>0.36</v>
      </c>
      <c r="N316" s="470"/>
    </row>
    <row r="317" spans="1:14">
      <c r="A317" s="464" t="s">
        <v>626</v>
      </c>
      <c r="B317" s="465" t="s">
        <v>1681</v>
      </c>
      <c r="C317" s="466" t="s">
        <v>2257</v>
      </c>
      <c r="D317" s="464" t="s">
        <v>2258</v>
      </c>
      <c r="E317" s="465" t="str">
        <f>VLOOKUP(C317,'[10]Project Detail Query'!$A$1:$R$2830,6,FALSE)</f>
        <v>F0664</v>
      </c>
      <c r="F317" s="464" t="str">
        <f>VLOOKUP(C317,'[10]Project Detail Query'!$A$1:$R$2830,7,FALSE)</f>
        <v>Street &amp; Hwy Relocates ISRS (SW)</v>
      </c>
      <c r="G317" s="465" t="s">
        <v>20</v>
      </c>
      <c r="H317" s="465">
        <v>201701</v>
      </c>
      <c r="I317" s="467">
        <v>475.81</v>
      </c>
      <c r="J317" s="464">
        <v>0</v>
      </c>
      <c r="K317" s="472">
        <v>1.4833299999999999E-3</v>
      </c>
      <c r="L317" s="469">
        <f t="shared" si="8"/>
        <v>0</v>
      </c>
      <c r="M317" s="469">
        <f t="shared" si="9"/>
        <v>8.4700000000000006</v>
      </c>
      <c r="N317" s="470"/>
    </row>
    <row r="318" spans="1:14">
      <c r="A318" s="464" t="s">
        <v>626</v>
      </c>
      <c r="B318" s="465" t="s">
        <v>1681</v>
      </c>
      <c r="C318" s="466" t="s">
        <v>2001</v>
      </c>
      <c r="D318" s="464" t="s">
        <v>2002</v>
      </c>
      <c r="E318" s="465" t="str">
        <f>VLOOKUP(C318,'[10]Project Detail Query'!$A$1:$R$2830,6,FALSE)</f>
        <v>F0599</v>
      </c>
      <c r="F318" s="464" t="str">
        <f>VLOOKUP(C318,'[10]Project Detail Query'!$A$1:$R$2830,7,FALSE)</f>
        <v>Main Replacement - ISRS (N)</v>
      </c>
      <c r="G318" s="465" t="s">
        <v>20</v>
      </c>
      <c r="H318" s="465">
        <v>201701</v>
      </c>
      <c r="I318" s="467">
        <v>-3984.54</v>
      </c>
      <c r="J318" s="464">
        <v>0</v>
      </c>
      <c r="K318" s="472">
        <v>1.4833299999999999E-3</v>
      </c>
      <c r="L318" s="469">
        <f t="shared" si="8"/>
        <v>0</v>
      </c>
      <c r="M318" s="469">
        <f t="shared" si="9"/>
        <v>-70.92</v>
      </c>
      <c r="N318" s="470"/>
    </row>
    <row r="319" spans="1:14">
      <c r="A319" s="464" t="s">
        <v>14</v>
      </c>
      <c r="B319" s="465" t="s">
        <v>1681</v>
      </c>
      <c r="C319" s="466" t="s">
        <v>2001</v>
      </c>
      <c r="D319" s="464" t="s">
        <v>2002</v>
      </c>
      <c r="E319" s="465" t="str">
        <f>VLOOKUP(C319,'[10]Project Detail Query'!$A$1:$R$2830,6,FALSE)</f>
        <v>F0599</v>
      </c>
      <c r="F319" s="464" t="str">
        <f>VLOOKUP(C319,'[10]Project Detail Query'!$A$1:$R$2830,7,FALSE)</f>
        <v>Main Replacement - ISRS (N)</v>
      </c>
      <c r="G319" s="465" t="s">
        <v>20</v>
      </c>
      <c r="H319" s="465">
        <v>201701</v>
      </c>
      <c r="I319" s="467">
        <v>3984.54</v>
      </c>
      <c r="J319" s="464">
        <v>0</v>
      </c>
      <c r="K319" s="468">
        <v>2.23333E-3</v>
      </c>
      <c r="L319" s="469">
        <f t="shared" si="8"/>
        <v>0</v>
      </c>
      <c r="M319" s="469">
        <f t="shared" si="9"/>
        <v>106.79</v>
      </c>
      <c r="N319" s="470"/>
    </row>
    <row r="320" spans="1:14">
      <c r="A320" s="464" t="s">
        <v>626</v>
      </c>
      <c r="B320" s="465" t="s">
        <v>1681</v>
      </c>
      <c r="C320" s="466" t="s">
        <v>2259</v>
      </c>
      <c r="D320" s="464" t="s">
        <v>2260</v>
      </c>
      <c r="E320" s="465" t="str">
        <f>VLOOKUP(C320,'[10]Project Detail Query'!$A$1:$R$2830,6,FALSE)</f>
        <v>F0578</v>
      </c>
      <c r="F320" s="464" t="str">
        <f>VLOOKUP(C320,'[10]Project Detail Query'!$A$1:$R$2830,7,FALSE)</f>
        <v>Street &amp; Highway Relocates ISRS (S)</v>
      </c>
      <c r="G320" s="465" t="s">
        <v>20</v>
      </c>
      <c r="H320" s="465">
        <v>201701</v>
      </c>
      <c r="I320" s="467">
        <v>3.48</v>
      </c>
      <c r="J320" s="464">
        <v>0</v>
      </c>
      <c r="K320" s="472">
        <v>1.4833299999999999E-3</v>
      </c>
      <c r="L320" s="469">
        <f t="shared" si="8"/>
        <v>0</v>
      </c>
      <c r="M320" s="469">
        <f t="shared" si="9"/>
        <v>0.06</v>
      </c>
      <c r="N320" s="470"/>
    </row>
    <row r="321" spans="1:14">
      <c r="A321" s="464" t="s">
        <v>21</v>
      </c>
      <c r="B321" s="465" t="s">
        <v>1681</v>
      </c>
      <c r="C321" s="466" t="s">
        <v>2003</v>
      </c>
      <c r="D321" s="464" t="s">
        <v>2004</v>
      </c>
      <c r="E321" s="465" t="str">
        <f>VLOOKUP(C321,'[10]Project Detail Query'!$A$1:$R$2830,6,FALSE)</f>
        <v>F0599</v>
      </c>
      <c r="F321" s="464" t="str">
        <f>VLOOKUP(C321,'[10]Project Detail Query'!$A$1:$R$2830,7,FALSE)</f>
        <v>Main Replacement - ISRS (N)</v>
      </c>
      <c r="G321" s="465" t="s">
        <v>20</v>
      </c>
      <c r="H321" s="465">
        <v>201701</v>
      </c>
      <c r="I321" s="467">
        <v>675.32</v>
      </c>
      <c r="J321" s="464">
        <v>0</v>
      </c>
      <c r="K321" s="472">
        <v>1.4833299999999999E-3</v>
      </c>
      <c r="L321" s="469">
        <f t="shared" ref="L321:L384" si="10">ROUND(I321*J321*K321,2)</f>
        <v>0</v>
      </c>
      <c r="M321" s="469">
        <f t="shared" ref="M321:M384" si="11">ROUND(I321*K321*12,2)</f>
        <v>12.02</v>
      </c>
      <c r="N321" s="470"/>
    </row>
    <row r="322" spans="1:14">
      <c r="A322" s="464" t="s">
        <v>626</v>
      </c>
      <c r="B322" s="465" t="s">
        <v>1681</v>
      </c>
      <c r="C322" s="466" t="s">
        <v>2003</v>
      </c>
      <c r="D322" s="464" t="s">
        <v>2004</v>
      </c>
      <c r="E322" s="465" t="str">
        <f>VLOOKUP(C322,'[10]Project Detail Query'!$A$1:$R$2830,6,FALSE)</f>
        <v>F0599</v>
      </c>
      <c r="F322" s="464" t="str">
        <f>VLOOKUP(C322,'[10]Project Detail Query'!$A$1:$R$2830,7,FALSE)</f>
        <v>Main Replacement - ISRS (N)</v>
      </c>
      <c r="G322" s="465" t="s">
        <v>20</v>
      </c>
      <c r="H322" s="465">
        <v>201701</v>
      </c>
      <c r="I322" s="467">
        <v>-15.48</v>
      </c>
      <c r="J322" s="464">
        <v>0</v>
      </c>
      <c r="K322" s="472">
        <v>1.4833299999999999E-3</v>
      </c>
      <c r="L322" s="469">
        <f t="shared" si="10"/>
        <v>0</v>
      </c>
      <c r="M322" s="469">
        <f t="shared" si="11"/>
        <v>-0.28000000000000003</v>
      </c>
      <c r="N322" s="470"/>
    </row>
    <row r="323" spans="1:14">
      <c r="A323" s="464" t="s">
        <v>14</v>
      </c>
      <c r="B323" s="465" t="s">
        <v>1681</v>
      </c>
      <c r="C323" s="466" t="s">
        <v>2003</v>
      </c>
      <c r="D323" s="464" t="s">
        <v>2004</v>
      </c>
      <c r="E323" s="465" t="str">
        <f>VLOOKUP(C323,'[10]Project Detail Query'!$A$1:$R$2830,6,FALSE)</f>
        <v>F0599</v>
      </c>
      <c r="F323" s="464" t="str">
        <f>VLOOKUP(C323,'[10]Project Detail Query'!$A$1:$R$2830,7,FALSE)</f>
        <v>Main Replacement - ISRS (N)</v>
      </c>
      <c r="G323" s="465" t="s">
        <v>20</v>
      </c>
      <c r="H323" s="465">
        <v>201701</v>
      </c>
      <c r="I323" s="467">
        <v>-659.84</v>
      </c>
      <c r="J323" s="464">
        <v>0</v>
      </c>
      <c r="K323" s="468">
        <v>2.23333E-3</v>
      </c>
      <c r="L323" s="469">
        <f t="shared" si="10"/>
        <v>0</v>
      </c>
      <c r="M323" s="469">
        <f t="shared" si="11"/>
        <v>-17.68</v>
      </c>
      <c r="N323" s="470"/>
    </row>
    <row r="324" spans="1:14">
      <c r="A324" s="464" t="s">
        <v>626</v>
      </c>
      <c r="B324" s="465" t="s">
        <v>1681</v>
      </c>
      <c r="C324" s="466" t="s">
        <v>2311</v>
      </c>
      <c r="D324" s="464" t="s">
        <v>2312</v>
      </c>
      <c r="E324" s="465" t="str">
        <f>VLOOKUP(C324,'[10]Project Detail Query'!$A$1:$R$2830,6,FALSE)</f>
        <v>F0578</v>
      </c>
      <c r="F324" s="464" t="str">
        <f>VLOOKUP(C324,'[10]Project Detail Query'!$A$1:$R$2830,7,FALSE)</f>
        <v>Street &amp; Highway Relocates ISRS (S)</v>
      </c>
      <c r="G324" s="465" t="s">
        <v>20</v>
      </c>
      <c r="H324" s="465">
        <v>201701</v>
      </c>
      <c r="I324" s="467">
        <v>8.06</v>
      </c>
      <c r="J324" s="464">
        <v>0</v>
      </c>
      <c r="K324" s="472">
        <v>1.4833299999999999E-3</v>
      </c>
      <c r="L324" s="469">
        <f t="shared" si="10"/>
        <v>0</v>
      </c>
      <c r="M324" s="469">
        <f t="shared" si="11"/>
        <v>0.14000000000000001</v>
      </c>
      <c r="N324" s="470"/>
    </row>
    <row r="325" spans="1:14">
      <c r="A325" s="464" t="s">
        <v>14</v>
      </c>
      <c r="B325" s="465" t="s">
        <v>1681</v>
      </c>
      <c r="C325" s="466" t="s">
        <v>2311</v>
      </c>
      <c r="D325" s="464" t="s">
        <v>2312</v>
      </c>
      <c r="E325" s="465" t="str">
        <f>VLOOKUP(C325,'[10]Project Detail Query'!$A$1:$R$2830,6,FALSE)</f>
        <v>F0578</v>
      </c>
      <c r="F325" s="464" t="str">
        <f>VLOOKUP(C325,'[10]Project Detail Query'!$A$1:$R$2830,7,FALSE)</f>
        <v>Street &amp; Highway Relocates ISRS (S)</v>
      </c>
      <c r="G325" s="465" t="s">
        <v>20</v>
      </c>
      <c r="H325" s="465">
        <v>201701</v>
      </c>
      <c r="I325" s="467">
        <v>0.15</v>
      </c>
      <c r="J325" s="464">
        <v>0</v>
      </c>
      <c r="K325" s="468">
        <v>2.23333E-3</v>
      </c>
      <c r="L325" s="469">
        <f t="shared" si="10"/>
        <v>0</v>
      </c>
      <c r="M325" s="469">
        <f t="shared" si="11"/>
        <v>0</v>
      </c>
      <c r="N325" s="470"/>
    </row>
    <row r="326" spans="1:14">
      <c r="A326" s="464" t="s">
        <v>626</v>
      </c>
      <c r="B326" s="465" t="s">
        <v>1681</v>
      </c>
      <c r="C326" s="466" t="s">
        <v>2313</v>
      </c>
      <c r="D326" s="464" t="s">
        <v>2314</v>
      </c>
      <c r="E326" s="465" t="str">
        <f>VLOOKUP(C326,'[10]Project Detail Query'!$A$1:$R$2830,6,FALSE)</f>
        <v>F0572</v>
      </c>
      <c r="F326" s="464" t="str">
        <f>VLOOKUP(C326,'[10]Project Detail Query'!$A$1:$R$2830,7,FALSE)</f>
        <v>Main Replacement - ISRS (SW)</v>
      </c>
      <c r="G326" s="465" t="s">
        <v>20</v>
      </c>
      <c r="H326" s="465">
        <v>201701</v>
      </c>
      <c r="I326" s="467">
        <v>74.540000000000006</v>
      </c>
      <c r="J326" s="464">
        <v>0</v>
      </c>
      <c r="K326" s="472">
        <v>1.4833299999999999E-3</v>
      </c>
      <c r="L326" s="469">
        <f t="shared" si="10"/>
        <v>0</v>
      </c>
      <c r="M326" s="469">
        <f t="shared" si="11"/>
        <v>1.33</v>
      </c>
      <c r="N326" s="470"/>
    </row>
    <row r="327" spans="1:14">
      <c r="A327" s="464" t="s">
        <v>21</v>
      </c>
      <c r="B327" s="465" t="s">
        <v>1681</v>
      </c>
      <c r="C327" s="466" t="s">
        <v>2315</v>
      </c>
      <c r="D327" s="464" t="s">
        <v>2316</v>
      </c>
      <c r="E327" s="465" t="str">
        <f>VLOOKUP(C327,'[10]Project Detail Query'!$A$1:$R$2830,6,FALSE)</f>
        <v>F0599</v>
      </c>
      <c r="F327" s="464" t="str">
        <f>VLOOKUP(C327,'[10]Project Detail Query'!$A$1:$R$2830,7,FALSE)</f>
        <v>Main Replacement - ISRS (N)</v>
      </c>
      <c r="G327" s="465" t="s">
        <v>20</v>
      </c>
      <c r="H327" s="465">
        <v>201701</v>
      </c>
      <c r="I327" s="467">
        <v>-0.02</v>
      </c>
      <c r="J327" s="464">
        <v>0</v>
      </c>
      <c r="K327" s="472">
        <v>1.4833299999999999E-3</v>
      </c>
      <c r="L327" s="469">
        <f t="shared" si="10"/>
        <v>0</v>
      </c>
      <c r="M327" s="469">
        <f t="shared" si="11"/>
        <v>0</v>
      </c>
      <c r="N327" s="470"/>
    </row>
    <row r="328" spans="1:14">
      <c r="A328" s="464" t="s">
        <v>626</v>
      </c>
      <c r="B328" s="465" t="s">
        <v>1681</v>
      </c>
      <c r="C328" s="466" t="s">
        <v>2315</v>
      </c>
      <c r="D328" s="464" t="s">
        <v>2316</v>
      </c>
      <c r="E328" s="465" t="str">
        <f>VLOOKUP(C328,'[10]Project Detail Query'!$A$1:$R$2830,6,FALSE)</f>
        <v>F0599</v>
      </c>
      <c r="F328" s="464" t="str">
        <f>VLOOKUP(C328,'[10]Project Detail Query'!$A$1:$R$2830,7,FALSE)</f>
        <v>Main Replacement - ISRS (N)</v>
      </c>
      <c r="G328" s="465" t="s">
        <v>20</v>
      </c>
      <c r="H328" s="465">
        <v>201701</v>
      </c>
      <c r="I328" s="467">
        <v>-41.35</v>
      </c>
      <c r="J328" s="464">
        <v>0</v>
      </c>
      <c r="K328" s="472">
        <v>1.4833299999999999E-3</v>
      </c>
      <c r="L328" s="469">
        <f t="shared" si="10"/>
        <v>0</v>
      </c>
      <c r="M328" s="469">
        <f t="shared" si="11"/>
        <v>-0.74</v>
      </c>
      <c r="N328" s="470"/>
    </row>
    <row r="329" spans="1:14">
      <c r="A329" s="464" t="s">
        <v>14</v>
      </c>
      <c r="B329" s="465" t="s">
        <v>1681</v>
      </c>
      <c r="C329" s="466" t="s">
        <v>2315</v>
      </c>
      <c r="D329" s="464" t="s">
        <v>2316</v>
      </c>
      <c r="E329" s="465" t="str">
        <f>VLOOKUP(C329,'[10]Project Detail Query'!$A$1:$R$2830,6,FALSE)</f>
        <v>F0599</v>
      </c>
      <c r="F329" s="464" t="str">
        <f>VLOOKUP(C329,'[10]Project Detail Query'!$A$1:$R$2830,7,FALSE)</f>
        <v>Main Replacement - ISRS (N)</v>
      </c>
      <c r="G329" s="465" t="s">
        <v>20</v>
      </c>
      <c r="H329" s="465">
        <v>201701</v>
      </c>
      <c r="I329" s="467">
        <v>-17.739999999999998</v>
      </c>
      <c r="J329" s="464">
        <v>0</v>
      </c>
      <c r="K329" s="468">
        <v>2.23333E-3</v>
      </c>
      <c r="L329" s="469">
        <f t="shared" si="10"/>
        <v>0</v>
      </c>
      <c r="M329" s="469">
        <f t="shared" si="11"/>
        <v>-0.48</v>
      </c>
      <c r="N329" s="470"/>
    </row>
    <row r="330" spans="1:14">
      <c r="A330" s="464" t="s">
        <v>626</v>
      </c>
      <c r="B330" s="465" t="s">
        <v>1681</v>
      </c>
      <c r="C330" s="466" t="s">
        <v>2334</v>
      </c>
      <c r="D330" s="464" t="s">
        <v>2335</v>
      </c>
      <c r="E330" s="465" t="str">
        <f>VLOOKUP(C330,'[10]Project Detail Query'!$A$1:$R$2830,6,FALSE)</f>
        <v>F0599</v>
      </c>
      <c r="F330" s="464" t="str">
        <f>VLOOKUP(C330,'[10]Project Detail Query'!$A$1:$R$2830,7,FALSE)</f>
        <v>Main Replacement - ISRS (N)</v>
      </c>
      <c r="G330" s="465" t="s">
        <v>20</v>
      </c>
      <c r="H330" s="465">
        <v>201701</v>
      </c>
      <c r="I330" s="467">
        <v>-488.97</v>
      </c>
      <c r="J330" s="464">
        <v>0</v>
      </c>
      <c r="K330" s="472">
        <v>1.4833299999999999E-3</v>
      </c>
      <c r="L330" s="469">
        <f t="shared" si="10"/>
        <v>0</v>
      </c>
      <c r="M330" s="469">
        <f t="shared" si="11"/>
        <v>-8.6999999999999993</v>
      </c>
      <c r="N330" s="470"/>
    </row>
    <row r="331" spans="1:14">
      <c r="A331" s="464" t="s">
        <v>626</v>
      </c>
      <c r="B331" s="465" t="s">
        <v>1681</v>
      </c>
      <c r="C331" s="466" t="s">
        <v>2336</v>
      </c>
      <c r="D331" s="464" t="s">
        <v>2337</v>
      </c>
      <c r="E331" s="465" t="str">
        <f>VLOOKUP(C331,'[10]Project Detail Query'!$A$1:$R$2830,6,FALSE)</f>
        <v>F0599</v>
      </c>
      <c r="F331" s="464" t="str">
        <f>VLOOKUP(C331,'[10]Project Detail Query'!$A$1:$R$2830,7,FALSE)</f>
        <v>Main Replacement - ISRS (N)</v>
      </c>
      <c r="G331" s="465" t="s">
        <v>20</v>
      </c>
      <c r="H331" s="465">
        <v>201701</v>
      </c>
      <c r="I331" s="467">
        <v>303.64999999999998</v>
      </c>
      <c r="J331" s="464">
        <v>0</v>
      </c>
      <c r="K331" s="472">
        <v>1.4833299999999999E-3</v>
      </c>
      <c r="L331" s="469">
        <f t="shared" si="10"/>
        <v>0</v>
      </c>
      <c r="M331" s="469">
        <f t="shared" si="11"/>
        <v>5.4</v>
      </c>
      <c r="N331" s="470"/>
    </row>
    <row r="332" spans="1:14">
      <c r="A332" s="464" t="s">
        <v>14</v>
      </c>
      <c r="B332" s="465" t="s">
        <v>1681</v>
      </c>
      <c r="C332" s="466" t="s">
        <v>2336</v>
      </c>
      <c r="D332" s="464" t="s">
        <v>2337</v>
      </c>
      <c r="E332" s="465" t="str">
        <f>VLOOKUP(C332,'[10]Project Detail Query'!$A$1:$R$2830,6,FALSE)</f>
        <v>F0599</v>
      </c>
      <c r="F332" s="464" t="str">
        <f>VLOOKUP(C332,'[10]Project Detail Query'!$A$1:$R$2830,7,FALSE)</f>
        <v>Main Replacement - ISRS (N)</v>
      </c>
      <c r="G332" s="465" t="s">
        <v>20</v>
      </c>
      <c r="H332" s="465">
        <v>201701</v>
      </c>
      <c r="I332" s="467">
        <v>1.26</v>
      </c>
      <c r="J332" s="464">
        <v>0</v>
      </c>
      <c r="K332" s="468">
        <v>2.23333E-3</v>
      </c>
      <c r="L332" s="469">
        <f t="shared" si="10"/>
        <v>0</v>
      </c>
      <c r="M332" s="469">
        <f t="shared" si="11"/>
        <v>0.03</v>
      </c>
      <c r="N332" s="470"/>
    </row>
    <row r="333" spans="1:14">
      <c r="A333" s="464" t="s">
        <v>626</v>
      </c>
      <c r="B333" s="465" t="s">
        <v>1681</v>
      </c>
      <c r="C333" s="466" t="s">
        <v>2338</v>
      </c>
      <c r="D333" s="464" t="s">
        <v>2339</v>
      </c>
      <c r="E333" s="465" t="str">
        <f>VLOOKUP(C333,'[10]Project Detail Query'!$A$1:$R$2830,6,FALSE)</f>
        <v>F0599</v>
      </c>
      <c r="F333" s="464" t="str">
        <f>VLOOKUP(C333,'[10]Project Detail Query'!$A$1:$R$2830,7,FALSE)</f>
        <v>Main Replacement - ISRS (N)</v>
      </c>
      <c r="G333" s="465" t="s">
        <v>20</v>
      </c>
      <c r="H333" s="465">
        <v>201701</v>
      </c>
      <c r="I333" s="467">
        <v>486.4</v>
      </c>
      <c r="J333" s="464">
        <v>0</v>
      </c>
      <c r="K333" s="472">
        <v>1.4833299999999999E-3</v>
      </c>
      <c r="L333" s="469">
        <f t="shared" si="10"/>
        <v>0</v>
      </c>
      <c r="M333" s="469">
        <f t="shared" si="11"/>
        <v>8.66</v>
      </c>
      <c r="N333" s="470"/>
    </row>
    <row r="334" spans="1:14">
      <c r="A334" s="464" t="s">
        <v>14</v>
      </c>
      <c r="B334" s="465" t="s">
        <v>1681</v>
      </c>
      <c r="C334" s="466" t="s">
        <v>2338</v>
      </c>
      <c r="D334" s="464" t="s">
        <v>2339</v>
      </c>
      <c r="E334" s="465" t="str">
        <f>VLOOKUP(C334,'[10]Project Detail Query'!$A$1:$R$2830,6,FALSE)</f>
        <v>F0599</v>
      </c>
      <c r="F334" s="464" t="str">
        <f>VLOOKUP(C334,'[10]Project Detail Query'!$A$1:$R$2830,7,FALSE)</f>
        <v>Main Replacement - ISRS (N)</v>
      </c>
      <c r="G334" s="465" t="s">
        <v>20</v>
      </c>
      <c r="H334" s="465">
        <v>201701</v>
      </c>
      <c r="I334" s="467">
        <v>3.63</v>
      </c>
      <c r="J334" s="464">
        <v>0</v>
      </c>
      <c r="K334" s="468">
        <v>2.23333E-3</v>
      </c>
      <c r="L334" s="469">
        <f t="shared" si="10"/>
        <v>0</v>
      </c>
      <c r="M334" s="469">
        <f t="shared" si="11"/>
        <v>0.1</v>
      </c>
      <c r="N334" s="470"/>
    </row>
    <row r="335" spans="1:14">
      <c r="A335" s="464" t="s">
        <v>626</v>
      </c>
      <c r="B335" s="465" t="s">
        <v>1681</v>
      </c>
      <c r="C335" s="466" t="s">
        <v>2340</v>
      </c>
      <c r="D335" s="464" t="s">
        <v>2341</v>
      </c>
      <c r="E335" s="465" t="str">
        <f>VLOOKUP(C335,'[10]Project Detail Query'!$A$1:$R$2830,6,FALSE)</f>
        <v>F0572</v>
      </c>
      <c r="F335" s="464" t="str">
        <f>VLOOKUP(C335,'[10]Project Detail Query'!$A$1:$R$2830,7,FALSE)</f>
        <v>Main Replacement - ISRS (SW)</v>
      </c>
      <c r="G335" s="465" t="s">
        <v>20</v>
      </c>
      <c r="H335" s="465">
        <v>201701</v>
      </c>
      <c r="I335" s="467">
        <v>2565.36</v>
      </c>
      <c r="J335" s="464">
        <v>0</v>
      </c>
      <c r="K335" s="472">
        <v>1.4833299999999999E-3</v>
      </c>
      <c r="L335" s="469">
        <f t="shared" si="10"/>
        <v>0</v>
      </c>
      <c r="M335" s="469">
        <f t="shared" si="11"/>
        <v>45.66</v>
      </c>
      <c r="N335" s="470"/>
    </row>
    <row r="336" spans="1:14">
      <c r="A336" s="464" t="s">
        <v>14</v>
      </c>
      <c r="B336" s="465" t="s">
        <v>1681</v>
      </c>
      <c r="C336" s="466" t="s">
        <v>2340</v>
      </c>
      <c r="D336" s="464" t="s">
        <v>2341</v>
      </c>
      <c r="E336" s="465" t="str">
        <f>VLOOKUP(C336,'[10]Project Detail Query'!$A$1:$R$2830,6,FALSE)</f>
        <v>F0572</v>
      </c>
      <c r="F336" s="464" t="str">
        <f>VLOOKUP(C336,'[10]Project Detail Query'!$A$1:$R$2830,7,FALSE)</f>
        <v>Main Replacement - ISRS (SW)</v>
      </c>
      <c r="G336" s="465" t="s">
        <v>20</v>
      </c>
      <c r="H336" s="465">
        <v>201701</v>
      </c>
      <c r="I336" s="467">
        <v>38.31</v>
      </c>
      <c r="J336" s="464">
        <v>0</v>
      </c>
      <c r="K336" s="468">
        <v>2.23333E-3</v>
      </c>
      <c r="L336" s="469">
        <f t="shared" si="10"/>
        <v>0</v>
      </c>
      <c r="M336" s="469">
        <f t="shared" si="11"/>
        <v>1.03</v>
      </c>
      <c r="N336" s="470"/>
    </row>
    <row r="337" spans="1:14">
      <c r="A337" s="464" t="s">
        <v>626</v>
      </c>
      <c r="B337" s="465" t="s">
        <v>1681</v>
      </c>
      <c r="C337" s="466" t="s">
        <v>2342</v>
      </c>
      <c r="D337" s="464" t="s">
        <v>2343</v>
      </c>
      <c r="E337" s="465" t="str">
        <f>VLOOKUP(C337,'[10]Project Detail Query'!$A$1:$R$2830,6,FALSE)</f>
        <v>F0604</v>
      </c>
      <c r="F337" s="464" t="str">
        <f>VLOOKUP(C337,'[10]Project Detail Query'!$A$1:$R$2830,7,FALSE)</f>
        <v>Main Replacement - ISRS (S)</v>
      </c>
      <c r="G337" s="465" t="s">
        <v>20</v>
      </c>
      <c r="H337" s="465">
        <v>201701</v>
      </c>
      <c r="I337" s="467">
        <v>12879.68</v>
      </c>
      <c r="J337" s="464">
        <v>0</v>
      </c>
      <c r="K337" s="472">
        <v>1.4833299999999999E-3</v>
      </c>
      <c r="L337" s="469">
        <f t="shared" si="10"/>
        <v>0</v>
      </c>
      <c r="M337" s="469">
        <f t="shared" si="11"/>
        <v>229.26</v>
      </c>
      <c r="N337" s="470"/>
    </row>
    <row r="338" spans="1:14">
      <c r="A338" s="464" t="s">
        <v>14</v>
      </c>
      <c r="B338" s="465" t="s">
        <v>1681</v>
      </c>
      <c r="C338" s="466" t="s">
        <v>2342</v>
      </c>
      <c r="D338" s="464" t="s">
        <v>2343</v>
      </c>
      <c r="E338" s="465" t="str">
        <f>VLOOKUP(C338,'[10]Project Detail Query'!$A$1:$R$2830,6,FALSE)</f>
        <v>F0604</v>
      </c>
      <c r="F338" s="464" t="str">
        <f>VLOOKUP(C338,'[10]Project Detail Query'!$A$1:$R$2830,7,FALSE)</f>
        <v>Main Replacement - ISRS (S)</v>
      </c>
      <c r="G338" s="465" t="s">
        <v>20</v>
      </c>
      <c r="H338" s="465">
        <v>201701</v>
      </c>
      <c r="I338" s="467">
        <v>0.51</v>
      </c>
      <c r="J338" s="464">
        <v>0</v>
      </c>
      <c r="K338" s="468">
        <v>2.23333E-3</v>
      </c>
      <c r="L338" s="469">
        <f t="shared" si="10"/>
        <v>0</v>
      </c>
      <c r="M338" s="469">
        <f t="shared" si="11"/>
        <v>0.01</v>
      </c>
      <c r="N338" s="470"/>
    </row>
    <row r="339" spans="1:14">
      <c r="A339" s="464" t="s">
        <v>626</v>
      </c>
      <c r="B339" s="465" t="s">
        <v>1681</v>
      </c>
      <c r="C339" s="466" t="s">
        <v>2344</v>
      </c>
      <c r="D339" s="464" t="s">
        <v>2345</v>
      </c>
      <c r="E339" s="465" t="str">
        <f>VLOOKUP(C339,'[10]Project Detail Query'!$A$1:$R$2830,6,FALSE)</f>
        <v>F0604</v>
      </c>
      <c r="F339" s="464" t="str">
        <f>VLOOKUP(C339,'[10]Project Detail Query'!$A$1:$R$2830,7,FALSE)</f>
        <v>Main Replacement - ISRS (S)</v>
      </c>
      <c r="G339" s="465" t="s">
        <v>20</v>
      </c>
      <c r="H339" s="465">
        <v>201701</v>
      </c>
      <c r="I339" s="467">
        <v>85.91</v>
      </c>
      <c r="J339" s="464">
        <v>0</v>
      </c>
      <c r="K339" s="472">
        <v>1.4833299999999999E-3</v>
      </c>
      <c r="L339" s="469">
        <f t="shared" si="10"/>
        <v>0</v>
      </c>
      <c r="M339" s="469">
        <f t="shared" si="11"/>
        <v>1.53</v>
      </c>
      <c r="N339" s="470"/>
    </row>
    <row r="340" spans="1:14">
      <c r="A340" s="464" t="s">
        <v>14</v>
      </c>
      <c r="B340" s="465" t="s">
        <v>1681</v>
      </c>
      <c r="C340" s="466" t="s">
        <v>2344</v>
      </c>
      <c r="D340" s="464" t="s">
        <v>2345</v>
      </c>
      <c r="E340" s="465" t="str">
        <f>VLOOKUP(C340,'[10]Project Detail Query'!$A$1:$R$2830,6,FALSE)</f>
        <v>F0604</v>
      </c>
      <c r="F340" s="464" t="str">
        <f>VLOOKUP(C340,'[10]Project Detail Query'!$A$1:$R$2830,7,FALSE)</f>
        <v>Main Replacement - ISRS (S)</v>
      </c>
      <c r="G340" s="465" t="s">
        <v>20</v>
      </c>
      <c r="H340" s="465">
        <v>201701</v>
      </c>
      <c r="I340" s="467">
        <v>0.01</v>
      </c>
      <c r="J340" s="464">
        <v>0</v>
      </c>
      <c r="K340" s="468">
        <v>2.23333E-3</v>
      </c>
      <c r="L340" s="469">
        <f t="shared" si="10"/>
        <v>0</v>
      </c>
      <c r="M340" s="469">
        <f t="shared" si="11"/>
        <v>0</v>
      </c>
      <c r="N340" s="470"/>
    </row>
    <row r="341" spans="1:14">
      <c r="A341" s="464" t="s">
        <v>626</v>
      </c>
      <c r="B341" s="465" t="s">
        <v>1681</v>
      </c>
      <c r="C341" s="466" t="s">
        <v>2346</v>
      </c>
      <c r="D341" s="464" t="s">
        <v>2347</v>
      </c>
      <c r="E341" s="465" t="str">
        <f>VLOOKUP(C341,'[10]Project Detail Query'!$A$1:$R$2830,6,FALSE)</f>
        <v>F0604</v>
      </c>
      <c r="F341" s="464" t="str">
        <f>VLOOKUP(C341,'[10]Project Detail Query'!$A$1:$R$2830,7,FALSE)</f>
        <v>Main Replacement - ISRS (S)</v>
      </c>
      <c r="G341" s="465" t="s">
        <v>20</v>
      </c>
      <c r="H341" s="465">
        <v>201701</v>
      </c>
      <c r="I341" s="467">
        <v>-13345.28</v>
      </c>
      <c r="J341" s="464">
        <v>0</v>
      </c>
      <c r="K341" s="472">
        <v>1.4833299999999999E-3</v>
      </c>
      <c r="L341" s="469">
        <f t="shared" si="10"/>
        <v>0</v>
      </c>
      <c r="M341" s="469">
        <f t="shared" si="11"/>
        <v>-237.55</v>
      </c>
      <c r="N341" s="470"/>
    </row>
    <row r="342" spans="1:14">
      <c r="A342" s="464" t="s">
        <v>626</v>
      </c>
      <c r="B342" s="465" t="s">
        <v>1681</v>
      </c>
      <c r="C342" s="466" t="s">
        <v>2348</v>
      </c>
      <c r="D342" s="464" t="s">
        <v>2349</v>
      </c>
      <c r="E342" s="465" t="str">
        <f>VLOOKUP(C342,'[10]Project Detail Query'!$A$1:$R$2830,6,FALSE)</f>
        <v>F0604</v>
      </c>
      <c r="F342" s="464" t="str">
        <f>VLOOKUP(C342,'[10]Project Detail Query'!$A$1:$R$2830,7,FALSE)</f>
        <v>Main Replacement - ISRS (S)</v>
      </c>
      <c r="G342" s="465" t="s">
        <v>20</v>
      </c>
      <c r="H342" s="465">
        <v>201701</v>
      </c>
      <c r="I342" s="467">
        <v>131.35</v>
      </c>
      <c r="J342" s="464">
        <v>0</v>
      </c>
      <c r="K342" s="472">
        <v>1.4833299999999999E-3</v>
      </c>
      <c r="L342" s="469">
        <f t="shared" si="10"/>
        <v>0</v>
      </c>
      <c r="M342" s="469">
        <f t="shared" si="11"/>
        <v>2.34</v>
      </c>
      <c r="N342" s="470"/>
    </row>
    <row r="343" spans="1:14">
      <c r="A343" s="464" t="s">
        <v>14</v>
      </c>
      <c r="B343" s="465" t="s">
        <v>1681</v>
      </c>
      <c r="C343" s="466" t="s">
        <v>2348</v>
      </c>
      <c r="D343" s="464" t="s">
        <v>2349</v>
      </c>
      <c r="E343" s="465" t="str">
        <f>VLOOKUP(C343,'[10]Project Detail Query'!$A$1:$R$2830,6,FALSE)</f>
        <v>F0604</v>
      </c>
      <c r="F343" s="464" t="str">
        <f>VLOOKUP(C343,'[10]Project Detail Query'!$A$1:$R$2830,7,FALSE)</f>
        <v>Main Replacement - ISRS (S)</v>
      </c>
      <c r="G343" s="465" t="s">
        <v>20</v>
      </c>
      <c r="H343" s="465">
        <v>201701</v>
      </c>
      <c r="I343" s="467">
        <v>0.05</v>
      </c>
      <c r="J343" s="464">
        <v>0</v>
      </c>
      <c r="K343" s="468">
        <v>2.23333E-3</v>
      </c>
      <c r="L343" s="469">
        <f t="shared" si="10"/>
        <v>0</v>
      </c>
      <c r="M343" s="469">
        <f t="shared" si="11"/>
        <v>0</v>
      </c>
      <c r="N343" s="470"/>
    </row>
    <row r="344" spans="1:14">
      <c r="A344" s="464" t="s">
        <v>626</v>
      </c>
      <c r="B344" s="465" t="s">
        <v>1681</v>
      </c>
      <c r="C344" s="466" t="s">
        <v>2350</v>
      </c>
      <c r="D344" s="464" t="s">
        <v>2351</v>
      </c>
      <c r="E344" s="465" t="str">
        <f>VLOOKUP(C344,'[10]Project Detail Query'!$A$1:$R$2830,6,FALSE)</f>
        <v>F0604</v>
      </c>
      <c r="F344" s="464" t="str">
        <f>VLOOKUP(C344,'[10]Project Detail Query'!$A$1:$R$2830,7,FALSE)</f>
        <v>Main Replacement - ISRS (S)</v>
      </c>
      <c r="G344" s="465" t="s">
        <v>20</v>
      </c>
      <c r="H344" s="465">
        <v>201701</v>
      </c>
      <c r="I344" s="467">
        <v>2471.62</v>
      </c>
      <c r="J344" s="464">
        <v>0</v>
      </c>
      <c r="K344" s="472">
        <v>1.4833299999999999E-3</v>
      </c>
      <c r="L344" s="469">
        <f t="shared" si="10"/>
        <v>0</v>
      </c>
      <c r="M344" s="469">
        <f t="shared" si="11"/>
        <v>43.99</v>
      </c>
      <c r="N344" s="470"/>
    </row>
    <row r="345" spans="1:14">
      <c r="A345" s="464" t="s">
        <v>626</v>
      </c>
      <c r="B345" s="465" t="s">
        <v>1681</v>
      </c>
      <c r="C345" s="466" t="s">
        <v>2352</v>
      </c>
      <c r="D345" s="464" t="s">
        <v>2353</v>
      </c>
      <c r="E345" s="465" t="str">
        <f>VLOOKUP(C345,'[10]Project Detail Query'!$A$1:$R$2830,6,FALSE)</f>
        <v>F0604</v>
      </c>
      <c r="F345" s="464" t="str">
        <f>VLOOKUP(C345,'[10]Project Detail Query'!$A$1:$R$2830,7,FALSE)</f>
        <v>Main Replacement - ISRS (S)</v>
      </c>
      <c r="G345" s="465" t="s">
        <v>20</v>
      </c>
      <c r="H345" s="465">
        <v>201701</v>
      </c>
      <c r="I345" s="467">
        <v>9679.6299999999992</v>
      </c>
      <c r="J345" s="464">
        <v>0</v>
      </c>
      <c r="K345" s="472">
        <v>1.4833299999999999E-3</v>
      </c>
      <c r="L345" s="469">
        <f t="shared" si="10"/>
        <v>0</v>
      </c>
      <c r="M345" s="469">
        <f t="shared" si="11"/>
        <v>172.3</v>
      </c>
      <c r="N345" s="470"/>
    </row>
    <row r="346" spans="1:14">
      <c r="A346" s="464" t="s">
        <v>14</v>
      </c>
      <c r="B346" s="465" t="s">
        <v>1681</v>
      </c>
      <c r="C346" s="466" t="s">
        <v>2352</v>
      </c>
      <c r="D346" s="464" t="s">
        <v>2353</v>
      </c>
      <c r="E346" s="465" t="str">
        <f>VLOOKUP(C346,'[10]Project Detail Query'!$A$1:$R$2830,6,FALSE)</f>
        <v>F0604</v>
      </c>
      <c r="F346" s="464" t="str">
        <f>VLOOKUP(C346,'[10]Project Detail Query'!$A$1:$R$2830,7,FALSE)</f>
        <v>Main Replacement - ISRS (S)</v>
      </c>
      <c r="G346" s="465" t="s">
        <v>20</v>
      </c>
      <c r="H346" s="465">
        <v>201701</v>
      </c>
      <c r="I346" s="467">
        <v>15.76</v>
      </c>
      <c r="J346" s="464">
        <v>0</v>
      </c>
      <c r="K346" s="468">
        <v>2.23333E-3</v>
      </c>
      <c r="L346" s="469">
        <f t="shared" si="10"/>
        <v>0</v>
      </c>
      <c r="M346" s="469">
        <f t="shared" si="11"/>
        <v>0.42</v>
      </c>
      <c r="N346" s="470"/>
    </row>
    <row r="347" spans="1:14">
      <c r="A347" s="464" t="s">
        <v>626</v>
      </c>
      <c r="B347" s="465" t="s">
        <v>1681</v>
      </c>
      <c r="C347" s="466" t="s">
        <v>2354</v>
      </c>
      <c r="D347" s="464" t="s">
        <v>2355</v>
      </c>
      <c r="E347" s="465" t="str">
        <f>VLOOKUP(C347,'[10]Project Detail Query'!$A$1:$R$2830,6,FALSE)</f>
        <v>F0599</v>
      </c>
      <c r="F347" s="464" t="str">
        <f>VLOOKUP(C347,'[10]Project Detail Query'!$A$1:$R$2830,7,FALSE)</f>
        <v>Main Replacement - ISRS (N)</v>
      </c>
      <c r="G347" s="465" t="s">
        <v>20</v>
      </c>
      <c r="H347" s="465">
        <v>201701</v>
      </c>
      <c r="I347" s="467">
        <v>190.04</v>
      </c>
      <c r="J347" s="464">
        <v>0</v>
      </c>
      <c r="K347" s="472">
        <v>1.4833299999999999E-3</v>
      </c>
      <c r="L347" s="469">
        <f t="shared" si="10"/>
        <v>0</v>
      </c>
      <c r="M347" s="469">
        <f t="shared" si="11"/>
        <v>3.38</v>
      </c>
      <c r="N347" s="470"/>
    </row>
    <row r="348" spans="1:14">
      <c r="A348" s="464" t="s">
        <v>626</v>
      </c>
      <c r="B348" s="465" t="s">
        <v>1681</v>
      </c>
      <c r="C348" s="466" t="s">
        <v>2358</v>
      </c>
      <c r="D348" s="464" t="s">
        <v>2359</v>
      </c>
      <c r="E348" s="465" t="str">
        <f>VLOOKUP(C348,'[10]Project Detail Query'!$A$1:$R$2830,6,FALSE)</f>
        <v>F0604</v>
      </c>
      <c r="F348" s="464" t="str">
        <f>VLOOKUP(C348,'[10]Project Detail Query'!$A$1:$R$2830,7,FALSE)</f>
        <v>Main Replacement - ISRS (S)</v>
      </c>
      <c r="G348" s="465" t="s">
        <v>20</v>
      </c>
      <c r="H348" s="465">
        <v>201701</v>
      </c>
      <c r="I348" s="467">
        <v>1243.8599999999999</v>
      </c>
      <c r="J348" s="464">
        <v>0</v>
      </c>
      <c r="K348" s="472">
        <v>1.4833299999999999E-3</v>
      </c>
      <c r="L348" s="469">
        <f t="shared" si="10"/>
        <v>0</v>
      </c>
      <c r="M348" s="469">
        <f t="shared" si="11"/>
        <v>22.14</v>
      </c>
      <c r="N348" s="470"/>
    </row>
    <row r="349" spans="1:14">
      <c r="A349" s="464" t="s">
        <v>14</v>
      </c>
      <c r="B349" s="465" t="s">
        <v>1681</v>
      </c>
      <c r="C349" s="466" t="s">
        <v>2358</v>
      </c>
      <c r="D349" s="464" t="s">
        <v>2359</v>
      </c>
      <c r="E349" s="465" t="str">
        <f>VLOOKUP(C349,'[10]Project Detail Query'!$A$1:$R$2830,6,FALSE)</f>
        <v>F0604</v>
      </c>
      <c r="F349" s="464" t="str">
        <f>VLOOKUP(C349,'[10]Project Detail Query'!$A$1:$R$2830,7,FALSE)</f>
        <v>Main Replacement - ISRS (S)</v>
      </c>
      <c r="G349" s="465" t="s">
        <v>20</v>
      </c>
      <c r="H349" s="465">
        <v>201701</v>
      </c>
      <c r="I349" s="467">
        <v>14.01</v>
      </c>
      <c r="J349" s="464">
        <v>0</v>
      </c>
      <c r="K349" s="468">
        <v>2.23333E-3</v>
      </c>
      <c r="L349" s="469">
        <f t="shared" si="10"/>
        <v>0</v>
      </c>
      <c r="M349" s="469">
        <f t="shared" si="11"/>
        <v>0.38</v>
      </c>
      <c r="N349" s="470"/>
    </row>
    <row r="350" spans="1:14">
      <c r="A350" s="464" t="s">
        <v>626</v>
      </c>
      <c r="B350" s="465" t="s">
        <v>1681</v>
      </c>
      <c r="C350" s="466" t="s">
        <v>2360</v>
      </c>
      <c r="D350" s="464" t="s">
        <v>2361</v>
      </c>
      <c r="E350" s="465" t="str">
        <f>VLOOKUP(C350,'[10]Project Detail Query'!$A$1:$R$2830,6,FALSE)</f>
        <v>F0604</v>
      </c>
      <c r="F350" s="464" t="str">
        <f>VLOOKUP(C350,'[10]Project Detail Query'!$A$1:$R$2830,7,FALSE)</f>
        <v>Main Replacement - ISRS (S)</v>
      </c>
      <c r="G350" s="465" t="s">
        <v>20</v>
      </c>
      <c r="H350" s="465">
        <v>201701</v>
      </c>
      <c r="I350" s="467">
        <v>738.94</v>
      </c>
      <c r="J350" s="464">
        <v>0</v>
      </c>
      <c r="K350" s="472">
        <v>1.4833299999999999E-3</v>
      </c>
      <c r="L350" s="469">
        <f t="shared" si="10"/>
        <v>0</v>
      </c>
      <c r="M350" s="469">
        <f t="shared" si="11"/>
        <v>13.15</v>
      </c>
      <c r="N350" s="470"/>
    </row>
    <row r="351" spans="1:14">
      <c r="A351" s="464" t="s">
        <v>14</v>
      </c>
      <c r="B351" s="465" t="s">
        <v>1681</v>
      </c>
      <c r="C351" s="466" t="s">
        <v>2360</v>
      </c>
      <c r="D351" s="464" t="s">
        <v>2361</v>
      </c>
      <c r="E351" s="465" t="str">
        <f>VLOOKUP(C351,'[10]Project Detail Query'!$A$1:$R$2830,6,FALSE)</f>
        <v>F0604</v>
      </c>
      <c r="F351" s="464" t="str">
        <f>VLOOKUP(C351,'[10]Project Detail Query'!$A$1:$R$2830,7,FALSE)</f>
        <v>Main Replacement - ISRS (S)</v>
      </c>
      <c r="G351" s="465" t="s">
        <v>20</v>
      </c>
      <c r="H351" s="465">
        <v>201701</v>
      </c>
      <c r="I351" s="467">
        <v>9.6300000000000008</v>
      </c>
      <c r="J351" s="464">
        <v>0</v>
      </c>
      <c r="K351" s="468">
        <v>2.23333E-3</v>
      </c>
      <c r="L351" s="469">
        <f t="shared" si="10"/>
        <v>0</v>
      </c>
      <c r="M351" s="469">
        <f t="shared" si="11"/>
        <v>0.26</v>
      </c>
      <c r="N351" s="470"/>
    </row>
    <row r="352" spans="1:14">
      <c r="A352" s="464" t="s">
        <v>626</v>
      </c>
      <c r="B352" s="465" t="s">
        <v>1681</v>
      </c>
      <c r="C352" s="466" t="s">
        <v>2362</v>
      </c>
      <c r="D352" s="464" t="s">
        <v>2363</v>
      </c>
      <c r="E352" s="465" t="str">
        <f>VLOOKUP(C352,'[10]Project Detail Query'!$A$1:$R$2830,6,FALSE)</f>
        <v>F0604</v>
      </c>
      <c r="F352" s="464" t="str">
        <f>VLOOKUP(C352,'[10]Project Detail Query'!$A$1:$R$2830,7,FALSE)</f>
        <v>Main Replacement - ISRS (S)</v>
      </c>
      <c r="G352" s="465" t="s">
        <v>20</v>
      </c>
      <c r="H352" s="465">
        <v>201701</v>
      </c>
      <c r="I352" s="467">
        <v>5617.49</v>
      </c>
      <c r="J352" s="464">
        <v>0</v>
      </c>
      <c r="K352" s="472">
        <v>1.4833299999999999E-3</v>
      </c>
      <c r="L352" s="469">
        <f t="shared" si="10"/>
        <v>0</v>
      </c>
      <c r="M352" s="469">
        <f t="shared" si="11"/>
        <v>99.99</v>
      </c>
      <c r="N352" s="470"/>
    </row>
    <row r="353" spans="1:14">
      <c r="A353" s="464" t="s">
        <v>14</v>
      </c>
      <c r="B353" s="465" t="s">
        <v>1681</v>
      </c>
      <c r="C353" s="466" t="s">
        <v>2362</v>
      </c>
      <c r="D353" s="464" t="s">
        <v>2363</v>
      </c>
      <c r="E353" s="465" t="str">
        <f>VLOOKUP(C353,'[10]Project Detail Query'!$A$1:$R$2830,6,FALSE)</f>
        <v>F0604</v>
      </c>
      <c r="F353" s="464" t="str">
        <f>VLOOKUP(C353,'[10]Project Detail Query'!$A$1:$R$2830,7,FALSE)</f>
        <v>Main Replacement - ISRS (S)</v>
      </c>
      <c r="G353" s="465" t="s">
        <v>20</v>
      </c>
      <c r="H353" s="465">
        <v>201701</v>
      </c>
      <c r="I353" s="467">
        <v>96.25</v>
      </c>
      <c r="J353" s="464">
        <v>0</v>
      </c>
      <c r="K353" s="468">
        <v>2.23333E-3</v>
      </c>
      <c r="L353" s="469">
        <f t="shared" si="10"/>
        <v>0</v>
      </c>
      <c r="M353" s="469">
        <f t="shared" si="11"/>
        <v>2.58</v>
      </c>
      <c r="N353" s="470"/>
    </row>
    <row r="354" spans="1:14">
      <c r="A354" s="464" t="s">
        <v>626</v>
      </c>
      <c r="B354" s="465" t="s">
        <v>1681</v>
      </c>
      <c r="C354" s="466" t="s">
        <v>2364</v>
      </c>
      <c r="D354" s="464" t="s">
        <v>2365</v>
      </c>
      <c r="E354" s="465" t="str">
        <f>VLOOKUP(C354,'[10]Project Detail Query'!$A$1:$R$2830,6,FALSE)</f>
        <v>F0604</v>
      </c>
      <c r="F354" s="464" t="str">
        <f>VLOOKUP(C354,'[10]Project Detail Query'!$A$1:$R$2830,7,FALSE)</f>
        <v>Main Replacement - ISRS (S)</v>
      </c>
      <c r="G354" s="465" t="s">
        <v>20</v>
      </c>
      <c r="H354" s="465">
        <v>201701</v>
      </c>
      <c r="I354" s="467">
        <v>5988</v>
      </c>
      <c r="J354" s="464">
        <v>0</v>
      </c>
      <c r="K354" s="472">
        <v>1.4833299999999999E-3</v>
      </c>
      <c r="L354" s="469">
        <f t="shared" si="10"/>
        <v>0</v>
      </c>
      <c r="M354" s="469">
        <f t="shared" si="11"/>
        <v>106.59</v>
      </c>
      <c r="N354" s="470"/>
    </row>
    <row r="355" spans="1:14">
      <c r="A355" s="464" t="s">
        <v>14</v>
      </c>
      <c r="B355" s="465" t="s">
        <v>1681</v>
      </c>
      <c r="C355" s="466" t="s">
        <v>2364</v>
      </c>
      <c r="D355" s="464" t="s">
        <v>2365</v>
      </c>
      <c r="E355" s="465" t="str">
        <f>VLOOKUP(C355,'[10]Project Detail Query'!$A$1:$R$2830,6,FALSE)</f>
        <v>F0604</v>
      </c>
      <c r="F355" s="464" t="str">
        <f>VLOOKUP(C355,'[10]Project Detail Query'!$A$1:$R$2830,7,FALSE)</f>
        <v>Main Replacement - ISRS (S)</v>
      </c>
      <c r="G355" s="465" t="s">
        <v>20</v>
      </c>
      <c r="H355" s="465">
        <v>201701</v>
      </c>
      <c r="I355" s="467">
        <v>61.52</v>
      </c>
      <c r="J355" s="464">
        <v>0</v>
      </c>
      <c r="K355" s="468">
        <v>2.23333E-3</v>
      </c>
      <c r="L355" s="469">
        <f t="shared" si="10"/>
        <v>0</v>
      </c>
      <c r="M355" s="469">
        <f t="shared" si="11"/>
        <v>1.65</v>
      </c>
      <c r="N355" s="470"/>
    </row>
    <row r="356" spans="1:14">
      <c r="A356" s="464" t="s">
        <v>21</v>
      </c>
      <c r="B356" s="465" t="s">
        <v>1681</v>
      </c>
      <c r="C356" s="466" t="s">
        <v>2366</v>
      </c>
      <c r="D356" s="464" t="s">
        <v>2367</v>
      </c>
      <c r="E356" s="465" t="str">
        <f>VLOOKUP(C356,'[10]Project Detail Query'!$A$1:$R$2830,6,FALSE)</f>
        <v>F0604</v>
      </c>
      <c r="F356" s="464" t="str">
        <f>VLOOKUP(C356,'[10]Project Detail Query'!$A$1:$R$2830,7,FALSE)</f>
        <v>Main Replacement - ISRS (S)</v>
      </c>
      <c r="G356" s="465" t="s">
        <v>20</v>
      </c>
      <c r="H356" s="465">
        <v>201701</v>
      </c>
      <c r="I356" s="467">
        <v>0.18</v>
      </c>
      <c r="J356" s="464">
        <v>0</v>
      </c>
      <c r="K356" s="472">
        <v>1.4833299999999999E-3</v>
      </c>
      <c r="L356" s="469">
        <f t="shared" si="10"/>
        <v>0</v>
      </c>
      <c r="M356" s="469">
        <f t="shared" si="11"/>
        <v>0</v>
      </c>
      <c r="N356" s="470"/>
    </row>
    <row r="357" spans="1:14">
      <c r="A357" s="464" t="s">
        <v>626</v>
      </c>
      <c r="B357" s="465" t="s">
        <v>1681</v>
      </c>
      <c r="C357" s="466" t="s">
        <v>2366</v>
      </c>
      <c r="D357" s="464" t="s">
        <v>2367</v>
      </c>
      <c r="E357" s="465" t="str">
        <f>VLOOKUP(C357,'[10]Project Detail Query'!$A$1:$R$2830,6,FALSE)</f>
        <v>F0604</v>
      </c>
      <c r="F357" s="464" t="str">
        <f>VLOOKUP(C357,'[10]Project Detail Query'!$A$1:$R$2830,7,FALSE)</f>
        <v>Main Replacement - ISRS (S)</v>
      </c>
      <c r="G357" s="465" t="s">
        <v>20</v>
      </c>
      <c r="H357" s="465">
        <v>201701</v>
      </c>
      <c r="I357" s="467">
        <v>1153.8900000000001</v>
      </c>
      <c r="J357" s="464">
        <v>0</v>
      </c>
      <c r="K357" s="472">
        <v>1.4833299999999999E-3</v>
      </c>
      <c r="L357" s="469">
        <f t="shared" si="10"/>
        <v>0</v>
      </c>
      <c r="M357" s="469">
        <f t="shared" si="11"/>
        <v>20.54</v>
      </c>
      <c r="N357" s="470"/>
    </row>
    <row r="358" spans="1:14">
      <c r="A358" s="464" t="s">
        <v>14</v>
      </c>
      <c r="B358" s="465" t="s">
        <v>1681</v>
      </c>
      <c r="C358" s="466" t="s">
        <v>2366</v>
      </c>
      <c r="D358" s="464" t="s">
        <v>2367</v>
      </c>
      <c r="E358" s="465" t="str">
        <f>VLOOKUP(C358,'[10]Project Detail Query'!$A$1:$R$2830,6,FALSE)</f>
        <v>F0604</v>
      </c>
      <c r="F358" s="464" t="str">
        <f>VLOOKUP(C358,'[10]Project Detail Query'!$A$1:$R$2830,7,FALSE)</f>
        <v>Main Replacement - ISRS (S)</v>
      </c>
      <c r="G358" s="465" t="s">
        <v>20</v>
      </c>
      <c r="H358" s="465">
        <v>201701</v>
      </c>
      <c r="I358" s="467">
        <v>1.5</v>
      </c>
      <c r="J358" s="464">
        <v>0</v>
      </c>
      <c r="K358" s="468">
        <v>2.23333E-3</v>
      </c>
      <c r="L358" s="469">
        <f t="shared" si="10"/>
        <v>0</v>
      </c>
      <c r="M358" s="469">
        <f t="shared" si="11"/>
        <v>0.04</v>
      </c>
      <c r="N358" s="470"/>
    </row>
    <row r="359" spans="1:14">
      <c r="A359" s="464" t="s">
        <v>21</v>
      </c>
      <c r="B359" s="465" t="s">
        <v>1681</v>
      </c>
      <c r="C359" s="466" t="s">
        <v>2368</v>
      </c>
      <c r="D359" s="464" t="s">
        <v>2369</v>
      </c>
      <c r="E359" s="465" t="str">
        <f>VLOOKUP(C359,'[10]Project Detail Query'!$A$1:$R$2830,6,FALSE)</f>
        <v>F0604</v>
      </c>
      <c r="F359" s="464" t="str">
        <f>VLOOKUP(C359,'[10]Project Detail Query'!$A$1:$R$2830,7,FALSE)</f>
        <v>Main Replacement - ISRS (S)</v>
      </c>
      <c r="G359" s="465" t="s">
        <v>20</v>
      </c>
      <c r="H359" s="465">
        <v>201701</v>
      </c>
      <c r="I359" s="467">
        <v>0.13</v>
      </c>
      <c r="J359" s="464">
        <v>0</v>
      </c>
      <c r="K359" s="472">
        <v>1.4833299999999999E-3</v>
      </c>
      <c r="L359" s="469">
        <f t="shared" si="10"/>
        <v>0</v>
      </c>
      <c r="M359" s="469">
        <f t="shared" si="11"/>
        <v>0</v>
      </c>
      <c r="N359" s="470"/>
    </row>
    <row r="360" spans="1:14">
      <c r="A360" s="464" t="s">
        <v>626</v>
      </c>
      <c r="B360" s="465" t="s">
        <v>1681</v>
      </c>
      <c r="C360" s="466" t="s">
        <v>2368</v>
      </c>
      <c r="D360" s="464" t="s">
        <v>2369</v>
      </c>
      <c r="E360" s="465" t="str">
        <f>VLOOKUP(C360,'[10]Project Detail Query'!$A$1:$R$2830,6,FALSE)</f>
        <v>F0604</v>
      </c>
      <c r="F360" s="464" t="str">
        <f>VLOOKUP(C360,'[10]Project Detail Query'!$A$1:$R$2830,7,FALSE)</f>
        <v>Main Replacement - ISRS (S)</v>
      </c>
      <c r="G360" s="465" t="s">
        <v>20</v>
      </c>
      <c r="H360" s="465">
        <v>201701</v>
      </c>
      <c r="I360" s="467">
        <v>1429.74</v>
      </c>
      <c r="J360" s="464">
        <v>0</v>
      </c>
      <c r="K360" s="472">
        <v>1.4833299999999999E-3</v>
      </c>
      <c r="L360" s="469">
        <f t="shared" si="10"/>
        <v>0</v>
      </c>
      <c r="M360" s="469">
        <f t="shared" si="11"/>
        <v>25.45</v>
      </c>
      <c r="N360" s="470"/>
    </row>
    <row r="361" spans="1:14">
      <c r="A361" s="464" t="s">
        <v>14</v>
      </c>
      <c r="B361" s="465" t="s">
        <v>1681</v>
      </c>
      <c r="C361" s="466" t="s">
        <v>2368</v>
      </c>
      <c r="D361" s="464" t="s">
        <v>2369</v>
      </c>
      <c r="E361" s="465" t="str">
        <f>VLOOKUP(C361,'[10]Project Detail Query'!$A$1:$R$2830,6,FALSE)</f>
        <v>F0604</v>
      </c>
      <c r="F361" s="464" t="str">
        <f>VLOOKUP(C361,'[10]Project Detail Query'!$A$1:$R$2830,7,FALSE)</f>
        <v>Main Replacement - ISRS (S)</v>
      </c>
      <c r="G361" s="465" t="s">
        <v>20</v>
      </c>
      <c r="H361" s="465">
        <v>201701</v>
      </c>
      <c r="I361" s="467">
        <v>2.36</v>
      </c>
      <c r="J361" s="464">
        <v>0</v>
      </c>
      <c r="K361" s="468">
        <v>2.23333E-3</v>
      </c>
      <c r="L361" s="469">
        <f t="shared" si="10"/>
        <v>0</v>
      </c>
      <c r="M361" s="469">
        <f t="shared" si="11"/>
        <v>0.06</v>
      </c>
      <c r="N361" s="470"/>
    </row>
    <row r="362" spans="1:14">
      <c r="A362" s="464" t="s">
        <v>626</v>
      </c>
      <c r="B362" s="465" t="s">
        <v>1681</v>
      </c>
      <c r="C362" s="466" t="s">
        <v>2370</v>
      </c>
      <c r="D362" s="464" t="s">
        <v>2371</v>
      </c>
      <c r="E362" s="465" t="str">
        <f>VLOOKUP(C362,'[10]Project Detail Query'!$A$1:$R$2830,6,FALSE)</f>
        <v>F0604</v>
      </c>
      <c r="F362" s="464" t="str">
        <f>VLOOKUP(C362,'[10]Project Detail Query'!$A$1:$R$2830,7,FALSE)</f>
        <v>Main Replacement - ISRS (S)</v>
      </c>
      <c r="G362" s="465" t="s">
        <v>20</v>
      </c>
      <c r="H362" s="465">
        <v>201701</v>
      </c>
      <c r="I362" s="467">
        <v>1176.47</v>
      </c>
      <c r="J362" s="464">
        <v>0</v>
      </c>
      <c r="K362" s="472">
        <v>1.4833299999999999E-3</v>
      </c>
      <c r="L362" s="469">
        <f t="shared" si="10"/>
        <v>0</v>
      </c>
      <c r="M362" s="469">
        <f t="shared" si="11"/>
        <v>20.94</v>
      </c>
      <c r="N362" s="470"/>
    </row>
    <row r="363" spans="1:14">
      <c r="A363" s="464" t="s">
        <v>14</v>
      </c>
      <c r="B363" s="465" t="s">
        <v>1681</v>
      </c>
      <c r="C363" s="466" t="s">
        <v>2370</v>
      </c>
      <c r="D363" s="464" t="s">
        <v>2371</v>
      </c>
      <c r="E363" s="465" t="str">
        <f>VLOOKUP(C363,'[10]Project Detail Query'!$A$1:$R$2830,6,FALSE)</f>
        <v>F0604</v>
      </c>
      <c r="F363" s="464" t="str">
        <f>VLOOKUP(C363,'[10]Project Detail Query'!$A$1:$R$2830,7,FALSE)</f>
        <v>Main Replacement - ISRS (S)</v>
      </c>
      <c r="G363" s="465" t="s">
        <v>20</v>
      </c>
      <c r="H363" s="465">
        <v>201701</v>
      </c>
      <c r="I363" s="467">
        <v>0.1</v>
      </c>
      <c r="J363" s="464">
        <v>0</v>
      </c>
      <c r="K363" s="468">
        <v>2.23333E-3</v>
      </c>
      <c r="L363" s="469">
        <f t="shared" si="10"/>
        <v>0</v>
      </c>
      <c r="M363" s="469">
        <f t="shared" si="11"/>
        <v>0</v>
      </c>
      <c r="N363" s="470"/>
    </row>
    <row r="364" spans="1:14">
      <c r="A364" s="464" t="s">
        <v>626</v>
      </c>
      <c r="B364" s="465" t="s">
        <v>1681</v>
      </c>
      <c r="C364" s="466" t="s">
        <v>2317</v>
      </c>
      <c r="D364" s="464" t="s">
        <v>2318</v>
      </c>
      <c r="E364" s="465" t="str">
        <f>VLOOKUP(C364,'[10]Project Detail Query'!$A$1:$R$2830,6,FALSE)</f>
        <v>F0604</v>
      </c>
      <c r="F364" s="464" t="str">
        <f>VLOOKUP(C364,'[10]Project Detail Query'!$A$1:$R$2830,7,FALSE)</f>
        <v>Main Replacement - ISRS (S)</v>
      </c>
      <c r="G364" s="465" t="s">
        <v>20</v>
      </c>
      <c r="H364" s="465">
        <v>201701</v>
      </c>
      <c r="I364" s="467">
        <v>-8.61</v>
      </c>
      <c r="J364" s="464">
        <v>0</v>
      </c>
      <c r="K364" s="472">
        <v>1.4833299999999999E-3</v>
      </c>
      <c r="L364" s="469">
        <f t="shared" si="10"/>
        <v>0</v>
      </c>
      <c r="M364" s="469">
        <f t="shared" si="11"/>
        <v>-0.15</v>
      </c>
      <c r="N364" s="470"/>
    </row>
    <row r="365" spans="1:14">
      <c r="A365" s="464" t="s">
        <v>626</v>
      </c>
      <c r="B365" s="465" t="s">
        <v>1681</v>
      </c>
      <c r="C365" s="466" t="s">
        <v>2009</v>
      </c>
      <c r="D365" s="464" t="s">
        <v>2010</v>
      </c>
      <c r="E365" s="465" t="str">
        <f>VLOOKUP(C365,'[10]Project Detail Query'!$A$1:$R$2830,6,FALSE)</f>
        <v>F0572</v>
      </c>
      <c r="F365" s="464" t="str">
        <f>VLOOKUP(C365,'[10]Project Detail Query'!$A$1:$R$2830,7,FALSE)</f>
        <v>Main Replacement - ISRS (SW)</v>
      </c>
      <c r="G365" s="465" t="s">
        <v>20</v>
      </c>
      <c r="H365" s="465">
        <v>201701</v>
      </c>
      <c r="I365" s="467">
        <v>6.2</v>
      </c>
      <c r="J365" s="464">
        <v>0</v>
      </c>
      <c r="K365" s="472">
        <v>1.4833299999999999E-3</v>
      </c>
      <c r="L365" s="469">
        <f t="shared" si="10"/>
        <v>0</v>
      </c>
      <c r="M365" s="469">
        <f t="shared" si="11"/>
        <v>0.11</v>
      </c>
      <c r="N365" s="470"/>
    </row>
    <row r="366" spans="1:14">
      <c r="A366" s="464" t="s">
        <v>14</v>
      </c>
      <c r="B366" s="465" t="s">
        <v>1681</v>
      </c>
      <c r="C366" s="466" t="s">
        <v>2009</v>
      </c>
      <c r="D366" s="464" t="s">
        <v>2010</v>
      </c>
      <c r="E366" s="465" t="str">
        <f>VLOOKUP(C366,'[10]Project Detail Query'!$A$1:$R$2830,6,FALSE)</f>
        <v>F0572</v>
      </c>
      <c r="F366" s="464" t="str">
        <f>VLOOKUP(C366,'[10]Project Detail Query'!$A$1:$R$2830,7,FALSE)</f>
        <v>Main Replacement - ISRS (SW)</v>
      </c>
      <c r="G366" s="465" t="s">
        <v>20</v>
      </c>
      <c r="H366" s="465">
        <v>201701</v>
      </c>
      <c r="I366" s="467">
        <v>0.15</v>
      </c>
      <c r="J366" s="464">
        <v>0</v>
      </c>
      <c r="K366" s="468">
        <v>2.23333E-3</v>
      </c>
      <c r="L366" s="469">
        <f t="shared" si="10"/>
        <v>0</v>
      </c>
      <c r="M366" s="469">
        <f t="shared" si="11"/>
        <v>0</v>
      </c>
      <c r="N366" s="470"/>
    </row>
    <row r="367" spans="1:14">
      <c r="A367" s="464" t="s">
        <v>626</v>
      </c>
      <c r="B367" s="465" t="s">
        <v>1681</v>
      </c>
      <c r="C367" s="466" t="s">
        <v>2265</v>
      </c>
      <c r="D367" s="464" t="s">
        <v>2266</v>
      </c>
      <c r="E367" s="465" t="str">
        <f>VLOOKUP(C367,'[10]Project Detail Query'!$A$1:$R$2830,6,FALSE)</f>
        <v>F0599</v>
      </c>
      <c r="F367" s="464" t="str">
        <f>VLOOKUP(C367,'[10]Project Detail Query'!$A$1:$R$2830,7,FALSE)</f>
        <v>Main Replacement - ISRS (N)</v>
      </c>
      <c r="G367" s="465" t="s">
        <v>20</v>
      </c>
      <c r="H367" s="465">
        <v>201701</v>
      </c>
      <c r="I367" s="467">
        <v>23.51</v>
      </c>
      <c r="J367" s="464">
        <v>0</v>
      </c>
      <c r="K367" s="472">
        <v>1.4833299999999999E-3</v>
      </c>
      <c r="L367" s="469">
        <f t="shared" si="10"/>
        <v>0</v>
      </c>
      <c r="M367" s="469">
        <f t="shared" si="11"/>
        <v>0.42</v>
      </c>
      <c r="N367" s="470"/>
    </row>
    <row r="368" spans="1:14">
      <c r="A368" s="464" t="s">
        <v>626</v>
      </c>
      <c r="B368" s="465" t="s">
        <v>1681</v>
      </c>
      <c r="C368" s="466" t="s">
        <v>2319</v>
      </c>
      <c r="D368" s="464" t="s">
        <v>2320</v>
      </c>
      <c r="E368" s="465" t="str">
        <f>VLOOKUP(C368,'[10]Project Detail Query'!$A$1:$R$2830,6,FALSE)</f>
        <v>F0599</v>
      </c>
      <c r="F368" s="464" t="str">
        <f>VLOOKUP(C368,'[10]Project Detail Query'!$A$1:$R$2830,7,FALSE)</f>
        <v>Main Replacement - ISRS (N)</v>
      </c>
      <c r="G368" s="465" t="s">
        <v>20</v>
      </c>
      <c r="H368" s="465">
        <v>201701</v>
      </c>
      <c r="I368" s="467">
        <v>57.13</v>
      </c>
      <c r="J368" s="464">
        <v>0</v>
      </c>
      <c r="K368" s="472">
        <v>1.4833299999999999E-3</v>
      </c>
      <c r="L368" s="469">
        <f t="shared" si="10"/>
        <v>0</v>
      </c>
      <c r="M368" s="469">
        <f t="shared" si="11"/>
        <v>1.02</v>
      </c>
      <c r="N368" s="470"/>
    </row>
    <row r="369" spans="1:14">
      <c r="A369" s="464" t="s">
        <v>14</v>
      </c>
      <c r="B369" s="465" t="s">
        <v>1681</v>
      </c>
      <c r="C369" s="466" t="s">
        <v>2319</v>
      </c>
      <c r="D369" s="464" t="s">
        <v>2320</v>
      </c>
      <c r="E369" s="465" t="str">
        <f>VLOOKUP(C369,'[10]Project Detail Query'!$A$1:$R$2830,6,FALSE)</f>
        <v>F0599</v>
      </c>
      <c r="F369" s="464" t="str">
        <f>VLOOKUP(C369,'[10]Project Detail Query'!$A$1:$R$2830,7,FALSE)</f>
        <v>Main Replacement - ISRS (N)</v>
      </c>
      <c r="G369" s="465" t="s">
        <v>20</v>
      </c>
      <c r="H369" s="465">
        <v>201701</v>
      </c>
      <c r="I369" s="467">
        <v>1.61</v>
      </c>
      <c r="J369" s="464">
        <v>0</v>
      </c>
      <c r="K369" s="468">
        <v>2.23333E-3</v>
      </c>
      <c r="L369" s="469">
        <f t="shared" si="10"/>
        <v>0</v>
      </c>
      <c r="M369" s="469">
        <f t="shared" si="11"/>
        <v>0.04</v>
      </c>
      <c r="N369" s="470"/>
    </row>
    <row r="370" spans="1:14">
      <c r="A370" s="464" t="s">
        <v>626</v>
      </c>
      <c r="B370" s="465" t="s">
        <v>1681</v>
      </c>
      <c r="C370" s="466" t="s">
        <v>2321</v>
      </c>
      <c r="D370" s="464" t="s">
        <v>2322</v>
      </c>
      <c r="E370" s="465" t="str">
        <f>VLOOKUP(C370,'[10]Project Detail Query'!$A$1:$R$2830,6,FALSE)</f>
        <v>F0599</v>
      </c>
      <c r="F370" s="464" t="str">
        <f>VLOOKUP(C370,'[10]Project Detail Query'!$A$1:$R$2830,7,FALSE)</f>
        <v>Main Replacement - ISRS (N)</v>
      </c>
      <c r="G370" s="465" t="s">
        <v>20</v>
      </c>
      <c r="H370" s="465">
        <v>201701</v>
      </c>
      <c r="I370" s="467">
        <v>602.58000000000004</v>
      </c>
      <c r="J370" s="464">
        <v>0</v>
      </c>
      <c r="K370" s="472">
        <v>1.4833299999999999E-3</v>
      </c>
      <c r="L370" s="469">
        <f t="shared" si="10"/>
        <v>0</v>
      </c>
      <c r="M370" s="469">
        <f t="shared" si="11"/>
        <v>10.73</v>
      </c>
      <c r="N370" s="470"/>
    </row>
    <row r="371" spans="1:14">
      <c r="A371" s="464" t="s">
        <v>14</v>
      </c>
      <c r="B371" s="465" t="s">
        <v>1681</v>
      </c>
      <c r="C371" s="466" t="s">
        <v>2321</v>
      </c>
      <c r="D371" s="464" t="s">
        <v>2322</v>
      </c>
      <c r="E371" s="465" t="str">
        <f>VLOOKUP(C371,'[10]Project Detail Query'!$A$1:$R$2830,6,FALSE)</f>
        <v>F0599</v>
      </c>
      <c r="F371" s="464" t="str">
        <f>VLOOKUP(C371,'[10]Project Detail Query'!$A$1:$R$2830,7,FALSE)</f>
        <v>Main Replacement - ISRS (N)</v>
      </c>
      <c r="G371" s="465" t="s">
        <v>20</v>
      </c>
      <c r="H371" s="465">
        <v>201701</v>
      </c>
      <c r="I371" s="467">
        <v>5.31</v>
      </c>
      <c r="J371" s="464">
        <v>0</v>
      </c>
      <c r="K371" s="468">
        <v>2.23333E-3</v>
      </c>
      <c r="L371" s="469">
        <f t="shared" si="10"/>
        <v>0</v>
      </c>
      <c r="M371" s="469">
        <f t="shared" si="11"/>
        <v>0.14000000000000001</v>
      </c>
      <c r="N371" s="470"/>
    </row>
    <row r="372" spans="1:14">
      <c r="A372" s="464" t="s">
        <v>626</v>
      </c>
      <c r="B372" s="465" t="s">
        <v>1681</v>
      </c>
      <c r="C372" s="466" t="s">
        <v>2372</v>
      </c>
      <c r="D372" s="464" t="s">
        <v>2373</v>
      </c>
      <c r="E372" s="465" t="str">
        <f>VLOOKUP(C372,'[10]Project Detail Query'!$A$1:$R$2830,6,FALSE)</f>
        <v>F0599</v>
      </c>
      <c r="F372" s="464" t="str">
        <f>VLOOKUP(C372,'[10]Project Detail Query'!$A$1:$R$2830,7,FALSE)</f>
        <v>Main Replacement - ISRS (N)</v>
      </c>
      <c r="G372" s="465" t="s">
        <v>20</v>
      </c>
      <c r="H372" s="465">
        <v>201701</v>
      </c>
      <c r="I372" s="467">
        <v>3811.11</v>
      </c>
      <c r="J372" s="464">
        <v>0</v>
      </c>
      <c r="K372" s="472">
        <v>1.4833299999999999E-3</v>
      </c>
      <c r="L372" s="469">
        <f t="shared" si="10"/>
        <v>0</v>
      </c>
      <c r="M372" s="469">
        <f t="shared" si="11"/>
        <v>67.84</v>
      </c>
      <c r="N372" s="470"/>
    </row>
    <row r="373" spans="1:14">
      <c r="A373" s="464" t="s">
        <v>14</v>
      </c>
      <c r="B373" s="465" t="s">
        <v>1681</v>
      </c>
      <c r="C373" s="466" t="s">
        <v>2372</v>
      </c>
      <c r="D373" s="464" t="s">
        <v>2373</v>
      </c>
      <c r="E373" s="465" t="str">
        <f>VLOOKUP(C373,'[10]Project Detail Query'!$A$1:$R$2830,6,FALSE)</f>
        <v>F0599</v>
      </c>
      <c r="F373" s="464" t="str">
        <f>VLOOKUP(C373,'[10]Project Detail Query'!$A$1:$R$2830,7,FALSE)</f>
        <v>Main Replacement - ISRS (N)</v>
      </c>
      <c r="G373" s="465" t="s">
        <v>20</v>
      </c>
      <c r="H373" s="465">
        <v>201701</v>
      </c>
      <c r="I373" s="467">
        <v>47.27</v>
      </c>
      <c r="J373" s="464">
        <v>0</v>
      </c>
      <c r="K373" s="468">
        <v>2.23333E-3</v>
      </c>
      <c r="L373" s="469">
        <f t="shared" si="10"/>
        <v>0</v>
      </c>
      <c r="M373" s="469">
        <f t="shared" si="11"/>
        <v>1.27</v>
      </c>
      <c r="N373" s="470"/>
    </row>
    <row r="374" spans="1:14">
      <c r="A374" s="464" t="s">
        <v>626</v>
      </c>
      <c r="B374" s="465" t="s">
        <v>1681</v>
      </c>
      <c r="C374" s="466" t="s">
        <v>2374</v>
      </c>
      <c r="D374" s="464" t="s">
        <v>2375</v>
      </c>
      <c r="E374" s="465" t="str">
        <f>VLOOKUP(C374,'[10]Project Detail Query'!$A$1:$R$2830,6,FALSE)</f>
        <v>F0599</v>
      </c>
      <c r="F374" s="464" t="str">
        <f>VLOOKUP(C374,'[10]Project Detail Query'!$A$1:$R$2830,7,FALSE)</f>
        <v>Main Replacement - ISRS (N)</v>
      </c>
      <c r="G374" s="465" t="s">
        <v>20</v>
      </c>
      <c r="H374" s="465">
        <v>201701</v>
      </c>
      <c r="I374" s="467">
        <v>110.94</v>
      </c>
      <c r="J374" s="464">
        <v>0</v>
      </c>
      <c r="K374" s="472">
        <v>1.4833299999999999E-3</v>
      </c>
      <c r="L374" s="469">
        <f t="shared" si="10"/>
        <v>0</v>
      </c>
      <c r="M374" s="469">
        <f t="shared" si="11"/>
        <v>1.97</v>
      </c>
      <c r="N374" s="470"/>
    </row>
    <row r="375" spans="1:14">
      <c r="A375" s="464" t="s">
        <v>14</v>
      </c>
      <c r="B375" s="465" t="s">
        <v>1681</v>
      </c>
      <c r="C375" s="466" t="s">
        <v>2374</v>
      </c>
      <c r="D375" s="464" t="s">
        <v>2375</v>
      </c>
      <c r="E375" s="465" t="str">
        <f>VLOOKUP(C375,'[10]Project Detail Query'!$A$1:$R$2830,6,FALSE)</f>
        <v>F0599</v>
      </c>
      <c r="F375" s="464" t="str">
        <f>VLOOKUP(C375,'[10]Project Detail Query'!$A$1:$R$2830,7,FALSE)</f>
        <v>Main Replacement - ISRS (N)</v>
      </c>
      <c r="G375" s="465" t="s">
        <v>20</v>
      </c>
      <c r="H375" s="465">
        <v>201701</v>
      </c>
      <c r="I375" s="467">
        <v>29.85</v>
      </c>
      <c r="J375" s="464">
        <v>0</v>
      </c>
      <c r="K375" s="468">
        <v>2.23333E-3</v>
      </c>
      <c r="L375" s="469">
        <f t="shared" si="10"/>
        <v>0</v>
      </c>
      <c r="M375" s="469">
        <f t="shared" si="11"/>
        <v>0.8</v>
      </c>
      <c r="N375" s="470"/>
    </row>
    <row r="376" spans="1:14">
      <c r="A376" s="464" t="s">
        <v>626</v>
      </c>
      <c r="B376" s="465" t="s">
        <v>1681</v>
      </c>
      <c r="C376" s="466" t="s">
        <v>2376</v>
      </c>
      <c r="D376" s="464" t="s">
        <v>2377</v>
      </c>
      <c r="E376" s="465" t="str">
        <f>VLOOKUP(C376,'[10]Project Detail Query'!$A$1:$R$2830,6,FALSE)</f>
        <v>F0599</v>
      </c>
      <c r="F376" s="464" t="str">
        <f>VLOOKUP(C376,'[10]Project Detail Query'!$A$1:$R$2830,7,FALSE)</f>
        <v>Main Replacement - ISRS (N)</v>
      </c>
      <c r="G376" s="465" t="s">
        <v>20</v>
      </c>
      <c r="H376" s="465">
        <v>201701</v>
      </c>
      <c r="I376" s="467">
        <v>26.29</v>
      </c>
      <c r="J376" s="464">
        <v>0</v>
      </c>
      <c r="K376" s="472">
        <v>1.4833299999999999E-3</v>
      </c>
      <c r="L376" s="469">
        <f t="shared" si="10"/>
        <v>0</v>
      </c>
      <c r="M376" s="469">
        <f t="shared" si="11"/>
        <v>0.47</v>
      </c>
      <c r="N376" s="470"/>
    </row>
    <row r="377" spans="1:14">
      <c r="A377" s="464" t="s">
        <v>14</v>
      </c>
      <c r="B377" s="465" t="s">
        <v>1681</v>
      </c>
      <c r="C377" s="466" t="s">
        <v>2376</v>
      </c>
      <c r="D377" s="464" t="s">
        <v>2377</v>
      </c>
      <c r="E377" s="465" t="str">
        <f>VLOOKUP(C377,'[10]Project Detail Query'!$A$1:$R$2830,6,FALSE)</f>
        <v>F0599</v>
      </c>
      <c r="F377" s="464" t="str">
        <f>VLOOKUP(C377,'[10]Project Detail Query'!$A$1:$R$2830,7,FALSE)</f>
        <v>Main Replacement - ISRS (N)</v>
      </c>
      <c r="G377" s="465" t="s">
        <v>20</v>
      </c>
      <c r="H377" s="465">
        <v>201701</v>
      </c>
      <c r="I377" s="467">
        <v>3.81</v>
      </c>
      <c r="J377" s="464">
        <v>0</v>
      </c>
      <c r="K377" s="468">
        <v>2.23333E-3</v>
      </c>
      <c r="L377" s="469">
        <f t="shared" si="10"/>
        <v>0</v>
      </c>
      <c r="M377" s="469">
        <f t="shared" si="11"/>
        <v>0.1</v>
      </c>
      <c r="N377" s="470"/>
    </row>
    <row r="378" spans="1:14">
      <c r="A378" s="464" t="s">
        <v>626</v>
      </c>
      <c r="B378" s="465" t="s">
        <v>1681</v>
      </c>
      <c r="C378" s="466" t="s">
        <v>2378</v>
      </c>
      <c r="D378" s="464" t="s">
        <v>2379</v>
      </c>
      <c r="E378" s="465" t="str">
        <f>VLOOKUP(C378,'[10]Project Detail Query'!$A$1:$R$2830,6,FALSE)</f>
        <v>F0547</v>
      </c>
      <c r="F378" s="464" t="str">
        <f>VLOOKUP(C378,'[10]Project Detail Query'!$A$1:$R$2830,7,FALSE)</f>
        <v>Street &amp; Highway Relocates ISRS (N)</v>
      </c>
      <c r="G378" s="465" t="s">
        <v>20</v>
      </c>
      <c r="H378" s="465">
        <v>201701</v>
      </c>
      <c r="I378" s="467">
        <v>13.53</v>
      </c>
      <c r="J378" s="464">
        <v>0</v>
      </c>
      <c r="K378" s="472">
        <v>1.4833299999999999E-3</v>
      </c>
      <c r="L378" s="469">
        <f t="shared" si="10"/>
        <v>0</v>
      </c>
      <c r="M378" s="469">
        <f t="shared" si="11"/>
        <v>0.24</v>
      </c>
      <c r="N378" s="470"/>
    </row>
    <row r="379" spans="1:14">
      <c r="A379" s="464" t="s">
        <v>14</v>
      </c>
      <c r="B379" s="465" t="s">
        <v>1681</v>
      </c>
      <c r="C379" s="466" t="s">
        <v>2378</v>
      </c>
      <c r="D379" s="464" t="s">
        <v>2379</v>
      </c>
      <c r="E379" s="465" t="str">
        <f>VLOOKUP(C379,'[10]Project Detail Query'!$A$1:$R$2830,6,FALSE)</f>
        <v>F0547</v>
      </c>
      <c r="F379" s="464" t="str">
        <f>VLOOKUP(C379,'[10]Project Detail Query'!$A$1:$R$2830,7,FALSE)</f>
        <v>Street &amp; Highway Relocates ISRS (N)</v>
      </c>
      <c r="G379" s="465" t="s">
        <v>20</v>
      </c>
      <c r="H379" s="465">
        <v>201701</v>
      </c>
      <c r="I379" s="467">
        <v>2.83</v>
      </c>
      <c r="J379" s="464">
        <v>0</v>
      </c>
      <c r="K379" s="468">
        <v>2.23333E-3</v>
      </c>
      <c r="L379" s="469">
        <f t="shared" si="10"/>
        <v>0</v>
      </c>
      <c r="M379" s="469">
        <f t="shared" si="11"/>
        <v>0.08</v>
      </c>
      <c r="N379" s="470"/>
    </row>
    <row r="380" spans="1:14">
      <c r="A380" s="464" t="s">
        <v>626</v>
      </c>
      <c r="B380" s="465" t="s">
        <v>1681</v>
      </c>
      <c r="C380" s="466" t="s">
        <v>2380</v>
      </c>
      <c r="D380" s="464" t="s">
        <v>2381</v>
      </c>
      <c r="E380" s="465" t="str">
        <f>VLOOKUP(C380,'[10]Project Detail Query'!$A$1:$R$2830,6,FALSE)</f>
        <v>F0599</v>
      </c>
      <c r="F380" s="464" t="str">
        <f>VLOOKUP(C380,'[10]Project Detail Query'!$A$1:$R$2830,7,FALSE)</f>
        <v>Main Replacement - ISRS (N)</v>
      </c>
      <c r="G380" s="465" t="s">
        <v>20</v>
      </c>
      <c r="H380" s="465">
        <v>201701</v>
      </c>
      <c r="I380" s="467">
        <v>53.03</v>
      </c>
      <c r="J380" s="464">
        <v>0</v>
      </c>
      <c r="K380" s="472">
        <v>1.4833299999999999E-3</v>
      </c>
      <c r="L380" s="469">
        <f t="shared" si="10"/>
        <v>0</v>
      </c>
      <c r="M380" s="469">
        <f t="shared" si="11"/>
        <v>0.94</v>
      </c>
      <c r="N380" s="470"/>
    </row>
    <row r="381" spans="1:14">
      <c r="A381" s="464" t="s">
        <v>1942</v>
      </c>
      <c r="B381" s="465" t="s">
        <v>1681</v>
      </c>
      <c r="C381" s="466" t="s">
        <v>2380</v>
      </c>
      <c r="D381" s="464" t="s">
        <v>2381</v>
      </c>
      <c r="E381" s="465" t="str">
        <f>VLOOKUP(C381,'[10]Project Detail Query'!$A$1:$R$2830,6,FALSE)</f>
        <v>F0599</v>
      </c>
      <c r="F381" s="464" t="str">
        <f>VLOOKUP(C381,'[10]Project Detail Query'!$A$1:$R$2830,7,FALSE)</f>
        <v>Main Replacement - ISRS (N)</v>
      </c>
      <c r="G381" s="465" t="s">
        <v>20</v>
      </c>
      <c r="H381" s="465">
        <v>201701</v>
      </c>
      <c r="I381" s="467">
        <v>0.15</v>
      </c>
      <c r="J381" s="464">
        <v>0</v>
      </c>
      <c r="K381" s="472">
        <v>2.23333E-3</v>
      </c>
      <c r="L381" s="469">
        <f t="shared" si="10"/>
        <v>0</v>
      </c>
      <c r="M381" s="469">
        <f t="shared" si="11"/>
        <v>0</v>
      </c>
      <c r="N381" s="470"/>
    </row>
    <row r="382" spans="1:14">
      <c r="A382" s="464" t="s">
        <v>14</v>
      </c>
      <c r="B382" s="465" t="s">
        <v>1681</v>
      </c>
      <c r="C382" s="466" t="s">
        <v>2380</v>
      </c>
      <c r="D382" s="464" t="s">
        <v>2381</v>
      </c>
      <c r="E382" s="465" t="str">
        <f>VLOOKUP(C382,'[10]Project Detail Query'!$A$1:$R$2830,6,FALSE)</f>
        <v>F0599</v>
      </c>
      <c r="F382" s="464" t="str">
        <f>VLOOKUP(C382,'[10]Project Detail Query'!$A$1:$R$2830,7,FALSE)</f>
        <v>Main Replacement - ISRS (N)</v>
      </c>
      <c r="G382" s="465" t="s">
        <v>20</v>
      </c>
      <c r="H382" s="465">
        <v>201701</v>
      </c>
      <c r="I382" s="467">
        <v>12.09</v>
      </c>
      <c r="J382" s="464">
        <v>0</v>
      </c>
      <c r="K382" s="468">
        <v>2.23333E-3</v>
      </c>
      <c r="L382" s="469">
        <f t="shared" si="10"/>
        <v>0</v>
      </c>
      <c r="M382" s="469">
        <f t="shared" si="11"/>
        <v>0.32</v>
      </c>
      <c r="N382" s="470"/>
    </row>
    <row r="383" spans="1:14">
      <c r="A383" s="464" t="s">
        <v>626</v>
      </c>
      <c r="B383" s="465" t="s">
        <v>1681</v>
      </c>
      <c r="C383" s="466" t="s">
        <v>2382</v>
      </c>
      <c r="D383" s="464" t="s">
        <v>2383</v>
      </c>
      <c r="E383" s="465" t="str">
        <f>VLOOKUP(C383,'[10]Project Detail Query'!$A$1:$R$2830,6,FALSE)</f>
        <v>F0599</v>
      </c>
      <c r="F383" s="464" t="str">
        <f>VLOOKUP(C383,'[10]Project Detail Query'!$A$1:$R$2830,7,FALSE)</f>
        <v>Main Replacement - ISRS (N)</v>
      </c>
      <c r="G383" s="465" t="s">
        <v>20</v>
      </c>
      <c r="H383" s="465">
        <v>201701</v>
      </c>
      <c r="I383" s="467">
        <v>1716.01</v>
      </c>
      <c r="J383" s="464">
        <v>0</v>
      </c>
      <c r="K383" s="472">
        <v>1.4833299999999999E-3</v>
      </c>
      <c r="L383" s="469">
        <f t="shared" si="10"/>
        <v>0</v>
      </c>
      <c r="M383" s="469">
        <f t="shared" si="11"/>
        <v>30.54</v>
      </c>
      <c r="N383" s="470"/>
    </row>
    <row r="384" spans="1:14">
      <c r="A384" s="464" t="s">
        <v>1942</v>
      </c>
      <c r="B384" s="465" t="s">
        <v>1681</v>
      </c>
      <c r="C384" s="466" t="s">
        <v>2382</v>
      </c>
      <c r="D384" s="464" t="s">
        <v>2383</v>
      </c>
      <c r="E384" s="465" t="str">
        <f>VLOOKUP(C384,'[10]Project Detail Query'!$A$1:$R$2830,6,FALSE)</f>
        <v>F0599</v>
      </c>
      <c r="F384" s="464" t="str">
        <f>VLOOKUP(C384,'[10]Project Detail Query'!$A$1:$R$2830,7,FALSE)</f>
        <v>Main Replacement - ISRS (N)</v>
      </c>
      <c r="G384" s="465" t="s">
        <v>20</v>
      </c>
      <c r="H384" s="465">
        <v>201701</v>
      </c>
      <c r="I384" s="467">
        <v>5.32</v>
      </c>
      <c r="J384" s="464">
        <v>0</v>
      </c>
      <c r="K384" s="472">
        <v>2.23333E-3</v>
      </c>
      <c r="L384" s="469">
        <f t="shared" si="10"/>
        <v>0</v>
      </c>
      <c r="M384" s="469">
        <f t="shared" si="11"/>
        <v>0.14000000000000001</v>
      </c>
      <c r="N384" s="470"/>
    </row>
    <row r="385" spans="1:14">
      <c r="A385" s="464" t="s">
        <v>14</v>
      </c>
      <c r="B385" s="465" t="s">
        <v>1681</v>
      </c>
      <c r="C385" s="466" t="s">
        <v>2382</v>
      </c>
      <c r="D385" s="464" t="s">
        <v>2383</v>
      </c>
      <c r="E385" s="465" t="str">
        <f>VLOOKUP(C385,'[10]Project Detail Query'!$A$1:$R$2830,6,FALSE)</f>
        <v>F0599</v>
      </c>
      <c r="F385" s="464" t="str">
        <f>VLOOKUP(C385,'[10]Project Detail Query'!$A$1:$R$2830,7,FALSE)</f>
        <v>Main Replacement - ISRS (N)</v>
      </c>
      <c r="G385" s="465" t="s">
        <v>20</v>
      </c>
      <c r="H385" s="465">
        <v>201701</v>
      </c>
      <c r="I385" s="467">
        <v>202.55</v>
      </c>
      <c r="J385" s="464">
        <v>0</v>
      </c>
      <c r="K385" s="468">
        <v>2.23333E-3</v>
      </c>
      <c r="L385" s="469">
        <f t="shared" ref="L385:L448" si="12">ROUND(I385*J385*K385,2)</f>
        <v>0</v>
      </c>
      <c r="M385" s="469">
        <f t="shared" ref="M385:M448" si="13">ROUND(I385*K385*12,2)</f>
        <v>5.43</v>
      </c>
      <c r="N385" s="470"/>
    </row>
    <row r="386" spans="1:14">
      <c r="A386" s="464" t="s">
        <v>626</v>
      </c>
      <c r="B386" s="465" t="s">
        <v>1681</v>
      </c>
      <c r="C386" s="466" t="s">
        <v>2267</v>
      </c>
      <c r="D386" s="464" t="s">
        <v>2268</v>
      </c>
      <c r="E386" s="465" t="str">
        <f>VLOOKUP(C386,'[10]Project Detail Query'!$A$1:$R$2830,6,FALSE)</f>
        <v>F0572</v>
      </c>
      <c r="F386" s="464" t="str">
        <f>VLOOKUP(C386,'[10]Project Detail Query'!$A$1:$R$2830,7,FALSE)</f>
        <v>Main Replacement - ISRS (SW)</v>
      </c>
      <c r="G386" s="465" t="s">
        <v>20</v>
      </c>
      <c r="H386" s="465">
        <v>201701</v>
      </c>
      <c r="I386" s="467">
        <v>88.8</v>
      </c>
      <c r="J386" s="464">
        <v>0</v>
      </c>
      <c r="K386" s="472">
        <v>1.4833299999999999E-3</v>
      </c>
      <c r="L386" s="469">
        <f t="shared" si="12"/>
        <v>0</v>
      </c>
      <c r="M386" s="469">
        <f t="shared" si="13"/>
        <v>1.58</v>
      </c>
      <c r="N386" s="470"/>
    </row>
    <row r="387" spans="1:14">
      <c r="A387" s="464" t="s">
        <v>14</v>
      </c>
      <c r="B387" s="465" t="s">
        <v>1681</v>
      </c>
      <c r="C387" s="466" t="s">
        <v>2267</v>
      </c>
      <c r="D387" s="464" t="s">
        <v>2268</v>
      </c>
      <c r="E387" s="465" t="str">
        <f>VLOOKUP(C387,'[10]Project Detail Query'!$A$1:$R$2830,6,FALSE)</f>
        <v>F0572</v>
      </c>
      <c r="F387" s="464" t="str">
        <f>VLOOKUP(C387,'[10]Project Detail Query'!$A$1:$R$2830,7,FALSE)</f>
        <v>Main Replacement - ISRS (SW)</v>
      </c>
      <c r="G387" s="465" t="s">
        <v>20</v>
      </c>
      <c r="H387" s="465">
        <v>201701</v>
      </c>
      <c r="I387" s="467">
        <v>18.399999999999999</v>
      </c>
      <c r="J387" s="464">
        <v>0</v>
      </c>
      <c r="K387" s="468">
        <v>2.23333E-3</v>
      </c>
      <c r="L387" s="469">
        <f t="shared" si="12"/>
        <v>0</v>
      </c>
      <c r="M387" s="469">
        <f t="shared" si="13"/>
        <v>0.49</v>
      </c>
      <c r="N387" s="470"/>
    </row>
    <row r="388" spans="1:14">
      <c r="A388" s="464" t="s">
        <v>626</v>
      </c>
      <c r="B388" s="465" t="s">
        <v>1681</v>
      </c>
      <c r="C388" s="466" t="s">
        <v>2384</v>
      </c>
      <c r="D388" s="464" t="s">
        <v>2385</v>
      </c>
      <c r="E388" s="465" t="str">
        <f>VLOOKUP(C388,'[10]Project Detail Query'!$A$1:$R$2830,6,FALSE)</f>
        <v>F0572</v>
      </c>
      <c r="F388" s="464" t="str">
        <f>VLOOKUP(C388,'[10]Project Detail Query'!$A$1:$R$2830,7,FALSE)</f>
        <v>Main Replacement - ISRS (SW)</v>
      </c>
      <c r="G388" s="465" t="s">
        <v>20</v>
      </c>
      <c r="H388" s="465">
        <v>201701</v>
      </c>
      <c r="I388" s="467">
        <v>-450.28</v>
      </c>
      <c r="J388" s="464">
        <v>0</v>
      </c>
      <c r="K388" s="472">
        <v>1.4833299999999999E-3</v>
      </c>
      <c r="L388" s="469">
        <f t="shared" si="12"/>
        <v>0</v>
      </c>
      <c r="M388" s="469">
        <f t="shared" si="13"/>
        <v>-8.01</v>
      </c>
      <c r="N388" s="470"/>
    </row>
    <row r="389" spans="1:14">
      <c r="A389" s="464" t="s">
        <v>14</v>
      </c>
      <c r="B389" s="465" t="s">
        <v>1681</v>
      </c>
      <c r="C389" s="466" t="s">
        <v>2384</v>
      </c>
      <c r="D389" s="464" t="s">
        <v>2385</v>
      </c>
      <c r="E389" s="465" t="str">
        <f>VLOOKUP(C389,'[10]Project Detail Query'!$A$1:$R$2830,6,FALSE)</f>
        <v>F0572</v>
      </c>
      <c r="F389" s="464" t="str">
        <f>VLOOKUP(C389,'[10]Project Detail Query'!$A$1:$R$2830,7,FALSE)</f>
        <v>Main Replacement - ISRS (SW)</v>
      </c>
      <c r="G389" s="465" t="s">
        <v>20</v>
      </c>
      <c r="H389" s="465">
        <v>201701</v>
      </c>
      <c r="I389" s="467">
        <v>-12.11</v>
      </c>
      <c r="J389" s="464">
        <v>0</v>
      </c>
      <c r="K389" s="468">
        <v>2.23333E-3</v>
      </c>
      <c r="L389" s="469">
        <f t="shared" si="12"/>
        <v>0</v>
      </c>
      <c r="M389" s="469">
        <f t="shared" si="13"/>
        <v>-0.32</v>
      </c>
      <c r="N389" s="470"/>
    </row>
    <row r="390" spans="1:14">
      <c r="A390" s="464" t="s">
        <v>626</v>
      </c>
      <c r="B390" s="465" t="s">
        <v>1681</v>
      </c>
      <c r="C390" s="466" t="s">
        <v>2386</v>
      </c>
      <c r="D390" s="464" t="s">
        <v>2387</v>
      </c>
      <c r="E390" s="465" t="str">
        <f>VLOOKUP(C390,'[10]Project Detail Query'!$A$1:$R$2830,6,FALSE)</f>
        <v>F0572</v>
      </c>
      <c r="F390" s="464" t="str">
        <f>VLOOKUP(C390,'[10]Project Detail Query'!$A$1:$R$2830,7,FALSE)</f>
        <v>Main Replacement - ISRS (SW)</v>
      </c>
      <c r="G390" s="465" t="s">
        <v>20</v>
      </c>
      <c r="H390" s="465">
        <v>201701</v>
      </c>
      <c r="I390" s="467">
        <v>3244.74</v>
      </c>
      <c r="J390" s="464">
        <v>0</v>
      </c>
      <c r="K390" s="472">
        <v>1.4833299999999999E-3</v>
      </c>
      <c r="L390" s="469">
        <f t="shared" si="12"/>
        <v>0</v>
      </c>
      <c r="M390" s="469">
        <f t="shared" si="13"/>
        <v>57.76</v>
      </c>
      <c r="N390" s="470"/>
    </row>
    <row r="391" spans="1:14">
      <c r="A391" s="464" t="s">
        <v>14</v>
      </c>
      <c r="B391" s="465" t="s">
        <v>1681</v>
      </c>
      <c r="C391" s="466" t="s">
        <v>2386</v>
      </c>
      <c r="D391" s="464" t="s">
        <v>2387</v>
      </c>
      <c r="E391" s="465" t="str">
        <f>VLOOKUP(C391,'[10]Project Detail Query'!$A$1:$R$2830,6,FALSE)</f>
        <v>F0572</v>
      </c>
      <c r="F391" s="464" t="str">
        <f>VLOOKUP(C391,'[10]Project Detail Query'!$A$1:$R$2830,7,FALSE)</f>
        <v>Main Replacement - ISRS (SW)</v>
      </c>
      <c r="G391" s="465" t="s">
        <v>20</v>
      </c>
      <c r="H391" s="465">
        <v>201701</v>
      </c>
      <c r="I391" s="467">
        <v>2.3199999999999998</v>
      </c>
      <c r="J391" s="464">
        <v>0</v>
      </c>
      <c r="K391" s="468">
        <v>2.23333E-3</v>
      </c>
      <c r="L391" s="469">
        <f t="shared" si="12"/>
        <v>0</v>
      </c>
      <c r="M391" s="469">
        <f t="shared" si="13"/>
        <v>0.06</v>
      </c>
      <c r="N391" s="470"/>
    </row>
    <row r="392" spans="1:14">
      <c r="A392" s="464" t="s">
        <v>626</v>
      </c>
      <c r="B392" s="465" t="s">
        <v>1681</v>
      </c>
      <c r="C392" s="466" t="s">
        <v>2436</v>
      </c>
      <c r="D392" s="464" t="s">
        <v>2437</v>
      </c>
      <c r="E392" s="465" t="str">
        <f>VLOOKUP(C392,'[10]Project Detail Query'!$A$1:$R$2830,6,FALSE)</f>
        <v>F0578</v>
      </c>
      <c r="F392" s="464" t="str">
        <f>VLOOKUP(C392,'[10]Project Detail Query'!$A$1:$R$2830,7,FALSE)</f>
        <v>Street &amp; Highway Relocates ISRS (S)</v>
      </c>
      <c r="G392" s="465" t="s">
        <v>20</v>
      </c>
      <c r="H392" s="465">
        <v>201701</v>
      </c>
      <c r="I392" s="467">
        <v>5435.91</v>
      </c>
      <c r="J392" s="464">
        <v>0</v>
      </c>
      <c r="K392" s="472">
        <v>1.4833299999999999E-3</v>
      </c>
      <c r="L392" s="469">
        <f t="shared" si="12"/>
        <v>0</v>
      </c>
      <c r="M392" s="469">
        <f t="shared" si="13"/>
        <v>96.76</v>
      </c>
      <c r="N392" s="470"/>
    </row>
    <row r="393" spans="1:14">
      <c r="A393" s="464" t="s">
        <v>14</v>
      </c>
      <c r="B393" s="465" t="s">
        <v>1681</v>
      </c>
      <c r="C393" s="466" t="s">
        <v>2436</v>
      </c>
      <c r="D393" s="464" t="s">
        <v>2437</v>
      </c>
      <c r="E393" s="465" t="str">
        <f>VLOOKUP(C393,'[10]Project Detail Query'!$A$1:$R$2830,6,FALSE)</f>
        <v>F0578</v>
      </c>
      <c r="F393" s="464" t="str">
        <f>VLOOKUP(C393,'[10]Project Detail Query'!$A$1:$R$2830,7,FALSE)</f>
        <v>Street &amp; Highway Relocates ISRS (S)</v>
      </c>
      <c r="G393" s="465" t="s">
        <v>20</v>
      </c>
      <c r="H393" s="465">
        <v>201701</v>
      </c>
      <c r="I393" s="467">
        <v>89.67</v>
      </c>
      <c r="J393" s="464">
        <v>0</v>
      </c>
      <c r="K393" s="468">
        <v>2.23333E-3</v>
      </c>
      <c r="L393" s="469">
        <f t="shared" si="12"/>
        <v>0</v>
      </c>
      <c r="M393" s="469">
        <f t="shared" si="13"/>
        <v>2.4</v>
      </c>
      <c r="N393" s="470"/>
    </row>
    <row r="394" spans="1:14">
      <c r="A394" s="464" t="s">
        <v>21</v>
      </c>
      <c r="B394" s="465" t="s">
        <v>1681</v>
      </c>
      <c r="C394" s="466" t="s">
        <v>2075</v>
      </c>
      <c r="D394" s="464" t="s">
        <v>2076</v>
      </c>
      <c r="E394" s="465" t="str">
        <f>VLOOKUP(C394,'[10]Project Detail Query'!$A$1:$R$2830,6,FALSE)</f>
        <v>F0604</v>
      </c>
      <c r="F394" s="464" t="str">
        <f>VLOOKUP(C394,'[10]Project Detail Query'!$A$1:$R$2830,7,FALSE)</f>
        <v>Main Replacement - ISRS (S)</v>
      </c>
      <c r="G394" s="465" t="s">
        <v>20</v>
      </c>
      <c r="H394" s="465">
        <v>201701</v>
      </c>
      <c r="I394" s="467">
        <v>-8549.7800000000007</v>
      </c>
      <c r="J394" s="464">
        <v>0</v>
      </c>
      <c r="K394" s="472">
        <v>1.4833299999999999E-3</v>
      </c>
      <c r="L394" s="469">
        <f t="shared" si="12"/>
        <v>0</v>
      </c>
      <c r="M394" s="469">
        <f t="shared" si="13"/>
        <v>-152.19</v>
      </c>
      <c r="N394" s="470"/>
    </row>
    <row r="395" spans="1:14">
      <c r="A395" s="464" t="s">
        <v>626</v>
      </c>
      <c r="B395" s="465" t="s">
        <v>1681</v>
      </c>
      <c r="C395" s="466" t="s">
        <v>2015</v>
      </c>
      <c r="D395" s="464" t="s">
        <v>2016</v>
      </c>
      <c r="E395" s="465" t="str">
        <f>VLOOKUP(C395,'[10]Project Detail Query'!$A$1:$R$2830,6,FALSE)</f>
        <v>F0599</v>
      </c>
      <c r="F395" s="464" t="str">
        <f>VLOOKUP(C395,'[10]Project Detail Query'!$A$1:$R$2830,7,FALSE)</f>
        <v>Main Replacement - ISRS (N)</v>
      </c>
      <c r="G395" s="465" t="s">
        <v>20</v>
      </c>
      <c r="H395" s="465">
        <v>201701</v>
      </c>
      <c r="I395" s="467">
        <v>2354.12</v>
      </c>
      <c r="J395" s="464">
        <v>0</v>
      </c>
      <c r="K395" s="472">
        <v>1.4833299999999999E-3</v>
      </c>
      <c r="L395" s="469">
        <f t="shared" si="12"/>
        <v>0</v>
      </c>
      <c r="M395" s="469">
        <f t="shared" si="13"/>
        <v>41.9</v>
      </c>
      <c r="N395" s="470"/>
    </row>
    <row r="396" spans="1:14">
      <c r="A396" s="464" t="s">
        <v>14</v>
      </c>
      <c r="B396" s="465" t="s">
        <v>1681</v>
      </c>
      <c r="C396" s="466" t="s">
        <v>2015</v>
      </c>
      <c r="D396" s="464" t="s">
        <v>2016</v>
      </c>
      <c r="E396" s="465" t="str">
        <f>VLOOKUP(C396,'[10]Project Detail Query'!$A$1:$R$2830,6,FALSE)</f>
        <v>F0599</v>
      </c>
      <c r="F396" s="464" t="str">
        <f>VLOOKUP(C396,'[10]Project Detail Query'!$A$1:$R$2830,7,FALSE)</f>
        <v>Main Replacement - ISRS (N)</v>
      </c>
      <c r="G396" s="465" t="s">
        <v>20</v>
      </c>
      <c r="H396" s="465">
        <v>201701</v>
      </c>
      <c r="I396" s="467">
        <v>-2354.12</v>
      </c>
      <c r="J396" s="464">
        <v>0</v>
      </c>
      <c r="K396" s="468">
        <v>2.23333E-3</v>
      </c>
      <c r="L396" s="469">
        <f t="shared" si="12"/>
        <v>0</v>
      </c>
      <c r="M396" s="469">
        <f t="shared" si="13"/>
        <v>-63.09</v>
      </c>
      <c r="N396" s="470"/>
    </row>
    <row r="397" spans="1:14">
      <c r="A397" s="464" t="s">
        <v>626</v>
      </c>
      <c r="B397" s="465" t="s">
        <v>1681</v>
      </c>
      <c r="C397" s="466" t="s">
        <v>2077</v>
      </c>
      <c r="D397" s="464" t="s">
        <v>2078</v>
      </c>
      <c r="E397" s="465" t="str">
        <f>VLOOKUP(C397,'[10]Project Detail Query'!$A$1:$R$2830,6,FALSE)</f>
        <v>F0572</v>
      </c>
      <c r="F397" s="464" t="str">
        <f>VLOOKUP(C397,'[10]Project Detail Query'!$A$1:$R$2830,7,FALSE)</f>
        <v>Main Replacement - ISRS (SW)</v>
      </c>
      <c r="G397" s="465" t="s">
        <v>20</v>
      </c>
      <c r="H397" s="465">
        <v>201701</v>
      </c>
      <c r="I397" s="467">
        <v>501</v>
      </c>
      <c r="J397" s="464">
        <v>0</v>
      </c>
      <c r="K397" s="472">
        <v>1.4833299999999999E-3</v>
      </c>
      <c r="L397" s="469">
        <f t="shared" si="12"/>
        <v>0</v>
      </c>
      <c r="M397" s="469">
        <f t="shared" si="13"/>
        <v>8.92</v>
      </c>
      <c r="N397" s="470"/>
    </row>
    <row r="398" spans="1:14">
      <c r="A398" s="464" t="s">
        <v>626</v>
      </c>
      <c r="B398" s="465" t="s">
        <v>1681</v>
      </c>
      <c r="C398" s="466" t="s">
        <v>2079</v>
      </c>
      <c r="D398" s="464" t="s">
        <v>2080</v>
      </c>
      <c r="E398" s="465" t="str">
        <f>VLOOKUP(C398,'[10]Project Detail Query'!$A$1:$R$2830,6,FALSE)</f>
        <v>F0604</v>
      </c>
      <c r="F398" s="464" t="str">
        <f>VLOOKUP(C398,'[10]Project Detail Query'!$A$1:$R$2830,7,FALSE)</f>
        <v>Main Replacement - ISRS (S)</v>
      </c>
      <c r="G398" s="465" t="s">
        <v>20</v>
      </c>
      <c r="H398" s="465">
        <v>201701</v>
      </c>
      <c r="I398" s="467">
        <v>3380.21</v>
      </c>
      <c r="J398" s="464">
        <v>0</v>
      </c>
      <c r="K398" s="472">
        <v>1.4833299999999999E-3</v>
      </c>
      <c r="L398" s="469">
        <f t="shared" si="12"/>
        <v>0</v>
      </c>
      <c r="M398" s="469">
        <f t="shared" si="13"/>
        <v>60.17</v>
      </c>
      <c r="N398" s="470"/>
    </row>
    <row r="399" spans="1:14">
      <c r="A399" s="464" t="s">
        <v>626</v>
      </c>
      <c r="B399" s="465" t="s">
        <v>1681</v>
      </c>
      <c r="C399" s="466" t="s">
        <v>2390</v>
      </c>
      <c r="D399" s="464" t="s">
        <v>2391</v>
      </c>
      <c r="E399" s="465" t="str">
        <f>VLOOKUP(C399,'[10]Project Detail Query'!$A$1:$R$2830,6,FALSE)</f>
        <v>F0599</v>
      </c>
      <c r="F399" s="464" t="str">
        <f>VLOOKUP(C399,'[10]Project Detail Query'!$A$1:$R$2830,7,FALSE)</f>
        <v>Main Replacement - ISRS (N)</v>
      </c>
      <c r="G399" s="465" t="s">
        <v>20</v>
      </c>
      <c r="H399" s="465">
        <v>201701</v>
      </c>
      <c r="I399" s="467">
        <v>2.5099999999999998</v>
      </c>
      <c r="J399" s="464">
        <v>0</v>
      </c>
      <c r="K399" s="472">
        <v>1.4833299999999999E-3</v>
      </c>
      <c r="L399" s="469">
        <f t="shared" si="12"/>
        <v>0</v>
      </c>
      <c r="M399" s="469">
        <f t="shared" si="13"/>
        <v>0.04</v>
      </c>
      <c r="N399" s="470"/>
    </row>
    <row r="400" spans="1:14">
      <c r="A400" s="464" t="s">
        <v>14</v>
      </c>
      <c r="B400" s="465" t="s">
        <v>1681</v>
      </c>
      <c r="C400" s="466" t="s">
        <v>2390</v>
      </c>
      <c r="D400" s="464" t="s">
        <v>2391</v>
      </c>
      <c r="E400" s="465" t="str">
        <f>VLOOKUP(C400,'[10]Project Detail Query'!$A$1:$R$2830,6,FALSE)</f>
        <v>F0599</v>
      </c>
      <c r="F400" s="464" t="str">
        <f>VLOOKUP(C400,'[10]Project Detail Query'!$A$1:$R$2830,7,FALSE)</f>
        <v>Main Replacement - ISRS (N)</v>
      </c>
      <c r="G400" s="465" t="s">
        <v>20</v>
      </c>
      <c r="H400" s="465">
        <v>201701</v>
      </c>
      <c r="I400" s="467">
        <v>0.27</v>
      </c>
      <c r="J400" s="464">
        <v>0</v>
      </c>
      <c r="K400" s="468">
        <v>2.23333E-3</v>
      </c>
      <c r="L400" s="469">
        <f t="shared" si="12"/>
        <v>0</v>
      </c>
      <c r="M400" s="469">
        <f t="shared" si="13"/>
        <v>0.01</v>
      </c>
      <c r="N400" s="470"/>
    </row>
    <row r="401" spans="1:14">
      <c r="A401" s="464" t="s">
        <v>21</v>
      </c>
      <c r="B401" s="465" t="s">
        <v>1681</v>
      </c>
      <c r="C401" s="466" t="s">
        <v>2017</v>
      </c>
      <c r="D401" s="464" t="s">
        <v>2018</v>
      </c>
      <c r="E401" s="465" t="str">
        <f>VLOOKUP(C401,'[10]Project Detail Query'!$A$1:$R$2830,6,FALSE)</f>
        <v>F0547</v>
      </c>
      <c r="F401" s="464" t="str">
        <f>VLOOKUP(C401,'[10]Project Detail Query'!$A$1:$R$2830,7,FALSE)</f>
        <v>Street &amp; Highway Relocates ISRS (N)</v>
      </c>
      <c r="G401" s="465" t="s">
        <v>20</v>
      </c>
      <c r="H401" s="465">
        <v>201701</v>
      </c>
      <c r="I401" s="467">
        <v>-5617.38</v>
      </c>
      <c r="J401" s="464">
        <v>0</v>
      </c>
      <c r="K401" s="472">
        <v>1.4833299999999999E-3</v>
      </c>
      <c r="L401" s="469">
        <f t="shared" si="12"/>
        <v>0</v>
      </c>
      <c r="M401" s="469">
        <f t="shared" si="13"/>
        <v>-99.99</v>
      </c>
      <c r="N401" s="470"/>
    </row>
    <row r="402" spans="1:14">
      <c r="A402" s="464" t="s">
        <v>626</v>
      </c>
      <c r="B402" s="465" t="s">
        <v>1681</v>
      </c>
      <c r="C402" s="466" t="s">
        <v>2081</v>
      </c>
      <c r="D402" s="464" t="s">
        <v>2082</v>
      </c>
      <c r="E402" s="465" t="str">
        <f>VLOOKUP(C402,'[10]Project Detail Query'!$A$1:$R$2830,6,FALSE)</f>
        <v>F0604</v>
      </c>
      <c r="F402" s="464" t="str">
        <f>VLOOKUP(C402,'[10]Project Detail Query'!$A$1:$R$2830,7,FALSE)</f>
        <v>Main Replacement - ISRS (S)</v>
      </c>
      <c r="G402" s="465" t="s">
        <v>20</v>
      </c>
      <c r="H402" s="465">
        <v>201701</v>
      </c>
      <c r="I402" s="467">
        <v>35289.279999999999</v>
      </c>
      <c r="J402" s="464">
        <v>0</v>
      </c>
      <c r="K402" s="472">
        <v>1.4833299999999999E-3</v>
      </c>
      <c r="L402" s="469">
        <f t="shared" si="12"/>
        <v>0</v>
      </c>
      <c r="M402" s="469">
        <f t="shared" si="13"/>
        <v>628.15</v>
      </c>
      <c r="N402" s="470"/>
    </row>
    <row r="403" spans="1:14">
      <c r="A403" s="464" t="s">
        <v>626</v>
      </c>
      <c r="B403" s="465" t="s">
        <v>1681</v>
      </c>
      <c r="C403" s="466" t="s">
        <v>2085</v>
      </c>
      <c r="D403" s="464" t="s">
        <v>2086</v>
      </c>
      <c r="E403" s="465" t="str">
        <f>VLOOKUP(C403,'[10]Project Detail Query'!$A$1:$R$2830,6,FALSE)</f>
        <v>F0599</v>
      </c>
      <c r="F403" s="464" t="str">
        <f>VLOOKUP(C403,'[10]Project Detail Query'!$A$1:$R$2830,7,FALSE)</f>
        <v>Main Replacement - ISRS (N)</v>
      </c>
      <c r="G403" s="465" t="s">
        <v>20</v>
      </c>
      <c r="H403" s="465">
        <v>201701</v>
      </c>
      <c r="I403" s="467">
        <v>22066.43</v>
      </c>
      <c r="J403" s="464">
        <v>0</v>
      </c>
      <c r="K403" s="472">
        <v>1.4833299999999999E-3</v>
      </c>
      <c r="L403" s="469">
        <f t="shared" si="12"/>
        <v>0</v>
      </c>
      <c r="M403" s="469">
        <f t="shared" si="13"/>
        <v>392.78</v>
      </c>
      <c r="N403" s="470"/>
    </row>
    <row r="404" spans="1:14">
      <c r="A404" s="464" t="s">
        <v>21</v>
      </c>
      <c r="B404" s="465" t="s">
        <v>1681</v>
      </c>
      <c r="C404" s="466" t="s">
        <v>2392</v>
      </c>
      <c r="D404" s="464" t="s">
        <v>2393</v>
      </c>
      <c r="E404" s="465" t="str">
        <f>VLOOKUP(C404,'[10]Project Detail Query'!$A$1:$R$2830,6,FALSE)</f>
        <v>F0604</v>
      </c>
      <c r="F404" s="464" t="str">
        <f>VLOOKUP(C404,'[10]Project Detail Query'!$A$1:$R$2830,7,FALSE)</f>
        <v>Main Replacement - ISRS (S)</v>
      </c>
      <c r="G404" s="465" t="s">
        <v>20</v>
      </c>
      <c r="H404" s="465">
        <v>201701</v>
      </c>
      <c r="I404" s="467">
        <v>7.0000000000000007E-2</v>
      </c>
      <c r="J404" s="464">
        <v>0</v>
      </c>
      <c r="K404" s="472">
        <v>1.4833299999999999E-3</v>
      </c>
      <c r="L404" s="469">
        <f t="shared" si="12"/>
        <v>0</v>
      </c>
      <c r="M404" s="469">
        <f t="shared" si="13"/>
        <v>0</v>
      </c>
      <c r="N404" s="470"/>
    </row>
    <row r="405" spans="1:14">
      <c r="A405" s="464" t="s">
        <v>626</v>
      </c>
      <c r="B405" s="465" t="s">
        <v>1681</v>
      </c>
      <c r="C405" s="466" t="s">
        <v>2392</v>
      </c>
      <c r="D405" s="464" t="s">
        <v>2393</v>
      </c>
      <c r="E405" s="465" t="str">
        <f>VLOOKUP(C405,'[10]Project Detail Query'!$A$1:$R$2830,6,FALSE)</f>
        <v>F0604</v>
      </c>
      <c r="F405" s="464" t="str">
        <f>VLOOKUP(C405,'[10]Project Detail Query'!$A$1:$R$2830,7,FALSE)</f>
        <v>Main Replacement - ISRS (S)</v>
      </c>
      <c r="G405" s="465" t="s">
        <v>20</v>
      </c>
      <c r="H405" s="465">
        <v>201701</v>
      </c>
      <c r="I405" s="467">
        <v>1077.8900000000001</v>
      </c>
      <c r="J405" s="464">
        <v>0</v>
      </c>
      <c r="K405" s="472">
        <v>1.4833299999999999E-3</v>
      </c>
      <c r="L405" s="469">
        <f t="shared" si="12"/>
        <v>0</v>
      </c>
      <c r="M405" s="469">
        <f t="shared" si="13"/>
        <v>19.190000000000001</v>
      </c>
      <c r="N405" s="470"/>
    </row>
    <row r="406" spans="1:14">
      <c r="A406" s="464" t="s">
        <v>14</v>
      </c>
      <c r="B406" s="465" t="s">
        <v>1681</v>
      </c>
      <c r="C406" s="466" t="s">
        <v>2392</v>
      </c>
      <c r="D406" s="464" t="s">
        <v>2393</v>
      </c>
      <c r="E406" s="465" t="str">
        <f>VLOOKUP(C406,'[10]Project Detail Query'!$A$1:$R$2830,6,FALSE)</f>
        <v>F0604</v>
      </c>
      <c r="F406" s="464" t="str">
        <f>VLOOKUP(C406,'[10]Project Detail Query'!$A$1:$R$2830,7,FALSE)</f>
        <v>Main Replacement - ISRS (S)</v>
      </c>
      <c r="G406" s="465" t="s">
        <v>20</v>
      </c>
      <c r="H406" s="465">
        <v>201701</v>
      </c>
      <c r="I406" s="467">
        <v>0.6</v>
      </c>
      <c r="J406" s="464">
        <v>0</v>
      </c>
      <c r="K406" s="468">
        <v>2.23333E-3</v>
      </c>
      <c r="L406" s="469">
        <f t="shared" si="12"/>
        <v>0</v>
      </c>
      <c r="M406" s="469">
        <f t="shared" si="13"/>
        <v>0.02</v>
      </c>
      <c r="N406" s="470"/>
    </row>
    <row r="407" spans="1:14">
      <c r="A407" s="464" t="s">
        <v>626</v>
      </c>
      <c r="B407" s="465" t="s">
        <v>1681</v>
      </c>
      <c r="C407" s="466" t="s">
        <v>2394</v>
      </c>
      <c r="D407" s="464" t="s">
        <v>2395</v>
      </c>
      <c r="E407" s="465" t="str">
        <f>VLOOKUP(C407,'[10]Project Detail Query'!$A$1:$R$2830,6,FALSE)</f>
        <v>F0604</v>
      </c>
      <c r="F407" s="464" t="str">
        <f>VLOOKUP(C407,'[10]Project Detail Query'!$A$1:$R$2830,7,FALSE)</f>
        <v>Main Replacement - ISRS (S)</v>
      </c>
      <c r="G407" s="465" t="s">
        <v>20</v>
      </c>
      <c r="H407" s="465">
        <v>201701</v>
      </c>
      <c r="I407" s="467">
        <v>13188.47</v>
      </c>
      <c r="J407" s="464">
        <v>0</v>
      </c>
      <c r="K407" s="472">
        <v>1.4833299999999999E-3</v>
      </c>
      <c r="L407" s="469">
        <f t="shared" si="12"/>
        <v>0</v>
      </c>
      <c r="M407" s="469">
        <f t="shared" si="13"/>
        <v>234.75</v>
      </c>
      <c r="N407" s="470"/>
    </row>
    <row r="408" spans="1:14">
      <c r="A408" s="464" t="s">
        <v>14</v>
      </c>
      <c r="B408" s="465" t="s">
        <v>1681</v>
      </c>
      <c r="C408" s="466" t="s">
        <v>2394</v>
      </c>
      <c r="D408" s="464" t="s">
        <v>2395</v>
      </c>
      <c r="E408" s="465" t="str">
        <f>VLOOKUP(C408,'[10]Project Detail Query'!$A$1:$R$2830,6,FALSE)</f>
        <v>F0604</v>
      </c>
      <c r="F408" s="464" t="str">
        <f>VLOOKUP(C408,'[10]Project Detail Query'!$A$1:$R$2830,7,FALSE)</f>
        <v>Main Replacement - ISRS (S)</v>
      </c>
      <c r="G408" s="465" t="s">
        <v>20</v>
      </c>
      <c r="H408" s="465">
        <v>201701</v>
      </c>
      <c r="I408" s="467">
        <v>553.69000000000005</v>
      </c>
      <c r="J408" s="464">
        <v>0</v>
      </c>
      <c r="K408" s="468">
        <v>2.23333E-3</v>
      </c>
      <c r="L408" s="469">
        <f t="shared" si="12"/>
        <v>0</v>
      </c>
      <c r="M408" s="469">
        <f t="shared" si="13"/>
        <v>14.84</v>
      </c>
      <c r="N408" s="470"/>
    </row>
    <row r="409" spans="1:14">
      <c r="A409" s="464" t="s">
        <v>626</v>
      </c>
      <c r="B409" s="465" t="s">
        <v>1681</v>
      </c>
      <c r="C409" s="466" t="s">
        <v>2269</v>
      </c>
      <c r="D409" s="464" t="s">
        <v>2270</v>
      </c>
      <c r="E409" s="465" t="str">
        <f>VLOOKUP(C409,'[10]Project Detail Query'!$A$1:$R$2830,6,FALSE)</f>
        <v>F0664</v>
      </c>
      <c r="F409" s="464" t="str">
        <f>VLOOKUP(C409,'[10]Project Detail Query'!$A$1:$R$2830,7,FALSE)</f>
        <v>Street &amp; Hwy Relocates ISRS (SW)</v>
      </c>
      <c r="G409" s="465" t="s">
        <v>20</v>
      </c>
      <c r="H409" s="465">
        <v>201701</v>
      </c>
      <c r="I409" s="467">
        <v>6177.59</v>
      </c>
      <c r="J409" s="464">
        <v>0</v>
      </c>
      <c r="K409" s="472">
        <v>1.4833299999999999E-3</v>
      </c>
      <c r="L409" s="469">
        <f t="shared" si="12"/>
        <v>0</v>
      </c>
      <c r="M409" s="469">
        <f t="shared" si="13"/>
        <v>109.96</v>
      </c>
      <c r="N409" s="470"/>
    </row>
    <row r="410" spans="1:14">
      <c r="A410" s="464" t="s">
        <v>626</v>
      </c>
      <c r="B410" s="465" t="s">
        <v>1681</v>
      </c>
      <c r="C410" s="466" t="s">
        <v>2398</v>
      </c>
      <c r="D410" s="464" t="s">
        <v>2399</v>
      </c>
      <c r="E410" s="465" t="str">
        <f>VLOOKUP(C410,'[10]Project Detail Query'!$A$1:$R$2830,6,FALSE)</f>
        <v>F0664</v>
      </c>
      <c r="F410" s="464" t="str">
        <f>VLOOKUP(C410,'[10]Project Detail Query'!$A$1:$R$2830,7,FALSE)</f>
        <v>Street &amp; Hwy Relocates ISRS (SW)</v>
      </c>
      <c r="G410" s="465" t="s">
        <v>20</v>
      </c>
      <c r="H410" s="465">
        <v>201701</v>
      </c>
      <c r="I410" s="467">
        <v>269.49</v>
      </c>
      <c r="J410" s="464">
        <v>0</v>
      </c>
      <c r="K410" s="472">
        <v>1.4833299999999999E-3</v>
      </c>
      <c r="L410" s="469">
        <f t="shared" si="12"/>
        <v>0</v>
      </c>
      <c r="M410" s="469">
        <f t="shared" si="13"/>
        <v>4.8</v>
      </c>
      <c r="N410" s="470"/>
    </row>
    <row r="411" spans="1:14">
      <c r="A411" s="464" t="s">
        <v>21</v>
      </c>
      <c r="B411" s="465" t="s">
        <v>1681</v>
      </c>
      <c r="C411" s="466" t="s">
        <v>2615</v>
      </c>
      <c r="D411" s="464" t="s">
        <v>2616</v>
      </c>
      <c r="E411" s="465" t="str">
        <f>VLOOKUP(C411,'[10]Project Detail Query'!$A$1:$R$2830,6,FALSE)</f>
        <v>F0664</v>
      </c>
      <c r="F411" s="464" t="str">
        <f>VLOOKUP(C411,'[10]Project Detail Query'!$A$1:$R$2830,7,FALSE)</f>
        <v>Street &amp; Hwy Relocates ISRS (SW)</v>
      </c>
      <c r="G411" s="465" t="s">
        <v>20</v>
      </c>
      <c r="H411" s="465">
        <v>201701</v>
      </c>
      <c r="I411" s="467">
        <v>157687.14000000001</v>
      </c>
      <c r="J411" s="464">
        <v>0</v>
      </c>
      <c r="K411" s="472">
        <v>1.4833299999999999E-3</v>
      </c>
      <c r="L411" s="469">
        <f t="shared" si="12"/>
        <v>0</v>
      </c>
      <c r="M411" s="469">
        <f t="shared" si="13"/>
        <v>2806.82</v>
      </c>
      <c r="N411" s="470"/>
    </row>
    <row r="412" spans="1:14">
      <c r="A412" s="464" t="s">
        <v>626</v>
      </c>
      <c r="B412" s="465" t="s">
        <v>1681</v>
      </c>
      <c r="C412" s="466" t="s">
        <v>2615</v>
      </c>
      <c r="D412" s="464" t="s">
        <v>2616</v>
      </c>
      <c r="E412" s="465" t="str">
        <f>VLOOKUP(C412,'[10]Project Detail Query'!$A$1:$R$2830,6,FALSE)</f>
        <v>F0664</v>
      </c>
      <c r="F412" s="464" t="str">
        <f>VLOOKUP(C412,'[10]Project Detail Query'!$A$1:$R$2830,7,FALSE)</f>
        <v>Street &amp; Hwy Relocates ISRS (SW)</v>
      </c>
      <c r="G412" s="465" t="s">
        <v>20</v>
      </c>
      <c r="H412" s="465">
        <v>201701</v>
      </c>
      <c r="I412" s="467">
        <v>100887.84</v>
      </c>
      <c r="J412" s="464">
        <v>0</v>
      </c>
      <c r="K412" s="472">
        <v>1.4833299999999999E-3</v>
      </c>
      <c r="L412" s="469">
        <f t="shared" si="12"/>
        <v>0</v>
      </c>
      <c r="M412" s="469">
        <f t="shared" si="13"/>
        <v>1795.8</v>
      </c>
      <c r="N412" s="470"/>
    </row>
    <row r="413" spans="1:14">
      <c r="A413" s="464" t="s">
        <v>14</v>
      </c>
      <c r="B413" s="465" t="s">
        <v>1681</v>
      </c>
      <c r="C413" s="466" t="s">
        <v>2615</v>
      </c>
      <c r="D413" s="464" t="s">
        <v>2616</v>
      </c>
      <c r="E413" s="465" t="str">
        <f>VLOOKUP(C413,'[10]Project Detail Query'!$A$1:$R$2830,6,FALSE)</f>
        <v>F0664</v>
      </c>
      <c r="F413" s="464" t="str">
        <f>VLOOKUP(C413,'[10]Project Detail Query'!$A$1:$R$2830,7,FALSE)</f>
        <v>Street &amp; Hwy Relocates ISRS (SW)</v>
      </c>
      <c r="G413" s="465" t="s">
        <v>20</v>
      </c>
      <c r="H413" s="465">
        <v>201701</v>
      </c>
      <c r="I413" s="467">
        <v>3344.44</v>
      </c>
      <c r="J413" s="464">
        <v>0</v>
      </c>
      <c r="K413" s="468">
        <v>2.23333E-3</v>
      </c>
      <c r="L413" s="469">
        <f t="shared" si="12"/>
        <v>0</v>
      </c>
      <c r="M413" s="469">
        <f t="shared" si="13"/>
        <v>89.63</v>
      </c>
      <c r="N413" s="470"/>
    </row>
    <row r="414" spans="1:14">
      <c r="A414" s="464" t="s">
        <v>626</v>
      </c>
      <c r="B414" s="465" t="s">
        <v>1681</v>
      </c>
      <c r="C414" s="466" t="s">
        <v>2402</v>
      </c>
      <c r="D414" s="464" t="s">
        <v>2403</v>
      </c>
      <c r="E414" s="465" t="str">
        <f>VLOOKUP(C414,'[10]Project Detail Query'!$A$1:$R$2830,6,FALSE)</f>
        <v>F0547</v>
      </c>
      <c r="F414" s="464" t="str">
        <f>VLOOKUP(C414,'[10]Project Detail Query'!$A$1:$R$2830,7,FALSE)</f>
        <v>Street &amp; Highway Relocates ISRS (N)</v>
      </c>
      <c r="G414" s="465" t="s">
        <v>20</v>
      </c>
      <c r="H414" s="465">
        <v>201701</v>
      </c>
      <c r="I414" s="467">
        <v>1546.21</v>
      </c>
      <c r="J414" s="464">
        <v>0</v>
      </c>
      <c r="K414" s="472">
        <v>1.4833299999999999E-3</v>
      </c>
      <c r="L414" s="469">
        <f t="shared" si="12"/>
        <v>0</v>
      </c>
      <c r="M414" s="469">
        <f t="shared" si="13"/>
        <v>27.52</v>
      </c>
      <c r="N414" s="470"/>
    </row>
    <row r="415" spans="1:14">
      <c r="A415" s="464" t="s">
        <v>14</v>
      </c>
      <c r="B415" s="465" t="s">
        <v>1681</v>
      </c>
      <c r="C415" s="466" t="s">
        <v>2402</v>
      </c>
      <c r="D415" s="464" t="s">
        <v>2403</v>
      </c>
      <c r="E415" s="465" t="str">
        <f>VLOOKUP(C415,'[10]Project Detail Query'!$A$1:$R$2830,6,FALSE)</f>
        <v>F0547</v>
      </c>
      <c r="F415" s="464" t="str">
        <f>VLOOKUP(C415,'[10]Project Detail Query'!$A$1:$R$2830,7,FALSE)</f>
        <v>Street &amp; Highway Relocates ISRS (N)</v>
      </c>
      <c r="G415" s="465" t="s">
        <v>20</v>
      </c>
      <c r="H415" s="465">
        <v>201701</v>
      </c>
      <c r="I415" s="467">
        <v>250.3</v>
      </c>
      <c r="J415" s="464">
        <v>0</v>
      </c>
      <c r="K415" s="468">
        <v>2.23333E-3</v>
      </c>
      <c r="L415" s="469">
        <f t="shared" si="12"/>
        <v>0</v>
      </c>
      <c r="M415" s="469">
        <f t="shared" si="13"/>
        <v>6.71</v>
      </c>
      <c r="N415" s="470"/>
    </row>
    <row r="416" spans="1:14">
      <c r="A416" s="464" t="s">
        <v>626</v>
      </c>
      <c r="B416" s="465" t="s">
        <v>1681</v>
      </c>
      <c r="C416" s="466" t="s">
        <v>2101</v>
      </c>
      <c r="D416" s="464" t="s">
        <v>2102</v>
      </c>
      <c r="E416" s="465" t="str">
        <f>VLOOKUP(C416,'[10]Project Detail Query'!$A$1:$R$2830,6,FALSE)</f>
        <v>F0572</v>
      </c>
      <c r="F416" s="464" t="str">
        <f>VLOOKUP(C416,'[10]Project Detail Query'!$A$1:$R$2830,7,FALSE)</f>
        <v>Main Replacement - ISRS (SW)</v>
      </c>
      <c r="G416" s="465" t="s">
        <v>20</v>
      </c>
      <c r="H416" s="465">
        <v>201701</v>
      </c>
      <c r="I416" s="467">
        <v>3.86</v>
      </c>
      <c r="J416" s="464">
        <v>0</v>
      </c>
      <c r="K416" s="472">
        <v>1.4833299999999999E-3</v>
      </c>
      <c r="L416" s="469">
        <f t="shared" si="12"/>
        <v>0</v>
      </c>
      <c r="M416" s="469">
        <f t="shared" si="13"/>
        <v>7.0000000000000007E-2</v>
      </c>
      <c r="N416" s="470"/>
    </row>
    <row r="417" spans="1:14">
      <c r="A417" s="464" t="s">
        <v>626</v>
      </c>
      <c r="B417" s="465" t="s">
        <v>1681</v>
      </c>
      <c r="C417" s="466" t="s">
        <v>2404</v>
      </c>
      <c r="D417" s="464" t="s">
        <v>2405</v>
      </c>
      <c r="E417" s="465" t="str">
        <f>VLOOKUP(C417,'[10]Project Detail Query'!$A$1:$R$2830,6,FALSE)</f>
        <v>F0578</v>
      </c>
      <c r="F417" s="464" t="str">
        <f>VLOOKUP(C417,'[10]Project Detail Query'!$A$1:$R$2830,7,FALSE)</f>
        <v>Street &amp; Highway Relocates ISRS (S)</v>
      </c>
      <c r="G417" s="465" t="s">
        <v>20</v>
      </c>
      <c r="H417" s="465">
        <v>201701</v>
      </c>
      <c r="I417" s="467">
        <v>8626.34</v>
      </c>
      <c r="J417" s="464">
        <v>0</v>
      </c>
      <c r="K417" s="472">
        <v>1.4833299999999999E-3</v>
      </c>
      <c r="L417" s="469">
        <f t="shared" si="12"/>
        <v>0</v>
      </c>
      <c r="M417" s="469">
        <f t="shared" si="13"/>
        <v>153.55000000000001</v>
      </c>
      <c r="N417" s="470"/>
    </row>
    <row r="418" spans="1:14">
      <c r="A418" s="464" t="s">
        <v>626</v>
      </c>
      <c r="B418" s="465" t="s">
        <v>1681</v>
      </c>
      <c r="C418" s="466" t="s">
        <v>2617</v>
      </c>
      <c r="D418" s="464" t="s">
        <v>2618</v>
      </c>
      <c r="E418" s="465" t="str">
        <f>VLOOKUP(C418,'[10]Project Detail Query'!$A$1:$R$2830,6,FALSE)</f>
        <v>F0572</v>
      </c>
      <c r="F418" s="464" t="str">
        <f>VLOOKUP(C418,'[10]Project Detail Query'!$A$1:$R$2830,7,FALSE)</f>
        <v>Main Replacement - ISRS (SW)</v>
      </c>
      <c r="G418" s="465" t="s">
        <v>20</v>
      </c>
      <c r="H418" s="465">
        <v>201701</v>
      </c>
      <c r="I418" s="467">
        <v>53855.89</v>
      </c>
      <c r="J418" s="464">
        <v>0</v>
      </c>
      <c r="K418" s="472">
        <v>1.4833299999999999E-3</v>
      </c>
      <c r="L418" s="469">
        <f t="shared" si="12"/>
        <v>0</v>
      </c>
      <c r="M418" s="469">
        <f t="shared" si="13"/>
        <v>958.63</v>
      </c>
      <c r="N418" s="470"/>
    </row>
    <row r="419" spans="1:14">
      <c r="A419" s="464" t="s">
        <v>14</v>
      </c>
      <c r="B419" s="465" t="s">
        <v>1681</v>
      </c>
      <c r="C419" s="466" t="s">
        <v>2617</v>
      </c>
      <c r="D419" s="464" t="s">
        <v>2618</v>
      </c>
      <c r="E419" s="465" t="str">
        <f>VLOOKUP(C419,'[10]Project Detail Query'!$A$1:$R$2830,6,FALSE)</f>
        <v>F0572</v>
      </c>
      <c r="F419" s="464" t="str">
        <f>VLOOKUP(C419,'[10]Project Detail Query'!$A$1:$R$2830,7,FALSE)</f>
        <v>Main Replacement - ISRS (SW)</v>
      </c>
      <c r="G419" s="465" t="s">
        <v>20</v>
      </c>
      <c r="H419" s="465">
        <v>201701</v>
      </c>
      <c r="I419" s="467">
        <v>9867.07</v>
      </c>
      <c r="J419" s="464">
        <v>0</v>
      </c>
      <c r="K419" s="468">
        <v>2.23333E-3</v>
      </c>
      <c r="L419" s="469">
        <f t="shared" si="12"/>
        <v>0</v>
      </c>
      <c r="M419" s="469">
        <f t="shared" si="13"/>
        <v>264.44</v>
      </c>
      <c r="N419" s="470"/>
    </row>
    <row r="420" spans="1:14">
      <c r="A420" s="464" t="s">
        <v>626</v>
      </c>
      <c r="B420" s="465" t="s">
        <v>1681</v>
      </c>
      <c r="C420" s="466" t="s">
        <v>2273</v>
      </c>
      <c r="D420" s="464" t="s">
        <v>2274</v>
      </c>
      <c r="E420" s="465" t="str">
        <f>VLOOKUP(C420,'[10]Project Detail Query'!$A$1:$R$2830,6,FALSE)</f>
        <v>F0572</v>
      </c>
      <c r="F420" s="464" t="str">
        <f>VLOOKUP(C420,'[10]Project Detail Query'!$A$1:$R$2830,7,FALSE)</f>
        <v>Main Replacement - ISRS (SW)</v>
      </c>
      <c r="G420" s="465" t="s">
        <v>20</v>
      </c>
      <c r="H420" s="465">
        <v>201701</v>
      </c>
      <c r="I420" s="467">
        <v>4040.93</v>
      </c>
      <c r="J420" s="464">
        <v>0</v>
      </c>
      <c r="K420" s="472">
        <v>1.4833299999999999E-3</v>
      </c>
      <c r="L420" s="469">
        <f t="shared" si="12"/>
        <v>0</v>
      </c>
      <c r="M420" s="469">
        <f t="shared" si="13"/>
        <v>71.930000000000007</v>
      </c>
      <c r="N420" s="470"/>
    </row>
    <row r="421" spans="1:14">
      <c r="A421" s="464" t="s">
        <v>626</v>
      </c>
      <c r="B421" s="465" t="s">
        <v>1681</v>
      </c>
      <c r="C421" s="466" t="s">
        <v>2619</v>
      </c>
      <c r="D421" s="464" t="s">
        <v>2620</v>
      </c>
      <c r="E421" s="465" t="str">
        <f>VLOOKUP(C421,'[10]Project Detail Query'!$A$1:$R$2830,6,FALSE)</f>
        <v>F0572</v>
      </c>
      <c r="F421" s="464" t="str">
        <f>VLOOKUP(C421,'[10]Project Detail Query'!$A$1:$R$2830,7,FALSE)</f>
        <v>Main Replacement - ISRS (SW)</v>
      </c>
      <c r="G421" s="465" t="s">
        <v>20</v>
      </c>
      <c r="H421" s="465">
        <v>201701</v>
      </c>
      <c r="I421" s="467">
        <v>102696.47</v>
      </c>
      <c r="J421" s="464">
        <v>0</v>
      </c>
      <c r="K421" s="472">
        <v>1.4833299999999999E-3</v>
      </c>
      <c r="L421" s="469">
        <f t="shared" si="12"/>
        <v>0</v>
      </c>
      <c r="M421" s="469">
        <f t="shared" si="13"/>
        <v>1827.99</v>
      </c>
      <c r="N421" s="470"/>
    </row>
    <row r="422" spans="1:14">
      <c r="A422" s="464" t="s">
        <v>626</v>
      </c>
      <c r="B422" s="465" t="s">
        <v>1681</v>
      </c>
      <c r="C422" s="466" t="s">
        <v>2621</v>
      </c>
      <c r="D422" s="464" t="s">
        <v>2622</v>
      </c>
      <c r="E422" s="465" t="str">
        <f>VLOOKUP(C422,'[10]Project Detail Query'!$A$1:$R$2830,6,FALSE)</f>
        <v>F0572</v>
      </c>
      <c r="F422" s="464" t="str">
        <f>VLOOKUP(C422,'[10]Project Detail Query'!$A$1:$R$2830,7,FALSE)</f>
        <v>Main Replacement - ISRS (SW)</v>
      </c>
      <c r="G422" s="465" t="s">
        <v>20</v>
      </c>
      <c r="H422" s="465">
        <v>201701</v>
      </c>
      <c r="I422" s="467">
        <v>110570.44</v>
      </c>
      <c r="J422" s="464">
        <v>0</v>
      </c>
      <c r="K422" s="472">
        <v>1.4833299999999999E-3</v>
      </c>
      <c r="L422" s="469">
        <f t="shared" si="12"/>
        <v>0</v>
      </c>
      <c r="M422" s="469">
        <f t="shared" si="13"/>
        <v>1968.15</v>
      </c>
      <c r="N422" s="470"/>
    </row>
    <row r="423" spans="1:14">
      <c r="A423" s="464" t="s">
        <v>21</v>
      </c>
      <c r="B423" s="465" t="s">
        <v>1681</v>
      </c>
      <c r="C423" s="466" t="s">
        <v>2438</v>
      </c>
      <c r="D423" s="464" t="s">
        <v>2439</v>
      </c>
      <c r="E423" s="465" t="str">
        <f>VLOOKUP(C423,'[10]Project Detail Query'!$A$1:$R$2830,6,FALSE)</f>
        <v>F0572</v>
      </c>
      <c r="F423" s="464" t="str">
        <f>VLOOKUP(C423,'[10]Project Detail Query'!$A$1:$R$2830,7,FALSE)</f>
        <v>Main Replacement - ISRS (SW)</v>
      </c>
      <c r="G423" s="465" t="s">
        <v>20</v>
      </c>
      <c r="H423" s="465">
        <v>201701</v>
      </c>
      <c r="I423" s="467">
        <v>-83.04</v>
      </c>
      <c r="J423" s="464">
        <v>0</v>
      </c>
      <c r="K423" s="472">
        <v>1.4833299999999999E-3</v>
      </c>
      <c r="L423" s="469">
        <f t="shared" si="12"/>
        <v>0</v>
      </c>
      <c r="M423" s="469">
        <f t="shared" si="13"/>
        <v>-1.48</v>
      </c>
      <c r="N423" s="470"/>
    </row>
    <row r="424" spans="1:14">
      <c r="A424" s="464" t="s">
        <v>626</v>
      </c>
      <c r="B424" s="465" t="s">
        <v>1681</v>
      </c>
      <c r="C424" s="466" t="s">
        <v>2438</v>
      </c>
      <c r="D424" s="464" t="s">
        <v>2439</v>
      </c>
      <c r="E424" s="465" t="str">
        <f>VLOOKUP(C424,'[10]Project Detail Query'!$A$1:$R$2830,6,FALSE)</f>
        <v>F0572</v>
      </c>
      <c r="F424" s="464" t="str">
        <f>VLOOKUP(C424,'[10]Project Detail Query'!$A$1:$R$2830,7,FALSE)</f>
        <v>Main Replacement - ISRS (SW)</v>
      </c>
      <c r="G424" s="465" t="s">
        <v>20</v>
      </c>
      <c r="H424" s="465">
        <v>201701</v>
      </c>
      <c r="I424" s="467">
        <v>-1929.84</v>
      </c>
      <c r="J424" s="464">
        <v>0</v>
      </c>
      <c r="K424" s="472">
        <v>1.4833299999999999E-3</v>
      </c>
      <c r="L424" s="469">
        <f t="shared" si="12"/>
        <v>0</v>
      </c>
      <c r="M424" s="469">
        <f t="shared" si="13"/>
        <v>-34.35</v>
      </c>
      <c r="N424" s="470"/>
    </row>
    <row r="425" spans="1:14">
      <c r="A425" s="464" t="s">
        <v>14</v>
      </c>
      <c r="B425" s="465" t="s">
        <v>1681</v>
      </c>
      <c r="C425" s="466" t="s">
        <v>2438</v>
      </c>
      <c r="D425" s="464" t="s">
        <v>2439</v>
      </c>
      <c r="E425" s="465" t="str">
        <f>VLOOKUP(C425,'[10]Project Detail Query'!$A$1:$R$2830,6,FALSE)</f>
        <v>F0572</v>
      </c>
      <c r="F425" s="464" t="str">
        <f>VLOOKUP(C425,'[10]Project Detail Query'!$A$1:$R$2830,7,FALSE)</f>
        <v>Main Replacement - ISRS (SW)</v>
      </c>
      <c r="G425" s="465" t="s">
        <v>20</v>
      </c>
      <c r="H425" s="465">
        <v>201701</v>
      </c>
      <c r="I425" s="467">
        <v>-13.4</v>
      </c>
      <c r="J425" s="464">
        <v>0</v>
      </c>
      <c r="K425" s="468">
        <v>2.23333E-3</v>
      </c>
      <c r="L425" s="469">
        <f t="shared" si="12"/>
        <v>0</v>
      </c>
      <c r="M425" s="469">
        <f t="shared" si="13"/>
        <v>-0.36</v>
      </c>
      <c r="N425" s="470"/>
    </row>
    <row r="426" spans="1:14">
      <c r="A426" s="464" t="s">
        <v>626</v>
      </c>
      <c r="B426" s="465" t="s">
        <v>1681</v>
      </c>
      <c r="C426" s="466" t="s">
        <v>2623</v>
      </c>
      <c r="D426" s="464" t="s">
        <v>2624</v>
      </c>
      <c r="E426" s="465" t="str">
        <f>VLOOKUP(C426,'[10]Project Detail Query'!$A$1:$R$2830,6,FALSE)</f>
        <v>F0572</v>
      </c>
      <c r="F426" s="464" t="str">
        <f>VLOOKUP(C426,'[10]Project Detail Query'!$A$1:$R$2830,7,FALSE)</f>
        <v>Main Replacement - ISRS (SW)</v>
      </c>
      <c r="G426" s="465" t="s">
        <v>20</v>
      </c>
      <c r="H426" s="465">
        <v>201701</v>
      </c>
      <c r="I426" s="467">
        <v>758734.36</v>
      </c>
      <c r="J426" s="464">
        <v>0</v>
      </c>
      <c r="K426" s="472">
        <v>1.4833299999999999E-3</v>
      </c>
      <c r="L426" s="469">
        <f t="shared" si="12"/>
        <v>0</v>
      </c>
      <c r="M426" s="469">
        <f t="shared" si="13"/>
        <v>13505.44</v>
      </c>
      <c r="N426" s="470"/>
    </row>
    <row r="427" spans="1:14">
      <c r="A427" s="464" t="s">
        <v>626</v>
      </c>
      <c r="B427" s="465" t="s">
        <v>1681</v>
      </c>
      <c r="C427" s="466" t="s">
        <v>2113</v>
      </c>
      <c r="D427" s="464" t="s">
        <v>2114</v>
      </c>
      <c r="E427" s="465" t="str">
        <f>VLOOKUP(C427,'[10]Project Detail Query'!$A$1:$R$2830,6,FALSE)</f>
        <v>F0547</v>
      </c>
      <c r="F427" s="464" t="str">
        <f>VLOOKUP(C427,'[10]Project Detail Query'!$A$1:$R$2830,7,FALSE)</f>
        <v>Street &amp; Highway Relocates ISRS (N)</v>
      </c>
      <c r="G427" s="465" t="s">
        <v>20</v>
      </c>
      <c r="H427" s="465">
        <v>201701</v>
      </c>
      <c r="I427" s="467">
        <v>328.11</v>
      </c>
      <c r="J427" s="464">
        <v>0</v>
      </c>
      <c r="K427" s="472">
        <v>1.4833299999999999E-3</v>
      </c>
      <c r="L427" s="469">
        <f t="shared" si="12"/>
        <v>0</v>
      </c>
      <c r="M427" s="469">
        <f t="shared" si="13"/>
        <v>5.84</v>
      </c>
      <c r="N427" s="470"/>
    </row>
    <row r="428" spans="1:14">
      <c r="A428" s="464" t="s">
        <v>626</v>
      </c>
      <c r="B428" s="465" t="s">
        <v>1681</v>
      </c>
      <c r="C428" s="466" t="s">
        <v>2406</v>
      </c>
      <c r="D428" s="464" t="s">
        <v>2407</v>
      </c>
      <c r="E428" s="465" t="str">
        <f>VLOOKUP(C428,'[10]Project Detail Query'!$A$1:$R$2830,6,FALSE)</f>
        <v>F0604</v>
      </c>
      <c r="F428" s="464" t="str">
        <f>VLOOKUP(C428,'[10]Project Detail Query'!$A$1:$R$2830,7,FALSE)</f>
        <v>Main Replacement - ISRS (S)</v>
      </c>
      <c r="G428" s="465" t="s">
        <v>20</v>
      </c>
      <c r="H428" s="465">
        <v>201701</v>
      </c>
      <c r="I428" s="467">
        <v>16044.94</v>
      </c>
      <c r="J428" s="464">
        <v>0</v>
      </c>
      <c r="K428" s="472">
        <v>1.4833299999999999E-3</v>
      </c>
      <c r="L428" s="469">
        <f t="shared" si="12"/>
        <v>0</v>
      </c>
      <c r="M428" s="469">
        <f t="shared" si="13"/>
        <v>285.60000000000002</v>
      </c>
      <c r="N428" s="470"/>
    </row>
    <row r="429" spans="1:14">
      <c r="A429" s="464" t="s">
        <v>14</v>
      </c>
      <c r="B429" s="465" t="s">
        <v>1681</v>
      </c>
      <c r="C429" s="466" t="s">
        <v>2406</v>
      </c>
      <c r="D429" s="464" t="s">
        <v>2407</v>
      </c>
      <c r="E429" s="465" t="str">
        <f>VLOOKUP(C429,'[10]Project Detail Query'!$A$1:$R$2830,6,FALSE)</f>
        <v>F0604</v>
      </c>
      <c r="F429" s="464" t="str">
        <f>VLOOKUP(C429,'[10]Project Detail Query'!$A$1:$R$2830,7,FALSE)</f>
        <v>Main Replacement - ISRS (S)</v>
      </c>
      <c r="G429" s="465" t="s">
        <v>20</v>
      </c>
      <c r="H429" s="465">
        <v>201701</v>
      </c>
      <c r="I429" s="467">
        <v>377.84</v>
      </c>
      <c r="J429" s="464">
        <v>0</v>
      </c>
      <c r="K429" s="468">
        <v>2.23333E-3</v>
      </c>
      <c r="L429" s="469">
        <f t="shared" si="12"/>
        <v>0</v>
      </c>
      <c r="M429" s="469">
        <f t="shared" si="13"/>
        <v>10.130000000000001</v>
      </c>
      <c r="N429" s="470"/>
    </row>
    <row r="430" spans="1:14">
      <c r="A430" s="464" t="s">
        <v>626</v>
      </c>
      <c r="B430" s="465" t="s">
        <v>1681</v>
      </c>
      <c r="C430" s="466" t="s">
        <v>2275</v>
      </c>
      <c r="D430" s="464" t="s">
        <v>2276</v>
      </c>
      <c r="E430" s="465" t="str">
        <f>VLOOKUP(C430,'[10]Project Detail Query'!$A$1:$R$2830,6,FALSE)</f>
        <v>F0604</v>
      </c>
      <c r="F430" s="464" t="str">
        <f>VLOOKUP(C430,'[10]Project Detail Query'!$A$1:$R$2830,7,FALSE)</f>
        <v>Main Replacement - ISRS (S)</v>
      </c>
      <c r="G430" s="465" t="s">
        <v>20</v>
      </c>
      <c r="H430" s="465">
        <v>201701</v>
      </c>
      <c r="I430" s="467">
        <v>4763.95</v>
      </c>
      <c r="J430" s="464">
        <v>0</v>
      </c>
      <c r="K430" s="472">
        <v>1.4833299999999999E-3</v>
      </c>
      <c r="L430" s="469">
        <f t="shared" si="12"/>
        <v>0</v>
      </c>
      <c r="M430" s="469">
        <f t="shared" si="13"/>
        <v>84.8</v>
      </c>
      <c r="N430" s="470"/>
    </row>
    <row r="431" spans="1:14">
      <c r="A431" s="464" t="s">
        <v>626</v>
      </c>
      <c r="B431" s="465" t="s">
        <v>1681</v>
      </c>
      <c r="C431" s="466" t="s">
        <v>2625</v>
      </c>
      <c r="D431" s="464" t="s">
        <v>2626</v>
      </c>
      <c r="E431" s="465" t="str">
        <f>VLOOKUP(C431,'[10]Project Detail Query'!$A$1:$R$2830,6,FALSE)</f>
        <v>F0572</v>
      </c>
      <c r="F431" s="464" t="str">
        <f>VLOOKUP(C431,'[10]Project Detail Query'!$A$1:$R$2830,7,FALSE)</f>
        <v>Main Replacement - ISRS (SW)</v>
      </c>
      <c r="G431" s="465" t="s">
        <v>20</v>
      </c>
      <c r="H431" s="465">
        <v>201701</v>
      </c>
      <c r="I431" s="467">
        <v>71166.27</v>
      </c>
      <c r="J431" s="464">
        <v>0</v>
      </c>
      <c r="K431" s="472">
        <v>1.4833299999999999E-3</v>
      </c>
      <c r="L431" s="469">
        <f t="shared" si="12"/>
        <v>0</v>
      </c>
      <c r="M431" s="469">
        <f t="shared" si="13"/>
        <v>1266.76</v>
      </c>
      <c r="N431" s="470"/>
    </row>
    <row r="432" spans="1:14">
      <c r="A432" s="464" t="s">
        <v>626</v>
      </c>
      <c r="B432" s="465" t="s">
        <v>1681</v>
      </c>
      <c r="C432" s="466" t="s">
        <v>2412</v>
      </c>
      <c r="D432" s="464" t="s">
        <v>2413</v>
      </c>
      <c r="E432" s="465" t="str">
        <f>VLOOKUP(C432,'[10]Project Detail Query'!$A$1:$R$2830,6,FALSE)</f>
        <v>F0604</v>
      </c>
      <c r="F432" s="464" t="str">
        <f>VLOOKUP(C432,'[10]Project Detail Query'!$A$1:$R$2830,7,FALSE)</f>
        <v>Main Replacement - ISRS (S)</v>
      </c>
      <c r="G432" s="465" t="s">
        <v>20</v>
      </c>
      <c r="H432" s="465">
        <v>201701</v>
      </c>
      <c r="I432" s="467">
        <v>13723.97</v>
      </c>
      <c r="J432" s="464">
        <v>0</v>
      </c>
      <c r="K432" s="472">
        <v>1.4833299999999999E-3</v>
      </c>
      <c r="L432" s="469">
        <f t="shared" si="12"/>
        <v>0</v>
      </c>
      <c r="M432" s="469">
        <f t="shared" si="13"/>
        <v>244.29</v>
      </c>
      <c r="N432" s="470"/>
    </row>
    <row r="433" spans="1:14">
      <c r="A433" s="464" t="s">
        <v>14</v>
      </c>
      <c r="B433" s="465" t="s">
        <v>1681</v>
      </c>
      <c r="C433" s="466" t="s">
        <v>2412</v>
      </c>
      <c r="D433" s="464" t="s">
        <v>2413</v>
      </c>
      <c r="E433" s="465" t="str">
        <f>VLOOKUP(C433,'[10]Project Detail Query'!$A$1:$R$2830,6,FALSE)</f>
        <v>F0604</v>
      </c>
      <c r="F433" s="464" t="str">
        <f>VLOOKUP(C433,'[10]Project Detail Query'!$A$1:$R$2830,7,FALSE)</f>
        <v>Main Replacement - ISRS (S)</v>
      </c>
      <c r="G433" s="465" t="s">
        <v>20</v>
      </c>
      <c r="H433" s="465">
        <v>201701</v>
      </c>
      <c r="I433" s="467">
        <v>144.16</v>
      </c>
      <c r="J433" s="464">
        <v>0</v>
      </c>
      <c r="K433" s="468">
        <v>2.23333E-3</v>
      </c>
      <c r="L433" s="469">
        <f t="shared" si="12"/>
        <v>0</v>
      </c>
      <c r="M433" s="469">
        <f t="shared" si="13"/>
        <v>3.86</v>
      </c>
      <c r="N433" s="470"/>
    </row>
    <row r="434" spans="1:14">
      <c r="A434" s="464" t="s">
        <v>626</v>
      </c>
      <c r="B434" s="465" t="s">
        <v>1681</v>
      </c>
      <c r="C434" s="466" t="s">
        <v>2277</v>
      </c>
      <c r="D434" s="464" t="s">
        <v>2278</v>
      </c>
      <c r="E434" s="465" t="str">
        <f>VLOOKUP(C434,'[10]Project Detail Query'!$A$1:$R$2830,6,FALSE)</f>
        <v>F0604</v>
      </c>
      <c r="F434" s="464" t="str">
        <f>VLOOKUP(C434,'[10]Project Detail Query'!$A$1:$R$2830,7,FALSE)</f>
        <v>Main Replacement - ISRS (S)</v>
      </c>
      <c r="G434" s="465" t="s">
        <v>20</v>
      </c>
      <c r="H434" s="465">
        <v>201701</v>
      </c>
      <c r="I434" s="467">
        <v>1759.03</v>
      </c>
      <c r="J434" s="464">
        <v>0</v>
      </c>
      <c r="K434" s="472">
        <v>1.4833299999999999E-3</v>
      </c>
      <c r="L434" s="469">
        <f t="shared" si="12"/>
        <v>0</v>
      </c>
      <c r="M434" s="469">
        <f t="shared" si="13"/>
        <v>31.31</v>
      </c>
      <c r="N434" s="470"/>
    </row>
    <row r="435" spans="1:14">
      <c r="A435" s="464" t="s">
        <v>14</v>
      </c>
      <c r="B435" s="465" t="s">
        <v>1681</v>
      </c>
      <c r="C435" s="466" t="s">
        <v>2277</v>
      </c>
      <c r="D435" s="464" t="s">
        <v>2278</v>
      </c>
      <c r="E435" s="465" t="str">
        <f>VLOOKUP(C435,'[10]Project Detail Query'!$A$1:$R$2830,6,FALSE)</f>
        <v>F0604</v>
      </c>
      <c r="F435" s="464" t="str">
        <f>VLOOKUP(C435,'[10]Project Detail Query'!$A$1:$R$2830,7,FALSE)</f>
        <v>Main Replacement - ISRS (S)</v>
      </c>
      <c r="G435" s="465" t="s">
        <v>20</v>
      </c>
      <c r="H435" s="465">
        <v>201701</v>
      </c>
      <c r="I435" s="467">
        <v>89.18</v>
      </c>
      <c r="J435" s="464">
        <v>0</v>
      </c>
      <c r="K435" s="468">
        <v>2.23333E-3</v>
      </c>
      <c r="L435" s="469">
        <f t="shared" si="12"/>
        <v>0</v>
      </c>
      <c r="M435" s="469">
        <f t="shared" si="13"/>
        <v>2.39</v>
      </c>
      <c r="N435" s="470"/>
    </row>
    <row r="436" spans="1:14">
      <c r="A436" s="464" t="s">
        <v>626</v>
      </c>
      <c r="B436" s="465" t="s">
        <v>1681</v>
      </c>
      <c r="C436" s="466" t="s">
        <v>2416</v>
      </c>
      <c r="D436" s="464" t="s">
        <v>2417</v>
      </c>
      <c r="E436" s="465" t="str">
        <f>VLOOKUP(C436,'[10]Project Detail Query'!$A$1:$R$2830,6,FALSE)</f>
        <v>F0599</v>
      </c>
      <c r="F436" s="464" t="str">
        <f>VLOOKUP(C436,'[10]Project Detail Query'!$A$1:$R$2830,7,FALSE)</f>
        <v>Main Replacement - ISRS (N)</v>
      </c>
      <c r="G436" s="465" t="s">
        <v>20</v>
      </c>
      <c r="H436" s="465">
        <v>201701</v>
      </c>
      <c r="I436" s="467">
        <v>1607.54</v>
      </c>
      <c r="J436" s="464">
        <v>0</v>
      </c>
      <c r="K436" s="472">
        <v>1.4833299999999999E-3</v>
      </c>
      <c r="L436" s="469">
        <f t="shared" si="12"/>
        <v>0</v>
      </c>
      <c r="M436" s="469">
        <f t="shared" si="13"/>
        <v>28.61</v>
      </c>
      <c r="N436" s="470"/>
    </row>
    <row r="437" spans="1:14">
      <c r="A437" s="464" t="s">
        <v>1942</v>
      </c>
      <c r="B437" s="465" t="s">
        <v>1681</v>
      </c>
      <c r="C437" s="466" t="s">
        <v>2416</v>
      </c>
      <c r="D437" s="464" t="s">
        <v>2417</v>
      </c>
      <c r="E437" s="465" t="str">
        <f>VLOOKUP(C437,'[10]Project Detail Query'!$A$1:$R$2830,6,FALSE)</f>
        <v>F0599</v>
      </c>
      <c r="F437" s="464" t="str">
        <f>VLOOKUP(C437,'[10]Project Detail Query'!$A$1:$R$2830,7,FALSE)</f>
        <v>Main Replacement - ISRS (N)</v>
      </c>
      <c r="G437" s="465" t="s">
        <v>20</v>
      </c>
      <c r="H437" s="465">
        <v>201701</v>
      </c>
      <c r="I437" s="467">
        <v>3.5</v>
      </c>
      <c r="J437" s="464">
        <v>0</v>
      </c>
      <c r="K437" s="472">
        <v>2.23333E-3</v>
      </c>
      <c r="L437" s="469">
        <f t="shared" si="12"/>
        <v>0</v>
      </c>
      <c r="M437" s="469">
        <f t="shared" si="13"/>
        <v>0.09</v>
      </c>
      <c r="N437" s="470"/>
    </row>
    <row r="438" spans="1:14">
      <c r="A438" s="464" t="s">
        <v>21</v>
      </c>
      <c r="B438" s="465" t="s">
        <v>1681</v>
      </c>
      <c r="C438" s="466" t="s">
        <v>2418</v>
      </c>
      <c r="D438" s="464" t="s">
        <v>2419</v>
      </c>
      <c r="E438" s="465" t="str">
        <f>VLOOKUP(C438,'[10]Project Detail Query'!$A$1:$R$2830,6,FALSE)</f>
        <v>F0604</v>
      </c>
      <c r="F438" s="464" t="str">
        <f>VLOOKUP(C438,'[10]Project Detail Query'!$A$1:$R$2830,7,FALSE)</f>
        <v>Main Replacement - ISRS (S)</v>
      </c>
      <c r="G438" s="465" t="s">
        <v>20</v>
      </c>
      <c r="H438" s="465">
        <v>201701</v>
      </c>
      <c r="I438" s="467">
        <v>578.55999999999995</v>
      </c>
      <c r="J438" s="464">
        <v>0</v>
      </c>
      <c r="K438" s="472">
        <v>1.4833299999999999E-3</v>
      </c>
      <c r="L438" s="469">
        <f t="shared" si="12"/>
        <v>0</v>
      </c>
      <c r="M438" s="469">
        <f t="shared" si="13"/>
        <v>10.3</v>
      </c>
      <c r="N438" s="470"/>
    </row>
    <row r="439" spans="1:14">
      <c r="A439" s="464" t="s">
        <v>1942</v>
      </c>
      <c r="B439" s="465" t="s">
        <v>1681</v>
      </c>
      <c r="C439" s="466" t="s">
        <v>2418</v>
      </c>
      <c r="D439" s="464" t="s">
        <v>2419</v>
      </c>
      <c r="E439" s="465" t="str">
        <f>VLOOKUP(C439,'[10]Project Detail Query'!$A$1:$R$2830,6,FALSE)</f>
        <v>F0604</v>
      </c>
      <c r="F439" s="464" t="str">
        <f>VLOOKUP(C439,'[10]Project Detail Query'!$A$1:$R$2830,7,FALSE)</f>
        <v>Main Replacement - ISRS (S)</v>
      </c>
      <c r="G439" s="465" t="s">
        <v>20</v>
      </c>
      <c r="H439" s="465">
        <v>201701</v>
      </c>
      <c r="I439" s="467">
        <v>2.21</v>
      </c>
      <c r="J439" s="464">
        <v>0</v>
      </c>
      <c r="K439" s="472">
        <v>2.23333E-3</v>
      </c>
      <c r="L439" s="469">
        <f t="shared" si="12"/>
        <v>0</v>
      </c>
      <c r="M439" s="469">
        <f t="shared" si="13"/>
        <v>0.06</v>
      </c>
      <c r="N439" s="470"/>
    </row>
    <row r="440" spans="1:14">
      <c r="A440" s="464" t="s">
        <v>21</v>
      </c>
      <c r="B440" s="465" t="s">
        <v>1681</v>
      </c>
      <c r="C440" s="466" t="s">
        <v>2279</v>
      </c>
      <c r="D440" s="464" t="s">
        <v>2280</v>
      </c>
      <c r="E440" s="465" t="str">
        <f>VLOOKUP(C440,'[10]Project Detail Query'!$A$1:$R$2830,6,FALSE)</f>
        <v>F0547</v>
      </c>
      <c r="F440" s="464" t="str">
        <f>VLOOKUP(C440,'[10]Project Detail Query'!$A$1:$R$2830,7,FALSE)</f>
        <v>Street &amp; Highway Relocates ISRS (N)</v>
      </c>
      <c r="G440" s="465" t="s">
        <v>20</v>
      </c>
      <c r="H440" s="465">
        <v>201701</v>
      </c>
      <c r="I440" s="467">
        <v>24.27</v>
      </c>
      <c r="J440" s="464">
        <v>0</v>
      </c>
      <c r="K440" s="472">
        <v>1.4833299999999999E-3</v>
      </c>
      <c r="L440" s="469">
        <f t="shared" si="12"/>
        <v>0</v>
      </c>
      <c r="M440" s="469">
        <f t="shared" si="13"/>
        <v>0.43</v>
      </c>
      <c r="N440" s="470"/>
    </row>
    <row r="441" spans="1:14">
      <c r="A441" s="464" t="s">
        <v>626</v>
      </c>
      <c r="B441" s="465" t="s">
        <v>1681</v>
      </c>
      <c r="C441" s="466" t="s">
        <v>2420</v>
      </c>
      <c r="D441" s="464" t="s">
        <v>2421</v>
      </c>
      <c r="E441" s="465" t="str">
        <f>VLOOKUP(C441,'[10]Project Detail Query'!$A$1:$R$2830,6,FALSE)</f>
        <v>F0599</v>
      </c>
      <c r="F441" s="464" t="str">
        <f>VLOOKUP(C441,'[10]Project Detail Query'!$A$1:$R$2830,7,FALSE)</f>
        <v>Main Replacement - ISRS (N)</v>
      </c>
      <c r="G441" s="465" t="s">
        <v>20</v>
      </c>
      <c r="H441" s="465">
        <v>201701</v>
      </c>
      <c r="I441" s="467">
        <v>71.39</v>
      </c>
      <c r="J441" s="464">
        <v>0</v>
      </c>
      <c r="K441" s="472">
        <v>1.4833299999999999E-3</v>
      </c>
      <c r="L441" s="469">
        <f t="shared" si="12"/>
        <v>0</v>
      </c>
      <c r="M441" s="469">
        <f t="shared" si="13"/>
        <v>1.27</v>
      </c>
      <c r="N441" s="470"/>
    </row>
    <row r="442" spans="1:14">
      <c r="A442" s="464" t="s">
        <v>626</v>
      </c>
      <c r="B442" s="465" t="s">
        <v>1681</v>
      </c>
      <c r="C442" s="466" t="s">
        <v>2285</v>
      </c>
      <c r="D442" s="464" t="s">
        <v>2286</v>
      </c>
      <c r="E442" s="465" t="str">
        <f>VLOOKUP(C442,'[10]Project Detail Query'!$A$1:$R$2830,6,FALSE)</f>
        <v>F0572</v>
      </c>
      <c r="F442" s="464" t="str">
        <f>VLOOKUP(C442,'[10]Project Detail Query'!$A$1:$R$2830,7,FALSE)</f>
        <v>Main Replacement - ISRS (SW)</v>
      </c>
      <c r="G442" s="465" t="s">
        <v>20</v>
      </c>
      <c r="H442" s="465">
        <v>201701</v>
      </c>
      <c r="I442" s="467">
        <v>-1077.1500000000001</v>
      </c>
      <c r="J442" s="464">
        <v>0</v>
      </c>
      <c r="K442" s="472">
        <v>1.4833299999999999E-3</v>
      </c>
      <c r="L442" s="469">
        <f t="shared" si="12"/>
        <v>0</v>
      </c>
      <c r="M442" s="469">
        <f t="shared" si="13"/>
        <v>-19.170000000000002</v>
      </c>
      <c r="N442" s="470"/>
    </row>
    <row r="443" spans="1:14">
      <c r="A443" s="464" t="s">
        <v>14</v>
      </c>
      <c r="B443" s="465" t="s">
        <v>1681</v>
      </c>
      <c r="C443" s="466" t="s">
        <v>2285</v>
      </c>
      <c r="D443" s="464" t="s">
        <v>2286</v>
      </c>
      <c r="E443" s="465" t="str">
        <f>VLOOKUP(C443,'[10]Project Detail Query'!$A$1:$R$2830,6,FALSE)</f>
        <v>F0572</v>
      </c>
      <c r="F443" s="464" t="str">
        <f>VLOOKUP(C443,'[10]Project Detail Query'!$A$1:$R$2830,7,FALSE)</f>
        <v>Main Replacement - ISRS (SW)</v>
      </c>
      <c r="G443" s="465" t="s">
        <v>20</v>
      </c>
      <c r="H443" s="465">
        <v>201701</v>
      </c>
      <c r="I443" s="467">
        <v>-18.04</v>
      </c>
      <c r="J443" s="464">
        <v>0</v>
      </c>
      <c r="K443" s="468">
        <v>2.23333E-3</v>
      </c>
      <c r="L443" s="469">
        <f t="shared" si="12"/>
        <v>0</v>
      </c>
      <c r="M443" s="469">
        <f t="shared" si="13"/>
        <v>-0.48</v>
      </c>
      <c r="N443" s="470"/>
    </row>
    <row r="444" spans="1:14">
      <c r="A444" s="464" t="s">
        <v>626</v>
      </c>
      <c r="B444" s="465" t="s">
        <v>1681</v>
      </c>
      <c r="C444" s="466" t="s">
        <v>2289</v>
      </c>
      <c r="D444" s="464" t="s">
        <v>2290</v>
      </c>
      <c r="E444" s="465" t="str">
        <f>VLOOKUP(C444,'[10]Project Detail Query'!$A$1:$R$2830,6,FALSE)</f>
        <v>F0664</v>
      </c>
      <c r="F444" s="464" t="str">
        <f>VLOOKUP(C444,'[10]Project Detail Query'!$A$1:$R$2830,7,FALSE)</f>
        <v>Street &amp; Hwy Relocates ISRS (SW)</v>
      </c>
      <c r="G444" s="465" t="s">
        <v>20</v>
      </c>
      <c r="H444" s="465">
        <v>201701</v>
      </c>
      <c r="I444" s="467">
        <v>17.98</v>
      </c>
      <c r="J444" s="464">
        <v>0</v>
      </c>
      <c r="K444" s="472">
        <v>1.4833299999999999E-3</v>
      </c>
      <c r="L444" s="469">
        <f t="shared" si="12"/>
        <v>0</v>
      </c>
      <c r="M444" s="469">
        <f t="shared" si="13"/>
        <v>0.32</v>
      </c>
      <c r="N444" s="470"/>
    </row>
    <row r="445" spans="1:14">
      <c r="A445" s="464" t="s">
        <v>626</v>
      </c>
      <c r="B445" s="465" t="s">
        <v>1681</v>
      </c>
      <c r="C445" s="466" t="s">
        <v>2440</v>
      </c>
      <c r="D445" s="464" t="s">
        <v>2441</v>
      </c>
      <c r="E445" s="465" t="str">
        <f>VLOOKUP(C445,'[10]Project Detail Query'!$A$1:$R$2830,6,FALSE)</f>
        <v>F0604</v>
      </c>
      <c r="F445" s="464" t="str">
        <f>VLOOKUP(C445,'[10]Project Detail Query'!$A$1:$R$2830,7,FALSE)</f>
        <v>Main Replacement - ISRS (S)</v>
      </c>
      <c r="G445" s="465" t="s">
        <v>20</v>
      </c>
      <c r="H445" s="465">
        <v>201701</v>
      </c>
      <c r="I445" s="467">
        <v>5089.6099999999997</v>
      </c>
      <c r="J445" s="464">
        <v>0</v>
      </c>
      <c r="K445" s="472">
        <v>1.4833299999999999E-3</v>
      </c>
      <c r="L445" s="469">
        <f t="shared" si="12"/>
        <v>0</v>
      </c>
      <c r="M445" s="469">
        <f t="shared" si="13"/>
        <v>90.59</v>
      </c>
      <c r="N445" s="470"/>
    </row>
    <row r="446" spans="1:14">
      <c r="A446" s="464" t="s">
        <v>14</v>
      </c>
      <c r="B446" s="465" t="s">
        <v>1681</v>
      </c>
      <c r="C446" s="466" t="s">
        <v>2440</v>
      </c>
      <c r="D446" s="464" t="s">
        <v>2441</v>
      </c>
      <c r="E446" s="465" t="str">
        <f>VLOOKUP(C446,'[10]Project Detail Query'!$A$1:$R$2830,6,FALSE)</f>
        <v>F0604</v>
      </c>
      <c r="F446" s="464" t="str">
        <f>VLOOKUP(C446,'[10]Project Detail Query'!$A$1:$R$2830,7,FALSE)</f>
        <v>Main Replacement - ISRS (S)</v>
      </c>
      <c r="G446" s="465" t="s">
        <v>20</v>
      </c>
      <c r="H446" s="465">
        <v>201701</v>
      </c>
      <c r="I446" s="467">
        <v>3369.75</v>
      </c>
      <c r="J446" s="464">
        <v>0</v>
      </c>
      <c r="K446" s="468">
        <v>2.23333E-3</v>
      </c>
      <c r="L446" s="469">
        <f t="shared" si="12"/>
        <v>0</v>
      </c>
      <c r="M446" s="469">
        <f t="shared" si="13"/>
        <v>90.31</v>
      </c>
      <c r="N446" s="470"/>
    </row>
    <row r="447" spans="1:14">
      <c r="A447" s="464" t="s">
        <v>626</v>
      </c>
      <c r="B447" s="465" t="s">
        <v>1681</v>
      </c>
      <c r="C447" s="466" t="s">
        <v>2627</v>
      </c>
      <c r="D447" s="464" t="s">
        <v>2628</v>
      </c>
      <c r="E447" s="465" t="str">
        <f>VLOOKUP(C447,'[10]Project Detail Query'!$A$1:$R$2830,6,FALSE)</f>
        <v>F0599</v>
      </c>
      <c r="F447" s="464" t="str">
        <f>VLOOKUP(C447,'[10]Project Detail Query'!$A$1:$R$2830,7,FALSE)</f>
        <v>Main Replacement - ISRS (N)</v>
      </c>
      <c r="G447" s="465" t="s">
        <v>20</v>
      </c>
      <c r="H447" s="465">
        <v>201701</v>
      </c>
      <c r="I447" s="467">
        <v>12024.92</v>
      </c>
      <c r="J447" s="464">
        <v>0</v>
      </c>
      <c r="K447" s="472">
        <v>1.4833299999999999E-3</v>
      </c>
      <c r="L447" s="469">
        <f t="shared" si="12"/>
        <v>0</v>
      </c>
      <c r="M447" s="469">
        <f t="shared" si="13"/>
        <v>214.04</v>
      </c>
      <c r="N447" s="470"/>
    </row>
    <row r="448" spans="1:14">
      <c r="A448" s="464" t="s">
        <v>626</v>
      </c>
      <c r="B448" s="465" t="s">
        <v>1681</v>
      </c>
      <c r="C448" s="466" t="s">
        <v>2422</v>
      </c>
      <c r="D448" s="464" t="s">
        <v>2423</v>
      </c>
      <c r="E448" s="465" t="str">
        <f>VLOOKUP(C448,'[10]Project Detail Query'!$A$1:$R$2830,6,FALSE)</f>
        <v>F0599</v>
      </c>
      <c r="F448" s="464" t="str">
        <f>VLOOKUP(C448,'[10]Project Detail Query'!$A$1:$R$2830,7,FALSE)</f>
        <v>Main Replacement - ISRS (N)</v>
      </c>
      <c r="G448" s="465" t="s">
        <v>20</v>
      </c>
      <c r="H448" s="465">
        <v>201701</v>
      </c>
      <c r="I448" s="467">
        <v>11.79</v>
      </c>
      <c r="J448" s="464">
        <v>0</v>
      </c>
      <c r="K448" s="472">
        <v>1.4833299999999999E-3</v>
      </c>
      <c r="L448" s="469">
        <f t="shared" si="12"/>
        <v>0</v>
      </c>
      <c r="M448" s="469">
        <f t="shared" si="13"/>
        <v>0.21</v>
      </c>
      <c r="N448" s="470"/>
    </row>
    <row r="449" spans="1:14">
      <c r="A449" s="464" t="s">
        <v>626</v>
      </c>
      <c r="B449" s="465" t="s">
        <v>1681</v>
      </c>
      <c r="C449" s="466" t="s">
        <v>2629</v>
      </c>
      <c r="D449" s="464" t="s">
        <v>2630</v>
      </c>
      <c r="E449" s="465" t="str">
        <f>VLOOKUP(C449,'[10]Project Detail Query'!$A$1:$R$2830,6,FALSE)</f>
        <v>F0578</v>
      </c>
      <c r="F449" s="464" t="str">
        <f>VLOOKUP(C449,'[10]Project Detail Query'!$A$1:$R$2830,7,FALSE)</f>
        <v>Street &amp; Highway Relocates ISRS (S)</v>
      </c>
      <c r="G449" s="465" t="s">
        <v>20</v>
      </c>
      <c r="H449" s="465">
        <v>201701</v>
      </c>
      <c r="I449" s="467">
        <v>193296.78</v>
      </c>
      <c r="J449" s="464">
        <v>0</v>
      </c>
      <c r="K449" s="472">
        <v>1.4833299999999999E-3</v>
      </c>
      <c r="L449" s="469">
        <f t="shared" ref="L449:L466" si="14">ROUND(I449*J449*K449,2)</f>
        <v>0</v>
      </c>
      <c r="M449" s="469">
        <f t="shared" ref="M449:M466" si="15">ROUND(I449*K449*12,2)</f>
        <v>3440.67</v>
      </c>
      <c r="N449" s="470"/>
    </row>
    <row r="450" spans="1:14">
      <c r="A450" s="464" t="s">
        <v>14</v>
      </c>
      <c r="B450" s="465" t="s">
        <v>1681</v>
      </c>
      <c r="C450" s="466" t="s">
        <v>2629</v>
      </c>
      <c r="D450" s="464" t="s">
        <v>2630</v>
      </c>
      <c r="E450" s="465" t="str">
        <f>VLOOKUP(C450,'[10]Project Detail Query'!$A$1:$R$2830,6,FALSE)</f>
        <v>F0578</v>
      </c>
      <c r="F450" s="464" t="str">
        <f>VLOOKUP(C450,'[10]Project Detail Query'!$A$1:$R$2830,7,FALSE)</f>
        <v>Street &amp; Highway Relocates ISRS (S)</v>
      </c>
      <c r="G450" s="465" t="s">
        <v>20</v>
      </c>
      <c r="H450" s="465">
        <v>201701</v>
      </c>
      <c r="I450" s="467">
        <v>38180.239999999998</v>
      </c>
      <c r="J450" s="464">
        <v>0</v>
      </c>
      <c r="K450" s="468">
        <v>2.23333E-3</v>
      </c>
      <c r="L450" s="469">
        <f t="shared" si="14"/>
        <v>0</v>
      </c>
      <c r="M450" s="469">
        <f t="shared" si="15"/>
        <v>1023.23</v>
      </c>
      <c r="N450" s="470"/>
    </row>
    <row r="451" spans="1:14">
      <c r="A451" s="464" t="s">
        <v>626</v>
      </c>
      <c r="B451" s="465" t="s">
        <v>1681</v>
      </c>
      <c r="C451" s="466" t="s">
        <v>2424</v>
      </c>
      <c r="D451" s="464" t="s">
        <v>2425</v>
      </c>
      <c r="E451" s="465" t="str">
        <f>VLOOKUP(C451,'[10]Project Detail Query'!$A$1:$R$2830,6,FALSE)</f>
        <v>F0664</v>
      </c>
      <c r="F451" s="464" t="str">
        <f>VLOOKUP(C451,'[10]Project Detail Query'!$A$1:$R$2830,7,FALSE)</f>
        <v>Street &amp; Hwy Relocates ISRS (SW)</v>
      </c>
      <c r="G451" s="465" t="s">
        <v>20</v>
      </c>
      <c r="H451" s="465">
        <v>201701</v>
      </c>
      <c r="I451" s="467">
        <v>40.79</v>
      </c>
      <c r="J451" s="464">
        <v>0</v>
      </c>
      <c r="K451" s="472">
        <v>1.4833299999999999E-3</v>
      </c>
      <c r="L451" s="469">
        <f t="shared" si="14"/>
        <v>0</v>
      </c>
      <c r="M451" s="469">
        <f t="shared" si="15"/>
        <v>0.73</v>
      </c>
      <c r="N451" s="470"/>
    </row>
    <row r="452" spans="1:14">
      <c r="A452" s="464" t="s">
        <v>626</v>
      </c>
      <c r="B452" s="465" t="s">
        <v>1681</v>
      </c>
      <c r="C452" s="466" t="s">
        <v>2631</v>
      </c>
      <c r="D452" s="464" t="s">
        <v>2632</v>
      </c>
      <c r="E452" s="465" t="str">
        <f>VLOOKUP(C452,'[10]Project Detail Query'!$A$1:$R$2830,6,FALSE)</f>
        <v>F0572</v>
      </c>
      <c r="F452" s="464" t="str">
        <f>VLOOKUP(C452,'[10]Project Detail Query'!$A$1:$R$2830,7,FALSE)</f>
        <v>Main Replacement - ISRS (SW)</v>
      </c>
      <c r="G452" s="465" t="s">
        <v>20</v>
      </c>
      <c r="H452" s="465">
        <v>201701</v>
      </c>
      <c r="I452" s="467">
        <v>112153.2</v>
      </c>
      <c r="J452" s="464">
        <v>0</v>
      </c>
      <c r="K452" s="472">
        <v>1.4833299999999999E-3</v>
      </c>
      <c r="L452" s="469">
        <f t="shared" si="14"/>
        <v>0</v>
      </c>
      <c r="M452" s="469">
        <f t="shared" si="15"/>
        <v>1996.32</v>
      </c>
      <c r="N452" s="470"/>
    </row>
    <row r="453" spans="1:14">
      <c r="A453" s="464" t="s">
        <v>626</v>
      </c>
      <c r="B453" s="465" t="s">
        <v>1681</v>
      </c>
      <c r="C453" s="466" t="s">
        <v>2442</v>
      </c>
      <c r="D453" s="464" t="s">
        <v>2443</v>
      </c>
      <c r="E453" s="465" t="str">
        <f>VLOOKUP(C453,'[10]Project Detail Query'!$A$1:$R$2830,6,FALSE)</f>
        <v>F0572</v>
      </c>
      <c r="F453" s="464" t="str">
        <f>VLOOKUP(C453,'[10]Project Detail Query'!$A$1:$R$2830,7,FALSE)</f>
        <v>Main Replacement - ISRS (SW)</v>
      </c>
      <c r="G453" s="465" t="s">
        <v>20</v>
      </c>
      <c r="H453" s="465">
        <v>201701</v>
      </c>
      <c r="I453" s="467">
        <v>18683.849999999999</v>
      </c>
      <c r="J453" s="464">
        <v>0</v>
      </c>
      <c r="K453" s="472">
        <v>1.4833299999999999E-3</v>
      </c>
      <c r="L453" s="469">
        <f t="shared" si="14"/>
        <v>0</v>
      </c>
      <c r="M453" s="469">
        <f t="shared" si="15"/>
        <v>332.57</v>
      </c>
      <c r="N453" s="470"/>
    </row>
    <row r="454" spans="1:14">
      <c r="A454" s="464" t="s">
        <v>14</v>
      </c>
      <c r="B454" s="465" t="s">
        <v>1681</v>
      </c>
      <c r="C454" s="466" t="s">
        <v>2442</v>
      </c>
      <c r="D454" s="464" t="s">
        <v>2443</v>
      </c>
      <c r="E454" s="465" t="str">
        <f>VLOOKUP(C454,'[10]Project Detail Query'!$A$1:$R$2830,6,FALSE)</f>
        <v>F0572</v>
      </c>
      <c r="F454" s="464" t="str">
        <f>VLOOKUP(C454,'[10]Project Detail Query'!$A$1:$R$2830,7,FALSE)</f>
        <v>Main Replacement - ISRS (SW)</v>
      </c>
      <c r="G454" s="465" t="s">
        <v>20</v>
      </c>
      <c r="H454" s="465">
        <v>201701</v>
      </c>
      <c r="I454" s="467">
        <v>1124.1199999999999</v>
      </c>
      <c r="J454" s="464">
        <v>0</v>
      </c>
      <c r="K454" s="468">
        <v>2.23333E-3</v>
      </c>
      <c r="L454" s="469">
        <f t="shared" si="14"/>
        <v>0</v>
      </c>
      <c r="M454" s="469">
        <f t="shared" si="15"/>
        <v>30.13</v>
      </c>
      <c r="N454" s="470"/>
    </row>
    <row r="455" spans="1:14">
      <c r="A455" s="464" t="s">
        <v>626</v>
      </c>
      <c r="B455" s="465" t="s">
        <v>1681</v>
      </c>
      <c r="C455" s="466" t="s">
        <v>2444</v>
      </c>
      <c r="D455" s="464" t="s">
        <v>2445</v>
      </c>
      <c r="E455" s="465" t="str">
        <f>VLOOKUP(C455,'[10]Project Detail Query'!$A$1:$R$2830,6,FALSE)</f>
        <v>F0604</v>
      </c>
      <c r="F455" s="464" t="str">
        <f>VLOOKUP(C455,'[10]Project Detail Query'!$A$1:$R$2830,7,FALSE)</f>
        <v>Main Replacement - ISRS (S)</v>
      </c>
      <c r="G455" s="465" t="s">
        <v>20</v>
      </c>
      <c r="H455" s="465">
        <v>201701</v>
      </c>
      <c r="I455" s="467">
        <v>19593.61</v>
      </c>
      <c r="J455" s="464">
        <v>0</v>
      </c>
      <c r="K455" s="472">
        <v>1.4833299999999999E-3</v>
      </c>
      <c r="L455" s="469">
        <f t="shared" si="14"/>
        <v>0</v>
      </c>
      <c r="M455" s="469">
        <f t="shared" si="15"/>
        <v>348.77</v>
      </c>
      <c r="N455" s="470"/>
    </row>
    <row r="456" spans="1:14">
      <c r="A456" s="464" t="s">
        <v>14</v>
      </c>
      <c r="B456" s="465" t="s">
        <v>1681</v>
      </c>
      <c r="C456" s="466" t="s">
        <v>2444</v>
      </c>
      <c r="D456" s="464" t="s">
        <v>2445</v>
      </c>
      <c r="E456" s="465" t="str">
        <f>VLOOKUP(C456,'[10]Project Detail Query'!$A$1:$R$2830,6,FALSE)</f>
        <v>F0604</v>
      </c>
      <c r="F456" s="464" t="str">
        <f>VLOOKUP(C456,'[10]Project Detail Query'!$A$1:$R$2830,7,FALSE)</f>
        <v>Main Replacement - ISRS (S)</v>
      </c>
      <c r="G456" s="465" t="s">
        <v>20</v>
      </c>
      <c r="H456" s="465">
        <v>201701</v>
      </c>
      <c r="I456" s="467">
        <v>10820.64</v>
      </c>
      <c r="J456" s="464">
        <v>0</v>
      </c>
      <c r="K456" s="468">
        <v>2.23333E-3</v>
      </c>
      <c r="L456" s="469">
        <f t="shared" si="14"/>
        <v>0</v>
      </c>
      <c r="M456" s="469">
        <f t="shared" si="15"/>
        <v>289.99</v>
      </c>
      <c r="N456" s="470"/>
    </row>
    <row r="457" spans="1:14">
      <c r="A457" s="464" t="s">
        <v>626</v>
      </c>
      <c r="B457" s="465" t="s">
        <v>1681</v>
      </c>
      <c r="C457" s="466" t="s">
        <v>2446</v>
      </c>
      <c r="D457" s="464" t="s">
        <v>2447</v>
      </c>
      <c r="E457" s="465" t="str">
        <f>VLOOKUP(C457,'[10]Project Detail Query'!$A$1:$R$2830,6,FALSE)</f>
        <v>F0599</v>
      </c>
      <c r="F457" s="464" t="str">
        <f>VLOOKUP(C457,'[10]Project Detail Query'!$A$1:$R$2830,7,FALSE)</f>
        <v>Main Replacement - ISRS (N)</v>
      </c>
      <c r="G457" s="465" t="s">
        <v>20</v>
      </c>
      <c r="H457" s="465">
        <v>201701</v>
      </c>
      <c r="I457" s="467">
        <v>270.52</v>
      </c>
      <c r="J457" s="464">
        <v>0</v>
      </c>
      <c r="K457" s="472">
        <v>1.4833299999999999E-3</v>
      </c>
      <c r="L457" s="469">
        <f t="shared" si="14"/>
        <v>0</v>
      </c>
      <c r="M457" s="469">
        <f t="shared" si="15"/>
        <v>4.82</v>
      </c>
      <c r="N457" s="470"/>
    </row>
    <row r="458" spans="1:14">
      <c r="A458" s="464" t="s">
        <v>626</v>
      </c>
      <c r="B458" s="465" t="s">
        <v>1681</v>
      </c>
      <c r="C458" s="466" t="s">
        <v>2448</v>
      </c>
      <c r="D458" s="464" t="s">
        <v>2449</v>
      </c>
      <c r="E458" s="465" t="str">
        <f>VLOOKUP(C458,'[10]Project Detail Query'!$A$1:$R$2830,6,FALSE)</f>
        <v>F0572</v>
      </c>
      <c r="F458" s="464" t="str">
        <f>VLOOKUP(C458,'[10]Project Detail Query'!$A$1:$R$2830,7,FALSE)</f>
        <v>Main Replacement - ISRS (SW)</v>
      </c>
      <c r="G458" s="465" t="s">
        <v>20</v>
      </c>
      <c r="H458" s="465">
        <v>201701</v>
      </c>
      <c r="I458" s="467">
        <v>4342.34</v>
      </c>
      <c r="J458" s="464">
        <v>0</v>
      </c>
      <c r="K458" s="472">
        <v>1.4833299999999999E-3</v>
      </c>
      <c r="L458" s="469">
        <f t="shared" si="14"/>
        <v>0</v>
      </c>
      <c r="M458" s="469">
        <f t="shared" si="15"/>
        <v>77.290000000000006</v>
      </c>
      <c r="N458" s="470"/>
    </row>
    <row r="459" spans="1:14">
      <c r="A459" s="464" t="s">
        <v>14</v>
      </c>
      <c r="B459" s="465" t="s">
        <v>1681</v>
      </c>
      <c r="C459" s="466" t="s">
        <v>2448</v>
      </c>
      <c r="D459" s="464" t="s">
        <v>2449</v>
      </c>
      <c r="E459" s="465" t="str">
        <f>VLOOKUP(C459,'[10]Project Detail Query'!$A$1:$R$2830,6,FALSE)</f>
        <v>F0572</v>
      </c>
      <c r="F459" s="464" t="str">
        <f>VLOOKUP(C459,'[10]Project Detail Query'!$A$1:$R$2830,7,FALSE)</f>
        <v>Main Replacement - ISRS (SW)</v>
      </c>
      <c r="G459" s="465" t="s">
        <v>20</v>
      </c>
      <c r="H459" s="465">
        <v>201701</v>
      </c>
      <c r="I459" s="467">
        <v>60.42</v>
      </c>
      <c r="J459" s="464">
        <v>0</v>
      </c>
      <c r="K459" s="468">
        <v>2.23333E-3</v>
      </c>
      <c r="L459" s="469">
        <f t="shared" si="14"/>
        <v>0</v>
      </c>
      <c r="M459" s="469">
        <f t="shared" si="15"/>
        <v>1.62</v>
      </c>
      <c r="N459" s="470"/>
    </row>
    <row r="460" spans="1:14">
      <c r="A460" s="464" t="s">
        <v>626</v>
      </c>
      <c r="B460" s="465" t="s">
        <v>1681</v>
      </c>
      <c r="C460" s="466" t="s">
        <v>2633</v>
      </c>
      <c r="D460" s="464" t="s">
        <v>2634</v>
      </c>
      <c r="E460" s="465" t="str">
        <f>VLOOKUP(C460,'[10]Project Detail Query'!$A$1:$R$2830,6,FALSE)</f>
        <v>F0572</v>
      </c>
      <c r="F460" s="464" t="str">
        <f>VLOOKUP(C460,'[10]Project Detail Query'!$A$1:$R$2830,7,FALSE)</f>
        <v>Main Replacement - ISRS (SW)</v>
      </c>
      <c r="G460" s="465" t="s">
        <v>20</v>
      </c>
      <c r="H460" s="465">
        <v>201701</v>
      </c>
      <c r="I460" s="467">
        <v>69653.63</v>
      </c>
      <c r="J460" s="464">
        <v>0</v>
      </c>
      <c r="K460" s="472">
        <v>1.4833299999999999E-3</v>
      </c>
      <c r="L460" s="469">
        <f t="shared" si="14"/>
        <v>0</v>
      </c>
      <c r="M460" s="469">
        <f t="shared" si="15"/>
        <v>1239.83</v>
      </c>
      <c r="N460" s="470"/>
    </row>
    <row r="461" spans="1:14">
      <c r="A461" s="464" t="s">
        <v>626</v>
      </c>
      <c r="B461" s="465" t="s">
        <v>1681</v>
      </c>
      <c r="C461" s="466" t="s">
        <v>2635</v>
      </c>
      <c r="D461" s="464" t="s">
        <v>2636</v>
      </c>
      <c r="E461" s="465" t="str">
        <f>VLOOKUP(C461,'[10]Project Detail Query'!$A$1:$R$2830,6,FALSE)</f>
        <v>F0572</v>
      </c>
      <c r="F461" s="464" t="str">
        <f>VLOOKUP(C461,'[10]Project Detail Query'!$A$1:$R$2830,7,FALSE)</f>
        <v>Main Replacement - ISRS (SW)</v>
      </c>
      <c r="G461" s="465" t="s">
        <v>20</v>
      </c>
      <c r="H461" s="465">
        <v>201701</v>
      </c>
      <c r="I461" s="467">
        <v>83586.63</v>
      </c>
      <c r="J461" s="464">
        <v>0</v>
      </c>
      <c r="K461" s="472">
        <v>1.4833299999999999E-3</v>
      </c>
      <c r="L461" s="469">
        <f t="shared" si="14"/>
        <v>0</v>
      </c>
      <c r="M461" s="469">
        <f t="shared" si="15"/>
        <v>1487.84</v>
      </c>
      <c r="N461" s="470"/>
    </row>
    <row r="462" spans="1:14">
      <c r="A462" s="464" t="s">
        <v>21</v>
      </c>
      <c r="B462" s="465" t="s">
        <v>1681</v>
      </c>
      <c r="C462" s="466" t="s">
        <v>2637</v>
      </c>
      <c r="D462" s="464" t="s">
        <v>2638</v>
      </c>
      <c r="E462" s="465" t="str">
        <f>VLOOKUP(C462,'[10]Project Detail Query'!$A$1:$R$2830,6,FALSE)</f>
        <v>F0572</v>
      </c>
      <c r="F462" s="464" t="str">
        <f>VLOOKUP(C462,'[10]Project Detail Query'!$A$1:$R$2830,7,FALSE)</f>
        <v>Main Replacement - ISRS (SW)</v>
      </c>
      <c r="G462" s="465" t="s">
        <v>20</v>
      </c>
      <c r="H462" s="465">
        <v>201701</v>
      </c>
      <c r="I462" s="467">
        <v>892.71</v>
      </c>
      <c r="J462" s="464">
        <v>0</v>
      </c>
      <c r="K462" s="472">
        <v>1.4833299999999999E-3</v>
      </c>
      <c r="L462" s="469">
        <f t="shared" si="14"/>
        <v>0</v>
      </c>
      <c r="M462" s="469">
        <f t="shared" si="15"/>
        <v>15.89</v>
      </c>
      <c r="N462" s="470"/>
    </row>
    <row r="463" spans="1:14">
      <c r="A463" s="464" t="s">
        <v>626</v>
      </c>
      <c r="B463" s="465" t="s">
        <v>1681</v>
      </c>
      <c r="C463" s="466" t="s">
        <v>2637</v>
      </c>
      <c r="D463" s="464" t="s">
        <v>2638</v>
      </c>
      <c r="E463" s="465" t="str">
        <f>VLOOKUP(C463,'[10]Project Detail Query'!$A$1:$R$2830,6,FALSE)</f>
        <v>F0572</v>
      </c>
      <c r="F463" s="464" t="str">
        <f>VLOOKUP(C463,'[10]Project Detail Query'!$A$1:$R$2830,7,FALSE)</f>
        <v>Main Replacement - ISRS (SW)</v>
      </c>
      <c r="G463" s="465" t="s">
        <v>20</v>
      </c>
      <c r="H463" s="465">
        <v>201701</v>
      </c>
      <c r="I463" s="467">
        <v>105840.43</v>
      </c>
      <c r="J463" s="464">
        <v>0</v>
      </c>
      <c r="K463" s="472">
        <v>1.4833299999999999E-3</v>
      </c>
      <c r="L463" s="469">
        <f t="shared" si="14"/>
        <v>0</v>
      </c>
      <c r="M463" s="469">
        <f t="shared" si="15"/>
        <v>1883.96</v>
      </c>
      <c r="N463" s="470"/>
    </row>
    <row r="464" spans="1:14">
      <c r="A464" s="464" t="s">
        <v>14</v>
      </c>
      <c r="B464" s="465" t="s">
        <v>1681</v>
      </c>
      <c r="C464" s="466" t="s">
        <v>2637</v>
      </c>
      <c r="D464" s="464" t="s">
        <v>2638</v>
      </c>
      <c r="E464" s="465" t="str">
        <f>VLOOKUP(C464,'[10]Project Detail Query'!$A$1:$R$2830,6,FALSE)</f>
        <v>F0572</v>
      </c>
      <c r="F464" s="464" t="str">
        <f>VLOOKUP(C464,'[10]Project Detail Query'!$A$1:$R$2830,7,FALSE)</f>
        <v>Main Replacement - ISRS (SW)</v>
      </c>
      <c r="G464" s="465" t="s">
        <v>20</v>
      </c>
      <c r="H464" s="465">
        <v>201701</v>
      </c>
      <c r="I464" s="467">
        <v>16541.11</v>
      </c>
      <c r="J464" s="464">
        <v>0</v>
      </c>
      <c r="K464" s="468">
        <v>2.23333E-3</v>
      </c>
      <c r="L464" s="469">
        <f t="shared" si="14"/>
        <v>0</v>
      </c>
      <c r="M464" s="469">
        <f t="shared" si="15"/>
        <v>443.3</v>
      </c>
      <c r="N464" s="470"/>
    </row>
    <row r="465" spans="1:14">
      <c r="A465" s="464" t="s">
        <v>626</v>
      </c>
      <c r="B465" s="465" t="s">
        <v>1681</v>
      </c>
      <c r="C465" s="466" t="s">
        <v>2639</v>
      </c>
      <c r="D465" s="464" t="s">
        <v>2640</v>
      </c>
      <c r="E465" s="465" t="str">
        <f>VLOOKUP(C465,'[10]Project Detail Query'!$A$1:$R$2830,6,FALSE)</f>
        <v>F0599</v>
      </c>
      <c r="F465" s="464" t="str">
        <f>VLOOKUP(C465,'[10]Project Detail Query'!$A$1:$R$2830,7,FALSE)</f>
        <v>Main Replacement - ISRS (N)</v>
      </c>
      <c r="G465" s="465" t="s">
        <v>20</v>
      </c>
      <c r="H465" s="465">
        <v>201701</v>
      </c>
      <c r="I465" s="467">
        <v>24537.77</v>
      </c>
      <c r="J465" s="464">
        <v>0</v>
      </c>
      <c r="K465" s="472">
        <v>1.4833299999999999E-3</v>
      </c>
      <c r="L465" s="469">
        <f t="shared" si="14"/>
        <v>0</v>
      </c>
      <c r="M465" s="469">
        <f t="shared" si="15"/>
        <v>436.77</v>
      </c>
      <c r="N465" s="470"/>
    </row>
    <row r="466" spans="1:14">
      <c r="A466" s="464" t="s">
        <v>626</v>
      </c>
      <c r="B466" s="465" t="s">
        <v>1681</v>
      </c>
      <c r="C466" s="466" t="s">
        <v>2450</v>
      </c>
      <c r="D466" s="464" t="s">
        <v>2451</v>
      </c>
      <c r="E466" s="465" t="str">
        <f>VLOOKUP(C466,'[10]Project Detail Query'!$A$1:$R$2830,6,FALSE)</f>
        <v>F0578</v>
      </c>
      <c r="F466" s="464" t="str">
        <f>VLOOKUP(C466,'[10]Project Detail Query'!$A$1:$R$2830,7,FALSE)</f>
        <v>Street &amp; Highway Relocates ISRS (S)</v>
      </c>
      <c r="G466" s="465" t="s">
        <v>20</v>
      </c>
      <c r="H466" s="465">
        <v>201701</v>
      </c>
      <c r="I466" s="467">
        <v>2349.27</v>
      </c>
      <c r="J466" s="464">
        <v>0</v>
      </c>
      <c r="K466" s="472">
        <v>1.4833299999999999E-3</v>
      </c>
      <c r="L466" s="469">
        <f t="shared" si="14"/>
        <v>0</v>
      </c>
      <c r="M466" s="469">
        <f t="shared" si="15"/>
        <v>41.82</v>
      </c>
      <c r="N466" s="470"/>
    </row>
    <row r="467" spans="1:14">
      <c r="I467" s="473"/>
    </row>
    <row r="468" spans="1:14" ht="13.5" thickBot="1">
      <c r="H468" s="207" t="s">
        <v>2291</v>
      </c>
      <c r="I468" s="474">
        <f>SUM(I5:I467)</f>
        <v>6405397.1799999941</v>
      </c>
    </row>
    <row r="469" spans="1:14" ht="15.75" thickTop="1">
      <c r="I469" s="473"/>
    </row>
    <row r="470" spans="1:14">
      <c r="D470" s="102" t="s">
        <v>2453</v>
      </c>
      <c r="E470" s="103"/>
      <c r="F470" s="102"/>
      <c r="G470" s="103"/>
      <c r="H470" s="103">
        <v>201702</v>
      </c>
      <c r="I470" s="104">
        <v>774474.25000000012</v>
      </c>
    </row>
    <row r="471" spans="1:14">
      <c r="D471" s="102" t="s">
        <v>2454</v>
      </c>
      <c r="E471" s="103"/>
      <c r="F471" s="102"/>
      <c r="G471" s="103"/>
      <c r="H471" s="103">
        <v>201702</v>
      </c>
      <c r="I471" s="104">
        <v>15057552.939999999</v>
      </c>
    </row>
    <row r="473" spans="1:14">
      <c r="F473" s="203">
        <f>1324101.58+1697571.85</f>
        <v>3021673.43</v>
      </c>
      <c r="I473" s="165">
        <f>+I468+I470+I471</f>
        <v>22237424.369999994</v>
      </c>
    </row>
    <row r="475" spans="1:14">
      <c r="I475" s="165">
        <f>+I473-'ISRS Addns Nov-Jan 2017 Sorted'!I501</f>
        <v>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7"/>
  <sheetViews>
    <sheetView topLeftCell="E1" zoomScale="85" zoomScaleNormal="85" workbookViewId="0">
      <pane ySplit="4" topLeftCell="A151" activePane="bottomLeft" state="frozen"/>
      <selection pane="bottomLeft" activeCell="A5" sqref="A5:K184"/>
    </sheetView>
  </sheetViews>
  <sheetFormatPr defaultColWidth="9.140625" defaultRowHeight="15"/>
  <cols>
    <col min="1" max="1" width="39.85546875" style="203" bestFit="1" customWidth="1"/>
    <col min="2" max="2" width="16.42578125" style="400" customWidth="1"/>
    <col min="3" max="3" width="13.140625" style="400" customWidth="1"/>
    <col min="4" max="4" width="40.85546875" style="203" customWidth="1"/>
    <col min="5" max="5" width="9.42578125" style="400" customWidth="1"/>
    <col min="6" max="6" width="34.85546875" style="203" customWidth="1"/>
    <col min="7" max="7" width="12.42578125" style="400" customWidth="1"/>
    <col min="8" max="8" width="15.28515625" style="400" bestFit="1" customWidth="1"/>
    <col min="9" max="9" width="14.7109375" style="165" customWidth="1"/>
    <col min="10" max="10" width="10.140625" style="203" customWidth="1"/>
    <col min="11" max="11" width="14.7109375" style="203" customWidth="1"/>
    <col min="12" max="12" width="15.5703125" style="203" customWidth="1"/>
    <col min="13" max="13" width="16" style="203" customWidth="1"/>
    <col min="14" max="14" width="24.5703125" style="203" customWidth="1"/>
    <col min="15" max="16384" width="9.140625" style="203"/>
  </cols>
  <sheetData>
    <row r="1" spans="1:14">
      <c r="A1" s="385" t="s">
        <v>0</v>
      </c>
      <c r="B1" s="386"/>
      <c r="C1" s="386"/>
      <c r="D1" s="389"/>
      <c r="E1" s="386"/>
      <c r="F1" s="389"/>
      <c r="G1" s="386"/>
      <c r="H1" s="386"/>
      <c r="I1" s="136"/>
      <c r="J1" s="389"/>
      <c r="K1" s="389"/>
      <c r="L1" s="389"/>
      <c r="M1" s="389"/>
      <c r="N1" s="389"/>
    </row>
    <row r="2" spans="1:14">
      <c r="A2" s="385" t="s">
        <v>2612</v>
      </c>
      <c r="B2" s="386"/>
      <c r="C2" s="386"/>
      <c r="D2" s="389"/>
      <c r="E2" s="386"/>
      <c r="F2" s="389"/>
      <c r="G2" s="386"/>
      <c r="H2" s="386"/>
      <c r="I2" s="136"/>
      <c r="J2" s="389"/>
      <c r="K2" s="389"/>
      <c r="L2" s="389"/>
      <c r="M2" s="389"/>
      <c r="N2" s="389"/>
    </row>
    <row r="3" spans="1:14">
      <c r="A3" s="389"/>
      <c r="B3" s="386"/>
      <c r="C3" s="386"/>
      <c r="D3" s="389"/>
      <c r="E3" s="386"/>
      <c r="F3" s="389"/>
      <c r="G3" s="386"/>
      <c r="H3" s="386"/>
      <c r="I3" s="136"/>
      <c r="J3" s="389"/>
      <c r="K3" s="389"/>
      <c r="L3" s="389"/>
      <c r="M3" s="389"/>
      <c r="N3" s="389"/>
    </row>
    <row r="4" spans="1:14" s="394" customFormat="1" ht="35.25" customHeight="1">
      <c r="A4" s="393" t="s">
        <v>6</v>
      </c>
      <c r="B4" s="391" t="s">
        <v>7</v>
      </c>
      <c r="C4" s="391" t="s">
        <v>8</v>
      </c>
      <c r="D4" s="393" t="s">
        <v>9</v>
      </c>
      <c r="E4" s="391" t="s">
        <v>10</v>
      </c>
      <c r="F4" s="393" t="s">
        <v>11</v>
      </c>
      <c r="G4" s="462" t="s">
        <v>12</v>
      </c>
      <c r="H4" s="391" t="s">
        <v>1</v>
      </c>
      <c r="I4" s="141" t="s">
        <v>13</v>
      </c>
      <c r="J4" s="463" t="s">
        <v>2020</v>
      </c>
      <c r="K4" s="463" t="s">
        <v>2021</v>
      </c>
      <c r="L4" s="463" t="s">
        <v>2022</v>
      </c>
      <c r="M4" s="463" t="s">
        <v>2023</v>
      </c>
      <c r="N4" s="463" t="s">
        <v>2024</v>
      </c>
    </row>
    <row r="5" spans="1:14">
      <c r="A5" s="464" t="s">
        <v>14</v>
      </c>
      <c r="B5" s="465" t="str">
        <f>VLOOKUP(C5,'[10]Project Detail Query'!$A$1:$R$2830,5,FALSE)</f>
        <v>20401050360</v>
      </c>
      <c r="C5" s="466" t="s">
        <v>31</v>
      </c>
      <c r="D5" s="464" t="s">
        <v>32</v>
      </c>
      <c r="E5" s="465" t="str">
        <f>VLOOKUP(C5,'[10]Project Detail Query'!$A$1:$R$2830,6,FALSE)</f>
        <v>F0558</v>
      </c>
      <c r="F5" s="464" t="str">
        <f>VLOOKUP(C5,'[10]Project Detail Query'!$A$1:$R$2830,7,FALSE)</f>
        <v>SLRP - immediate response - company</v>
      </c>
      <c r="G5" s="465" t="s">
        <v>20</v>
      </c>
      <c r="H5" s="465">
        <v>201701</v>
      </c>
      <c r="I5" s="467">
        <v>4952.22</v>
      </c>
      <c r="J5" s="464">
        <v>0</v>
      </c>
      <c r="K5" s="468">
        <v>2.23333E-3</v>
      </c>
      <c r="L5" s="469">
        <f t="shared" ref="L5:L68" si="0">ROUND(I5*J5*K5,2)</f>
        <v>0</v>
      </c>
      <c r="M5" s="469">
        <f t="shared" ref="M5:M68" si="1">ROUND(I5*K5*12,2)</f>
        <v>132.72</v>
      </c>
      <c r="N5" s="470"/>
    </row>
    <row r="6" spans="1:14">
      <c r="A6" s="464" t="s">
        <v>554</v>
      </c>
      <c r="B6" s="465" t="str">
        <f>VLOOKUP(C6,'[10]Project Detail Query'!$A$1:$R$2830,5,FALSE)</f>
        <v>20401050325</v>
      </c>
      <c r="C6" s="466" t="s">
        <v>117</v>
      </c>
      <c r="D6" s="464" t="s">
        <v>2432</v>
      </c>
      <c r="E6" s="465" t="str">
        <f>VLOOKUP(C6,'[10]Project Detail Query'!$A$1:$R$2830,6,FALSE)</f>
        <v>F0524</v>
      </c>
      <c r="F6" s="464" t="str">
        <f>VLOOKUP(C6,'[10]Project Detail Query'!$A$1:$R$2830,7,FALSE)</f>
        <v>BWO CI Joint Encapsulation ISRS (N)</v>
      </c>
      <c r="G6" s="465" t="s">
        <v>20</v>
      </c>
      <c r="H6" s="465">
        <v>201701</v>
      </c>
      <c r="I6" s="467">
        <v>37348.589999999997</v>
      </c>
      <c r="J6" s="464">
        <v>0</v>
      </c>
      <c r="K6" s="468">
        <v>1.4833299999999999E-3</v>
      </c>
      <c r="L6" s="469">
        <f t="shared" si="0"/>
        <v>0</v>
      </c>
      <c r="M6" s="469">
        <f t="shared" si="1"/>
        <v>664.8</v>
      </c>
      <c r="N6" s="470"/>
    </row>
    <row r="7" spans="1:14">
      <c r="A7" s="464" t="s">
        <v>14</v>
      </c>
      <c r="B7" s="465" t="str">
        <f>VLOOKUP(C7,'[10]Project Detail Query'!$A$1:$R$2830,5,FALSE)</f>
        <v>20401050301</v>
      </c>
      <c r="C7" s="466" t="s">
        <v>196</v>
      </c>
      <c r="D7" s="464" t="s">
        <v>1674</v>
      </c>
      <c r="E7" s="465" t="str">
        <f>VLOOKUP(C7,'[10]Project Detail Query'!$A$1:$R$2830,6,FALSE)</f>
        <v>F0608</v>
      </c>
      <c r="F7" s="464" t="str">
        <f>VLOOKUP(C7,'[10]Project Detail Query'!$A$1:$R$2830,7,FALSE)</f>
        <v>BWO Service Line Repl - ISRS (N)</v>
      </c>
      <c r="G7" s="465" t="s">
        <v>20</v>
      </c>
      <c r="H7" s="465">
        <v>201701</v>
      </c>
      <c r="I7" s="467">
        <v>827510.98</v>
      </c>
      <c r="J7" s="464">
        <v>0</v>
      </c>
      <c r="K7" s="468">
        <v>2.23333E-3</v>
      </c>
      <c r="L7" s="469">
        <f t="shared" si="0"/>
        <v>0</v>
      </c>
      <c r="M7" s="469">
        <f t="shared" si="1"/>
        <v>22177.26</v>
      </c>
      <c r="N7" s="470"/>
    </row>
    <row r="8" spans="1:14">
      <c r="A8" s="464" t="s">
        <v>14</v>
      </c>
      <c r="B8" s="465" t="str">
        <f>VLOOKUP(C8,'[10]Project Detail Query'!$A$1:$R$2830,5,FALSE)</f>
        <v>20901050301</v>
      </c>
      <c r="C8" s="466" t="s">
        <v>201</v>
      </c>
      <c r="D8" s="464" t="s">
        <v>1675</v>
      </c>
      <c r="E8" s="465" t="str">
        <f>VLOOKUP(C8,'[10]Project Detail Query'!$A$1:$R$2830,6,FALSE)</f>
        <v>F0513</v>
      </c>
      <c r="F8" s="464" t="str">
        <f>VLOOKUP(C8,'[10]Project Detail Query'!$A$1:$R$2830,7,FALSE)</f>
        <v>BWO Service Line Repl - ISRS (S)</v>
      </c>
      <c r="G8" s="465" t="s">
        <v>20</v>
      </c>
      <c r="H8" s="465">
        <v>201701</v>
      </c>
      <c r="I8" s="467">
        <v>127189.07</v>
      </c>
      <c r="J8" s="464">
        <v>0</v>
      </c>
      <c r="K8" s="468">
        <v>2.23333E-3</v>
      </c>
      <c r="L8" s="469">
        <f t="shared" si="0"/>
        <v>0</v>
      </c>
      <c r="M8" s="469">
        <f t="shared" si="1"/>
        <v>3408.66</v>
      </c>
      <c r="N8" s="470"/>
    </row>
    <row r="9" spans="1:14">
      <c r="A9" s="464" t="s">
        <v>14</v>
      </c>
      <c r="B9" s="465" t="str">
        <f>VLOOKUP(C9,'[10]Project Detail Query'!$A$1:$R$2830,5,FALSE)</f>
        <v>20401050377</v>
      </c>
      <c r="C9" s="466" t="s">
        <v>482</v>
      </c>
      <c r="D9" s="464" t="s">
        <v>483</v>
      </c>
      <c r="E9" s="465" t="str">
        <f>VLOOKUP(C9,'[10]Project Detail Query'!$A$1:$R$2830,6,FALSE)</f>
        <v>F0586</v>
      </c>
      <c r="F9" s="464" t="str">
        <f>VLOOKUP(C9,'[10]Project Detail Query'!$A$1:$R$2830,7,FALSE)</f>
        <v>SLRP - materials - contract</v>
      </c>
      <c r="G9" s="465" t="s">
        <v>20</v>
      </c>
      <c r="H9" s="465">
        <v>201701</v>
      </c>
      <c r="I9" s="467">
        <v>5</v>
      </c>
      <c r="J9" s="464">
        <v>0</v>
      </c>
      <c r="K9" s="468">
        <v>2.23333E-3</v>
      </c>
      <c r="L9" s="469">
        <f t="shared" si="0"/>
        <v>0</v>
      </c>
      <c r="M9" s="469">
        <f t="shared" si="1"/>
        <v>0.13</v>
      </c>
      <c r="N9" s="470"/>
    </row>
    <row r="10" spans="1:14">
      <c r="A10" s="464" t="s">
        <v>14</v>
      </c>
      <c r="B10" s="465" t="str">
        <f>VLOOKUP(C10,'[10]Project Detail Query'!$A$1:$R$2830,5,FALSE)</f>
        <v>20901050377</v>
      </c>
      <c r="C10" s="466" t="s">
        <v>237</v>
      </c>
      <c r="D10" s="464" t="s">
        <v>188</v>
      </c>
      <c r="E10" s="465" t="str">
        <f>VLOOKUP(C10,'[10]Project Detail Query'!$A$1:$R$2830,6,FALSE)</f>
        <v>F0607</v>
      </c>
      <c r="F10" s="464" t="str">
        <f>VLOOKUP(C10,'[10]Project Detail Query'!$A$1:$R$2830,7,FALSE)</f>
        <v>SLRP - materials - contract</v>
      </c>
      <c r="G10" s="465" t="s">
        <v>20</v>
      </c>
      <c r="H10" s="465">
        <v>201701</v>
      </c>
      <c r="I10" s="467">
        <v>11281.39</v>
      </c>
      <c r="J10" s="464">
        <v>0</v>
      </c>
      <c r="K10" s="468">
        <v>2.23333E-3</v>
      </c>
      <c r="L10" s="469">
        <f t="shared" si="0"/>
        <v>0</v>
      </c>
      <c r="M10" s="469">
        <f t="shared" si="1"/>
        <v>302.33999999999997</v>
      </c>
      <c r="N10" s="470"/>
    </row>
    <row r="11" spans="1:14">
      <c r="A11" s="464" t="s">
        <v>14</v>
      </c>
      <c r="B11" s="465" t="str">
        <f>VLOOKUP(C11,'[10]Project Detail Query'!$A$1:$R$2830,5,FALSE)</f>
        <v>20801050301</v>
      </c>
      <c r="C11" s="466" t="s">
        <v>293</v>
      </c>
      <c r="D11" s="464" t="s">
        <v>1679</v>
      </c>
      <c r="E11" s="465" t="str">
        <f>VLOOKUP(C11,'[10]Project Detail Query'!$A$1:$R$2830,6,FALSE)</f>
        <v>F0659</v>
      </c>
      <c r="F11" s="464" t="str">
        <f>VLOOKUP(C11,'[10]Project Detail Query'!$A$1:$R$2830,7,FALSE)</f>
        <v>BWO Service Line Repl - ISRS (SW)</v>
      </c>
      <c r="G11" s="465" t="s">
        <v>20</v>
      </c>
      <c r="H11" s="465">
        <v>201701</v>
      </c>
      <c r="I11" s="467">
        <v>14505.39</v>
      </c>
      <c r="J11" s="464">
        <v>0</v>
      </c>
      <c r="K11" s="468">
        <v>2.23333E-3</v>
      </c>
      <c r="L11" s="469">
        <f t="shared" si="0"/>
        <v>0</v>
      </c>
      <c r="M11" s="469">
        <f t="shared" si="1"/>
        <v>388.74</v>
      </c>
      <c r="N11" s="470"/>
    </row>
    <row r="12" spans="1:14">
      <c r="A12" s="464" t="s">
        <v>14</v>
      </c>
      <c r="B12" s="465" t="str">
        <f>VLOOKUP(C12,'[10]Project Detail Query'!$A$1:$R$2830,5,FALSE)</f>
        <v>20501050371</v>
      </c>
      <c r="C12" s="466" t="s">
        <v>420</v>
      </c>
      <c r="D12" s="464" t="s">
        <v>50</v>
      </c>
      <c r="E12" s="465" t="str">
        <f>VLOOKUP(C12,'[10]Project Detail Query'!$A$1:$R$2830,6,FALSE)</f>
        <v>F0669</v>
      </c>
      <c r="F12" s="464" t="str">
        <f>VLOOKUP(C12,'[10]Project Detail Query'!$A$1:$R$2830,7,FALSE)</f>
        <v>SLRP - modified block by block - co</v>
      </c>
      <c r="G12" s="465" t="s">
        <v>20</v>
      </c>
      <c r="H12" s="465">
        <v>201701</v>
      </c>
      <c r="I12" s="467">
        <v>15.52</v>
      </c>
      <c r="J12" s="464">
        <v>0</v>
      </c>
      <c r="K12" s="468">
        <v>2.23333E-3</v>
      </c>
      <c r="L12" s="469">
        <f t="shared" si="0"/>
        <v>0</v>
      </c>
      <c r="M12" s="469">
        <f t="shared" si="1"/>
        <v>0.42</v>
      </c>
      <c r="N12" s="470"/>
    </row>
    <row r="13" spans="1:14">
      <c r="A13" s="464" t="s">
        <v>14</v>
      </c>
      <c r="B13" s="465" t="str">
        <f>VLOOKUP(C13,'[10]Project Detail Query'!$A$1:$R$2830,5,FALSE)</f>
        <v>20901050367</v>
      </c>
      <c r="C13" s="466" t="s">
        <v>326</v>
      </c>
      <c r="D13" s="464" t="s">
        <v>327</v>
      </c>
      <c r="E13" s="465" t="str">
        <f>VLOOKUP(C13,'[10]Project Detail Query'!$A$1:$R$2830,6,FALSE)</f>
        <v>F0649</v>
      </c>
      <c r="F13" s="464" t="str">
        <f>VLOOKUP(C13,'[10]Project Detail Query'!$A$1:$R$2830,7,FALSE)</f>
        <v>SLRP - materials - company crews</v>
      </c>
      <c r="G13" s="465" t="s">
        <v>20</v>
      </c>
      <c r="H13" s="465">
        <v>201701</v>
      </c>
      <c r="I13" s="467">
        <v>5.33</v>
      </c>
      <c r="J13" s="464">
        <v>0</v>
      </c>
      <c r="K13" s="468">
        <v>2.23333E-3</v>
      </c>
      <c r="L13" s="469">
        <f t="shared" si="0"/>
        <v>0</v>
      </c>
      <c r="M13" s="469">
        <f t="shared" si="1"/>
        <v>0.14000000000000001</v>
      </c>
      <c r="N13" s="470"/>
    </row>
    <row r="14" spans="1:14">
      <c r="A14" s="464" t="s">
        <v>127</v>
      </c>
      <c r="B14" s="465" t="str">
        <f>VLOOKUP(C14,'[10]Project Detail Query'!$A$1:$R$2830,5,FALSE)</f>
        <v>20401143628</v>
      </c>
      <c r="C14" s="466" t="s">
        <v>2613</v>
      </c>
      <c r="D14" s="464" t="s">
        <v>2614</v>
      </c>
      <c r="E14" s="465" t="str">
        <f>VLOOKUP(C14,'[10]Project Detail Query'!$A$1:$R$2830,6,FALSE)</f>
        <v>F0501</v>
      </c>
      <c r="F14" s="464" t="str">
        <f>VLOOKUP(C14,'[10]Project Detail Query'!$A$1:$R$2830,7,FALSE)</f>
        <v>Station rebuild &amp; replacement</v>
      </c>
      <c r="G14" s="465" t="s">
        <v>20</v>
      </c>
      <c r="H14" s="465">
        <v>201701</v>
      </c>
      <c r="I14" s="467">
        <v>1281.1300000000001</v>
      </c>
      <c r="J14" s="470">
        <v>0</v>
      </c>
      <c r="K14" s="468">
        <v>2.3833299999999999E-3</v>
      </c>
      <c r="L14" s="471">
        <f t="shared" si="0"/>
        <v>0</v>
      </c>
      <c r="M14" s="471">
        <f t="shared" si="1"/>
        <v>36.64</v>
      </c>
      <c r="N14" s="470"/>
    </row>
    <row r="15" spans="1:14">
      <c r="A15" s="464" t="s">
        <v>626</v>
      </c>
      <c r="B15" s="465" t="s">
        <v>1681</v>
      </c>
      <c r="C15" s="466" t="s">
        <v>1703</v>
      </c>
      <c r="D15" s="464" t="s">
        <v>1704</v>
      </c>
      <c r="E15" s="465" t="str">
        <f>VLOOKUP(C15,'[10]Project Detail Query'!$A$1:$R$2830,6,FALSE)</f>
        <v>F0599</v>
      </c>
      <c r="F15" s="464" t="str">
        <f>VLOOKUP(C15,'[10]Project Detail Query'!$A$1:$R$2830,7,FALSE)</f>
        <v>Main Replacement - ISRS (N)</v>
      </c>
      <c r="G15" s="465" t="s">
        <v>20</v>
      </c>
      <c r="H15" s="465">
        <v>201701</v>
      </c>
      <c r="I15" s="467">
        <v>4000.13</v>
      </c>
      <c r="J15" s="464">
        <v>0</v>
      </c>
      <c r="K15" s="472">
        <v>1.4833299999999999E-3</v>
      </c>
      <c r="L15" s="469">
        <f t="shared" si="0"/>
        <v>0</v>
      </c>
      <c r="M15" s="469">
        <f t="shared" si="1"/>
        <v>71.2</v>
      </c>
      <c r="N15" s="470"/>
    </row>
    <row r="16" spans="1:14">
      <c r="A16" s="464" t="s">
        <v>626</v>
      </c>
      <c r="B16" s="465" t="s">
        <v>1681</v>
      </c>
      <c r="C16" s="466" t="s">
        <v>1705</v>
      </c>
      <c r="D16" s="464" t="s">
        <v>1706</v>
      </c>
      <c r="E16" s="465" t="str">
        <f>VLOOKUP(C16,'[10]Project Detail Query'!$A$1:$R$2830,6,FALSE)</f>
        <v>F0604</v>
      </c>
      <c r="F16" s="464" t="str">
        <f>VLOOKUP(C16,'[10]Project Detail Query'!$A$1:$R$2830,7,FALSE)</f>
        <v>Main Replacement - ISRS (S)</v>
      </c>
      <c r="G16" s="465" t="s">
        <v>20</v>
      </c>
      <c r="H16" s="465">
        <v>201701</v>
      </c>
      <c r="I16" s="467">
        <v>45382.57</v>
      </c>
      <c r="J16" s="464">
        <v>0</v>
      </c>
      <c r="K16" s="472">
        <v>1.4833299999999999E-3</v>
      </c>
      <c r="L16" s="469">
        <f t="shared" si="0"/>
        <v>0</v>
      </c>
      <c r="M16" s="469">
        <f t="shared" si="1"/>
        <v>807.81</v>
      </c>
      <c r="N16" s="470"/>
    </row>
    <row r="17" spans="1:14">
      <c r="A17" s="464" t="s">
        <v>626</v>
      </c>
      <c r="B17" s="465" t="s">
        <v>1681</v>
      </c>
      <c r="C17" s="466" t="s">
        <v>1707</v>
      </c>
      <c r="D17" s="464" t="s">
        <v>1708</v>
      </c>
      <c r="E17" s="465" t="str">
        <f>VLOOKUP(C17,'[10]Project Detail Query'!$A$1:$R$2830,6,FALSE)</f>
        <v>F0604</v>
      </c>
      <c r="F17" s="464" t="str">
        <f>VLOOKUP(C17,'[10]Project Detail Query'!$A$1:$R$2830,7,FALSE)</f>
        <v>Main Replacement - ISRS (S)</v>
      </c>
      <c r="G17" s="465" t="s">
        <v>20</v>
      </c>
      <c r="H17" s="465">
        <v>201701</v>
      </c>
      <c r="I17" s="467">
        <v>2618.46</v>
      </c>
      <c r="J17" s="464">
        <v>0</v>
      </c>
      <c r="K17" s="472">
        <v>1.4833299999999999E-3</v>
      </c>
      <c r="L17" s="469">
        <f t="shared" si="0"/>
        <v>0</v>
      </c>
      <c r="M17" s="469">
        <f t="shared" si="1"/>
        <v>46.61</v>
      </c>
      <c r="N17" s="470"/>
    </row>
    <row r="18" spans="1:14">
      <c r="A18" s="464" t="s">
        <v>626</v>
      </c>
      <c r="B18" s="465" t="str">
        <f>VLOOKUP(C18,'[10]Project Detail Query'!$A$1:$R$2830,5,FALSE)</f>
        <v>20502144017</v>
      </c>
      <c r="C18" s="466" t="s">
        <v>2031</v>
      </c>
      <c r="D18" s="464" t="s">
        <v>2032</v>
      </c>
      <c r="E18" s="465" t="str">
        <f>VLOOKUP(C18,'[10]Project Detail Query'!$A$1:$R$2830,6,FALSE)</f>
        <v>F0544</v>
      </c>
      <c r="F18" s="464" t="str">
        <f>VLOOKUP(C18,'[10]Project Detail Query'!$A$1:$R$2830,7,FALSE)</f>
        <v>Replace bare steel main - safety re</v>
      </c>
      <c r="G18" s="465" t="s">
        <v>20</v>
      </c>
      <c r="H18" s="465">
        <v>201701</v>
      </c>
      <c r="I18" s="467">
        <v>7093.62</v>
      </c>
      <c r="J18" s="464">
        <v>0</v>
      </c>
      <c r="K18" s="472">
        <v>1.4833299999999999E-3</v>
      </c>
      <c r="L18" s="469">
        <f t="shared" si="0"/>
        <v>0</v>
      </c>
      <c r="M18" s="469">
        <f t="shared" si="1"/>
        <v>126.27</v>
      </c>
      <c r="N18" s="470"/>
    </row>
    <row r="19" spans="1:14">
      <c r="A19" s="464" t="s">
        <v>626</v>
      </c>
      <c r="B19" s="465" t="str">
        <f>VLOOKUP(C19,'[10]Project Detail Query'!$A$1:$R$2830,5,FALSE)</f>
        <v>20501155072</v>
      </c>
      <c r="C19" s="466" t="s">
        <v>1621</v>
      </c>
      <c r="D19" s="464" t="s">
        <v>1622</v>
      </c>
      <c r="E19" s="465" t="str">
        <f>VLOOKUP(C19,'[10]Project Detail Query'!$A$1:$R$2830,6,FALSE)</f>
        <v>F0544</v>
      </c>
      <c r="F19" s="464" t="str">
        <f>VLOOKUP(C19,'[10]Project Detail Query'!$A$1:$R$2830,7,FALSE)</f>
        <v>Replace bare steel main - safety re</v>
      </c>
      <c r="G19" s="465" t="s">
        <v>20</v>
      </c>
      <c r="H19" s="465">
        <v>201701</v>
      </c>
      <c r="I19" s="467">
        <v>18.04</v>
      </c>
      <c r="J19" s="464">
        <v>0</v>
      </c>
      <c r="K19" s="472">
        <v>1.4833299999999999E-3</v>
      </c>
      <c r="L19" s="469">
        <f t="shared" si="0"/>
        <v>0</v>
      </c>
      <c r="M19" s="469">
        <f t="shared" si="1"/>
        <v>0.32</v>
      </c>
      <c r="N19" s="470"/>
    </row>
    <row r="20" spans="1:14">
      <c r="A20" s="464" t="s">
        <v>626</v>
      </c>
      <c r="B20" s="465" t="str">
        <f>VLOOKUP(C20,'[10]Project Detail Query'!$A$1:$R$2830,5,FALSE)</f>
        <v>20501155098</v>
      </c>
      <c r="C20" s="466" t="s">
        <v>2037</v>
      </c>
      <c r="D20" s="464" t="s">
        <v>2038</v>
      </c>
      <c r="E20" s="465" t="str">
        <f>VLOOKUP(C20,'[10]Project Detail Query'!$A$1:$R$2830,6,FALSE)</f>
        <v>F0575</v>
      </c>
      <c r="F20" s="464" t="str">
        <f>VLOOKUP(C20,'[10]Project Detail Query'!$A$1:$R$2830,7,FALSE)</f>
        <v>Replace steel &amp; plastic main</v>
      </c>
      <c r="G20" s="465" t="s">
        <v>20</v>
      </c>
      <c r="H20" s="465">
        <v>201701</v>
      </c>
      <c r="I20" s="467">
        <v>295.97000000000003</v>
      </c>
      <c r="J20" s="464">
        <v>0</v>
      </c>
      <c r="K20" s="472">
        <v>1.4833299999999999E-3</v>
      </c>
      <c r="L20" s="469">
        <f t="shared" si="0"/>
        <v>0</v>
      </c>
      <c r="M20" s="469">
        <f t="shared" si="1"/>
        <v>5.27</v>
      </c>
      <c r="N20" s="470"/>
    </row>
    <row r="21" spans="1:14">
      <c r="A21" s="464" t="s">
        <v>626</v>
      </c>
      <c r="B21" s="465" t="str">
        <f>VLOOKUP(C21,'[10]Project Detail Query'!$A$1:$R$2830,5,FALSE)</f>
        <v>20501155262</v>
      </c>
      <c r="C21" s="466" t="s">
        <v>2043</v>
      </c>
      <c r="D21" s="464" t="s">
        <v>2044</v>
      </c>
      <c r="E21" s="465" t="str">
        <f>VLOOKUP(C21,'[10]Project Detail Query'!$A$1:$R$2830,6,FALSE)</f>
        <v>F0544</v>
      </c>
      <c r="F21" s="464" t="str">
        <f>VLOOKUP(C21,'[10]Project Detail Query'!$A$1:$R$2830,7,FALSE)</f>
        <v>Replace bare steel main - safety re</v>
      </c>
      <c r="G21" s="465" t="s">
        <v>20</v>
      </c>
      <c r="H21" s="465">
        <v>201701</v>
      </c>
      <c r="I21" s="467">
        <v>851.63</v>
      </c>
      <c r="J21" s="464">
        <v>0</v>
      </c>
      <c r="K21" s="472">
        <v>1.4833299999999999E-3</v>
      </c>
      <c r="L21" s="469">
        <f t="shared" si="0"/>
        <v>0</v>
      </c>
      <c r="M21" s="469">
        <f t="shared" si="1"/>
        <v>15.16</v>
      </c>
      <c r="N21" s="470"/>
    </row>
    <row r="22" spans="1:14">
      <c r="A22" s="464" t="s">
        <v>21</v>
      </c>
      <c r="B22" s="465" t="str">
        <f>VLOOKUP(C22,'[10]Project Detail Query'!$A$1:$R$2830,5,FALSE)</f>
        <v>20901155079</v>
      </c>
      <c r="C22" s="466" t="s">
        <v>1957</v>
      </c>
      <c r="D22" s="464" t="s">
        <v>2435</v>
      </c>
      <c r="E22" s="465" t="str">
        <f>VLOOKUP(C22,'[10]Project Detail Query'!$A$1:$R$2830,6,FALSE)</f>
        <v>F0604</v>
      </c>
      <c r="F22" s="464" t="str">
        <f>VLOOKUP(C22,'[10]Project Detail Query'!$A$1:$R$2830,7,FALSE)</f>
        <v>Main Replacement - ISRS (S)</v>
      </c>
      <c r="G22" s="465" t="s">
        <v>20</v>
      </c>
      <c r="H22" s="465">
        <v>201701</v>
      </c>
      <c r="I22" s="467">
        <v>8312.1299999999992</v>
      </c>
      <c r="J22" s="464">
        <v>0</v>
      </c>
      <c r="K22" s="472">
        <v>1.4833299999999999E-3</v>
      </c>
      <c r="L22" s="469">
        <f t="shared" si="0"/>
        <v>0</v>
      </c>
      <c r="M22" s="469">
        <f t="shared" si="1"/>
        <v>147.96</v>
      </c>
      <c r="N22" s="470"/>
    </row>
    <row r="23" spans="1:14">
      <c r="A23" s="464" t="s">
        <v>21</v>
      </c>
      <c r="B23" s="465" t="str">
        <f>VLOOKUP(C23,'[10]Project Detail Query'!$A$1:$R$2830,5,FALSE)</f>
        <v>20401155393</v>
      </c>
      <c r="C23" s="466" t="s">
        <v>1821</v>
      </c>
      <c r="D23" s="464" t="s">
        <v>1822</v>
      </c>
      <c r="E23" s="465" t="str">
        <f>VLOOKUP(C23,'[10]Project Detail Query'!$A$1:$R$2830,6,FALSE)</f>
        <v>F0547</v>
      </c>
      <c r="F23" s="464" t="str">
        <f>VLOOKUP(C23,'[10]Project Detail Query'!$A$1:$R$2830,7,FALSE)</f>
        <v>Street &amp; Highway Relocates ISRS (N)</v>
      </c>
      <c r="G23" s="465" t="s">
        <v>20</v>
      </c>
      <c r="H23" s="465">
        <v>201701</v>
      </c>
      <c r="I23" s="467">
        <v>155.56</v>
      </c>
      <c r="J23" s="464">
        <v>0</v>
      </c>
      <c r="K23" s="472">
        <v>1.4833299999999999E-3</v>
      </c>
      <c r="L23" s="469">
        <f t="shared" si="0"/>
        <v>0</v>
      </c>
      <c r="M23" s="469">
        <f t="shared" si="1"/>
        <v>2.77</v>
      </c>
      <c r="N23" s="470"/>
    </row>
    <row r="24" spans="1:14">
      <c r="A24" s="464" t="s">
        <v>626</v>
      </c>
      <c r="B24" s="465" t="str">
        <f>VLOOKUP(C24,'[10]Project Detail Query'!$A$1:$R$2830,5,FALSE)</f>
        <v>20305155105</v>
      </c>
      <c r="C24" s="466" t="s">
        <v>1931</v>
      </c>
      <c r="D24" s="464" t="s">
        <v>1932</v>
      </c>
      <c r="E24" s="465" t="str">
        <f>VLOOKUP(C24,'[10]Project Detail Query'!$A$1:$R$2830,6,FALSE)</f>
        <v>F0604</v>
      </c>
      <c r="F24" s="464" t="str">
        <f>VLOOKUP(C24,'[10]Project Detail Query'!$A$1:$R$2830,7,FALSE)</f>
        <v>Main Replacement - ISRS (S)</v>
      </c>
      <c r="G24" s="465" t="s">
        <v>20</v>
      </c>
      <c r="H24" s="465">
        <v>201701</v>
      </c>
      <c r="I24" s="467">
        <v>863.33</v>
      </c>
      <c r="J24" s="464">
        <v>0</v>
      </c>
      <c r="K24" s="472">
        <v>1.4833299999999999E-3</v>
      </c>
      <c r="L24" s="469">
        <f t="shared" si="0"/>
        <v>0</v>
      </c>
      <c r="M24" s="469">
        <f t="shared" si="1"/>
        <v>15.37</v>
      </c>
      <c r="N24" s="470"/>
    </row>
    <row r="25" spans="1:14">
      <c r="A25" s="464" t="s">
        <v>626</v>
      </c>
      <c r="B25" s="465" t="str">
        <f>VLOOKUP(C25,'[10]Project Detail Query'!$A$1:$R$2830,5,FALSE)</f>
        <v>20902155399</v>
      </c>
      <c r="C25" s="466" t="s">
        <v>2293</v>
      </c>
      <c r="D25" s="464" t="s">
        <v>2295</v>
      </c>
      <c r="E25" s="465" t="str">
        <f>VLOOKUP(C25,'[10]Project Detail Query'!$A$1:$R$2830,6,FALSE)</f>
        <v>F0604</v>
      </c>
      <c r="F25" s="464" t="str">
        <f>VLOOKUP(C25,'[10]Project Detail Query'!$A$1:$R$2830,7,FALSE)</f>
        <v>Main Replacement - ISRS (S)</v>
      </c>
      <c r="G25" s="465" t="s">
        <v>20</v>
      </c>
      <c r="H25" s="465">
        <v>201701</v>
      </c>
      <c r="I25" s="467">
        <v>32.619999999999997</v>
      </c>
      <c r="J25" s="464">
        <v>0</v>
      </c>
      <c r="K25" s="472">
        <v>1.4833299999999999E-3</v>
      </c>
      <c r="L25" s="469">
        <f t="shared" si="0"/>
        <v>0</v>
      </c>
      <c r="M25" s="469">
        <f t="shared" si="1"/>
        <v>0.57999999999999996</v>
      </c>
      <c r="N25" s="470"/>
    </row>
    <row r="26" spans="1:14">
      <c r="A26" s="464" t="s">
        <v>21</v>
      </c>
      <c r="B26" s="465" t="str">
        <f>VLOOKUP(C26,'[10]Project Detail Query'!$A$1:$R$2830,5,FALSE)</f>
        <v>20401155420</v>
      </c>
      <c r="C26" s="466" t="s">
        <v>1971</v>
      </c>
      <c r="D26" s="464" t="s">
        <v>1972</v>
      </c>
      <c r="E26" s="465" t="str">
        <f>VLOOKUP(C26,'[10]Project Detail Query'!$A$1:$R$2830,6,FALSE)</f>
        <v>F0664</v>
      </c>
      <c r="F26" s="464" t="str">
        <f>VLOOKUP(C26,'[10]Project Detail Query'!$A$1:$R$2830,7,FALSE)</f>
        <v>Street &amp; Hwy Relocates ISRS (SW)</v>
      </c>
      <c r="G26" s="465" t="s">
        <v>20</v>
      </c>
      <c r="H26" s="465">
        <v>201701</v>
      </c>
      <c r="I26" s="467">
        <v>40.28</v>
      </c>
      <c r="J26" s="464">
        <v>0</v>
      </c>
      <c r="K26" s="472">
        <v>1.4833299999999999E-3</v>
      </c>
      <c r="L26" s="469">
        <f t="shared" si="0"/>
        <v>0</v>
      </c>
      <c r="M26" s="469">
        <f t="shared" si="1"/>
        <v>0.72</v>
      </c>
      <c r="N26" s="470"/>
    </row>
    <row r="27" spans="1:14">
      <c r="A27" s="464" t="s">
        <v>626</v>
      </c>
      <c r="B27" s="465" t="str">
        <f>VLOOKUP(C27,'[10]Project Detail Query'!$A$1:$R$2830,5,FALSE)</f>
        <v>20401155420</v>
      </c>
      <c r="C27" s="466" t="s">
        <v>1971</v>
      </c>
      <c r="D27" s="464" t="s">
        <v>1972</v>
      </c>
      <c r="E27" s="465" t="str">
        <f>VLOOKUP(C27,'[10]Project Detail Query'!$A$1:$R$2830,6,FALSE)</f>
        <v>F0664</v>
      </c>
      <c r="F27" s="464" t="str">
        <f>VLOOKUP(C27,'[10]Project Detail Query'!$A$1:$R$2830,7,FALSE)</f>
        <v>Street &amp; Hwy Relocates ISRS (SW)</v>
      </c>
      <c r="G27" s="465" t="s">
        <v>20</v>
      </c>
      <c r="H27" s="465">
        <v>201701</v>
      </c>
      <c r="I27" s="467">
        <v>1047.3599999999999</v>
      </c>
      <c r="J27" s="464">
        <v>0</v>
      </c>
      <c r="K27" s="472">
        <v>1.4833299999999999E-3</v>
      </c>
      <c r="L27" s="469">
        <f t="shared" si="0"/>
        <v>0</v>
      </c>
      <c r="M27" s="469">
        <f t="shared" si="1"/>
        <v>18.64</v>
      </c>
      <c r="N27" s="470"/>
    </row>
    <row r="28" spans="1:14">
      <c r="A28" s="464" t="s">
        <v>1942</v>
      </c>
      <c r="B28" s="465" t="s">
        <v>1681</v>
      </c>
      <c r="C28" s="466" t="s">
        <v>1682</v>
      </c>
      <c r="D28" s="464" t="s">
        <v>1683</v>
      </c>
      <c r="E28" s="465" t="str">
        <f>VLOOKUP(C28,'[10]Project Detail Query'!$A$1:$R$2830,6,FALSE)</f>
        <v>F0608</v>
      </c>
      <c r="F28" s="464" t="str">
        <f>VLOOKUP(C28,'[10]Project Detail Query'!$A$1:$R$2830,7,FALSE)</f>
        <v>BWO Service Line Repl - ISRS (N)</v>
      </c>
      <c r="G28" s="465" t="s">
        <v>20</v>
      </c>
      <c r="H28" s="465">
        <v>201701</v>
      </c>
      <c r="I28" s="467">
        <v>7.01</v>
      </c>
      <c r="J28" s="464">
        <v>0</v>
      </c>
      <c r="K28" s="472">
        <v>2.23333E-3</v>
      </c>
      <c r="L28" s="469">
        <f t="shared" si="0"/>
        <v>0</v>
      </c>
      <c r="M28" s="469">
        <f t="shared" si="1"/>
        <v>0.19</v>
      </c>
      <c r="N28" s="470"/>
    </row>
    <row r="29" spans="1:14">
      <c r="A29" s="464" t="s">
        <v>1942</v>
      </c>
      <c r="B29" s="465" t="s">
        <v>1681</v>
      </c>
      <c r="C29" s="466" t="s">
        <v>1943</v>
      </c>
      <c r="D29" s="464" t="s">
        <v>1944</v>
      </c>
      <c r="E29" s="465" t="str">
        <f>VLOOKUP(C29,'[10]Project Detail Query'!$A$1:$R$2830,6,FALSE)</f>
        <v>F0513</v>
      </c>
      <c r="F29" s="464" t="str">
        <f>VLOOKUP(C29,'[10]Project Detail Query'!$A$1:$R$2830,7,FALSE)</f>
        <v>BWO Service Line Repl - ISRS (S)</v>
      </c>
      <c r="G29" s="465" t="s">
        <v>20</v>
      </c>
      <c r="H29" s="465">
        <v>201701</v>
      </c>
      <c r="I29" s="467">
        <v>205.88</v>
      </c>
      <c r="J29" s="464">
        <v>0</v>
      </c>
      <c r="K29" s="472">
        <v>2.23333E-3</v>
      </c>
      <c r="L29" s="469">
        <f t="shared" si="0"/>
        <v>0</v>
      </c>
      <c r="M29" s="469">
        <f t="shared" si="1"/>
        <v>5.52</v>
      </c>
      <c r="N29" s="470"/>
    </row>
    <row r="30" spans="1:14">
      <c r="A30" s="464" t="s">
        <v>1942</v>
      </c>
      <c r="B30" s="465" t="s">
        <v>1681</v>
      </c>
      <c r="C30" s="466" t="s">
        <v>1976</v>
      </c>
      <c r="D30" s="464" t="s">
        <v>1977</v>
      </c>
      <c r="E30" s="465" t="str">
        <f>VLOOKUP(C30,'[10]Project Detail Query'!$A$1:$R$2830,6,FALSE)</f>
        <v>F0659</v>
      </c>
      <c r="F30" s="464" t="str">
        <f>VLOOKUP(C30,'[10]Project Detail Query'!$A$1:$R$2830,7,FALSE)</f>
        <v>BWO Service Line Repl - ISRS (SW)</v>
      </c>
      <c r="G30" s="465" t="s">
        <v>20</v>
      </c>
      <c r="H30" s="465">
        <v>201701</v>
      </c>
      <c r="I30" s="467">
        <v>3961.9</v>
      </c>
      <c r="J30" s="464">
        <v>0</v>
      </c>
      <c r="K30" s="472">
        <v>2.23333E-3</v>
      </c>
      <c r="L30" s="469">
        <f t="shared" si="0"/>
        <v>0</v>
      </c>
      <c r="M30" s="469">
        <f t="shared" si="1"/>
        <v>106.18</v>
      </c>
      <c r="N30" s="470"/>
    </row>
    <row r="31" spans="1:14">
      <c r="A31" s="464" t="s">
        <v>626</v>
      </c>
      <c r="B31" s="465" t="str">
        <f>VLOOKUP(C31,'[10]Project Detail Query'!$A$1:$R$2830,5,FALSE)</f>
        <v>20501155526</v>
      </c>
      <c r="C31" s="466" t="s">
        <v>1946</v>
      </c>
      <c r="D31" s="464" t="s">
        <v>1947</v>
      </c>
      <c r="E31" s="465" t="str">
        <f>VLOOKUP(C31,'[10]Project Detail Query'!$A$1:$R$2830,6,FALSE)</f>
        <v>F0664</v>
      </c>
      <c r="F31" s="464" t="str">
        <f>VLOOKUP(C31,'[10]Project Detail Query'!$A$1:$R$2830,7,FALSE)</f>
        <v>Street &amp; Hwy Relocates ISRS (SW)</v>
      </c>
      <c r="G31" s="465" t="s">
        <v>20</v>
      </c>
      <c r="H31" s="465">
        <v>201701</v>
      </c>
      <c r="I31" s="467">
        <v>6763.48</v>
      </c>
      <c r="J31" s="464">
        <v>0</v>
      </c>
      <c r="K31" s="472">
        <v>1.4833299999999999E-3</v>
      </c>
      <c r="L31" s="469">
        <f t="shared" si="0"/>
        <v>0</v>
      </c>
      <c r="M31" s="469">
        <f t="shared" si="1"/>
        <v>120.39</v>
      </c>
      <c r="N31" s="470"/>
    </row>
    <row r="32" spans="1:14">
      <c r="A32" s="464" t="s">
        <v>626</v>
      </c>
      <c r="B32" s="465" t="str">
        <f>VLOOKUP(C32,'[10]Project Detail Query'!$A$1:$R$2830,5,FALSE)</f>
        <v>20902155379</v>
      </c>
      <c r="C32" s="466" t="s">
        <v>2331</v>
      </c>
      <c r="D32" s="464" t="s">
        <v>2053</v>
      </c>
      <c r="E32" s="465" t="str">
        <f>VLOOKUP(C32,'[10]Project Detail Query'!$A$1:$R$2830,6,FALSE)</f>
        <v>F0604</v>
      </c>
      <c r="F32" s="464" t="str">
        <f>VLOOKUP(C32,'[10]Project Detail Query'!$A$1:$R$2830,7,FALSE)</f>
        <v>Main Replacement - ISRS (S)</v>
      </c>
      <c r="G32" s="465" t="s">
        <v>20</v>
      </c>
      <c r="H32" s="465">
        <v>201701</v>
      </c>
      <c r="I32" s="467">
        <v>9700.67</v>
      </c>
      <c r="J32" s="464">
        <v>0</v>
      </c>
      <c r="K32" s="472">
        <v>1.4833299999999999E-3</v>
      </c>
      <c r="L32" s="469">
        <f t="shared" si="0"/>
        <v>0</v>
      </c>
      <c r="M32" s="469">
        <f t="shared" si="1"/>
        <v>172.67</v>
      </c>
      <c r="N32" s="470"/>
    </row>
    <row r="33" spans="1:14">
      <c r="A33" s="464" t="s">
        <v>990</v>
      </c>
      <c r="B33" s="465" t="s">
        <v>1681</v>
      </c>
      <c r="C33" s="466" t="s">
        <v>2309</v>
      </c>
      <c r="D33" s="464" t="s">
        <v>2310</v>
      </c>
      <c r="E33" s="465" t="str">
        <f>VLOOKUP(C33,'[10]Project Detail Query'!$A$1:$R$2830,6,FALSE)</f>
        <v>F0507</v>
      </c>
      <c r="F33" s="464" t="str">
        <f>VLOOKUP(C33,'[10]Project Detail Query'!$A$1:$R$2830,7,FALSE)</f>
        <v>Rebuild Meter Install 2'' &amp; Lg (S)</v>
      </c>
      <c r="G33" s="465" t="s">
        <v>20</v>
      </c>
      <c r="H33" s="465">
        <v>201701</v>
      </c>
      <c r="I33" s="467">
        <v>-11.27</v>
      </c>
      <c r="J33" s="464">
        <v>0</v>
      </c>
      <c r="K33" s="468">
        <v>2.3833299999999999E-3</v>
      </c>
      <c r="L33" s="469">
        <f t="shared" si="0"/>
        <v>0</v>
      </c>
      <c r="M33" s="469">
        <f t="shared" si="1"/>
        <v>-0.32</v>
      </c>
      <c r="N33" s="470"/>
    </row>
    <row r="34" spans="1:14">
      <c r="A34" s="464" t="s">
        <v>21</v>
      </c>
      <c r="B34" s="465" t="s">
        <v>1681</v>
      </c>
      <c r="C34" s="466" t="s">
        <v>2257</v>
      </c>
      <c r="D34" s="464" t="s">
        <v>2258</v>
      </c>
      <c r="E34" s="465" t="str">
        <f>VLOOKUP(C34,'[10]Project Detail Query'!$A$1:$R$2830,6,FALSE)</f>
        <v>F0664</v>
      </c>
      <c r="F34" s="464" t="str">
        <f>VLOOKUP(C34,'[10]Project Detail Query'!$A$1:$R$2830,7,FALSE)</f>
        <v>Street &amp; Hwy Relocates ISRS (SW)</v>
      </c>
      <c r="G34" s="465" t="s">
        <v>20</v>
      </c>
      <c r="H34" s="465">
        <v>201701</v>
      </c>
      <c r="I34" s="467">
        <v>20.309999999999999</v>
      </c>
      <c r="J34" s="464">
        <v>0</v>
      </c>
      <c r="K34" s="472">
        <v>1.4833299999999999E-3</v>
      </c>
      <c r="L34" s="469">
        <f t="shared" si="0"/>
        <v>0</v>
      </c>
      <c r="M34" s="469">
        <f t="shared" si="1"/>
        <v>0.36</v>
      </c>
      <c r="N34" s="470"/>
    </row>
    <row r="35" spans="1:14">
      <c r="A35" s="464" t="s">
        <v>626</v>
      </c>
      <c r="B35" s="465" t="s">
        <v>1681</v>
      </c>
      <c r="C35" s="466" t="s">
        <v>2257</v>
      </c>
      <c r="D35" s="464" t="s">
        <v>2258</v>
      </c>
      <c r="E35" s="465" t="str">
        <f>VLOOKUP(C35,'[10]Project Detail Query'!$A$1:$R$2830,6,FALSE)</f>
        <v>F0664</v>
      </c>
      <c r="F35" s="464" t="str">
        <f>VLOOKUP(C35,'[10]Project Detail Query'!$A$1:$R$2830,7,FALSE)</f>
        <v>Street &amp; Hwy Relocates ISRS (SW)</v>
      </c>
      <c r="G35" s="465" t="s">
        <v>20</v>
      </c>
      <c r="H35" s="465">
        <v>201701</v>
      </c>
      <c r="I35" s="467">
        <v>475.81</v>
      </c>
      <c r="J35" s="464">
        <v>0</v>
      </c>
      <c r="K35" s="472">
        <v>1.4833299999999999E-3</v>
      </c>
      <c r="L35" s="469">
        <f t="shared" si="0"/>
        <v>0</v>
      </c>
      <c r="M35" s="469">
        <f t="shared" si="1"/>
        <v>8.4700000000000006</v>
      </c>
      <c r="N35" s="470"/>
    </row>
    <row r="36" spans="1:14">
      <c r="A36" s="464" t="s">
        <v>626</v>
      </c>
      <c r="B36" s="465" t="s">
        <v>1681</v>
      </c>
      <c r="C36" s="466" t="s">
        <v>2001</v>
      </c>
      <c r="D36" s="464" t="s">
        <v>2002</v>
      </c>
      <c r="E36" s="465" t="str">
        <f>VLOOKUP(C36,'[10]Project Detail Query'!$A$1:$R$2830,6,FALSE)</f>
        <v>F0599</v>
      </c>
      <c r="F36" s="464" t="str">
        <f>VLOOKUP(C36,'[10]Project Detail Query'!$A$1:$R$2830,7,FALSE)</f>
        <v>Main Replacement - ISRS (N)</v>
      </c>
      <c r="G36" s="465" t="s">
        <v>20</v>
      </c>
      <c r="H36" s="465">
        <v>201701</v>
      </c>
      <c r="I36" s="467">
        <v>-3984.54</v>
      </c>
      <c r="J36" s="464">
        <v>0</v>
      </c>
      <c r="K36" s="472">
        <v>1.4833299999999999E-3</v>
      </c>
      <c r="L36" s="469">
        <f t="shared" si="0"/>
        <v>0</v>
      </c>
      <c r="M36" s="469">
        <f t="shared" si="1"/>
        <v>-70.92</v>
      </c>
      <c r="N36" s="470"/>
    </row>
    <row r="37" spans="1:14">
      <c r="A37" s="464" t="s">
        <v>14</v>
      </c>
      <c r="B37" s="465" t="s">
        <v>1681</v>
      </c>
      <c r="C37" s="466" t="s">
        <v>2001</v>
      </c>
      <c r="D37" s="464" t="s">
        <v>2002</v>
      </c>
      <c r="E37" s="465" t="str">
        <f>VLOOKUP(C37,'[10]Project Detail Query'!$A$1:$R$2830,6,FALSE)</f>
        <v>F0599</v>
      </c>
      <c r="F37" s="464" t="str">
        <f>VLOOKUP(C37,'[10]Project Detail Query'!$A$1:$R$2830,7,FALSE)</f>
        <v>Main Replacement - ISRS (N)</v>
      </c>
      <c r="G37" s="465" t="s">
        <v>20</v>
      </c>
      <c r="H37" s="465">
        <v>201701</v>
      </c>
      <c r="I37" s="467">
        <v>3984.54</v>
      </c>
      <c r="J37" s="464">
        <v>0</v>
      </c>
      <c r="K37" s="468">
        <v>2.23333E-3</v>
      </c>
      <c r="L37" s="469">
        <f t="shared" si="0"/>
        <v>0</v>
      </c>
      <c r="M37" s="469">
        <f t="shared" si="1"/>
        <v>106.79</v>
      </c>
      <c r="N37" s="470"/>
    </row>
    <row r="38" spans="1:14">
      <c r="A38" s="464" t="s">
        <v>626</v>
      </c>
      <c r="B38" s="465" t="s">
        <v>1681</v>
      </c>
      <c r="C38" s="466" t="s">
        <v>2259</v>
      </c>
      <c r="D38" s="464" t="s">
        <v>2260</v>
      </c>
      <c r="E38" s="465" t="str">
        <f>VLOOKUP(C38,'[10]Project Detail Query'!$A$1:$R$2830,6,FALSE)</f>
        <v>F0578</v>
      </c>
      <c r="F38" s="464" t="str">
        <f>VLOOKUP(C38,'[10]Project Detail Query'!$A$1:$R$2830,7,FALSE)</f>
        <v>Street &amp; Highway Relocates ISRS (S)</v>
      </c>
      <c r="G38" s="465" t="s">
        <v>20</v>
      </c>
      <c r="H38" s="465">
        <v>201701</v>
      </c>
      <c r="I38" s="467">
        <v>3.48</v>
      </c>
      <c r="J38" s="464">
        <v>0</v>
      </c>
      <c r="K38" s="472">
        <v>1.4833299999999999E-3</v>
      </c>
      <c r="L38" s="469">
        <f t="shared" si="0"/>
        <v>0</v>
      </c>
      <c r="M38" s="469">
        <f t="shared" si="1"/>
        <v>0.06</v>
      </c>
      <c r="N38" s="470"/>
    </row>
    <row r="39" spans="1:14">
      <c r="A39" s="464" t="s">
        <v>21</v>
      </c>
      <c r="B39" s="465" t="s">
        <v>1681</v>
      </c>
      <c r="C39" s="466" t="s">
        <v>2003</v>
      </c>
      <c r="D39" s="464" t="s">
        <v>2004</v>
      </c>
      <c r="E39" s="465" t="str">
        <f>VLOOKUP(C39,'[10]Project Detail Query'!$A$1:$R$2830,6,FALSE)</f>
        <v>F0599</v>
      </c>
      <c r="F39" s="464" t="str">
        <f>VLOOKUP(C39,'[10]Project Detail Query'!$A$1:$R$2830,7,FALSE)</f>
        <v>Main Replacement - ISRS (N)</v>
      </c>
      <c r="G39" s="465" t="s">
        <v>20</v>
      </c>
      <c r="H39" s="465">
        <v>201701</v>
      </c>
      <c r="I39" s="467">
        <v>675.32</v>
      </c>
      <c r="J39" s="464">
        <v>0</v>
      </c>
      <c r="K39" s="472">
        <v>1.4833299999999999E-3</v>
      </c>
      <c r="L39" s="469">
        <f t="shared" si="0"/>
        <v>0</v>
      </c>
      <c r="M39" s="469">
        <f t="shared" si="1"/>
        <v>12.02</v>
      </c>
      <c r="N39" s="470"/>
    </row>
    <row r="40" spans="1:14">
      <c r="A40" s="464" t="s">
        <v>626</v>
      </c>
      <c r="B40" s="465" t="s">
        <v>1681</v>
      </c>
      <c r="C40" s="466" t="s">
        <v>2003</v>
      </c>
      <c r="D40" s="464" t="s">
        <v>2004</v>
      </c>
      <c r="E40" s="465" t="str">
        <f>VLOOKUP(C40,'[10]Project Detail Query'!$A$1:$R$2830,6,FALSE)</f>
        <v>F0599</v>
      </c>
      <c r="F40" s="464" t="str">
        <f>VLOOKUP(C40,'[10]Project Detail Query'!$A$1:$R$2830,7,FALSE)</f>
        <v>Main Replacement - ISRS (N)</v>
      </c>
      <c r="G40" s="465" t="s">
        <v>20</v>
      </c>
      <c r="H40" s="465">
        <v>201701</v>
      </c>
      <c r="I40" s="467">
        <v>-15.48</v>
      </c>
      <c r="J40" s="464">
        <v>0</v>
      </c>
      <c r="K40" s="472">
        <v>1.4833299999999999E-3</v>
      </c>
      <c r="L40" s="469">
        <f t="shared" si="0"/>
        <v>0</v>
      </c>
      <c r="M40" s="469">
        <f t="shared" si="1"/>
        <v>-0.28000000000000003</v>
      </c>
      <c r="N40" s="470"/>
    </row>
    <row r="41" spans="1:14">
      <c r="A41" s="464" t="s">
        <v>14</v>
      </c>
      <c r="B41" s="465" t="s">
        <v>1681</v>
      </c>
      <c r="C41" s="466" t="s">
        <v>2003</v>
      </c>
      <c r="D41" s="464" t="s">
        <v>2004</v>
      </c>
      <c r="E41" s="465" t="str">
        <f>VLOOKUP(C41,'[10]Project Detail Query'!$A$1:$R$2830,6,FALSE)</f>
        <v>F0599</v>
      </c>
      <c r="F41" s="464" t="str">
        <f>VLOOKUP(C41,'[10]Project Detail Query'!$A$1:$R$2830,7,FALSE)</f>
        <v>Main Replacement - ISRS (N)</v>
      </c>
      <c r="G41" s="465" t="s">
        <v>20</v>
      </c>
      <c r="H41" s="465">
        <v>201701</v>
      </c>
      <c r="I41" s="467">
        <v>-659.84</v>
      </c>
      <c r="J41" s="464">
        <v>0</v>
      </c>
      <c r="K41" s="468">
        <v>2.23333E-3</v>
      </c>
      <c r="L41" s="469">
        <f t="shared" si="0"/>
        <v>0</v>
      </c>
      <c r="M41" s="469">
        <f t="shared" si="1"/>
        <v>-17.68</v>
      </c>
      <c r="N41" s="470"/>
    </row>
    <row r="42" spans="1:14">
      <c r="A42" s="464" t="s">
        <v>626</v>
      </c>
      <c r="B42" s="465" t="s">
        <v>1681</v>
      </c>
      <c r="C42" s="466" t="s">
        <v>2311</v>
      </c>
      <c r="D42" s="464" t="s">
        <v>2312</v>
      </c>
      <c r="E42" s="465" t="str">
        <f>VLOOKUP(C42,'[10]Project Detail Query'!$A$1:$R$2830,6,FALSE)</f>
        <v>F0578</v>
      </c>
      <c r="F42" s="464" t="str">
        <f>VLOOKUP(C42,'[10]Project Detail Query'!$A$1:$R$2830,7,FALSE)</f>
        <v>Street &amp; Highway Relocates ISRS (S)</v>
      </c>
      <c r="G42" s="465" t="s">
        <v>20</v>
      </c>
      <c r="H42" s="465">
        <v>201701</v>
      </c>
      <c r="I42" s="467">
        <v>8.06</v>
      </c>
      <c r="J42" s="464">
        <v>0</v>
      </c>
      <c r="K42" s="472">
        <v>1.4833299999999999E-3</v>
      </c>
      <c r="L42" s="469">
        <f t="shared" si="0"/>
        <v>0</v>
      </c>
      <c r="M42" s="469">
        <f t="shared" si="1"/>
        <v>0.14000000000000001</v>
      </c>
      <c r="N42" s="470"/>
    </row>
    <row r="43" spans="1:14">
      <c r="A43" s="464" t="s">
        <v>14</v>
      </c>
      <c r="B43" s="465" t="s">
        <v>1681</v>
      </c>
      <c r="C43" s="466" t="s">
        <v>2311</v>
      </c>
      <c r="D43" s="464" t="s">
        <v>2312</v>
      </c>
      <c r="E43" s="465" t="str">
        <f>VLOOKUP(C43,'[10]Project Detail Query'!$A$1:$R$2830,6,FALSE)</f>
        <v>F0578</v>
      </c>
      <c r="F43" s="464" t="str">
        <f>VLOOKUP(C43,'[10]Project Detail Query'!$A$1:$R$2830,7,FALSE)</f>
        <v>Street &amp; Highway Relocates ISRS (S)</v>
      </c>
      <c r="G43" s="465" t="s">
        <v>20</v>
      </c>
      <c r="H43" s="465">
        <v>201701</v>
      </c>
      <c r="I43" s="467">
        <v>0.15</v>
      </c>
      <c r="J43" s="464">
        <v>0</v>
      </c>
      <c r="K43" s="468">
        <v>2.23333E-3</v>
      </c>
      <c r="L43" s="469">
        <f t="shared" si="0"/>
        <v>0</v>
      </c>
      <c r="M43" s="469">
        <f t="shared" si="1"/>
        <v>0</v>
      </c>
      <c r="N43" s="470"/>
    </row>
    <row r="44" spans="1:14">
      <c r="A44" s="464" t="s">
        <v>626</v>
      </c>
      <c r="B44" s="465" t="s">
        <v>1681</v>
      </c>
      <c r="C44" s="466" t="s">
        <v>2313</v>
      </c>
      <c r="D44" s="464" t="s">
        <v>2314</v>
      </c>
      <c r="E44" s="465" t="str">
        <f>VLOOKUP(C44,'[10]Project Detail Query'!$A$1:$R$2830,6,FALSE)</f>
        <v>F0572</v>
      </c>
      <c r="F44" s="464" t="str">
        <f>VLOOKUP(C44,'[10]Project Detail Query'!$A$1:$R$2830,7,FALSE)</f>
        <v>Main Replacement - ISRS (SW)</v>
      </c>
      <c r="G44" s="465" t="s">
        <v>20</v>
      </c>
      <c r="H44" s="465">
        <v>201701</v>
      </c>
      <c r="I44" s="467">
        <v>74.540000000000006</v>
      </c>
      <c r="J44" s="464">
        <v>0</v>
      </c>
      <c r="K44" s="472">
        <v>1.4833299999999999E-3</v>
      </c>
      <c r="L44" s="469">
        <f t="shared" si="0"/>
        <v>0</v>
      </c>
      <c r="M44" s="469">
        <f t="shared" si="1"/>
        <v>1.33</v>
      </c>
      <c r="N44" s="470"/>
    </row>
    <row r="45" spans="1:14">
      <c r="A45" s="464" t="s">
        <v>21</v>
      </c>
      <c r="B45" s="465" t="s">
        <v>1681</v>
      </c>
      <c r="C45" s="466" t="s">
        <v>2315</v>
      </c>
      <c r="D45" s="464" t="s">
        <v>2316</v>
      </c>
      <c r="E45" s="465" t="str">
        <f>VLOOKUP(C45,'[10]Project Detail Query'!$A$1:$R$2830,6,FALSE)</f>
        <v>F0599</v>
      </c>
      <c r="F45" s="464" t="str">
        <f>VLOOKUP(C45,'[10]Project Detail Query'!$A$1:$R$2830,7,FALSE)</f>
        <v>Main Replacement - ISRS (N)</v>
      </c>
      <c r="G45" s="465" t="s">
        <v>20</v>
      </c>
      <c r="H45" s="465">
        <v>201701</v>
      </c>
      <c r="I45" s="467">
        <v>-0.02</v>
      </c>
      <c r="J45" s="464">
        <v>0</v>
      </c>
      <c r="K45" s="472">
        <v>1.4833299999999999E-3</v>
      </c>
      <c r="L45" s="469">
        <f t="shared" si="0"/>
        <v>0</v>
      </c>
      <c r="M45" s="469">
        <f t="shared" si="1"/>
        <v>0</v>
      </c>
      <c r="N45" s="470"/>
    </row>
    <row r="46" spans="1:14">
      <c r="A46" s="464" t="s">
        <v>626</v>
      </c>
      <c r="B46" s="465" t="s">
        <v>1681</v>
      </c>
      <c r="C46" s="466" t="s">
        <v>2315</v>
      </c>
      <c r="D46" s="464" t="s">
        <v>2316</v>
      </c>
      <c r="E46" s="465" t="str">
        <f>VLOOKUP(C46,'[10]Project Detail Query'!$A$1:$R$2830,6,FALSE)</f>
        <v>F0599</v>
      </c>
      <c r="F46" s="464" t="str">
        <f>VLOOKUP(C46,'[10]Project Detail Query'!$A$1:$R$2830,7,FALSE)</f>
        <v>Main Replacement - ISRS (N)</v>
      </c>
      <c r="G46" s="465" t="s">
        <v>20</v>
      </c>
      <c r="H46" s="465">
        <v>201701</v>
      </c>
      <c r="I46" s="467">
        <v>-41.35</v>
      </c>
      <c r="J46" s="464">
        <v>0</v>
      </c>
      <c r="K46" s="472">
        <v>1.4833299999999999E-3</v>
      </c>
      <c r="L46" s="469">
        <f t="shared" si="0"/>
        <v>0</v>
      </c>
      <c r="M46" s="469">
        <f t="shared" si="1"/>
        <v>-0.74</v>
      </c>
      <c r="N46" s="470"/>
    </row>
    <row r="47" spans="1:14">
      <c r="A47" s="464" t="s">
        <v>14</v>
      </c>
      <c r="B47" s="465" t="s">
        <v>1681</v>
      </c>
      <c r="C47" s="466" t="s">
        <v>2315</v>
      </c>
      <c r="D47" s="464" t="s">
        <v>2316</v>
      </c>
      <c r="E47" s="465" t="str">
        <f>VLOOKUP(C47,'[10]Project Detail Query'!$A$1:$R$2830,6,FALSE)</f>
        <v>F0599</v>
      </c>
      <c r="F47" s="464" t="str">
        <f>VLOOKUP(C47,'[10]Project Detail Query'!$A$1:$R$2830,7,FALSE)</f>
        <v>Main Replacement - ISRS (N)</v>
      </c>
      <c r="G47" s="465" t="s">
        <v>20</v>
      </c>
      <c r="H47" s="465">
        <v>201701</v>
      </c>
      <c r="I47" s="467">
        <v>-17.739999999999998</v>
      </c>
      <c r="J47" s="464">
        <v>0</v>
      </c>
      <c r="K47" s="468">
        <v>2.23333E-3</v>
      </c>
      <c r="L47" s="469">
        <f t="shared" si="0"/>
        <v>0</v>
      </c>
      <c r="M47" s="469">
        <f t="shared" si="1"/>
        <v>-0.48</v>
      </c>
      <c r="N47" s="470"/>
    </row>
    <row r="48" spans="1:14">
      <c r="A48" s="464" t="s">
        <v>626</v>
      </c>
      <c r="B48" s="465" t="s">
        <v>1681</v>
      </c>
      <c r="C48" s="466" t="s">
        <v>2334</v>
      </c>
      <c r="D48" s="464" t="s">
        <v>2335</v>
      </c>
      <c r="E48" s="465" t="str">
        <f>VLOOKUP(C48,'[10]Project Detail Query'!$A$1:$R$2830,6,FALSE)</f>
        <v>F0599</v>
      </c>
      <c r="F48" s="464" t="str">
        <f>VLOOKUP(C48,'[10]Project Detail Query'!$A$1:$R$2830,7,FALSE)</f>
        <v>Main Replacement - ISRS (N)</v>
      </c>
      <c r="G48" s="465" t="s">
        <v>20</v>
      </c>
      <c r="H48" s="465">
        <v>201701</v>
      </c>
      <c r="I48" s="467">
        <v>-488.97</v>
      </c>
      <c r="J48" s="464">
        <v>0</v>
      </c>
      <c r="K48" s="472">
        <v>1.4833299999999999E-3</v>
      </c>
      <c r="L48" s="469">
        <f t="shared" si="0"/>
        <v>0</v>
      </c>
      <c r="M48" s="469">
        <f t="shared" si="1"/>
        <v>-8.6999999999999993</v>
      </c>
      <c r="N48" s="470"/>
    </row>
    <row r="49" spans="1:14">
      <c r="A49" s="464" t="s">
        <v>626</v>
      </c>
      <c r="B49" s="465" t="s">
        <v>1681</v>
      </c>
      <c r="C49" s="466" t="s">
        <v>2336</v>
      </c>
      <c r="D49" s="464" t="s">
        <v>2337</v>
      </c>
      <c r="E49" s="465" t="str">
        <f>VLOOKUP(C49,'[10]Project Detail Query'!$A$1:$R$2830,6,FALSE)</f>
        <v>F0599</v>
      </c>
      <c r="F49" s="464" t="str">
        <f>VLOOKUP(C49,'[10]Project Detail Query'!$A$1:$R$2830,7,FALSE)</f>
        <v>Main Replacement - ISRS (N)</v>
      </c>
      <c r="G49" s="465" t="s">
        <v>20</v>
      </c>
      <c r="H49" s="465">
        <v>201701</v>
      </c>
      <c r="I49" s="467">
        <v>303.64999999999998</v>
      </c>
      <c r="J49" s="464">
        <v>0</v>
      </c>
      <c r="K49" s="472">
        <v>1.4833299999999999E-3</v>
      </c>
      <c r="L49" s="469">
        <f t="shared" si="0"/>
        <v>0</v>
      </c>
      <c r="M49" s="469">
        <f t="shared" si="1"/>
        <v>5.4</v>
      </c>
      <c r="N49" s="470"/>
    </row>
    <row r="50" spans="1:14">
      <c r="A50" s="464" t="s">
        <v>14</v>
      </c>
      <c r="B50" s="465" t="s">
        <v>1681</v>
      </c>
      <c r="C50" s="466" t="s">
        <v>2336</v>
      </c>
      <c r="D50" s="464" t="s">
        <v>2337</v>
      </c>
      <c r="E50" s="465" t="str">
        <f>VLOOKUP(C50,'[10]Project Detail Query'!$A$1:$R$2830,6,FALSE)</f>
        <v>F0599</v>
      </c>
      <c r="F50" s="464" t="str">
        <f>VLOOKUP(C50,'[10]Project Detail Query'!$A$1:$R$2830,7,FALSE)</f>
        <v>Main Replacement - ISRS (N)</v>
      </c>
      <c r="G50" s="465" t="s">
        <v>20</v>
      </c>
      <c r="H50" s="465">
        <v>201701</v>
      </c>
      <c r="I50" s="467">
        <v>1.26</v>
      </c>
      <c r="J50" s="464">
        <v>0</v>
      </c>
      <c r="K50" s="468">
        <v>2.23333E-3</v>
      </c>
      <c r="L50" s="469">
        <f t="shared" si="0"/>
        <v>0</v>
      </c>
      <c r="M50" s="469">
        <f t="shared" si="1"/>
        <v>0.03</v>
      </c>
      <c r="N50" s="470"/>
    </row>
    <row r="51" spans="1:14">
      <c r="A51" s="464" t="s">
        <v>626</v>
      </c>
      <c r="B51" s="465" t="s">
        <v>1681</v>
      </c>
      <c r="C51" s="466" t="s">
        <v>2338</v>
      </c>
      <c r="D51" s="464" t="s">
        <v>2339</v>
      </c>
      <c r="E51" s="465" t="str">
        <f>VLOOKUP(C51,'[10]Project Detail Query'!$A$1:$R$2830,6,FALSE)</f>
        <v>F0599</v>
      </c>
      <c r="F51" s="464" t="str">
        <f>VLOOKUP(C51,'[10]Project Detail Query'!$A$1:$R$2830,7,FALSE)</f>
        <v>Main Replacement - ISRS (N)</v>
      </c>
      <c r="G51" s="465" t="s">
        <v>20</v>
      </c>
      <c r="H51" s="465">
        <v>201701</v>
      </c>
      <c r="I51" s="467">
        <v>486.4</v>
      </c>
      <c r="J51" s="464">
        <v>0</v>
      </c>
      <c r="K51" s="472">
        <v>1.4833299999999999E-3</v>
      </c>
      <c r="L51" s="469">
        <f t="shared" si="0"/>
        <v>0</v>
      </c>
      <c r="M51" s="469">
        <f t="shared" si="1"/>
        <v>8.66</v>
      </c>
      <c r="N51" s="470"/>
    </row>
    <row r="52" spans="1:14">
      <c r="A52" s="464" t="s">
        <v>14</v>
      </c>
      <c r="B52" s="465" t="s">
        <v>1681</v>
      </c>
      <c r="C52" s="466" t="s">
        <v>2338</v>
      </c>
      <c r="D52" s="464" t="s">
        <v>2339</v>
      </c>
      <c r="E52" s="465" t="str">
        <f>VLOOKUP(C52,'[10]Project Detail Query'!$A$1:$R$2830,6,FALSE)</f>
        <v>F0599</v>
      </c>
      <c r="F52" s="464" t="str">
        <f>VLOOKUP(C52,'[10]Project Detail Query'!$A$1:$R$2830,7,FALSE)</f>
        <v>Main Replacement - ISRS (N)</v>
      </c>
      <c r="G52" s="465" t="s">
        <v>20</v>
      </c>
      <c r="H52" s="465">
        <v>201701</v>
      </c>
      <c r="I52" s="467">
        <v>3.63</v>
      </c>
      <c r="J52" s="464">
        <v>0</v>
      </c>
      <c r="K52" s="468">
        <v>2.23333E-3</v>
      </c>
      <c r="L52" s="469">
        <f t="shared" si="0"/>
        <v>0</v>
      </c>
      <c r="M52" s="469">
        <f t="shared" si="1"/>
        <v>0.1</v>
      </c>
      <c r="N52" s="470"/>
    </row>
    <row r="53" spans="1:14">
      <c r="A53" s="464" t="s">
        <v>626</v>
      </c>
      <c r="B53" s="465" t="s">
        <v>1681</v>
      </c>
      <c r="C53" s="466" t="s">
        <v>2340</v>
      </c>
      <c r="D53" s="464" t="s">
        <v>2341</v>
      </c>
      <c r="E53" s="465" t="str">
        <f>VLOOKUP(C53,'[10]Project Detail Query'!$A$1:$R$2830,6,FALSE)</f>
        <v>F0572</v>
      </c>
      <c r="F53" s="464" t="str">
        <f>VLOOKUP(C53,'[10]Project Detail Query'!$A$1:$R$2830,7,FALSE)</f>
        <v>Main Replacement - ISRS (SW)</v>
      </c>
      <c r="G53" s="465" t="s">
        <v>20</v>
      </c>
      <c r="H53" s="465">
        <v>201701</v>
      </c>
      <c r="I53" s="467">
        <v>2565.36</v>
      </c>
      <c r="J53" s="464">
        <v>0</v>
      </c>
      <c r="K53" s="472">
        <v>1.4833299999999999E-3</v>
      </c>
      <c r="L53" s="469">
        <f t="shared" si="0"/>
        <v>0</v>
      </c>
      <c r="M53" s="469">
        <f t="shared" si="1"/>
        <v>45.66</v>
      </c>
      <c r="N53" s="470"/>
    </row>
    <row r="54" spans="1:14">
      <c r="A54" s="464" t="s">
        <v>14</v>
      </c>
      <c r="B54" s="465" t="s">
        <v>1681</v>
      </c>
      <c r="C54" s="466" t="s">
        <v>2340</v>
      </c>
      <c r="D54" s="464" t="s">
        <v>2341</v>
      </c>
      <c r="E54" s="465" t="str">
        <f>VLOOKUP(C54,'[10]Project Detail Query'!$A$1:$R$2830,6,FALSE)</f>
        <v>F0572</v>
      </c>
      <c r="F54" s="464" t="str">
        <f>VLOOKUP(C54,'[10]Project Detail Query'!$A$1:$R$2830,7,FALSE)</f>
        <v>Main Replacement - ISRS (SW)</v>
      </c>
      <c r="G54" s="465" t="s">
        <v>20</v>
      </c>
      <c r="H54" s="465">
        <v>201701</v>
      </c>
      <c r="I54" s="467">
        <v>38.31</v>
      </c>
      <c r="J54" s="464">
        <v>0</v>
      </c>
      <c r="K54" s="468">
        <v>2.23333E-3</v>
      </c>
      <c r="L54" s="469">
        <f t="shared" si="0"/>
        <v>0</v>
      </c>
      <c r="M54" s="469">
        <f t="shared" si="1"/>
        <v>1.03</v>
      </c>
      <c r="N54" s="470"/>
    </row>
    <row r="55" spans="1:14">
      <c r="A55" s="464" t="s">
        <v>626</v>
      </c>
      <c r="B55" s="465" t="s">
        <v>1681</v>
      </c>
      <c r="C55" s="466" t="s">
        <v>2342</v>
      </c>
      <c r="D55" s="464" t="s">
        <v>2343</v>
      </c>
      <c r="E55" s="465" t="str">
        <f>VLOOKUP(C55,'[10]Project Detail Query'!$A$1:$R$2830,6,FALSE)</f>
        <v>F0604</v>
      </c>
      <c r="F55" s="464" t="str">
        <f>VLOOKUP(C55,'[10]Project Detail Query'!$A$1:$R$2830,7,FALSE)</f>
        <v>Main Replacement - ISRS (S)</v>
      </c>
      <c r="G55" s="465" t="s">
        <v>20</v>
      </c>
      <c r="H55" s="465">
        <v>201701</v>
      </c>
      <c r="I55" s="467">
        <v>12879.68</v>
      </c>
      <c r="J55" s="464">
        <v>0</v>
      </c>
      <c r="K55" s="472">
        <v>1.4833299999999999E-3</v>
      </c>
      <c r="L55" s="469">
        <f t="shared" si="0"/>
        <v>0</v>
      </c>
      <c r="M55" s="469">
        <f t="shared" si="1"/>
        <v>229.26</v>
      </c>
      <c r="N55" s="470"/>
    </row>
    <row r="56" spans="1:14">
      <c r="A56" s="464" t="s">
        <v>14</v>
      </c>
      <c r="B56" s="465" t="s">
        <v>1681</v>
      </c>
      <c r="C56" s="466" t="s">
        <v>2342</v>
      </c>
      <c r="D56" s="464" t="s">
        <v>2343</v>
      </c>
      <c r="E56" s="465" t="str">
        <f>VLOOKUP(C56,'[10]Project Detail Query'!$A$1:$R$2830,6,FALSE)</f>
        <v>F0604</v>
      </c>
      <c r="F56" s="464" t="str">
        <f>VLOOKUP(C56,'[10]Project Detail Query'!$A$1:$R$2830,7,FALSE)</f>
        <v>Main Replacement - ISRS (S)</v>
      </c>
      <c r="G56" s="465" t="s">
        <v>20</v>
      </c>
      <c r="H56" s="465">
        <v>201701</v>
      </c>
      <c r="I56" s="467">
        <v>0.51</v>
      </c>
      <c r="J56" s="464">
        <v>0</v>
      </c>
      <c r="K56" s="468">
        <v>2.23333E-3</v>
      </c>
      <c r="L56" s="469">
        <f t="shared" si="0"/>
        <v>0</v>
      </c>
      <c r="M56" s="469">
        <f t="shared" si="1"/>
        <v>0.01</v>
      </c>
      <c r="N56" s="470"/>
    </row>
    <row r="57" spans="1:14">
      <c r="A57" s="464" t="s">
        <v>626</v>
      </c>
      <c r="B57" s="465" t="s">
        <v>1681</v>
      </c>
      <c r="C57" s="466" t="s">
        <v>2344</v>
      </c>
      <c r="D57" s="464" t="s">
        <v>2345</v>
      </c>
      <c r="E57" s="465" t="str">
        <f>VLOOKUP(C57,'[10]Project Detail Query'!$A$1:$R$2830,6,FALSE)</f>
        <v>F0604</v>
      </c>
      <c r="F57" s="464" t="str">
        <f>VLOOKUP(C57,'[10]Project Detail Query'!$A$1:$R$2830,7,FALSE)</f>
        <v>Main Replacement - ISRS (S)</v>
      </c>
      <c r="G57" s="465" t="s">
        <v>20</v>
      </c>
      <c r="H57" s="465">
        <v>201701</v>
      </c>
      <c r="I57" s="467">
        <v>85.91</v>
      </c>
      <c r="J57" s="464">
        <v>0</v>
      </c>
      <c r="K57" s="472">
        <v>1.4833299999999999E-3</v>
      </c>
      <c r="L57" s="469">
        <f t="shared" si="0"/>
        <v>0</v>
      </c>
      <c r="M57" s="469">
        <f t="shared" si="1"/>
        <v>1.53</v>
      </c>
      <c r="N57" s="470"/>
    </row>
    <row r="58" spans="1:14">
      <c r="A58" s="464" t="s">
        <v>14</v>
      </c>
      <c r="B58" s="465" t="s">
        <v>1681</v>
      </c>
      <c r="C58" s="466" t="s">
        <v>2344</v>
      </c>
      <c r="D58" s="464" t="s">
        <v>2345</v>
      </c>
      <c r="E58" s="465" t="str">
        <f>VLOOKUP(C58,'[10]Project Detail Query'!$A$1:$R$2830,6,FALSE)</f>
        <v>F0604</v>
      </c>
      <c r="F58" s="464" t="str">
        <f>VLOOKUP(C58,'[10]Project Detail Query'!$A$1:$R$2830,7,FALSE)</f>
        <v>Main Replacement - ISRS (S)</v>
      </c>
      <c r="G58" s="465" t="s">
        <v>20</v>
      </c>
      <c r="H58" s="465">
        <v>201701</v>
      </c>
      <c r="I58" s="467">
        <v>0.01</v>
      </c>
      <c r="J58" s="464">
        <v>0</v>
      </c>
      <c r="K58" s="468">
        <v>2.23333E-3</v>
      </c>
      <c r="L58" s="469">
        <f t="shared" si="0"/>
        <v>0</v>
      </c>
      <c r="M58" s="469">
        <f t="shared" si="1"/>
        <v>0</v>
      </c>
      <c r="N58" s="470"/>
    </row>
    <row r="59" spans="1:14">
      <c r="A59" s="464" t="s">
        <v>626</v>
      </c>
      <c r="B59" s="465" t="s">
        <v>1681</v>
      </c>
      <c r="C59" s="466" t="s">
        <v>2346</v>
      </c>
      <c r="D59" s="464" t="s">
        <v>2347</v>
      </c>
      <c r="E59" s="465" t="str">
        <f>VLOOKUP(C59,'[10]Project Detail Query'!$A$1:$R$2830,6,FALSE)</f>
        <v>F0604</v>
      </c>
      <c r="F59" s="464" t="str">
        <f>VLOOKUP(C59,'[10]Project Detail Query'!$A$1:$R$2830,7,FALSE)</f>
        <v>Main Replacement - ISRS (S)</v>
      </c>
      <c r="G59" s="465" t="s">
        <v>20</v>
      </c>
      <c r="H59" s="465">
        <v>201701</v>
      </c>
      <c r="I59" s="467">
        <v>-13345.28</v>
      </c>
      <c r="J59" s="464">
        <v>0</v>
      </c>
      <c r="K59" s="472">
        <v>1.4833299999999999E-3</v>
      </c>
      <c r="L59" s="469">
        <f t="shared" si="0"/>
        <v>0</v>
      </c>
      <c r="M59" s="469">
        <f t="shared" si="1"/>
        <v>-237.55</v>
      </c>
      <c r="N59" s="470"/>
    </row>
    <row r="60" spans="1:14">
      <c r="A60" s="464" t="s">
        <v>626</v>
      </c>
      <c r="B60" s="465" t="s">
        <v>1681</v>
      </c>
      <c r="C60" s="466" t="s">
        <v>2348</v>
      </c>
      <c r="D60" s="464" t="s">
        <v>2349</v>
      </c>
      <c r="E60" s="465" t="str">
        <f>VLOOKUP(C60,'[10]Project Detail Query'!$A$1:$R$2830,6,FALSE)</f>
        <v>F0604</v>
      </c>
      <c r="F60" s="464" t="str">
        <f>VLOOKUP(C60,'[10]Project Detail Query'!$A$1:$R$2830,7,FALSE)</f>
        <v>Main Replacement - ISRS (S)</v>
      </c>
      <c r="G60" s="465" t="s">
        <v>20</v>
      </c>
      <c r="H60" s="465">
        <v>201701</v>
      </c>
      <c r="I60" s="467">
        <v>131.35</v>
      </c>
      <c r="J60" s="464">
        <v>0</v>
      </c>
      <c r="K60" s="472">
        <v>1.4833299999999999E-3</v>
      </c>
      <c r="L60" s="469">
        <f t="shared" si="0"/>
        <v>0</v>
      </c>
      <c r="M60" s="469">
        <f t="shared" si="1"/>
        <v>2.34</v>
      </c>
      <c r="N60" s="470"/>
    </row>
    <row r="61" spans="1:14">
      <c r="A61" s="464" t="s">
        <v>14</v>
      </c>
      <c r="B61" s="465" t="s">
        <v>1681</v>
      </c>
      <c r="C61" s="466" t="s">
        <v>2348</v>
      </c>
      <c r="D61" s="464" t="s">
        <v>2349</v>
      </c>
      <c r="E61" s="465" t="str">
        <f>VLOOKUP(C61,'[10]Project Detail Query'!$A$1:$R$2830,6,FALSE)</f>
        <v>F0604</v>
      </c>
      <c r="F61" s="464" t="str">
        <f>VLOOKUP(C61,'[10]Project Detail Query'!$A$1:$R$2830,7,FALSE)</f>
        <v>Main Replacement - ISRS (S)</v>
      </c>
      <c r="G61" s="465" t="s">
        <v>20</v>
      </c>
      <c r="H61" s="465">
        <v>201701</v>
      </c>
      <c r="I61" s="467">
        <v>0.05</v>
      </c>
      <c r="J61" s="464">
        <v>0</v>
      </c>
      <c r="K61" s="468">
        <v>2.23333E-3</v>
      </c>
      <c r="L61" s="469">
        <f t="shared" si="0"/>
        <v>0</v>
      </c>
      <c r="M61" s="469">
        <f t="shared" si="1"/>
        <v>0</v>
      </c>
      <c r="N61" s="470"/>
    </row>
    <row r="62" spans="1:14">
      <c r="A62" s="464" t="s">
        <v>626</v>
      </c>
      <c r="B62" s="465" t="s">
        <v>1681</v>
      </c>
      <c r="C62" s="466" t="s">
        <v>2350</v>
      </c>
      <c r="D62" s="464" t="s">
        <v>2351</v>
      </c>
      <c r="E62" s="465" t="str">
        <f>VLOOKUP(C62,'[10]Project Detail Query'!$A$1:$R$2830,6,FALSE)</f>
        <v>F0604</v>
      </c>
      <c r="F62" s="464" t="str">
        <f>VLOOKUP(C62,'[10]Project Detail Query'!$A$1:$R$2830,7,FALSE)</f>
        <v>Main Replacement - ISRS (S)</v>
      </c>
      <c r="G62" s="465" t="s">
        <v>20</v>
      </c>
      <c r="H62" s="465">
        <v>201701</v>
      </c>
      <c r="I62" s="467">
        <v>2471.62</v>
      </c>
      <c r="J62" s="464">
        <v>0</v>
      </c>
      <c r="K62" s="472">
        <v>1.4833299999999999E-3</v>
      </c>
      <c r="L62" s="469">
        <f t="shared" si="0"/>
        <v>0</v>
      </c>
      <c r="M62" s="469">
        <f t="shared" si="1"/>
        <v>43.99</v>
      </c>
      <c r="N62" s="470"/>
    </row>
    <row r="63" spans="1:14">
      <c r="A63" s="464" t="s">
        <v>626</v>
      </c>
      <c r="B63" s="465" t="s">
        <v>1681</v>
      </c>
      <c r="C63" s="466" t="s">
        <v>2352</v>
      </c>
      <c r="D63" s="464" t="s">
        <v>2353</v>
      </c>
      <c r="E63" s="465" t="str">
        <f>VLOOKUP(C63,'[10]Project Detail Query'!$A$1:$R$2830,6,FALSE)</f>
        <v>F0604</v>
      </c>
      <c r="F63" s="464" t="str">
        <f>VLOOKUP(C63,'[10]Project Detail Query'!$A$1:$R$2830,7,FALSE)</f>
        <v>Main Replacement - ISRS (S)</v>
      </c>
      <c r="G63" s="465" t="s">
        <v>20</v>
      </c>
      <c r="H63" s="465">
        <v>201701</v>
      </c>
      <c r="I63" s="467">
        <v>9679.6299999999992</v>
      </c>
      <c r="J63" s="464">
        <v>0</v>
      </c>
      <c r="K63" s="472">
        <v>1.4833299999999999E-3</v>
      </c>
      <c r="L63" s="469">
        <f t="shared" si="0"/>
        <v>0</v>
      </c>
      <c r="M63" s="469">
        <f t="shared" si="1"/>
        <v>172.3</v>
      </c>
      <c r="N63" s="470"/>
    </row>
    <row r="64" spans="1:14">
      <c r="A64" s="464" t="s">
        <v>14</v>
      </c>
      <c r="B64" s="465" t="s">
        <v>1681</v>
      </c>
      <c r="C64" s="466" t="s">
        <v>2352</v>
      </c>
      <c r="D64" s="464" t="s">
        <v>2353</v>
      </c>
      <c r="E64" s="465" t="str">
        <f>VLOOKUP(C64,'[10]Project Detail Query'!$A$1:$R$2830,6,FALSE)</f>
        <v>F0604</v>
      </c>
      <c r="F64" s="464" t="str">
        <f>VLOOKUP(C64,'[10]Project Detail Query'!$A$1:$R$2830,7,FALSE)</f>
        <v>Main Replacement - ISRS (S)</v>
      </c>
      <c r="G64" s="465" t="s">
        <v>20</v>
      </c>
      <c r="H64" s="465">
        <v>201701</v>
      </c>
      <c r="I64" s="467">
        <v>15.76</v>
      </c>
      <c r="J64" s="464">
        <v>0</v>
      </c>
      <c r="K64" s="468">
        <v>2.23333E-3</v>
      </c>
      <c r="L64" s="469">
        <f t="shared" si="0"/>
        <v>0</v>
      </c>
      <c r="M64" s="469">
        <f t="shared" si="1"/>
        <v>0.42</v>
      </c>
      <c r="N64" s="470"/>
    </row>
    <row r="65" spans="1:14">
      <c r="A65" s="464" t="s">
        <v>626</v>
      </c>
      <c r="B65" s="465" t="s">
        <v>1681</v>
      </c>
      <c r="C65" s="466" t="s">
        <v>2354</v>
      </c>
      <c r="D65" s="464" t="s">
        <v>2355</v>
      </c>
      <c r="E65" s="465" t="str">
        <f>VLOOKUP(C65,'[10]Project Detail Query'!$A$1:$R$2830,6,FALSE)</f>
        <v>F0599</v>
      </c>
      <c r="F65" s="464" t="str">
        <f>VLOOKUP(C65,'[10]Project Detail Query'!$A$1:$R$2830,7,FALSE)</f>
        <v>Main Replacement - ISRS (N)</v>
      </c>
      <c r="G65" s="465" t="s">
        <v>20</v>
      </c>
      <c r="H65" s="465">
        <v>201701</v>
      </c>
      <c r="I65" s="467">
        <v>190.04</v>
      </c>
      <c r="J65" s="464">
        <v>0</v>
      </c>
      <c r="K65" s="472">
        <v>1.4833299999999999E-3</v>
      </c>
      <c r="L65" s="469">
        <f t="shared" si="0"/>
        <v>0</v>
      </c>
      <c r="M65" s="469">
        <f t="shared" si="1"/>
        <v>3.38</v>
      </c>
      <c r="N65" s="470"/>
    </row>
    <row r="66" spans="1:14">
      <c r="A66" s="464" t="s">
        <v>626</v>
      </c>
      <c r="B66" s="465" t="s">
        <v>1681</v>
      </c>
      <c r="C66" s="466" t="s">
        <v>2358</v>
      </c>
      <c r="D66" s="464" t="s">
        <v>2359</v>
      </c>
      <c r="E66" s="465" t="str">
        <f>VLOOKUP(C66,'[10]Project Detail Query'!$A$1:$R$2830,6,FALSE)</f>
        <v>F0604</v>
      </c>
      <c r="F66" s="464" t="str">
        <f>VLOOKUP(C66,'[10]Project Detail Query'!$A$1:$R$2830,7,FALSE)</f>
        <v>Main Replacement - ISRS (S)</v>
      </c>
      <c r="G66" s="465" t="s">
        <v>20</v>
      </c>
      <c r="H66" s="465">
        <v>201701</v>
      </c>
      <c r="I66" s="467">
        <v>1243.8599999999999</v>
      </c>
      <c r="J66" s="464">
        <v>0</v>
      </c>
      <c r="K66" s="472">
        <v>1.4833299999999999E-3</v>
      </c>
      <c r="L66" s="469">
        <f t="shared" si="0"/>
        <v>0</v>
      </c>
      <c r="M66" s="469">
        <f t="shared" si="1"/>
        <v>22.14</v>
      </c>
      <c r="N66" s="470"/>
    </row>
    <row r="67" spans="1:14">
      <c r="A67" s="464" t="s">
        <v>14</v>
      </c>
      <c r="B67" s="465" t="s">
        <v>1681</v>
      </c>
      <c r="C67" s="466" t="s">
        <v>2358</v>
      </c>
      <c r="D67" s="464" t="s">
        <v>2359</v>
      </c>
      <c r="E67" s="465" t="str">
        <f>VLOOKUP(C67,'[10]Project Detail Query'!$A$1:$R$2830,6,FALSE)</f>
        <v>F0604</v>
      </c>
      <c r="F67" s="464" t="str">
        <f>VLOOKUP(C67,'[10]Project Detail Query'!$A$1:$R$2830,7,FALSE)</f>
        <v>Main Replacement - ISRS (S)</v>
      </c>
      <c r="G67" s="465" t="s">
        <v>20</v>
      </c>
      <c r="H67" s="465">
        <v>201701</v>
      </c>
      <c r="I67" s="467">
        <v>14.01</v>
      </c>
      <c r="J67" s="464">
        <v>0</v>
      </c>
      <c r="K67" s="468">
        <v>2.23333E-3</v>
      </c>
      <c r="L67" s="469">
        <f t="shared" si="0"/>
        <v>0</v>
      </c>
      <c r="M67" s="469">
        <f t="shared" si="1"/>
        <v>0.38</v>
      </c>
      <c r="N67" s="470"/>
    </row>
    <row r="68" spans="1:14">
      <c r="A68" s="464" t="s">
        <v>626</v>
      </c>
      <c r="B68" s="465" t="s">
        <v>1681</v>
      </c>
      <c r="C68" s="466" t="s">
        <v>2360</v>
      </c>
      <c r="D68" s="464" t="s">
        <v>2361</v>
      </c>
      <c r="E68" s="465" t="str">
        <f>VLOOKUP(C68,'[10]Project Detail Query'!$A$1:$R$2830,6,FALSE)</f>
        <v>F0604</v>
      </c>
      <c r="F68" s="464" t="str">
        <f>VLOOKUP(C68,'[10]Project Detail Query'!$A$1:$R$2830,7,FALSE)</f>
        <v>Main Replacement - ISRS (S)</v>
      </c>
      <c r="G68" s="465" t="s">
        <v>20</v>
      </c>
      <c r="H68" s="465">
        <v>201701</v>
      </c>
      <c r="I68" s="467">
        <v>738.94</v>
      </c>
      <c r="J68" s="464">
        <v>0</v>
      </c>
      <c r="K68" s="472">
        <v>1.4833299999999999E-3</v>
      </c>
      <c r="L68" s="469">
        <f t="shared" si="0"/>
        <v>0</v>
      </c>
      <c r="M68" s="469">
        <f t="shared" si="1"/>
        <v>13.15</v>
      </c>
      <c r="N68" s="470"/>
    </row>
    <row r="69" spans="1:14">
      <c r="A69" s="464" t="s">
        <v>14</v>
      </c>
      <c r="B69" s="465" t="s">
        <v>1681</v>
      </c>
      <c r="C69" s="466" t="s">
        <v>2360</v>
      </c>
      <c r="D69" s="464" t="s">
        <v>2361</v>
      </c>
      <c r="E69" s="465" t="str">
        <f>VLOOKUP(C69,'[10]Project Detail Query'!$A$1:$R$2830,6,FALSE)</f>
        <v>F0604</v>
      </c>
      <c r="F69" s="464" t="str">
        <f>VLOOKUP(C69,'[10]Project Detail Query'!$A$1:$R$2830,7,FALSE)</f>
        <v>Main Replacement - ISRS (S)</v>
      </c>
      <c r="G69" s="465" t="s">
        <v>20</v>
      </c>
      <c r="H69" s="465">
        <v>201701</v>
      </c>
      <c r="I69" s="467">
        <v>9.6300000000000008</v>
      </c>
      <c r="J69" s="464">
        <v>0</v>
      </c>
      <c r="K69" s="468">
        <v>2.23333E-3</v>
      </c>
      <c r="L69" s="469">
        <f t="shared" ref="L69:L132" si="2">ROUND(I69*J69*K69,2)</f>
        <v>0</v>
      </c>
      <c r="M69" s="469">
        <f t="shared" ref="M69:M132" si="3">ROUND(I69*K69*12,2)</f>
        <v>0.26</v>
      </c>
      <c r="N69" s="470"/>
    </row>
    <row r="70" spans="1:14">
      <c r="A70" s="464" t="s">
        <v>626</v>
      </c>
      <c r="B70" s="465" t="s">
        <v>1681</v>
      </c>
      <c r="C70" s="466" t="s">
        <v>2362</v>
      </c>
      <c r="D70" s="464" t="s">
        <v>2363</v>
      </c>
      <c r="E70" s="465" t="str">
        <f>VLOOKUP(C70,'[10]Project Detail Query'!$A$1:$R$2830,6,FALSE)</f>
        <v>F0604</v>
      </c>
      <c r="F70" s="464" t="str">
        <f>VLOOKUP(C70,'[10]Project Detail Query'!$A$1:$R$2830,7,FALSE)</f>
        <v>Main Replacement - ISRS (S)</v>
      </c>
      <c r="G70" s="465" t="s">
        <v>20</v>
      </c>
      <c r="H70" s="465">
        <v>201701</v>
      </c>
      <c r="I70" s="467">
        <v>5617.49</v>
      </c>
      <c r="J70" s="464">
        <v>0</v>
      </c>
      <c r="K70" s="472">
        <v>1.4833299999999999E-3</v>
      </c>
      <c r="L70" s="469">
        <f t="shared" si="2"/>
        <v>0</v>
      </c>
      <c r="M70" s="469">
        <f t="shared" si="3"/>
        <v>99.99</v>
      </c>
      <c r="N70" s="470"/>
    </row>
    <row r="71" spans="1:14">
      <c r="A71" s="464" t="s">
        <v>14</v>
      </c>
      <c r="B71" s="465" t="s">
        <v>1681</v>
      </c>
      <c r="C71" s="466" t="s">
        <v>2362</v>
      </c>
      <c r="D71" s="464" t="s">
        <v>2363</v>
      </c>
      <c r="E71" s="465" t="str">
        <f>VLOOKUP(C71,'[10]Project Detail Query'!$A$1:$R$2830,6,FALSE)</f>
        <v>F0604</v>
      </c>
      <c r="F71" s="464" t="str">
        <f>VLOOKUP(C71,'[10]Project Detail Query'!$A$1:$R$2830,7,FALSE)</f>
        <v>Main Replacement - ISRS (S)</v>
      </c>
      <c r="G71" s="465" t="s">
        <v>20</v>
      </c>
      <c r="H71" s="465">
        <v>201701</v>
      </c>
      <c r="I71" s="467">
        <v>96.25</v>
      </c>
      <c r="J71" s="464">
        <v>0</v>
      </c>
      <c r="K71" s="468">
        <v>2.23333E-3</v>
      </c>
      <c r="L71" s="469">
        <f t="shared" si="2"/>
        <v>0</v>
      </c>
      <c r="M71" s="469">
        <f t="shared" si="3"/>
        <v>2.58</v>
      </c>
      <c r="N71" s="470"/>
    </row>
    <row r="72" spans="1:14">
      <c r="A72" s="464" t="s">
        <v>626</v>
      </c>
      <c r="B72" s="465" t="s">
        <v>1681</v>
      </c>
      <c r="C72" s="466" t="s">
        <v>2364</v>
      </c>
      <c r="D72" s="464" t="s">
        <v>2365</v>
      </c>
      <c r="E72" s="465" t="str">
        <f>VLOOKUP(C72,'[10]Project Detail Query'!$A$1:$R$2830,6,FALSE)</f>
        <v>F0604</v>
      </c>
      <c r="F72" s="464" t="str">
        <f>VLOOKUP(C72,'[10]Project Detail Query'!$A$1:$R$2830,7,FALSE)</f>
        <v>Main Replacement - ISRS (S)</v>
      </c>
      <c r="G72" s="465" t="s">
        <v>20</v>
      </c>
      <c r="H72" s="465">
        <v>201701</v>
      </c>
      <c r="I72" s="467">
        <v>5988</v>
      </c>
      <c r="J72" s="464">
        <v>0</v>
      </c>
      <c r="K72" s="472">
        <v>1.4833299999999999E-3</v>
      </c>
      <c r="L72" s="469">
        <f t="shared" si="2"/>
        <v>0</v>
      </c>
      <c r="M72" s="469">
        <f t="shared" si="3"/>
        <v>106.59</v>
      </c>
      <c r="N72" s="470"/>
    </row>
    <row r="73" spans="1:14">
      <c r="A73" s="464" t="s">
        <v>14</v>
      </c>
      <c r="B73" s="465" t="s">
        <v>1681</v>
      </c>
      <c r="C73" s="466" t="s">
        <v>2364</v>
      </c>
      <c r="D73" s="464" t="s">
        <v>2365</v>
      </c>
      <c r="E73" s="465" t="str">
        <f>VLOOKUP(C73,'[10]Project Detail Query'!$A$1:$R$2830,6,FALSE)</f>
        <v>F0604</v>
      </c>
      <c r="F73" s="464" t="str">
        <f>VLOOKUP(C73,'[10]Project Detail Query'!$A$1:$R$2830,7,FALSE)</f>
        <v>Main Replacement - ISRS (S)</v>
      </c>
      <c r="G73" s="465" t="s">
        <v>20</v>
      </c>
      <c r="H73" s="465">
        <v>201701</v>
      </c>
      <c r="I73" s="467">
        <v>61.52</v>
      </c>
      <c r="J73" s="464">
        <v>0</v>
      </c>
      <c r="K73" s="468">
        <v>2.23333E-3</v>
      </c>
      <c r="L73" s="469">
        <f t="shared" si="2"/>
        <v>0</v>
      </c>
      <c r="M73" s="469">
        <f t="shared" si="3"/>
        <v>1.65</v>
      </c>
      <c r="N73" s="470"/>
    </row>
    <row r="74" spans="1:14">
      <c r="A74" s="464" t="s">
        <v>21</v>
      </c>
      <c r="B74" s="465" t="s">
        <v>1681</v>
      </c>
      <c r="C74" s="466" t="s">
        <v>2366</v>
      </c>
      <c r="D74" s="464" t="s">
        <v>2367</v>
      </c>
      <c r="E74" s="465" t="str">
        <f>VLOOKUP(C74,'[10]Project Detail Query'!$A$1:$R$2830,6,FALSE)</f>
        <v>F0604</v>
      </c>
      <c r="F74" s="464" t="str">
        <f>VLOOKUP(C74,'[10]Project Detail Query'!$A$1:$R$2830,7,FALSE)</f>
        <v>Main Replacement - ISRS (S)</v>
      </c>
      <c r="G74" s="465" t="s">
        <v>20</v>
      </c>
      <c r="H74" s="465">
        <v>201701</v>
      </c>
      <c r="I74" s="467">
        <v>0.18</v>
      </c>
      <c r="J74" s="464">
        <v>0</v>
      </c>
      <c r="K74" s="472">
        <v>1.4833299999999999E-3</v>
      </c>
      <c r="L74" s="469">
        <f t="shared" si="2"/>
        <v>0</v>
      </c>
      <c r="M74" s="469">
        <f t="shared" si="3"/>
        <v>0</v>
      </c>
      <c r="N74" s="470"/>
    </row>
    <row r="75" spans="1:14">
      <c r="A75" s="464" t="s">
        <v>626</v>
      </c>
      <c r="B75" s="465" t="s">
        <v>1681</v>
      </c>
      <c r="C75" s="466" t="s">
        <v>2366</v>
      </c>
      <c r="D75" s="464" t="s">
        <v>2367</v>
      </c>
      <c r="E75" s="465" t="str">
        <f>VLOOKUP(C75,'[10]Project Detail Query'!$A$1:$R$2830,6,FALSE)</f>
        <v>F0604</v>
      </c>
      <c r="F75" s="464" t="str">
        <f>VLOOKUP(C75,'[10]Project Detail Query'!$A$1:$R$2830,7,FALSE)</f>
        <v>Main Replacement - ISRS (S)</v>
      </c>
      <c r="G75" s="465" t="s">
        <v>20</v>
      </c>
      <c r="H75" s="465">
        <v>201701</v>
      </c>
      <c r="I75" s="467">
        <v>1153.8900000000001</v>
      </c>
      <c r="J75" s="464">
        <v>0</v>
      </c>
      <c r="K75" s="472">
        <v>1.4833299999999999E-3</v>
      </c>
      <c r="L75" s="469">
        <f t="shared" si="2"/>
        <v>0</v>
      </c>
      <c r="M75" s="469">
        <f t="shared" si="3"/>
        <v>20.54</v>
      </c>
      <c r="N75" s="470"/>
    </row>
    <row r="76" spans="1:14">
      <c r="A76" s="464" t="s">
        <v>14</v>
      </c>
      <c r="B76" s="465" t="s">
        <v>1681</v>
      </c>
      <c r="C76" s="466" t="s">
        <v>2366</v>
      </c>
      <c r="D76" s="464" t="s">
        <v>2367</v>
      </c>
      <c r="E76" s="465" t="str">
        <f>VLOOKUP(C76,'[10]Project Detail Query'!$A$1:$R$2830,6,FALSE)</f>
        <v>F0604</v>
      </c>
      <c r="F76" s="464" t="str">
        <f>VLOOKUP(C76,'[10]Project Detail Query'!$A$1:$R$2830,7,FALSE)</f>
        <v>Main Replacement - ISRS (S)</v>
      </c>
      <c r="G76" s="465" t="s">
        <v>20</v>
      </c>
      <c r="H76" s="465">
        <v>201701</v>
      </c>
      <c r="I76" s="467">
        <v>1.5</v>
      </c>
      <c r="J76" s="464">
        <v>0</v>
      </c>
      <c r="K76" s="468">
        <v>2.23333E-3</v>
      </c>
      <c r="L76" s="469">
        <f t="shared" si="2"/>
        <v>0</v>
      </c>
      <c r="M76" s="469">
        <f t="shared" si="3"/>
        <v>0.04</v>
      </c>
      <c r="N76" s="470"/>
    </row>
    <row r="77" spans="1:14">
      <c r="A77" s="464" t="s">
        <v>21</v>
      </c>
      <c r="B77" s="465" t="s">
        <v>1681</v>
      </c>
      <c r="C77" s="466" t="s">
        <v>2368</v>
      </c>
      <c r="D77" s="464" t="s">
        <v>2369</v>
      </c>
      <c r="E77" s="465" t="str">
        <f>VLOOKUP(C77,'[10]Project Detail Query'!$A$1:$R$2830,6,FALSE)</f>
        <v>F0604</v>
      </c>
      <c r="F77" s="464" t="str">
        <f>VLOOKUP(C77,'[10]Project Detail Query'!$A$1:$R$2830,7,FALSE)</f>
        <v>Main Replacement - ISRS (S)</v>
      </c>
      <c r="G77" s="465" t="s">
        <v>20</v>
      </c>
      <c r="H77" s="465">
        <v>201701</v>
      </c>
      <c r="I77" s="467">
        <v>0.13</v>
      </c>
      <c r="J77" s="464">
        <v>0</v>
      </c>
      <c r="K77" s="472">
        <v>1.4833299999999999E-3</v>
      </c>
      <c r="L77" s="469">
        <f t="shared" si="2"/>
        <v>0</v>
      </c>
      <c r="M77" s="469">
        <f t="shared" si="3"/>
        <v>0</v>
      </c>
      <c r="N77" s="470"/>
    </row>
    <row r="78" spans="1:14">
      <c r="A78" s="464" t="s">
        <v>626</v>
      </c>
      <c r="B78" s="465" t="s">
        <v>1681</v>
      </c>
      <c r="C78" s="466" t="s">
        <v>2368</v>
      </c>
      <c r="D78" s="464" t="s">
        <v>2369</v>
      </c>
      <c r="E78" s="465" t="str">
        <f>VLOOKUP(C78,'[10]Project Detail Query'!$A$1:$R$2830,6,FALSE)</f>
        <v>F0604</v>
      </c>
      <c r="F78" s="464" t="str">
        <f>VLOOKUP(C78,'[10]Project Detail Query'!$A$1:$R$2830,7,FALSE)</f>
        <v>Main Replacement - ISRS (S)</v>
      </c>
      <c r="G78" s="465" t="s">
        <v>20</v>
      </c>
      <c r="H78" s="465">
        <v>201701</v>
      </c>
      <c r="I78" s="467">
        <v>1429.74</v>
      </c>
      <c r="J78" s="464">
        <v>0</v>
      </c>
      <c r="K78" s="472">
        <v>1.4833299999999999E-3</v>
      </c>
      <c r="L78" s="469">
        <f t="shared" si="2"/>
        <v>0</v>
      </c>
      <c r="M78" s="469">
        <f t="shared" si="3"/>
        <v>25.45</v>
      </c>
      <c r="N78" s="470"/>
    </row>
    <row r="79" spans="1:14">
      <c r="A79" s="464" t="s">
        <v>14</v>
      </c>
      <c r="B79" s="465" t="s">
        <v>1681</v>
      </c>
      <c r="C79" s="466" t="s">
        <v>2368</v>
      </c>
      <c r="D79" s="464" t="s">
        <v>2369</v>
      </c>
      <c r="E79" s="465" t="str">
        <f>VLOOKUP(C79,'[10]Project Detail Query'!$A$1:$R$2830,6,FALSE)</f>
        <v>F0604</v>
      </c>
      <c r="F79" s="464" t="str">
        <f>VLOOKUP(C79,'[10]Project Detail Query'!$A$1:$R$2830,7,FALSE)</f>
        <v>Main Replacement - ISRS (S)</v>
      </c>
      <c r="G79" s="465" t="s">
        <v>20</v>
      </c>
      <c r="H79" s="465">
        <v>201701</v>
      </c>
      <c r="I79" s="467">
        <v>2.36</v>
      </c>
      <c r="J79" s="464">
        <v>0</v>
      </c>
      <c r="K79" s="468">
        <v>2.23333E-3</v>
      </c>
      <c r="L79" s="469">
        <f t="shared" si="2"/>
        <v>0</v>
      </c>
      <c r="M79" s="469">
        <f t="shared" si="3"/>
        <v>0.06</v>
      </c>
      <c r="N79" s="470"/>
    </row>
    <row r="80" spans="1:14">
      <c r="A80" s="464" t="s">
        <v>626</v>
      </c>
      <c r="B80" s="465" t="s">
        <v>1681</v>
      </c>
      <c r="C80" s="466" t="s">
        <v>2370</v>
      </c>
      <c r="D80" s="464" t="s">
        <v>2371</v>
      </c>
      <c r="E80" s="465" t="str">
        <f>VLOOKUP(C80,'[10]Project Detail Query'!$A$1:$R$2830,6,FALSE)</f>
        <v>F0604</v>
      </c>
      <c r="F80" s="464" t="str">
        <f>VLOOKUP(C80,'[10]Project Detail Query'!$A$1:$R$2830,7,FALSE)</f>
        <v>Main Replacement - ISRS (S)</v>
      </c>
      <c r="G80" s="465" t="s">
        <v>20</v>
      </c>
      <c r="H80" s="465">
        <v>201701</v>
      </c>
      <c r="I80" s="467">
        <v>1176.47</v>
      </c>
      <c r="J80" s="464">
        <v>0</v>
      </c>
      <c r="K80" s="472">
        <v>1.4833299999999999E-3</v>
      </c>
      <c r="L80" s="469">
        <f t="shared" si="2"/>
        <v>0</v>
      </c>
      <c r="M80" s="469">
        <f t="shared" si="3"/>
        <v>20.94</v>
      </c>
      <c r="N80" s="470"/>
    </row>
    <row r="81" spans="1:14">
      <c r="A81" s="464" t="s">
        <v>14</v>
      </c>
      <c r="B81" s="465" t="s">
        <v>1681</v>
      </c>
      <c r="C81" s="466" t="s">
        <v>2370</v>
      </c>
      <c r="D81" s="464" t="s">
        <v>2371</v>
      </c>
      <c r="E81" s="465" t="str">
        <f>VLOOKUP(C81,'[10]Project Detail Query'!$A$1:$R$2830,6,FALSE)</f>
        <v>F0604</v>
      </c>
      <c r="F81" s="464" t="str">
        <f>VLOOKUP(C81,'[10]Project Detail Query'!$A$1:$R$2830,7,FALSE)</f>
        <v>Main Replacement - ISRS (S)</v>
      </c>
      <c r="G81" s="465" t="s">
        <v>20</v>
      </c>
      <c r="H81" s="465">
        <v>201701</v>
      </c>
      <c r="I81" s="467">
        <v>0.1</v>
      </c>
      <c r="J81" s="464">
        <v>0</v>
      </c>
      <c r="K81" s="468">
        <v>2.23333E-3</v>
      </c>
      <c r="L81" s="469">
        <f t="shared" si="2"/>
        <v>0</v>
      </c>
      <c r="M81" s="469">
        <f t="shared" si="3"/>
        <v>0</v>
      </c>
      <c r="N81" s="470"/>
    </row>
    <row r="82" spans="1:14">
      <c r="A82" s="464" t="s">
        <v>626</v>
      </c>
      <c r="B82" s="465" t="s">
        <v>1681</v>
      </c>
      <c r="C82" s="466" t="s">
        <v>2317</v>
      </c>
      <c r="D82" s="464" t="s">
        <v>2318</v>
      </c>
      <c r="E82" s="465" t="str">
        <f>VLOOKUP(C82,'[10]Project Detail Query'!$A$1:$R$2830,6,FALSE)</f>
        <v>F0604</v>
      </c>
      <c r="F82" s="464" t="str">
        <f>VLOOKUP(C82,'[10]Project Detail Query'!$A$1:$R$2830,7,FALSE)</f>
        <v>Main Replacement - ISRS (S)</v>
      </c>
      <c r="G82" s="465" t="s">
        <v>20</v>
      </c>
      <c r="H82" s="465">
        <v>201701</v>
      </c>
      <c r="I82" s="467">
        <v>-8.61</v>
      </c>
      <c r="J82" s="464">
        <v>0</v>
      </c>
      <c r="K82" s="472">
        <v>1.4833299999999999E-3</v>
      </c>
      <c r="L82" s="469">
        <f t="shared" si="2"/>
        <v>0</v>
      </c>
      <c r="M82" s="469">
        <f t="shared" si="3"/>
        <v>-0.15</v>
      </c>
      <c r="N82" s="470"/>
    </row>
    <row r="83" spans="1:14">
      <c r="A83" s="464" t="s">
        <v>626</v>
      </c>
      <c r="B83" s="465" t="s">
        <v>1681</v>
      </c>
      <c r="C83" s="466" t="s">
        <v>2009</v>
      </c>
      <c r="D83" s="464" t="s">
        <v>2010</v>
      </c>
      <c r="E83" s="465" t="str">
        <f>VLOOKUP(C83,'[10]Project Detail Query'!$A$1:$R$2830,6,FALSE)</f>
        <v>F0572</v>
      </c>
      <c r="F83" s="464" t="str">
        <f>VLOOKUP(C83,'[10]Project Detail Query'!$A$1:$R$2830,7,FALSE)</f>
        <v>Main Replacement - ISRS (SW)</v>
      </c>
      <c r="G83" s="465" t="s">
        <v>20</v>
      </c>
      <c r="H83" s="465">
        <v>201701</v>
      </c>
      <c r="I83" s="467">
        <v>6.2</v>
      </c>
      <c r="J83" s="464">
        <v>0</v>
      </c>
      <c r="K83" s="472">
        <v>1.4833299999999999E-3</v>
      </c>
      <c r="L83" s="469">
        <f t="shared" si="2"/>
        <v>0</v>
      </c>
      <c r="M83" s="469">
        <f t="shared" si="3"/>
        <v>0.11</v>
      </c>
      <c r="N83" s="470"/>
    </row>
    <row r="84" spans="1:14">
      <c r="A84" s="464" t="s">
        <v>14</v>
      </c>
      <c r="B84" s="465" t="s">
        <v>1681</v>
      </c>
      <c r="C84" s="466" t="s">
        <v>2009</v>
      </c>
      <c r="D84" s="464" t="s">
        <v>2010</v>
      </c>
      <c r="E84" s="465" t="str">
        <f>VLOOKUP(C84,'[10]Project Detail Query'!$A$1:$R$2830,6,FALSE)</f>
        <v>F0572</v>
      </c>
      <c r="F84" s="464" t="str">
        <f>VLOOKUP(C84,'[10]Project Detail Query'!$A$1:$R$2830,7,FALSE)</f>
        <v>Main Replacement - ISRS (SW)</v>
      </c>
      <c r="G84" s="465" t="s">
        <v>20</v>
      </c>
      <c r="H84" s="465">
        <v>201701</v>
      </c>
      <c r="I84" s="467">
        <v>0.15</v>
      </c>
      <c r="J84" s="464">
        <v>0</v>
      </c>
      <c r="K84" s="468">
        <v>2.23333E-3</v>
      </c>
      <c r="L84" s="469">
        <f t="shared" si="2"/>
        <v>0</v>
      </c>
      <c r="M84" s="469">
        <f t="shared" si="3"/>
        <v>0</v>
      </c>
      <c r="N84" s="470"/>
    </row>
    <row r="85" spans="1:14">
      <c r="A85" s="464" t="s">
        <v>626</v>
      </c>
      <c r="B85" s="465" t="s">
        <v>1681</v>
      </c>
      <c r="C85" s="466" t="s">
        <v>2265</v>
      </c>
      <c r="D85" s="464" t="s">
        <v>2266</v>
      </c>
      <c r="E85" s="465" t="str">
        <f>VLOOKUP(C85,'[10]Project Detail Query'!$A$1:$R$2830,6,FALSE)</f>
        <v>F0599</v>
      </c>
      <c r="F85" s="464" t="str">
        <f>VLOOKUP(C85,'[10]Project Detail Query'!$A$1:$R$2830,7,FALSE)</f>
        <v>Main Replacement - ISRS (N)</v>
      </c>
      <c r="G85" s="465" t="s">
        <v>20</v>
      </c>
      <c r="H85" s="465">
        <v>201701</v>
      </c>
      <c r="I85" s="467">
        <v>23.51</v>
      </c>
      <c r="J85" s="464">
        <v>0</v>
      </c>
      <c r="K85" s="472">
        <v>1.4833299999999999E-3</v>
      </c>
      <c r="L85" s="469">
        <f t="shared" si="2"/>
        <v>0</v>
      </c>
      <c r="M85" s="469">
        <f t="shared" si="3"/>
        <v>0.42</v>
      </c>
      <c r="N85" s="470"/>
    </row>
    <row r="86" spans="1:14">
      <c r="A86" s="464" t="s">
        <v>626</v>
      </c>
      <c r="B86" s="465" t="s">
        <v>1681</v>
      </c>
      <c r="C86" s="466" t="s">
        <v>2319</v>
      </c>
      <c r="D86" s="464" t="s">
        <v>2320</v>
      </c>
      <c r="E86" s="465" t="str">
        <f>VLOOKUP(C86,'[10]Project Detail Query'!$A$1:$R$2830,6,FALSE)</f>
        <v>F0599</v>
      </c>
      <c r="F86" s="464" t="str">
        <f>VLOOKUP(C86,'[10]Project Detail Query'!$A$1:$R$2830,7,FALSE)</f>
        <v>Main Replacement - ISRS (N)</v>
      </c>
      <c r="G86" s="465" t="s">
        <v>20</v>
      </c>
      <c r="H86" s="465">
        <v>201701</v>
      </c>
      <c r="I86" s="467">
        <v>57.13</v>
      </c>
      <c r="J86" s="464">
        <v>0</v>
      </c>
      <c r="K86" s="472">
        <v>1.4833299999999999E-3</v>
      </c>
      <c r="L86" s="469">
        <f t="shared" si="2"/>
        <v>0</v>
      </c>
      <c r="M86" s="469">
        <f t="shared" si="3"/>
        <v>1.02</v>
      </c>
      <c r="N86" s="470"/>
    </row>
    <row r="87" spans="1:14">
      <c r="A87" s="464" t="s">
        <v>14</v>
      </c>
      <c r="B87" s="465" t="s">
        <v>1681</v>
      </c>
      <c r="C87" s="466" t="s">
        <v>2319</v>
      </c>
      <c r="D87" s="464" t="s">
        <v>2320</v>
      </c>
      <c r="E87" s="465" t="str">
        <f>VLOOKUP(C87,'[10]Project Detail Query'!$A$1:$R$2830,6,FALSE)</f>
        <v>F0599</v>
      </c>
      <c r="F87" s="464" t="str">
        <f>VLOOKUP(C87,'[10]Project Detail Query'!$A$1:$R$2830,7,FALSE)</f>
        <v>Main Replacement - ISRS (N)</v>
      </c>
      <c r="G87" s="465" t="s">
        <v>20</v>
      </c>
      <c r="H87" s="465">
        <v>201701</v>
      </c>
      <c r="I87" s="467">
        <v>1.61</v>
      </c>
      <c r="J87" s="464">
        <v>0</v>
      </c>
      <c r="K87" s="468">
        <v>2.23333E-3</v>
      </c>
      <c r="L87" s="469">
        <f t="shared" si="2"/>
        <v>0</v>
      </c>
      <c r="M87" s="469">
        <f t="shared" si="3"/>
        <v>0.04</v>
      </c>
      <c r="N87" s="470"/>
    </row>
    <row r="88" spans="1:14">
      <c r="A88" s="464" t="s">
        <v>626</v>
      </c>
      <c r="B88" s="465" t="s">
        <v>1681</v>
      </c>
      <c r="C88" s="466" t="s">
        <v>2321</v>
      </c>
      <c r="D88" s="464" t="s">
        <v>2322</v>
      </c>
      <c r="E88" s="465" t="str">
        <f>VLOOKUP(C88,'[10]Project Detail Query'!$A$1:$R$2830,6,FALSE)</f>
        <v>F0599</v>
      </c>
      <c r="F88" s="464" t="str">
        <f>VLOOKUP(C88,'[10]Project Detail Query'!$A$1:$R$2830,7,FALSE)</f>
        <v>Main Replacement - ISRS (N)</v>
      </c>
      <c r="G88" s="465" t="s">
        <v>20</v>
      </c>
      <c r="H88" s="465">
        <v>201701</v>
      </c>
      <c r="I88" s="467">
        <v>602.58000000000004</v>
      </c>
      <c r="J88" s="464">
        <v>0</v>
      </c>
      <c r="K88" s="472">
        <v>1.4833299999999999E-3</v>
      </c>
      <c r="L88" s="469">
        <f t="shared" si="2"/>
        <v>0</v>
      </c>
      <c r="M88" s="469">
        <f t="shared" si="3"/>
        <v>10.73</v>
      </c>
      <c r="N88" s="470"/>
    </row>
    <row r="89" spans="1:14">
      <c r="A89" s="464" t="s">
        <v>14</v>
      </c>
      <c r="B89" s="465" t="s">
        <v>1681</v>
      </c>
      <c r="C89" s="466" t="s">
        <v>2321</v>
      </c>
      <c r="D89" s="464" t="s">
        <v>2322</v>
      </c>
      <c r="E89" s="465" t="str">
        <f>VLOOKUP(C89,'[10]Project Detail Query'!$A$1:$R$2830,6,FALSE)</f>
        <v>F0599</v>
      </c>
      <c r="F89" s="464" t="str">
        <f>VLOOKUP(C89,'[10]Project Detail Query'!$A$1:$R$2830,7,FALSE)</f>
        <v>Main Replacement - ISRS (N)</v>
      </c>
      <c r="G89" s="465" t="s">
        <v>20</v>
      </c>
      <c r="H89" s="465">
        <v>201701</v>
      </c>
      <c r="I89" s="467">
        <v>5.31</v>
      </c>
      <c r="J89" s="464">
        <v>0</v>
      </c>
      <c r="K89" s="468">
        <v>2.23333E-3</v>
      </c>
      <c r="L89" s="469">
        <f t="shared" si="2"/>
        <v>0</v>
      </c>
      <c r="M89" s="469">
        <f t="shared" si="3"/>
        <v>0.14000000000000001</v>
      </c>
      <c r="N89" s="470"/>
    </row>
    <row r="90" spans="1:14">
      <c r="A90" s="464" t="s">
        <v>626</v>
      </c>
      <c r="B90" s="465" t="s">
        <v>1681</v>
      </c>
      <c r="C90" s="466" t="s">
        <v>2372</v>
      </c>
      <c r="D90" s="464" t="s">
        <v>2373</v>
      </c>
      <c r="E90" s="465" t="str">
        <f>VLOOKUP(C90,'[10]Project Detail Query'!$A$1:$R$2830,6,FALSE)</f>
        <v>F0599</v>
      </c>
      <c r="F90" s="464" t="str">
        <f>VLOOKUP(C90,'[10]Project Detail Query'!$A$1:$R$2830,7,FALSE)</f>
        <v>Main Replacement - ISRS (N)</v>
      </c>
      <c r="G90" s="465" t="s">
        <v>20</v>
      </c>
      <c r="H90" s="465">
        <v>201701</v>
      </c>
      <c r="I90" s="467">
        <v>3811.11</v>
      </c>
      <c r="J90" s="464">
        <v>0</v>
      </c>
      <c r="K90" s="472">
        <v>1.4833299999999999E-3</v>
      </c>
      <c r="L90" s="469">
        <f t="shared" si="2"/>
        <v>0</v>
      </c>
      <c r="M90" s="469">
        <f t="shared" si="3"/>
        <v>67.84</v>
      </c>
      <c r="N90" s="470"/>
    </row>
    <row r="91" spans="1:14">
      <c r="A91" s="464" t="s">
        <v>14</v>
      </c>
      <c r="B91" s="465" t="s">
        <v>1681</v>
      </c>
      <c r="C91" s="466" t="s">
        <v>2372</v>
      </c>
      <c r="D91" s="464" t="s">
        <v>2373</v>
      </c>
      <c r="E91" s="465" t="str">
        <f>VLOOKUP(C91,'[10]Project Detail Query'!$A$1:$R$2830,6,FALSE)</f>
        <v>F0599</v>
      </c>
      <c r="F91" s="464" t="str">
        <f>VLOOKUP(C91,'[10]Project Detail Query'!$A$1:$R$2830,7,FALSE)</f>
        <v>Main Replacement - ISRS (N)</v>
      </c>
      <c r="G91" s="465" t="s">
        <v>20</v>
      </c>
      <c r="H91" s="465">
        <v>201701</v>
      </c>
      <c r="I91" s="467">
        <v>47.27</v>
      </c>
      <c r="J91" s="464">
        <v>0</v>
      </c>
      <c r="K91" s="468">
        <v>2.23333E-3</v>
      </c>
      <c r="L91" s="469">
        <f t="shared" si="2"/>
        <v>0</v>
      </c>
      <c r="M91" s="469">
        <f t="shared" si="3"/>
        <v>1.27</v>
      </c>
      <c r="N91" s="470"/>
    </row>
    <row r="92" spans="1:14">
      <c r="A92" s="464" t="s">
        <v>626</v>
      </c>
      <c r="B92" s="465" t="s">
        <v>1681</v>
      </c>
      <c r="C92" s="466" t="s">
        <v>2374</v>
      </c>
      <c r="D92" s="464" t="s">
        <v>2375</v>
      </c>
      <c r="E92" s="465" t="str">
        <f>VLOOKUP(C92,'[10]Project Detail Query'!$A$1:$R$2830,6,FALSE)</f>
        <v>F0599</v>
      </c>
      <c r="F92" s="464" t="str">
        <f>VLOOKUP(C92,'[10]Project Detail Query'!$A$1:$R$2830,7,FALSE)</f>
        <v>Main Replacement - ISRS (N)</v>
      </c>
      <c r="G92" s="465" t="s">
        <v>20</v>
      </c>
      <c r="H92" s="465">
        <v>201701</v>
      </c>
      <c r="I92" s="467">
        <v>110.94</v>
      </c>
      <c r="J92" s="464">
        <v>0</v>
      </c>
      <c r="K92" s="472">
        <v>1.4833299999999999E-3</v>
      </c>
      <c r="L92" s="469">
        <f t="shared" si="2"/>
        <v>0</v>
      </c>
      <c r="M92" s="469">
        <f t="shared" si="3"/>
        <v>1.97</v>
      </c>
      <c r="N92" s="470"/>
    </row>
    <row r="93" spans="1:14">
      <c r="A93" s="464" t="s">
        <v>14</v>
      </c>
      <c r="B93" s="465" t="s">
        <v>1681</v>
      </c>
      <c r="C93" s="466" t="s">
        <v>2374</v>
      </c>
      <c r="D93" s="464" t="s">
        <v>2375</v>
      </c>
      <c r="E93" s="465" t="str">
        <f>VLOOKUP(C93,'[10]Project Detail Query'!$A$1:$R$2830,6,FALSE)</f>
        <v>F0599</v>
      </c>
      <c r="F93" s="464" t="str">
        <f>VLOOKUP(C93,'[10]Project Detail Query'!$A$1:$R$2830,7,FALSE)</f>
        <v>Main Replacement - ISRS (N)</v>
      </c>
      <c r="G93" s="465" t="s">
        <v>20</v>
      </c>
      <c r="H93" s="465">
        <v>201701</v>
      </c>
      <c r="I93" s="467">
        <v>29.85</v>
      </c>
      <c r="J93" s="464">
        <v>0</v>
      </c>
      <c r="K93" s="468">
        <v>2.23333E-3</v>
      </c>
      <c r="L93" s="469">
        <f t="shared" si="2"/>
        <v>0</v>
      </c>
      <c r="M93" s="469">
        <f t="shared" si="3"/>
        <v>0.8</v>
      </c>
      <c r="N93" s="470"/>
    </row>
    <row r="94" spans="1:14">
      <c r="A94" s="464" t="s">
        <v>626</v>
      </c>
      <c r="B94" s="465" t="s">
        <v>1681</v>
      </c>
      <c r="C94" s="466" t="s">
        <v>2376</v>
      </c>
      <c r="D94" s="464" t="s">
        <v>2377</v>
      </c>
      <c r="E94" s="465" t="str">
        <f>VLOOKUP(C94,'[10]Project Detail Query'!$A$1:$R$2830,6,FALSE)</f>
        <v>F0599</v>
      </c>
      <c r="F94" s="464" t="str">
        <f>VLOOKUP(C94,'[10]Project Detail Query'!$A$1:$R$2830,7,FALSE)</f>
        <v>Main Replacement - ISRS (N)</v>
      </c>
      <c r="G94" s="465" t="s">
        <v>20</v>
      </c>
      <c r="H94" s="465">
        <v>201701</v>
      </c>
      <c r="I94" s="467">
        <v>26.29</v>
      </c>
      <c r="J94" s="464">
        <v>0</v>
      </c>
      <c r="K94" s="472">
        <v>1.4833299999999999E-3</v>
      </c>
      <c r="L94" s="469">
        <f t="shared" si="2"/>
        <v>0</v>
      </c>
      <c r="M94" s="469">
        <f t="shared" si="3"/>
        <v>0.47</v>
      </c>
      <c r="N94" s="470"/>
    </row>
    <row r="95" spans="1:14">
      <c r="A95" s="464" t="s">
        <v>14</v>
      </c>
      <c r="B95" s="465" t="s">
        <v>1681</v>
      </c>
      <c r="C95" s="466" t="s">
        <v>2376</v>
      </c>
      <c r="D95" s="464" t="s">
        <v>2377</v>
      </c>
      <c r="E95" s="465" t="str">
        <f>VLOOKUP(C95,'[10]Project Detail Query'!$A$1:$R$2830,6,FALSE)</f>
        <v>F0599</v>
      </c>
      <c r="F95" s="464" t="str">
        <f>VLOOKUP(C95,'[10]Project Detail Query'!$A$1:$R$2830,7,FALSE)</f>
        <v>Main Replacement - ISRS (N)</v>
      </c>
      <c r="G95" s="465" t="s">
        <v>20</v>
      </c>
      <c r="H95" s="465">
        <v>201701</v>
      </c>
      <c r="I95" s="467">
        <v>3.81</v>
      </c>
      <c r="J95" s="464">
        <v>0</v>
      </c>
      <c r="K95" s="468">
        <v>2.23333E-3</v>
      </c>
      <c r="L95" s="469">
        <f t="shared" si="2"/>
        <v>0</v>
      </c>
      <c r="M95" s="469">
        <f t="shared" si="3"/>
        <v>0.1</v>
      </c>
      <c r="N95" s="470"/>
    </row>
    <row r="96" spans="1:14">
      <c r="A96" s="464" t="s">
        <v>626</v>
      </c>
      <c r="B96" s="465" t="s">
        <v>1681</v>
      </c>
      <c r="C96" s="466" t="s">
        <v>2378</v>
      </c>
      <c r="D96" s="464" t="s">
        <v>2379</v>
      </c>
      <c r="E96" s="465" t="str">
        <f>VLOOKUP(C96,'[10]Project Detail Query'!$A$1:$R$2830,6,FALSE)</f>
        <v>F0547</v>
      </c>
      <c r="F96" s="464" t="str">
        <f>VLOOKUP(C96,'[10]Project Detail Query'!$A$1:$R$2830,7,FALSE)</f>
        <v>Street &amp; Highway Relocates ISRS (N)</v>
      </c>
      <c r="G96" s="465" t="s">
        <v>20</v>
      </c>
      <c r="H96" s="465">
        <v>201701</v>
      </c>
      <c r="I96" s="467">
        <v>13.53</v>
      </c>
      <c r="J96" s="464">
        <v>0</v>
      </c>
      <c r="K96" s="472">
        <v>1.4833299999999999E-3</v>
      </c>
      <c r="L96" s="469">
        <f t="shared" si="2"/>
        <v>0</v>
      </c>
      <c r="M96" s="469">
        <f t="shared" si="3"/>
        <v>0.24</v>
      </c>
      <c r="N96" s="470"/>
    </row>
    <row r="97" spans="1:14">
      <c r="A97" s="464" t="s">
        <v>14</v>
      </c>
      <c r="B97" s="465" t="s">
        <v>1681</v>
      </c>
      <c r="C97" s="466" t="s">
        <v>2378</v>
      </c>
      <c r="D97" s="464" t="s">
        <v>2379</v>
      </c>
      <c r="E97" s="465" t="str">
        <f>VLOOKUP(C97,'[10]Project Detail Query'!$A$1:$R$2830,6,FALSE)</f>
        <v>F0547</v>
      </c>
      <c r="F97" s="464" t="str">
        <f>VLOOKUP(C97,'[10]Project Detail Query'!$A$1:$R$2830,7,FALSE)</f>
        <v>Street &amp; Highway Relocates ISRS (N)</v>
      </c>
      <c r="G97" s="465" t="s">
        <v>20</v>
      </c>
      <c r="H97" s="465">
        <v>201701</v>
      </c>
      <c r="I97" s="467">
        <v>2.83</v>
      </c>
      <c r="J97" s="464">
        <v>0</v>
      </c>
      <c r="K97" s="468">
        <v>2.23333E-3</v>
      </c>
      <c r="L97" s="469">
        <f t="shared" si="2"/>
        <v>0</v>
      </c>
      <c r="M97" s="469">
        <f t="shared" si="3"/>
        <v>0.08</v>
      </c>
      <c r="N97" s="470"/>
    </row>
    <row r="98" spans="1:14">
      <c r="A98" s="464" t="s">
        <v>626</v>
      </c>
      <c r="B98" s="465" t="s">
        <v>1681</v>
      </c>
      <c r="C98" s="466" t="s">
        <v>2380</v>
      </c>
      <c r="D98" s="464" t="s">
        <v>2381</v>
      </c>
      <c r="E98" s="465" t="str">
        <f>VLOOKUP(C98,'[10]Project Detail Query'!$A$1:$R$2830,6,FALSE)</f>
        <v>F0599</v>
      </c>
      <c r="F98" s="464" t="str">
        <f>VLOOKUP(C98,'[10]Project Detail Query'!$A$1:$R$2830,7,FALSE)</f>
        <v>Main Replacement - ISRS (N)</v>
      </c>
      <c r="G98" s="465" t="s">
        <v>20</v>
      </c>
      <c r="H98" s="465">
        <v>201701</v>
      </c>
      <c r="I98" s="467">
        <v>53.03</v>
      </c>
      <c r="J98" s="464">
        <v>0</v>
      </c>
      <c r="K98" s="472">
        <v>1.4833299999999999E-3</v>
      </c>
      <c r="L98" s="469">
        <f t="shared" si="2"/>
        <v>0</v>
      </c>
      <c r="M98" s="469">
        <f t="shared" si="3"/>
        <v>0.94</v>
      </c>
      <c r="N98" s="470"/>
    </row>
    <row r="99" spans="1:14">
      <c r="A99" s="464" t="s">
        <v>1942</v>
      </c>
      <c r="B99" s="465" t="s">
        <v>1681</v>
      </c>
      <c r="C99" s="466" t="s">
        <v>2380</v>
      </c>
      <c r="D99" s="464" t="s">
        <v>2381</v>
      </c>
      <c r="E99" s="465" t="str">
        <f>VLOOKUP(C99,'[10]Project Detail Query'!$A$1:$R$2830,6,FALSE)</f>
        <v>F0599</v>
      </c>
      <c r="F99" s="464" t="str">
        <f>VLOOKUP(C99,'[10]Project Detail Query'!$A$1:$R$2830,7,FALSE)</f>
        <v>Main Replacement - ISRS (N)</v>
      </c>
      <c r="G99" s="465" t="s">
        <v>20</v>
      </c>
      <c r="H99" s="465">
        <v>201701</v>
      </c>
      <c r="I99" s="467">
        <v>0.15</v>
      </c>
      <c r="J99" s="464">
        <v>0</v>
      </c>
      <c r="K99" s="472">
        <v>2.23333E-3</v>
      </c>
      <c r="L99" s="469">
        <f t="shared" si="2"/>
        <v>0</v>
      </c>
      <c r="M99" s="469">
        <f t="shared" si="3"/>
        <v>0</v>
      </c>
      <c r="N99" s="470"/>
    </row>
    <row r="100" spans="1:14">
      <c r="A100" s="464" t="s">
        <v>14</v>
      </c>
      <c r="B100" s="465" t="s">
        <v>1681</v>
      </c>
      <c r="C100" s="466" t="s">
        <v>2380</v>
      </c>
      <c r="D100" s="464" t="s">
        <v>2381</v>
      </c>
      <c r="E100" s="465" t="str">
        <f>VLOOKUP(C100,'[10]Project Detail Query'!$A$1:$R$2830,6,FALSE)</f>
        <v>F0599</v>
      </c>
      <c r="F100" s="464" t="str">
        <f>VLOOKUP(C100,'[10]Project Detail Query'!$A$1:$R$2830,7,FALSE)</f>
        <v>Main Replacement - ISRS (N)</v>
      </c>
      <c r="G100" s="465" t="s">
        <v>20</v>
      </c>
      <c r="H100" s="465">
        <v>201701</v>
      </c>
      <c r="I100" s="467">
        <v>12.09</v>
      </c>
      <c r="J100" s="464">
        <v>0</v>
      </c>
      <c r="K100" s="468">
        <v>2.23333E-3</v>
      </c>
      <c r="L100" s="469">
        <f t="shared" si="2"/>
        <v>0</v>
      </c>
      <c r="M100" s="469">
        <f t="shared" si="3"/>
        <v>0.32</v>
      </c>
      <c r="N100" s="470"/>
    </row>
    <row r="101" spans="1:14">
      <c r="A101" s="464" t="s">
        <v>626</v>
      </c>
      <c r="B101" s="465" t="s">
        <v>1681</v>
      </c>
      <c r="C101" s="466" t="s">
        <v>2382</v>
      </c>
      <c r="D101" s="464" t="s">
        <v>2383</v>
      </c>
      <c r="E101" s="465" t="str">
        <f>VLOOKUP(C101,'[10]Project Detail Query'!$A$1:$R$2830,6,FALSE)</f>
        <v>F0599</v>
      </c>
      <c r="F101" s="464" t="str">
        <f>VLOOKUP(C101,'[10]Project Detail Query'!$A$1:$R$2830,7,FALSE)</f>
        <v>Main Replacement - ISRS (N)</v>
      </c>
      <c r="G101" s="465" t="s">
        <v>20</v>
      </c>
      <c r="H101" s="465">
        <v>201701</v>
      </c>
      <c r="I101" s="467">
        <v>1716.01</v>
      </c>
      <c r="J101" s="464">
        <v>0</v>
      </c>
      <c r="K101" s="472">
        <v>1.4833299999999999E-3</v>
      </c>
      <c r="L101" s="469">
        <f t="shared" si="2"/>
        <v>0</v>
      </c>
      <c r="M101" s="469">
        <f t="shared" si="3"/>
        <v>30.54</v>
      </c>
      <c r="N101" s="470"/>
    </row>
    <row r="102" spans="1:14">
      <c r="A102" s="464" t="s">
        <v>1942</v>
      </c>
      <c r="B102" s="465" t="s">
        <v>1681</v>
      </c>
      <c r="C102" s="466" t="s">
        <v>2382</v>
      </c>
      <c r="D102" s="464" t="s">
        <v>2383</v>
      </c>
      <c r="E102" s="465" t="str">
        <f>VLOOKUP(C102,'[10]Project Detail Query'!$A$1:$R$2830,6,FALSE)</f>
        <v>F0599</v>
      </c>
      <c r="F102" s="464" t="str">
        <f>VLOOKUP(C102,'[10]Project Detail Query'!$A$1:$R$2830,7,FALSE)</f>
        <v>Main Replacement - ISRS (N)</v>
      </c>
      <c r="G102" s="465" t="s">
        <v>20</v>
      </c>
      <c r="H102" s="465">
        <v>201701</v>
      </c>
      <c r="I102" s="467">
        <v>5.32</v>
      </c>
      <c r="J102" s="464">
        <v>0</v>
      </c>
      <c r="K102" s="472">
        <v>2.23333E-3</v>
      </c>
      <c r="L102" s="469">
        <f t="shared" si="2"/>
        <v>0</v>
      </c>
      <c r="M102" s="469">
        <f t="shared" si="3"/>
        <v>0.14000000000000001</v>
      </c>
      <c r="N102" s="470"/>
    </row>
    <row r="103" spans="1:14">
      <c r="A103" s="464" t="s">
        <v>14</v>
      </c>
      <c r="B103" s="465" t="s">
        <v>1681</v>
      </c>
      <c r="C103" s="466" t="s">
        <v>2382</v>
      </c>
      <c r="D103" s="464" t="s">
        <v>2383</v>
      </c>
      <c r="E103" s="465" t="str">
        <f>VLOOKUP(C103,'[10]Project Detail Query'!$A$1:$R$2830,6,FALSE)</f>
        <v>F0599</v>
      </c>
      <c r="F103" s="464" t="str">
        <f>VLOOKUP(C103,'[10]Project Detail Query'!$A$1:$R$2830,7,FALSE)</f>
        <v>Main Replacement - ISRS (N)</v>
      </c>
      <c r="G103" s="465" t="s">
        <v>20</v>
      </c>
      <c r="H103" s="465">
        <v>201701</v>
      </c>
      <c r="I103" s="467">
        <v>202.55</v>
      </c>
      <c r="J103" s="464">
        <v>0</v>
      </c>
      <c r="K103" s="468">
        <v>2.23333E-3</v>
      </c>
      <c r="L103" s="469">
        <f t="shared" si="2"/>
        <v>0</v>
      </c>
      <c r="M103" s="469">
        <f t="shared" si="3"/>
        <v>5.43</v>
      </c>
      <c r="N103" s="470"/>
    </row>
    <row r="104" spans="1:14">
      <c r="A104" s="464" t="s">
        <v>626</v>
      </c>
      <c r="B104" s="465" t="s">
        <v>1681</v>
      </c>
      <c r="C104" s="466" t="s">
        <v>2267</v>
      </c>
      <c r="D104" s="464" t="s">
        <v>2268</v>
      </c>
      <c r="E104" s="465" t="str">
        <f>VLOOKUP(C104,'[10]Project Detail Query'!$A$1:$R$2830,6,FALSE)</f>
        <v>F0572</v>
      </c>
      <c r="F104" s="464" t="str">
        <f>VLOOKUP(C104,'[10]Project Detail Query'!$A$1:$R$2830,7,FALSE)</f>
        <v>Main Replacement - ISRS (SW)</v>
      </c>
      <c r="G104" s="465" t="s">
        <v>20</v>
      </c>
      <c r="H104" s="465">
        <v>201701</v>
      </c>
      <c r="I104" s="467">
        <v>88.8</v>
      </c>
      <c r="J104" s="464">
        <v>0</v>
      </c>
      <c r="K104" s="472">
        <v>1.4833299999999999E-3</v>
      </c>
      <c r="L104" s="469">
        <f t="shared" si="2"/>
        <v>0</v>
      </c>
      <c r="M104" s="469">
        <f t="shared" si="3"/>
        <v>1.58</v>
      </c>
      <c r="N104" s="470"/>
    </row>
    <row r="105" spans="1:14">
      <c r="A105" s="464" t="s">
        <v>14</v>
      </c>
      <c r="B105" s="465" t="s">
        <v>1681</v>
      </c>
      <c r="C105" s="466" t="s">
        <v>2267</v>
      </c>
      <c r="D105" s="464" t="s">
        <v>2268</v>
      </c>
      <c r="E105" s="465" t="str">
        <f>VLOOKUP(C105,'[10]Project Detail Query'!$A$1:$R$2830,6,FALSE)</f>
        <v>F0572</v>
      </c>
      <c r="F105" s="464" t="str">
        <f>VLOOKUP(C105,'[10]Project Detail Query'!$A$1:$R$2830,7,FALSE)</f>
        <v>Main Replacement - ISRS (SW)</v>
      </c>
      <c r="G105" s="465" t="s">
        <v>20</v>
      </c>
      <c r="H105" s="465">
        <v>201701</v>
      </c>
      <c r="I105" s="467">
        <v>18.399999999999999</v>
      </c>
      <c r="J105" s="464">
        <v>0</v>
      </c>
      <c r="K105" s="468">
        <v>2.23333E-3</v>
      </c>
      <c r="L105" s="469">
        <f t="shared" si="2"/>
        <v>0</v>
      </c>
      <c r="M105" s="469">
        <f t="shared" si="3"/>
        <v>0.49</v>
      </c>
      <c r="N105" s="470"/>
    </row>
    <row r="106" spans="1:14">
      <c r="A106" s="464" t="s">
        <v>626</v>
      </c>
      <c r="B106" s="465" t="s">
        <v>1681</v>
      </c>
      <c r="C106" s="466" t="s">
        <v>2384</v>
      </c>
      <c r="D106" s="464" t="s">
        <v>2385</v>
      </c>
      <c r="E106" s="465" t="str">
        <f>VLOOKUP(C106,'[10]Project Detail Query'!$A$1:$R$2830,6,FALSE)</f>
        <v>F0572</v>
      </c>
      <c r="F106" s="464" t="str">
        <f>VLOOKUP(C106,'[10]Project Detail Query'!$A$1:$R$2830,7,FALSE)</f>
        <v>Main Replacement - ISRS (SW)</v>
      </c>
      <c r="G106" s="465" t="s">
        <v>20</v>
      </c>
      <c r="H106" s="465">
        <v>201701</v>
      </c>
      <c r="I106" s="467">
        <v>-450.28</v>
      </c>
      <c r="J106" s="464">
        <v>0</v>
      </c>
      <c r="K106" s="472">
        <v>1.4833299999999999E-3</v>
      </c>
      <c r="L106" s="469">
        <f t="shared" si="2"/>
        <v>0</v>
      </c>
      <c r="M106" s="469">
        <f t="shared" si="3"/>
        <v>-8.01</v>
      </c>
      <c r="N106" s="470"/>
    </row>
    <row r="107" spans="1:14">
      <c r="A107" s="464" t="s">
        <v>14</v>
      </c>
      <c r="B107" s="465" t="s">
        <v>1681</v>
      </c>
      <c r="C107" s="466" t="s">
        <v>2384</v>
      </c>
      <c r="D107" s="464" t="s">
        <v>2385</v>
      </c>
      <c r="E107" s="465" t="str">
        <f>VLOOKUP(C107,'[10]Project Detail Query'!$A$1:$R$2830,6,FALSE)</f>
        <v>F0572</v>
      </c>
      <c r="F107" s="464" t="str">
        <f>VLOOKUP(C107,'[10]Project Detail Query'!$A$1:$R$2830,7,FALSE)</f>
        <v>Main Replacement - ISRS (SW)</v>
      </c>
      <c r="G107" s="465" t="s">
        <v>20</v>
      </c>
      <c r="H107" s="465">
        <v>201701</v>
      </c>
      <c r="I107" s="467">
        <v>-12.11</v>
      </c>
      <c r="J107" s="464">
        <v>0</v>
      </c>
      <c r="K107" s="468">
        <v>2.23333E-3</v>
      </c>
      <c r="L107" s="469">
        <f t="shared" si="2"/>
        <v>0</v>
      </c>
      <c r="M107" s="469">
        <f t="shared" si="3"/>
        <v>-0.32</v>
      </c>
      <c r="N107" s="470"/>
    </row>
    <row r="108" spans="1:14">
      <c r="A108" s="464" t="s">
        <v>626</v>
      </c>
      <c r="B108" s="465" t="s">
        <v>1681</v>
      </c>
      <c r="C108" s="466" t="s">
        <v>2386</v>
      </c>
      <c r="D108" s="464" t="s">
        <v>2387</v>
      </c>
      <c r="E108" s="465" t="str">
        <f>VLOOKUP(C108,'[10]Project Detail Query'!$A$1:$R$2830,6,FALSE)</f>
        <v>F0572</v>
      </c>
      <c r="F108" s="464" t="str">
        <f>VLOOKUP(C108,'[10]Project Detail Query'!$A$1:$R$2830,7,FALSE)</f>
        <v>Main Replacement - ISRS (SW)</v>
      </c>
      <c r="G108" s="465" t="s">
        <v>20</v>
      </c>
      <c r="H108" s="465">
        <v>201701</v>
      </c>
      <c r="I108" s="467">
        <v>3244.74</v>
      </c>
      <c r="J108" s="464">
        <v>0</v>
      </c>
      <c r="K108" s="472">
        <v>1.4833299999999999E-3</v>
      </c>
      <c r="L108" s="469">
        <f t="shared" si="2"/>
        <v>0</v>
      </c>
      <c r="M108" s="469">
        <f t="shared" si="3"/>
        <v>57.76</v>
      </c>
      <c r="N108" s="470"/>
    </row>
    <row r="109" spans="1:14">
      <c r="A109" s="464" t="s">
        <v>14</v>
      </c>
      <c r="B109" s="465" t="s">
        <v>1681</v>
      </c>
      <c r="C109" s="466" t="s">
        <v>2386</v>
      </c>
      <c r="D109" s="464" t="s">
        <v>2387</v>
      </c>
      <c r="E109" s="465" t="str">
        <f>VLOOKUP(C109,'[10]Project Detail Query'!$A$1:$R$2830,6,FALSE)</f>
        <v>F0572</v>
      </c>
      <c r="F109" s="464" t="str">
        <f>VLOOKUP(C109,'[10]Project Detail Query'!$A$1:$R$2830,7,FALSE)</f>
        <v>Main Replacement - ISRS (SW)</v>
      </c>
      <c r="G109" s="465" t="s">
        <v>20</v>
      </c>
      <c r="H109" s="465">
        <v>201701</v>
      </c>
      <c r="I109" s="467">
        <v>2.3199999999999998</v>
      </c>
      <c r="J109" s="464">
        <v>0</v>
      </c>
      <c r="K109" s="468">
        <v>2.23333E-3</v>
      </c>
      <c r="L109" s="469">
        <f t="shared" si="2"/>
        <v>0</v>
      </c>
      <c r="M109" s="469">
        <f t="shared" si="3"/>
        <v>0.06</v>
      </c>
      <c r="N109" s="470"/>
    </row>
    <row r="110" spans="1:14">
      <c r="A110" s="464" t="s">
        <v>626</v>
      </c>
      <c r="B110" s="465" t="s">
        <v>1681</v>
      </c>
      <c r="C110" s="466" t="s">
        <v>2436</v>
      </c>
      <c r="D110" s="464" t="s">
        <v>2437</v>
      </c>
      <c r="E110" s="465" t="str">
        <f>VLOOKUP(C110,'[10]Project Detail Query'!$A$1:$R$2830,6,FALSE)</f>
        <v>F0578</v>
      </c>
      <c r="F110" s="464" t="str">
        <f>VLOOKUP(C110,'[10]Project Detail Query'!$A$1:$R$2830,7,FALSE)</f>
        <v>Street &amp; Highway Relocates ISRS (S)</v>
      </c>
      <c r="G110" s="465" t="s">
        <v>20</v>
      </c>
      <c r="H110" s="465">
        <v>201701</v>
      </c>
      <c r="I110" s="467">
        <v>5435.91</v>
      </c>
      <c r="J110" s="464">
        <v>0</v>
      </c>
      <c r="K110" s="472">
        <v>1.4833299999999999E-3</v>
      </c>
      <c r="L110" s="469">
        <f t="shared" si="2"/>
        <v>0</v>
      </c>
      <c r="M110" s="469">
        <f t="shared" si="3"/>
        <v>96.76</v>
      </c>
      <c r="N110" s="470"/>
    </row>
    <row r="111" spans="1:14">
      <c r="A111" s="464" t="s">
        <v>14</v>
      </c>
      <c r="B111" s="465" t="s">
        <v>1681</v>
      </c>
      <c r="C111" s="466" t="s">
        <v>2436</v>
      </c>
      <c r="D111" s="464" t="s">
        <v>2437</v>
      </c>
      <c r="E111" s="465" t="str">
        <f>VLOOKUP(C111,'[10]Project Detail Query'!$A$1:$R$2830,6,FALSE)</f>
        <v>F0578</v>
      </c>
      <c r="F111" s="464" t="str">
        <f>VLOOKUP(C111,'[10]Project Detail Query'!$A$1:$R$2830,7,FALSE)</f>
        <v>Street &amp; Highway Relocates ISRS (S)</v>
      </c>
      <c r="G111" s="465" t="s">
        <v>20</v>
      </c>
      <c r="H111" s="465">
        <v>201701</v>
      </c>
      <c r="I111" s="467">
        <v>89.67</v>
      </c>
      <c r="J111" s="464">
        <v>0</v>
      </c>
      <c r="K111" s="468">
        <v>2.23333E-3</v>
      </c>
      <c r="L111" s="469">
        <f t="shared" si="2"/>
        <v>0</v>
      </c>
      <c r="M111" s="469">
        <f t="shared" si="3"/>
        <v>2.4</v>
      </c>
      <c r="N111" s="470"/>
    </row>
    <row r="112" spans="1:14">
      <c r="A112" s="464" t="s">
        <v>21</v>
      </c>
      <c r="B112" s="465" t="s">
        <v>1681</v>
      </c>
      <c r="C112" s="466" t="s">
        <v>2075</v>
      </c>
      <c r="D112" s="464" t="s">
        <v>2076</v>
      </c>
      <c r="E112" s="465" t="str">
        <f>VLOOKUP(C112,'[10]Project Detail Query'!$A$1:$R$2830,6,FALSE)</f>
        <v>F0604</v>
      </c>
      <c r="F112" s="464" t="str">
        <f>VLOOKUP(C112,'[10]Project Detail Query'!$A$1:$R$2830,7,FALSE)</f>
        <v>Main Replacement - ISRS (S)</v>
      </c>
      <c r="G112" s="465" t="s">
        <v>20</v>
      </c>
      <c r="H112" s="465">
        <v>201701</v>
      </c>
      <c r="I112" s="467">
        <v>-8549.7800000000007</v>
      </c>
      <c r="J112" s="464">
        <v>0</v>
      </c>
      <c r="K112" s="472">
        <v>1.4833299999999999E-3</v>
      </c>
      <c r="L112" s="469">
        <f t="shared" si="2"/>
        <v>0</v>
      </c>
      <c r="M112" s="469">
        <f t="shared" si="3"/>
        <v>-152.19</v>
      </c>
      <c r="N112" s="470"/>
    </row>
    <row r="113" spans="1:14">
      <c r="A113" s="464" t="s">
        <v>626</v>
      </c>
      <c r="B113" s="465" t="s">
        <v>1681</v>
      </c>
      <c r="C113" s="466" t="s">
        <v>2015</v>
      </c>
      <c r="D113" s="464" t="s">
        <v>2016</v>
      </c>
      <c r="E113" s="465" t="str">
        <f>VLOOKUP(C113,'[10]Project Detail Query'!$A$1:$R$2830,6,FALSE)</f>
        <v>F0599</v>
      </c>
      <c r="F113" s="464" t="str">
        <f>VLOOKUP(C113,'[10]Project Detail Query'!$A$1:$R$2830,7,FALSE)</f>
        <v>Main Replacement - ISRS (N)</v>
      </c>
      <c r="G113" s="465" t="s">
        <v>20</v>
      </c>
      <c r="H113" s="465">
        <v>201701</v>
      </c>
      <c r="I113" s="467">
        <v>2354.12</v>
      </c>
      <c r="J113" s="464">
        <v>0</v>
      </c>
      <c r="K113" s="472">
        <v>1.4833299999999999E-3</v>
      </c>
      <c r="L113" s="469">
        <f t="shared" si="2"/>
        <v>0</v>
      </c>
      <c r="M113" s="469">
        <f t="shared" si="3"/>
        <v>41.9</v>
      </c>
      <c r="N113" s="470"/>
    </row>
    <row r="114" spans="1:14">
      <c r="A114" s="464" t="s">
        <v>14</v>
      </c>
      <c r="B114" s="465" t="s">
        <v>1681</v>
      </c>
      <c r="C114" s="466" t="s">
        <v>2015</v>
      </c>
      <c r="D114" s="464" t="s">
        <v>2016</v>
      </c>
      <c r="E114" s="465" t="str">
        <f>VLOOKUP(C114,'[10]Project Detail Query'!$A$1:$R$2830,6,FALSE)</f>
        <v>F0599</v>
      </c>
      <c r="F114" s="464" t="str">
        <f>VLOOKUP(C114,'[10]Project Detail Query'!$A$1:$R$2830,7,FALSE)</f>
        <v>Main Replacement - ISRS (N)</v>
      </c>
      <c r="G114" s="465" t="s">
        <v>20</v>
      </c>
      <c r="H114" s="465">
        <v>201701</v>
      </c>
      <c r="I114" s="467">
        <v>-2354.12</v>
      </c>
      <c r="J114" s="464">
        <v>0</v>
      </c>
      <c r="K114" s="468">
        <v>2.23333E-3</v>
      </c>
      <c r="L114" s="469">
        <f t="shared" si="2"/>
        <v>0</v>
      </c>
      <c r="M114" s="469">
        <f t="shared" si="3"/>
        <v>-63.09</v>
      </c>
      <c r="N114" s="470"/>
    </row>
    <row r="115" spans="1:14">
      <c r="A115" s="464" t="s">
        <v>626</v>
      </c>
      <c r="B115" s="465" t="s">
        <v>1681</v>
      </c>
      <c r="C115" s="466" t="s">
        <v>2077</v>
      </c>
      <c r="D115" s="464" t="s">
        <v>2078</v>
      </c>
      <c r="E115" s="465" t="str">
        <f>VLOOKUP(C115,'[10]Project Detail Query'!$A$1:$R$2830,6,FALSE)</f>
        <v>F0572</v>
      </c>
      <c r="F115" s="464" t="str">
        <f>VLOOKUP(C115,'[10]Project Detail Query'!$A$1:$R$2830,7,FALSE)</f>
        <v>Main Replacement - ISRS (SW)</v>
      </c>
      <c r="G115" s="465" t="s">
        <v>20</v>
      </c>
      <c r="H115" s="465">
        <v>201701</v>
      </c>
      <c r="I115" s="467">
        <v>501</v>
      </c>
      <c r="J115" s="464">
        <v>0</v>
      </c>
      <c r="K115" s="472">
        <v>1.4833299999999999E-3</v>
      </c>
      <c r="L115" s="469">
        <f t="shared" si="2"/>
        <v>0</v>
      </c>
      <c r="M115" s="469">
        <f t="shared" si="3"/>
        <v>8.92</v>
      </c>
      <c r="N115" s="470"/>
    </row>
    <row r="116" spans="1:14">
      <c r="A116" s="464" t="s">
        <v>626</v>
      </c>
      <c r="B116" s="465" t="s">
        <v>1681</v>
      </c>
      <c r="C116" s="466" t="s">
        <v>2079</v>
      </c>
      <c r="D116" s="464" t="s">
        <v>2080</v>
      </c>
      <c r="E116" s="465" t="str">
        <f>VLOOKUP(C116,'[10]Project Detail Query'!$A$1:$R$2830,6,FALSE)</f>
        <v>F0604</v>
      </c>
      <c r="F116" s="464" t="str">
        <f>VLOOKUP(C116,'[10]Project Detail Query'!$A$1:$R$2830,7,FALSE)</f>
        <v>Main Replacement - ISRS (S)</v>
      </c>
      <c r="G116" s="465" t="s">
        <v>20</v>
      </c>
      <c r="H116" s="465">
        <v>201701</v>
      </c>
      <c r="I116" s="467">
        <v>3380.21</v>
      </c>
      <c r="J116" s="464">
        <v>0</v>
      </c>
      <c r="K116" s="472">
        <v>1.4833299999999999E-3</v>
      </c>
      <c r="L116" s="469">
        <f t="shared" si="2"/>
        <v>0</v>
      </c>
      <c r="M116" s="469">
        <f t="shared" si="3"/>
        <v>60.17</v>
      </c>
      <c r="N116" s="470"/>
    </row>
    <row r="117" spans="1:14">
      <c r="A117" s="464" t="s">
        <v>626</v>
      </c>
      <c r="B117" s="465" t="s">
        <v>1681</v>
      </c>
      <c r="C117" s="466" t="s">
        <v>2390</v>
      </c>
      <c r="D117" s="464" t="s">
        <v>2391</v>
      </c>
      <c r="E117" s="465" t="str">
        <f>VLOOKUP(C117,'[10]Project Detail Query'!$A$1:$R$2830,6,FALSE)</f>
        <v>F0599</v>
      </c>
      <c r="F117" s="464" t="str">
        <f>VLOOKUP(C117,'[10]Project Detail Query'!$A$1:$R$2830,7,FALSE)</f>
        <v>Main Replacement - ISRS (N)</v>
      </c>
      <c r="G117" s="465" t="s">
        <v>20</v>
      </c>
      <c r="H117" s="465">
        <v>201701</v>
      </c>
      <c r="I117" s="467">
        <v>2.5099999999999998</v>
      </c>
      <c r="J117" s="464">
        <v>0</v>
      </c>
      <c r="K117" s="472">
        <v>1.4833299999999999E-3</v>
      </c>
      <c r="L117" s="469">
        <f t="shared" si="2"/>
        <v>0</v>
      </c>
      <c r="M117" s="469">
        <f t="shared" si="3"/>
        <v>0.04</v>
      </c>
      <c r="N117" s="470"/>
    </row>
    <row r="118" spans="1:14">
      <c r="A118" s="464" t="s">
        <v>14</v>
      </c>
      <c r="B118" s="465" t="s">
        <v>1681</v>
      </c>
      <c r="C118" s="466" t="s">
        <v>2390</v>
      </c>
      <c r="D118" s="464" t="s">
        <v>2391</v>
      </c>
      <c r="E118" s="465" t="str">
        <f>VLOOKUP(C118,'[10]Project Detail Query'!$A$1:$R$2830,6,FALSE)</f>
        <v>F0599</v>
      </c>
      <c r="F118" s="464" t="str">
        <f>VLOOKUP(C118,'[10]Project Detail Query'!$A$1:$R$2830,7,FALSE)</f>
        <v>Main Replacement - ISRS (N)</v>
      </c>
      <c r="G118" s="465" t="s">
        <v>20</v>
      </c>
      <c r="H118" s="465">
        <v>201701</v>
      </c>
      <c r="I118" s="467">
        <v>0.27</v>
      </c>
      <c r="J118" s="464">
        <v>0</v>
      </c>
      <c r="K118" s="468">
        <v>2.23333E-3</v>
      </c>
      <c r="L118" s="469">
        <f t="shared" si="2"/>
        <v>0</v>
      </c>
      <c r="M118" s="469">
        <f t="shared" si="3"/>
        <v>0.01</v>
      </c>
      <c r="N118" s="470"/>
    </row>
    <row r="119" spans="1:14">
      <c r="A119" s="464" t="s">
        <v>21</v>
      </c>
      <c r="B119" s="465" t="s">
        <v>1681</v>
      </c>
      <c r="C119" s="466" t="s">
        <v>2017</v>
      </c>
      <c r="D119" s="464" t="s">
        <v>2018</v>
      </c>
      <c r="E119" s="465" t="str">
        <f>VLOOKUP(C119,'[10]Project Detail Query'!$A$1:$R$2830,6,FALSE)</f>
        <v>F0547</v>
      </c>
      <c r="F119" s="464" t="str">
        <f>VLOOKUP(C119,'[10]Project Detail Query'!$A$1:$R$2830,7,FALSE)</f>
        <v>Street &amp; Highway Relocates ISRS (N)</v>
      </c>
      <c r="G119" s="465" t="s">
        <v>20</v>
      </c>
      <c r="H119" s="465">
        <v>201701</v>
      </c>
      <c r="I119" s="467">
        <v>-5617.38</v>
      </c>
      <c r="J119" s="464">
        <v>0</v>
      </c>
      <c r="K119" s="472">
        <v>1.4833299999999999E-3</v>
      </c>
      <c r="L119" s="469">
        <f t="shared" si="2"/>
        <v>0</v>
      </c>
      <c r="M119" s="469">
        <f t="shared" si="3"/>
        <v>-99.99</v>
      </c>
      <c r="N119" s="470"/>
    </row>
    <row r="120" spans="1:14">
      <c r="A120" s="464" t="s">
        <v>626</v>
      </c>
      <c r="B120" s="465" t="s">
        <v>1681</v>
      </c>
      <c r="C120" s="466" t="s">
        <v>2081</v>
      </c>
      <c r="D120" s="464" t="s">
        <v>2082</v>
      </c>
      <c r="E120" s="465" t="str">
        <f>VLOOKUP(C120,'[10]Project Detail Query'!$A$1:$R$2830,6,FALSE)</f>
        <v>F0604</v>
      </c>
      <c r="F120" s="464" t="str">
        <f>VLOOKUP(C120,'[10]Project Detail Query'!$A$1:$R$2830,7,FALSE)</f>
        <v>Main Replacement - ISRS (S)</v>
      </c>
      <c r="G120" s="465" t="s">
        <v>20</v>
      </c>
      <c r="H120" s="465">
        <v>201701</v>
      </c>
      <c r="I120" s="467">
        <v>35289.279999999999</v>
      </c>
      <c r="J120" s="464">
        <v>0</v>
      </c>
      <c r="K120" s="472">
        <v>1.4833299999999999E-3</v>
      </c>
      <c r="L120" s="469">
        <f t="shared" si="2"/>
        <v>0</v>
      </c>
      <c r="M120" s="469">
        <f t="shared" si="3"/>
        <v>628.15</v>
      </c>
      <c r="N120" s="470"/>
    </row>
    <row r="121" spans="1:14">
      <c r="A121" s="464" t="s">
        <v>626</v>
      </c>
      <c r="B121" s="465" t="s">
        <v>1681</v>
      </c>
      <c r="C121" s="466" t="s">
        <v>2085</v>
      </c>
      <c r="D121" s="464" t="s">
        <v>2086</v>
      </c>
      <c r="E121" s="465" t="str">
        <f>VLOOKUP(C121,'[10]Project Detail Query'!$A$1:$R$2830,6,FALSE)</f>
        <v>F0599</v>
      </c>
      <c r="F121" s="464" t="str">
        <f>VLOOKUP(C121,'[10]Project Detail Query'!$A$1:$R$2830,7,FALSE)</f>
        <v>Main Replacement - ISRS (N)</v>
      </c>
      <c r="G121" s="465" t="s">
        <v>20</v>
      </c>
      <c r="H121" s="465">
        <v>201701</v>
      </c>
      <c r="I121" s="467">
        <v>22066.43</v>
      </c>
      <c r="J121" s="464">
        <v>0</v>
      </c>
      <c r="K121" s="472">
        <v>1.4833299999999999E-3</v>
      </c>
      <c r="L121" s="469">
        <f t="shared" si="2"/>
        <v>0</v>
      </c>
      <c r="M121" s="469">
        <f t="shared" si="3"/>
        <v>392.78</v>
      </c>
      <c r="N121" s="470"/>
    </row>
    <row r="122" spans="1:14">
      <c r="A122" s="464" t="s">
        <v>21</v>
      </c>
      <c r="B122" s="465" t="s">
        <v>1681</v>
      </c>
      <c r="C122" s="466" t="s">
        <v>2392</v>
      </c>
      <c r="D122" s="464" t="s">
        <v>2393</v>
      </c>
      <c r="E122" s="465" t="str">
        <f>VLOOKUP(C122,'[10]Project Detail Query'!$A$1:$R$2830,6,FALSE)</f>
        <v>F0604</v>
      </c>
      <c r="F122" s="464" t="str">
        <f>VLOOKUP(C122,'[10]Project Detail Query'!$A$1:$R$2830,7,FALSE)</f>
        <v>Main Replacement - ISRS (S)</v>
      </c>
      <c r="G122" s="465" t="s">
        <v>20</v>
      </c>
      <c r="H122" s="465">
        <v>201701</v>
      </c>
      <c r="I122" s="467">
        <v>7.0000000000000007E-2</v>
      </c>
      <c r="J122" s="464">
        <v>0</v>
      </c>
      <c r="K122" s="472">
        <v>1.4833299999999999E-3</v>
      </c>
      <c r="L122" s="469">
        <f t="shared" si="2"/>
        <v>0</v>
      </c>
      <c r="M122" s="469">
        <f t="shared" si="3"/>
        <v>0</v>
      </c>
      <c r="N122" s="470"/>
    </row>
    <row r="123" spans="1:14">
      <c r="A123" s="464" t="s">
        <v>626</v>
      </c>
      <c r="B123" s="465" t="s">
        <v>1681</v>
      </c>
      <c r="C123" s="466" t="s">
        <v>2392</v>
      </c>
      <c r="D123" s="464" t="s">
        <v>2393</v>
      </c>
      <c r="E123" s="465" t="str">
        <f>VLOOKUP(C123,'[10]Project Detail Query'!$A$1:$R$2830,6,FALSE)</f>
        <v>F0604</v>
      </c>
      <c r="F123" s="464" t="str">
        <f>VLOOKUP(C123,'[10]Project Detail Query'!$A$1:$R$2830,7,FALSE)</f>
        <v>Main Replacement - ISRS (S)</v>
      </c>
      <c r="G123" s="465" t="s">
        <v>20</v>
      </c>
      <c r="H123" s="465">
        <v>201701</v>
      </c>
      <c r="I123" s="467">
        <v>1077.8900000000001</v>
      </c>
      <c r="J123" s="464">
        <v>0</v>
      </c>
      <c r="K123" s="472">
        <v>1.4833299999999999E-3</v>
      </c>
      <c r="L123" s="469">
        <f t="shared" si="2"/>
        <v>0</v>
      </c>
      <c r="M123" s="469">
        <f t="shared" si="3"/>
        <v>19.190000000000001</v>
      </c>
      <c r="N123" s="470"/>
    </row>
    <row r="124" spans="1:14">
      <c r="A124" s="464" t="s">
        <v>14</v>
      </c>
      <c r="B124" s="465" t="s">
        <v>1681</v>
      </c>
      <c r="C124" s="466" t="s">
        <v>2392</v>
      </c>
      <c r="D124" s="464" t="s">
        <v>2393</v>
      </c>
      <c r="E124" s="465" t="str">
        <f>VLOOKUP(C124,'[10]Project Detail Query'!$A$1:$R$2830,6,FALSE)</f>
        <v>F0604</v>
      </c>
      <c r="F124" s="464" t="str">
        <f>VLOOKUP(C124,'[10]Project Detail Query'!$A$1:$R$2830,7,FALSE)</f>
        <v>Main Replacement - ISRS (S)</v>
      </c>
      <c r="G124" s="465" t="s">
        <v>20</v>
      </c>
      <c r="H124" s="465">
        <v>201701</v>
      </c>
      <c r="I124" s="467">
        <v>0.6</v>
      </c>
      <c r="J124" s="464">
        <v>0</v>
      </c>
      <c r="K124" s="468">
        <v>2.23333E-3</v>
      </c>
      <c r="L124" s="469">
        <f t="shared" si="2"/>
        <v>0</v>
      </c>
      <c r="M124" s="469">
        <f t="shared" si="3"/>
        <v>0.02</v>
      </c>
      <c r="N124" s="470"/>
    </row>
    <row r="125" spans="1:14">
      <c r="A125" s="464" t="s">
        <v>626</v>
      </c>
      <c r="B125" s="465" t="s">
        <v>1681</v>
      </c>
      <c r="C125" s="466" t="s">
        <v>2394</v>
      </c>
      <c r="D125" s="464" t="s">
        <v>2395</v>
      </c>
      <c r="E125" s="465" t="str">
        <f>VLOOKUP(C125,'[10]Project Detail Query'!$A$1:$R$2830,6,FALSE)</f>
        <v>F0604</v>
      </c>
      <c r="F125" s="464" t="str">
        <f>VLOOKUP(C125,'[10]Project Detail Query'!$A$1:$R$2830,7,FALSE)</f>
        <v>Main Replacement - ISRS (S)</v>
      </c>
      <c r="G125" s="465" t="s">
        <v>20</v>
      </c>
      <c r="H125" s="465">
        <v>201701</v>
      </c>
      <c r="I125" s="467">
        <v>13188.47</v>
      </c>
      <c r="J125" s="464">
        <v>0</v>
      </c>
      <c r="K125" s="472">
        <v>1.4833299999999999E-3</v>
      </c>
      <c r="L125" s="469">
        <f t="shared" si="2"/>
        <v>0</v>
      </c>
      <c r="M125" s="469">
        <f t="shared" si="3"/>
        <v>234.75</v>
      </c>
      <c r="N125" s="470"/>
    </row>
    <row r="126" spans="1:14">
      <c r="A126" s="464" t="s">
        <v>14</v>
      </c>
      <c r="B126" s="465" t="s">
        <v>1681</v>
      </c>
      <c r="C126" s="466" t="s">
        <v>2394</v>
      </c>
      <c r="D126" s="464" t="s">
        <v>2395</v>
      </c>
      <c r="E126" s="465" t="str">
        <f>VLOOKUP(C126,'[10]Project Detail Query'!$A$1:$R$2830,6,FALSE)</f>
        <v>F0604</v>
      </c>
      <c r="F126" s="464" t="str">
        <f>VLOOKUP(C126,'[10]Project Detail Query'!$A$1:$R$2830,7,FALSE)</f>
        <v>Main Replacement - ISRS (S)</v>
      </c>
      <c r="G126" s="465" t="s">
        <v>20</v>
      </c>
      <c r="H126" s="465">
        <v>201701</v>
      </c>
      <c r="I126" s="467">
        <v>553.69000000000005</v>
      </c>
      <c r="J126" s="464">
        <v>0</v>
      </c>
      <c r="K126" s="468">
        <v>2.23333E-3</v>
      </c>
      <c r="L126" s="469">
        <f t="shared" si="2"/>
        <v>0</v>
      </c>
      <c r="M126" s="469">
        <f t="shared" si="3"/>
        <v>14.84</v>
      </c>
      <c r="N126" s="470"/>
    </row>
    <row r="127" spans="1:14">
      <c r="A127" s="464" t="s">
        <v>626</v>
      </c>
      <c r="B127" s="465" t="s">
        <v>1681</v>
      </c>
      <c r="C127" s="466" t="s">
        <v>2269</v>
      </c>
      <c r="D127" s="464" t="s">
        <v>2270</v>
      </c>
      <c r="E127" s="465" t="str">
        <f>VLOOKUP(C127,'[10]Project Detail Query'!$A$1:$R$2830,6,FALSE)</f>
        <v>F0664</v>
      </c>
      <c r="F127" s="464" t="str">
        <f>VLOOKUP(C127,'[10]Project Detail Query'!$A$1:$R$2830,7,FALSE)</f>
        <v>Street &amp; Hwy Relocates ISRS (SW)</v>
      </c>
      <c r="G127" s="465" t="s">
        <v>20</v>
      </c>
      <c r="H127" s="465">
        <v>201701</v>
      </c>
      <c r="I127" s="467">
        <v>6177.59</v>
      </c>
      <c r="J127" s="464">
        <v>0</v>
      </c>
      <c r="K127" s="472">
        <v>1.4833299999999999E-3</v>
      </c>
      <c r="L127" s="469">
        <f t="shared" si="2"/>
        <v>0</v>
      </c>
      <c r="M127" s="469">
        <f t="shared" si="3"/>
        <v>109.96</v>
      </c>
      <c r="N127" s="470"/>
    </row>
    <row r="128" spans="1:14">
      <c r="A128" s="464" t="s">
        <v>626</v>
      </c>
      <c r="B128" s="465" t="s">
        <v>1681</v>
      </c>
      <c r="C128" s="466" t="s">
        <v>2398</v>
      </c>
      <c r="D128" s="464" t="s">
        <v>2399</v>
      </c>
      <c r="E128" s="465" t="str">
        <f>VLOOKUP(C128,'[10]Project Detail Query'!$A$1:$R$2830,6,FALSE)</f>
        <v>F0664</v>
      </c>
      <c r="F128" s="464" t="str">
        <f>VLOOKUP(C128,'[10]Project Detail Query'!$A$1:$R$2830,7,FALSE)</f>
        <v>Street &amp; Hwy Relocates ISRS (SW)</v>
      </c>
      <c r="G128" s="465" t="s">
        <v>20</v>
      </c>
      <c r="H128" s="465">
        <v>201701</v>
      </c>
      <c r="I128" s="467">
        <v>269.49</v>
      </c>
      <c r="J128" s="464">
        <v>0</v>
      </c>
      <c r="K128" s="472">
        <v>1.4833299999999999E-3</v>
      </c>
      <c r="L128" s="469">
        <f t="shared" si="2"/>
        <v>0</v>
      </c>
      <c r="M128" s="469">
        <f t="shared" si="3"/>
        <v>4.8</v>
      </c>
      <c r="N128" s="470"/>
    </row>
    <row r="129" spans="1:14">
      <c r="A129" s="464" t="s">
        <v>21</v>
      </c>
      <c r="B129" s="465" t="s">
        <v>1681</v>
      </c>
      <c r="C129" s="466" t="s">
        <v>2615</v>
      </c>
      <c r="D129" s="464" t="s">
        <v>2616</v>
      </c>
      <c r="E129" s="465" t="str">
        <f>VLOOKUP(C129,'[10]Project Detail Query'!$A$1:$R$2830,6,FALSE)</f>
        <v>F0664</v>
      </c>
      <c r="F129" s="464" t="str">
        <f>VLOOKUP(C129,'[10]Project Detail Query'!$A$1:$R$2830,7,FALSE)</f>
        <v>Street &amp; Hwy Relocates ISRS (SW)</v>
      </c>
      <c r="G129" s="465" t="s">
        <v>20</v>
      </c>
      <c r="H129" s="465">
        <v>201701</v>
      </c>
      <c r="I129" s="467">
        <v>157687.14000000001</v>
      </c>
      <c r="J129" s="464">
        <v>0</v>
      </c>
      <c r="K129" s="472">
        <v>1.4833299999999999E-3</v>
      </c>
      <c r="L129" s="469">
        <f t="shared" si="2"/>
        <v>0</v>
      </c>
      <c r="M129" s="469">
        <f t="shared" si="3"/>
        <v>2806.82</v>
      </c>
      <c r="N129" s="470"/>
    </row>
    <row r="130" spans="1:14">
      <c r="A130" s="464" t="s">
        <v>626</v>
      </c>
      <c r="B130" s="465" t="s">
        <v>1681</v>
      </c>
      <c r="C130" s="466" t="s">
        <v>2615</v>
      </c>
      <c r="D130" s="464" t="s">
        <v>2616</v>
      </c>
      <c r="E130" s="465" t="str">
        <f>VLOOKUP(C130,'[10]Project Detail Query'!$A$1:$R$2830,6,FALSE)</f>
        <v>F0664</v>
      </c>
      <c r="F130" s="464" t="str">
        <f>VLOOKUP(C130,'[10]Project Detail Query'!$A$1:$R$2830,7,FALSE)</f>
        <v>Street &amp; Hwy Relocates ISRS (SW)</v>
      </c>
      <c r="G130" s="465" t="s">
        <v>20</v>
      </c>
      <c r="H130" s="465">
        <v>201701</v>
      </c>
      <c r="I130" s="467">
        <v>100887.84</v>
      </c>
      <c r="J130" s="464">
        <v>0</v>
      </c>
      <c r="K130" s="472">
        <v>1.4833299999999999E-3</v>
      </c>
      <c r="L130" s="469">
        <f t="shared" si="2"/>
        <v>0</v>
      </c>
      <c r="M130" s="469">
        <f t="shared" si="3"/>
        <v>1795.8</v>
      </c>
      <c r="N130" s="470"/>
    </row>
    <row r="131" spans="1:14">
      <c r="A131" s="464" t="s">
        <v>14</v>
      </c>
      <c r="B131" s="465" t="s">
        <v>1681</v>
      </c>
      <c r="C131" s="466" t="s">
        <v>2615</v>
      </c>
      <c r="D131" s="464" t="s">
        <v>2616</v>
      </c>
      <c r="E131" s="465" t="str">
        <f>VLOOKUP(C131,'[10]Project Detail Query'!$A$1:$R$2830,6,FALSE)</f>
        <v>F0664</v>
      </c>
      <c r="F131" s="464" t="str">
        <f>VLOOKUP(C131,'[10]Project Detail Query'!$A$1:$R$2830,7,FALSE)</f>
        <v>Street &amp; Hwy Relocates ISRS (SW)</v>
      </c>
      <c r="G131" s="465" t="s">
        <v>20</v>
      </c>
      <c r="H131" s="465">
        <v>201701</v>
      </c>
      <c r="I131" s="467">
        <v>3344.44</v>
      </c>
      <c r="J131" s="464">
        <v>0</v>
      </c>
      <c r="K131" s="468">
        <v>2.23333E-3</v>
      </c>
      <c r="L131" s="469">
        <f t="shared" si="2"/>
        <v>0</v>
      </c>
      <c r="M131" s="469">
        <f t="shared" si="3"/>
        <v>89.63</v>
      </c>
      <c r="N131" s="470"/>
    </row>
    <row r="132" spans="1:14">
      <c r="A132" s="464" t="s">
        <v>626</v>
      </c>
      <c r="B132" s="465" t="s">
        <v>1681</v>
      </c>
      <c r="C132" s="466" t="s">
        <v>2402</v>
      </c>
      <c r="D132" s="464" t="s">
        <v>2403</v>
      </c>
      <c r="E132" s="465" t="str">
        <f>VLOOKUP(C132,'[10]Project Detail Query'!$A$1:$R$2830,6,FALSE)</f>
        <v>F0547</v>
      </c>
      <c r="F132" s="464" t="str">
        <f>VLOOKUP(C132,'[10]Project Detail Query'!$A$1:$R$2830,7,FALSE)</f>
        <v>Street &amp; Highway Relocates ISRS (N)</v>
      </c>
      <c r="G132" s="465" t="s">
        <v>20</v>
      </c>
      <c r="H132" s="465">
        <v>201701</v>
      </c>
      <c r="I132" s="467">
        <v>1546.21</v>
      </c>
      <c r="J132" s="464">
        <v>0</v>
      </c>
      <c r="K132" s="472">
        <v>1.4833299999999999E-3</v>
      </c>
      <c r="L132" s="469">
        <f t="shared" si="2"/>
        <v>0</v>
      </c>
      <c r="M132" s="469">
        <f t="shared" si="3"/>
        <v>27.52</v>
      </c>
      <c r="N132" s="470"/>
    </row>
    <row r="133" spans="1:14">
      <c r="A133" s="464" t="s">
        <v>14</v>
      </c>
      <c r="B133" s="465" t="s">
        <v>1681</v>
      </c>
      <c r="C133" s="466" t="s">
        <v>2402</v>
      </c>
      <c r="D133" s="464" t="s">
        <v>2403</v>
      </c>
      <c r="E133" s="465" t="str">
        <f>VLOOKUP(C133,'[10]Project Detail Query'!$A$1:$R$2830,6,FALSE)</f>
        <v>F0547</v>
      </c>
      <c r="F133" s="464" t="str">
        <f>VLOOKUP(C133,'[10]Project Detail Query'!$A$1:$R$2830,7,FALSE)</f>
        <v>Street &amp; Highway Relocates ISRS (N)</v>
      </c>
      <c r="G133" s="465" t="s">
        <v>20</v>
      </c>
      <c r="H133" s="465">
        <v>201701</v>
      </c>
      <c r="I133" s="467">
        <v>250.3</v>
      </c>
      <c r="J133" s="464">
        <v>0</v>
      </c>
      <c r="K133" s="468">
        <v>2.23333E-3</v>
      </c>
      <c r="L133" s="469">
        <f t="shared" ref="L133:L184" si="4">ROUND(I133*J133*K133,2)</f>
        <v>0</v>
      </c>
      <c r="M133" s="469">
        <f t="shared" ref="M133:M184" si="5">ROUND(I133*K133*12,2)</f>
        <v>6.71</v>
      </c>
      <c r="N133" s="470"/>
    </row>
    <row r="134" spans="1:14">
      <c r="A134" s="464" t="s">
        <v>626</v>
      </c>
      <c r="B134" s="465" t="s">
        <v>1681</v>
      </c>
      <c r="C134" s="466" t="s">
        <v>2101</v>
      </c>
      <c r="D134" s="464" t="s">
        <v>2102</v>
      </c>
      <c r="E134" s="465" t="str">
        <f>VLOOKUP(C134,'[10]Project Detail Query'!$A$1:$R$2830,6,FALSE)</f>
        <v>F0572</v>
      </c>
      <c r="F134" s="464" t="str">
        <f>VLOOKUP(C134,'[10]Project Detail Query'!$A$1:$R$2830,7,FALSE)</f>
        <v>Main Replacement - ISRS (SW)</v>
      </c>
      <c r="G134" s="465" t="s">
        <v>20</v>
      </c>
      <c r="H134" s="465">
        <v>201701</v>
      </c>
      <c r="I134" s="467">
        <v>3.86</v>
      </c>
      <c r="J134" s="464">
        <v>0</v>
      </c>
      <c r="K134" s="472">
        <v>1.4833299999999999E-3</v>
      </c>
      <c r="L134" s="469">
        <f t="shared" si="4"/>
        <v>0</v>
      </c>
      <c r="M134" s="469">
        <f t="shared" si="5"/>
        <v>7.0000000000000007E-2</v>
      </c>
      <c r="N134" s="470"/>
    </row>
    <row r="135" spans="1:14">
      <c r="A135" s="464" t="s">
        <v>626</v>
      </c>
      <c r="B135" s="465" t="s">
        <v>1681</v>
      </c>
      <c r="C135" s="466" t="s">
        <v>2404</v>
      </c>
      <c r="D135" s="464" t="s">
        <v>2405</v>
      </c>
      <c r="E135" s="465" t="str">
        <f>VLOOKUP(C135,'[10]Project Detail Query'!$A$1:$R$2830,6,FALSE)</f>
        <v>F0578</v>
      </c>
      <c r="F135" s="464" t="str">
        <f>VLOOKUP(C135,'[10]Project Detail Query'!$A$1:$R$2830,7,FALSE)</f>
        <v>Street &amp; Highway Relocates ISRS (S)</v>
      </c>
      <c r="G135" s="465" t="s">
        <v>20</v>
      </c>
      <c r="H135" s="465">
        <v>201701</v>
      </c>
      <c r="I135" s="467">
        <v>8626.34</v>
      </c>
      <c r="J135" s="464">
        <v>0</v>
      </c>
      <c r="K135" s="472">
        <v>1.4833299999999999E-3</v>
      </c>
      <c r="L135" s="469">
        <f t="shared" si="4"/>
        <v>0</v>
      </c>
      <c r="M135" s="469">
        <f t="shared" si="5"/>
        <v>153.55000000000001</v>
      </c>
      <c r="N135" s="470"/>
    </row>
    <row r="136" spans="1:14">
      <c r="A136" s="464" t="s">
        <v>626</v>
      </c>
      <c r="B136" s="465" t="s">
        <v>1681</v>
      </c>
      <c r="C136" s="466" t="s">
        <v>2617</v>
      </c>
      <c r="D136" s="464" t="s">
        <v>2618</v>
      </c>
      <c r="E136" s="465" t="str">
        <f>VLOOKUP(C136,'[10]Project Detail Query'!$A$1:$R$2830,6,FALSE)</f>
        <v>F0572</v>
      </c>
      <c r="F136" s="464" t="str">
        <f>VLOOKUP(C136,'[10]Project Detail Query'!$A$1:$R$2830,7,FALSE)</f>
        <v>Main Replacement - ISRS (SW)</v>
      </c>
      <c r="G136" s="465" t="s">
        <v>20</v>
      </c>
      <c r="H136" s="465">
        <v>201701</v>
      </c>
      <c r="I136" s="467">
        <v>53855.89</v>
      </c>
      <c r="J136" s="464">
        <v>0</v>
      </c>
      <c r="K136" s="472">
        <v>1.4833299999999999E-3</v>
      </c>
      <c r="L136" s="469">
        <f t="shared" si="4"/>
        <v>0</v>
      </c>
      <c r="M136" s="469">
        <f t="shared" si="5"/>
        <v>958.63</v>
      </c>
      <c r="N136" s="470"/>
    </row>
    <row r="137" spans="1:14">
      <c r="A137" s="464" t="s">
        <v>14</v>
      </c>
      <c r="B137" s="465" t="s">
        <v>1681</v>
      </c>
      <c r="C137" s="466" t="s">
        <v>2617</v>
      </c>
      <c r="D137" s="464" t="s">
        <v>2618</v>
      </c>
      <c r="E137" s="465" t="str">
        <f>VLOOKUP(C137,'[10]Project Detail Query'!$A$1:$R$2830,6,FALSE)</f>
        <v>F0572</v>
      </c>
      <c r="F137" s="464" t="str">
        <f>VLOOKUP(C137,'[10]Project Detail Query'!$A$1:$R$2830,7,FALSE)</f>
        <v>Main Replacement - ISRS (SW)</v>
      </c>
      <c r="G137" s="465" t="s">
        <v>20</v>
      </c>
      <c r="H137" s="465">
        <v>201701</v>
      </c>
      <c r="I137" s="467">
        <v>9867.07</v>
      </c>
      <c r="J137" s="464">
        <v>0</v>
      </c>
      <c r="K137" s="468">
        <v>2.23333E-3</v>
      </c>
      <c r="L137" s="469">
        <f t="shared" si="4"/>
        <v>0</v>
      </c>
      <c r="M137" s="469">
        <f t="shared" si="5"/>
        <v>264.44</v>
      </c>
      <c r="N137" s="470"/>
    </row>
    <row r="138" spans="1:14">
      <c r="A138" s="464" t="s">
        <v>626</v>
      </c>
      <c r="B138" s="465" t="s">
        <v>1681</v>
      </c>
      <c r="C138" s="466" t="s">
        <v>2273</v>
      </c>
      <c r="D138" s="464" t="s">
        <v>2274</v>
      </c>
      <c r="E138" s="465" t="str">
        <f>VLOOKUP(C138,'[10]Project Detail Query'!$A$1:$R$2830,6,FALSE)</f>
        <v>F0572</v>
      </c>
      <c r="F138" s="464" t="str">
        <f>VLOOKUP(C138,'[10]Project Detail Query'!$A$1:$R$2830,7,FALSE)</f>
        <v>Main Replacement - ISRS (SW)</v>
      </c>
      <c r="G138" s="465" t="s">
        <v>20</v>
      </c>
      <c r="H138" s="465">
        <v>201701</v>
      </c>
      <c r="I138" s="467">
        <v>4040.93</v>
      </c>
      <c r="J138" s="464">
        <v>0</v>
      </c>
      <c r="K138" s="472">
        <v>1.4833299999999999E-3</v>
      </c>
      <c r="L138" s="469">
        <f t="shared" si="4"/>
        <v>0</v>
      </c>
      <c r="M138" s="469">
        <f t="shared" si="5"/>
        <v>71.930000000000007</v>
      </c>
      <c r="N138" s="470"/>
    </row>
    <row r="139" spans="1:14">
      <c r="A139" s="464" t="s">
        <v>626</v>
      </c>
      <c r="B139" s="465" t="s">
        <v>1681</v>
      </c>
      <c r="C139" s="466" t="s">
        <v>2619</v>
      </c>
      <c r="D139" s="464" t="s">
        <v>2620</v>
      </c>
      <c r="E139" s="465" t="str">
        <f>VLOOKUP(C139,'[10]Project Detail Query'!$A$1:$R$2830,6,FALSE)</f>
        <v>F0572</v>
      </c>
      <c r="F139" s="464" t="str">
        <f>VLOOKUP(C139,'[10]Project Detail Query'!$A$1:$R$2830,7,FALSE)</f>
        <v>Main Replacement - ISRS (SW)</v>
      </c>
      <c r="G139" s="465" t="s">
        <v>20</v>
      </c>
      <c r="H139" s="465">
        <v>201701</v>
      </c>
      <c r="I139" s="467">
        <v>102696.47</v>
      </c>
      <c r="J139" s="464">
        <v>0</v>
      </c>
      <c r="K139" s="472">
        <v>1.4833299999999999E-3</v>
      </c>
      <c r="L139" s="469">
        <f t="shared" si="4"/>
        <v>0</v>
      </c>
      <c r="M139" s="469">
        <f t="shared" si="5"/>
        <v>1827.99</v>
      </c>
      <c r="N139" s="470"/>
    </row>
    <row r="140" spans="1:14">
      <c r="A140" s="464" t="s">
        <v>626</v>
      </c>
      <c r="B140" s="465" t="s">
        <v>1681</v>
      </c>
      <c r="C140" s="466" t="s">
        <v>2621</v>
      </c>
      <c r="D140" s="464" t="s">
        <v>2622</v>
      </c>
      <c r="E140" s="465" t="str">
        <f>VLOOKUP(C140,'[10]Project Detail Query'!$A$1:$R$2830,6,FALSE)</f>
        <v>F0572</v>
      </c>
      <c r="F140" s="464" t="str">
        <f>VLOOKUP(C140,'[10]Project Detail Query'!$A$1:$R$2830,7,FALSE)</f>
        <v>Main Replacement - ISRS (SW)</v>
      </c>
      <c r="G140" s="465" t="s">
        <v>20</v>
      </c>
      <c r="H140" s="465">
        <v>201701</v>
      </c>
      <c r="I140" s="467">
        <v>110570.44</v>
      </c>
      <c r="J140" s="464">
        <v>0</v>
      </c>
      <c r="K140" s="472">
        <v>1.4833299999999999E-3</v>
      </c>
      <c r="L140" s="469">
        <f t="shared" si="4"/>
        <v>0</v>
      </c>
      <c r="M140" s="469">
        <f t="shared" si="5"/>
        <v>1968.15</v>
      </c>
      <c r="N140" s="470"/>
    </row>
    <row r="141" spans="1:14">
      <c r="A141" s="464" t="s">
        <v>21</v>
      </c>
      <c r="B141" s="465" t="s">
        <v>1681</v>
      </c>
      <c r="C141" s="466" t="s">
        <v>2438</v>
      </c>
      <c r="D141" s="464" t="s">
        <v>2439</v>
      </c>
      <c r="E141" s="465" t="str">
        <f>VLOOKUP(C141,'[10]Project Detail Query'!$A$1:$R$2830,6,FALSE)</f>
        <v>F0572</v>
      </c>
      <c r="F141" s="464" t="str">
        <f>VLOOKUP(C141,'[10]Project Detail Query'!$A$1:$R$2830,7,FALSE)</f>
        <v>Main Replacement - ISRS (SW)</v>
      </c>
      <c r="G141" s="465" t="s">
        <v>20</v>
      </c>
      <c r="H141" s="465">
        <v>201701</v>
      </c>
      <c r="I141" s="467">
        <v>-83.04</v>
      </c>
      <c r="J141" s="464">
        <v>0</v>
      </c>
      <c r="K141" s="472">
        <v>1.4833299999999999E-3</v>
      </c>
      <c r="L141" s="469">
        <f t="shared" si="4"/>
        <v>0</v>
      </c>
      <c r="M141" s="469">
        <f t="shared" si="5"/>
        <v>-1.48</v>
      </c>
      <c r="N141" s="470"/>
    </row>
    <row r="142" spans="1:14">
      <c r="A142" s="464" t="s">
        <v>626</v>
      </c>
      <c r="B142" s="465" t="s">
        <v>1681</v>
      </c>
      <c r="C142" s="466" t="s">
        <v>2438</v>
      </c>
      <c r="D142" s="464" t="s">
        <v>2439</v>
      </c>
      <c r="E142" s="465" t="str">
        <f>VLOOKUP(C142,'[10]Project Detail Query'!$A$1:$R$2830,6,FALSE)</f>
        <v>F0572</v>
      </c>
      <c r="F142" s="464" t="str">
        <f>VLOOKUP(C142,'[10]Project Detail Query'!$A$1:$R$2830,7,FALSE)</f>
        <v>Main Replacement - ISRS (SW)</v>
      </c>
      <c r="G142" s="465" t="s">
        <v>20</v>
      </c>
      <c r="H142" s="465">
        <v>201701</v>
      </c>
      <c r="I142" s="467">
        <v>-1929.84</v>
      </c>
      <c r="J142" s="464">
        <v>0</v>
      </c>
      <c r="K142" s="472">
        <v>1.4833299999999999E-3</v>
      </c>
      <c r="L142" s="469">
        <f t="shared" si="4"/>
        <v>0</v>
      </c>
      <c r="M142" s="469">
        <f t="shared" si="5"/>
        <v>-34.35</v>
      </c>
      <c r="N142" s="470"/>
    </row>
    <row r="143" spans="1:14">
      <c r="A143" s="464" t="s">
        <v>14</v>
      </c>
      <c r="B143" s="465" t="s">
        <v>1681</v>
      </c>
      <c r="C143" s="466" t="s">
        <v>2438</v>
      </c>
      <c r="D143" s="464" t="s">
        <v>2439</v>
      </c>
      <c r="E143" s="465" t="str">
        <f>VLOOKUP(C143,'[10]Project Detail Query'!$A$1:$R$2830,6,FALSE)</f>
        <v>F0572</v>
      </c>
      <c r="F143" s="464" t="str">
        <f>VLOOKUP(C143,'[10]Project Detail Query'!$A$1:$R$2830,7,FALSE)</f>
        <v>Main Replacement - ISRS (SW)</v>
      </c>
      <c r="G143" s="465" t="s">
        <v>20</v>
      </c>
      <c r="H143" s="465">
        <v>201701</v>
      </c>
      <c r="I143" s="467">
        <v>-13.4</v>
      </c>
      <c r="J143" s="464">
        <v>0</v>
      </c>
      <c r="K143" s="468">
        <v>2.23333E-3</v>
      </c>
      <c r="L143" s="469">
        <f t="shared" si="4"/>
        <v>0</v>
      </c>
      <c r="M143" s="469">
        <f t="shared" si="5"/>
        <v>-0.36</v>
      </c>
      <c r="N143" s="470"/>
    </row>
    <row r="144" spans="1:14">
      <c r="A144" s="464" t="s">
        <v>626</v>
      </c>
      <c r="B144" s="465" t="s">
        <v>1681</v>
      </c>
      <c r="C144" s="466" t="s">
        <v>2623</v>
      </c>
      <c r="D144" s="464" t="s">
        <v>2624</v>
      </c>
      <c r="E144" s="465" t="str">
        <f>VLOOKUP(C144,'[10]Project Detail Query'!$A$1:$R$2830,6,FALSE)</f>
        <v>F0572</v>
      </c>
      <c r="F144" s="464" t="str">
        <f>VLOOKUP(C144,'[10]Project Detail Query'!$A$1:$R$2830,7,FALSE)</f>
        <v>Main Replacement - ISRS (SW)</v>
      </c>
      <c r="G144" s="465" t="s">
        <v>20</v>
      </c>
      <c r="H144" s="465">
        <v>201701</v>
      </c>
      <c r="I144" s="467">
        <v>758734.36</v>
      </c>
      <c r="J144" s="464">
        <v>0</v>
      </c>
      <c r="K144" s="472">
        <v>1.4833299999999999E-3</v>
      </c>
      <c r="L144" s="469">
        <f t="shared" si="4"/>
        <v>0</v>
      </c>
      <c r="M144" s="469">
        <f t="shared" si="5"/>
        <v>13505.44</v>
      </c>
      <c r="N144" s="470"/>
    </row>
    <row r="145" spans="1:14">
      <c r="A145" s="464" t="s">
        <v>626</v>
      </c>
      <c r="B145" s="465" t="s">
        <v>1681</v>
      </c>
      <c r="C145" s="466" t="s">
        <v>2113</v>
      </c>
      <c r="D145" s="464" t="s">
        <v>2114</v>
      </c>
      <c r="E145" s="465" t="str">
        <f>VLOOKUP(C145,'[10]Project Detail Query'!$A$1:$R$2830,6,FALSE)</f>
        <v>F0547</v>
      </c>
      <c r="F145" s="464" t="str">
        <f>VLOOKUP(C145,'[10]Project Detail Query'!$A$1:$R$2830,7,FALSE)</f>
        <v>Street &amp; Highway Relocates ISRS (N)</v>
      </c>
      <c r="G145" s="465" t="s">
        <v>20</v>
      </c>
      <c r="H145" s="465">
        <v>201701</v>
      </c>
      <c r="I145" s="467">
        <v>328.11</v>
      </c>
      <c r="J145" s="464">
        <v>0</v>
      </c>
      <c r="K145" s="472">
        <v>1.4833299999999999E-3</v>
      </c>
      <c r="L145" s="469">
        <f t="shared" si="4"/>
        <v>0</v>
      </c>
      <c r="M145" s="469">
        <f t="shared" si="5"/>
        <v>5.84</v>
      </c>
      <c r="N145" s="470"/>
    </row>
    <row r="146" spans="1:14">
      <c r="A146" s="464" t="s">
        <v>626</v>
      </c>
      <c r="B146" s="465" t="s">
        <v>1681</v>
      </c>
      <c r="C146" s="466" t="s">
        <v>2406</v>
      </c>
      <c r="D146" s="464" t="s">
        <v>2407</v>
      </c>
      <c r="E146" s="465" t="str">
        <f>VLOOKUP(C146,'[10]Project Detail Query'!$A$1:$R$2830,6,FALSE)</f>
        <v>F0604</v>
      </c>
      <c r="F146" s="464" t="str">
        <f>VLOOKUP(C146,'[10]Project Detail Query'!$A$1:$R$2830,7,FALSE)</f>
        <v>Main Replacement - ISRS (S)</v>
      </c>
      <c r="G146" s="465" t="s">
        <v>20</v>
      </c>
      <c r="H146" s="465">
        <v>201701</v>
      </c>
      <c r="I146" s="467">
        <v>16044.94</v>
      </c>
      <c r="J146" s="464">
        <v>0</v>
      </c>
      <c r="K146" s="472">
        <v>1.4833299999999999E-3</v>
      </c>
      <c r="L146" s="469">
        <f t="shared" si="4"/>
        <v>0</v>
      </c>
      <c r="M146" s="469">
        <f t="shared" si="5"/>
        <v>285.60000000000002</v>
      </c>
      <c r="N146" s="470"/>
    </row>
    <row r="147" spans="1:14">
      <c r="A147" s="464" t="s">
        <v>14</v>
      </c>
      <c r="B147" s="465" t="s">
        <v>1681</v>
      </c>
      <c r="C147" s="466" t="s">
        <v>2406</v>
      </c>
      <c r="D147" s="464" t="s">
        <v>2407</v>
      </c>
      <c r="E147" s="465" t="str">
        <f>VLOOKUP(C147,'[10]Project Detail Query'!$A$1:$R$2830,6,FALSE)</f>
        <v>F0604</v>
      </c>
      <c r="F147" s="464" t="str">
        <f>VLOOKUP(C147,'[10]Project Detail Query'!$A$1:$R$2830,7,FALSE)</f>
        <v>Main Replacement - ISRS (S)</v>
      </c>
      <c r="G147" s="465" t="s">
        <v>20</v>
      </c>
      <c r="H147" s="465">
        <v>201701</v>
      </c>
      <c r="I147" s="467">
        <v>377.84</v>
      </c>
      <c r="J147" s="464">
        <v>0</v>
      </c>
      <c r="K147" s="468">
        <v>2.23333E-3</v>
      </c>
      <c r="L147" s="469">
        <f t="shared" si="4"/>
        <v>0</v>
      </c>
      <c r="M147" s="469">
        <f t="shared" si="5"/>
        <v>10.130000000000001</v>
      </c>
      <c r="N147" s="470"/>
    </row>
    <row r="148" spans="1:14">
      <c r="A148" s="464" t="s">
        <v>626</v>
      </c>
      <c r="B148" s="465" t="s">
        <v>1681</v>
      </c>
      <c r="C148" s="466" t="s">
        <v>2275</v>
      </c>
      <c r="D148" s="464" t="s">
        <v>2276</v>
      </c>
      <c r="E148" s="465" t="str">
        <f>VLOOKUP(C148,'[10]Project Detail Query'!$A$1:$R$2830,6,FALSE)</f>
        <v>F0604</v>
      </c>
      <c r="F148" s="464" t="str">
        <f>VLOOKUP(C148,'[10]Project Detail Query'!$A$1:$R$2830,7,FALSE)</f>
        <v>Main Replacement - ISRS (S)</v>
      </c>
      <c r="G148" s="465" t="s">
        <v>20</v>
      </c>
      <c r="H148" s="465">
        <v>201701</v>
      </c>
      <c r="I148" s="467">
        <v>4763.95</v>
      </c>
      <c r="J148" s="464">
        <v>0</v>
      </c>
      <c r="K148" s="472">
        <v>1.4833299999999999E-3</v>
      </c>
      <c r="L148" s="469">
        <f t="shared" si="4"/>
        <v>0</v>
      </c>
      <c r="M148" s="469">
        <f t="shared" si="5"/>
        <v>84.8</v>
      </c>
      <c r="N148" s="470"/>
    </row>
    <row r="149" spans="1:14">
      <c r="A149" s="464" t="s">
        <v>626</v>
      </c>
      <c r="B149" s="465" t="s">
        <v>1681</v>
      </c>
      <c r="C149" s="466" t="s">
        <v>2625</v>
      </c>
      <c r="D149" s="464" t="s">
        <v>2626</v>
      </c>
      <c r="E149" s="465" t="str">
        <f>VLOOKUP(C149,'[10]Project Detail Query'!$A$1:$R$2830,6,FALSE)</f>
        <v>F0572</v>
      </c>
      <c r="F149" s="464" t="str">
        <f>VLOOKUP(C149,'[10]Project Detail Query'!$A$1:$R$2830,7,FALSE)</f>
        <v>Main Replacement - ISRS (SW)</v>
      </c>
      <c r="G149" s="465" t="s">
        <v>20</v>
      </c>
      <c r="H149" s="465">
        <v>201701</v>
      </c>
      <c r="I149" s="467">
        <v>71166.27</v>
      </c>
      <c r="J149" s="464">
        <v>0</v>
      </c>
      <c r="K149" s="472">
        <v>1.4833299999999999E-3</v>
      </c>
      <c r="L149" s="469">
        <f t="shared" si="4"/>
        <v>0</v>
      </c>
      <c r="M149" s="469">
        <f t="shared" si="5"/>
        <v>1266.76</v>
      </c>
      <c r="N149" s="470"/>
    </row>
    <row r="150" spans="1:14">
      <c r="A150" s="464" t="s">
        <v>626</v>
      </c>
      <c r="B150" s="465" t="s">
        <v>1681</v>
      </c>
      <c r="C150" s="466" t="s">
        <v>2412</v>
      </c>
      <c r="D150" s="464" t="s">
        <v>2413</v>
      </c>
      <c r="E150" s="465" t="str">
        <f>VLOOKUP(C150,'[10]Project Detail Query'!$A$1:$R$2830,6,FALSE)</f>
        <v>F0604</v>
      </c>
      <c r="F150" s="464" t="str">
        <f>VLOOKUP(C150,'[10]Project Detail Query'!$A$1:$R$2830,7,FALSE)</f>
        <v>Main Replacement - ISRS (S)</v>
      </c>
      <c r="G150" s="465" t="s">
        <v>20</v>
      </c>
      <c r="H150" s="465">
        <v>201701</v>
      </c>
      <c r="I150" s="467">
        <v>13723.97</v>
      </c>
      <c r="J150" s="464">
        <v>0</v>
      </c>
      <c r="K150" s="472">
        <v>1.4833299999999999E-3</v>
      </c>
      <c r="L150" s="469">
        <f t="shared" si="4"/>
        <v>0</v>
      </c>
      <c r="M150" s="469">
        <f t="shared" si="5"/>
        <v>244.29</v>
      </c>
      <c r="N150" s="470"/>
    </row>
    <row r="151" spans="1:14">
      <c r="A151" s="464" t="s">
        <v>14</v>
      </c>
      <c r="B151" s="465" t="s">
        <v>1681</v>
      </c>
      <c r="C151" s="466" t="s">
        <v>2412</v>
      </c>
      <c r="D151" s="464" t="s">
        <v>2413</v>
      </c>
      <c r="E151" s="465" t="str">
        <f>VLOOKUP(C151,'[10]Project Detail Query'!$A$1:$R$2830,6,FALSE)</f>
        <v>F0604</v>
      </c>
      <c r="F151" s="464" t="str">
        <f>VLOOKUP(C151,'[10]Project Detail Query'!$A$1:$R$2830,7,FALSE)</f>
        <v>Main Replacement - ISRS (S)</v>
      </c>
      <c r="G151" s="465" t="s">
        <v>20</v>
      </c>
      <c r="H151" s="465">
        <v>201701</v>
      </c>
      <c r="I151" s="467">
        <v>144.16</v>
      </c>
      <c r="J151" s="464">
        <v>0</v>
      </c>
      <c r="K151" s="468">
        <v>2.23333E-3</v>
      </c>
      <c r="L151" s="469">
        <f t="shared" si="4"/>
        <v>0</v>
      </c>
      <c r="M151" s="469">
        <f t="shared" si="5"/>
        <v>3.86</v>
      </c>
      <c r="N151" s="470"/>
    </row>
    <row r="152" spans="1:14">
      <c r="A152" s="464" t="s">
        <v>626</v>
      </c>
      <c r="B152" s="465" t="s">
        <v>1681</v>
      </c>
      <c r="C152" s="466" t="s">
        <v>2277</v>
      </c>
      <c r="D152" s="464" t="s">
        <v>2278</v>
      </c>
      <c r="E152" s="465" t="str">
        <f>VLOOKUP(C152,'[10]Project Detail Query'!$A$1:$R$2830,6,FALSE)</f>
        <v>F0604</v>
      </c>
      <c r="F152" s="464" t="str">
        <f>VLOOKUP(C152,'[10]Project Detail Query'!$A$1:$R$2830,7,FALSE)</f>
        <v>Main Replacement - ISRS (S)</v>
      </c>
      <c r="G152" s="465" t="s">
        <v>20</v>
      </c>
      <c r="H152" s="465">
        <v>201701</v>
      </c>
      <c r="I152" s="467">
        <v>1759.03</v>
      </c>
      <c r="J152" s="464">
        <v>0</v>
      </c>
      <c r="K152" s="472">
        <v>1.4833299999999999E-3</v>
      </c>
      <c r="L152" s="469">
        <f t="shared" si="4"/>
        <v>0</v>
      </c>
      <c r="M152" s="469">
        <f t="shared" si="5"/>
        <v>31.31</v>
      </c>
      <c r="N152" s="470"/>
    </row>
    <row r="153" spans="1:14">
      <c r="A153" s="464" t="s">
        <v>14</v>
      </c>
      <c r="B153" s="465" t="s">
        <v>1681</v>
      </c>
      <c r="C153" s="466" t="s">
        <v>2277</v>
      </c>
      <c r="D153" s="464" t="s">
        <v>2278</v>
      </c>
      <c r="E153" s="465" t="str">
        <f>VLOOKUP(C153,'[10]Project Detail Query'!$A$1:$R$2830,6,FALSE)</f>
        <v>F0604</v>
      </c>
      <c r="F153" s="464" t="str">
        <f>VLOOKUP(C153,'[10]Project Detail Query'!$A$1:$R$2830,7,FALSE)</f>
        <v>Main Replacement - ISRS (S)</v>
      </c>
      <c r="G153" s="465" t="s">
        <v>20</v>
      </c>
      <c r="H153" s="465">
        <v>201701</v>
      </c>
      <c r="I153" s="467">
        <v>89.18</v>
      </c>
      <c r="J153" s="464">
        <v>0</v>
      </c>
      <c r="K153" s="468">
        <v>2.23333E-3</v>
      </c>
      <c r="L153" s="469">
        <f t="shared" si="4"/>
        <v>0</v>
      </c>
      <c r="M153" s="469">
        <f t="shared" si="5"/>
        <v>2.39</v>
      </c>
      <c r="N153" s="470"/>
    </row>
    <row r="154" spans="1:14">
      <c r="A154" s="464" t="s">
        <v>626</v>
      </c>
      <c r="B154" s="465" t="s">
        <v>1681</v>
      </c>
      <c r="C154" s="466" t="s">
        <v>2416</v>
      </c>
      <c r="D154" s="464" t="s">
        <v>2417</v>
      </c>
      <c r="E154" s="465" t="str">
        <f>VLOOKUP(C154,'[10]Project Detail Query'!$A$1:$R$2830,6,FALSE)</f>
        <v>F0599</v>
      </c>
      <c r="F154" s="464" t="str">
        <f>VLOOKUP(C154,'[10]Project Detail Query'!$A$1:$R$2830,7,FALSE)</f>
        <v>Main Replacement - ISRS (N)</v>
      </c>
      <c r="G154" s="465" t="s">
        <v>20</v>
      </c>
      <c r="H154" s="465">
        <v>201701</v>
      </c>
      <c r="I154" s="467">
        <v>1607.54</v>
      </c>
      <c r="J154" s="464">
        <v>0</v>
      </c>
      <c r="K154" s="472">
        <v>1.4833299999999999E-3</v>
      </c>
      <c r="L154" s="469">
        <f t="shared" si="4"/>
        <v>0</v>
      </c>
      <c r="M154" s="469">
        <f t="shared" si="5"/>
        <v>28.61</v>
      </c>
      <c r="N154" s="470"/>
    </row>
    <row r="155" spans="1:14">
      <c r="A155" s="464" t="s">
        <v>1942</v>
      </c>
      <c r="B155" s="465" t="s">
        <v>1681</v>
      </c>
      <c r="C155" s="466" t="s">
        <v>2416</v>
      </c>
      <c r="D155" s="464" t="s">
        <v>2417</v>
      </c>
      <c r="E155" s="465" t="str">
        <f>VLOOKUP(C155,'[10]Project Detail Query'!$A$1:$R$2830,6,FALSE)</f>
        <v>F0599</v>
      </c>
      <c r="F155" s="464" t="str">
        <f>VLOOKUP(C155,'[10]Project Detail Query'!$A$1:$R$2830,7,FALSE)</f>
        <v>Main Replacement - ISRS (N)</v>
      </c>
      <c r="G155" s="465" t="s">
        <v>20</v>
      </c>
      <c r="H155" s="465">
        <v>201701</v>
      </c>
      <c r="I155" s="467">
        <v>3.5</v>
      </c>
      <c r="J155" s="464">
        <v>0</v>
      </c>
      <c r="K155" s="472">
        <v>2.23333E-3</v>
      </c>
      <c r="L155" s="469">
        <f t="shared" si="4"/>
        <v>0</v>
      </c>
      <c r="M155" s="469">
        <f t="shared" si="5"/>
        <v>0.09</v>
      </c>
      <c r="N155" s="470"/>
    </row>
    <row r="156" spans="1:14">
      <c r="A156" s="464" t="s">
        <v>21</v>
      </c>
      <c r="B156" s="465" t="s">
        <v>1681</v>
      </c>
      <c r="C156" s="466" t="s">
        <v>2418</v>
      </c>
      <c r="D156" s="464" t="s">
        <v>2419</v>
      </c>
      <c r="E156" s="465" t="str">
        <f>VLOOKUP(C156,'[10]Project Detail Query'!$A$1:$R$2830,6,FALSE)</f>
        <v>F0604</v>
      </c>
      <c r="F156" s="464" t="str">
        <f>VLOOKUP(C156,'[10]Project Detail Query'!$A$1:$R$2830,7,FALSE)</f>
        <v>Main Replacement - ISRS (S)</v>
      </c>
      <c r="G156" s="465" t="s">
        <v>20</v>
      </c>
      <c r="H156" s="465">
        <v>201701</v>
      </c>
      <c r="I156" s="467">
        <v>578.55999999999995</v>
      </c>
      <c r="J156" s="464">
        <v>0</v>
      </c>
      <c r="K156" s="472">
        <v>1.4833299999999999E-3</v>
      </c>
      <c r="L156" s="469">
        <f t="shared" si="4"/>
        <v>0</v>
      </c>
      <c r="M156" s="469">
        <f t="shared" si="5"/>
        <v>10.3</v>
      </c>
      <c r="N156" s="470"/>
    </row>
    <row r="157" spans="1:14">
      <c r="A157" s="464" t="s">
        <v>1942</v>
      </c>
      <c r="B157" s="465" t="s">
        <v>1681</v>
      </c>
      <c r="C157" s="466" t="s">
        <v>2418</v>
      </c>
      <c r="D157" s="464" t="s">
        <v>2419</v>
      </c>
      <c r="E157" s="465" t="str">
        <f>VLOOKUP(C157,'[10]Project Detail Query'!$A$1:$R$2830,6,FALSE)</f>
        <v>F0604</v>
      </c>
      <c r="F157" s="464" t="str">
        <f>VLOOKUP(C157,'[10]Project Detail Query'!$A$1:$R$2830,7,FALSE)</f>
        <v>Main Replacement - ISRS (S)</v>
      </c>
      <c r="G157" s="465" t="s">
        <v>20</v>
      </c>
      <c r="H157" s="465">
        <v>201701</v>
      </c>
      <c r="I157" s="467">
        <v>2.21</v>
      </c>
      <c r="J157" s="464">
        <v>0</v>
      </c>
      <c r="K157" s="472">
        <v>2.23333E-3</v>
      </c>
      <c r="L157" s="469">
        <f t="shared" si="4"/>
        <v>0</v>
      </c>
      <c r="M157" s="469">
        <f t="shared" si="5"/>
        <v>0.06</v>
      </c>
      <c r="N157" s="470"/>
    </row>
    <row r="158" spans="1:14">
      <c r="A158" s="464" t="s">
        <v>21</v>
      </c>
      <c r="B158" s="465" t="s">
        <v>1681</v>
      </c>
      <c r="C158" s="466" t="s">
        <v>2279</v>
      </c>
      <c r="D158" s="464" t="s">
        <v>2280</v>
      </c>
      <c r="E158" s="465" t="str">
        <f>VLOOKUP(C158,'[10]Project Detail Query'!$A$1:$R$2830,6,FALSE)</f>
        <v>F0547</v>
      </c>
      <c r="F158" s="464" t="str">
        <f>VLOOKUP(C158,'[10]Project Detail Query'!$A$1:$R$2830,7,FALSE)</f>
        <v>Street &amp; Highway Relocates ISRS (N)</v>
      </c>
      <c r="G158" s="465" t="s">
        <v>20</v>
      </c>
      <c r="H158" s="465">
        <v>201701</v>
      </c>
      <c r="I158" s="467">
        <v>24.27</v>
      </c>
      <c r="J158" s="464">
        <v>0</v>
      </c>
      <c r="K158" s="472">
        <v>1.4833299999999999E-3</v>
      </c>
      <c r="L158" s="469">
        <f t="shared" si="4"/>
        <v>0</v>
      </c>
      <c r="M158" s="469">
        <f t="shared" si="5"/>
        <v>0.43</v>
      </c>
      <c r="N158" s="470"/>
    </row>
    <row r="159" spans="1:14">
      <c r="A159" s="464" t="s">
        <v>626</v>
      </c>
      <c r="B159" s="465" t="s">
        <v>1681</v>
      </c>
      <c r="C159" s="466" t="s">
        <v>2420</v>
      </c>
      <c r="D159" s="464" t="s">
        <v>2421</v>
      </c>
      <c r="E159" s="465" t="str">
        <f>VLOOKUP(C159,'[10]Project Detail Query'!$A$1:$R$2830,6,FALSE)</f>
        <v>F0599</v>
      </c>
      <c r="F159" s="464" t="str">
        <f>VLOOKUP(C159,'[10]Project Detail Query'!$A$1:$R$2830,7,FALSE)</f>
        <v>Main Replacement - ISRS (N)</v>
      </c>
      <c r="G159" s="465" t="s">
        <v>20</v>
      </c>
      <c r="H159" s="465">
        <v>201701</v>
      </c>
      <c r="I159" s="467">
        <v>71.39</v>
      </c>
      <c r="J159" s="464">
        <v>0</v>
      </c>
      <c r="K159" s="472">
        <v>1.4833299999999999E-3</v>
      </c>
      <c r="L159" s="469">
        <f t="shared" si="4"/>
        <v>0</v>
      </c>
      <c r="M159" s="469">
        <f t="shared" si="5"/>
        <v>1.27</v>
      </c>
      <c r="N159" s="470"/>
    </row>
    <row r="160" spans="1:14">
      <c r="A160" s="464" t="s">
        <v>626</v>
      </c>
      <c r="B160" s="465" t="s">
        <v>1681</v>
      </c>
      <c r="C160" s="466" t="s">
        <v>2285</v>
      </c>
      <c r="D160" s="464" t="s">
        <v>2286</v>
      </c>
      <c r="E160" s="465" t="str">
        <f>VLOOKUP(C160,'[10]Project Detail Query'!$A$1:$R$2830,6,FALSE)</f>
        <v>F0572</v>
      </c>
      <c r="F160" s="464" t="str">
        <f>VLOOKUP(C160,'[10]Project Detail Query'!$A$1:$R$2830,7,FALSE)</f>
        <v>Main Replacement - ISRS (SW)</v>
      </c>
      <c r="G160" s="465" t="s">
        <v>20</v>
      </c>
      <c r="H160" s="465">
        <v>201701</v>
      </c>
      <c r="I160" s="467">
        <v>-1077.1500000000001</v>
      </c>
      <c r="J160" s="464">
        <v>0</v>
      </c>
      <c r="K160" s="472">
        <v>1.4833299999999999E-3</v>
      </c>
      <c r="L160" s="469">
        <f t="shared" si="4"/>
        <v>0</v>
      </c>
      <c r="M160" s="469">
        <f t="shared" si="5"/>
        <v>-19.170000000000002</v>
      </c>
      <c r="N160" s="470"/>
    </row>
    <row r="161" spans="1:14">
      <c r="A161" s="464" t="s">
        <v>14</v>
      </c>
      <c r="B161" s="465" t="s">
        <v>1681</v>
      </c>
      <c r="C161" s="466" t="s">
        <v>2285</v>
      </c>
      <c r="D161" s="464" t="s">
        <v>2286</v>
      </c>
      <c r="E161" s="465" t="str">
        <f>VLOOKUP(C161,'[10]Project Detail Query'!$A$1:$R$2830,6,FALSE)</f>
        <v>F0572</v>
      </c>
      <c r="F161" s="464" t="str">
        <f>VLOOKUP(C161,'[10]Project Detail Query'!$A$1:$R$2830,7,FALSE)</f>
        <v>Main Replacement - ISRS (SW)</v>
      </c>
      <c r="G161" s="465" t="s">
        <v>20</v>
      </c>
      <c r="H161" s="465">
        <v>201701</v>
      </c>
      <c r="I161" s="467">
        <v>-18.04</v>
      </c>
      <c r="J161" s="464">
        <v>0</v>
      </c>
      <c r="K161" s="468">
        <v>2.23333E-3</v>
      </c>
      <c r="L161" s="469">
        <f t="shared" si="4"/>
        <v>0</v>
      </c>
      <c r="M161" s="469">
        <f t="shared" si="5"/>
        <v>-0.48</v>
      </c>
      <c r="N161" s="470"/>
    </row>
    <row r="162" spans="1:14">
      <c r="A162" s="464" t="s">
        <v>626</v>
      </c>
      <c r="B162" s="465" t="s">
        <v>1681</v>
      </c>
      <c r="C162" s="466" t="s">
        <v>2289</v>
      </c>
      <c r="D162" s="464" t="s">
        <v>2290</v>
      </c>
      <c r="E162" s="465" t="str">
        <f>VLOOKUP(C162,'[10]Project Detail Query'!$A$1:$R$2830,6,FALSE)</f>
        <v>F0664</v>
      </c>
      <c r="F162" s="464" t="str">
        <f>VLOOKUP(C162,'[10]Project Detail Query'!$A$1:$R$2830,7,FALSE)</f>
        <v>Street &amp; Hwy Relocates ISRS (SW)</v>
      </c>
      <c r="G162" s="465" t="s">
        <v>20</v>
      </c>
      <c r="H162" s="465">
        <v>201701</v>
      </c>
      <c r="I162" s="467">
        <v>17.98</v>
      </c>
      <c r="J162" s="464">
        <v>0</v>
      </c>
      <c r="K162" s="472">
        <v>1.4833299999999999E-3</v>
      </c>
      <c r="L162" s="469">
        <f t="shared" si="4"/>
        <v>0</v>
      </c>
      <c r="M162" s="469">
        <f t="shared" si="5"/>
        <v>0.32</v>
      </c>
      <c r="N162" s="470"/>
    </row>
    <row r="163" spans="1:14">
      <c r="A163" s="464" t="s">
        <v>626</v>
      </c>
      <c r="B163" s="465" t="s">
        <v>1681</v>
      </c>
      <c r="C163" s="466" t="s">
        <v>2440</v>
      </c>
      <c r="D163" s="464" t="s">
        <v>2441</v>
      </c>
      <c r="E163" s="465" t="str">
        <f>VLOOKUP(C163,'[10]Project Detail Query'!$A$1:$R$2830,6,FALSE)</f>
        <v>F0604</v>
      </c>
      <c r="F163" s="464" t="str">
        <f>VLOOKUP(C163,'[10]Project Detail Query'!$A$1:$R$2830,7,FALSE)</f>
        <v>Main Replacement - ISRS (S)</v>
      </c>
      <c r="G163" s="465" t="s">
        <v>20</v>
      </c>
      <c r="H163" s="465">
        <v>201701</v>
      </c>
      <c r="I163" s="467">
        <v>5089.6099999999997</v>
      </c>
      <c r="J163" s="464">
        <v>0</v>
      </c>
      <c r="K163" s="472">
        <v>1.4833299999999999E-3</v>
      </c>
      <c r="L163" s="469">
        <f t="shared" si="4"/>
        <v>0</v>
      </c>
      <c r="M163" s="469">
        <f t="shared" si="5"/>
        <v>90.59</v>
      </c>
      <c r="N163" s="470"/>
    </row>
    <row r="164" spans="1:14">
      <c r="A164" s="464" t="s">
        <v>14</v>
      </c>
      <c r="B164" s="465" t="s">
        <v>1681</v>
      </c>
      <c r="C164" s="466" t="s">
        <v>2440</v>
      </c>
      <c r="D164" s="464" t="s">
        <v>2441</v>
      </c>
      <c r="E164" s="465" t="str">
        <f>VLOOKUP(C164,'[10]Project Detail Query'!$A$1:$R$2830,6,FALSE)</f>
        <v>F0604</v>
      </c>
      <c r="F164" s="464" t="str">
        <f>VLOOKUP(C164,'[10]Project Detail Query'!$A$1:$R$2830,7,FALSE)</f>
        <v>Main Replacement - ISRS (S)</v>
      </c>
      <c r="G164" s="465" t="s">
        <v>20</v>
      </c>
      <c r="H164" s="465">
        <v>201701</v>
      </c>
      <c r="I164" s="467">
        <v>3369.75</v>
      </c>
      <c r="J164" s="464">
        <v>0</v>
      </c>
      <c r="K164" s="468">
        <v>2.23333E-3</v>
      </c>
      <c r="L164" s="469">
        <f t="shared" si="4"/>
        <v>0</v>
      </c>
      <c r="M164" s="469">
        <f t="shared" si="5"/>
        <v>90.31</v>
      </c>
      <c r="N164" s="470"/>
    </row>
    <row r="165" spans="1:14">
      <c r="A165" s="464" t="s">
        <v>626</v>
      </c>
      <c r="B165" s="465" t="s">
        <v>1681</v>
      </c>
      <c r="C165" s="466" t="s">
        <v>2627</v>
      </c>
      <c r="D165" s="464" t="s">
        <v>2628</v>
      </c>
      <c r="E165" s="465" t="str">
        <f>VLOOKUP(C165,'[10]Project Detail Query'!$A$1:$R$2830,6,FALSE)</f>
        <v>F0599</v>
      </c>
      <c r="F165" s="464" t="str">
        <f>VLOOKUP(C165,'[10]Project Detail Query'!$A$1:$R$2830,7,FALSE)</f>
        <v>Main Replacement - ISRS (N)</v>
      </c>
      <c r="G165" s="465" t="s">
        <v>20</v>
      </c>
      <c r="H165" s="465">
        <v>201701</v>
      </c>
      <c r="I165" s="467">
        <v>12024.92</v>
      </c>
      <c r="J165" s="464">
        <v>0</v>
      </c>
      <c r="K165" s="472">
        <v>1.4833299999999999E-3</v>
      </c>
      <c r="L165" s="469">
        <f t="shared" si="4"/>
        <v>0</v>
      </c>
      <c r="M165" s="469">
        <f t="shared" si="5"/>
        <v>214.04</v>
      </c>
      <c r="N165" s="470"/>
    </row>
    <row r="166" spans="1:14">
      <c r="A166" s="464" t="s">
        <v>626</v>
      </c>
      <c r="B166" s="465" t="s">
        <v>1681</v>
      </c>
      <c r="C166" s="466" t="s">
        <v>2422</v>
      </c>
      <c r="D166" s="464" t="s">
        <v>2423</v>
      </c>
      <c r="E166" s="465" t="str">
        <f>VLOOKUP(C166,'[10]Project Detail Query'!$A$1:$R$2830,6,FALSE)</f>
        <v>F0599</v>
      </c>
      <c r="F166" s="464" t="str">
        <f>VLOOKUP(C166,'[10]Project Detail Query'!$A$1:$R$2830,7,FALSE)</f>
        <v>Main Replacement - ISRS (N)</v>
      </c>
      <c r="G166" s="465" t="s">
        <v>20</v>
      </c>
      <c r="H166" s="465">
        <v>201701</v>
      </c>
      <c r="I166" s="467">
        <v>11.79</v>
      </c>
      <c r="J166" s="464">
        <v>0</v>
      </c>
      <c r="K166" s="472">
        <v>1.4833299999999999E-3</v>
      </c>
      <c r="L166" s="469">
        <f t="shared" si="4"/>
        <v>0</v>
      </c>
      <c r="M166" s="469">
        <f t="shared" si="5"/>
        <v>0.21</v>
      </c>
      <c r="N166" s="470"/>
    </row>
    <row r="167" spans="1:14">
      <c r="A167" s="464" t="s">
        <v>626</v>
      </c>
      <c r="B167" s="465" t="s">
        <v>1681</v>
      </c>
      <c r="C167" s="466" t="s">
        <v>2629</v>
      </c>
      <c r="D167" s="464" t="s">
        <v>2630</v>
      </c>
      <c r="E167" s="465" t="str">
        <f>VLOOKUP(C167,'[10]Project Detail Query'!$A$1:$R$2830,6,FALSE)</f>
        <v>F0578</v>
      </c>
      <c r="F167" s="464" t="str">
        <f>VLOOKUP(C167,'[10]Project Detail Query'!$A$1:$R$2830,7,FALSE)</f>
        <v>Street &amp; Highway Relocates ISRS (S)</v>
      </c>
      <c r="G167" s="465" t="s">
        <v>20</v>
      </c>
      <c r="H167" s="465">
        <v>201701</v>
      </c>
      <c r="I167" s="467">
        <v>193296.78</v>
      </c>
      <c r="J167" s="464">
        <v>0</v>
      </c>
      <c r="K167" s="472">
        <v>1.4833299999999999E-3</v>
      </c>
      <c r="L167" s="469">
        <f t="shared" si="4"/>
        <v>0</v>
      </c>
      <c r="M167" s="469">
        <f t="shared" si="5"/>
        <v>3440.67</v>
      </c>
      <c r="N167" s="470"/>
    </row>
    <row r="168" spans="1:14">
      <c r="A168" s="464" t="s">
        <v>14</v>
      </c>
      <c r="B168" s="465" t="s">
        <v>1681</v>
      </c>
      <c r="C168" s="466" t="s">
        <v>2629</v>
      </c>
      <c r="D168" s="464" t="s">
        <v>2630</v>
      </c>
      <c r="E168" s="465" t="str">
        <f>VLOOKUP(C168,'[10]Project Detail Query'!$A$1:$R$2830,6,FALSE)</f>
        <v>F0578</v>
      </c>
      <c r="F168" s="464" t="str">
        <f>VLOOKUP(C168,'[10]Project Detail Query'!$A$1:$R$2830,7,FALSE)</f>
        <v>Street &amp; Highway Relocates ISRS (S)</v>
      </c>
      <c r="G168" s="465" t="s">
        <v>20</v>
      </c>
      <c r="H168" s="465">
        <v>201701</v>
      </c>
      <c r="I168" s="467">
        <v>38180.239999999998</v>
      </c>
      <c r="J168" s="464">
        <v>0</v>
      </c>
      <c r="K168" s="468">
        <v>2.23333E-3</v>
      </c>
      <c r="L168" s="469">
        <f t="shared" si="4"/>
        <v>0</v>
      </c>
      <c r="M168" s="469">
        <f t="shared" si="5"/>
        <v>1023.23</v>
      </c>
      <c r="N168" s="470"/>
    </row>
    <row r="169" spans="1:14">
      <c r="A169" s="464" t="s">
        <v>626</v>
      </c>
      <c r="B169" s="465" t="s">
        <v>1681</v>
      </c>
      <c r="C169" s="466" t="s">
        <v>2424</v>
      </c>
      <c r="D169" s="464" t="s">
        <v>2425</v>
      </c>
      <c r="E169" s="465" t="str">
        <f>VLOOKUP(C169,'[10]Project Detail Query'!$A$1:$R$2830,6,FALSE)</f>
        <v>F0664</v>
      </c>
      <c r="F169" s="464" t="str">
        <f>VLOOKUP(C169,'[10]Project Detail Query'!$A$1:$R$2830,7,FALSE)</f>
        <v>Street &amp; Hwy Relocates ISRS (SW)</v>
      </c>
      <c r="G169" s="465" t="s">
        <v>20</v>
      </c>
      <c r="H169" s="465">
        <v>201701</v>
      </c>
      <c r="I169" s="467">
        <v>40.79</v>
      </c>
      <c r="J169" s="464">
        <v>0</v>
      </c>
      <c r="K169" s="472">
        <v>1.4833299999999999E-3</v>
      </c>
      <c r="L169" s="469">
        <f t="shared" si="4"/>
        <v>0</v>
      </c>
      <c r="M169" s="469">
        <f t="shared" si="5"/>
        <v>0.73</v>
      </c>
      <c r="N169" s="470"/>
    </row>
    <row r="170" spans="1:14">
      <c r="A170" s="464" t="s">
        <v>626</v>
      </c>
      <c r="B170" s="465" t="s">
        <v>1681</v>
      </c>
      <c r="C170" s="466" t="s">
        <v>2631</v>
      </c>
      <c r="D170" s="464" t="s">
        <v>2632</v>
      </c>
      <c r="E170" s="465" t="str">
        <f>VLOOKUP(C170,'[10]Project Detail Query'!$A$1:$R$2830,6,FALSE)</f>
        <v>F0572</v>
      </c>
      <c r="F170" s="464" t="str">
        <f>VLOOKUP(C170,'[10]Project Detail Query'!$A$1:$R$2830,7,FALSE)</f>
        <v>Main Replacement - ISRS (SW)</v>
      </c>
      <c r="G170" s="465" t="s">
        <v>20</v>
      </c>
      <c r="H170" s="465">
        <v>201701</v>
      </c>
      <c r="I170" s="467">
        <v>112153.2</v>
      </c>
      <c r="J170" s="464">
        <v>0</v>
      </c>
      <c r="K170" s="472">
        <v>1.4833299999999999E-3</v>
      </c>
      <c r="L170" s="469">
        <f t="shared" si="4"/>
        <v>0</v>
      </c>
      <c r="M170" s="469">
        <f t="shared" si="5"/>
        <v>1996.32</v>
      </c>
      <c r="N170" s="470"/>
    </row>
    <row r="171" spans="1:14">
      <c r="A171" s="464" t="s">
        <v>626</v>
      </c>
      <c r="B171" s="465" t="s">
        <v>1681</v>
      </c>
      <c r="C171" s="466" t="s">
        <v>2442</v>
      </c>
      <c r="D171" s="464" t="s">
        <v>2443</v>
      </c>
      <c r="E171" s="465" t="str">
        <f>VLOOKUP(C171,'[10]Project Detail Query'!$A$1:$R$2830,6,FALSE)</f>
        <v>F0572</v>
      </c>
      <c r="F171" s="464" t="str">
        <f>VLOOKUP(C171,'[10]Project Detail Query'!$A$1:$R$2830,7,FALSE)</f>
        <v>Main Replacement - ISRS (SW)</v>
      </c>
      <c r="G171" s="465" t="s">
        <v>20</v>
      </c>
      <c r="H171" s="465">
        <v>201701</v>
      </c>
      <c r="I171" s="467">
        <v>18683.849999999999</v>
      </c>
      <c r="J171" s="464">
        <v>0</v>
      </c>
      <c r="K171" s="472">
        <v>1.4833299999999999E-3</v>
      </c>
      <c r="L171" s="469">
        <f t="shared" si="4"/>
        <v>0</v>
      </c>
      <c r="M171" s="469">
        <f t="shared" si="5"/>
        <v>332.57</v>
      </c>
      <c r="N171" s="470"/>
    </row>
    <row r="172" spans="1:14">
      <c r="A172" s="464" t="s">
        <v>14</v>
      </c>
      <c r="B172" s="465" t="s">
        <v>1681</v>
      </c>
      <c r="C172" s="466" t="s">
        <v>2442</v>
      </c>
      <c r="D172" s="464" t="s">
        <v>2443</v>
      </c>
      <c r="E172" s="465" t="str">
        <f>VLOOKUP(C172,'[10]Project Detail Query'!$A$1:$R$2830,6,FALSE)</f>
        <v>F0572</v>
      </c>
      <c r="F172" s="464" t="str">
        <f>VLOOKUP(C172,'[10]Project Detail Query'!$A$1:$R$2830,7,FALSE)</f>
        <v>Main Replacement - ISRS (SW)</v>
      </c>
      <c r="G172" s="465" t="s">
        <v>20</v>
      </c>
      <c r="H172" s="465">
        <v>201701</v>
      </c>
      <c r="I172" s="467">
        <v>1124.1199999999999</v>
      </c>
      <c r="J172" s="464">
        <v>0</v>
      </c>
      <c r="K172" s="468">
        <v>2.23333E-3</v>
      </c>
      <c r="L172" s="469">
        <f t="shared" si="4"/>
        <v>0</v>
      </c>
      <c r="M172" s="469">
        <f t="shared" si="5"/>
        <v>30.13</v>
      </c>
      <c r="N172" s="470"/>
    </row>
    <row r="173" spans="1:14">
      <c r="A173" s="464" t="s">
        <v>626</v>
      </c>
      <c r="B173" s="465" t="s">
        <v>1681</v>
      </c>
      <c r="C173" s="466" t="s">
        <v>2444</v>
      </c>
      <c r="D173" s="464" t="s">
        <v>2445</v>
      </c>
      <c r="E173" s="465" t="str">
        <f>VLOOKUP(C173,'[10]Project Detail Query'!$A$1:$R$2830,6,FALSE)</f>
        <v>F0604</v>
      </c>
      <c r="F173" s="464" t="str">
        <f>VLOOKUP(C173,'[10]Project Detail Query'!$A$1:$R$2830,7,FALSE)</f>
        <v>Main Replacement - ISRS (S)</v>
      </c>
      <c r="G173" s="465" t="s">
        <v>20</v>
      </c>
      <c r="H173" s="465">
        <v>201701</v>
      </c>
      <c r="I173" s="467">
        <v>19593.61</v>
      </c>
      <c r="J173" s="464">
        <v>0</v>
      </c>
      <c r="K173" s="472">
        <v>1.4833299999999999E-3</v>
      </c>
      <c r="L173" s="469">
        <f t="shared" si="4"/>
        <v>0</v>
      </c>
      <c r="M173" s="469">
        <f t="shared" si="5"/>
        <v>348.77</v>
      </c>
      <c r="N173" s="470"/>
    </row>
    <row r="174" spans="1:14">
      <c r="A174" s="464" t="s">
        <v>14</v>
      </c>
      <c r="B174" s="465" t="s">
        <v>1681</v>
      </c>
      <c r="C174" s="466" t="s">
        <v>2444</v>
      </c>
      <c r="D174" s="464" t="s">
        <v>2445</v>
      </c>
      <c r="E174" s="465" t="str">
        <f>VLOOKUP(C174,'[10]Project Detail Query'!$A$1:$R$2830,6,FALSE)</f>
        <v>F0604</v>
      </c>
      <c r="F174" s="464" t="str">
        <f>VLOOKUP(C174,'[10]Project Detail Query'!$A$1:$R$2830,7,FALSE)</f>
        <v>Main Replacement - ISRS (S)</v>
      </c>
      <c r="G174" s="465" t="s">
        <v>20</v>
      </c>
      <c r="H174" s="465">
        <v>201701</v>
      </c>
      <c r="I174" s="467">
        <v>10820.64</v>
      </c>
      <c r="J174" s="464">
        <v>0</v>
      </c>
      <c r="K174" s="468">
        <v>2.23333E-3</v>
      </c>
      <c r="L174" s="469">
        <f t="shared" si="4"/>
        <v>0</v>
      </c>
      <c r="M174" s="469">
        <f t="shared" si="5"/>
        <v>289.99</v>
      </c>
      <c r="N174" s="470"/>
    </row>
    <row r="175" spans="1:14">
      <c r="A175" s="464" t="s">
        <v>626</v>
      </c>
      <c r="B175" s="465" t="s">
        <v>1681</v>
      </c>
      <c r="C175" s="466" t="s">
        <v>2446</v>
      </c>
      <c r="D175" s="464" t="s">
        <v>2447</v>
      </c>
      <c r="E175" s="465" t="str">
        <f>VLOOKUP(C175,'[10]Project Detail Query'!$A$1:$R$2830,6,FALSE)</f>
        <v>F0599</v>
      </c>
      <c r="F175" s="464" t="str">
        <f>VLOOKUP(C175,'[10]Project Detail Query'!$A$1:$R$2830,7,FALSE)</f>
        <v>Main Replacement - ISRS (N)</v>
      </c>
      <c r="G175" s="465" t="s">
        <v>20</v>
      </c>
      <c r="H175" s="465">
        <v>201701</v>
      </c>
      <c r="I175" s="467">
        <v>270.52</v>
      </c>
      <c r="J175" s="464">
        <v>0</v>
      </c>
      <c r="K175" s="472">
        <v>1.4833299999999999E-3</v>
      </c>
      <c r="L175" s="469">
        <f t="shared" si="4"/>
        <v>0</v>
      </c>
      <c r="M175" s="469">
        <f t="shared" si="5"/>
        <v>4.82</v>
      </c>
      <c r="N175" s="470"/>
    </row>
    <row r="176" spans="1:14">
      <c r="A176" s="464" t="s">
        <v>626</v>
      </c>
      <c r="B176" s="465" t="s">
        <v>1681</v>
      </c>
      <c r="C176" s="466" t="s">
        <v>2448</v>
      </c>
      <c r="D176" s="464" t="s">
        <v>2449</v>
      </c>
      <c r="E176" s="465" t="str">
        <f>VLOOKUP(C176,'[10]Project Detail Query'!$A$1:$R$2830,6,FALSE)</f>
        <v>F0572</v>
      </c>
      <c r="F176" s="464" t="str">
        <f>VLOOKUP(C176,'[10]Project Detail Query'!$A$1:$R$2830,7,FALSE)</f>
        <v>Main Replacement - ISRS (SW)</v>
      </c>
      <c r="G176" s="465" t="s">
        <v>20</v>
      </c>
      <c r="H176" s="465">
        <v>201701</v>
      </c>
      <c r="I176" s="467">
        <v>4342.34</v>
      </c>
      <c r="J176" s="464">
        <v>0</v>
      </c>
      <c r="K176" s="472">
        <v>1.4833299999999999E-3</v>
      </c>
      <c r="L176" s="469">
        <f t="shared" si="4"/>
        <v>0</v>
      </c>
      <c r="M176" s="469">
        <f t="shared" si="5"/>
        <v>77.290000000000006</v>
      </c>
      <c r="N176" s="470"/>
    </row>
    <row r="177" spans="1:14">
      <c r="A177" s="464" t="s">
        <v>14</v>
      </c>
      <c r="B177" s="465" t="s">
        <v>1681</v>
      </c>
      <c r="C177" s="466" t="s">
        <v>2448</v>
      </c>
      <c r="D177" s="464" t="s">
        <v>2449</v>
      </c>
      <c r="E177" s="465" t="str">
        <f>VLOOKUP(C177,'[10]Project Detail Query'!$A$1:$R$2830,6,FALSE)</f>
        <v>F0572</v>
      </c>
      <c r="F177" s="464" t="str">
        <f>VLOOKUP(C177,'[10]Project Detail Query'!$A$1:$R$2830,7,FALSE)</f>
        <v>Main Replacement - ISRS (SW)</v>
      </c>
      <c r="G177" s="465" t="s">
        <v>20</v>
      </c>
      <c r="H177" s="465">
        <v>201701</v>
      </c>
      <c r="I177" s="467">
        <v>60.42</v>
      </c>
      <c r="J177" s="464">
        <v>0</v>
      </c>
      <c r="K177" s="468">
        <v>2.23333E-3</v>
      </c>
      <c r="L177" s="469">
        <f t="shared" si="4"/>
        <v>0</v>
      </c>
      <c r="M177" s="469">
        <f t="shared" si="5"/>
        <v>1.62</v>
      </c>
      <c r="N177" s="470"/>
    </row>
    <row r="178" spans="1:14">
      <c r="A178" s="464" t="s">
        <v>626</v>
      </c>
      <c r="B178" s="465" t="s">
        <v>1681</v>
      </c>
      <c r="C178" s="466" t="s">
        <v>2633</v>
      </c>
      <c r="D178" s="464" t="s">
        <v>2634</v>
      </c>
      <c r="E178" s="465" t="str">
        <f>VLOOKUP(C178,'[10]Project Detail Query'!$A$1:$R$2830,6,FALSE)</f>
        <v>F0572</v>
      </c>
      <c r="F178" s="464" t="str">
        <f>VLOOKUP(C178,'[10]Project Detail Query'!$A$1:$R$2830,7,FALSE)</f>
        <v>Main Replacement - ISRS (SW)</v>
      </c>
      <c r="G178" s="465" t="s">
        <v>20</v>
      </c>
      <c r="H178" s="465">
        <v>201701</v>
      </c>
      <c r="I178" s="467">
        <v>69653.63</v>
      </c>
      <c r="J178" s="464">
        <v>0</v>
      </c>
      <c r="K178" s="472">
        <v>1.4833299999999999E-3</v>
      </c>
      <c r="L178" s="469">
        <f t="shared" si="4"/>
        <v>0</v>
      </c>
      <c r="M178" s="469">
        <f t="shared" si="5"/>
        <v>1239.83</v>
      </c>
      <c r="N178" s="470"/>
    </row>
    <row r="179" spans="1:14">
      <c r="A179" s="464" t="s">
        <v>626</v>
      </c>
      <c r="B179" s="465" t="s">
        <v>1681</v>
      </c>
      <c r="C179" s="466" t="s">
        <v>2635</v>
      </c>
      <c r="D179" s="464" t="s">
        <v>2636</v>
      </c>
      <c r="E179" s="465" t="str">
        <f>VLOOKUP(C179,'[10]Project Detail Query'!$A$1:$R$2830,6,FALSE)</f>
        <v>F0572</v>
      </c>
      <c r="F179" s="464" t="str">
        <f>VLOOKUP(C179,'[10]Project Detail Query'!$A$1:$R$2830,7,FALSE)</f>
        <v>Main Replacement - ISRS (SW)</v>
      </c>
      <c r="G179" s="465" t="s">
        <v>20</v>
      </c>
      <c r="H179" s="465">
        <v>201701</v>
      </c>
      <c r="I179" s="467">
        <v>83586.63</v>
      </c>
      <c r="J179" s="464">
        <v>0</v>
      </c>
      <c r="K179" s="472">
        <v>1.4833299999999999E-3</v>
      </c>
      <c r="L179" s="469">
        <f t="shared" si="4"/>
        <v>0</v>
      </c>
      <c r="M179" s="469">
        <f t="shared" si="5"/>
        <v>1487.84</v>
      </c>
      <c r="N179" s="470"/>
    </row>
    <row r="180" spans="1:14">
      <c r="A180" s="464" t="s">
        <v>21</v>
      </c>
      <c r="B180" s="465" t="s">
        <v>1681</v>
      </c>
      <c r="C180" s="466" t="s">
        <v>2637</v>
      </c>
      <c r="D180" s="464" t="s">
        <v>2638</v>
      </c>
      <c r="E180" s="465" t="str">
        <f>VLOOKUP(C180,'[10]Project Detail Query'!$A$1:$R$2830,6,FALSE)</f>
        <v>F0572</v>
      </c>
      <c r="F180" s="464" t="str">
        <f>VLOOKUP(C180,'[10]Project Detail Query'!$A$1:$R$2830,7,FALSE)</f>
        <v>Main Replacement - ISRS (SW)</v>
      </c>
      <c r="G180" s="465" t="s">
        <v>20</v>
      </c>
      <c r="H180" s="465">
        <v>201701</v>
      </c>
      <c r="I180" s="467">
        <v>892.71</v>
      </c>
      <c r="J180" s="464">
        <v>0</v>
      </c>
      <c r="K180" s="472">
        <v>1.4833299999999999E-3</v>
      </c>
      <c r="L180" s="469">
        <f t="shared" si="4"/>
        <v>0</v>
      </c>
      <c r="M180" s="469">
        <f t="shared" si="5"/>
        <v>15.89</v>
      </c>
      <c r="N180" s="470"/>
    </row>
    <row r="181" spans="1:14">
      <c r="A181" s="464" t="s">
        <v>626</v>
      </c>
      <c r="B181" s="465" t="s">
        <v>1681</v>
      </c>
      <c r="C181" s="466" t="s">
        <v>2637</v>
      </c>
      <c r="D181" s="464" t="s">
        <v>2638</v>
      </c>
      <c r="E181" s="465" t="str">
        <f>VLOOKUP(C181,'[10]Project Detail Query'!$A$1:$R$2830,6,FALSE)</f>
        <v>F0572</v>
      </c>
      <c r="F181" s="464" t="str">
        <f>VLOOKUP(C181,'[10]Project Detail Query'!$A$1:$R$2830,7,FALSE)</f>
        <v>Main Replacement - ISRS (SW)</v>
      </c>
      <c r="G181" s="465" t="s">
        <v>20</v>
      </c>
      <c r="H181" s="465">
        <v>201701</v>
      </c>
      <c r="I181" s="467">
        <v>105840.43</v>
      </c>
      <c r="J181" s="464">
        <v>0</v>
      </c>
      <c r="K181" s="472">
        <v>1.4833299999999999E-3</v>
      </c>
      <c r="L181" s="469">
        <f t="shared" si="4"/>
        <v>0</v>
      </c>
      <c r="M181" s="469">
        <f t="shared" si="5"/>
        <v>1883.96</v>
      </c>
      <c r="N181" s="470"/>
    </row>
    <row r="182" spans="1:14">
      <c r="A182" s="464" t="s">
        <v>14</v>
      </c>
      <c r="B182" s="465" t="s">
        <v>1681</v>
      </c>
      <c r="C182" s="466" t="s">
        <v>2637</v>
      </c>
      <c r="D182" s="464" t="s">
        <v>2638</v>
      </c>
      <c r="E182" s="465" t="str">
        <f>VLOOKUP(C182,'[10]Project Detail Query'!$A$1:$R$2830,6,FALSE)</f>
        <v>F0572</v>
      </c>
      <c r="F182" s="464" t="str">
        <f>VLOOKUP(C182,'[10]Project Detail Query'!$A$1:$R$2830,7,FALSE)</f>
        <v>Main Replacement - ISRS (SW)</v>
      </c>
      <c r="G182" s="465" t="s">
        <v>20</v>
      </c>
      <c r="H182" s="465">
        <v>201701</v>
      </c>
      <c r="I182" s="467">
        <v>16541.11</v>
      </c>
      <c r="J182" s="464">
        <v>0</v>
      </c>
      <c r="K182" s="468">
        <v>2.23333E-3</v>
      </c>
      <c r="L182" s="469">
        <f t="shared" si="4"/>
        <v>0</v>
      </c>
      <c r="M182" s="469">
        <f t="shared" si="5"/>
        <v>443.3</v>
      </c>
      <c r="N182" s="470"/>
    </row>
    <row r="183" spans="1:14">
      <c r="A183" s="464" t="s">
        <v>626</v>
      </c>
      <c r="B183" s="465" t="s">
        <v>1681</v>
      </c>
      <c r="C183" s="466" t="s">
        <v>2639</v>
      </c>
      <c r="D183" s="464" t="s">
        <v>2640</v>
      </c>
      <c r="E183" s="465" t="str">
        <f>VLOOKUP(C183,'[10]Project Detail Query'!$A$1:$R$2830,6,FALSE)</f>
        <v>F0599</v>
      </c>
      <c r="F183" s="464" t="str">
        <f>VLOOKUP(C183,'[10]Project Detail Query'!$A$1:$R$2830,7,FALSE)</f>
        <v>Main Replacement - ISRS (N)</v>
      </c>
      <c r="G183" s="465" t="s">
        <v>20</v>
      </c>
      <c r="H183" s="465">
        <v>201701</v>
      </c>
      <c r="I183" s="467">
        <v>24537.77</v>
      </c>
      <c r="J183" s="464">
        <v>0</v>
      </c>
      <c r="K183" s="472">
        <v>1.4833299999999999E-3</v>
      </c>
      <c r="L183" s="469">
        <f t="shared" si="4"/>
        <v>0</v>
      </c>
      <c r="M183" s="469">
        <f t="shared" si="5"/>
        <v>436.77</v>
      </c>
      <c r="N183" s="470"/>
    </row>
    <row r="184" spans="1:14">
      <c r="A184" s="464" t="s">
        <v>626</v>
      </c>
      <c r="B184" s="465" t="s">
        <v>1681</v>
      </c>
      <c r="C184" s="466" t="s">
        <v>2450</v>
      </c>
      <c r="D184" s="464" t="s">
        <v>2451</v>
      </c>
      <c r="E184" s="465" t="str">
        <f>VLOOKUP(C184,'[10]Project Detail Query'!$A$1:$R$2830,6,FALSE)</f>
        <v>F0578</v>
      </c>
      <c r="F184" s="464" t="str">
        <f>VLOOKUP(C184,'[10]Project Detail Query'!$A$1:$R$2830,7,FALSE)</f>
        <v>Street &amp; Highway Relocates ISRS (S)</v>
      </c>
      <c r="G184" s="465" t="s">
        <v>20</v>
      </c>
      <c r="H184" s="465">
        <v>201701</v>
      </c>
      <c r="I184" s="467">
        <v>2349.27</v>
      </c>
      <c r="J184" s="464">
        <v>0</v>
      </c>
      <c r="K184" s="472">
        <v>1.4833299999999999E-3</v>
      </c>
      <c r="L184" s="469">
        <f t="shared" si="4"/>
        <v>0</v>
      </c>
      <c r="M184" s="469">
        <f t="shared" si="5"/>
        <v>41.82</v>
      </c>
      <c r="N184" s="470"/>
    </row>
    <row r="185" spans="1:14">
      <c r="I185" s="473"/>
    </row>
    <row r="186" spans="1:14" ht="13.5" thickBot="1">
      <c r="H186" s="207" t="s">
        <v>2291</v>
      </c>
      <c r="I186" s="474">
        <f>SUM(I5:I185)</f>
        <v>3374147.5200000005</v>
      </c>
    </row>
    <row r="187" spans="1:14" ht="15.75" thickTop="1">
      <c r="I187" s="47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8"/>
  <sheetViews>
    <sheetView zoomScale="85" zoomScaleNormal="85" workbookViewId="0">
      <pane ySplit="4" topLeftCell="A9" activePane="bottomLeft" state="frozen"/>
      <selection pane="bottomLeft" activeCell="A5" sqref="A5:H18"/>
    </sheetView>
  </sheetViews>
  <sheetFormatPr defaultColWidth="9.140625" defaultRowHeight="15"/>
  <cols>
    <col min="1" max="1" width="12.140625" style="400" customWidth="1"/>
    <col min="2" max="2" width="13.140625" style="400" hidden="1" customWidth="1"/>
    <col min="3" max="3" width="44.7109375" style="401" customWidth="1"/>
    <col min="4" max="4" width="86.140625" style="241" customWidth="1"/>
    <col min="5" max="5" width="9.42578125" style="400" hidden="1" customWidth="1"/>
    <col min="6" max="6" width="33" style="203" customWidth="1"/>
    <col min="7" max="7" width="14.7109375" style="165" hidden="1" customWidth="1"/>
    <col min="8" max="16384" width="9.140625" style="203"/>
  </cols>
  <sheetData>
    <row r="1" spans="1:7" ht="15.75">
      <c r="A1" s="385" t="s">
        <v>0</v>
      </c>
      <c r="B1" s="386"/>
      <c r="C1" s="387"/>
      <c r="D1" s="388"/>
      <c r="E1" s="386"/>
      <c r="F1" s="389"/>
      <c r="G1" s="136"/>
    </row>
    <row r="2" spans="1:7">
      <c r="A2" s="202" t="s">
        <v>2641</v>
      </c>
      <c r="B2" s="386"/>
      <c r="C2" s="387"/>
      <c r="D2" s="389"/>
      <c r="E2" s="386"/>
      <c r="F2" s="389"/>
      <c r="G2" s="136"/>
    </row>
    <row r="3" spans="1:7">
      <c r="A3" s="390" t="s">
        <v>2120</v>
      </c>
      <c r="B3" s="386"/>
      <c r="C3" s="387"/>
      <c r="D3" s="389"/>
      <c r="E3" s="386"/>
      <c r="F3" s="389"/>
      <c r="G3" s="136"/>
    </row>
    <row r="4" spans="1:7" s="394" customFormat="1" ht="35.25" customHeight="1">
      <c r="A4" s="391" t="s">
        <v>8</v>
      </c>
      <c r="B4" s="391" t="s">
        <v>7</v>
      </c>
      <c r="C4" s="392" t="s">
        <v>9</v>
      </c>
      <c r="D4" s="393" t="s">
        <v>2121</v>
      </c>
      <c r="E4" s="391" t="s">
        <v>10</v>
      </c>
      <c r="F4" s="393" t="s">
        <v>11</v>
      </c>
      <c r="G4" s="141" t="s">
        <v>13</v>
      </c>
    </row>
    <row r="5" spans="1:7" s="399" customFormat="1" ht="54" customHeight="1">
      <c r="A5" s="475" t="s">
        <v>2627</v>
      </c>
      <c r="B5" s="395" t="s">
        <v>1681</v>
      </c>
      <c r="C5" s="475" t="s">
        <v>2628</v>
      </c>
      <c r="D5" s="476" t="s">
        <v>2650</v>
      </c>
      <c r="E5" s="475" t="s">
        <v>164</v>
      </c>
      <c r="F5" s="475" t="s">
        <v>1600</v>
      </c>
      <c r="G5" s="477">
        <v>12024.92</v>
      </c>
    </row>
    <row r="6" spans="1:7" s="399" customFormat="1" ht="42" customHeight="1">
      <c r="A6" s="475" t="s">
        <v>2639</v>
      </c>
      <c r="B6" s="395" t="s">
        <v>1681</v>
      </c>
      <c r="C6" s="475" t="s">
        <v>2640</v>
      </c>
      <c r="D6" s="476" t="s">
        <v>2656</v>
      </c>
      <c r="E6" s="475" t="s">
        <v>164</v>
      </c>
      <c r="F6" s="475" t="s">
        <v>1600</v>
      </c>
      <c r="G6" s="477">
        <v>24537.77</v>
      </c>
    </row>
    <row r="7" spans="1:7" s="399" customFormat="1" ht="63.75">
      <c r="A7" s="475" t="s">
        <v>2617</v>
      </c>
      <c r="B7" s="395" t="s">
        <v>1681</v>
      </c>
      <c r="C7" s="475" t="s">
        <v>2618</v>
      </c>
      <c r="D7" s="476" t="s">
        <v>2645</v>
      </c>
      <c r="E7" s="475" t="s">
        <v>260</v>
      </c>
      <c r="F7" s="475" t="s">
        <v>1608</v>
      </c>
      <c r="G7" s="477">
        <v>63722.96</v>
      </c>
    </row>
    <row r="8" spans="1:7" s="399" customFormat="1" ht="27" customHeight="1">
      <c r="A8" s="475" t="s">
        <v>2619</v>
      </c>
      <c r="B8" s="395" t="s">
        <v>1681</v>
      </c>
      <c r="C8" s="475" t="s">
        <v>2620</v>
      </c>
      <c r="D8" s="476" t="s">
        <v>2646</v>
      </c>
      <c r="E8" s="475" t="s">
        <v>260</v>
      </c>
      <c r="F8" s="475" t="s">
        <v>1608</v>
      </c>
      <c r="G8" s="477">
        <v>102696.47</v>
      </c>
    </row>
    <row r="9" spans="1:7" s="399" customFormat="1" ht="41.25" customHeight="1">
      <c r="A9" s="475" t="s">
        <v>2621</v>
      </c>
      <c r="B9" s="395" t="s">
        <v>1681</v>
      </c>
      <c r="C9" s="475" t="s">
        <v>2622</v>
      </c>
      <c r="D9" s="476" t="s">
        <v>2647</v>
      </c>
      <c r="E9" s="475" t="s">
        <v>260</v>
      </c>
      <c r="F9" s="475" t="s">
        <v>1608</v>
      </c>
      <c r="G9" s="477">
        <v>110570.44</v>
      </c>
    </row>
    <row r="10" spans="1:7" s="399" customFormat="1" ht="51">
      <c r="A10" s="475" t="s">
        <v>2623</v>
      </c>
      <c r="B10" s="395" t="s">
        <v>1681</v>
      </c>
      <c r="C10" s="475" t="s">
        <v>2624</v>
      </c>
      <c r="D10" s="476" t="s">
        <v>2648</v>
      </c>
      <c r="E10" s="475" t="s">
        <v>260</v>
      </c>
      <c r="F10" s="475" t="s">
        <v>1608</v>
      </c>
      <c r="G10" s="477">
        <v>758734.36</v>
      </c>
    </row>
    <row r="11" spans="1:7" s="399" customFormat="1" ht="51">
      <c r="A11" s="475" t="s">
        <v>2625</v>
      </c>
      <c r="B11" s="395" t="s">
        <v>1681</v>
      </c>
      <c r="C11" s="475" t="s">
        <v>2626</v>
      </c>
      <c r="D11" s="476" t="s">
        <v>2649</v>
      </c>
      <c r="E11" s="475" t="s">
        <v>260</v>
      </c>
      <c r="F11" s="475" t="s">
        <v>1608</v>
      </c>
      <c r="G11" s="477">
        <v>71166.27</v>
      </c>
    </row>
    <row r="12" spans="1:7" s="399" customFormat="1" ht="44.25" customHeight="1">
      <c r="A12" s="475" t="s">
        <v>2631</v>
      </c>
      <c r="B12" s="395" t="s">
        <v>1681</v>
      </c>
      <c r="C12" s="475" t="s">
        <v>2632</v>
      </c>
      <c r="D12" s="476" t="s">
        <v>2652</v>
      </c>
      <c r="E12" s="475" t="s">
        <v>260</v>
      </c>
      <c r="F12" s="475" t="s">
        <v>1608</v>
      </c>
      <c r="G12" s="477">
        <v>112153.2</v>
      </c>
    </row>
    <row r="13" spans="1:7" s="399" customFormat="1" ht="51">
      <c r="A13" s="475" t="s">
        <v>2633</v>
      </c>
      <c r="B13" s="395" t="s">
        <v>1681</v>
      </c>
      <c r="C13" s="475" t="s">
        <v>2634</v>
      </c>
      <c r="D13" s="476" t="s">
        <v>2653</v>
      </c>
      <c r="E13" s="475" t="s">
        <v>260</v>
      </c>
      <c r="F13" s="475" t="s">
        <v>1608</v>
      </c>
      <c r="G13" s="477">
        <v>69653.63</v>
      </c>
    </row>
    <row r="14" spans="1:7" s="399" customFormat="1" ht="42" customHeight="1">
      <c r="A14" s="475" t="s">
        <v>2635</v>
      </c>
      <c r="B14" s="395" t="s">
        <v>1681</v>
      </c>
      <c r="C14" s="475" t="s">
        <v>2636</v>
      </c>
      <c r="D14" s="476" t="s">
        <v>2654</v>
      </c>
      <c r="E14" s="475" t="s">
        <v>260</v>
      </c>
      <c r="F14" s="475" t="s">
        <v>1608</v>
      </c>
      <c r="G14" s="477">
        <v>83586.63</v>
      </c>
    </row>
    <row r="15" spans="1:7" s="399" customFormat="1" ht="76.5">
      <c r="A15" s="475" t="s">
        <v>2637</v>
      </c>
      <c r="B15" s="395" t="s">
        <v>1681</v>
      </c>
      <c r="C15" s="475" t="s">
        <v>2638</v>
      </c>
      <c r="D15" s="476" t="s">
        <v>2655</v>
      </c>
      <c r="E15" s="475" t="s">
        <v>260</v>
      </c>
      <c r="F15" s="475" t="s">
        <v>1608</v>
      </c>
      <c r="G15" s="477">
        <v>123274.25</v>
      </c>
    </row>
    <row r="16" spans="1:7" s="399" customFormat="1" ht="45" customHeight="1">
      <c r="A16" s="475" t="s">
        <v>2613</v>
      </c>
      <c r="B16" s="475" t="s">
        <v>2642</v>
      </c>
      <c r="C16" s="475" t="s">
        <v>2614</v>
      </c>
      <c r="D16" s="476" t="s">
        <v>2643</v>
      </c>
      <c r="E16" s="475" t="s">
        <v>216</v>
      </c>
      <c r="F16" s="475" t="s">
        <v>217</v>
      </c>
      <c r="G16" s="477">
        <v>1281.1300000000001</v>
      </c>
    </row>
    <row r="17" spans="1:7" s="399" customFormat="1" ht="79.5" customHeight="1">
      <c r="A17" s="475" t="s">
        <v>2629</v>
      </c>
      <c r="B17" s="395" t="s">
        <v>1681</v>
      </c>
      <c r="C17" s="475" t="s">
        <v>2630</v>
      </c>
      <c r="D17" s="476" t="s">
        <v>2651</v>
      </c>
      <c r="E17" s="475" t="s">
        <v>209</v>
      </c>
      <c r="F17" s="475" t="s">
        <v>1612</v>
      </c>
      <c r="G17" s="477">
        <v>231477.02</v>
      </c>
    </row>
    <row r="18" spans="1:7" s="399" customFormat="1" ht="45.75" customHeight="1">
      <c r="A18" s="475" t="s">
        <v>2615</v>
      </c>
      <c r="B18" s="395" t="s">
        <v>1681</v>
      </c>
      <c r="C18" s="475" t="s">
        <v>2616</v>
      </c>
      <c r="D18" s="476" t="s">
        <v>2644</v>
      </c>
      <c r="E18" s="475" t="s">
        <v>93</v>
      </c>
      <c r="F18" s="475" t="s">
        <v>1601</v>
      </c>
      <c r="G18" s="477">
        <v>261919.42</v>
      </c>
    </row>
    <row r="19" spans="1:7" s="399" customFormat="1" ht="12.75">
      <c r="G19" s="478"/>
    </row>
    <row r="20" spans="1:7" s="399" customFormat="1" ht="12.75">
      <c r="G20" s="478">
        <f>SUM(G5:G19)</f>
        <v>2026798.4699999997</v>
      </c>
    </row>
    <row r="21" spans="1:7" s="399" customFormat="1" ht="12.75">
      <c r="G21" s="479"/>
    </row>
    <row r="22" spans="1:7" s="399" customFormat="1" ht="12.75">
      <c r="G22" s="478"/>
    </row>
    <row r="23" spans="1:7" s="399" customFormat="1" ht="12.75">
      <c r="G23" s="478"/>
    </row>
    <row r="24" spans="1:7" s="399" customFormat="1" ht="12.75">
      <c r="G24" s="478"/>
    </row>
    <row r="25" spans="1:7" s="399" customFormat="1" ht="12.75">
      <c r="G25" s="478"/>
    </row>
    <row r="26" spans="1:7" s="399" customFormat="1" ht="12.75">
      <c r="G26" s="478"/>
    </row>
    <row r="27" spans="1:7" s="399" customFormat="1" ht="12.75">
      <c r="G27" s="478"/>
    </row>
    <row r="28" spans="1:7" s="399" customFormat="1" ht="12.75">
      <c r="G28" s="478"/>
    </row>
    <row r="29" spans="1:7" s="399" customFormat="1" ht="12.75">
      <c r="G29" s="478"/>
    </row>
    <row r="30" spans="1:7" s="399" customFormat="1" ht="12.75">
      <c r="G30" s="478"/>
    </row>
    <row r="31" spans="1:7" s="399" customFormat="1" ht="12.75">
      <c r="G31" s="478"/>
    </row>
    <row r="32" spans="1:7" s="399" customFormat="1" ht="12.75">
      <c r="G32" s="478"/>
    </row>
    <row r="33" spans="7:7" s="399" customFormat="1" ht="12.75">
      <c r="G33" s="478"/>
    </row>
    <row r="34" spans="7:7" s="399" customFormat="1" ht="12.75">
      <c r="G34" s="478"/>
    </row>
    <row r="35" spans="7:7" s="399" customFormat="1" ht="12.75">
      <c r="G35" s="478"/>
    </row>
    <row r="36" spans="7:7" s="399" customFormat="1" ht="12.75">
      <c r="G36" s="478"/>
    </row>
    <row r="37" spans="7:7" s="399" customFormat="1" ht="12.75"/>
    <row r="38" spans="7:7" s="399" customFormat="1" ht="12.75"/>
    <row r="39" spans="7:7" s="399" customFormat="1" ht="12.75"/>
    <row r="40" spans="7:7" s="399" customFormat="1" ht="12.75"/>
    <row r="41" spans="7:7" s="399" customFormat="1" ht="12.75"/>
    <row r="42" spans="7:7" s="399" customFormat="1" ht="12.75"/>
    <row r="43" spans="7:7" s="399" customFormat="1" ht="12.75"/>
    <row r="44" spans="7:7" s="399" customFormat="1" ht="12.75"/>
    <row r="45" spans="7:7" s="399" customFormat="1" ht="12.75"/>
    <row r="46" spans="7:7" s="399" customFormat="1" ht="12.75"/>
    <row r="47" spans="7:7" s="399" customFormat="1" ht="12.75"/>
    <row r="48" spans="7:7" s="399" customFormat="1" ht="12.75"/>
    <row r="49" s="399" customFormat="1" ht="12.75"/>
    <row r="50" s="399" customFormat="1" ht="12.75"/>
    <row r="51" s="399" customFormat="1" ht="12.75"/>
    <row r="52" s="399" customFormat="1" ht="12.75"/>
    <row r="53" s="399" customFormat="1" ht="12.75"/>
    <row r="54" s="399" customFormat="1" ht="12.75"/>
    <row r="55" s="399" customFormat="1" ht="12.75"/>
    <row r="56" s="399" customFormat="1" ht="12.75"/>
    <row r="57" s="399" customFormat="1" ht="12.75"/>
    <row r="58" s="399" customFormat="1" ht="12.75"/>
    <row r="59" s="399" customFormat="1" ht="12.75"/>
    <row r="60" s="399" customFormat="1" ht="12.75"/>
    <row r="61" s="399" customFormat="1" ht="12.75"/>
    <row r="62" s="399" customFormat="1" ht="12.75"/>
    <row r="63" s="399" customFormat="1" ht="12.75"/>
    <row r="64" s="399" customFormat="1" ht="12.75"/>
    <row r="65" s="399" customFormat="1" ht="12.75"/>
    <row r="66" s="399" customFormat="1" ht="12.75"/>
    <row r="67" s="399" customFormat="1" ht="12.75"/>
    <row r="68" s="399" customFormat="1" ht="12.75"/>
    <row r="69" s="399" customFormat="1" ht="12.75"/>
    <row r="70" s="399" customFormat="1" ht="12.75"/>
    <row r="71" s="399" customFormat="1" ht="12.75"/>
    <row r="72" s="399" customFormat="1" ht="12.75"/>
    <row r="73" s="399" customFormat="1" ht="12.75"/>
    <row r="74" s="399" customFormat="1" ht="12.75"/>
    <row r="75" s="399" customFormat="1" ht="12.75"/>
    <row r="76" s="399" customFormat="1" ht="12.75"/>
    <row r="77" s="399" customFormat="1" ht="12.75"/>
    <row r="78" s="399" customFormat="1" ht="12.75"/>
    <row r="79" s="399" customFormat="1" ht="12.75"/>
    <row r="80" s="399" customFormat="1" ht="12.75"/>
    <row r="81" s="399" customFormat="1" ht="12.75"/>
    <row r="82" s="399" customFormat="1" ht="12.75"/>
    <row r="83" s="399" customFormat="1" ht="12.75"/>
    <row r="84" s="399" customFormat="1" ht="12.75"/>
    <row r="85" s="399" customFormat="1" ht="12.75"/>
    <row r="86" s="399" customFormat="1" ht="12.75"/>
    <row r="87" s="399" customFormat="1" ht="12.75"/>
    <row r="88" s="399" customFormat="1" ht="12.75"/>
    <row r="89" s="399" customFormat="1" ht="12.75"/>
    <row r="90" s="399" customFormat="1" ht="12.75"/>
    <row r="91" s="399" customFormat="1" ht="12.75"/>
    <row r="92" s="399" customFormat="1" ht="12.75"/>
    <row r="93" s="399" customFormat="1" ht="12.75"/>
    <row r="94" s="399" customFormat="1" ht="12.75"/>
    <row r="95" s="399" customFormat="1" ht="12.75"/>
    <row r="96" s="399" customFormat="1" ht="12.75"/>
    <row r="97" s="399" customFormat="1" ht="12.75"/>
    <row r="98" s="399" customFormat="1" ht="12.75"/>
    <row r="99" s="399" customFormat="1" ht="12.75"/>
    <row r="100" s="399" customFormat="1" ht="12.75"/>
    <row r="101" s="399" customFormat="1" ht="12.75"/>
    <row r="102" s="399" customFormat="1" ht="12.75"/>
    <row r="103" s="399" customFormat="1" ht="12.75"/>
    <row r="104" s="399" customFormat="1" ht="12.75"/>
    <row r="105" s="399" customFormat="1" ht="12.75"/>
    <row r="106" s="399" customFormat="1" ht="12.75"/>
    <row r="107" s="399" customFormat="1" ht="12.75"/>
    <row r="108" s="399" customFormat="1" ht="12.75"/>
    <row r="109" s="399" customFormat="1" ht="12.75"/>
    <row r="110" s="399" customFormat="1" ht="12.75"/>
    <row r="111" s="399" customFormat="1" ht="12.75"/>
    <row r="112" s="399" customFormat="1" ht="12.75"/>
    <row r="113" s="399" customFormat="1" ht="12.75"/>
    <row r="114" s="399" customFormat="1" ht="12.75"/>
    <row r="115" s="399" customFormat="1" ht="12.75"/>
    <row r="116" s="399" customFormat="1" ht="12.75"/>
    <row r="117" s="399" customFormat="1" ht="12.75"/>
    <row r="118" s="399" customFormat="1" ht="12.75"/>
    <row r="119" s="399" customFormat="1" ht="12.75"/>
    <row r="120" s="399" customFormat="1" ht="12.75"/>
    <row r="121" s="399" customFormat="1" ht="12.75"/>
    <row r="122" s="399" customFormat="1" ht="12.75"/>
    <row r="123" s="399" customFormat="1" ht="12.75"/>
    <row r="124" s="399" customFormat="1" ht="12.75"/>
    <row r="125" s="399" customFormat="1" ht="12.75"/>
    <row r="126" s="399" customFormat="1" ht="12.75"/>
    <row r="127" s="399" customFormat="1" ht="12.75"/>
    <row r="128" s="399" customFormat="1" ht="12.75"/>
    <row r="129" s="399" customFormat="1" ht="12.75"/>
    <row r="130" s="399" customFormat="1" ht="12.75"/>
    <row r="131" s="399" customFormat="1" ht="12.75"/>
    <row r="132" s="399" customFormat="1" ht="12.75"/>
    <row r="133" s="399" customFormat="1" ht="12.75"/>
    <row r="134" s="399" customFormat="1" ht="12.75"/>
    <row r="135" s="399" customFormat="1" ht="12.75"/>
    <row r="136" s="399" customFormat="1" ht="12.75"/>
    <row r="137" s="399" customFormat="1" ht="12.75"/>
    <row r="138" s="399" customFormat="1" ht="12.75"/>
    <row r="139" s="399" customFormat="1" ht="12.75"/>
    <row r="140" s="399" customFormat="1" ht="12.75"/>
    <row r="141" s="399" customFormat="1" ht="12.75"/>
    <row r="142" s="399" customFormat="1" ht="12.75"/>
    <row r="143" s="399" customFormat="1" ht="12.75"/>
    <row r="144" s="399" customFormat="1" ht="12.75"/>
    <row r="145" s="399" customFormat="1" ht="12.75"/>
    <row r="146" s="399" customFormat="1" ht="12.75"/>
    <row r="147" s="399" customFormat="1" ht="12.75"/>
    <row r="148" s="399" customFormat="1" ht="12.75"/>
    <row r="149" s="399" customFormat="1" ht="12.75"/>
    <row r="150" s="399" customFormat="1" ht="12.75"/>
    <row r="151" s="399" customFormat="1" ht="12.75"/>
    <row r="152" s="399" customFormat="1" ht="12.75"/>
    <row r="153" s="399" customFormat="1" ht="12.75"/>
    <row r="154" s="399" customFormat="1" ht="12.75"/>
    <row r="155" s="399" customFormat="1" ht="12.75"/>
    <row r="156" s="399" customFormat="1" ht="12.75"/>
    <row r="157" s="399" customFormat="1" ht="12.75"/>
    <row r="158" s="399" customFormat="1" ht="12.75"/>
    <row r="159" s="399" customFormat="1" ht="12.75"/>
    <row r="160" s="399" customFormat="1" ht="12.75"/>
    <row r="161" s="399" customFormat="1" ht="12.75"/>
    <row r="162" s="399" customFormat="1" ht="12.75"/>
    <row r="163" s="399" customFormat="1" ht="12.75"/>
    <row r="164" s="399" customFormat="1" ht="12.75"/>
    <row r="165" s="399" customFormat="1" ht="12.75"/>
    <row r="166" s="399" customFormat="1" ht="12.75"/>
    <row r="167" s="399" customFormat="1" ht="12.75"/>
    <row r="168" s="399" customFormat="1" ht="12.75"/>
    <row r="169" s="399" customFormat="1" ht="12.75"/>
    <row r="170" s="399" customFormat="1" ht="12.75"/>
    <row r="171" s="399" customFormat="1" ht="12.75"/>
    <row r="172" s="399" customFormat="1" ht="12.75"/>
    <row r="173" s="399" customFormat="1" ht="12.75"/>
    <row r="174" s="399" customFormat="1" ht="12.75"/>
    <row r="175" s="399" customFormat="1" ht="12.75"/>
    <row r="176" s="399" customFormat="1" ht="12.75"/>
    <row r="177" s="399" customFormat="1" ht="12.75"/>
    <row r="178" s="399" customFormat="1" ht="12.75"/>
    <row r="179" s="399" customFormat="1" ht="12.75"/>
    <row r="180" s="399" customFormat="1" ht="12.75"/>
    <row r="181" s="399" customFormat="1" ht="12.75"/>
    <row r="182" s="399" customFormat="1" ht="12.75"/>
    <row r="183" s="399" customFormat="1" ht="12.75"/>
    <row r="184" s="399" customFormat="1" ht="12.75"/>
    <row r="185" s="399" customFormat="1" ht="12.75"/>
    <row r="186" s="399" customFormat="1" ht="12.75"/>
    <row r="187" s="399" customFormat="1" ht="12.75"/>
    <row r="188" s="399" customFormat="1" ht="12.75"/>
    <row r="189" s="399" customFormat="1" ht="12.75"/>
    <row r="190" s="399" customFormat="1" ht="12.75"/>
    <row r="191" s="399" customFormat="1" ht="12.75"/>
    <row r="192" s="399" customFormat="1" ht="12.75"/>
    <row r="193" s="399" customFormat="1" ht="12.75"/>
    <row r="194" s="399" customFormat="1" ht="12.75"/>
    <row r="195" s="399" customFormat="1" ht="12.75"/>
    <row r="196" s="399" customFormat="1" ht="12.75"/>
    <row r="197" s="399" customFormat="1" ht="12.75"/>
    <row r="198" s="399" customFormat="1" ht="12.75"/>
    <row r="199" s="399" customFormat="1" ht="12.75"/>
    <row r="200" s="399" customFormat="1" ht="12.75"/>
    <row r="201" s="399" customFormat="1" ht="12.75"/>
    <row r="202" s="399" customFormat="1" ht="12.75"/>
    <row r="203" s="399" customFormat="1" ht="12.75"/>
    <row r="204" s="399" customFormat="1" ht="12.75"/>
    <row r="205" s="399" customFormat="1" ht="12.75"/>
    <row r="206" s="399" customFormat="1" ht="12.75"/>
    <row r="207" s="399" customFormat="1" ht="12.75"/>
    <row r="208" s="399" customFormat="1" ht="12.75"/>
    <row r="209" s="399" customFormat="1" ht="12.75"/>
    <row r="210" s="399" customFormat="1" ht="12.75"/>
    <row r="211" s="399" customFormat="1" ht="12.75"/>
    <row r="212" s="399" customFormat="1" ht="12.75"/>
    <row r="213" s="399" customFormat="1" ht="12.75"/>
    <row r="214" s="399" customFormat="1" ht="12.75"/>
    <row r="215" s="399" customFormat="1" ht="12.75"/>
    <row r="216" s="399" customFormat="1" ht="12.75"/>
    <row r="217" s="399" customFormat="1" ht="12.75"/>
    <row r="218" s="399" customFormat="1" ht="12.75"/>
    <row r="219" s="399" customFormat="1" ht="12.75"/>
    <row r="220" s="399" customFormat="1" ht="12.75"/>
    <row r="221" s="399" customFormat="1" ht="12.75"/>
    <row r="222" s="399" customFormat="1" ht="12.75"/>
    <row r="223" s="399" customFormat="1" ht="12.75"/>
    <row r="224" s="399" customFormat="1" ht="12.75"/>
    <row r="225" s="399" customFormat="1" ht="12.75"/>
    <row r="226" s="399" customFormat="1" ht="12.75"/>
    <row r="227" s="399" customFormat="1" ht="12.75"/>
    <row r="228" s="399" customFormat="1" ht="12.75"/>
    <row r="229" s="399" customFormat="1" ht="12.75"/>
    <row r="230" s="399" customFormat="1" ht="12.75"/>
    <row r="231" s="399" customFormat="1" ht="12.75"/>
    <row r="232" s="399" customFormat="1" ht="12.75"/>
    <row r="233" s="399" customFormat="1" ht="12.75"/>
    <row r="234" s="399" customFormat="1" ht="12.75"/>
    <row r="235" s="399" customFormat="1" ht="12.75"/>
    <row r="236" s="399" customFormat="1" ht="12.75"/>
    <row r="237" s="399" customFormat="1" ht="12.75"/>
    <row r="238" s="399" customFormat="1" ht="12.75"/>
    <row r="239" s="399" customFormat="1" ht="12.75"/>
    <row r="240" s="399" customFormat="1" ht="12.75"/>
    <row r="241" s="399" customFormat="1" ht="12.75"/>
    <row r="242" s="399" customFormat="1" ht="12.75"/>
    <row r="243" s="399" customFormat="1" ht="12.75"/>
    <row r="244" s="399" customFormat="1" ht="12.75"/>
    <row r="245" s="399" customFormat="1" ht="12.75"/>
    <row r="246" s="399" customFormat="1" ht="12.75"/>
    <row r="247" s="399" customFormat="1" ht="12.75"/>
    <row r="248" s="399" customFormat="1" ht="12.75"/>
    <row r="249" s="399" customFormat="1" ht="12.75"/>
    <row r="250" s="399" customFormat="1" ht="12.75"/>
    <row r="251" s="399" customFormat="1" ht="12.75"/>
    <row r="252" s="399" customFormat="1" ht="12.75"/>
    <row r="253" s="399" customFormat="1" ht="12.75"/>
    <row r="254" s="399" customFormat="1" ht="12.75"/>
    <row r="255" s="399" customFormat="1" ht="12.75"/>
    <row r="256" s="399" customFormat="1" ht="12.75"/>
    <row r="257" s="399" customFormat="1" ht="12.75"/>
    <row r="258" s="399" customFormat="1" ht="12.75"/>
    <row r="259" s="399" customFormat="1" ht="12.75"/>
    <row r="260" s="399" customFormat="1" ht="12.75"/>
    <row r="261" s="399" customFormat="1" ht="12.75"/>
    <row r="262" s="399" customFormat="1" ht="12.75"/>
    <row r="263" s="399" customFormat="1" ht="12.75"/>
    <row r="264" s="399" customFormat="1" ht="12.75"/>
    <row r="265" s="399" customFormat="1" ht="12.75"/>
    <row r="266" s="399" customFormat="1" ht="12.75"/>
    <row r="267" s="399" customFormat="1" ht="12.75"/>
    <row r="268" s="399" customFormat="1" ht="12.75"/>
    <row r="269" s="399" customFormat="1" ht="12.75"/>
    <row r="270" s="399" customFormat="1" ht="12.75"/>
    <row r="271" s="399" customFormat="1" ht="12.75"/>
    <row r="272" s="399" customFormat="1" ht="12.75"/>
    <row r="273" spans="1:7" s="399" customFormat="1" ht="12.75"/>
    <row r="274" spans="1:7" ht="12.75">
      <c r="A274" s="203"/>
      <c r="B274" s="203"/>
      <c r="C274" s="203"/>
      <c r="D274" s="203"/>
      <c r="E274" s="203"/>
      <c r="G274" s="203"/>
    </row>
    <row r="275" spans="1:7" ht="12.75">
      <c r="A275" s="203"/>
      <c r="B275" s="203"/>
      <c r="C275" s="203"/>
      <c r="D275" s="203"/>
      <c r="E275" s="203"/>
      <c r="G275" s="203"/>
    </row>
    <row r="276" spans="1:7" ht="12.75">
      <c r="A276" s="203"/>
      <c r="B276" s="203"/>
      <c r="C276" s="203"/>
      <c r="D276" s="203"/>
      <c r="E276" s="203"/>
      <c r="G276" s="203"/>
    </row>
    <row r="277" spans="1:7" ht="12.75">
      <c r="A277" s="203"/>
      <c r="B277" s="203"/>
      <c r="C277" s="203"/>
      <c r="D277" s="203"/>
      <c r="E277" s="203"/>
      <c r="G277" s="203"/>
    </row>
    <row r="278" spans="1:7" ht="12.75">
      <c r="A278" s="203"/>
      <c r="B278" s="203"/>
      <c r="C278" s="203"/>
      <c r="D278" s="203"/>
      <c r="E278" s="203"/>
      <c r="G278" s="203"/>
    </row>
    <row r="279" spans="1:7" ht="12.75">
      <c r="A279" s="203"/>
      <c r="B279" s="203"/>
      <c r="C279" s="203"/>
      <c r="D279" s="203"/>
      <c r="E279" s="203"/>
      <c r="G279" s="203"/>
    </row>
    <row r="280" spans="1:7" ht="12.75">
      <c r="A280" s="203"/>
      <c r="B280" s="203"/>
      <c r="C280" s="203"/>
      <c r="D280" s="203"/>
      <c r="E280" s="203"/>
      <c r="G280" s="203"/>
    </row>
    <row r="281" spans="1:7" ht="12.75">
      <c r="A281" s="203"/>
      <c r="B281" s="203"/>
      <c r="C281" s="203"/>
      <c r="D281" s="203"/>
      <c r="E281" s="203"/>
      <c r="G281" s="203"/>
    </row>
    <row r="282" spans="1:7" ht="12.75">
      <c r="A282" s="203"/>
      <c r="B282" s="203"/>
      <c r="C282" s="203"/>
      <c r="D282" s="203"/>
      <c r="E282" s="203"/>
      <c r="G282" s="203"/>
    </row>
    <row r="283" spans="1:7" ht="12.75">
      <c r="A283" s="203"/>
      <c r="B283" s="203"/>
      <c r="C283" s="203"/>
      <c r="D283" s="203"/>
      <c r="E283" s="203"/>
      <c r="G283" s="203"/>
    </row>
    <row r="284" spans="1:7" ht="12.75">
      <c r="A284" s="203"/>
      <c r="B284" s="203"/>
      <c r="C284" s="203"/>
      <c r="D284" s="203"/>
      <c r="E284" s="203"/>
      <c r="G284" s="203"/>
    </row>
    <row r="285" spans="1:7" ht="12.75">
      <c r="A285" s="203"/>
      <c r="B285" s="203"/>
      <c r="C285" s="203"/>
      <c r="D285" s="203"/>
      <c r="E285" s="203"/>
      <c r="G285" s="203"/>
    </row>
    <row r="286" spans="1:7" ht="12.75">
      <c r="A286" s="203"/>
      <c r="B286" s="203"/>
      <c r="C286" s="203"/>
      <c r="D286" s="203"/>
      <c r="E286" s="203"/>
      <c r="G286" s="203"/>
    </row>
    <row r="287" spans="1:7" ht="12.75">
      <c r="A287" s="203"/>
      <c r="B287" s="203"/>
      <c r="C287" s="203"/>
      <c r="D287" s="203"/>
      <c r="E287" s="203"/>
      <c r="G287" s="203"/>
    </row>
    <row r="288" spans="1:7" ht="12.75">
      <c r="A288" s="203"/>
      <c r="B288" s="203"/>
      <c r="C288" s="203"/>
      <c r="D288" s="203"/>
      <c r="E288" s="203"/>
      <c r="G288" s="203"/>
    </row>
    <row r="289" spans="1:7" ht="12.75">
      <c r="A289" s="203"/>
      <c r="B289" s="203"/>
      <c r="C289" s="203"/>
      <c r="D289" s="203"/>
      <c r="E289" s="203"/>
      <c r="G289" s="203"/>
    </row>
    <row r="290" spans="1:7" ht="12.75">
      <c r="A290" s="203"/>
      <c r="B290" s="203"/>
      <c r="C290" s="203"/>
      <c r="D290" s="203"/>
      <c r="E290" s="203"/>
      <c r="G290" s="203"/>
    </row>
    <row r="291" spans="1:7" ht="12.75">
      <c r="A291" s="203"/>
      <c r="B291" s="203"/>
      <c r="C291" s="203"/>
      <c r="D291" s="203"/>
      <c r="E291" s="203"/>
      <c r="G291" s="203"/>
    </row>
    <row r="292" spans="1:7" ht="12.75">
      <c r="A292" s="203"/>
      <c r="B292" s="203"/>
      <c r="C292" s="203"/>
      <c r="D292" s="203"/>
      <c r="E292" s="203"/>
      <c r="G292" s="203"/>
    </row>
    <row r="293" spans="1:7" ht="12.75">
      <c r="A293" s="203"/>
      <c r="B293" s="203"/>
      <c r="C293" s="203"/>
      <c r="D293" s="203"/>
      <c r="E293" s="203"/>
      <c r="G293" s="203"/>
    </row>
    <row r="294" spans="1:7" ht="12.75">
      <c r="A294" s="203"/>
      <c r="B294" s="203"/>
      <c r="C294" s="203"/>
      <c r="D294" s="203"/>
      <c r="E294" s="203"/>
      <c r="G294" s="203"/>
    </row>
    <row r="295" spans="1:7" ht="12.75">
      <c r="A295" s="203"/>
      <c r="B295" s="203"/>
      <c r="C295" s="203"/>
      <c r="D295" s="203"/>
      <c r="E295" s="203"/>
      <c r="G295" s="203"/>
    </row>
    <row r="296" spans="1:7" ht="12.75">
      <c r="A296" s="203"/>
      <c r="B296" s="203"/>
      <c r="C296" s="203"/>
      <c r="D296" s="203"/>
      <c r="E296" s="203"/>
      <c r="G296" s="203"/>
    </row>
    <row r="297" spans="1:7" ht="12.75">
      <c r="A297" s="203"/>
      <c r="B297" s="203"/>
      <c r="C297" s="203"/>
      <c r="D297" s="203"/>
      <c r="E297" s="203"/>
      <c r="G297" s="203"/>
    </row>
    <row r="298" spans="1:7" ht="12.75">
      <c r="A298" s="203"/>
      <c r="B298" s="203"/>
      <c r="C298" s="203"/>
      <c r="D298" s="203"/>
      <c r="E298" s="203"/>
      <c r="G298" s="203"/>
    </row>
    <row r="299" spans="1:7" ht="12.75">
      <c r="A299" s="203"/>
      <c r="B299" s="203"/>
      <c r="C299" s="203"/>
      <c r="D299" s="203"/>
      <c r="E299" s="203"/>
      <c r="G299" s="203"/>
    </row>
    <row r="300" spans="1:7" ht="12.75">
      <c r="A300" s="203"/>
      <c r="B300" s="203"/>
      <c r="C300" s="203"/>
      <c r="D300" s="203"/>
      <c r="E300" s="203"/>
      <c r="G300" s="203"/>
    </row>
    <row r="301" spans="1:7" ht="12.75">
      <c r="A301" s="203"/>
      <c r="B301" s="203"/>
      <c r="C301" s="203"/>
      <c r="D301" s="203"/>
      <c r="E301" s="203"/>
      <c r="G301" s="203"/>
    </row>
    <row r="302" spans="1:7" ht="12.75">
      <c r="A302" s="203"/>
      <c r="B302" s="203"/>
      <c r="C302" s="203"/>
      <c r="D302" s="203"/>
      <c r="E302" s="203"/>
      <c r="G302" s="203"/>
    </row>
    <row r="303" spans="1:7" ht="12.75">
      <c r="A303" s="203"/>
      <c r="B303" s="203"/>
      <c r="C303" s="203"/>
      <c r="D303" s="203"/>
      <c r="E303" s="203"/>
      <c r="G303" s="203"/>
    </row>
    <row r="304" spans="1:7" ht="12.75">
      <c r="A304" s="203"/>
      <c r="B304" s="203"/>
      <c r="C304" s="203"/>
      <c r="D304" s="203"/>
      <c r="E304" s="203"/>
      <c r="G304" s="203"/>
    </row>
    <row r="305" spans="1:7" ht="12.75">
      <c r="A305" s="203"/>
      <c r="B305" s="203"/>
      <c r="C305" s="203"/>
      <c r="D305" s="203"/>
      <c r="E305" s="203"/>
      <c r="G305" s="203"/>
    </row>
    <row r="306" spans="1:7" ht="12.75">
      <c r="A306" s="203"/>
      <c r="B306" s="203"/>
      <c r="C306" s="203"/>
      <c r="D306" s="203"/>
      <c r="E306" s="203"/>
      <c r="G306" s="203"/>
    </row>
    <row r="307" spans="1:7" ht="12.75">
      <c r="A307" s="203"/>
      <c r="B307" s="203"/>
      <c r="C307" s="203"/>
      <c r="D307" s="203"/>
      <c r="E307" s="203"/>
      <c r="G307" s="203"/>
    </row>
    <row r="308" spans="1:7" ht="12.75">
      <c r="A308" s="203"/>
      <c r="B308" s="203"/>
      <c r="C308" s="203"/>
      <c r="D308" s="203"/>
      <c r="E308" s="203"/>
      <c r="G308" s="203"/>
    </row>
    <row r="309" spans="1:7" ht="12.75">
      <c r="A309" s="203"/>
      <c r="B309" s="203"/>
      <c r="C309" s="203"/>
      <c r="D309" s="203"/>
      <c r="E309" s="203"/>
      <c r="G309" s="203"/>
    </row>
    <row r="310" spans="1:7" ht="12.75">
      <c r="A310" s="203"/>
      <c r="B310" s="203"/>
      <c r="C310" s="203"/>
      <c r="D310" s="203"/>
      <c r="E310" s="203"/>
      <c r="G310" s="203"/>
    </row>
    <row r="311" spans="1:7" ht="12.75">
      <c r="A311" s="203"/>
      <c r="B311" s="203"/>
      <c r="C311" s="203"/>
      <c r="D311" s="203"/>
      <c r="E311" s="203"/>
      <c r="G311" s="203"/>
    </row>
    <row r="312" spans="1:7" ht="12.75">
      <c r="A312" s="203"/>
      <c r="B312" s="203"/>
      <c r="C312" s="203"/>
      <c r="D312" s="203"/>
      <c r="E312" s="203"/>
      <c r="G312" s="203"/>
    </row>
    <row r="313" spans="1:7" ht="12.75">
      <c r="A313" s="203"/>
      <c r="B313" s="203"/>
      <c r="C313" s="203"/>
      <c r="D313" s="203"/>
      <c r="E313" s="203"/>
      <c r="G313" s="203"/>
    </row>
    <row r="314" spans="1:7" ht="12.75">
      <c r="A314" s="203"/>
      <c r="B314" s="203"/>
      <c r="C314" s="203"/>
      <c r="D314" s="203"/>
      <c r="E314" s="203"/>
      <c r="G314" s="203"/>
    </row>
    <row r="315" spans="1:7" ht="12.75">
      <c r="A315" s="203"/>
      <c r="B315" s="203"/>
      <c r="C315" s="203"/>
      <c r="D315" s="203"/>
      <c r="E315" s="203"/>
      <c r="G315" s="203"/>
    </row>
    <row r="316" spans="1:7" ht="12.75">
      <c r="A316" s="203"/>
      <c r="B316" s="203"/>
      <c r="C316" s="203"/>
      <c r="D316" s="203"/>
      <c r="E316" s="203"/>
      <c r="G316" s="203"/>
    </row>
    <row r="317" spans="1:7" ht="12.75">
      <c r="A317" s="203"/>
      <c r="B317" s="203"/>
      <c r="C317" s="203"/>
      <c r="D317" s="203"/>
      <c r="E317" s="203"/>
      <c r="G317" s="203"/>
    </row>
    <row r="318" spans="1:7" ht="12.75">
      <c r="A318" s="203"/>
      <c r="B318" s="203"/>
      <c r="C318" s="203"/>
      <c r="D318" s="203"/>
      <c r="E318" s="203"/>
      <c r="G318" s="203"/>
    </row>
    <row r="319" spans="1:7" ht="12.75">
      <c r="A319" s="203"/>
      <c r="B319" s="203"/>
      <c r="C319" s="203"/>
      <c r="D319" s="203"/>
      <c r="E319" s="203"/>
      <c r="G319" s="203"/>
    </row>
    <row r="320" spans="1:7" ht="12.75">
      <c r="A320" s="203"/>
      <c r="B320" s="203"/>
      <c r="C320" s="203"/>
      <c r="D320" s="203"/>
      <c r="E320" s="203"/>
      <c r="G320" s="203"/>
    </row>
    <row r="321" spans="1:7" ht="12.75">
      <c r="A321" s="203"/>
      <c r="B321" s="203"/>
      <c r="C321" s="203"/>
      <c r="D321" s="203"/>
      <c r="E321" s="203"/>
      <c r="G321" s="203"/>
    </row>
    <row r="322" spans="1:7" ht="12.75">
      <c r="A322" s="203"/>
      <c r="B322" s="203"/>
      <c r="C322" s="203"/>
      <c r="D322" s="203"/>
      <c r="E322" s="203"/>
      <c r="G322" s="203"/>
    </row>
    <row r="323" spans="1:7" ht="12.75">
      <c r="A323" s="203"/>
      <c r="B323" s="203"/>
      <c r="C323" s="203"/>
      <c r="D323" s="203"/>
      <c r="E323" s="203"/>
      <c r="G323" s="203"/>
    </row>
    <row r="324" spans="1:7" ht="12.75">
      <c r="A324" s="203"/>
      <c r="B324" s="203"/>
      <c r="C324" s="203"/>
      <c r="D324" s="203"/>
      <c r="E324" s="203"/>
      <c r="G324" s="203"/>
    </row>
    <row r="325" spans="1:7" ht="12.75">
      <c r="A325" s="203"/>
      <c r="B325" s="203"/>
      <c r="C325" s="203"/>
      <c r="D325" s="203"/>
      <c r="E325" s="203"/>
      <c r="G325" s="203"/>
    </row>
    <row r="326" spans="1:7" ht="12.75">
      <c r="A326" s="203"/>
      <c r="B326" s="203"/>
      <c r="C326" s="203"/>
      <c r="D326" s="203"/>
      <c r="E326" s="203"/>
      <c r="G326" s="203"/>
    </row>
    <row r="327" spans="1:7" ht="12.75">
      <c r="A327" s="203"/>
      <c r="B327" s="203"/>
      <c r="C327" s="203"/>
      <c r="D327" s="203"/>
      <c r="E327" s="203"/>
      <c r="G327" s="203"/>
    </row>
    <row r="328" spans="1:7" ht="12.75">
      <c r="A328" s="203"/>
      <c r="B328" s="203"/>
      <c r="C328" s="203"/>
      <c r="D328" s="203"/>
      <c r="E328" s="203"/>
      <c r="G328" s="203"/>
    </row>
    <row r="329" spans="1:7" ht="12.75">
      <c r="A329" s="203"/>
      <c r="B329" s="203"/>
      <c r="C329" s="203"/>
      <c r="D329" s="203"/>
      <c r="E329" s="203"/>
      <c r="G329" s="203"/>
    </row>
    <row r="330" spans="1:7" ht="12.75">
      <c r="A330" s="203"/>
      <c r="B330" s="203"/>
      <c r="C330" s="203"/>
      <c r="D330" s="203"/>
      <c r="E330" s="203"/>
      <c r="G330" s="203"/>
    </row>
    <row r="331" spans="1:7" ht="12.75">
      <c r="A331" s="203"/>
      <c r="B331" s="203"/>
      <c r="C331" s="203"/>
      <c r="D331" s="203"/>
      <c r="E331" s="203"/>
      <c r="G331" s="203"/>
    </row>
    <row r="332" spans="1:7" ht="12.75">
      <c r="A332" s="203"/>
      <c r="B332" s="203"/>
      <c r="C332" s="203"/>
      <c r="D332" s="203"/>
      <c r="E332" s="203"/>
      <c r="G332" s="203"/>
    </row>
    <row r="333" spans="1:7" ht="12.75">
      <c r="A333" s="203"/>
      <c r="B333" s="203"/>
      <c r="C333" s="203"/>
      <c r="D333" s="203"/>
      <c r="E333" s="203"/>
      <c r="G333" s="203"/>
    </row>
    <row r="334" spans="1:7" ht="12.75">
      <c r="A334" s="203"/>
      <c r="B334" s="203"/>
      <c r="C334" s="203"/>
      <c r="D334" s="203"/>
      <c r="E334" s="203"/>
      <c r="G334" s="203"/>
    </row>
    <row r="335" spans="1:7" ht="12.75">
      <c r="A335" s="203"/>
      <c r="B335" s="203"/>
      <c r="C335" s="203"/>
      <c r="D335" s="203"/>
      <c r="E335" s="203"/>
      <c r="G335" s="203"/>
    </row>
    <row r="336" spans="1:7" ht="12.75">
      <c r="A336" s="203"/>
      <c r="B336" s="203"/>
      <c r="C336" s="203"/>
      <c r="D336" s="203"/>
      <c r="E336" s="203"/>
      <c r="G336" s="203"/>
    </row>
    <row r="337" spans="1:7" ht="12.75">
      <c r="A337" s="203"/>
      <c r="B337" s="203"/>
      <c r="C337" s="203"/>
      <c r="D337" s="203"/>
      <c r="E337" s="203"/>
      <c r="G337" s="203"/>
    </row>
    <row r="338" spans="1:7" ht="12.75">
      <c r="A338" s="203"/>
      <c r="B338" s="203"/>
      <c r="C338" s="203"/>
      <c r="D338" s="203"/>
      <c r="E338" s="203"/>
      <c r="G338" s="203"/>
    </row>
    <row r="339" spans="1:7" ht="12.75">
      <c r="A339" s="203"/>
      <c r="B339" s="203"/>
      <c r="C339" s="203"/>
      <c r="D339" s="203"/>
      <c r="E339" s="203"/>
      <c r="G339" s="203"/>
    </row>
    <row r="340" spans="1:7" ht="12.75">
      <c r="A340" s="203"/>
      <c r="B340" s="203"/>
      <c r="C340" s="203"/>
      <c r="D340" s="203"/>
      <c r="E340" s="203"/>
      <c r="G340" s="203"/>
    </row>
    <row r="341" spans="1:7" ht="12.75">
      <c r="A341" s="203"/>
      <c r="B341" s="203"/>
      <c r="C341" s="203"/>
      <c r="D341" s="203"/>
      <c r="E341" s="203"/>
      <c r="G341" s="203"/>
    </row>
    <row r="342" spans="1:7" ht="12.75">
      <c r="A342" s="203"/>
      <c r="B342" s="203"/>
      <c r="C342" s="203"/>
      <c r="D342" s="203"/>
      <c r="E342" s="203"/>
      <c r="G342" s="203"/>
    </row>
    <row r="343" spans="1:7" ht="12.75">
      <c r="A343" s="203"/>
      <c r="B343" s="203"/>
      <c r="C343" s="203"/>
      <c r="D343" s="203"/>
      <c r="E343" s="203"/>
      <c r="G343" s="203"/>
    </row>
    <row r="344" spans="1:7" ht="12.75">
      <c r="A344" s="203"/>
      <c r="B344" s="203"/>
      <c r="C344" s="203"/>
      <c r="D344" s="203"/>
      <c r="E344" s="203"/>
      <c r="G344" s="203"/>
    </row>
    <row r="345" spans="1:7" ht="12.75">
      <c r="A345" s="203"/>
      <c r="B345" s="203"/>
      <c r="C345" s="203"/>
      <c r="D345" s="203"/>
      <c r="E345" s="203"/>
      <c r="G345" s="203"/>
    </row>
    <row r="346" spans="1:7" ht="12.75">
      <c r="A346" s="203"/>
      <c r="B346" s="203"/>
      <c r="C346" s="203"/>
      <c r="D346" s="203"/>
      <c r="E346" s="203"/>
      <c r="G346" s="203"/>
    </row>
    <row r="347" spans="1:7" ht="12.75">
      <c r="A347" s="203"/>
      <c r="B347" s="203"/>
      <c r="C347" s="203"/>
      <c r="D347" s="203"/>
      <c r="E347" s="203"/>
      <c r="G347" s="203"/>
    </row>
    <row r="348" spans="1:7" ht="12.75">
      <c r="A348" s="203"/>
      <c r="B348" s="203"/>
      <c r="C348" s="203"/>
      <c r="D348" s="203"/>
      <c r="E348" s="203"/>
      <c r="G348" s="203"/>
    </row>
    <row r="349" spans="1:7" ht="12.75">
      <c r="A349" s="203"/>
      <c r="B349" s="203"/>
      <c r="C349" s="203"/>
      <c r="D349" s="203"/>
      <c r="E349" s="203"/>
      <c r="G349" s="203"/>
    </row>
    <row r="350" spans="1:7" ht="12.75">
      <c r="A350" s="203"/>
      <c r="B350" s="203"/>
      <c r="C350" s="203"/>
      <c r="D350" s="203"/>
      <c r="E350" s="203"/>
      <c r="G350" s="203"/>
    </row>
    <row r="351" spans="1:7" ht="12.75">
      <c r="A351" s="203"/>
      <c r="B351" s="203"/>
      <c r="C351" s="203"/>
      <c r="D351" s="203"/>
      <c r="E351" s="203"/>
      <c r="G351" s="203"/>
    </row>
    <row r="352" spans="1:7" ht="12.75">
      <c r="A352" s="203"/>
      <c r="B352" s="203"/>
      <c r="C352" s="203"/>
      <c r="D352" s="203"/>
      <c r="E352" s="203"/>
      <c r="G352" s="203"/>
    </row>
    <row r="353" spans="1:7" ht="12.75">
      <c r="A353" s="203"/>
      <c r="B353" s="203"/>
      <c r="C353" s="203"/>
      <c r="D353" s="203"/>
      <c r="E353" s="203"/>
      <c r="G353" s="203"/>
    </row>
    <row r="354" spans="1:7" ht="12.75">
      <c r="A354" s="203"/>
      <c r="B354" s="203"/>
      <c r="C354" s="203"/>
      <c r="D354" s="203"/>
      <c r="E354" s="203"/>
      <c r="G354" s="203"/>
    </row>
    <row r="355" spans="1:7" ht="12.75">
      <c r="A355" s="203"/>
      <c r="B355" s="203"/>
      <c r="C355" s="203"/>
      <c r="D355" s="203"/>
      <c r="E355" s="203"/>
      <c r="G355" s="203"/>
    </row>
    <row r="356" spans="1:7" ht="12.75">
      <c r="A356" s="203"/>
      <c r="B356" s="203"/>
      <c r="C356" s="203"/>
      <c r="D356" s="203"/>
      <c r="E356" s="203"/>
      <c r="G356" s="203"/>
    </row>
    <row r="357" spans="1:7" ht="12.75">
      <c r="A357" s="203"/>
      <c r="B357" s="203"/>
      <c r="C357" s="203"/>
      <c r="D357" s="203"/>
      <c r="E357" s="203"/>
      <c r="G357" s="203"/>
    </row>
    <row r="358" spans="1:7" ht="12.75">
      <c r="A358" s="203"/>
      <c r="B358" s="203"/>
      <c r="C358" s="203"/>
      <c r="D358" s="203"/>
      <c r="E358" s="203"/>
      <c r="G358" s="203"/>
    </row>
    <row r="359" spans="1:7" ht="12.75">
      <c r="A359" s="203"/>
      <c r="B359" s="203"/>
      <c r="C359" s="203"/>
      <c r="D359" s="203"/>
      <c r="E359" s="203"/>
      <c r="G359" s="203"/>
    </row>
    <row r="360" spans="1:7" ht="12.75">
      <c r="A360" s="203"/>
      <c r="B360" s="203"/>
      <c r="C360" s="203"/>
      <c r="D360" s="203"/>
      <c r="E360" s="203"/>
      <c r="G360" s="203"/>
    </row>
    <row r="361" spans="1:7" ht="12.75">
      <c r="A361" s="203"/>
      <c r="B361" s="203"/>
      <c r="C361" s="203"/>
      <c r="D361" s="203"/>
      <c r="E361" s="203"/>
      <c r="G361" s="203"/>
    </row>
    <row r="362" spans="1:7" ht="12.75">
      <c r="A362" s="203"/>
      <c r="B362" s="203"/>
      <c r="C362" s="203"/>
      <c r="D362" s="203"/>
      <c r="E362" s="203"/>
      <c r="G362" s="203"/>
    </row>
    <row r="363" spans="1:7" ht="12.75">
      <c r="A363" s="203"/>
      <c r="B363" s="203"/>
      <c r="C363" s="203"/>
      <c r="D363" s="203"/>
      <c r="E363" s="203"/>
      <c r="G363" s="203"/>
    </row>
    <row r="364" spans="1:7" ht="12.75">
      <c r="A364" s="203"/>
      <c r="B364" s="203"/>
      <c r="C364" s="203"/>
      <c r="D364" s="203"/>
      <c r="E364" s="203"/>
      <c r="G364" s="203"/>
    </row>
    <row r="365" spans="1:7" ht="12.75">
      <c r="A365" s="203"/>
      <c r="B365" s="203"/>
      <c r="C365" s="203"/>
      <c r="D365" s="203"/>
      <c r="E365" s="203"/>
      <c r="G365" s="203"/>
    </row>
    <row r="366" spans="1:7" ht="12.75">
      <c r="A366" s="203"/>
      <c r="B366" s="203"/>
      <c r="C366" s="203"/>
      <c r="D366" s="203"/>
      <c r="E366" s="203"/>
      <c r="G366" s="203"/>
    </row>
    <row r="367" spans="1:7" ht="12.75">
      <c r="A367" s="203"/>
      <c r="B367" s="203"/>
      <c r="C367" s="203"/>
      <c r="D367" s="203"/>
      <c r="E367" s="203"/>
      <c r="G367" s="203"/>
    </row>
    <row r="368" spans="1:7" ht="12.75">
      <c r="A368" s="203"/>
      <c r="B368" s="203"/>
      <c r="C368" s="203"/>
      <c r="D368" s="203"/>
      <c r="E368" s="203"/>
      <c r="G368" s="203"/>
    </row>
    <row r="369" spans="1:7" ht="12.75">
      <c r="A369" s="203"/>
      <c r="B369" s="203"/>
      <c r="C369" s="203"/>
      <c r="D369" s="203"/>
      <c r="E369" s="203"/>
      <c r="G369" s="203"/>
    </row>
    <row r="370" spans="1:7" ht="12.75">
      <c r="A370" s="203"/>
      <c r="B370" s="203"/>
      <c r="C370" s="203"/>
      <c r="D370" s="203"/>
      <c r="E370" s="203"/>
      <c r="G370" s="203"/>
    </row>
    <row r="371" spans="1:7" ht="12.75">
      <c r="A371" s="203"/>
      <c r="B371" s="203"/>
      <c r="C371" s="203"/>
      <c r="D371" s="203"/>
      <c r="E371" s="203"/>
      <c r="G371" s="203"/>
    </row>
    <row r="372" spans="1:7" ht="12.75">
      <c r="A372" s="203"/>
      <c r="B372" s="203"/>
      <c r="C372" s="203"/>
      <c r="D372" s="203"/>
      <c r="E372" s="203"/>
      <c r="G372" s="203"/>
    </row>
    <row r="373" spans="1:7" ht="12.75">
      <c r="A373" s="203"/>
      <c r="B373" s="203"/>
      <c r="C373" s="203"/>
      <c r="D373" s="203"/>
      <c r="E373" s="203"/>
      <c r="G373" s="203"/>
    </row>
    <row r="374" spans="1:7" ht="12.75">
      <c r="A374" s="203"/>
      <c r="B374" s="203"/>
      <c r="C374" s="203"/>
      <c r="D374" s="203"/>
      <c r="E374" s="203"/>
      <c r="G374" s="203"/>
    </row>
    <row r="375" spans="1:7" ht="12.75">
      <c r="A375" s="203"/>
      <c r="B375" s="203"/>
      <c r="C375" s="203"/>
      <c r="D375" s="203"/>
      <c r="E375" s="203"/>
      <c r="G375" s="203"/>
    </row>
    <row r="376" spans="1:7" ht="12.75">
      <c r="A376" s="203"/>
      <c r="B376" s="203"/>
      <c r="C376" s="203"/>
      <c r="D376" s="203"/>
      <c r="E376" s="203"/>
      <c r="G376" s="203"/>
    </row>
    <row r="377" spans="1:7" ht="12.75">
      <c r="A377" s="203"/>
      <c r="B377" s="203"/>
      <c r="C377" s="203"/>
      <c r="D377" s="203"/>
      <c r="E377" s="203"/>
      <c r="G377" s="203"/>
    </row>
    <row r="378" spans="1:7" ht="12.75">
      <c r="A378" s="203"/>
      <c r="B378" s="203"/>
      <c r="C378" s="203"/>
      <c r="D378" s="203"/>
      <c r="E378" s="203"/>
      <c r="G378" s="203"/>
    </row>
    <row r="379" spans="1:7" ht="12.75">
      <c r="A379" s="203"/>
      <c r="B379" s="203"/>
      <c r="C379" s="203"/>
      <c r="D379" s="203"/>
      <c r="E379" s="203"/>
      <c r="G379" s="203"/>
    </row>
    <row r="380" spans="1:7" ht="12.75">
      <c r="A380" s="203"/>
      <c r="B380" s="203"/>
      <c r="C380" s="203"/>
      <c r="D380" s="203"/>
      <c r="E380" s="203"/>
      <c r="G380" s="203"/>
    </row>
    <row r="381" spans="1:7" ht="12.75">
      <c r="A381" s="203"/>
      <c r="B381" s="203"/>
      <c r="C381" s="203"/>
      <c r="D381" s="203"/>
      <c r="E381" s="203"/>
      <c r="G381" s="203"/>
    </row>
    <row r="382" spans="1:7" ht="12.75">
      <c r="A382" s="203"/>
      <c r="B382" s="203"/>
      <c r="C382" s="203"/>
      <c r="D382" s="203"/>
      <c r="E382" s="203"/>
      <c r="G382" s="203"/>
    </row>
    <row r="383" spans="1:7" ht="12.75">
      <c r="A383" s="203"/>
      <c r="B383" s="203"/>
      <c r="C383" s="203"/>
      <c r="D383" s="203"/>
      <c r="E383" s="203"/>
      <c r="G383" s="203"/>
    </row>
    <row r="384" spans="1:7" ht="12.75">
      <c r="A384" s="203"/>
      <c r="B384" s="203"/>
      <c r="C384" s="203"/>
      <c r="D384" s="203"/>
      <c r="E384" s="203"/>
      <c r="G384" s="203"/>
    </row>
    <row r="385" spans="1:7" ht="12.75">
      <c r="A385" s="203"/>
      <c r="B385" s="203"/>
      <c r="C385" s="203"/>
      <c r="D385" s="203"/>
      <c r="E385" s="203"/>
      <c r="G385" s="203"/>
    </row>
    <row r="386" spans="1:7" ht="12.75">
      <c r="A386" s="203"/>
      <c r="B386" s="203"/>
      <c r="C386" s="203"/>
      <c r="D386" s="203"/>
      <c r="E386" s="203"/>
      <c r="G386" s="203"/>
    </row>
    <row r="387" spans="1:7" ht="12.75">
      <c r="A387" s="203"/>
      <c r="B387" s="203"/>
      <c r="C387" s="203"/>
      <c r="D387" s="203"/>
      <c r="E387" s="203"/>
      <c r="G387" s="203"/>
    </row>
    <row r="388" spans="1:7" ht="12.75">
      <c r="A388" s="203"/>
      <c r="B388" s="203"/>
      <c r="C388" s="203"/>
      <c r="D388" s="203"/>
      <c r="E388" s="203"/>
      <c r="G388" s="203"/>
    </row>
    <row r="389" spans="1:7" ht="12.75">
      <c r="A389" s="203"/>
      <c r="B389" s="203"/>
      <c r="C389" s="203"/>
      <c r="D389" s="203"/>
      <c r="E389" s="203"/>
      <c r="G389" s="203"/>
    </row>
    <row r="390" spans="1:7" ht="12.75">
      <c r="A390" s="203"/>
      <c r="B390" s="203"/>
      <c r="C390" s="203"/>
      <c r="D390" s="203"/>
      <c r="E390" s="203"/>
      <c r="G390" s="203"/>
    </row>
    <row r="391" spans="1:7" ht="12.75">
      <c r="A391" s="203"/>
      <c r="B391" s="203"/>
      <c r="C391" s="203"/>
      <c r="D391" s="203"/>
      <c r="E391" s="203"/>
      <c r="G391" s="203"/>
    </row>
    <row r="392" spans="1:7" ht="12.75">
      <c r="A392" s="203"/>
      <c r="B392" s="203"/>
      <c r="C392" s="203"/>
      <c r="D392" s="203"/>
      <c r="E392" s="203"/>
      <c r="G392" s="203"/>
    </row>
    <row r="393" spans="1:7" ht="12.75">
      <c r="A393" s="203"/>
      <c r="B393" s="203"/>
      <c r="C393" s="203"/>
      <c r="D393" s="203"/>
      <c r="E393" s="203"/>
      <c r="G393" s="203"/>
    </row>
    <row r="394" spans="1:7" ht="12.75">
      <c r="A394" s="203"/>
      <c r="B394" s="203"/>
      <c r="C394" s="203"/>
      <c r="D394" s="203"/>
      <c r="E394" s="203"/>
      <c r="G394" s="203"/>
    </row>
    <row r="395" spans="1:7" ht="12.75">
      <c r="A395" s="203"/>
      <c r="B395" s="203"/>
      <c r="C395" s="203"/>
      <c r="D395" s="203"/>
      <c r="E395" s="203"/>
      <c r="G395" s="203"/>
    </row>
    <row r="396" spans="1:7" ht="12.75">
      <c r="A396" s="203"/>
      <c r="B396" s="203"/>
      <c r="C396" s="203"/>
      <c r="D396" s="203"/>
      <c r="E396" s="203"/>
      <c r="G396" s="203"/>
    </row>
    <row r="397" spans="1:7" ht="12.75">
      <c r="A397" s="203"/>
      <c r="B397" s="203"/>
      <c r="C397" s="203"/>
      <c r="D397" s="203"/>
      <c r="E397" s="203"/>
      <c r="G397" s="203"/>
    </row>
    <row r="398" spans="1:7" ht="12.75">
      <c r="A398" s="203"/>
      <c r="B398" s="203"/>
      <c r="C398" s="203"/>
      <c r="D398" s="203"/>
      <c r="E398" s="203"/>
      <c r="G398" s="203"/>
    </row>
    <row r="399" spans="1:7" ht="12.75">
      <c r="A399" s="203"/>
      <c r="B399" s="203"/>
      <c r="C399" s="203"/>
      <c r="D399" s="203"/>
      <c r="E399" s="203"/>
      <c r="G399" s="203"/>
    </row>
    <row r="400" spans="1:7" ht="12.75">
      <c r="A400" s="203"/>
      <c r="B400" s="203"/>
      <c r="C400" s="203"/>
      <c r="D400" s="203"/>
      <c r="E400" s="203"/>
      <c r="G400" s="203"/>
    </row>
    <row r="401" spans="1:7" ht="12.75">
      <c r="A401" s="203"/>
      <c r="B401" s="203"/>
      <c r="C401" s="203"/>
      <c r="D401" s="203"/>
      <c r="E401" s="203"/>
      <c r="G401" s="203"/>
    </row>
    <row r="402" spans="1:7" ht="12.75">
      <c r="A402" s="203"/>
      <c r="B402" s="203"/>
      <c r="C402" s="203"/>
      <c r="D402" s="203"/>
      <c r="E402" s="203"/>
      <c r="G402" s="203"/>
    </row>
    <row r="403" spans="1:7" ht="12.75">
      <c r="A403" s="203"/>
      <c r="B403" s="203"/>
      <c r="C403" s="203"/>
      <c r="D403" s="203"/>
      <c r="E403" s="203"/>
      <c r="G403" s="203"/>
    </row>
    <row r="404" spans="1:7" ht="12.75">
      <c r="A404" s="203"/>
      <c r="B404" s="203"/>
      <c r="C404" s="203"/>
      <c r="D404" s="203"/>
      <c r="E404" s="203"/>
      <c r="G404" s="203"/>
    </row>
    <row r="405" spans="1:7" ht="12.75">
      <c r="A405" s="203"/>
      <c r="B405" s="203"/>
      <c r="C405" s="203"/>
      <c r="D405" s="203"/>
      <c r="E405" s="203"/>
      <c r="G405" s="203"/>
    </row>
    <row r="406" spans="1:7" ht="12.75">
      <c r="A406" s="203"/>
      <c r="B406" s="203"/>
      <c r="C406" s="203"/>
      <c r="D406" s="203"/>
      <c r="E406" s="203"/>
      <c r="G406" s="203"/>
    </row>
    <row r="407" spans="1:7" ht="12.75">
      <c r="A407" s="203"/>
      <c r="B407" s="203"/>
      <c r="C407" s="203"/>
      <c r="D407" s="203"/>
      <c r="E407" s="203"/>
      <c r="G407" s="203"/>
    </row>
    <row r="408" spans="1:7" ht="12.75">
      <c r="A408" s="203"/>
      <c r="B408" s="203"/>
      <c r="C408" s="203"/>
      <c r="D408" s="203"/>
      <c r="E408" s="203"/>
      <c r="G408" s="203"/>
    </row>
    <row r="409" spans="1:7" ht="12.75">
      <c r="A409" s="203"/>
      <c r="B409" s="203"/>
      <c r="C409" s="203"/>
      <c r="D409" s="203"/>
      <c r="E409" s="203"/>
      <c r="G409" s="203"/>
    </row>
    <row r="410" spans="1:7" ht="12.75">
      <c r="A410" s="203"/>
      <c r="B410" s="203"/>
      <c r="C410" s="203"/>
      <c r="D410" s="203"/>
      <c r="E410" s="203"/>
      <c r="G410" s="203"/>
    </row>
    <row r="411" spans="1:7" ht="12.75">
      <c r="A411" s="203"/>
      <c r="B411" s="203"/>
      <c r="C411" s="203"/>
      <c r="D411" s="203"/>
      <c r="E411" s="203"/>
      <c r="G411" s="203"/>
    </row>
    <row r="412" spans="1:7" ht="12.75">
      <c r="A412" s="203"/>
      <c r="B412" s="203"/>
      <c r="C412" s="203"/>
      <c r="D412" s="203"/>
      <c r="E412" s="203"/>
      <c r="G412" s="203"/>
    </row>
    <row r="413" spans="1:7" ht="12.75">
      <c r="A413" s="203"/>
      <c r="B413" s="203"/>
      <c r="C413" s="203"/>
      <c r="D413" s="203"/>
      <c r="E413" s="203"/>
      <c r="G413" s="203"/>
    </row>
    <row r="414" spans="1:7" ht="12.75">
      <c r="A414" s="203"/>
      <c r="B414" s="203"/>
      <c r="C414" s="203"/>
      <c r="D414" s="203"/>
      <c r="E414" s="203"/>
      <c r="G414" s="203"/>
    </row>
    <row r="415" spans="1:7" ht="12.75">
      <c r="A415" s="203"/>
      <c r="B415" s="203"/>
      <c r="C415" s="203"/>
      <c r="D415" s="203"/>
      <c r="E415" s="203"/>
      <c r="G415" s="203"/>
    </row>
    <row r="416" spans="1:7" ht="12.75">
      <c r="A416" s="203"/>
      <c r="B416" s="203"/>
      <c r="C416" s="203"/>
      <c r="D416" s="203"/>
      <c r="E416" s="203"/>
      <c r="G416" s="203"/>
    </row>
    <row r="417" spans="1:7" ht="12.75">
      <c r="A417" s="203"/>
      <c r="B417" s="203"/>
      <c r="C417" s="203"/>
      <c r="D417" s="203"/>
      <c r="E417" s="203"/>
      <c r="G417" s="203"/>
    </row>
    <row r="418" spans="1:7" ht="12.75">
      <c r="A418" s="203"/>
      <c r="B418" s="203"/>
      <c r="C418" s="203"/>
      <c r="D418" s="203"/>
      <c r="E418" s="203"/>
      <c r="G418" s="203"/>
    </row>
    <row r="419" spans="1:7" ht="12.75">
      <c r="A419" s="203"/>
      <c r="B419" s="203"/>
      <c r="C419" s="203"/>
      <c r="D419" s="203"/>
      <c r="E419" s="203"/>
      <c r="G419" s="203"/>
    </row>
    <row r="420" spans="1:7" ht="12.75">
      <c r="A420" s="203"/>
      <c r="B420" s="203"/>
      <c r="C420" s="203"/>
      <c r="D420" s="203"/>
      <c r="E420" s="203"/>
      <c r="G420" s="203"/>
    </row>
    <row r="421" spans="1:7" ht="12.75">
      <c r="A421" s="203"/>
      <c r="B421" s="203"/>
      <c r="C421" s="203"/>
      <c r="D421" s="203"/>
      <c r="E421" s="203"/>
      <c r="G421" s="203"/>
    </row>
    <row r="422" spans="1:7" ht="12.75">
      <c r="A422" s="203"/>
      <c r="B422" s="203"/>
      <c r="C422" s="203"/>
      <c r="D422" s="203"/>
      <c r="E422" s="203"/>
      <c r="G422" s="203"/>
    </row>
    <row r="423" spans="1:7" ht="12.75">
      <c r="A423" s="203"/>
      <c r="B423" s="203"/>
      <c r="C423" s="203"/>
      <c r="D423" s="203"/>
      <c r="E423" s="203"/>
      <c r="G423" s="203"/>
    </row>
    <row r="424" spans="1:7" ht="12.75">
      <c r="A424" s="203"/>
      <c r="B424" s="203"/>
      <c r="C424" s="203"/>
      <c r="D424" s="203"/>
      <c r="E424" s="203"/>
      <c r="G424" s="203"/>
    </row>
    <row r="425" spans="1:7" ht="12.75">
      <c r="A425" s="203"/>
      <c r="B425" s="203"/>
      <c r="C425" s="203"/>
      <c r="D425" s="203"/>
      <c r="E425" s="203"/>
      <c r="G425" s="203"/>
    </row>
    <row r="426" spans="1:7" ht="12.75">
      <c r="A426" s="203"/>
      <c r="B426" s="203"/>
      <c r="C426" s="203"/>
      <c r="D426" s="203"/>
      <c r="E426" s="203"/>
      <c r="G426" s="203"/>
    </row>
    <row r="427" spans="1:7" ht="12.75">
      <c r="A427" s="203"/>
      <c r="B427" s="203"/>
      <c r="C427" s="203"/>
      <c r="D427" s="203"/>
      <c r="E427" s="203"/>
      <c r="G427" s="203"/>
    </row>
    <row r="428" spans="1:7" ht="12.75">
      <c r="A428" s="203"/>
      <c r="B428" s="203"/>
      <c r="C428" s="203"/>
      <c r="D428" s="203"/>
      <c r="E428" s="203"/>
      <c r="G428" s="203"/>
    </row>
    <row r="429" spans="1:7" ht="12.75">
      <c r="A429" s="203"/>
      <c r="B429" s="203"/>
      <c r="C429" s="203"/>
      <c r="D429" s="203"/>
      <c r="E429" s="203"/>
      <c r="G429" s="203"/>
    </row>
    <row r="430" spans="1:7" ht="12.75">
      <c r="A430" s="203"/>
      <c r="B430" s="203"/>
      <c r="C430" s="203"/>
      <c r="D430" s="203"/>
      <c r="E430" s="203"/>
      <c r="G430" s="203"/>
    </row>
    <row r="431" spans="1:7" ht="12.75">
      <c r="A431" s="203"/>
      <c r="B431" s="203"/>
      <c r="C431" s="203"/>
      <c r="D431" s="203"/>
      <c r="E431" s="203"/>
      <c r="G431" s="203"/>
    </row>
    <row r="432" spans="1:7" ht="12.75">
      <c r="A432" s="203"/>
      <c r="B432" s="203"/>
      <c r="C432" s="203"/>
      <c r="D432" s="203"/>
      <c r="E432" s="203"/>
      <c r="G432" s="203"/>
    </row>
    <row r="433" spans="1:7" ht="12.75">
      <c r="A433" s="203"/>
      <c r="B433" s="203"/>
      <c r="C433" s="203"/>
      <c r="D433" s="203"/>
      <c r="E433" s="203"/>
      <c r="G433" s="203"/>
    </row>
    <row r="434" spans="1:7" ht="12.75">
      <c r="A434" s="203"/>
      <c r="B434" s="203"/>
      <c r="C434" s="203"/>
      <c r="D434" s="203"/>
      <c r="E434" s="203"/>
      <c r="G434" s="203"/>
    </row>
    <row r="435" spans="1:7" ht="12.75">
      <c r="A435" s="203"/>
      <c r="B435" s="203"/>
      <c r="C435" s="203"/>
      <c r="D435" s="203"/>
      <c r="E435" s="203"/>
      <c r="G435" s="203"/>
    </row>
    <row r="436" spans="1:7" ht="12.75">
      <c r="A436" s="203"/>
      <c r="B436" s="203"/>
      <c r="C436" s="203"/>
      <c r="D436" s="203"/>
      <c r="E436" s="203"/>
      <c r="G436" s="203"/>
    </row>
    <row r="437" spans="1:7" ht="12.75">
      <c r="A437" s="203"/>
      <c r="B437" s="203"/>
      <c r="C437" s="203"/>
      <c r="D437" s="203"/>
      <c r="E437" s="203"/>
      <c r="G437" s="203"/>
    </row>
    <row r="438" spans="1:7" ht="12.75">
      <c r="A438" s="203"/>
      <c r="B438" s="203"/>
      <c r="C438" s="203"/>
      <c r="D438" s="203"/>
      <c r="E438" s="203"/>
      <c r="G438" s="203"/>
    </row>
    <row r="439" spans="1:7" ht="12.75">
      <c r="A439" s="203"/>
      <c r="B439" s="203"/>
      <c r="C439" s="203"/>
      <c r="D439" s="203"/>
      <c r="E439" s="203"/>
      <c r="G439" s="203"/>
    </row>
    <row r="440" spans="1:7" ht="12.75">
      <c r="A440" s="203"/>
      <c r="B440" s="203"/>
      <c r="C440" s="203"/>
      <c r="D440" s="203"/>
      <c r="E440" s="203"/>
      <c r="G440" s="203"/>
    </row>
    <row r="441" spans="1:7" ht="12.75">
      <c r="A441" s="203"/>
      <c r="B441" s="203"/>
      <c r="C441" s="203"/>
      <c r="D441" s="203"/>
      <c r="E441" s="203"/>
      <c r="G441" s="203"/>
    </row>
    <row r="442" spans="1:7" ht="12.75">
      <c r="A442" s="203"/>
      <c r="B442" s="203"/>
      <c r="C442" s="203"/>
      <c r="D442" s="203"/>
      <c r="E442" s="203"/>
      <c r="G442" s="203"/>
    </row>
    <row r="443" spans="1:7" ht="12.75">
      <c r="A443" s="203"/>
      <c r="B443" s="203"/>
      <c r="C443" s="203"/>
      <c r="D443" s="203"/>
      <c r="E443" s="203"/>
      <c r="G443" s="203"/>
    </row>
    <row r="444" spans="1:7" ht="12.75">
      <c r="A444" s="203"/>
      <c r="B444" s="203"/>
      <c r="C444" s="203"/>
      <c r="D444" s="203"/>
      <c r="E444" s="203"/>
      <c r="G444" s="203"/>
    </row>
    <row r="445" spans="1:7" ht="12.75">
      <c r="A445" s="203"/>
      <c r="B445" s="203"/>
      <c r="C445" s="203"/>
      <c r="D445" s="203"/>
      <c r="E445" s="203"/>
      <c r="G445" s="203"/>
    </row>
    <row r="446" spans="1:7" ht="12.75">
      <c r="A446" s="203"/>
      <c r="B446" s="203"/>
      <c r="C446" s="203"/>
      <c r="D446" s="203"/>
      <c r="E446" s="203"/>
      <c r="G446" s="203"/>
    </row>
    <row r="447" spans="1:7" ht="12.75">
      <c r="A447" s="203"/>
      <c r="B447" s="203"/>
      <c r="C447" s="203"/>
      <c r="D447" s="203"/>
      <c r="E447" s="203"/>
      <c r="G447" s="203"/>
    </row>
    <row r="448" spans="1:7" ht="12.75">
      <c r="A448" s="203"/>
      <c r="B448" s="203"/>
      <c r="C448" s="203"/>
      <c r="D448" s="203"/>
      <c r="E448" s="203"/>
      <c r="G448" s="203"/>
    </row>
    <row r="449" spans="1:7" ht="12.75">
      <c r="A449" s="203"/>
      <c r="B449" s="203"/>
      <c r="C449" s="203"/>
      <c r="D449" s="203"/>
      <c r="E449" s="203"/>
      <c r="G449" s="203"/>
    </row>
    <row r="450" spans="1:7" ht="12.75">
      <c r="A450" s="203"/>
      <c r="B450" s="203"/>
      <c r="C450" s="203"/>
      <c r="D450" s="203"/>
      <c r="E450" s="203"/>
      <c r="G450" s="203"/>
    </row>
    <row r="451" spans="1:7" ht="12.75">
      <c r="A451" s="203"/>
      <c r="B451" s="203"/>
      <c r="C451" s="203"/>
      <c r="D451" s="203"/>
      <c r="E451" s="203"/>
      <c r="G451" s="203"/>
    </row>
    <row r="452" spans="1:7" ht="12.75">
      <c r="A452" s="203"/>
      <c r="B452" s="203"/>
      <c r="C452" s="203"/>
      <c r="D452" s="203"/>
      <c r="E452" s="203"/>
      <c r="G452" s="203"/>
    </row>
    <row r="453" spans="1:7" ht="12.75">
      <c r="A453" s="203"/>
      <c r="B453" s="203"/>
      <c r="C453" s="203"/>
      <c r="D453" s="203"/>
      <c r="E453" s="203"/>
      <c r="G453" s="203"/>
    </row>
    <row r="454" spans="1:7" ht="12.75">
      <c r="A454" s="203"/>
      <c r="B454" s="203"/>
      <c r="C454" s="203"/>
      <c r="D454" s="203"/>
      <c r="E454" s="203"/>
      <c r="G454" s="203"/>
    </row>
    <row r="455" spans="1:7" ht="12.75">
      <c r="A455" s="203"/>
      <c r="B455" s="203"/>
      <c r="C455" s="203"/>
      <c r="D455" s="203"/>
      <c r="E455" s="203"/>
      <c r="G455" s="203"/>
    </row>
    <row r="456" spans="1:7" ht="12.75">
      <c r="A456" s="203"/>
      <c r="B456" s="203"/>
      <c r="C456" s="203"/>
      <c r="D456" s="203"/>
      <c r="E456" s="203"/>
      <c r="G456" s="203"/>
    </row>
    <row r="457" spans="1:7" ht="12.75">
      <c r="A457" s="203"/>
      <c r="B457" s="203"/>
      <c r="C457" s="203"/>
      <c r="D457" s="203"/>
      <c r="E457" s="203"/>
      <c r="G457" s="203"/>
    </row>
    <row r="458" spans="1:7" ht="12.75">
      <c r="A458" s="203"/>
      <c r="B458" s="203"/>
      <c r="C458" s="203"/>
      <c r="D458" s="203"/>
      <c r="E458" s="203"/>
      <c r="G458" s="203"/>
    </row>
  </sheetData>
  <sortState ref="A5:G18">
    <sortCondition ref="F5:F18"/>
    <sortCondition ref="A5:A18"/>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0"/>
  <sheetViews>
    <sheetView topLeftCell="D1" zoomScale="110" zoomScaleNormal="110" workbookViewId="0">
      <pane ySplit="4" topLeftCell="A285" activePane="bottomLeft" state="frozen"/>
      <selection pane="bottomLeft" activeCell="G290" sqref="G290:G291"/>
    </sheetView>
  </sheetViews>
  <sheetFormatPr defaultColWidth="9.140625" defaultRowHeight="15"/>
  <cols>
    <col min="1" max="1" width="12.140625" style="400" customWidth="1"/>
    <col min="2" max="2" width="13.140625" style="400" hidden="1" customWidth="1"/>
    <col min="3" max="3" width="44.7109375" style="401" customWidth="1"/>
    <col min="4" max="4" width="86.140625" style="241" customWidth="1"/>
    <col min="5" max="5" width="9.42578125" style="400" hidden="1" customWidth="1"/>
    <col min="6" max="6" width="33" style="203" customWidth="1"/>
    <col min="7" max="7" width="14.7109375" style="165" customWidth="1"/>
    <col min="8" max="8" width="24.28515625" style="203" customWidth="1"/>
    <col min="9" max="16384" width="9.140625" style="203"/>
  </cols>
  <sheetData>
    <row r="1" spans="1:8" ht="15.75">
      <c r="A1" s="385" t="s">
        <v>0</v>
      </c>
      <c r="B1" s="386"/>
      <c r="C1" s="387"/>
      <c r="D1" s="388"/>
      <c r="E1" s="386"/>
      <c r="F1" s="389"/>
      <c r="G1" s="136"/>
    </row>
    <row r="2" spans="1:8">
      <c r="A2" s="202" t="s">
        <v>2483</v>
      </c>
      <c r="B2" s="386"/>
      <c r="C2" s="387"/>
      <c r="D2" s="389"/>
      <c r="E2" s="386"/>
      <c r="F2" s="389"/>
      <c r="G2" s="136"/>
      <c r="H2" s="241"/>
    </row>
    <row r="3" spans="1:8">
      <c r="A3" s="390" t="s">
        <v>2120</v>
      </c>
      <c r="B3" s="386"/>
      <c r="C3" s="387"/>
      <c r="D3" s="389"/>
      <c r="E3" s="386"/>
      <c r="F3" s="389"/>
      <c r="G3" s="136"/>
    </row>
    <row r="4" spans="1:8" s="394" customFormat="1" ht="35.25" customHeight="1">
      <c r="A4" s="391" t="s">
        <v>8</v>
      </c>
      <c r="B4" s="391" t="s">
        <v>7</v>
      </c>
      <c r="C4" s="392" t="s">
        <v>9</v>
      </c>
      <c r="D4" s="393" t="s">
        <v>2121</v>
      </c>
      <c r="E4" s="391" t="s">
        <v>10</v>
      </c>
      <c r="F4" s="393" t="s">
        <v>11</v>
      </c>
      <c r="G4" s="141" t="s">
        <v>13</v>
      </c>
    </row>
    <row r="5" spans="1:8" s="399" customFormat="1" ht="45">
      <c r="A5" s="395" t="str">
        <f>'[3]ISRS Addns Nov and Dec 2016'!C5</f>
        <v>003816</v>
      </c>
      <c r="B5" s="395" t="str">
        <f>'[3]ISRS Addns Nov and Dec 2016'!B5</f>
        <v>20401050360</v>
      </c>
      <c r="C5" s="396" t="str">
        <f>'[3]ISRS Addns Nov and Dec 2016'!D5</f>
        <v>BWO SERVICE LINE LEAK RESPONSIVE</v>
      </c>
      <c r="D5" s="397" t="s">
        <v>2484</v>
      </c>
      <c r="E5" s="395" t="str">
        <f>'[3]ISRS Addns Nov and Dec 2016'!E5</f>
        <v>F0558</v>
      </c>
      <c r="F5" s="396" t="str">
        <f>'[3]ISRS Addns Nov and Dec 2016'!F5</f>
        <v>SLRP - immediate response - company</v>
      </c>
      <c r="G5" s="398">
        <f>'[3]ISRS Addns Nov and Dec 2016'!I5</f>
        <v>5755.05</v>
      </c>
    </row>
    <row r="6" spans="1:8" s="399" customFormat="1" ht="45">
      <c r="A6" s="395" t="str">
        <f>'[3]ISRS Addns Nov and Dec 2016'!C6</f>
        <v>003816</v>
      </c>
      <c r="B6" s="395" t="str">
        <f>'[3]ISRS Addns Nov and Dec 2016'!B6</f>
        <v>20401050360</v>
      </c>
      <c r="C6" s="396" t="str">
        <f>'[3]ISRS Addns Nov and Dec 2016'!D6</f>
        <v>BWO SERVICE LINE LEAK RESPONSIVE</v>
      </c>
      <c r="D6" s="397" t="s">
        <v>2484</v>
      </c>
      <c r="E6" s="395" t="str">
        <f>'[3]ISRS Addns Nov and Dec 2016'!E6</f>
        <v>F0558</v>
      </c>
      <c r="F6" s="396" t="str">
        <f>'[3]ISRS Addns Nov and Dec 2016'!F6</f>
        <v>SLRP - immediate response - company</v>
      </c>
      <c r="G6" s="398">
        <f>'[3]ISRS Addns Nov and Dec 2016'!I6</f>
        <v>8530.15</v>
      </c>
    </row>
    <row r="7" spans="1:8" s="399" customFormat="1" ht="26.25">
      <c r="A7" s="395" t="str">
        <f>'[3]ISRS Addns Nov and Dec 2016'!C7</f>
        <v>003969</v>
      </c>
      <c r="B7" s="395" t="str">
        <f>'[3]ISRS Addns Nov and Dec 2016'!B7</f>
        <v>20401050325</v>
      </c>
      <c r="C7" s="396" t="str">
        <f>'[3]ISRS Addns Nov and Dec 2016'!D7</f>
        <v>ENCAPSULATION CAST IRON JOINTS</v>
      </c>
      <c r="D7" s="397" t="s">
        <v>2485</v>
      </c>
      <c r="E7" s="395" t="str">
        <f>'[3]ISRS Addns Nov and Dec 2016'!E7</f>
        <v>F0524</v>
      </c>
      <c r="F7" s="396" t="str">
        <f>'[3]ISRS Addns Nov and Dec 2016'!F7</f>
        <v>BWO CI Joint Encapsulation ISRS (N)</v>
      </c>
      <c r="G7" s="398">
        <f>'[3]ISRS Addns Nov and Dec 2016'!I7</f>
        <v>244437.36</v>
      </c>
    </row>
    <row r="8" spans="1:8" s="399" customFormat="1" ht="26.25">
      <c r="A8" s="395" t="str">
        <f>'[3]ISRS Addns Nov and Dec 2016'!C8</f>
        <v>003969</v>
      </c>
      <c r="B8" s="395" t="str">
        <f>'[3]ISRS Addns Nov and Dec 2016'!B8</f>
        <v>20401050325</v>
      </c>
      <c r="C8" s="396" t="str">
        <f>'[3]ISRS Addns Nov and Dec 2016'!D8</f>
        <v>BWO-Encapsulation Cast Iron Joints</v>
      </c>
      <c r="D8" s="397" t="s">
        <v>2485</v>
      </c>
      <c r="E8" s="395" t="str">
        <f>'[3]ISRS Addns Nov and Dec 2016'!E8</f>
        <v>F0524</v>
      </c>
      <c r="F8" s="396" t="str">
        <f>'[3]ISRS Addns Nov and Dec 2016'!F8</f>
        <v>BWO CI Joint Encapsulation ISRS (N)</v>
      </c>
      <c r="G8" s="398">
        <f>'[3]ISRS Addns Nov and Dec 2016'!I8</f>
        <v>93849.82</v>
      </c>
    </row>
    <row r="9" spans="1:8" s="399" customFormat="1">
      <c r="A9" s="395" t="str">
        <f>'[3]ISRS Addns Nov and Dec 2016'!C9</f>
        <v>004152</v>
      </c>
      <c r="B9" s="395" t="str">
        <f>'[3]ISRS Addns Nov and Dec 2016'!B9</f>
        <v>20401050301</v>
      </c>
      <c r="C9" s="396" t="str">
        <f>'[3]ISRS Addns Nov and Dec 2016'!D9</f>
        <v>BWO-Repl Svc w/ Pls (North Reg)</v>
      </c>
      <c r="D9" s="397" t="s">
        <v>2486</v>
      </c>
      <c r="E9" s="395" t="str">
        <f>'[3]ISRS Addns Nov and Dec 2016'!E9</f>
        <v>F0608</v>
      </c>
      <c r="F9" s="396" t="str">
        <f>'[3]ISRS Addns Nov and Dec 2016'!F9</f>
        <v>BWO Service Line Repl - ISRS (N)</v>
      </c>
      <c r="G9" s="398">
        <f>'[3]ISRS Addns Nov and Dec 2016'!I9</f>
        <v>487210.4</v>
      </c>
    </row>
    <row r="10" spans="1:8" s="399" customFormat="1">
      <c r="A10" s="395" t="str">
        <f>'[3]ISRS Addns Nov and Dec 2016'!C10</f>
        <v>004152</v>
      </c>
      <c r="B10" s="395" t="str">
        <f>'[3]ISRS Addns Nov and Dec 2016'!B10</f>
        <v>20401050301</v>
      </c>
      <c r="C10" s="396" t="str">
        <f>'[3]ISRS Addns Nov and Dec 2016'!D10</f>
        <v>BWO-Repl Svc w/ Pls (North Reg)</v>
      </c>
      <c r="D10" s="397" t="s">
        <v>2486</v>
      </c>
      <c r="E10" s="395" t="str">
        <f>'[3]ISRS Addns Nov and Dec 2016'!E10</f>
        <v>F0608</v>
      </c>
      <c r="F10" s="396" t="str">
        <f>'[3]ISRS Addns Nov and Dec 2016'!F10</f>
        <v>BWO Service Line Repl - ISRS (N)</v>
      </c>
      <c r="G10" s="398">
        <f>'[3]ISRS Addns Nov and Dec 2016'!I10</f>
        <v>359592.56</v>
      </c>
    </row>
    <row r="11" spans="1:8" s="399" customFormat="1">
      <c r="A11" s="395" t="str">
        <f>'[3]ISRS Addns Nov and Dec 2016'!C11</f>
        <v>004153</v>
      </c>
      <c r="B11" s="395" t="str">
        <f>'[3]ISRS Addns Nov and Dec 2016'!B11</f>
        <v>20901050301</v>
      </c>
      <c r="C11" s="396" t="str">
        <f>'[3]ISRS Addns Nov and Dec 2016'!D11</f>
        <v>BWO-Repl Svc w/ Pls (South Reg)</v>
      </c>
      <c r="D11" s="397" t="s">
        <v>2487</v>
      </c>
      <c r="E11" s="395" t="str">
        <f>'[3]ISRS Addns Nov and Dec 2016'!E11</f>
        <v>F0513</v>
      </c>
      <c r="F11" s="396" t="str">
        <f>'[3]ISRS Addns Nov and Dec 2016'!F11</f>
        <v>BWO Service Line Repl - ISRS (S)</v>
      </c>
      <c r="G11" s="398">
        <f>'[3]ISRS Addns Nov and Dec 2016'!I11</f>
        <v>68282.350000000006</v>
      </c>
    </row>
    <row r="12" spans="1:8" s="399" customFormat="1">
      <c r="A12" s="395" t="str">
        <f>'[3]ISRS Addns Nov and Dec 2016'!C12</f>
        <v>004153</v>
      </c>
      <c r="B12" s="395" t="str">
        <f>'[3]ISRS Addns Nov and Dec 2016'!B12</f>
        <v>20901050301</v>
      </c>
      <c r="C12" s="396" t="str">
        <f>'[3]ISRS Addns Nov and Dec 2016'!D12</f>
        <v>BWO-Repl Svc w/ Pls (South Reg)</v>
      </c>
      <c r="D12" s="397" t="s">
        <v>2487</v>
      </c>
      <c r="E12" s="395" t="str">
        <f>'[3]ISRS Addns Nov and Dec 2016'!E12</f>
        <v>F0513</v>
      </c>
      <c r="F12" s="396" t="str">
        <f>'[3]ISRS Addns Nov and Dec 2016'!F12</f>
        <v>BWO Service Line Repl - ISRS (S)</v>
      </c>
      <c r="G12" s="398">
        <f>'[3]ISRS Addns Nov and Dec 2016'!I12</f>
        <v>138136.6</v>
      </c>
    </row>
    <row r="13" spans="1:8" s="399" customFormat="1" ht="45">
      <c r="A13" s="395" t="str">
        <f>'[3]ISRS Addns Nov and Dec 2016'!C13</f>
        <v>004279</v>
      </c>
      <c r="B13" s="395" t="str">
        <f>'[3]ISRS Addns Nov and Dec 2016'!B13</f>
        <v>20401050377</v>
      </c>
      <c r="C13" s="396" t="str">
        <f>'[3]ISRS Addns Nov and Dec 2016'!D13</f>
        <v>BWO SERVICE LINE MATERIAL CONTRACTO</v>
      </c>
      <c r="D13" s="397" t="s">
        <v>2488</v>
      </c>
      <c r="E13" s="395" t="str">
        <f>'[3]ISRS Addns Nov and Dec 2016'!E13</f>
        <v>F0586</v>
      </c>
      <c r="F13" s="396" t="str">
        <f>'[3]ISRS Addns Nov and Dec 2016'!F13</f>
        <v>SLRP - materials - contract</v>
      </c>
      <c r="G13" s="398">
        <f>'[3]ISRS Addns Nov and Dec 2016'!I13</f>
        <v>-11.35</v>
      </c>
    </row>
    <row r="14" spans="1:8" s="399" customFormat="1" ht="45">
      <c r="A14" s="395" t="str">
        <f>'[3]ISRS Addns Nov and Dec 2016'!C14</f>
        <v>004279</v>
      </c>
      <c r="B14" s="395" t="str">
        <f>'[3]ISRS Addns Nov and Dec 2016'!B14</f>
        <v>20401050377</v>
      </c>
      <c r="C14" s="396" t="str">
        <f>'[3]ISRS Addns Nov and Dec 2016'!D14</f>
        <v>BWO SERVICE LINE MATERIAL CONTRACTO</v>
      </c>
      <c r="D14" s="397" t="s">
        <v>2488</v>
      </c>
      <c r="E14" s="395" t="str">
        <f>'[3]ISRS Addns Nov and Dec 2016'!E14</f>
        <v>F0586</v>
      </c>
      <c r="F14" s="396" t="str">
        <f>'[3]ISRS Addns Nov and Dec 2016'!F14</f>
        <v>SLRP - materials - contract</v>
      </c>
      <c r="G14" s="398">
        <f>'[3]ISRS Addns Nov and Dec 2016'!I14</f>
        <v>8.76</v>
      </c>
    </row>
    <row r="15" spans="1:8" s="399" customFormat="1" ht="30">
      <c r="A15" s="395" t="str">
        <f>'[3]ISRS Addns Nov and Dec 2016'!C15</f>
        <v>004287</v>
      </c>
      <c r="B15" s="395" t="str">
        <f>'[3]ISRS Addns Nov and Dec 2016'!B15</f>
        <v>20901050377</v>
      </c>
      <c r="C15" s="396" t="str">
        <f>'[3]ISRS Addns Nov and Dec 2016'!D15</f>
        <v>BWO MATERIAL SERV LINE REPL CONT</v>
      </c>
      <c r="D15" s="397" t="s">
        <v>2489</v>
      </c>
      <c r="E15" s="395" t="str">
        <f>'[3]ISRS Addns Nov and Dec 2016'!E15</f>
        <v>F0607</v>
      </c>
      <c r="F15" s="396" t="str">
        <f>'[3]ISRS Addns Nov and Dec 2016'!F15</f>
        <v>SLRP - materials - contract</v>
      </c>
      <c r="G15" s="398">
        <f>'[3]ISRS Addns Nov and Dec 2016'!I15</f>
        <v>126706.33</v>
      </c>
    </row>
    <row r="16" spans="1:8" s="399" customFormat="1" ht="30">
      <c r="A16" s="395" t="str">
        <f>'[3]ISRS Addns Nov and Dec 2016'!C16</f>
        <v>004287</v>
      </c>
      <c r="B16" s="395" t="str">
        <f>'[3]ISRS Addns Nov and Dec 2016'!B16</f>
        <v>20901050377</v>
      </c>
      <c r="C16" s="396" t="str">
        <f>'[3]ISRS Addns Nov and Dec 2016'!D16</f>
        <v>BWO MATERIAL SERV LINE REPL CONT</v>
      </c>
      <c r="D16" s="397" t="s">
        <v>2489</v>
      </c>
      <c r="E16" s="395" t="str">
        <f>'[3]ISRS Addns Nov and Dec 2016'!E16</f>
        <v>F0607</v>
      </c>
      <c r="F16" s="396" t="str">
        <f>'[3]ISRS Addns Nov and Dec 2016'!F16</f>
        <v>SLRP - materials - contract</v>
      </c>
      <c r="G16" s="398">
        <f>'[3]ISRS Addns Nov and Dec 2016'!I16</f>
        <v>64180.19</v>
      </c>
    </row>
    <row r="17" spans="1:7" s="399" customFormat="1">
      <c r="A17" s="395" t="str">
        <f>'[3]ISRS Addns Nov and Dec 2016'!C17</f>
        <v>004417</v>
      </c>
      <c r="B17" s="395" t="str">
        <f>'[3]ISRS Addns Nov and Dec 2016'!B17</f>
        <v>21201050301</v>
      </c>
      <c r="C17" s="396" t="str">
        <f>'[3]ISRS Addns Nov and Dec 2016'!D17</f>
        <v>BWO-REPLACE SERVICE</v>
      </c>
      <c r="D17" s="397" t="s">
        <v>2490</v>
      </c>
      <c r="E17" s="395" t="str">
        <f>'[3]ISRS Addns Nov and Dec 2016'!E17</f>
        <v>F0608</v>
      </c>
      <c r="F17" s="396" t="str">
        <f>'[3]ISRS Addns Nov and Dec 2016'!F17</f>
        <v>BWO Service Line Repl - ISRS (N)</v>
      </c>
      <c r="G17" s="398">
        <f>'[3]ISRS Addns Nov and Dec 2016'!I17</f>
        <v>800</v>
      </c>
    </row>
    <row r="18" spans="1:7" s="399" customFormat="1">
      <c r="A18" s="395" t="str">
        <f>'[3]ISRS Addns Nov and Dec 2016'!C18</f>
        <v>004501</v>
      </c>
      <c r="B18" s="395" t="str">
        <f>'[3]ISRS Addns Nov and Dec 2016'!B18</f>
        <v>20801050301</v>
      </c>
      <c r="C18" s="396" t="str">
        <f>'[3]ISRS Addns Nov and Dec 2016'!D18</f>
        <v>BWO-Repl Svc w/ Pls (SW Reg)</v>
      </c>
      <c r="D18" s="397" t="s">
        <v>2491</v>
      </c>
      <c r="E18" s="395" t="str">
        <f>'[3]ISRS Addns Nov and Dec 2016'!E18</f>
        <v>F0659</v>
      </c>
      <c r="F18" s="396" t="str">
        <f>'[3]ISRS Addns Nov and Dec 2016'!F18</f>
        <v>BWO Service Line Repl - ISRS (SW)</v>
      </c>
      <c r="G18" s="398">
        <f>'[3]ISRS Addns Nov and Dec 2016'!I18</f>
        <v>50506.33</v>
      </c>
    </row>
    <row r="19" spans="1:7" s="399" customFormat="1">
      <c r="A19" s="395" t="str">
        <f>'[3]ISRS Addns Nov and Dec 2016'!C19</f>
        <v>004501</v>
      </c>
      <c r="B19" s="395" t="str">
        <f>'[3]ISRS Addns Nov and Dec 2016'!B19</f>
        <v>20801050301</v>
      </c>
      <c r="C19" s="396" t="str">
        <f>'[3]ISRS Addns Nov and Dec 2016'!D19</f>
        <v>BWO-Repl Svc w/ Pls (SW Reg)</v>
      </c>
      <c r="D19" s="397" t="s">
        <v>2491</v>
      </c>
      <c r="E19" s="395" t="str">
        <f>'[3]ISRS Addns Nov and Dec 2016'!E19</f>
        <v>F0659</v>
      </c>
      <c r="F19" s="396" t="str">
        <f>'[3]ISRS Addns Nov and Dec 2016'!F19</f>
        <v>BWO Service Line Repl - ISRS (SW)</v>
      </c>
      <c r="G19" s="398">
        <f>'[3]ISRS Addns Nov and Dec 2016'!I19</f>
        <v>24886.94</v>
      </c>
    </row>
    <row r="20" spans="1:7" s="399" customFormat="1" ht="45">
      <c r="A20" s="395" t="str">
        <f>'[3]ISRS Addns Nov and Dec 2016'!C20</f>
        <v>004600</v>
      </c>
      <c r="B20" s="395" t="str">
        <f>'[3]ISRS Addns Nov and Dec 2016'!B20</f>
        <v>20501050371</v>
      </c>
      <c r="C20" s="396" t="str">
        <f>'[3]ISRS Addns Nov and Dec 2016'!D20</f>
        <v>BWO SERVICE LINE REPL MODIFIED BLOC</v>
      </c>
      <c r="D20" s="397" t="s">
        <v>2492</v>
      </c>
      <c r="E20" s="395" t="str">
        <f>'[3]ISRS Addns Nov and Dec 2016'!E20</f>
        <v>F0669</v>
      </c>
      <c r="F20" s="396" t="str">
        <f>'[3]ISRS Addns Nov and Dec 2016'!F20</f>
        <v>SLRP - modified block by block - co</v>
      </c>
      <c r="G20" s="398">
        <f>'[3]ISRS Addns Nov and Dec 2016'!I20</f>
        <v>-35.36</v>
      </c>
    </row>
    <row r="21" spans="1:7" s="399" customFormat="1" ht="45">
      <c r="A21" s="395" t="str">
        <f>'[3]ISRS Addns Nov and Dec 2016'!C21</f>
        <v>004600</v>
      </c>
      <c r="B21" s="395" t="str">
        <f>'[3]ISRS Addns Nov and Dec 2016'!B21</f>
        <v>20501050371</v>
      </c>
      <c r="C21" s="396" t="str">
        <f>'[3]ISRS Addns Nov and Dec 2016'!D21</f>
        <v>BWO SERVICE LINE REPL MODIFIED BLOC</v>
      </c>
      <c r="D21" s="397" t="s">
        <v>2492</v>
      </c>
      <c r="E21" s="395" t="str">
        <f>'[3]ISRS Addns Nov and Dec 2016'!E21</f>
        <v>F0669</v>
      </c>
      <c r="F21" s="396" t="str">
        <f>'[3]ISRS Addns Nov and Dec 2016'!F21</f>
        <v>SLRP - modified block by block - co</v>
      </c>
      <c r="G21" s="398">
        <f>'[3]ISRS Addns Nov and Dec 2016'!I21</f>
        <v>27.26</v>
      </c>
    </row>
    <row r="22" spans="1:7" s="399" customFormat="1" ht="30">
      <c r="A22" s="395" t="str">
        <f>'[3]ISRS Addns Nov and Dec 2016'!C22</f>
        <v>004609</v>
      </c>
      <c r="B22" s="395" t="str">
        <f>'[3]ISRS Addns Nov and Dec 2016'!B22</f>
        <v>20901050367</v>
      </c>
      <c r="C22" s="396" t="str">
        <f>'[3]ISRS Addns Nov and Dec 2016'!D22</f>
        <v>BWO MATERIAL SERV LINE REPL COMP</v>
      </c>
      <c r="D22" s="397" t="s">
        <v>2493</v>
      </c>
      <c r="E22" s="395" t="str">
        <f>'[3]ISRS Addns Nov and Dec 2016'!E22</f>
        <v>F0649</v>
      </c>
      <c r="F22" s="396" t="str">
        <f>'[3]ISRS Addns Nov and Dec 2016'!F22</f>
        <v>SLRP - materials - company crews</v>
      </c>
      <c r="G22" s="398">
        <f>'[3]ISRS Addns Nov and Dec 2016'!I22</f>
        <v>365.01</v>
      </c>
    </row>
    <row r="23" spans="1:7" s="399" customFormat="1" ht="30">
      <c r="A23" s="395" t="str">
        <f>'[3]ISRS Addns Nov and Dec 2016'!C23</f>
        <v>004609</v>
      </c>
      <c r="B23" s="395" t="str">
        <f>'[3]ISRS Addns Nov and Dec 2016'!B23</f>
        <v>20901050367</v>
      </c>
      <c r="C23" s="396" t="str">
        <f>'[3]ISRS Addns Nov and Dec 2016'!D23</f>
        <v>BWO MATERIAL SERV LINE REPL COMP</v>
      </c>
      <c r="D23" s="397" t="s">
        <v>2493</v>
      </c>
      <c r="E23" s="395" t="str">
        <f>'[3]ISRS Addns Nov and Dec 2016'!E23</f>
        <v>F0649</v>
      </c>
      <c r="F23" s="396" t="str">
        <f>'[3]ISRS Addns Nov and Dec 2016'!F23</f>
        <v>SLRP - materials - company crews</v>
      </c>
      <c r="G23" s="398">
        <f>'[3]ISRS Addns Nov and Dec 2016'!I23</f>
        <v>9.7200000000000006</v>
      </c>
    </row>
    <row r="24" spans="1:7" s="399" customFormat="1" ht="30">
      <c r="A24" s="395" t="str">
        <f>'[3]ISRS Addns Nov and Dec 2016'!C24</f>
        <v>007052</v>
      </c>
      <c r="B24" s="395" t="str">
        <f>'[3]ISRS Addns Nov and Dec 2016'!B24</f>
        <v>N/A</v>
      </c>
      <c r="C24" s="396" t="str">
        <f>'[3]ISRS Addns Nov and Dec 2016'!D24</f>
        <v>BWO Main Installed Mtce-North Reg</v>
      </c>
      <c r="D24" s="397" t="s">
        <v>2494</v>
      </c>
      <c r="E24" s="395" t="str">
        <f>'[3]ISRS Addns Nov and Dec 2016'!E24</f>
        <v>F0599</v>
      </c>
      <c r="F24" s="396" t="str">
        <f>'[3]ISRS Addns Nov and Dec 2016'!F24</f>
        <v>Main Replacement - ISRS (N)</v>
      </c>
      <c r="G24" s="398">
        <f>'[3]ISRS Addns Nov and Dec 2016'!I24</f>
        <v>471.84</v>
      </c>
    </row>
    <row r="25" spans="1:7" s="399" customFormat="1" ht="30">
      <c r="A25" s="395" t="str">
        <f>'[3]ISRS Addns Nov and Dec 2016'!C25</f>
        <v>007052</v>
      </c>
      <c r="B25" s="395" t="str">
        <f>'[3]ISRS Addns Nov and Dec 2016'!B25</f>
        <v>N/A</v>
      </c>
      <c r="C25" s="396" t="str">
        <f>'[3]ISRS Addns Nov and Dec 2016'!D25</f>
        <v>BWO Main Installed Mtce-North Reg</v>
      </c>
      <c r="D25" s="397" t="s">
        <v>2494</v>
      </c>
      <c r="E25" s="395" t="str">
        <f>'[3]ISRS Addns Nov and Dec 2016'!E25</f>
        <v>F0599</v>
      </c>
      <c r="F25" s="396" t="str">
        <f>'[3]ISRS Addns Nov and Dec 2016'!F25</f>
        <v>Main Replacement - ISRS (N)</v>
      </c>
      <c r="G25" s="398">
        <f>'[3]ISRS Addns Nov and Dec 2016'!I25</f>
        <v>8031.33</v>
      </c>
    </row>
    <row r="26" spans="1:7" s="399" customFormat="1" ht="30">
      <c r="A26" s="395" t="str">
        <f>'[3]ISRS Addns Nov and Dec 2016'!C26</f>
        <v>007053</v>
      </c>
      <c r="B26" s="395" t="str">
        <f>'[3]ISRS Addns Nov and Dec 2016'!B26</f>
        <v>N/A</v>
      </c>
      <c r="C26" s="396" t="str">
        <f>'[3]ISRS Addns Nov and Dec 2016'!D26</f>
        <v>BWO Mains Installed Mtce -South Reg</v>
      </c>
      <c r="D26" s="397" t="s">
        <v>2495</v>
      </c>
      <c r="E26" s="395" t="str">
        <f>'[3]ISRS Addns Nov and Dec 2016'!E26</f>
        <v>F0604</v>
      </c>
      <c r="F26" s="396" t="str">
        <f>'[3]ISRS Addns Nov and Dec 2016'!F26</f>
        <v>Main Replacement - ISRS (S)</v>
      </c>
      <c r="G26" s="398">
        <f>'[3]ISRS Addns Nov and Dec 2016'!I26</f>
        <v>-5185.78</v>
      </c>
    </row>
    <row r="27" spans="1:7" s="399" customFormat="1" ht="30">
      <c r="A27" s="395" t="str">
        <f>'[3]ISRS Addns Nov and Dec 2016'!C27</f>
        <v>007053</v>
      </c>
      <c r="B27" s="395" t="str">
        <f>'[3]ISRS Addns Nov and Dec 2016'!B27</f>
        <v>N/A</v>
      </c>
      <c r="C27" s="396" t="str">
        <f>'[3]ISRS Addns Nov and Dec 2016'!D27</f>
        <v>BWO Mains Installed Mtce -South Reg</v>
      </c>
      <c r="D27" s="397" t="s">
        <v>2495</v>
      </c>
      <c r="E27" s="395" t="str">
        <f>'[3]ISRS Addns Nov and Dec 2016'!E27</f>
        <v>F0604</v>
      </c>
      <c r="F27" s="396" t="str">
        <f>'[3]ISRS Addns Nov and Dec 2016'!F27</f>
        <v>Main Replacement - ISRS (S)</v>
      </c>
      <c r="G27" s="398">
        <f>'[3]ISRS Addns Nov and Dec 2016'!I27</f>
        <v>11047.11</v>
      </c>
    </row>
    <row r="28" spans="1:7" s="399" customFormat="1" ht="30">
      <c r="A28" s="395" t="str">
        <f>'[3]ISRS Addns Nov and Dec 2016'!C28</f>
        <v>007054</v>
      </c>
      <c r="B28" s="395" t="str">
        <f>'[3]ISRS Addns Nov and Dec 2016'!B28</f>
        <v>N/A</v>
      </c>
      <c r="C28" s="396" t="str">
        <f>'[3]ISRS Addns Nov and Dec 2016'!D28</f>
        <v>BWO Mains Installed Mtce-Southwest</v>
      </c>
      <c r="D28" s="397" t="s">
        <v>2496</v>
      </c>
      <c r="E28" s="395" t="str">
        <f>'[3]ISRS Addns Nov and Dec 2016'!E28</f>
        <v>F0604</v>
      </c>
      <c r="F28" s="396" t="str">
        <f>'[3]ISRS Addns Nov and Dec 2016'!F28</f>
        <v>Main Replacement - ISRS (S)</v>
      </c>
      <c r="G28" s="398">
        <f>'[3]ISRS Addns Nov and Dec 2016'!I28</f>
        <v>-6874.34</v>
      </c>
    </row>
    <row r="29" spans="1:7" s="399" customFormat="1" ht="30">
      <c r="A29" s="395" t="str">
        <f>'[3]ISRS Addns Nov and Dec 2016'!C29</f>
        <v>007054</v>
      </c>
      <c r="B29" s="395" t="str">
        <f>'[3]ISRS Addns Nov and Dec 2016'!B29</f>
        <v>N/A</v>
      </c>
      <c r="C29" s="396" t="str">
        <f>'[3]ISRS Addns Nov and Dec 2016'!D29</f>
        <v>BWO Mains Installed Mtce-Southwest</v>
      </c>
      <c r="D29" s="397" t="s">
        <v>2496</v>
      </c>
      <c r="E29" s="395" t="str">
        <f>'[3]ISRS Addns Nov and Dec 2016'!E29</f>
        <v>F0604</v>
      </c>
      <c r="F29" s="396" t="str">
        <f>'[3]ISRS Addns Nov and Dec 2016'!F29</f>
        <v>Main Replacement - ISRS (S)</v>
      </c>
      <c r="G29" s="398">
        <f>'[3]ISRS Addns Nov and Dec 2016'!I29</f>
        <v>3487.62</v>
      </c>
    </row>
    <row r="30" spans="1:7" s="399" customFormat="1" ht="105">
      <c r="A30" s="395" t="str">
        <f>'[3]ISRS Addns Nov and Dec 2016'!C30</f>
        <v>007396</v>
      </c>
      <c r="B30" s="395" t="str">
        <f>'[3]ISRS Addns Nov and Dec 2016'!B30</f>
        <v>20501155072</v>
      </c>
      <c r="C30" s="396" t="str">
        <f>'[3]ISRS Addns Nov and Dec 2016'!D30</f>
        <v>12th St and Geneva Ave PBS Replacem</v>
      </c>
      <c r="D30" s="397" t="s">
        <v>2497</v>
      </c>
      <c r="E30" s="395" t="str">
        <f>'[3]ISRS Addns Nov and Dec 2016'!E30</f>
        <v>F0544</v>
      </c>
      <c r="F30" s="396" t="str">
        <f>'[3]ISRS Addns Nov and Dec 2016'!F30</f>
        <v>Replace bare steel main - safety re</v>
      </c>
      <c r="G30" s="398">
        <f>'[3]ISRS Addns Nov and Dec 2016'!I30</f>
        <v>-2869.94</v>
      </c>
    </row>
    <row r="31" spans="1:7" s="399" customFormat="1" ht="75">
      <c r="A31" s="395" t="str">
        <f>'[3]ISRS Addns Nov and Dec 2016'!C31</f>
        <v>007500</v>
      </c>
      <c r="B31" s="395" t="str">
        <f>'[3]ISRS Addns Nov and Dec 2016'!B31</f>
        <v>20501155098</v>
      </c>
      <c r="C31" s="396" t="str">
        <f>'[3]ISRS Addns Nov and Dec 2016'!D31</f>
        <v>PCS Main Replacement</v>
      </c>
      <c r="D31" s="397" t="s">
        <v>2498</v>
      </c>
      <c r="E31" s="395" t="str">
        <f>'[3]ISRS Addns Nov and Dec 2016'!E31</f>
        <v>F0575</v>
      </c>
      <c r="F31" s="396" t="str">
        <f>'[3]ISRS Addns Nov and Dec 2016'!F31</f>
        <v>Replace steel &amp; plastic main</v>
      </c>
      <c r="G31" s="398">
        <f>'[3]ISRS Addns Nov and Dec 2016'!I31</f>
        <v>-1155.7</v>
      </c>
    </row>
    <row r="32" spans="1:7" s="399" customFormat="1" ht="75">
      <c r="A32" s="395" t="str">
        <f>'[3]ISRS Addns Nov and Dec 2016'!C32</f>
        <v>007500</v>
      </c>
      <c r="B32" s="395" t="str">
        <f>'[3]ISRS Addns Nov and Dec 2016'!B32</f>
        <v>20501155098</v>
      </c>
      <c r="C32" s="396" t="str">
        <f>'[3]ISRS Addns Nov and Dec 2016'!D32</f>
        <v>PCS Main Replacement</v>
      </c>
      <c r="D32" s="397" t="s">
        <v>2498</v>
      </c>
      <c r="E32" s="395" t="str">
        <f>'[3]ISRS Addns Nov and Dec 2016'!E32</f>
        <v>F0575</v>
      </c>
      <c r="F32" s="396" t="str">
        <f>'[3]ISRS Addns Nov and Dec 2016'!F32</f>
        <v>Replace steel &amp; plastic main</v>
      </c>
      <c r="G32" s="398">
        <f>'[3]ISRS Addns Nov and Dec 2016'!I32</f>
        <v>532</v>
      </c>
    </row>
    <row r="33" spans="1:7" s="399" customFormat="1" ht="90">
      <c r="A33" s="395" t="str">
        <f>'[3]ISRS Addns Nov and Dec 2016'!C33</f>
        <v>008133</v>
      </c>
      <c r="B33" s="395" t="str">
        <f>'[3]ISRS Addns Nov and Dec 2016'!B33</f>
        <v>20501155262</v>
      </c>
      <c r="C33" s="396" t="str">
        <f>'[3]ISRS Addns Nov and Dec 2016'!D33</f>
        <v>8th St and Virginia Ave 3in PBS Mai</v>
      </c>
      <c r="D33" s="397" t="s">
        <v>2499</v>
      </c>
      <c r="E33" s="395" t="str">
        <f>'[3]ISRS Addns Nov and Dec 2016'!E33</f>
        <v>F0544</v>
      </c>
      <c r="F33" s="396" t="str">
        <f>'[3]ISRS Addns Nov and Dec 2016'!F33</f>
        <v>Replace bare steel main - safety re</v>
      </c>
      <c r="G33" s="398">
        <f>'[3]ISRS Addns Nov and Dec 2016'!I33</f>
        <v>-1904.41</v>
      </c>
    </row>
    <row r="34" spans="1:7" s="399" customFormat="1" ht="90">
      <c r="A34" s="395" t="str">
        <f>'[3]ISRS Addns Nov and Dec 2016'!C34</f>
        <v>008133</v>
      </c>
      <c r="B34" s="395" t="str">
        <f>'[3]ISRS Addns Nov and Dec 2016'!B34</f>
        <v>20501155262</v>
      </c>
      <c r="C34" s="396" t="str">
        <f>'[3]ISRS Addns Nov and Dec 2016'!D34</f>
        <v>8th St and Virginia Ave 3in PBS Mai</v>
      </c>
      <c r="D34" s="397" t="s">
        <v>2499</v>
      </c>
      <c r="E34" s="395" t="str">
        <f>'[3]ISRS Addns Nov and Dec 2016'!E34</f>
        <v>F0544</v>
      </c>
      <c r="F34" s="396" t="str">
        <f>'[3]ISRS Addns Nov and Dec 2016'!F34</f>
        <v>Replace bare steel main - safety re</v>
      </c>
      <c r="G34" s="398">
        <f>'[3]ISRS Addns Nov and Dec 2016'!I34</f>
        <v>1530.72</v>
      </c>
    </row>
    <row r="35" spans="1:7" s="399" customFormat="1" ht="150">
      <c r="A35" s="395" t="str">
        <f>'[3]ISRS Addns Nov and Dec 2016'!C36</f>
        <v>008406</v>
      </c>
      <c r="B35" s="395" t="str">
        <f>'[3]ISRS Addns Nov and Dec 2016'!B36</f>
        <v>20901155079</v>
      </c>
      <c r="C35" s="396" t="str">
        <f>'[3]ISRS Addns Nov and Dec 2016'!D36</f>
        <v>Lees Summit Rd 85th - Gregory</v>
      </c>
      <c r="D35" s="397" t="s">
        <v>2500</v>
      </c>
      <c r="E35" s="395" t="str">
        <f>'[3]ISRS Addns Nov and Dec 2016'!E36</f>
        <v>F0604</v>
      </c>
      <c r="F35" s="396" t="str">
        <f>'[3]ISRS Addns Nov and Dec 2016'!F36</f>
        <v>Main Replacement - ISRS (S)</v>
      </c>
      <c r="G35" s="398">
        <f>'[3]ISRS Addns Nov and Dec 2016'!I36</f>
        <v>43089</v>
      </c>
    </row>
    <row r="36" spans="1:7" s="399" customFormat="1" ht="60">
      <c r="A36" s="395" t="str">
        <f>'[3]ISRS Addns Nov and Dec 2016'!C37</f>
        <v>008683</v>
      </c>
      <c r="B36" s="395" t="str">
        <f>'[3]ISRS Addns Nov and Dec 2016'!B37</f>
        <v>20305155158</v>
      </c>
      <c r="C36" s="396" t="str">
        <f>'[3]ISRS Addns Nov and Dec 2016'!D37</f>
        <v>Replace 4in &amp; 6in pbs and p</v>
      </c>
      <c r="D36" s="397" t="s">
        <v>2501</v>
      </c>
      <c r="E36" s="395" t="str">
        <f>'[3]ISRS Addns Nov and Dec 2016'!E37</f>
        <v>F0604</v>
      </c>
      <c r="F36" s="396" t="str">
        <f>'[3]ISRS Addns Nov and Dec 2016'!F37</f>
        <v>Main Replacement - ISRS (S)</v>
      </c>
      <c r="G36" s="398">
        <f>'[3]ISRS Addns Nov and Dec 2016'!I37</f>
        <v>637.71</v>
      </c>
    </row>
    <row r="37" spans="1:7" s="399" customFormat="1" ht="75">
      <c r="A37" s="395" t="str">
        <f>'[3]ISRS Addns Nov and Dec 2016'!C38</f>
        <v>008761</v>
      </c>
      <c r="B37" s="395" t="str">
        <f>'[3]ISRS Addns Nov and Dec 2016'!B38</f>
        <v>20201155405</v>
      </c>
      <c r="C37" s="396" t="str">
        <f>'[3]ISRS Addns Nov and Dec 2016'!D38</f>
        <v>Replace  2in &amp; 4in PBS Main</v>
      </c>
      <c r="D37" s="397" t="s">
        <v>2502</v>
      </c>
      <c r="E37" s="395" t="str">
        <f>'[3]ISRS Addns Nov and Dec 2016'!E38</f>
        <v>F0604</v>
      </c>
      <c r="F37" s="396" t="str">
        <f>'[3]ISRS Addns Nov and Dec 2016'!F38</f>
        <v>Main Replacement - ISRS (S)</v>
      </c>
      <c r="G37" s="398">
        <f>'[3]ISRS Addns Nov and Dec 2016'!I38</f>
        <v>-50.58</v>
      </c>
    </row>
    <row r="38" spans="1:7" s="399" customFormat="1" ht="75">
      <c r="A38" s="395" t="str">
        <f>'[3]ISRS Addns Nov and Dec 2016'!C39</f>
        <v>008790</v>
      </c>
      <c r="B38" s="395" t="str">
        <f>'[3]ISRS Addns Nov and Dec 2016'!B39</f>
        <v>21261155422</v>
      </c>
      <c r="C38" s="396" t="str">
        <f>'[3]ISRS Addns Nov and Dec 2016'!D39</f>
        <v>4in PCS Relocation</v>
      </c>
      <c r="D38" s="397" t="s">
        <v>2503</v>
      </c>
      <c r="E38" s="395" t="str">
        <f>'[3]ISRS Addns Nov and Dec 2016'!E39</f>
        <v>F0547</v>
      </c>
      <c r="F38" s="396" t="str">
        <f>'[3]ISRS Addns Nov and Dec 2016'!F39</f>
        <v>Street &amp; Highway Relocates ISRS (N)</v>
      </c>
      <c r="G38" s="398">
        <f>'[3]ISRS Addns Nov and Dec 2016'!I39</f>
        <v>32355.61</v>
      </c>
    </row>
    <row r="39" spans="1:7" s="399" customFormat="1" ht="75">
      <c r="A39" s="395" t="str">
        <f>'[3]ISRS Addns Nov and Dec 2016'!C40</f>
        <v>008891</v>
      </c>
      <c r="B39" s="395" t="str">
        <f>'[3]ISRS Addns Nov and Dec 2016'!B40</f>
        <v>20401155426</v>
      </c>
      <c r="C39" s="396" t="str">
        <f>'[3]ISRS Addns Nov and Dec 2016'!D40</f>
        <v>Inlet and Outlet Piping to DRS 763</v>
      </c>
      <c r="D39" s="397" t="s">
        <v>2504</v>
      </c>
      <c r="E39" s="395" t="str">
        <f>'[3]ISRS Addns Nov and Dec 2016'!E40</f>
        <v>F0547</v>
      </c>
      <c r="F39" s="396" t="str">
        <f>'[3]ISRS Addns Nov and Dec 2016'!F40</f>
        <v>Street &amp; Highway Relocates ISRS (N)</v>
      </c>
      <c r="G39" s="398">
        <f>'[3]ISRS Addns Nov and Dec 2016'!I40</f>
        <v>3252.36</v>
      </c>
    </row>
    <row r="40" spans="1:7" s="399" customFormat="1" ht="75">
      <c r="A40" s="395" t="str">
        <f>'[3]ISRS Addns Nov and Dec 2016'!C41</f>
        <v>008891</v>
      </c>
      <c r="B40" s="395" t="str">
        <f>'[3]ISRS Addns Nov and Dec 2016'!B41</f>
        <v>20401155426</v>
      </c>
      <c r="C40" s="396" t="str">
        <f>'[3]ISRS Addns Nov and Dec 2016'!D41</f>
        <v>Inlet and Outlet Piping to DRS 763</v>
      </c>
      <c r="D40" s="397" t="s">
        <v>2504</v>
      </c>
      <c r="E40" s="395" t="str">
        <f>'[3]ISRS Addns Nov and Dec 2016'!E41</f>
        <v>F0547</v>
      </c>
      <c r="F40" s="396" t="str">
        <f>'[3]ISRS Addns Nov and Dec 2016'!F41</f>
        <v>Street &amp; Highway Relocates ISRS (N)</v>
      </c>
      <c r="G40" s="398">
        <f>'[3]ISRS Addns Nov and Dec 2016'!I41</f>
        <v>1830.85</v>
      </c>
    </row>
    <row r="41" spans="1:7" s="399" customFormat="1" ht="75">
      <c r="A41" s="395" t="str">
        <f>'[3]ISRS Addns Nov and Dec 2016'!C42</f>
        <v>008891</v>
      </c>
      <c r="B41" s="395" t="str">
        <f>'[3]ISRS Addns Nov and Dec 2016'!B42</f>
        <v>20401155426</v>
      </c>
      <c r="C41" s="396" t="str">
        <f>'[3]ISRS Addns Nov and Dec 2016'!D42</f>
        <v>Inlet and Outlet Piping to DRS 763</v>
      </c>
      <c r="D41" s="397" t="s">
        <v>2504</v>
      </c>
      <c r="E41" s="395" t="str">
        <f>'[3]ISRS Addns Nov and Dec 2016'!E42</f>
        <v>F0547</v>
      </c>
      <c r="F41" s="396" t="str">
        <f>'[3]ISRS Addns Nov and Dec 2016'!F42</f>
        <v>Street &amp; Highway Relocates ISRS (N)</v>
      </c>
      <c r="G41" s="398">
        <f>'[3]ISRS Addns Nov and Dec 2016'!I42</f>
        <v>-5083.21</v>
      </c>
    </row>
    <row r="42" spans="1:7" s="399" customFormat="1" ht="60">
      <c r="A42" s="395" t="str">
        <f>'[3]ISRS Addns Nov and Dec 2016'!C43</f>
        <v>008906</v>
      </c>
      <c r="B42" s="395" t="str">
        <f>'[3]ISRS Addns Nov and Dec 2016'!B43</f>
        <v>20902155399</v>
      </c>
      <c r="C42" s="396" t="str">
        <f>'[3]ISRS Addns Nov and Dec 2016'!D43</f>
        <v>Replace 10in and 6in pbs ma</v>
      </c>
      <c r="D42" s="397" t="s">
        <v>2505</v>
      </c>
      <c r="E42" s="395" t="str">
        <f>'[3]ISRS Addns Nov and Dec 2016'!E43</f>
        <v>F0604</v>
      </c>
      <c r="F42" s="396" t="str">
        <f>'[3]ISRS Addns Nov and Dec 2016'!F43</f>
        <v>Main Replacement - ISRS (S)</v>
      </c>
      <c r="G42" s="398">
        <f>'[3]ISRS Addns Nov and Dec 2016'!I43</f>
        <v>-25.18</v>
      </c>
    </row>
    <row r="43" spans="1:7" s="399" customFormat="1" ht="60">
      <c r="A43" s="395" t="str">
        <f>'[3]ISRS Addns Nov and Dec 2016'!C44</f>
        <v>008906</v>
      </c>
      <c r="B43" s="395" t="str">
        <f>'[3]ISRS Addns Nov and Dec 2016'!B44</f>
        <v>20902155399</v>
      </c>
      <c r="C43" s="396" t="str">
        <f>'[3]ISRS Addns Nov and Dec 2016'!D44</f>
        <v>Replace 10in and 6in pbs ma</v>
      </c>
      <c r="D43" s="397" t="s">
        <v>2505</v>
      </c>
      <c r="E43" s="395" t="str">
        <f>'[3]ISRS Addns Nov and Dec 2016'!E44</f>
        <v>F0604</v>
      </c>
      <c r="F43" s="396" t="str">
        <f>'[3]ISRS Addns Nov and Dec 2016'!F44</f>
        <v>Main Replacement - ISRS (S)</v>
      </c>
      <c r="G43" s="398">
        <f>'[3]ISRS Addns Nov and Dec 2016'!I44</f>
        <v>0.76</v>
      </c>
    </row>
    <row r="44" spans="1:7" s="399" customFormat="1" ht="90">
      <c r="A44" s="395" t="str">
        <f>'[3]ISRS Addns Nov and Dec 2016'!C45</f>
        <v>008969</v>
      </c>
      <c r="B44" s="395" t="str">
        <f>'[3]ISRS Addns Nov and Dec 2016'!B45</f>
        <v>20401155420</v>
      </c>
      <c r="C44" s="396" t="str">
        <f>'[3]ISRS Addns Nov and Dec 2016'!D45</f>
        <v>Target Marlborough East phase 1</v>
      </c>
      <c r="D44" s="397" t="s">
        <v>2506</v>
      </c>
      <c r="E44" s="395" t="str">
        <f>'[3]ISRS Addns Nov and Dec 2016'!E45</f>
        <v>F0664</v>
      </c>
      <c r="F44" s="396" t="str">
        <f>'[3]ISRS Addns Nov and Dec 2016'!F45</f>
        <v>Street &amp; Hwy Relocates ISRS (SW)</v>
      </c>
      <c r="G44" s="398">
        <f>'[3]ISRS Addns Nov and Dec 2016'!I45</f>
        <v>10.89</v>
      </c>
    </row>
    <row r="45" spans="1:7" s="399" customFormat="1" ht="90">
      <c r="A45" s="395" t="str">
        <f>'[3]ISRS Addns Nov and Dec 2016'!C46</f>
        <v>008969</v>
      </c>
      <c r="B45" s="395" t="str">
        <f>'[3]ISRS Addns Nov and Dec 2016'!B46</f>
        <v>20401155420</v>
      </c>
      <c r="C45" s="396" t="str">
        <f>'[3]ISRS Addns Nov and Dec 2016'!D46</f>
        <v>Target Marlborough East phase 1</v>
      </c>
      <c r="D45" s="397" t="s">
        <v>2506</v>
      </c>
      <c r="E45" s="395" t="str">
        <f>'[3]ISRS Addns Nov and Dec 2016'!E46</f>
        <v>F0664</v>
      </c>
      <c r="F45" s="396" t="str">
        <f>'[3]ISRS Addns Nov and Dec 2016'!F46</f>
        <v>Street &amp; Hwy Relocates ISRS (SW)</v>
      </c>
      <c r="G45" s="398">
        <f>'[3]ISRS Addns Nov and Dec 2016'!I46</f>
        <v>283.39999999999998</v>
      </c>
    </row>
    <row r="46" spans="1:7" s="399" customFormat="1" ht="30">
      <c r="A46" s="395" t="str">
        <f>'[3]ISRS Addns Nov and Dec 2016'!C47</f>
        <v>009217</v>
      </c>
      <c r="B46" s="395" t="str">
        <f>'[3]ISRS Addns Nov and Dec 2016'!B47</f>
        <v>N/A</v>
      </c>
      <c r="C46" s="396" t="str">
        <f>'[3]ISRS Addns Nov and Dec 2016'!D47</f>
        <v>BWO-Replace Svc w/ Steel (North)</v>
      </c>
      <c r="D46" s="397" t="s">
        <v>2507</v>
      </c>
      <c r="E46" s="395" t="str">
        <f>'[3]ISRS Addns Nov and Dec 2016'!E47</f>
        <v>F0608</v>
      </c>
      <c r="F46" s="396" t="str">
        <f>'[3]ISRS Addns Nov and Dec 2016'!F47</f>
        <v>BWO Service Line Repl - ISRS (N)</v>
      </c>
      <c r="G46" s="398">
        <f>'[3]ISRS Addns Nov and Dec 2016'!I47</f>
        <v>469.24</v>
      </c>
    </row>
    <row r="47" spans="1:7" s="399" customFormat="1" ht="30">
      <c r="A47" s="395" t="str">
        <f>'[3]ISRS Addns Nov and Dec 2016'!C48</f>
        <v>009218</v>
      </c>
      <c r="B47" s="395" t="str">
        <f>'[3]ISRS Addns Nov and Dec 2016'!B48</f>
        <v>N/A</v>
      </c>
      <c r="C47" s="396" t="str">
        <f>'[3]ISRS Addns Nov and Dec 2016'!D48</f>
        <v>BWO-Replace Svc w/ Steel (South)</v>
      </c>
      <c r="D47" s="397" t="s">
        <v>2508</v>
      </c>
      <c r="E47" s="395" t="str">
        <f>'[3]ISRS Addns Nov and Dec 2016'!E48</f>
        <v>F0513</v>
      </c>
      <c r="F47" s="396" t="str">
        <f>'[3]ISRS Addns Nov and Dec 2016'!F48</f>
        <v>BWO Service Line Repl - ISRS (S)</v>
      </c>
      <c r="G47" s="398">
        <f>'[3]ISRS Addns Nov and Dec 2016'!I48</f>
        <v>-41.15</v>
      </c>
    </row>
    <row r="48" spans="1:7" s="399" customFormat="1" ht="30">
      <c r="A48" s="395" t="str">
        <f>'[3]ISRS Addns Nov and Dec 2016'!C49</f>
        <v>009218</v>
      </c>
      <c r="B48" s="395" t="str">
        <f>'[3]ISRS Addns Nov and Dec 2016'!B49</f>
        <v>N/A</v>
      </c>
      <c r="C48" s="396" t="str">
        <f>'[3]ISRS Addns Nov and Dec 2016'!D49</f>
        <v>BWO-Replace Svc w/ Steel (South)</v>
      </c>
      <c r="D48" s="397" t="s">
        <v>2508</v>
      </c>
      <c r="E48" s="395" t="str">
        <f>'[3]ISRS Addns Nov and Dec 2016'!E49</f>
        <v>F0513</v>
      </c>
      <c r="F48" s="396" t="str">
        <f>'[3]ISRS Addns Nov and Dec 2016'!F49</f>
        <v>BWO Service Line Repl - ISRS (S)</v>
      </c>
      <c r="G48" s="398">
        <f>'[3]ISRS Addns Nov and Dec 2016'!I49</f>
        <v>273.69</v>
      </c>
    </row>
    <row r="49" spans="1:7" s="399" customFormat="1">
      <c r="A49" s="395" t="str">
        <f>'[3]ISRS Addns Nov and Dec 2016'!C50</f>
        <v>009219</v>
      </c>
      <c r="B49" s="395" t="str">
        <f>'[3]ISRS Addns Nov and Dec 2016'!B50</f>
        <v>N/A</v>
      </c>
      <c r="C49" s="396" t="str">
        <f>'[3]ISRS Addns Nov and Dec 2016'!D50</f>
        <v>BWO-Replace Svc w/ Steel (Southwest</v>
      </c>
      <c r="D49" s="397" t="s">
        <v>2509</v>
      </c>
      <c r="E49" s="395" t="str">
        <f>'[3]ISRS Addns Nov and Dec 2016'!E50</f>
        <v>F0659</v>
      </c>
      <c r="F49" s="396" t="str">
        <f>'[3]ISRS Addns Nov and Dec 2016'!F50</f>
        <v>BWO Service Line Repl - ISRS (SW)</v>
      </c>
      <c r="G49" s="398">
        <f>'[3]ISRS Addns Nov and Dec 2016'!I50</f>
        <v>6674.56</v>
      </c>
    </row>
    <row r="50" spans="1:7" s="399" customFormat="1" ht="150">
      <c r="A50" s="395" t="str">
        <f>'[3]ISRS Addns Nov and Dec 2016'!C51</f>
        <v>009224</v>
      </c>
      <c r="B50" s="395" t="str">
        <f>'[3]ISRS Addns Nov and Dec 2016'!B51</f>
        <v>20910155472</v>
      </c>
      <c r="C50" s="396" t="str">
        <f>'[3]ISRS Addns Nov and Dec 2016'!D51</f>
        <v>Replace 2 PCS/PE &amp; 4in PCS/PE</v>
      </c>
      <c r="D50" s="397" t="s">
        <v>2510</v>
      </c>
      <c r="E50" s="395" t="str">
        <f>'[3]ISRS Addns Nov and Dec 2016'!E51</f>
        <v>F0604</v>
      </c>
      <c r="F50" s="396" t="str">
        <f>'[3]ISRS Addns Nov and Dec 2016'!F51</f>
        <v>Main Replacement - ISRS (S)</v>
      </c>
      <c r="G50" s="398">
        <f>'[3]ISRS Addns Nov and Dec 2016'!I51</f>
        <v>24336.87</v>
      </c>
    </row>
    <row r="51" spans="1:7" s="399" customFormat="1" ht="150">
      <c r="A51" s="395" t="str">
        <f>'[3]ISRS Addns Nov and Dec 2016'!C52</f>
        <v>009224</v>
      </c>
      <c r="B51" s="395" t="str">
        <f>'[3]ISRS Addns Nov and Dec 2016'!B52</f>
        <v>20910155472</v>
      </c>
      <c r="C51" s="396" t="str">
        <f>'[3]ISRS Addns Nov and Dec 2016'!D52</f>
        <v>Replace 2 PCS/PE &amp; 4in PCS/PE</v>
      </c>
      <c r="D51" s="397" t="s">
        <v>2510</v>
      </c>
      <c r="E51" s="395" t="str">
        <f>'[3]ISRS Addns Nov and Dec 2016'!E52</f>
        <v>F0604</v>
      </c>
      <c r="F51" s="396" t="str">
        <f>'[3]ISRS Addns Nov and Dec 2016'!F52</f>
        <v>Main Replacement - ISRS (S)</v>
      </c>
      <c r="G51" s="398">
        <f>'[3]ISRS Addns Nov and Dec 2016'!I52</f>
        <v>-24336.87</v>
      </c>
    </row>
    <row r="52" spans="1:7" s="399" customFormat="1" ht="75">
      <c r="A52" s="395" t="str">
        <f>'[3]ISRS Addns Nov and Dec 2016'!C53</f>
        <v>009248</v>
      </c>
      <c r="B52" s="395" t="str">
        <f>'[3]ISRS Addns Nov and Dec 2016'!B53</f>
        <v>20904155457</v>
      </c>
      <c r="C52" s="396" t="str">
        <f>'[3]ISRS Addns Nov and Dec 2016'!D53</f>
        <v>Grandview Repl Phase 4</v>
      </c>
      <c r="D52" s="397" t="s">
        <v>2511</v>
      </c>
      <c r="E52" s="395" t="str">
        <f>'[3]ISRS Addns Nov and Dec 2016'!E53</f>
        <v>F0613</v>
      </c>
      <c r="F52" s="396" t="str">
        <f>'[3]ISRS Addns Nov and Dec 2016'!F53</f>
        <v>Replace bare steel main - safety re</v>
      </c>
      <c r="G52" s="398">
        <f>'[3]ISRS Addns Nov and Dec 2016'!I53</f>
        <v>114794.17</v>
      </c>
    </row>
    <row r="53" spans="1:7" s="399" customFormat="1" ht="75">
      <c r="A53" s="395" t="str">
        <f>'[3]ISRS Addns Nov and Dec 2016'!C54</f>
        <v>009248</v>
      </c>
      <c r="B53" s="395" t="str">
        <f>'[3]ISRS Addns Nov and Dec 2016'!B54</f>
        <v>20904155457</v>
      </c>
      <c r="C53" s="396" t="str">
        <f>'[3]ISRS Addns Nov and Dec 2016'!D54</f>
        <v>Grandview Repl Phase 4</v>
      </c>
      <c r="D53" s="397" t="s">
        <v>2511</v>
      </c>
      <c r="E53" s="395" t="str">
        <f>'[3]ISRS Addns Nov and Dec 2016'!E54</f>
        <v>F0613</v>
      </c>
      <c r="F53" s="396" t="str">
        <f>'[3]ISRS Addns Nov and Dec 2016'!F54</f>
        <v>Replace bare steel main - safety re</v>
      </c>
      <c r="G53" s="398">
        <f>'[3]ISRS Addns Nov and Dec 2016'!I54</f>
        <v>-114794.17</v>
      </c>
    </row>
    <row r="54" spans="1:7" s="399" customFormat="1" ht="120">
      <c r="A54" s="395" t="str">
        <f>'[3]ISRS Addns Nov and Dec 2016'!C55</f>
        <v>009276</v>
      </c>
      <c r="B54" s="395" t="str">
        <f>'[3]ISRS Addns Nov and Dec 2016'!B55</f>
        <v>20501155526</v>
      </c>
      <c r="C54" s="396" t="str">
        <f>'[3]ISRS Addns Nov and Dec 2016'!D55</f>
        <v>Lincoln to Highview along Zora</v>
      </c>
      <c r="D54" s="397" t="s">
        <v>2512</v>
      </c>
      <c r="E54" s="395" t="str">
        <f>'[3]ISRS Addns Nov and Dec 2016'!E55</f>
        <v>F0664</v>
      </c>
      <c r="F54" s="396" t="str">
        <f>'[3]ISRS Addns Nov and Dec 2016'!F55</f>
        <v>Street &amp; Hwy Relocates ISRS (SW)</v>
      </c>
      <c r="G54" s="398">
        <f>'[3]ISRS Addns Nov and Dec 2016'!I55</f>
        <v>1969.48</v>
      </c>
    </row>
    <row r="55" spans="1:7" s="399" customFormat="1" ht="120">
      <c r="A55" s="395" t="str">
        <f>'[3]ISRS Addns Nov and Dec 2016'!C56</f>
        <v>009276</v>
      </c>
      <c r="B55" s="395" t="str">
        <f>'[3]ISRS Addns Nov and Dec 2016'!B56</f>
        <v>20501155526</v>
      </c>
      <c r="C55" s="396" t="str">
        <f>'[3]ISRS Addns Nov and Dec 2016'!D56</f>
        <v>Lincoln to Highview along Zora</v>
      </c>
      <c r="D55" s="397" t="s">
        <v>2512</v>
      </c>
      <c r="E55" s="395" t="str">
        <f>'[3]ISRS Addns Nov and Dec 2016'!E56</f>
        <v>F0664</v>
      </c>
      <c r="F55" s="396" t="str">
        <f>'[3]ISRS Addns Nov and Dec 2016'!F56</f>
        <v>Street &amp; Hwy Relocates ISRS (SW)</v>
      </c>
      <c r="G55" s="398">
        <f>'[3]ISRS Addns Nov and Dec 2016'!I56</f>
        <v>12.85</v>
      </c>
    </row>
    <row r="56" spans="1:7" s="399" customFormat="1" ht="60">
      <c r="A56" s="395" t="str">
        <f>'[3]ISRS Addns Nov and Dec 2016'!C59</f>
        <v>800023</v>
      </c>
      <c r="B56" s="395" t="str">
        <f>'[3]ISRS Addns Nov and Dec 2016'!B59</f>
        <v>N/A</v>
      </c>
      <c r="C56" s="396" t="str">
        <f>'[3]ISRS Addns Nov and Dec 2016'!D59</f>
        <v>13th and Maiden Lane Relocation</v>
      </c>
      <c r="D56" s="397" t="s">
        <v>2513</v>
      </c>
      <c r="E56" s="395" t="str">
        <f>'[3]ISRS Addns Nov and Dec 2016'!E59</f>
        <v>F0664</v>
      </c>
      <c r="F56" s="396" t="str">
        <f>'[3]ISRS Addns Nov and Dec 2016'!F59</f>
        <v>Street &amp; Hwy Relocates ISRS (SW)</v>
      </c>
      <c r="G56" s="398">
        <f>'[3]ISRS Addns Nov and Dec 2016'!I59</f>
        <v>158.80000000000001</v>
      </c>
    </row>
    <row r="57" spans="1:7" s="399" customFormat="1" ht="60">
      <c r="A57" s="395" t="str">
        <f>'[3]ISRS Addns Nov and Dec 2016'!C60</f>
        <v>800023</v>
      </c>
      <c r="B57" s="395" t="str">
        <f>'[3]ISRS Addns Nov and Dec 2016'!B60</f>
        <v>N/A</v>
      </c>
      <c r="C57" s="396" t="str">
        <f>'[3]ISRS Addns Nov and Dec 2016'!D60</f>
        <v>13th and Maiden Lane Relocation</v>
      </c>
      <c r="D57" s="397" t="s">
        <v>2513</v>
      </c>
      <c r="E57" s="395" t="str">
        <f>'[3]ISRS Addns Nov and Dec 2016'!E60</f>
        <v>F0664</v>
      </c>
      <c r="F57" s="396" t="str">
        <f>'[3]ISRS Addns Nov and Dec 2016'!F60</f>
        <v>Street &amp; Hwy Relocates ISRS (SW)</v>
      </c>
      <c r="G57" s="398">
        <f>'[3]ISRS Addns Nov and Dec 2016'!I60</f>
        <v>3720.99</v>
      </c>
    </row>
    <row r="58" spans="1:7" s="399" customFormat="1" ht="60">
      <c r="A58" s="395" t="str">
        <f>'[3]ISRS Addns Nov and Dec 2016'!C61</f>
        <v>800023</v>
      </c>
      <c r="B58" s="395" t="str">
        <f>'[3]ISRS Addns Nov and Dec 2016'!B61</f>
        <v>N/A</v>
      </c>
      <c r="C58" s="396" t="str">
        <f>'[3]ISRS Addns Nov and Dec 2016'!D61</f>
        <v>13th and Maiden Lane Relocation</v>
      </c>
      <c r="D58" s="397" t="s">
        <v>2513</v>
      </c>
      <c r="E58" s="395" t="str">
        <f>'[3]ISRS Addns Nov and Dec 2016'!E61</f>
        <v>F0664</v>
      </c>
      <c r="F58" s="396" t="str">
        <f>'[3]ISRS Addns Nov and Dec 2016'!F61</f>
        <v>Street &amp; Hwy Relocates ISRS (SW)</v>
      </c>
      <c r="G58" s="398">
        <f>'[3]ISRS Addns Nov and Dec 2016'!I61</f>
        <v>-14.04</v>
      </c>
    </row>
    <row r="59" spans="1:7" s="399" customFormat="1" ht="60">
      <c r="A59" s="395" t="str">
        <f>'[3]ISRS Addns Nov and Dec 2016'!C62</f>
        <v>800023</v>
      </c>
      <c r="B59" s="395" t="str">
        <f>'[3]ISRS Addns Nov and Dec 2016'!B62</f>
        <v>N/A</v>
      </c>
      <c r="C59" s="396" t="str">
        <f>'[3]ISRS Addns Nov and Dec 2016'!D62</f>
        <v>13th and Maiden Lane Relocation</v>
      </c>
      <c r="D59" s="397" t="s">
        <v>2513</v>
      </c>
      <c r="E59" s="395" t="str">
        <f>'[3]ISRS Addns Nov and Dec 2016'!E62</f>
        <v>F0664</v>
      </c>
      <c r="F59" s="396" t="str">
        <f>'[3]ISRS Addns Nov and Dec 2016'!F62</f>
        <v>Street &amp; Hwy Relocates ISRS (SW)</v>
      </c>
      <c r="G59" s="398">
        <f>'[3]ISRS Addns Nov and Dec 2016'!I62</f>
        <v>-329.01</v>
      </c>
    </row>
    <row r="60" spans="1:7" s="399" customFormat="1" ht="30">
      <c r="A60" s="395" t="str">
        <f>'[3]ISRS Addns Nov and Dec 2016'!C63</f>
        <v>800027</v>
      </c>
      <c r="B60" s="395" t="str">
        <f>'[3]ISRS Addns Nov and Dec 2016'!B63</f>
        <v>N/A</v>
      </c>
      <c r="C60" s="396" t="str">
        <f>'[3]ISRS Addns Nov and Dec 2016'!D63</f>
        <v>CP15-02 Replace 2" pbs main</v>
      </c>
      <c r="D60" s="397" t="s">
        <v>2514</v>
      </c>
      <c r="E60" s="395" t="str">
        <f>'[3]ISRS Addns Nov and Dec 2016'!E63</f>
        <v>F0604</v>
      </c>
      <c r="F60" s="396" t="str">
        <f>'[3]ISRS Addns Nov and Dec 2016'!F63</f>
        <v>Main Replacement - ISRS (S)</v>
      </c>
      <c r="G60" s="398">
        <f>'[3]ISRS Addns Nov and Dec 2016'!I63</f>
        <v>-14555.55</v>
      </c>
    </row>
    <row r="61" spans="1:7" s="399" customFormat="1" ht="30">
      <c r="A61" s="395" t="str">
        <f>'[3]ISRS Addns Nov and Dec 2016'!C64</f>
        <v>800027</v>
      </c>
      <c r="B61" s="395" t="str">
        <f>'[3]ISRS Addns Nov and Dec 2016'!B64</f>
        <v>N/A</v>
      </c>
      <c r="C61" s="396" t="str">
        <f>'[3]ISRS Addns Nov and Dec 2016'!D64</f>
        <v>CP15-02 Replace 2" pbs main</v>
      </c>
      <c r="D61" s="397" t="s">
        <v>2514</v>
      </c>
      <c r="E61" s="395" t="str">
        <f>'[3]ISRS Addns Nov and Dec 2016'!E64</f>
        <v>F0604</v>
      </c>
      <c r="F61" s="396" t="str">
        <f>'[3]ISRS Addns Nov and Dec 2016'!F64</f>
        <v>Main Replacement - ISRS (S)</v>
      </c>
      <c r="G61" s="398">
        <f>'[3]ISRS Addns Nov and Dec 2016'!I64</f>
        <v>-60.89</v>
      </c>
    </row>
    <row r="62" spans="1:7" s="399" customFormat="1" ht="30">
      <c r="A62" s="395" t="str">
        <f>'[3]ISRS Addns Nov and Dec 2016'!C65</f>
        <v>800027</v>
      </c>
      <c r="B62" s="395" t="str">
        <f>'[3]ISRS Addns Nov and Dec 2016'!B65</f>
        <v>N/A</v>
      </c>
      <c r="C62" s="396" t="str">
        <f>'[3]ISRS Addns Nov and Dec 2016'!D65</f>
        <v>CP15-02 Replace 2" pbs main</v>
      </c>
      <c r="D62" s="397" t="s">
        <v>2514</v>
      </c>
      <c r="E62" s="395" t="str">
        <f>'[3]ISRS Addns Nov and Dec 2016'!E65</f>
        <v>F0604</v>
      </c>
      <c r="F62" s="396" t="str">
        <f>'[3]ISRS Addns Nov and Dec 2016'!F65</f>
        <v>Main Replacement - ISRS (S)</v>
      </c>
      <c r="G62" s="398">
        <f>'[3]ISRS Addns Nov and Dec 2016'!I65</f>
        <v>-1861.63</v>
      </c>
    </row>
    <row r="63" spans="1:7" s="399" customFormat="1" ht="120">
      <c r="A63" s="395" t="str">
        <f>'[3]ISRS Addns Nov and Dec 2016'!C66</f>
        <v>800030</v>
      </c>
      <c r="B63" s="395" t="str">
        <f>'[3]ISRS Addns Nov and Dec 2016'!B66</f>
        <v>N/A</v>
      </c>
      <c r="C63" s="396" t="str">
        <f>'[3]ISRS Addns Nov and Dec 2016'!D66</f>
        <v>Relocate 2" &amp; 3" Steel - Route 7 fr</v>
      </c>
      <c r="D63" s="397" t="s">
        <v>2515</v>
      </c>
      <c r="E63" s="395" t="str">
        <f>'[3]ISRS Addns Nov and Dec 2016'!E66</f>
        <v>F0578</v>
      </c>
      <c r="F63" s="396" t="str">
        <f>'[3]ISRS Addns Nov and Dec 2016'!F66</f>
        <v>Street &amp; Highway Relocates ISRS (S)</v>
      </c>
      <c r="G63" s="398">
        <f>'[3]ISRS Addns Nov and Dec 2016'!I66</f>
        <v>194.49</v>
      </c>
    </row>
    <row r="64" spans="1:7" s="399" customFormat="1" ht="120">
      <c r="A64" s="395" t="str">
        <f>'[3]ISRS Addns Nov and Dec 2016'!C67</f>
        <v>800030</v>
      </c>
      <c r="B64" s="395" t="str">
        <f>'[3]ISRS Addns Nov and Dec 2016'!B67</f>
        <v>N/A</v>
      </c>
      <c r="C64" s="396" t="str">
        <f>'[3]ISRS Addns Nov and Dec 2016'!D67</f>
        <v>Relocate 2" &amp; 3" Steel - Route 7 fr</v>
      </c>
      <c r="D64" s="397" t="s">
        <v>2515</v>
      </c>
      <c r="E64" s="395" t="str">
        <f>'[3]ISRS Addns Nov and Dec 2016'!E67</f>
        <v>F0578</v>
      </c>
      <c r="F64" s="396" t="str">
        <f>'[3]ISRS Addns Nov and Dec 2016'!F67</f>
        <v>Street &amp; Highway Relocates ISRS (S)</v>
      </c>
      <c r="G64" s="398">
        <f>'[3]ISRS Addns Nov and Dec 2016'!I67</f>
        <v>5.09</v>
      </c>
    </row>
    <row r="65" spans="1:7" s="399" customFormat="1" ht="30">
      <c r="A65" s="395" t="str">
        <f>'[3]ISRS Addns Nov and Dec 2016'!C68</f>
        <v>800031</v>
      </c>
      <c r="B65" s="395" t="str">
        <f>'[3]ISRS Addns Nov and Dec 2016'!B68</f>
        <v>N/A</v>
      </c>
      <c r="C65" s="396" t="str">
        <f>'[3]ISRS Addns Nov and Dec 2016'!D68</f>
        <v>AOR - 2021 Elmwood</v>
      </c>
      <c r="D65" s="397" t="s">
        <v>2516</v>
      </c>
      <c r="E65" s="395" t="str">
        <f>'[3]ISRS Addns Nov and Dec 2016'!E68</f>
        <v>F0599</v>
      </c>
      <c r="F65" s="396" t="str">
        <f>'[3]ISRS Addns Nov and Dec 2016'!F68</f>
        <v>Main Replacement - ISRS (N)</v>
      </c>
      <c r="G65" s="398">
        <f>'[3]ISRS Addns Nov and Dec 2016'!I68</f>
        <v>1138.8699999999999</v>
      </c>
    </row>
    <row r="66" spans="1:7" s="399" customFormat="1" ht="30">
      <c r="A66" s="395" t="str">
        <f>'[3]ISRS Addns Nov and Dec 2016'!C69</f>
        <v>800031</v>
      </c>
      <c r="B66" s="395" t="str">
        <f>'[3]ISRS Addns Nov and Dec 2016'!B69</f>
        <v>N/A</v>
      </c>
      <c r="C66" s="396" t="str">
        <f>'[3]ISRS Addns Nov and Dec 2016'!D69</f>
        <v>AOR - 2021 Elmwood</v>
      </c>
      <c r="D66" s="397" t="s">
        <v>2516</v>
      </c>
      <c r="E66" s="395" t="str">
        <f>'[3]ISRS Addns Nov and Dec 2016'!E69</f>
        <v>F0599</v>
      </c>
      <c r="F66" s="396" t="str">
        <f>'[3]ISRS Addns Nov and Dec 2016'!F69</f>
        <v>Main Replacement - ISRS (N)</v>
      </c>
      <c r="G66" s="398">
        <f>'[3]ISRS Addns Nov and Dec 2016'!I69</f>
        <v>23447.360000000001</v>
      </c>
    </row>
    <row r="67" spans="1:7" s="399" customFormat="1" ht="30">
      <c r="A67" s="395" t="str">
        <f>'[3]ISRS Addns Nov and Dec 2016'!C70</f>
        <v>800031</v>
      </c>
      <c r="B67" s="395" t="str">
        <f>'[3]ISRS Addns Nov and Dec 2016'!B70</f>
        <v>N/A</v>
      </c>
      <c r="C67" s="396" t="str">
        <f>'[3]ISRS Addns Nov and Dec 2016'!D70</f>
        <v>AOR - 2021 Elmwood</v>
      </c>
      <c r="D67" s="397" t="s">
        <v>2516</v>
      </c>
      <c r="E67" s="395" t="str">
        <f>'[3]ISRS Addns Nov and Dec 2016'!E70</f>
        <v>F0599</v>
      </c>
      <c r="F67" s="396" t="str">
        <f>'[3]ISRS Addns Nov and Dec 2016'!F70</f>
        <v>Main Replacement - ISRS (N)</v>
      </c>
      <c r="G67" s="398">
        <f>'[3]ISRS Addns Nov and Dec 2016'!I70</f>
        <v>1128.8499999999999</v>
      </c>
    </row>
    <row r="68" spans="1:7" s="399" customFormat="1" ht="90">
      <c r="A68" s="395" t="str">
        <f>'[3]ISRS Addns Nov and Dec 2016'!C71</f>
        <v>800032</v>
      </c>
      <c r="B68" s="395" t="str">
        <f>'[3]ISRS Addns Nov and Dec 2016'!B71</f>
        <v>N/A</v>
      </c>
      <c r="C68" s="396" t="str">
        <f>'[3]ISRS Addns Nov and Dec 2016'!D71</f>
        <v>Relocate 3in &amp; 4i Steel Rt 7 fro</v>
      </c>
      <c r="D68" s="397" t="s">
        <v>2517</v>
      </c>
      <c r="E68" s="395" t="str">
        <f>'[3]ISRS Addns Nov and Dec 2016'!E71</f>
        <v>F0578</v>
      </c>
      <c r="F68" s="396" t="str">
        <f>'[3]ISRS Addns Nov and Dec 2016'!F71</f>
        <v>Street &amp; Highway Relocates ISRS (S)</v>
      </c>
      <c r="G68" s="398">
        <f>'[3]ISRS Addns Nov and Dec 2016'!I71</f>
        <v>275.16000000000003</v>
      </c>
    </row>
    <row r="69" spans="1:7" s="399" customFormat="1" ht="90">
      <c r="A69" s="395" t="str">
        <f>'[3]ISRS Addns Nov and Dec 2016'!C72</f>
        <v>800032</v>
      </c>
      <c r="B69" s="395" t="str">
        <f>'[3]ISRS Addns Nov and Dec 2016'!B72</f>
        <v>N/A</v>
      </c>
      <c r="C69" s="396" t="str">
        <f>'[3]ISRS Addns Nov and Dec 2016'!D72</f>
        <v>Relocate 3in &amp; 4i Steel Rt 7 fro</v>
      </c>
      <c r="D69" s="397" t="s">
        <v>2517</v>
      </c>
      <c r="E69" s="395" t="str">
        <f>'[3]ISRS Addns Nov and Dec 2016'!E72</f>
        <v>F0578</v>
      </c>
      <c r="F69" s="396" t="str">
        <f>'[3]ISRS Addns Nov and Dec 2016'!F72</f>
        <v>Street &amp; Highway Relocates ISRS (S)</v>
      </c>
      <c r="G69" s="398">
        <f>'[3]ISRS Addns Nov and Dec 2016'!I72</f>
        <v>5.43</v>
      </c>
    </row>
    <row r="70" spans="1:7" s="399" customFormat="1" ht="90">
      <c r="A70" s="395" t="str">
        <f>'[3]ISRS Addns Nov and Dec 2016'!C73</f>
        <v>800032</v>
      </c>
      <c r="B70" s="395" t="str">
        <f>'[3]ISRS Addns Nov and Dec 2016'!B73</f>
        <v>N/A</v>
      </c>
      <c r="C70" s="396" t="str">
        <f>'[3]ISRS Addns Nov and Dec 2016'!D73</f>
        <v>Relocate 3in &amp; 4i Steel Rt 7 fro</v>
      </c>
      <c r="D70" s="397" t="s">
        <v>2517</v>
      </c>
      <c r="E70" s="395" t="str">
        <f>'[3]ISRS Addns Nov and Dec 2016'!E73</f>
        <v>F0578</v>
      </c>
      <c r="F70" s="396" t="str">
        <f>'[3]ISRS Addns Nov and Dec 2016'!F73</f>
        <v>Street &amp; Highway Relocates ISRS (S)</v>
      </c>
      <c r="G70" s="398">
        <f>'[3]ISRS Addns Nov and Dec 2016'!I73</f>
        <v>10.09</v>
      </c>
    </row>
    <row r="71" spans="1:7" s="399" customFormat="1" ht="90">
      <c r="A71" s="395" t="str">
        <f>'[3]ISRS Addns Nov and Dec 2016'!C74</f>
        <v>800032</v>
      </c>
      <c r="B71" s="395" t="str">
        <f>'[3]ISRS Addns Nov and Dec 2016'!B74</f>
        <v>N/A</v>
      </c>
      <c r="C71" s="396" t="str">
        <f>'[3]ISRS Addns Nov and Dec 2016'!D74</f>
        <v>Relocate 3in &amp; 4i Steel Rt 7 fro</v>
      </c>
      <c r="D71" s="397" t="s">
        <v>2517</v>
      </c>
      <c r="E71" s="395" t="str">
        <f>'[3]ISRS Addns Nov and Dec 2016'!E74</f>
        <v>F0578</v>
      </c>
      <c r="F71" s="396" t="str">
        <f>'[3]ISRS Addns Nov and Dec 2016'!F74</f>
        <v>Street &amp; Highway Relocates ISRS (S)</v>
      </c>
      <c r="G71" s="398">
        <f>'[3]ISRS Addns Nov and Dec 2016'!I74</f>
        <v>0.2</v>
      </c>
    </row>
    <row r="72" spans="1:7" s="399" customFormat="1" ht="60">
      <c r="A72" s="395" t="str">
        <f>'[3]ISRS Addns Nov and Dec 2016'!C75</f>
        <v>800038</v>
      </c>
      <c r="B72" s="395" t="str">
        <f>'[3]ISRS Addns Nov and Dec 2016'!B75</f>
        <v>N/A</v>
      </c>
      <c r="C72" s="396" t="str">
        <f>'[3]ISRS Addns Nov and Dec 2016'!D75</f>
        <v>Main Replacemen due to CPs/Iso Stee</v>
      </c>
      <c r="D72" s="397" t="s">
        <v>2518</v>
      </c>
      <c r="E72" s="395" t="str">
        <f>'[3]ISRS Addns Nov and Dec 2016'!E75</f>
        <v>F0572</v>
      </c>
      <c r="F72" s="396" t="str">
        <f>'[3]ISRS Addns Nov and Dec 2016'!F75</f>
        <v>Main Replacement - ISRS (SW)</v>
      </c>
      <c r="G72" s="398">
        <f>'[3]ISRS Addns Nov and Dec 2016'!I75</f>
        <v>-3331.29</v>
      </c>
    </row>
    <row r="73" spans="1:7" s="399" customFormat="1" ht="60">
      <c r="A73" s="395" t="str">
        <f>'[3]ISRS Addns Nov and Dec 2016'!C76</f>
        <v>800038</v>
      </c>
      <c r="B73" s="395" t="str">
        <f>'[3]ISRS Addns Nov and Dec 2016'!B76</f>
        <v>N/A</v>
      </c>
      <c r="C73" s="396" t="str">
        <f>'[3]ISRS Addns Nov and Dec 2016'!D76</f>
        <v>Main Replacemen due to CPs/Iso Stee</v>
      </c>
      <c r="D73" s="397" t="s">
        <v>2518</v>
      </c>
      <c r="E73" s="395" t="str">
        <f>'[3]ISRS Addns Nov and Dec 2016'!E76</f>
        <v>F0572</v>
      </c>
      <c r="F73" s="396" t="str">
        <f>'[3]ISRS Addns Nov and Dec 2016'!F76</f>
        <v>Main Replacement - ISRS (SW)</v>
      </c>
      <c r="G73" s="398">
        <f>'[3]ISRS Addns Nov and Dec 2016'!I76</f>
        <v>133.21</v>
      </c>
    </row>
    <row r="74" spans="1:7" s="399" customFormat="1" ht="45">
      <c r="A74" s="395" t="str">
        <f>'[3]ISRS Addns Nov and Dec 2016'!C77</f>
        <v>800039</v>
      </c>
      <c r="B74" s="395" t="str">
        <f>'[3]ISRS Addns Nov and Dec 2016'!B77</f>
        <v>N/A</v>
      </c>
      <c r="C74" s="396" t="str">
        <f>'[3]ISRS Addns Nov and Dec 2016'!D77</f>
        <v>Pickett Rd and 29th St - Main Repla</v>
      </c>
      <c r="D74" s="397" t="s">
        <v>2519</v>
      </c>
      <c r="E74" s="395" t="str">
        <f>'[3]ISRS Addns Nov and Dec 2016'!E77</f>
        <v>F0599</v>
      </c>
      <c r="F74" s="396" t="str">
        <f>'[3]ISRS Addns Nov and Dec 2016'!F77</f>
        <v>Main Replacement - ISRS (N)</v>
      </c>
      <c r="G74" s="398">
        <f>'[3]ISRS Addns Nov and Dec 2016'!I77</f>
        <v>0.06</v>
      </c>
    </row>
    <row r="75" spans="1:7" s="399" customFormat="1" ht="45">
      <c r="A75" s="395" t="str">
        <f>'[3]ISRS Addns Nov and Dec 2016'!C78</f>
        <v>800039</v>
      </c>
      <c r="B75" s="395" t="str">
        <f>'[3]ISRS Addns Nov and Dec 2016'!B78</f>
        <v>N/A</v>
      </c>
      <c r="C75" s="396" t="str">
        <f>'[3]ISRS Addns Nov and Dec 2016'!D78</f>
        <v>Pickett Rd and 29th St - Main Repla</v>
      </c>
      <c r="D75" s="397" t="s">
        <v>2519</v>
      </c>
      <c r="E75" s="395" t="str">
        <f>'[3]ISRS Addns Nov and Dec 2016'!E78</f>
        <v>F0599</v>
      </c>
      <c r="F75" s="396" t="str">
        <f>'[3]ISRS Addns Nov and Dec 2016'!F78</f>
        <v>Main Replacement - ISRS (N)</v>
      </c>
      <c r="G75" s="398">
        <f>'[3]ISRS Addns Nov and Dec 2016'!I78</f>
        <v>118.87</v>
      </c>
    </row>
    <row r="76" spans="1:7" s="399" customFormat="1" ht="45">
      <c r="A76" s="395" t="str">
        <f>'[3]ISRS Addns Nov and Dec 2016'!C79</f>
        <v>800039</v>
      </c>
      <c r="B76" s="395" t="str">
        <f>'[3]ISRS Addns Nov and Dec 2016'!B79</f>
        <v>N/A</v>
      </c>
      <c r="C76" s="396" t="str">
        <f>'[3]ISRS Addns Nov and Dec 2016'!D79</f>
        <v>Pickett Rd and 29th St - Main Repla</v>
      </c>
      <c r="D76" s="397" t="s">
        <v>2519</v>
      </c>
      <c r="E76" s="395" t="str">
        <f>'[3]ISRS Addns Nov and Dec 2016'!E79</f>
        <v>F0599</v>
      </c>
      <c r="F76" s="396" t="str">
        <f>'[3]ISRS Addns Nov and Dec 2016'!F79</f>
        <v>Main Replacement - ISRS (N)</v>
      </c>
      <c r="G76" s="398">
        <f>'[3]ISRS Addns Nov and Dec 2016'!I79</f>
        <v>50.94</v>
      </c>
    </row>
    <row r="77" spans="1:7" s="399" customFormat="1" ht="45">
      <c r="A77" s="395" t="str">
        <f>'[3]ISRS Addns Nov and Dec 2016'!C80</f>
        <v>800039</v>
      </c>
      <c r="B77" s="395" t="str">
        <f>'[3]ISRS Addns Nov and Dec 2016'!B80</f>
        <v>N/A</v>
      </c>
      <c r="C77" s="396" t="str">
        <f>'[3]ISRS Addns Nov and Dec 2016'!D80</f>
        <v>Pickett Rd and 29th St - Main Repla</v>
      </c>
      <c r="D77" s="397" t="s">
        <v>2519</v>
      </c>
      <c r="E77" s="395" t="str">
        <f>'[3]ISRS Addns Nov and Dec 2016'!E80</f>
        <v>F0599</v>
      </c>
      <c r="F77" s="396" t="str">
        <f>'[3]ISRS Addns Nov and Dec 2016'!F80</f>
        <v>Main Replacement - ISRS (N)</v>
      </c>
      <c r="G77" s="398">
        <f>'[3]ISRS Addns Nov and Dec 2016'!I80</f>
        <v>-0.01</v>
      </c>
    </row>
    <row r="78" spans="1:7" s="399" customFormat="1" ht="45">
      <c r="A78" s="395" t="str">
        <f>'[3]ISRS Addns Nov and Dec 2016'!C81</f>
        <v>800039</v>
      </c>
      <c r="B78" s="395" t="str">
        <f>'[3]ISRS Addns Nov and Dec 2016'!B81</f>
        <v>N/A</v>
      </c>
      <c r="C78" s="396" t="str">
        <f>'[3]ISRS Addns Nov and Dec 2016'!D81</f>
        <v>Pickett Rd and 29th St - Main Repla</v>
      </c>
      <c r="D78" s="397" t="s">
        <v>2519</v>
      </c>
      <c r="E78" s="395" t="str">
        <f>'[3]ISRS Addns Nov and Dec 2016'!E81</f>
        <v>F0599</v>
      </c>
      <c r="F78" s="396" t="str">
        <f>'[3]ISRS Addns Nov and Dec 2016'!F81</f>
        <v>Main Replacement - ISRS (N)</v>
      </c>
      <c r="G78" s="398">
        <f>'[3]ISRS Addns Nov and Dec 2016'!I81</f>
        <v>-13.77</v>
      </c>
    </row>
    <row r="79" spans="1:7" s="399" customFormat="1" ht="45">
      <c r="A79" s="395" t="str">
        <f>'[3]ISRS Addns Nov and Dec 2016'!C82</f>
        <v>800039</v>
      </c>
      <c r="B79" s="395" t="str">
        <f>'[3]ISRS Addns Nov and Dec 2016'!B82</f>
        <v>N/A</v>
      </c>
      <c r="C79" s="396" t="str">
        <f>'[3]ISRS Addns Nov and Dec 2016'!D82</f>
        <v>Pickett Rd and 29th St - Main Repla</v>
      </c>
      <c r="D79" s="397" t="s">
        <v>2519</v>
      </c>
      <c r="E79" s="395" t="str">
        <f>'[3]ISRS Addns Nov and Dec 2016'!E82</f>
        <v>F0599</v>
      </c>
      <c r="F79" s="396" t="str">
        <f>'[3]ISRS Addns Nov and Dec 2016'!F82</f>
        <v>Main Replacement - ISRS (N)</v>
      </c>
      <c r="G79" s="398">
        <f>'[3]ISRS Addns Nov and Dec 2016'!I82</f>
        <v>-5.89</v>
      </c>
    </row>
    <row r="80" spans="1:7" s="399" customFormat="1" ht="60">
      <c r="A80" s="395" t="str">
        <f>'[3]ISRS Addns Nov and Dec 2016'!C83</f>
        <v>800041</v>
      </c>
      <c r="B80" s="395" t="str">
        <f>'[3]ISRS Addns Nov and Dec 2016'!B83</f>
        <v>N/A</v>
      </c>
      <c r="C80" s="396" t="str">
        <f>'[3]ISRS Addns Nov and Dec 2016'!D83</f>
        <v>Liberty Header - Phase 4 IUI</v>
      </c>
      <c r="D80" s="397" t="s">
        <v>2520</v>
      </c>
      <c r="E80" s="395" t="str">
        <f>'[3]ISRS Addns Nov and Dec 2016'!E83</f>
        <v>F0599</v>
      </c>
      <c r="F80" s="396" t="str">
        <f>'[3]ISRS Addns Nov and Dec 2016'!F83</f>
        <v>Main Replacement - ISRS (N)</v>
      </c>
      <c r="G80" s="398">
        <f>'[3]ISRS Addns Nov and Dec 2016'!I83</f>
        <v>4048.93</v>
      </c>
    </row>
    <row r="81" spans="1:7" s="399" customFormat="1" ht="60">
      <c r="A81" s="395" t="str">
        <f>'[3]ISRS Addns Nov and Dec 2016'!C84</f>
        <v>800041</v>
      </c>
      <c r="B81" s="395" t="str">
        <f>'[3]ISRS Addns Nov and Dec 2016'!B84</f>
        <v>N/A</v>
      </c>
      <c r="C81" s="396" t="str">
        <f>'[3]ISRS Addns Nov and Dec 2016'!D84</f>
        <v>Liberty Header - Phase 4 IUI</v>
      </c>
      <c r="D81" s="397" t="s">
        <v>2520</v>
      </c>
      <c r="E81" s="395" t="str">
        <f>'[3]ISRS Addns Nov and Dec 2016'!E84</f>
        <v>F0599</v>
      </c>
      <c r="F81" s="396" t="str">
        <f>'[3]ISRS Addns Nov and Dec 2016'!F84</f>
        <v>Main Replacement - ISRS (N)</v>
      </c>
      <c r="G81" s="398">
        <f>'[3]ISRS Addns Nov and Dec 2016'!I84</f>
        <v>1529.02</v>
      </c>
    </row>
    <row r="82" spans="1:7" s="399" customFormat="1" ht="60">
      <c r="A82" s="395" t="str">
        <f>'[3]ISRS Addns Nov and Dec 2016'!C85</f>
        <v>800045</v>
      </c>
      <c r="B82" s="395" t="str">
        <f>'[3]ISRS Addns Nov and Dec 2016'!B85</f>
        <v>N/A</v>
      </c>
      <c r="C82" s="396" t="str">
        <f>'[3]ISRS Addns Nov and Dec 2016'!D85</f>
        <v>Liberty - Grid Phase A</v>
      </c>
      <c r="D82" s="397" t="s">
        <v>2521</v>
      </c>
      <c r="E82" s="395" t="str">
        <f>'[3]ISRS Addns Nov and Dec 2016'!E85</f>
        <v>F0599</v>
      </c>
      <c r="F82" s="396" t="str">
        <f>'[3]ISRS Addns Nov and Dec 2016'!F85</f>
        <v>Main Replacement - ISRS (N)</v>
      </c>
      <c r="G82" s="398">
        <f>'[3]ISRS Addns Nov and Dec 2016'!I85</f>
        <v>-11961.6</v>
      </c>
    </row>
    <row r="83" spans="1:7" s="399" customFormat="1" ht="60">
      <c r="A83" s="395" t="str">
        <f>'[3]ISRS Addns Nov and Dec 2016'!C86</f>
        <v>800045</v>
      </c>
      <c r="B83" s="395" t="str">
        <f>'[3]ISRS Addns Nov and Dec 2016'!B86</f>
        <v>N/A</v>
      </c>
      <c r="C83" s="396" t="str">
        <f>'[3]ISRS Addns Nov and Dec 2016'!D86</f>
        <v>Liberty - Grid Phase A</v>
      </c>
      <c r="D83" s="397" t="s">
        <v>2521</v>
      </c>
      <c r="E83" s="395" t="str">
        <f>'[3]ISRS Addns Nov and Dec 2016'!E86</f>
        <v>F0599</v>
      </c>
      <c r="F83" s="396" t="str">
        <f>'[3]ISRS Addns Nov and Dec 2016'!F86</f>
        <v>Main Replacement - ISRS (N)</v>
      </c>
      <c r="G83" s="398">
        <f>'[3]ISRS Addns Nov and Dec 2016'!I86</f>
        <v>-49.55</v>
      </c>
    </row>
    <row r="84" spans="1:7" s="399" customFormat="1" ht="60">
      <c r="A84" s="395" t="str">
        <f>'[3]ISRS Addns Nov and Dec 2016'!C87</f>
        <v>800045</v>
      </c>
      <c r="B84" s="395" t="str">
        <f>'[3]ISRS Addns Nov and Dec 2016'!B87</f>
        <v>N/A</v>
      </c>
      <c r="C84" s="396" t="str">
        <f>'[3]ISRS Addns Nov and Dec 2016'!D87</f>
        <v>Liberty - Grid Phase A</v>
      </c>
      <c r="D84" s="397" t="s">
        <v>2521</v>
      </c>
      <c r="E84" s="395" t="str">
        <f>'[3]ISRS Addns Nov and Dec 2016'!E87</f>
        <v>F0599</v>
      </c>
      <c r="F84" s="396" t="str">
        <f>'[3]ISRS Addns Nov and Dec 2016'!F87</f>
        <v>Main Replacement - ISRS (N)</v>
      </c>
      <c r="G84" s="398">
        <f>'[3]ISRS Addns Nov and Dec 2016'!I87</f>
        <v>9142.4699999999993</v>
      </c>
    </row>
    <row r="85" spans="1:7" s="399" customFormat="1" ht="60">
      <c r="A85" s="395" t="str">
        <f>'[3]ISRS Addns Nov and Dec 2016'!C88</f>
        <v>800045</v>
      </c>
      <c r="B85" s="395" t="str">
        <f>'[3]ISRS Addns Nov and Dec 2016'!B88</f>
        <v>N/A</v>
      </c>
      <c r="C85" s="396" t="str">
        <f>'[3]ISRS Addns Nov and Dec 2016'!D88</f>
        <v>Liberty - Grid Phase A</v>
      </c>
      <c r="D85" s="397" t="s">
        <v>2521</v>
      </c>
      <c r="E85" s="395" t="str">
        <f>'[3]ISRS Addns Nov and Dec 2016'!E88</f>
        <v>F0599</v>
      </c>
      <c r="F85" s="396" t="str">
        <f>'[3]ISRS Addns Nov and Dec 2016'!F88</f>
        <v>Main Replacement - ISRS (N)</v>
      </c>
      <c r="G85" s="398">
        <f>'[3]ISRS Addns Nov and Dec 2016'!I88</f>
        <v>37.880000000000003</v>
      </c>
    </row>
    <row r="86" spans="1:7" s="399" customFormat="1" ht="75">
      <c r="A86" s="395" t="str">
        <f>'[3]ISRS Addns Nov and Dec 2016'!C89</f>
        <v>800046</v>
      </c>
      <c r="B86" s="395" t="str">
        <f>'[3]ISRS Addns Nov and Dec 2016'!B89</f>
        <v>N/A</v>
      </c>
      <c r="C86" s="396" t="str">
        <f>'[3]ISRS Addns Nov and Dec 2016'!D89</f>
        <v>Liberty - Grid Phase B</v>
      </c>
      <c r="D86" s="397" t="s">
        <v>2522</v>
      </c>
      <c r="E86" s="395" t="str">
        <f>'[3]ISRS Addns Nov and Dec 2016'!E89</f>
        <v>F0599</v>
      </c>
      <c r="F86" s="396" t="str">
        <f>'[3]ISRS Addns Nov and Dec 2016'!F89</f>
        <v>Main Replacement - ISRS (N)</v>
      </c>
      <c r="G86" s="398">
        <f>'[3]ISRS Addns Nov and Dec 2016'!I89</f>
        <v>27197.14</v>
      </c>
    </row>
    <row r="87" spans="1:7" s="399" customFormat="1" ht="75">
      <c r="A87" s="395" t="str">
        <f>'[3]ISRS Addns Nov and Dec 2016'!C90</f>
        <v>800046</v>
      </c>
      <c r="B87" s="395" t="str">
        <f>'[3]ISRS Addns Nov and Dec 2016'!B90</f>
        <v>N/A</v>
      </c>
      <c r="C87" s="396" t="str">
        <f>'[3]ISRS Addns Nov and Dec 2016'!D90</f>
        <v>Liberty - Grid Phase B</v>
      </c>
      <c r="D87" s="397" t="s">
        <v>2522</v>
      </c>
      <c r="E87" s="395" t="str">
        <f>'[3]ISRS Addns Nov and Dec 2016'!E90</f>
        <v>F0599</v>
      </c>
      <c r="F87" s="396" t="str">
        <f>'[3]ISRS Addns Nov and Dec 2016'!F90</f>
        <v>Main Replacement - ISRS (N)</v>
      </c>
      <c r="G87" s="398">
        <f>'[3]ISRS Addns Nov and Dec 2016'!I90</f>
        <v>203.06</v>
      </c>
    </row>
    <row r="88" spans="1:7" s="399" customFormat="1" ht="75">
      <c r="A88" s="395" t="str">
        <f>'[3]ISRS Addns Nov and Dec 2016'!C91</f>
        <v>800046</v>
      </c>
      <c r="B88" s="395" t="str">
        <f>'[3]ISRS Addns Nov and Dec 2016'!B91</f>
        <v>N/A</v>
      </c>
      <c r="C88" s="396" t="str">
        <f>'[3]ISRS Addns Nov and Dec 2016'!D91</f>
        <v>Liberty - Grid Phase B</v>
      </c>
      <c r="D88" s="397" t="s">
        <v>2522</v>
      </c>
      <c r="E88" s="395" t="str">
        <f>'[3]ISRS Addns Nov and Dec 2016'!E91</f>
        <v>F0599</v>
      </c>
      <c r="F88" s="396" t="str">
        <f>'[3]ISRS Addns Nov and Dec 2016'!F91</f>
        <v>Main Replacement - ISRS (N)</v>
      </c>
      <c r="G88" s="398">
        <f>'[3]ISRS Addns Nov and Dec 2016'!I91</f>
        <v>687.79</v>
      </c>
    </row>
    <row r="89" spans="1:7" s="399" customFormat="1" ht="75">
      <c r="A89" s="395" t="str">
        <f>'[3]ISRS Addns Nov and Dec 2016'!C92</f>
        <v>800046</v>
      </c>
      <c r="B89" s="395" t="str">
        <f>'[3]ISRS Addns Nov and Dec 2016'!B92</f>
        <v>N/A</v>
      </c>
      <c r="C89" s="396" t="str">
        <f>'[3]ISRS Addns Nov and Dec 2016'!D92</f>
        <v>Liberty - Grid Phase B</v>
      </c>
      <c r="D89" s="397" t="s">
        <v>2522</v>
      </c>
      <c r="E89" s="395" t="str">
        <f>'[3]ISRS Addns Nov and Dec 2016'!E92</f>
        <v>F0599</v>
      </c>
      <c r="F89" s="396" t="str">
        <f>'[3]ISRS Addns Nov and Dec 2016'!F92</f>
        <v>Main Replacement - ISRS (N)</v>
      </c>
      <c r="G89" s="398">
        <f>'[3]ISRS Addns Nov and Dec 2016'!I92</f>
        <v>5.14</v>
      </c>
    </row>
    <row r="90" spans="1:7" s="399" customFormat="1" ht="60">
      <c r="A90" s="395" t="str">
        <f>'[3]ISRS Addns Nov and Dec 2016'!C93</f>
        <v>800064</v>
      </c>
      <c r="B90" s="395" t="str">
        <f>'[3]ISRS Addns Nov and Dec 2016'!B93</f>
        <v>N/A</v>
      </c>
      <c r="C90" s="396" t="str">
        <f>'[3]ISRS Addns Nov and Dec 2016'!D93</f>
        <v>Repl w/ 3152F 2-4P 48th &amp; Rangeline</v>
      </c>
      <c r="D90" s="397" t="s">
        <v>2523</v>
      </c>
      <c r="E90" s="395" t="str">
        <f>'[3]ISRS Addns Nov and Dec 2016'!E93</f>
        <v>F0572</v>
      </c>
      <c r="F90" s="396" t="str">
        <f>'[3]ISRS Addns Nov and Dec 2016'!F93</f>
        <v>Main Replacement - ISRS (SW)</v>
      </c>
      <c r="G90" s="398">
        <f>'[3]ISRS Addns Nov and Dec 2016'!I93</f>
        <v>-104.26</v>
      </c>
    </row>
    <row r="91" spans="1:7" s="399" customFormat="1" ht="60">
      <c r="A91" s="395" t="str">
        <f>'[3]ISRS Addns Nov and Dec 2016'!C94</f>
        <v>800064</v>
      </c>
      <c r="B91" s="395" t="str">
        <f>'[3]ISRS Addns Nov and Dec 2016'!B94</f>
        <v>N/A</v>
      </c>
      <c r="C91" s="396" t="str">
        <f>'[3]ISRS Addns Nov and Dec 2016'!D94</f>
        <v>Repl w/ 3152F 2-4P 48th &amp; Rangeline</v>
      </c>
      <c r="D91" s="397" t="s">
        <v>2523</v>
      </c>
      <c r="E91" s="395" t="str">
        <f>'[3]ISRS Addns Nov and Dec 2016'!E94</f>
        <v>F0572</v>
      </c>
      <c r="F91" s="396" t="str">
        <f>'[3]ISRS Addns Nov and Dec 2016'!F94</f>
        <v>Main Replacement - ISRS (SW)</v>
      </c>
      <c r="G91" s="398">
        <f>'[3]ISRS Addns Nov and Dec 2016'!I94</f>
        <v>-1.56</v>
      </c>
    </row>
    <row r="92" spans="1:7" s="399" customFormat="1" ht="60">
      <c r="A92" s="395" t="str">
        <f>'[3]ISRS Addns Nov and Dec 2016'!C95</f>
        <v>800064</v>
      </c>
      <c r="B92" s="395" t="str">
        <f>'[3]ISRS Addns Nov and Dec 2016'!B95</f>
        <v>N/A</v>
      </c>
      <c r="C92" s="396" t="str">
        <f>'[3]ISRS Addns Nov and Dec 2016'!D95</f>
        <v>Repl w/ 3152F 2-4P 48th &amp; Rangeline</v>
      </c>
      <c r="D92" s="397" t="s">
        <v>2523</v>
      </c>
      <c r="E92" s="395" t="str">
        <f>'[3]ISRS Addns Nov and Dec 2016'!E95</f>
        <v>F0572</v>
      </c>
      <c r="F92" s="396" t="str">
        <f>'[3]ISRS Addns Nov and Dec 2016'!F95</f>
        <v>Main Replacement - ISRS (SW)</v>
      </c>
      <c r="G92" s="398">
        <f>'[3]ISRS Addns Nov and Dec 2016'!I95</f>
        <v>10.210000000000001</v>
      </c>
    </row>
    <row r="93" spans="1:7" s="399" customFormat="1" ht="60">
      <c r="A93" s="395" t="str">
        <f>'[3]ISRS Addns Nov and Dec 2016'!C96</f>
        <v>800064</v>
      </c>
      <c r="B93" s="395" t="str">
        <f>'[3]ISRS Addns Nov and Dec 2016'!B96</f>
        <v>N/A</v>
      </c>
      <c r="C93" s="396" t="str">
        <f>'[3]ISRS Addns Nov and Dec 2016'!D96</f>
        <v>Repl w/ 3152F 2-4P 48th &amp; Rangeline</v>
      </c>
      <c r="D93" s="397" t="s">
        <v>2523</v>
      </c>
      <c r="E93" s="395" t="str">
        <f>'[3]ISRS Addns Nov and Dec 2016'!E96</f>
        <v>F0572</v>
      </c>
      <c r="F93" s="396" t="str">
        <f>'[3]ISRS Addns Nov and Dec 2016'!F96</f>
        <v>Main Replacement - ISRS (SW)</v>
      </c>
      <c r="G93" s="398">
        <f>'[3]ISRS Addns Nov and Dec 2016'!I96</f>
        <v>0.14000000000000001</v>
      </c>
    </row>
    <row r="94" spans="1:7" s="399" customFormat="1" ht="195">
      <c r="A94" s="395" t="str">
        <f>'[3]ISRS Addns Nov and Dec 2016'!C97</f>
        <v>800068</v>
      </c>
      <c r="B94" s="395" t="str">
        <f>'[3]ISRS Addns Nov and Dec 2016'!B97</f>
        <v>N/A</v>
      </c>
      <c r="C94" s="396" t="str">
        <f>'[3]ISRS Addns Nov and Dec 2016'!D97</f>
        <v>Tipton Bare Steel Replace-Grid PhA</v>
      </c>
      <c r="D94" s="397" t="s">
        <v>2524</v>
      </c>
      <c r="E94" s="395" t="str">
        <f>'[3]ISRS Addns Nov and Dec 2016'!E97</f>
        <v>F0604</v>
      </c>
      <c r="F94" s="396" t="str">
        <f>'[3]ISRS Addns Nov and Dec 2016'!F97</f>
        <v>Main Replacement - ISRS (S)</v>
      </c>
      <c r="G94" s="398">
        <f>'[3]ISRS Addns Nov and Dec 2016'!I97</f>
        <v>283.68</v>
      </c>
    </row>
    <row r="95" spans="1:7" s="399" customFormat="1" ht="195">
      <c r="A95" s="395" t="str">
        <f>'[3]ISRS Addns Nov and Dec 2016'!C98</f>
        <v>800068</v>
      </c>
      <c r="B95" s="395" t="str">
        <f>'[3]ISRS Addns Nov and Dec 2016'!B98</f>
        <v>N/A</v>
      </c>
      <c r="C95" s="396" t="str">
        <f>'[3]ISRS Addns Nov and Dec 2016'!D98</f>
        <v>Tipton Bare Steel Replace-Grid PhA</v>
      </c>
      <c r="D95" s="397" t="s">
        <v>2524</v>
      </c>
      <c r="E95" s="395" t="str">
        <f>'[3]ISRS Addns Nov and Dec 2016'!E98</f>
        <v>F0604</v>
      </c>
      <c r="F95" s="396" t="str">
        <f>'[3]ISRS Addns Nov and Dec 2016'!F98</f>
        <v>Main Replacement - ISRS (S)</v>
      </c>
      <c r="G95" s="398">
        <f>'[3]ISRS Addns Nov and Dec 2016'!I98</f>
        <v>0.01</v>
      </c>
    </row>
    <row r="96" spans="1:7" s="399" customFormat="1" ht="195">
      <c r="A96" s="395" t="str">
        <f>'[3]ISRS Addns Nov and Dec 2016'!C99</f>
        <v>800068</v>
      </c>
      <c r="B96" s="395" t="str">
        <f>'[3]ISRS Addns Nov and Dec 2016'!B99</f>
        <v>N/A</v>
      </c>
      <c r="C96" s="396" t="str">
        <f>'[3]ISRS Addns Nov and Dec 2016'!D99</f>
        <v>Tipton Bare Steel Replace-Grid PhA</v>
      </c>
      <c r="D96" s="397" t="s">
        <v>2524</v>
      </c>
      <c r="E96" s="395" t="str">
        <f>'[3]ISRS Addns Nov and Dec 2016'!E99</f>
        <v>F0604</v>
      </c>
      <c r="F96" s="396" t="str">
        <f>'[3]ISRS Addns Nov and Dec 2016'!F99</f>
        <v>Main Replacement - ISRS (S)</v>
      </c>
      <c r="G96" s="398">
        <f>'[3]ISRS Addns Nov and Dec 2016'!I99</f>
        <v>1943.6</v>
      </c>
    </row>
    <row r="97" spans="1:7" s="399" customFormat="1" ht="195">
      <c r="A97" s="395" t="str">
        <f>'[3]ISRS Addns Nov and Dec 2016'!C100</f>
        <v>800068</v>
      </c>
      <c r="B97" s="395" t="str">
        <f>'[3]ISRS Addns Nov and Dec 2016'!B100</f>
        <v>N/A</v>
      </c>
      <c r="C97" s="396" t="str">
        <f>'[3]ISRS Addns Nov and Dec 2016'!D100</f>
        <v>Tipton Bare Steel Replace-Grid PhA</v>
      </c>
      <c r="D97" s="397" t="s">
        <v>2524</v>
      </c>
      <c r="E97" s="395" t="str">
        <f>'[3]ISRS Addns Nov and Dec 2016'!E100</f>
        <v>F0604</v>
      </c>
      <c r="F97" s="396" t="str">
        <f>'[3]ISRS Addns Nov and Dec 2016'!F100</f>
        <v>Main Replacement - ISRS (S)</v>
      </c>
      <c r="G97" s="398">
        <f>'[3]ISRS Addns Nov and Dec 2016'!I100</f>
        <v>7.0000000000000007E-2</v>
      </c>
    </row>
    <row r="98" spans="1:7" s="399" customFormat="1" ht="45">
      <c r="A98" s="395" t="str">
        <f>'[3]ISRS Addns Nov and Dec 2016'!C101</f>
        <v>800069</v>
      </c>
      <c r="B98" s="395" t="str">
        <f>'[3]ISRS Addns Nov and Dec 2016'!B101</f>
        <v>N/A</v>
      </c>
      <c r="C98" s="396" t="str">
        <f>'[3]ISRS Addns Nov and Dec 2016'!D101</f>
        <v>Tipton Grid Phase C - Bare steel re</v>
      </c>
      <c r="D98" s="397" t="s">
        <v>2525</v>
      </c>
      <c r="E98" s="395" t="str">
        <f>'[3]ISRS Addns Nov and Dec 2016'!E101</f>
        <v>F0604</v>
      </c>
      <c r="F98" s="396" t="str">
        <f>'[3]ISRS Addns Nov and Dec 2016'!F101</f>
        <v>Main Replacement - ISRS (S)</v>
      </c>
      <c r="G98" s="398">
        <f>'[3]ISRS Addns Nov and Dec 2016'!I101</f>
        <v>-56.2</v>
      </c>
    </row>
    <row r="99" spans="1:7" s="399" customFormat="1" ht="45">
      <c r="A99" s="395" t="str">
        <f>'[3]ISRS Addns Nov and Dec 2016'!C102</f>
        <v>800069</v>
      </c>
      <c r="B99" s="395" t="str">
        <f>'[3]ISRS Addns Nov and Dec 2016'!B102</f>
        <v>N/A</v>
      </c>
      <c r="C99" s="396" t="str">
        <f>'[3]ISRS Addns Nov and Dec 2016'!D102</f>
        <v>Tipton Grid Phase C - Bare steel re</v>
      </c>
      <c r="D99" s="397" t="s">
        <v>2525</v>
      </c>
      <c r="E99" s="395" t="str">
        <f>'[3]ISRS Addns Nov and Dec 2016'!E102</f>
        <v>F0604</v>
      </c>
      <c r="F99" s="396" t="str">
        <f>'[3]ISRS Addns Nov and Dec 2016'!F102</f>
        <v>Main Replacement - ISRS (S)</v>
      </c>
      <c r="G99" s="398">
        <f>'[3]ISRS Addns Nov and Dec 2016'!I102</f>
        <v>-0.01</v>
      </c>
    </row>
    <row r="100" spans="1:7" s="399" customFormat="1" ht="45">
      <c r="A100" s="395" t="str">
        <f>'[3]ISRS Addns Nov and Dec 2016'!C103</f>
        <v>800069</v>
      </c>
      <c r="B100" s="395" t="str">
        <f>'[3]ISRS Addns Nov and Dec 2016'!B103</f>
        <v>N/A</v>
      </c>
      <c r="C100" s="396" t="str">
        <f>'[3]ISRS Addns Nov and Dec 2016'!D103</f>
        <v>Tipton Grid Phase C - Bare steel re</v>
      </c>
      <c r="D100" s="397" t="s">
        <v>2525</v>
      </c>
      <c r="E100" s="395" t="str">
        <f>'[3]ISRS Addns Nov and Dec 2016'!E103</f>
        <v>F0604</v>
      </c>
      <c r="F100" s="396" t="str">
        <f>'[3]ISRS Addns Nov and Dec 2016'!F103</f>
        <v>Main Replacement - ISRS (S)</v>
      </c>
      <c r="G100" s="398">
        <f>'[3]ISRS Addns Nov and Dec 2016'!I103</f>
        <v>4788.9799999999996</v>
      </c>
    </row>
    <row r="101" spans="1:7" s="399" customFormat="1" ht="45">
      <c r="A101" s="395" t="str">
        <f>'[3]ISRS Addns Nov and Dec 2016'!C104</f>
        <v>800069</v>
      </c>
      <c r="B101" s="395" t="str">
        <f>'[3]ISRS Addns Nov and Dec 2016'!B104</f>
        <v>N/A</v>
      </c>
      <c r="C101" s="396" t="str">
        <f>'[3]ISRS Addns Nov and Dec 2016'!D104</f>
        <v>Tipton Grid Phase C - Bare steel re</v>
      </c>
      <c r="D101" s="397" t="s">
        <v>2525</v>
      </c>
      <c r="E101" s="395" t="str">
        <f>'[3]ISRS Addns Nov and Dec 2016'!E104</f>
        <v>F0604</v>
      </c>
      <c r="F101" s="396" t="str">
        <f>'[3]ISRS Addns Nov and Dec 2016'!F104</f>
        <v>Main Replacement - ISRS (S)</v>
      </c>
      <c r="G101" s="398">
        <f>'[3]ISRS Addns Nov and Dec 2016'!I104</f>
        <v>1.1200000000000001</v>
      </c>
    </row>
    <row r="102" spans="1:7" s="399" customFormat="1" ht="60">
      <c r="A102" s="395" t="str">
        <f>'[3]ISRS Addns Nov and Dec 2016'!C105</f>
        <v>800070</v>
      </c>
      <c r="B102" s="395" t="str">
        <f>'[3]ISRS Addns Nov and Dec 2016'!B105</f>
        <v>N/A</v>
      </c>
      <c r="C102" s="396" t="str">
        <f>'[3]ISRS Addns Nov and Dec 2016'!D105</f>
        <v>Tipton Grid Phase D - Bare steel re</v>
      </c>
      <c r="D102" s="397" t="s">
        <v>2526</v>
      </c>
      <c r="E102" s="395" t="str">
        <f>'[3]ISRS Addns Nov and Dec 2016'!E105</f>
        <v>F0604</v>
      </c>
      <c r="F102" s="396" t="str">
        <f>'[3]ISRS Addns Nov and Dec 2016'!F105</f>
        <v>Main Replacement - ISRS (S)</v>
      </c>
      <c r="G102" s="398">
        <f>'[3]ISRS Addns Nov and Dec 2016'!I105</f>
        <v>721.06</v>
      </c>
    </row>
    <row r="103" spans="1:7" s="399" customFormat="1" ht="60">
      <c r="A103" s="395" t="str">
        <f>'[3]ISRS Addns Nov and Dec 2016'!C106</f>
        <v>800070</v>
      </c>
      <c r="B103" s="395" t="str">
        <f>'[3]ISRS Addns Nov and Dec 2016'!B106</f>
        <v>N/A</v>
      </c>
      <c r="C103" s="396" t="str">
        <f>'[3]ISRS Addns Nov and Dec 2016'!D106</f>
        <v>Tipton Grid Phase D - Bare steel re</v>
      </c>
      <c r="D103" s="397" t="s">
        <v>2526</v>
      </c>
      <c r="E103" s="395" t="str">
        <f>'[3]ISRS Addns Nov and Dec 2016'!E106</f>
        <v>F0604</v>
      </c>
      <c r="F103" s="396" t="str">
        <f>'[3]ISRS Addns Nov and Dec 2016'!F106</f>
        <v>Main Replacement - ISRS (S)</v>
      </c>
      <c r="G103" s="398">
        <f>'[3]ISRS Addns Nov and Dec 2016'!I106</f>
        <v>-520.87</v>
      </c>
    </row>
    <row r="104" spans="1:7" s="399" customFormat="1" ht="75">
      <c r="A104" s="395" t="str">
        <f>'[3]ISRS Addns Nov and Dec 2016'!C107</f>
        <v>800072</v>
      </c>
      <c r="B104" s="395" t="str">
        <f>'[3]ISRS Addns Nov and Dec 2016'!B107</f>
        <v>N/A</v>
      </c>
      <c r="C104" s="396" t="str">
        <f>'[3]ISRS Addns Nov and Dec 2016'!D107</f>
        <v>Tipton Grid Phase B - Bare steel re</v>
      </c>
      <c r="D104" s="397" t="s">
        <v>2527</v>
      </c>
      <c r="E104" s="395" t="str">
        <f>'[3]ISRS Addns Nov and Dec 2016'!E107</f>
        <v>F0604</v>
      </c>
      <c r="F104" s="396" t="str">
        <f>'[3]ISRS Addns Nov and Dec 2016'!F107</f>
        <v>Main Replacement - ISRS (S)</v>
      </c>
      <c r="G104" s="398">
        <f>'[3]ISRS Addns Nov and Dec 2016'!I107</f>
        <v>-153.71</v>
      </c>
    </row>
    <row r="105" spans="1:7" s="399" customFormat="1" ht="75">
      <c r="A105" s="395" t="str">
        <f>'[3]ISRS Addns Nov and Dec 2016'!C108</f>
        <v>800072</v>
      </c>
      <c r="B105" s="395" t="str">
        <f>'[3]ISRS Addns Nov and Dec 2016'!B108</f>
        <v>N/A</v>
      </c>
      <c r="C105" s="396" t="str">
        <f>'[3]ISRS Addns Nov and Dec 2016'!D108</f>
        <v>Tipton Grid Phase B - Bare steel re</v>
      </c>
      <c r="D105" s="397" t="s">
        <v>2527</v>
      </c>
      <c r="E105" s="395" t="str">
        <f>'[3]ISRS Addns Nov and Dec 2016'!E108</f>
        <v>F0604</v>
      </c>
      <c r="F105" s="396" t="str">
        <f>'[3]ISRS Addns Nov and Dec 2016'!F108</f>
        <v>Main Replacement - ISRS (S)</v>
      </c>
      <c r="G105" s="398">
        <f>'[3]ISRS Addns Nov and Dec 2016'!I108</f>
        <v>-7.0000000000000007E-2</v>
      </c>
    </row>
    <row r="106" spans="1:7" s="399" customFormat="1" ht="75">
      <c r="A106" s="395" t="str">
        <f>'[3]ISRS Addns Nov and Dec 2016'!C109</f>
        <v>800072</v>
      </c>
      <c r="B106" s="395" t="str">
        <f>'[3]ISRS Addns Nov and Dec 2016'!B109</f>
        <v>N/A</v>
      </c>
      <c r="C106" s="396" t="str">
        <f>'[3]ISRS Addns Nov and Dec 2016'!D109</f>
        <v>Tipton Grid Phase B - Bare steel re</v>
      </c>
      <c r="D106" s="397" t="s">
        <v>2527</v>
      </c>
      <c r="E106" s="395" t="str">
        <f>'[3]ISRS Addns Nov and Dec 2016'!E109</f>
        <v>F0604</v>
      </c>
      <c r="F106" s="396" t="str">
        <f>'[3]ISRS Addns Nov and Dec 2016'!F109</f>
        <v>Main Replacement - ISRS (S)</v>
      </c>
      <c r="G106" s="398">
        <f>'[3]ISRS Addns Nov and Dec 2016'!I109</f>
        <v>5751.91</v>
      </c>
    </row>
    <row r="107" spans="1:7" s="399" customFormat="1" ht="75">
      <c r="A107" s="395" t="str">
        <f>'[3]ISRS Addns Nov and Dec 2016'!C110</f>
        <v>800072</v>
      </c>
      <c r="B107" s="395" t="str">
        <f>'[3]ISRS Addns Nov and Dec 2016'!B110</f>
        <v>N/A</v>
      </c>
      <c r="C107" s="396" t="str">
        <f>'[3]ISRS Addns Nov and Dec 2016'!D110</f>
        <v>Tipton Grid Phase B - Bare steel re</v>
      </c>
      <c r="D107" s="397" t="s">
        <v>2527</v>
      </c>
      <c r="E107" s="395" t="str">
        <f>'[3]ISRS Addns Nov and Dec 2016'!E110</f>
        <v>F0604</v>
      </c>
      <c r="F107" s="396" t="str">
        <f>'[3]ISRS Addns Nov and Dec 2016'!F110</f>
        <v>Main Replacement - ISRS (S)</v>
      </c>
      <c r="G107" s="398">
        <f>'[3]ISRS Addns Nov and Dec 2016'!I110</f>
        <v>2.2599999999999998</v>
      </c>
    </row>
    <row r="108" spans="1:7" s="399" customFormat="1" ht="45">
      <c r="A108" s="395" t="str">
        <f>'[3]ISRS Addns Nov and Dec 2016'!C111</f>
        <v>800073</v>
      </c>
      <c r="B108" s="395" t="str">
        <f>'[3]ISRS Addns Nov and Dec 2016'!B111</f>
        <v>N/A</v>
      </c>
      <c r="C108" s="396" t="str">
        <f>'[3]ISRS Addns Nov and Dec 2016'!D111</f>
        <v>Tipton Grid Phase F - Bare steel re</v>
      </c>
      <c r="D108" s="397" t="s">
        <v>2528</v>
      </c>
      <c r="E108" s="395" t="str">
        <f>'[3]ISRS Addns Nov and Dec 2016'!E111</f>
        <v>F0604</v>
      </c>
      <c r="F108" s="396" t="str">
        <f>'[3]ISRS Addns Nov and Dec 2016'!F111</f>
        <v>Main Replacement - ISRS (S)</v>
      </c>
      <c r="G108" s="398">
        <f>'[3]ISRS Addns Nov and Dec 2016'!I111</f>
        <v>5599.15</v>
      </c>
    </row>
    <row r="109" spans="1:7" s="399" customFormat="1" ht="45">
      <c r="A109" s="395" t="str">
        <f>'[3]ISRS Addns Nov and Dec 2016'!C112</f>
        <v>800073</v>
      </c>
      <c r="B109" s="395" t="str">
        <f>'[3]ISRS Addns Nov and Dec 2016'!B112</f>
        <v>N/A</v>
      </c>
      <c r="C109" s="396" t="str">
        <f>'[3]ISRS Addns Nov and Dec 2016'!D112</f>
        <v>Tipton Grid Phase F - Bare steel re</v>
      </c>
      <c r="D109" s="397" t="s">
        <v>2528</v>
      </c>
      <c r="E109" s="395" t="str">
        <f>'[3]ISRS Addns Nov and Dec 2016'!E112</f>
        <v>F0604</v>
      </c>
      <c r="F109" s="396" t="str">
        <f>'[3]ISRS Addns Nov and Dec 2016'!F112</f>
        <v>Main Replacement - ISRS (S)</v>
      </c>
      <c r="G109" s="398">
        <f>'[3]ISRS Addns Nov and Dec 2016'!I112</f>
        <v>22859.34</v>
      </c>
    </row>
    <row r="110" spans="1:7" s="399" customFormat="1" ht="45">
      <c r="A110" s="395" t="str">
        <f>'[3]ISRS Addns Nov and Dec 2016'!C113</f>
        <v>800075</v>
      </c>
      <c r="B110" s="395" t="str">
        <f>'[3]ISRS Addns Nov and Dec 2016'!B113</f>
        <v>N/A</v>
      </c>
      <c r="C110" s="396" t="str">
        <f>'[3]ISRS Addns Nov and Dec 2016'!D113</f>
        <v>Tipton Grid Phase E - Bare steel re</v>
      </c>
      <c r="D110" s="397" t="s">
        <v>2529</v>
      </c>
      <c r="E110" s="395" t="str">
        <f>'[3]ISRS Addns Nov and Dec 2016'!E113</f>
        <v>F0604</v>
      </c>
      <c r="F110" s="396" t="str">
        <f>'[3]ISRS Addns Nov and Dec 2016'!F113</f>
        <v>Main Replacement - ISRS (S)</v>
      </c>
      <c r="G110" s="398">
        <f>'[3]ISRS Addns Nov and Dec 2016'!I113</f>
        <v>-12.31</v>
      </c>
    </row>
    <row r="111" spans="1:7" s="399" customFormat="1" ht="45">
      <c r="A111" s="395" t="str">
        <f>'[3]ISRS Addns Nov and Dec 2016'!C114</f>
        <v>800075</v>
      </c>
      <c r="B111" s="395" t="str">
        <f>'[3]ISRS Addns Nov and Dec 2016'!B114</f>
        <v>N/A</v>
      </c>
      <c r="C111" s="396" t="str">
        <f>'[3]ISRS Addns Nov and Dec 2016'!D114</f>
        <v>Tipton Grid Phase E - Bare steel re</v>
      </c>
      <c r="D111" s="397" t="s">
        <v>2529</v>
      </c>
      <c r="E111" s="395" t="str">
        <f>'[3]ISRS Addns Nov and Dec 2016'!E114</f>
        <v>F0604</v>
      </c>
      <c r="F111" s="396" t="str">
        <f>'[3]ISRS Addns Nov and Dec 2016'!F114</f>
        <v>Main Replacement - ISRS (S)</v>
      </c>
      <c r="G111" s="398">
        <f>'[3]ISRS Addns Nov and Dec 2016'!I114</f>
        <v>-0.02</v>
      </c>
    </row>
    <row r="112" spans="1:7" s="399" customFormat="1" ht="45">
      <c r="A112" s="395" t="str">
        <f>'[3]ISRS Addns Nov and Dec 2016'!C115</f>
        <v>800075</v>
      </c>
      <c r="B112" s="395" t="str">
        <f>'[3]ISRS Addns Nov and Dec 2016'!B115</f>
        <v>N/A</v>
      </c>
      <c r="C112" s="396" t="str">
        <f>'[3]ISRS Addns Nov and Dec 2016'!D115</f>
        <v>Tipton Grid Phase E - Bare steel re</v>
      </c>
      <c r="D112" s="397" t="s">
        <v>2529</v>
      </c>
      <c r="E112" s="395" t="str">
        <f>'[3]ISRS Addns Nov and Dec 2016'!E115</f>
        <v>F0604</v>
      </c>
      <c r="F112" s="396" t="str">
        <f>'[3]ISRS Addns Nov and Dec 2016'!F115</f>
        <v>Main Replacement - ISRS (S)</v>
      </c>
      <c r="G112" s="398">
        <f>'[3]ISRS Addns Nov and Dec 2016'!I115</f>
        <v>12721.13</v>
      </c>
    </row>
    <row r="113" spans="1:7" s="399" customFormat="1" ht="45">
      <c r="A113" s="395" t="str">
        <f>'[3]ISRS Addns Nov and Dec 2016'!C116</f>
        <v>800075</v>
      </c>
      <c r="B113" s="395" t="str">
        <f>'[3]ISRS Addns Nov and Dec 2016'!B116</f>
        <v>N/A</v>
      </c>
      <c r="C113" s="396" t="str">
        <f>'[3]ISRS Addns Nov and Dec 2016'!D116</f>
        <v>Tipton Grid Phase E - Bare steel re</v>
      </c>
      <c r="D113" s="397" t="s">
        <v>2529</v>
      </c>
      <c r="E113" s="395" t="str">
        <f>'[3]ISRS Addns Nov and Dec 2016'!E116</f>
        <v>F0604</v>
      </c>
      <c r="F113" s="396" t="str">
        <f>'[3]ISRS Addns Nov and Dec 2016'!F116</f>
        <v>Main Replacement - ISRS (S)</v>
      </c>
      <c r="G113" s="398">
        <f>'[3]ISRS Addns Nov and Dec 2016'!I116</f>
        <v>20.71</v>
      </c>
    </row>
    <row r="114" spans="1:7" s="399" customFormat="1" ht="60">
      <c r="A114" s="395" t="str">
        <f>'[3]ISRS Addns Nov and Dec 2016'!C117</f>
        <v>800078</v>
      </c>
      <c r="B114" s="395" t="str">
        <f>'[3]ISRS Addns Nov and Dec 2016'!B117</f>
        <v>N/A</v>
      </c>
      <c r="C114" s="396" t="str">
        <f>'[3]ISRS Addns Nov and Dec 2016'!D117</f>
        <v>Liberty Header - Phase 1</v>
      </c>
      <c r="D114" s="397" t="s">
        <v>2530</v>
      </c>
      <c r="E114" s="395" t="str">
        <f>'[3]ISRS Addns Nov and Dec 2016'!E117</f>
        <v>F0599</v>
      </c>
      <c r="F114" s="396" t="str">
        <f>'[3]ISRS Addns Nov and Dec 2016'!F117</f>
        <v>Main Replacement - ISRS (N)</v>
      </c>
      <c r="G114" s="398">
        <f>'[3]ISRS Addns Nov and Dec 2016'!I117</f>
        <v>-432.84</v>
      </c>
    </row>
    <row r="115" spans="1:7" s="399" customFormat="1" ht="60">
      <c r="A115" s="395" t="str">
        <f>'[3]ISRS Addns Nov and Dec 2016'!C118</f>
        <v>800078</v>
      </c>
      <c r="B115" s="395" t="str">
        <f>'[3]ISRS Addns Nov and Dec 2016'!B118</f>
        <v>N/A</v>
      </c>
      <c r="C115" s="396" t="str">
        <f>'[3]ISRS Addns Nov and Dec 2016'!D118</f>
        <v>Liberty Header - Phase 1</v>
      </c>
      <c r="D115" s="397" t="s">
        <v>2530</v>
      </c>
      <c r="E115" s="395" t="str">
        <f>'[3]ISRS Addns Nov and Dec 2016'!E118</f>
        <v>F0599</v>
      </c>
      <c r="F115" s="396" t="str">
        <f>'[3]ISRS Addns Nov and Dec 2016'!F118</f>
        <v>Main Replacement - ISRS (N)</v>
      </c>
      <c r="G115" s="398">
        <f>'[3]ISRS Addns Nov and Dec 2016'!I118</f>
        <v>333.5</v>
      </c>
    </row>
    <row r="116" spans="1:7" s="399" customFormat="1" ht="75">
      <c r="A116" s="395" t="str">
        <f>'[3]ISRS Addns Nov and Dec 2016'!C119</f>
        <v>800083</v>
      </c>
      <c r="B116" s="395" t="str">
        <f>'[3]ISRS Addns Nov and Dec 2016'!B119</f>
        <v>N/A</v>
      </c>
      <c r="C116" s="396" t="str">
        <f>'[3]ISRS Addns Nov and Dec 2016'!D119</f>
        <v>Holden Grid Phase 2I</v>
      </c>
      <c r="D116" s="397" t="s">
        <v>2531</v>
      </c>
      <c r="E116" s="395" t="str">
        <f>'[3]ISRS Addns Nov and Dec 2016'!E119</f>
        <v>F0604</v>
      </c>
      <c r="F116" s="396" t="str">
        <f>'[3]ISRS Addns Nov and Dec 2016'!F119</f>
        <v>Main Replacement - ISRS (S)</v>
      </c>
      <c r="G116" s="398">
        <f>'[3]ISRS Addns Nov and Dec 2016'!I119</f>
        <v>1058.54</v>
      </c>
    </row>
    <row r="117" spans="1:7" s="399" customFormat="1" ht="75">
      <c r="A117" s="395" t="str">
        <f>'[3]ISRS Addns Nov and Dec 2016'!C120</f>
        <v>800083</v>
      </c>
      <c r="B117" s="395" t="str">
        <f>'[3]ISRS Addns Nov and Dec 2016'!B120</f>
        <v>N/A</v>
      </c>
      <c r="C117" s="396" t="str">
        <f>'[3]ISRS Addns Nov and Dec 2016'!D120</f>
        <v>Holden Grid Phase 2I</v>
      </c>
      <c r="D117" s="397" t="s">
        <v>2531</v>
      </c>
      <c r="E117" s="395" t="str">
        <f>'[3]ISRS Addns Nov and Dec 2016'!E120</f>
        <v>F0604</v>
      </c>
      <c r="F117" s="396" t="str">
        <f>'[3]ISRS Addns Nov and Dec 2016'!F120</f>
        <v>Main Replacement - ISRS (S)</v>
      </c>
      <c r="G117" s="398">
        <f>'[3]ISRS Addns Nov and Dec 2016'!I120</f>
        <v>11.92</v>
      </c>
    </row>
    <row r="118" spans="1:7" s="399" customFormat="1" ht="75">
      <c r="A118" s="395" t="str">
        <f>'[3]ISRS Addns Nov and Dec 2016'!C121</f>
        <v>800083</v>
      </c>
      <c r="B118" s="395" t="str">
        <f>'[3]ISRS Addns Nov and Dec 2016'!B121</f>
        <v>N/A</v>
      </c>
      <c r="C118" s="396" t="str">
        <f>'[3]ISRS Addns Nov and Dec 2016'!D121</f>
        <v>Holden Grid Phase 2I</v>
      </c>
      <c r="D118" s="397" t="s">
        <v>2531</v>
      </c>
      <c r="E118" s="395" t="str">
        <f>'[3]ISRS Addns Nov and Dec 2016'!E121</f>
        <v>F0604</v>
      </c>
      <c r="F118" s="396" t="str">
        <f>'[3]ISRS Addns Nov and Dec 2016'!F121</f>
        <v>Main Replacement - ISRS (S)</v>
      </c>
      <c r="G118" s="398">
        <f>'[3]ISRS Addns Nov and Dec 2016'!I121</f>
        <v>1925.7</v>
      </c>
    </row>
    <row r="119" spans="1:7" s="399" customFormat="1" ht="75">
      <c r="A119" s="395" t="str">
        <f>'[3]ISRS Addns Nov and Dec 2016'!C122</f>
        <v>800083</v>
      </c>
      <c r="B119" s="395" t="str">
        <f>'[3]ISRS Addns Nov and Dec 2016'!B122</f>
        <v>N/A</v>
      </c>
      <c r="C119" s="396" t="str">
        <f>'[3]ISRS Addns Nov and Dec 2016'!D122</f>
        <v>Holden Grid Phase 2I</v>
      </c>
      <c r="D119" s="397" t="s">
        <v>2531</v>
      </c>
      <c r="E119" s="395" t="str">
        <f>'[3]ISRS Addns Nov and Dec 2016'!E122</f>
        <v>F0604</v>
      </c>
      <c r="F119" s="396" t="str">
        <f>'[3]ISRS Addns Nov and Dec 2016'!F122</f>
        <v>Main Replacement - ISRS (S)</v>
      </c>
      <c r="G119" s="398">
        <f>'[3]ISRS Addns Nov and Dec 2016'!I122</f>
        <v>21.7</v>
      </c>
    </row>
    <row r="120" spans="1:7" s="399" customFormat="1" ht="75">
      <c r="A120" s="395" t="str">
        <f>'[3]ISRS Addns Nov and Dec 2016'!C123</f>
        <v>800084</v>
      </c>
      <c r="B120" s="395" t="str">
        <f>'[3]ISRS Addns Nov and Dec 2016'!B123</f>
        <v>N/A</v>
      </c>
      <c r="C120" s="396" t="str">
        <f>'[3]ISRS Addns Nov and Dec 2016'!D123</f>
        <v>Holden Grid Phase 2H</v>
      </c>
      <c r="D120" s="397" t="s">
        <v>2532</v>
      </c>
      <c r="E120" s="395" t="str">
        <f>'[3]ISRS Addns Nov and Dec 2016'!E123</f>
        <v>F0604</v>
      </c>
      <c r="F120" s="396" t="str">
        <f>'[3]ISRS Addns Nov and Dec 2016'!F123</f>
        <v>Main Replacement - ISRS (S)</v>
      </c>
      <c r="G120" s="398">
        <f>'[3]ISRS Addns Nov and Dec 2016'!I123</f>
        <v>11804.01</v>
      </c>
    </row>
    <row r="121" spans="1:7" s="399" customFormat="1" ht="75">
      <c r="A121" s="395" t="str">
        <f>'[3]ISRS Addns Nov and Dec 2016'!C124</f>
        <v>800084</v>
      </c>
      <c r="B121" s="395" t="str">
        <f>'[3]ISRS Addns Nov and Dec 2016'!B124</f>
        <v>N/A</v>
      </c>
      <c r="C121" s="396" t="str">
        <f>'[3]ISRS Addns Nov and Dec 2016'!D124</f>
        <v>Holden Grid Phase 2H</v>
      </c>
      <c r="D121" s="397" t="s">
        <v>2532</v>
      </c>
      <c r="E121" s="395" t="str">
        <f>'[3]ISRS Addns Nov and Dec 2016'!E124</f>
        <v>F0604</v>
      </c>
      <c r="F121" s="396" t="str">
        <f>'[3]ISRS Addns Nov and Dec 2016'!F124</f>
        <v>Main Replacement - ISRS (S)</v>
      </c>
      <c r="G121" s="398">
        <f>'[3]ISRS Addns Nov and Dec 2016'!I124</f>
        <v>153.94999999999999</v>
      </c>
    </row>
    <row r="122" spans="1:7" s="399" customFormat="1" ht="75">
      <c r="A122" s="395" t="str">
        <f>'[3]ISRS Addns Nov and Dec 2016'!C125</f>
        <v>800084</v>
      </c>
      <c r="B122" s="395" t="str">
        <f>'[3]ISRS Addns Nov and Dec 2016'!B125</f>
        <v>N/A</v>
      </c>
      <c r="C122" s="396" t="str">
        <f>'[3]ISRS Addns Nov and Dec 2016'!D125</f>
        <v>Holden Grid Phase 2H</v>
      </c>
      <c r="D122" s="397" t="s">
        <v>2532</v>
      </c>
      <c r="E122" s="395" t="str">
        <f>'[3]ISRS Addns Nov and Dec 2016'!E125</f>
        <v>F0604</v>
      </c>
      <c r="F122" s="396" t="str">
        <f>'[3]ISRS Addns Nov and Dec 2016'!F125</f>
        <v>Main Replacement - ISRS (S)</v>
      </c>
      <c r="G122" s="398">
        <f>'[3]ISRS Addns Nov and Dec 2016'!I125</f>
        <v>1129.0899999999999</v>
      </c>
    </row>
    <row r="123" spans="1:7" s="399" customFormat="1" ht="75">
      <c r="A123" s="395" t="str">
        <f>'[3]ISRS Addns Nov and Dec 2016'!C126</f>
        <v>800084</v>
      </c>
      <c r="B123" s="395" t="str">
        <f>'[3]ISRS Addns Nov and Dec 2016'!B126</f>
        <v>N/A</v>
      </c>
      <c r="C123" s="396" t="str">
        <f>'[3]ISRS Addns Nov and Dec 2016'!D126</f>
        <v>Holden Grid Phase 2H</v>
      </c>
      <c r="D123" s="397" t="s">
        <v>2532</v>
      </c>
      <c r="E123" s="395" t="str">
        <f>'[3]ISRS Addns Nov and Dec 2016'!E126</f>
        <v>F0604</v>
      </c>
      <c r="F123" s="396" t="str">
        <f>'[3]ISRS Addns Nov and Dec 2016'!F126</f>
        <v>Main Replacement - ISRS (S)</v>
      </c>
      <c r="G123" s="398">
        <f>'[3]ISRS Addns Nov and Dec 2016'!I126</f>
        <v>14.72</v>
      </c>
    </row>
    <row r="124" spans="1:7" s="399" customFormat="1" ht="90">
      <c r="A124" s="395" t="str">
        <f>'[3]ISRS Addns Nov and Dec 2016'!C127</f>
        <v>800085</v>
      </c>
      <c r="B124" s="395" t="str">
        <f>'[3]ISRS Addns Nov and Dec 2016'!B127</f>
        <v>N/A</v>
      </c>
      <c r="C124" s="396" t="str">
        <f>'[3]ISRS Addns Nov and Dec 2016'!D127</f>
        <v>Holden Grid Phase 2G</v>
      </c>
      <c r="D124" s="397" t="s">
        <v>2533</v>
      </c>
      <c r="E124" s="395" t="str">
        <f>'[3]ISRS Addns Nov and Dec 2016'!E127</f>
        <v>F0604</v>
      </c>
      <c r="F124" s="396" t="str">
        <f>'[3]ISRS Addns Nov and Dec 2016'!F127</f>
        <v>Main Replacement - ISRS (S)</v>
      </c>
      <c r="G124" s="398">
        <f>'[3]ISRS Addns Nov and Dec 2016'!I127</f>
        <v>15917.24</v>
      </c>
    </row>
    <row r="125" spans="1:7" s="399" customFormat="1" ht="90">
      <c r="A125" s="395" t="str">
        <f>'[3]ISRS Addns Nov and Dec 2016'!C128</f>
        <v>800085</v>
      </c>
      <c r="B125" s="395" t="str">
        <f>'[3]ISRS Addns Nov and Dec 2016'!B128</f>
        <v>N/A</v>
      </c>
      <c r="C125" s="396" t="str">
        <f>'[3]ISRS Addns Nov and Dec 2016'!D128</f>
        <v>Holden Grid Phase 2G</v>
      </c>
      <c r="D125" s="397" t="s">
        <v>2533</v>
      </c>
      <c r="E125" s="395" t="str">
        <f>'[3]ISRS Addns Nov and Dec 2016'!E128</f>
        <v>F0604</v>
      </c>
      <c r="F125" s="396" t="str">
        <f>'[3]ISRS Addns Nov and Dec 2016'!F128</f>
        <v>Main Replacement - ISRS (S)</v>
      </c>
      <c r="G125" s="398">
        <f>'[3]ISRS Addns Nov and Dec 2016'!I128</f>
        <v>272.72000000000003</v>
      </c>
    </row>
    <row r="126" spans="1:7" s="399" customFormat="1" ht="90">
      <c r="A126" s="395" t="str">
        <f>'[3]ISRS Addns Nov and Dec 2016'!C129</f>
        <v>800085</v>
      </c>
      <c r="B126" s="395" t="str">
        <f>'[3]ISRS Addns Nov and Dec 2016'!B129</f>
        <v>N/A</v>
      </c>
      <c r="C126" s="396" t="str">
        <f>'[3]ISRS Addns Nov and Dec 2016'!D129</f>
        <v>Holden Grid Phase 2G</v>
      </c>
      <c r="D126" s="397" t="s">
        <v>2533</v>
      </c>
      <c r="E126" s="395" t="str">
        <f>'[3]ISRS Addns Nov and Dec 2016'!E129</f>
        <v>F0604</v>
      </c>
      <c r="F126" s="396" t="str">
        <f>'[3]ISRS Addns Nov and Dec 2016'!F129</f>
        <v>Main Replacement - ISRS (S)</v>
      </c>
      <c r="G126" s="398">
        <f>'[3]ISRS Addns Nov and Dec 2016'!I129</f>
        <v>526.04999999999995</v>
      </c>
    </row>
    <row r="127" spans="1:7" s="399" customFormat="1" ht="90">
      <c r="A127" s="395" t="str">
        <f>'[3]ISRS Addns Nov and Dec 2016'!C130</f>
        <v>800085</v>
      </c>
      <c r="B127" s="395" t="str">
        <f>'[3]ISRS Addns Nov and Dec 2016'!B130</f>
        <v>N/A</v>
      </c>
      <c r="C127" s="396" t="str">
        <f>'[3]ISRS Addns Nov and Dec 2016'!D130</f>
        <v>Holden Grid Phase 2G</v>
      </c>
      <c r="D127" s="397" t="s">
        <v>2533</v>
      </c>
      <c r="E127" s="395" t="str">
        <f>'[3]ISRS Addns Nov and Dec 2016'!E130</f>
        <v>F0604</v>
      </c>
      <c r="F127" s="396" t="str">
        <f>'[3]ISRS Addns Nov and Dec 2016'!F130</f>
        <v>Main Replacement - ISRS (S)</v>
      </c>
      <c r="G127" s="398">
        <f>'[3]ISRS Addns Nov and Dec 2016'!I130</f>
        <v>9.01</v>
      </c>
    </row>
    <row r="128" spans="1:7" s="399" customFormat="1" ht="135">
      <c r="A128" s="395" t="str">
        <f>'[3]ISRS Addns Nov and Dec 2016'!C131</f>
        <v>800086</v>
      </c>
      <c r="B128" s="395" t="str">
        <f>'[3]ISRS Addns Nov and Dec 2016'!B131</f>
        <v>N/A</v>
      </c>
      <c r="C128" s="396" t="str">
        <f>'[3]ISRS Addns Nov and Dec 2016'!D131</f>
        <v>Holden Grid Phase 2F</v>
      </c>
      <c r="D128" s="397" t="s">
        <v>2534</v>
      </c>
      <c r="E128" s="395" t="str">
        <f>'[3]ISRS Addns Nov and Dec 2016'!E131</f>
        <v>F0604</v>
      </c>
      <c r="F128" s="396" t="str">
        <f>'[3]ISRS Addns Nov and Dec 2016'!F131</f>
        <v>Main Replacement - ISRS (S)</v>
      </c>
      <c r="G128" s="398">
        <f>'[3]ISRS Addns Nov and Dec 2016'!I131</f>
        <v>10838.4</v>
      </c>
    </row>
    <row r="129" spans="1:7" s="399" customFormat="1" ht="135">
      <c r="A129" s="395" t="str">
        <f>'[3]ISRS Addns Nov and Dec 2016'!C132</f>
        <v>800086</v>
      </c>
      <c r="B129" s="395" t="str">
        <f>'[3]ISRS Addns Nov and Dec 2016'!B132</f>
        <v>N/A</v>
      </c>
      <c r="C129" s="396" t="str">
        <f>'[3]ISRS Addns Nov and Dec 2016'!D132</f>
        <v>Holden Grid Phase 2F</v>
      </c>
      <c r="D129" s="397" t="s">
        <v>2534</v>
      </c>
      <c r="E129" s="395" t="str">
        <f>'[3]ISRS Addns Nov and Dec 2016'!E132</f>
        <v>F0604</v>
      </c>
      <c r="F129" s="396" t="str">
        <f>'[3]ISRS Addns Nov and Dec 2016'!F132</f>
        <v>Main Replacement - ISRS (S)</v>
      </c>
      <c r="G129" s="398">
        <f>'[3]ISRS Addns Nov and Dec 2016'!I132</f>
        <v>111.35</v>
      </c>
    </row>
    <row r="130" spans="1:7" s="399" customFormat="1" ht="135">
      <c r="A130" s="395" t="str">
        <f>'[3]ISRS Addns Nov and Dec 2016'!C133</f>
        <v>800086</v>
      </c>
      <c r="B130" s="395" t="str">
        <f>'[3]ISRS Addns Nov and Dec 2016'!B133</f>
        <v>N/A</v>
      </c>
      <c r="C130" s="396" t="str">
        <f>'[3]ISRS Addns Nov and Dec 2016'!D133</f>
        <v>Holden Grid Phase 2F</v>
      </c>
      <c r="D130" s="397" t="s">
        <v>2534</v>
      </c>
      <c r="E130" s="395" t="str">
        <f>'[3]ISRS Addns Nov and Dec 2016'!E133</f>
        <v>F0604</v>
      </c>
      <c r="F130" s="396" t="str">
        <f>'[3]ISRS Addns Nov and Dec 2016'!F133</f>
        <v>Main Replacement - ISRS (S)</v>
      </c>
      <c r="G130" s="398">
        <f>'[3]ISRS Addns Nov and Dec 2016'!I133</f>
        <v>1112.7</v>
      </c>
    </row>
    <row r="131" spans="1:7" s="399" customFormat="1" ht="135">
      <c r="A131" s="395" t="str">
        <f>'[3]ISRS Addns Nov and Dec 2016'!C134</f>
        <v>800086</v>
      </c>
      <c r="B131" s="395" t="str">
        <f>'[3]ISRS Addns Nov and Dec 2016'!B134</f>
        <v>N/A</v>
      </c>
      <c r="C131" s="396" t="str">
        <f>'[3]ISRS Addns Nov and Dec 2016'!D134</f>
        <v>Holden Grid Phase 2F</v>
      </c>
      <c r="D131" s="397" t="s">
        <v>2534</v>
      </c>
      <c r="E131" s="395" t="str">
        <f>'[3]ISRS Addns Nov and Dec 2016'!E134</f>
        <v>F0604</v>
      </c>
      <c r="F131" s="396" t="str">
        <f>'[3]ISRS Addns Nov and Dec 2016'!F134</f>
        <v>Main Replacement - ISRS (S)</v>
      </c>
      <c r="G131" s="398">
        <f>'[3]ISRS Addns Nov and Dec 2016'!I134</f>
        <v>11.43</v>
      </c>
    </row>
    <row r="132" spans="1:7" s="399" customFormat="1" ht="60">
      <c r="A132" s="395" t="str">
        <f>'[3]ISRS Addns Nov and Dec 2016'!C135</f>
        <v>800087</v>
      </c>
      <c r="B132" s="395" t="str">
        <f>'[3]ISRS Addns Nov and Dec 2016'!B135</f>
        <v>N/A</v>
      </c>
      <c r="C132" s="396" t="str">
        <f>'[3]ISRS Addns Nov and Dec 2016'!D135</f>
        <v>Holden Grid Phase 2E</v>
      </c>
      <c r="D132" s="397" t="s">
        <v>2535</v>
      </c>
      <c r="E132" s="395" t="str">
        <f>'[3]ISRS Addns Nov and Dec 2016'!E135</f>
        <v>F0604</v>
      </c>
      <c r="F132" s="396" t="str">
        <f>'[3]ISRS Addns Nov and Dec 2016'!F135</f>
        <v>Main Replacement - ISRS (S)</v>
      </c>
      <c r="G132" s="398">
        <f>'[3]ISRS Addns Nov and Dec 2016'!I135</f>
        <v>-0.19</v>
      </c>
    </row>
    <row r="133" spans="1:7" s="399" customFormat="1" ht="60">
      <c r="A133" s="395" t="str">
        <f>'[3]ISRS Addns Nov and Dec 2016'!C136</f>
        <v>800087</v>
      </c>
      <c r="B133" s="395" t="str">
        <f>'[3]ISRS Addns Nov and Dec 2016'!B136</f>
        <v>N/A</v>
      </c>
      <c r="C133" s="396" t="str">
        <f>'[3]ISRS Addns Nov and Dec 2016'!D136</f>
        <v>Holden Grid Phase 2E</v>
      </c>
      <c r="D133" s="397" t="s">
        <v>2535</v>
      </c>
      <c r="E133" s="395" t="str">
        <f>'[3]ISRS Addns Nov and Dec 2016'!E136</f>
        <v>F0604</v>
      </c>
      <c r="F133" s="396" t="str">
        <f>'[3]ISRS Addns Nov and Dec 2016'!F136</f>
        <v>Main Replacement - ISRS (S)</v>
      </c>
      <c r="G133" s="398">
        <f>'[3]ISRS Addns Nov and Dec 2016'!I136</f>
        <v>-1080.55</v>
      </c>
    </row>
    <row r="134" spans="1:7" s="399" customFormat="1" ht="60">
      <c r="A134" s="395" t="str">
        <f>'[3]ISRS Addns Nov and Dec 2016'!C137</f>
        <v>800087</v>
      </c>
      <c r="B134" s="395" t="str">
        <f>'[3]ISRS Addns Nov and Dec 2016'!B137</f>
        <v>N/A</v>
      </c>
      <c r="C134" s="396" t="str">
        <f>'[3]ISRS Addns Nov and Dec 2016'!D137</f>
        <v>Holden Grid Phase 2E</v>
      </c>
      <c r="D134" s="397" t="s">
        <v>2535</v>
      </c>
      <c r="E134" s="395" t="str">
        <f>'[3]ISRS Addns Nov and Dec 2016'!E137</f>
        <v>F0604</v>
      </c>
      <c r="F134" s="396" t="str">
        <f>'[3]ISRS Addns Nov and Dec 2016'!F137</f>
        <v>Main Replacement - ISRS (S)</v>
      </c>
      <c r="G134" s="398">
        <f>'[3]ISRS Addns Nov and Dec 2016'!I137</f>
        <v>-1.39</v>
      </c>
    </row>
    <row r="135" spans="1:7" s="399" customFormat="1" ht="60">
      <c r="A135" s="395" t="str">
        <f>'[3]ISRS Addns Nov and Dec 2016'!C138</f>
        <v>800087</v>
      </c>
      <c r="B135" s="395" t="str">
        <f>'[3]ISRS Addns Nov and Dec 2016'!B138</f>
        <v>N/A</v>
      </c>
      <c r="C135" s="396" t="str">
        <f>'[3]ISRS Addns Nov and Dec 2016'!D138</f>
        <v>Holden Grid Phase 2E</v>
      </c>
      <c r="D135" s="397" t="s">
        <v>2535</v>
      </c>
      <c r="E135" s="395" t="str">
        <f>'[3]ISRS Addns Nov and Dec 2016'!E138</f>
        <v>F0604</v>
      </c>
      <c r="F135" s="396" t="str">
        <f>'[3]ISRS Addns Nov and Dec 2016'!F138</f>
        <v>Main Replacement - ISRS (S)</v>
      </c>
      <c r="G135" s="398">
        <f>'[3]ISRS Addns Nov and Dec 2016'!I138</f>
        <v>0.09</v>
      </c>
    </row>
    <row r="136" spans="1:7" s="399" customFormat="1" ht="60">
      <c r="A136" s="395" t="str">
        <f>'[3]ISRS Addns Nov and Dec 2016'!C139</f>
        <v>800087</v>
      </c>
      <c r="B136" s="395" t="str">
        <f>'[3]ISRS Addns Nov and Dec 2016'!B139</f>
        <v>N/A</v>
      </c>
      <c r="C136" s="396" t="str">
        <f>'[3]ISRS Addns Nov and Dec 2016'!D139</f>
        <v>Holden Grid Phase 2E</v>
      </c>
      <c r="D136" s="397" t="s">
        <v>2535</v>
      </c>
      <c r="E136" s="395" t="str">
        <f>'[3]ISRS Addns Nov and Dec 2016'!E139</f>
        <v>F0604</v>
      </c>
      <c r="F136" s="396" t="str">
        <f>'[3]ISRS Addns Nov and Dec 2016'!F139</f>
        <v>Main Replacement - ISRS (S)</v>
      </c>
      <c r="G136" s="398">
        <f>'[3]ISRS Addns Nov and Dec 2016'!I139</f>
        <v>640.67999999999995</v>
      </c>
    </row>
    <row r="137" spans="1:7" s="399" customFormat="1" ht="60">
      <c r="A137" s="395" t="str">
        <f>'[3]ISRS Addns Nov and Dec 2016'!C140</f>
        <v>800087</v>
      </c>
      <c r="B137" s="395" t="str">
        <f>'[3]ISRS Addns Nov and Dec 2016'!B140</f>
        <v>N/A</v>
      </c>
      <c r="C137" s="396" t="str">
        <f>'[3]ISRS Addns Nov and Dec 2016'!D140</f>
        <v>Holden Grid Phase 2E</v>
      </c>
      <c r="D137" s="397" t="s">
        <v>2535</v>
      </c>
      <c r="E137" s="395" t="str">
        <f>'[3]ISRS Addns Nov and Dec 2016'!E140</f>
        <v>F0604</v>
      </c>
      <c r="F137" s="396" t="str">
        <f>'[3]ISRS Addns Nov and Dec 2016'!F140</f>
        <v>Main Replacement - ISRS (S)</v>
      </c>
      <c r="G137" s="398">
        <f>'[3]ISRS Addns Nov and Dec 2016'!I140</f>
        <v>0.84</v>
      </c>
    </row>
    <row r="138" spans="1:7" s="399" customFormat="1" ht="60">
      <c r="A138" s="395" t="str">
        <f>'[3]ISRS Addns Nov and Dec 2016'!C141</f>
        <v>800088</v>
      </c>
      <c r="B138" s="395" t="str">
        <f>'[3]ISRS Addns Nov and Dec 2016'!B141</f>
        <v>N/A</v>
      </c>
      <c r="C138" s="396" t="str">
        <f>'[3]ISRS Addns Nov and Dec 2016'!D141</f>
        <v>Holden Grid Phase 2D</v>
      </c>
      <c r="D138" s="397" t="s">
        <v>2536</v>
      </c>
      <c r="E138" s="395" t="str">
        <f>'[3]ISRS Addns Nov and Dec 2016'!E141</f>
        <v>F0604</v>
      </c>
      <c r="F138" s="396" t="str">
        <f>'[3]ISRS Addns Nov and Dec 2016'!F141</f>
        <v>Main Replacement - ISRS (S)</v>
      </c>
      <c r="G138" s="398">
        <f>'[3]ISRS Addns Nov and Dec 2016'!I141</f>
        <v>0.84</v>
      </c>
    </row>
    <row r="139" spans="1:7" s="399" customFormat="1" ht="60">
      <c r="A139" s="395" t="str">
        <f>'[3]ISRS Addns Nov and Dec 2016'!C142</f>
        <v>800088</v>
      </c>
      <c r="B139" s="395" t="str">
        <f>'[3]ISRS Addns Nov and Dec 2016'!B142</f>
        <v>N/A</v>
      </c>
      <c r="C139" s="396" t="str">
        <f>'[3]ISRS Addns Nov and Dec 2016'!D142</f>
        <v>Holden Grid Phase 2D</v>
      </c>
      <c r="D139" s="397" t="s">
        <v>2536</v>
      </c>
      <c r="E139" s="395" t="str">
        <f>'[3]ISRS Addns Nov and Dec 2016'!E142</f>
        <v>F0604</v>
      </c>
      <c r="F139" s="396" t="str">
        <f>'[3]ISRS Addns Nov and Dec 2016'!F142</f>
        <v>Main Replacement - ISRS (S)</v>
      </c>
      <c r="G139" s="398">
        <f>'[3]ISRS Addns Nov and Dec 2016'!I142</f>
        <v>8962.92</v>
      </c>
    </row>
    <row r="140" spans="1:7" s="399" customFormat="1" ht="60">
      <c r="A140" s="395" t="str">
        <f>'[3]ISRS Addns Nov and Dec 2016'!C143</f>
        <v>800088</v>
      </c>
      <c r="B140" s="395" t="str">
        <f>'[3]ISRS Addns Nov and Dec 2016'!B143</f>
        <v>N/A</v>
      </c>
      <c r="C140" s="396" t="str">
        <f>'[3]ISRS Addns Nov and Dec 2016'!D143</f>
        <v>Holden Grid Phase 2D</v>
      </c>
      <c r="D140" s="397" t="s">
        <v>2536</v>
      </c>
      <c r="E140" s="395" t="str">
        <f>'[3]ISRS Addns Nov and Dec 2016'!E143</f>
        <v>F0604</v>
      </c>
      <c r="F140" s="396" t="str">
        <f>'[3]ISRS Addns Nov and Dec 2016'!F143</f>
        <v>Main Replacement - ISRS (S)</v>
      </c>
      <c r="G140" s="398">
        <f>'[3]ISRS Addns Nov and Dec 2016'!I143</f>
        <v>14.77</v>
      </c>
    </row>
    <row r="141" spans="1:7" s="399" customFormat="1" ht="60">
      <c r="A141" s="395" t="str">
        <f>'[3]ISRS Addns Nov and Dec 2016'!C144</f>
        <v>800088</v>
      </c>
      <c r="B141" s="395" t="str">
        <f>'[3]ISRS Addns Nov and Dec 2016'!B144</f>
        <v>N/A</v>
      </c>
      <c r="C141" s="396" t="str">
        <f>'[3]ISRS Addns Nov and Dec 2016'!D144</f>
        <v>Holden Grid Phase 2D</v>
      </c>
      <c r="D141" s="397" t="s">
        <v>2536</v>
      </c>
      <c r="E141" s="395" t="str">
        <f>'[3]ISRS Addns Nov and Dec 2016'!E144</f>
        <v>F0604</v>
      </c>
      <c r="F141" s="396" t="str">
        <f>'[3]ISRS Addns Nov and Dec 2016'!F144</f>
        <v>Main Replacement - ISRS (S)</v>
      </c>
      <c r="G141" s="398">
        <f>'[3]ISRS Addns Nov and Dec 2016'!I144</f>
        <v>0.09</v>
      </c>
    </row>
    <row r="142" spans="1:7" s="399" customFormat="1" ht="60">
      <c r="A142" s="395" t="str">
        <f>'[3]ISRS Addns Nov and Dec 2016'!C145</f>
        <v>800088</v>
      </c>
      <c r="B142" s="395" t="str">
        <f>'[3]ISRS Addns Nov and Dec 2016'!B145</f>
        <v>N/A</v>
      </c>
      <c r="C142" s="396" t="str">
        <f>'[3]ISRS Addns Nov and Dec 2016'!D145</f>
        <v>Holden Grid Phase 2D</v>
      </c>
      <c r="D142" s="397" t="s">
        <v>2536</v>
      </c>
      <c r="E142" s="395" t="str">
        <f>'[3]ISRS Addns Nov and Dec 2016'!E145</f>
        <v>F0604</v>
      </c>
      <c r="F142" s="396" t="str">
        <f>'[3]ISRS Addns Nov and Dec 2016'!F145</f>
        <v>Main Replacement - ISRS (S)</v>
      </c>
      <c r="G142" s="398">
        <f>'[3]ISRS Addns Nov and Dec 2016'!I145</f>
        <v>1080.8699999999999</v>
      </c>
    </row>
    <row r="143" spans="1:7" s="399" customFormat="1" ht="60">
      <c r="A143" s="395" t="str">
        <f>'[3]ISRS Addns Nov and Dec 2016'!C146</f>
        <v>800088</v>
      </c>
      <c r="B143" s="395" t="str">
        <f>'[3]ISRS Addns Nov and Dec 2016'!B146</f>
        <v>N/A</v>
      </c>
      <c r="C143" s="396" t="str">
        <f>'[3]ISRS Addns Nov and Dec 2016'!D146</f>
        <v>Holden Grid Phase 2D</v>
      </c>
      <c r="D143" s="397" t="s">
        <v>2536</v>
      </c>
      <c r="E143" s="395" t="str">
        <f>'[3]ISRS Addns Nov and Dec 2016'!E146</f>
        <v>F0604</v>
      </c>
      <c r="F143" s="396" t="str">
        <f>'[3]ISRS Addns Nov and Dec 2016'!F146</f>
        <v>Main Replacement - ISRS (S)</v>
      </c>
      <c r="G143" s="398">
        <f>'[3]ISRS Addns Nov and Dec 2016'!I146</f>
        <v>1.78</v>
      </c>
    </row>
    <row r="144" spans="1:7" s="399" customFormat="1" ht="45">
      <c r="A144" s="395" t="str">
        <f>'[3]ISRS Addns Nov and Dec 2016'!C147</f>
        <v>800089</v>
      </c>
      <c r="B144" s="395" t="str">
        <f>'[3]ISRS Addns Nov and Dec 2016'!B147</f>
        <v>N/A</v>
      </c>
      <c r="C144" s="396" t="str">
        <f>'[3]ISRS Addns Nov and Dec 2016'!D147</f>
        <v>Holden Grid Phase 2C</v>
      </c>
      <c r="D144" s="397" t="s">
        <v>2537</v>
      </c>
      <c r="E144" s="395" t="str">
        <f>'[3]ISRS Addns Nov and Dec 2016'!E147</f>
        <v>F0604</v>
      </c>
      <c r="F144" s="396" t="str">
        <f>'[3]ISRS Addns Nov and Dec 2016'!F147</f>
        <v>Main Replacement - ISRS (S)</v>
      </c>
      <c r="G144" s="398">
        <f>'[3]ISRS Addns Nov and Dec 2016'!I147</f>
        <v>5834.44</v>
      </c>
    </row>
    <row r="145" spans="1:7" s="399" customFormat="1" ht="45">
      <c r="A145" s="395" t="str">
        <f>'[3]ISRS Addns Nov and Dec 2016'!C148</f>
        <v>800089</v>
      </c>
      <c r="B145" s="395" t="str">
        <f>'[3]ISRS Addns Nov and Dec 2016'!B148</f>
        <v>N/A</v>
      </c>
      <c r="C145" s="396" t="str">
        <f>'[3]ISRS Addns Nov and Dec 2016'!D148</f>
        <v>Holden Grid Phase 2C</v>
      </c>
      <c r="D145" s="397" t="s">
        <v>2537</v>
      </c>
      <c r="E145" s="395" t="str">
        <f>'[3]ISRS Addns Nov and Dec 2016'!E148</f>
        <v>F0604</v>
      </c>
      <c r="F145" s="396" t="str">
        <f>'[3]ISRS Addns Nov and Dec 2016'!F148</f>
        <v>Main Replacement - ISRS (S)</v>
      </c>
      <c r="G145" s="398">
        <f>'[3]ISRS Addns Nov and Dec 2016'!I148</f>
        <v>0.51</v>
      </c>
    </row>
    <row r="146" spans="1:7" s="399" customFormat="1" ht="45">
      <c r="A146" s="395" t="str">
        <f>'[3]ISRS Addns Nov and Dec 2016'!C149</f>
        <v>800089</v>
      </c>
      <c r="B146" s="395" t="str">
        <f>'[3]ISRS Addns Nov and Dec 2016'!B149</f>
        <v>N/A</v>
      </c>
      <c r="C146" s="396" t="str">
        <f>'[3]ISRS Addns Nov and Dec 2016'!D149</f>
        <v>Holden Grid Phase 2C</v>
      </c>
      <c r="D146" s="397" t="s">
        <v>2537</v>
      </c>
      <c r="E146" s="395" t="str">
        <f>'[3]ISRS Addns Nov and Dec 2016'!E149</f>
        <v>F0604</v>
      </c>
      <c r="F146" s="396" t="str">
        <f>'[3]ISRS Addns Nov and Dec 2016'!F149</f>
        <v>Main Replacement - ISRS (S)</v>
      </c>
      <c r="G146" s="398">
        <f>'[3]ISRS Addns Nov and Dec 2016'!I149</f>
        <v>274.27999999999997</v>
      </c>
    </row>
    <row r="147" spans="1:7" s="399" customFormat="1" ht="45">
      <c r="A147" s="395" t="str">
        <f>'[3]ISRS Addns Nov and Dec 2016'!C150</f>
        <v>800089</v>
      </c>
      <c r="B147" s="395" t="str">
        <f>'[3]ISRS Addns Nov and Dec 2016'!B150</f>
        <v>N/A</v>
      </c>
      <c r="C147" s="396" t="str">
        <f>'[3]ISRS Addns Nov and Dec 2016'!D150</f>
        <v>Holden Grid Phase 2C</v>
      </c>
      <c r="D147" s="397" t="s">
        <v>2537</v>
      </c>
      <c r="E147" s="395" t="str">
        <f>'[3]ISRS Addns Nov and Dec 2016'!E150</f>
        <v>F0604</v>
      </c>
      <c r="F147" s="396" t="str">
        <f>'[3]ISRS Addns Nov and Dec 2016'!F150</f>
        <v>Main Replacement - ISRS (S)</v>
      </c>
      <c r="G147" s="398">
        <f>'[3]ISRS Addns Nov and Dec 2016'!I150</f>
        <v>0.03</v>
      </c>
    </row>
    <row r="148" spans="1:7" s="399" customFormat="1" ht="45">
      <c r="A148" s="395" t="str">
        <f>'[3]ISRS Addns Nov and Dec 2016'!C151</f>
        <v>800104</v>
      </c>
      <c r="B148" s="395" t="str">
        <f>'[3]ISRS Addns Nov and Dec 2016'!B151</f>
        <v>N/A</v>
      </c>
      <c r="C148" s="396" t="str">
        <f>'[3]ISRS Addns Nov and Dec 2016'!D151</f>
        <v>Centerview Grid Replacement Phase 1</v>
      </c>
      <c r="D148" s="397" t="s">
        <v>2538</v>
      </c>
      <c r="E148" s="395" t="str">
        <f>'[3]ISRS Addns Nov and Dec 2016'!E151</f>
        <v>F0604</v>
      </c>
      <c r="F148" s="396" t="str">
        <f>'[3]ISRS Addns Nov and Dec 2016'!F151</f>
        <v>Main Replacement - ISRS (S)</v>
      </c>
      <c r="G148" s="398">
        <f>'[3]ISRS Addns Nov and Dec 2016'!I151</f>
        <v>20.51</v>
      </c>
    </row>
    <row r="149" spans="1:7" s="399" customFormat="1" ht="45">
      <c r="A149" s="395" t="str">
        <f>'[3]ISRS Addns Nov and Dec 2016'!C152</f>
        <v>800104</v>
      </c>
      <c r="B149" s="395" t="str">
        <f>'[3]ISRS Addns Nov and Dec 2016'!B152</f>
        <v>N/A</v>
      </c>
      <c r="C149" s="396" t="str">
        <f>'[3]ISRS Addns Nov and Dec 2016'!D152</f>
        <v>Centerview Grid Replacement Phase 1</v>
      </c>
      <c r="D149" s="397" t="s">
        <v>2538</v>
      </c>
      <c r="E149" s="395" t="str">
        <f>'[3]ISRS Addns Nov and Dec 2016'!E152</f>
        <v>F0604</v>
      </c>
      <c r="F149" s="396" t="str">
        <f>'[3]ISRS Addns Nov and Dec 2016'!F152</f>
        <v>Main Replacement - ISRS (S)</v>
      </c>
      <c r="G149" s="398">
        <f>'[3]ISRS Addns Nov and Dec 2016'!I152</f>
        <v>-15.14</v>
      </c>
    </row>
    <row r="150" spans="1:7" s="399" customFormat="1" ht="45">
      <c r="A150" s="395" t="str">
        <f>'[3]ISRS Addns Nov and Dec 2016'!C153</f>
        <v>800114</v>
      </c>
      <c r="B150" s="395" t="str">
        <f>'[3]ISRS Addns Nov and Dec 2016'!B153</f>
        <v>N/A</v>
      </c>
      <c r="C150" s="396" t="str">
        <f>'[3]ISRS Addns Nov and Dec 2016'!D153</f>
        <v>Webb City Ph1A Grid Bare Steel Rep</v>
      </c>
      <c r="D150" s="397" t="s">
        <v>2539</v>
      </c>
      <c r="E150" s="395" t="str">
        <f>'[3]ISRS Addns Nov and Dec 2016'!E153</f>
        <v>F0572</v>
      </c>
      <c r="F150" s="396" t="str">
        <f>'[3]ISRS Addns Nov and Dec 2016'!F153</f>
        <v>Main Replacement - ISRS (SW)</v>
      </c>
      <c r="G150" s="398">
        <f>'[3]ISRS Addns Nov and Dec 2016'!I153</f>
        <v>-744.49</v>
      </c>
    </row>
    <row r="151" spans="1:7" s="399" customFormat="1" ht="45">
      <c r="A151" s="395" t="str">
        <f>'[3]ISRS Addns Nov and Dec 2016'!C154</f>
        <v>800114</v>
      </c>
      <c r="B151" s="395" t="str">
        <f>'[3]ISRS Addns Nov and Dec 2016'!B154</f>
        <v>N/A</v>
      </c>
      <c r="C151" s="396" t="str">
        <f>'[3]ISRS Addns Nov and Dec 2016'!D154</f>
        <v>Webb City Ph1A Grid Bare Steel Rep</v>
      </c>
      <c r="D151" s="397" t="s">
        <v>2539</v>
      </c>
      <c r="E151" s="395" t="str">
        <f>'[3]ISRS Addns Nov and Dec 2016'!E154</f>
        <v>F0572</v>
      </c>
      <c r="F151" s="396" t="str">
        <f>'[3]ISRS Addns Nov and Dec 2016'!F154</f>
        <v>Main Replacement - ISRS (SW)</v>
      </c>
      <c r="G151" s="398">
        <f>'[3]ISRS Addns Nov and Dec 2016'!I154</f>
        <v>744.49</v>
      </c>
    </row>
    <row r="152" spans="1:7" s="399" customFormat="1" ht="75">
      <c r="A152" s="395" t="str">
        <f>'[3]ISRS Addns Nov and Dec 2016'!C155</f>
        <v>800115</v>
      </c>
      <c r="B152" s="395" t="str">
        <f>'[3]ISRS Addns Nov and Dec 2016'!B155</f>
        <v>N/A</v>
      </c>
      <c r="C152" s="396" t="str">
        <f>'[3]ISRS Addns Nov and Dec 2016'!D155</f>
        <v>Webb City Phase 1B Grid Bare Steel</v>
      </c>
      <c r="D152" s="397" t="s">
        <v>2540</v>
      </c>
      <c r="E152" s="395" t="str">
        <f>'[3]ISRS Addns Nov and Dec 2016'!E155</f>
        <v>F0572</v>
      </c>
      <c r="F152" s="396" t="str">
        <f>'[3]ISRS Addns Nov and Dec 2016'!F155</f>
        <v>Main Replacement - ISRS (SW)</v>
      </c>
      <c r="G152" s="398">
        <f>'[3]ISRS Addns Nov and Dec 2016'!I155</f>
        <v>-14.24</v>
      </c>
    </row>
    <row r="153" spans="1:7" s="399" customFormat="1" ht="75">
      <c r="A153" s="395" t="str">
        <f>'[3]ISRS Addns Nov and Dec 2016'!C156</f>
        <v>800115</v>
      </c>
      <c r="B153" s="395" t="str">
        <f>'[3]ISRS Addns Nov and Dec 2016'!B156</f>
        <v>N/A</v>
      </c>
      <c r="C153" s="396" t="str">
        <f>'[3]ISRS Addns Nov and Dec 2016'!D156</f>
        <v>Webb City Phase 1B Grid Bare Steel</v>
      </c>
      <c r="D153" s="397" t="s">
        <v>2540</v>
      </c>
      <c r="E153" s="395" t="str">
        <f>'[3]ISRS Addns Nov and Dec 2016'!E156</f>
        <v>F0572</v>
      </c>
      <c r="F153" s="396" t="str">
        <f>'[3]ISRS Addns Nov and Dec 2016'!F156</f>
        <v>Main Replacement - ISRS (SW)</v>
      </c>
      <c r="G153" s="398">
        <f>'[3]ISRS Addns Nov and Dec 2016'!I156</f>
        <v>-0.26</v>
      </c>
    </row>
    <row r="154" spans="1:7" s="399" customFormat="1" ht="75">
      <c r="A154" s="395" t="str">
        <f>'[3]ISRS Addns Nov and Dec 2016'!C157</f>
        <v>800115</v>
      </c>
      <c r="B154" s="395" t="str">
        <f>'[3]ISRS Addns Nov and Dec 2016'!B157</f>
        <v>N/A</v>
      </c>
      <c r="C154" s="396" t="str">
        <f>'[3]ISRS Addns Nov and Dec 2016'!D157</f>
        <v>Webb City Phase 1B Grid Bare Steel</v>
      </c>
      <c r="D154" s="397" t="s">
        <v>2540</v>
      </c>
      <c r="E154" s="395" t="str">
        <f>'[3]ISRS Addns Nov and Dec 2016'!E157</f>
        <v>F0572</v>
      </c>
      <c r="F154" s="396" t="str">
        <f>'[3]ISRS Addns Nov and Dec 2016'!F157</f>
        <v>Main Replacement - ISRS (SW)</v>
      </c>
      <c r="G154" s="398">
        <f>'[3]ISRS Addns Nov and Dec 2016'!I157</f>
        <v>7196.27</v>
      </c>
    </row>
    <row r="155" spans="1:7" s="399" customFormat="1" ht="75">
      <c r="A155" s="395" t="str">
        <f>'[3]ISRS Addns Nov and Dec 2016'!C158</f>
        <v>800115</v>
      </c>
      <c r="B155" s="395" t="str">
        <f>'[3]ISRS Addns Nov and Dec 2016'!B158</f>
        <v>N/A</v>
      </c>
      <c r="C155" s="396" t="str">
        <f>'[3]ISRS Addns Nov and Dec 2016'!D158</f>
        <v>Webb City Phase 1B Grid Bare Steel</v>
      </c>
      <c r="D155" s="397" t="s">
        <v>2540</v>
      </c>
      <c r="E155" s="395" t="str">
        <f>'[3]ISRS Addns Nov and Dec 2016'!E158</f>
        <v>F0572</v>
      </c>
      <c r="F155" s="396" t="str">
        <f>'[3]ISRS Addns Nov and Dec 2016'!F158</f>
        <v>Main Replacement - ISRS (SW)</v>
      </c>
      <c r="G155" s="398">
        <f>'[3]ISRS Addns Nov and Dec 2016'!I158</f>
        <v>-7185.14</v>
      </c>
    </row>
    <row r="156" spans="1:7" s="399" customFormat="1" ht="90">
      <c r="A156" s="395" t="str">
        <f>'[3]ISRS Addns Nov and Dec 2016'!C159</f>
        <v>800116</v>
      </c>
      <c r="B156" s="395" t="str">
        <f>'[3]ISRS Addns Nov and Dec 2016'!B159</f>
        <v>N/A</v>
      </c>
      <c r="C156" s="396" t="str">
        <f>'[3]ISRS Addns Nov and Dec 2016'!D159</f>
        <v>Webb City Phase 1C Grid Bare Steel</v>
      </c>
      <c r="D156" s="397" t="s">
        <v>2541</v>
      </c>
      <c r="E156" s="395" t="str">
        <f>'[3]ISRS Addns Nov and Dec 2016'!E159</f>
        <v>F0572</v>
      </c>
      <c r="F156" s="396" t="str">
        <f>'[3]ISRS Addns Nov and Dec 2016'!F159</f>
        <v>Main Replacement - ISRS (SW)</v>
      </c>
      <c r="G156" s="398">
        <f>'[3]ISRS Addns Nov and Dec 2016'!I159</f>
        <v>677.12</v>
      </c>
    </row>
    <row r="157" spans="1:7" s="399" customFormat="1" ht="90">
      <c r="A157" s="395" t="str">
        <f>'[3]ISRS Addns Nov and Dec 2016'!C160</f>
        <v>800116</v>
      </c>
      <c r="B157" s="395" t="str">
        <f>'[3]ISRS Addns Nov and Dec 2016'!B160</f>
        <v>N/A</v>
      </c>
      <c r="C157" s="396" t="str">
        <f>'[3]ISRS Addns Nov and Dec 2016'!D160</f>
        <v>Webb City Phase 1C Grid Bare Steel</v>
      </c>
      <c r="D157" s="397" t="s">
        <v>2541</v>
      </c>
      <c r="E157" s="395" t="str">
        <f>'[3]ISRS Addns Nov and Dec 2016'!E160</f>
        <v>F0572</v>
      </c>
      <c r="F157" s="396" t="str">
        <f>'[3]ISRS Addns Nov and Dec 2016'!F160</f>
        <v>Main Replacement - ISRS (SW)</v>
      </c>
      <c r="G157" s="398">
        <f>'[3]ISRS Addns Nov and Dec 2016'!I160</f>
        <v>-677.12</v>
      </c>
    </row>
    <row r="158" spans="1:7" s="399" customFormat="1" ht="60">
      <c r="A158" s="395" t="str">
        <f>'[3]ISRS Addns Nov and Dec 2016'!C161</f>
        <v>800135</v>
      </c>
      <c r="B158" s="395" t="str">
        <f>'[3]ISRS Addns Nov and Dec 2016'!B161</f>
        <v>N/A</v>
      </c>
      <c r="C158" s="396" t="str">
        <f>'[3]ISRS Addns Nov and Dec 2016'!D161</f>
        <v>St. Joe's South Phase 1A - MGE</v>
      </c>
      <c r="D158" s="397" t="s">
        <v>2542</v>
      </c>
      <c r="E158" s="395" t="str">
        <f>'[3]ISRS Addns Nov and Dec 2016'!E161</f>
        <v>F0599</v>
      </c>
      <c r="F158" s="396" t="str">
        <f>'[3]ISRS Addns Nov and Dec 2016'!F161</f>
        <v>Main Replacement - ISRS (N)</v>
      </c>
      <c r="G158" s="398">
        <f>'[3]ISRS Addns Nov and Dec 2016'!I161</f>
        <v>1714.93</v>
      </c>
    </row>
    <row r="159" spans="1:7" s="399" customFormat="1" ht="60">
      <c r="A159" s="395" t="str">
        <f>'[3]ISRS Addns Nov and Dec 2016'!C162</f>
        <v>800135</v>
      </c>
      <c r="B159" s="395" t="str">
        <f>'[3]ISRS Addns Nov and Dec 2016'!B162</f>
        <v>N/A</v>
      </c>
      <c r="C159" s="396" t="str">
        <f>'[3]ISRS Addns Nov and Dec 2016'!D162</f>
        <v>St. Joe's South Phase 1A - MGE</v>
      </c>
      <c r="D159" s="397" t="s">
        <v>2542</v>
      </c>
      <c r="E159" s="395" t="str">
        <f>'[3]ISRS Addns Nov and Dec 2016'!E162</f>
        <v>F0599</v>
      </c>
      <c r="F159" s="396" t="str">
        <f>'[3]ISRS Addns Nov and Dec 2016'!F162</f>
        <v>Main Replacement - ISRS (N)</v>
      </c>
      <c r="G159" s="398">
        <f>'[3]ISRS Addns Nov and Dec 2016'!I162</f>
        <v>26.13</v>
      </c>
    </row>
    <row r="160" spans="1:7" s="399" customFormat="1" ht="45">
      <c r="A160" s="395" t="str">
        <f>'[3]ISRS Addns Nov and Dec 2016'!C163</f>
        <v>800136</v>
      </c>
      <c r="B160" s="395" t="str">
        <f>'[3]ISRS Addns Nov and Dec 2016'!B163</f>
        <v>N/A</v>
      </c>
      <c r="C160" s="396" t="str">
        <f>'[3]ISRS Addns Nov and Dec 2016'!D163</f>
        <v>FY16 Strat Grid-St. Joe's South 1B</v>
      </c>
      <c r="D160" s="397" t="s">
        <v>2543</v>
      </c>
      <c r="E160" s="395" t="str">
        <f>'[3]ISRS Addns Nov and Dec 2016'!E163</f>
        <v>F0599</v>
      </c>
      <c r="F160" s="396" t="str">
        <f>'[3]ISRS Addns Nov and Dec 2016'!F163</f>
        <v>Main Replacement - ISRS (N)</v>
      </c>
      <c r="G160" s="398">
        <f>'[3]ISRS Addns Nov and Dec 2016'!I163</f>
        <v>881.62</v>
      </c>
    </row>
    <row r="161" spans="1:7" s="399" customFormat="1" ht="45">
      <c r="A161" s="395" t="str">
        <f>'[3]ISRS Addns Nov and Dec 2016'!C164</f>
        <v>800136</v>
      </c>
      <c r="B161" s="395" t="str">
        <f>'[3]ISRS Addns Nov and Dec 2016'!B164</f>
        <v>N/A</v>
      </c>
      <c r="C161" s="396" t="str">
        <f>'[3]ISRS Addns Nov and Dec 2016'!D164</f>
        <v>FY16 Strat Grid-St. Joe's South 1B</v>
      </c>
      <c r="D161" s="397" t="s">
        <v>2543</v>
      </c>
      <c r="E161" s="395" t="str">
        <f>'[3]ISRS Addns Nov and Dec 2016'!E164</f>
        <v>F0599</v>
      </c>
      <c r="F161" s="396" t="str">
        <f>'[3]ISRS Addns Nov and Dec 2016'!F164</f>
        <v>Main Replacement - ISRS (N)</v>
      </c>
      <c r="G161" s="398">
        <f>'[3]ISRS Addns Nov and Dec 2016'!I164</f>
        <v>24.67</v>
      </c>
    </row>
    <row r="162" spans="1:7" s="399" customFormat="1" ht="45">
      <c r="A162" s="395" t="str">
        <f>'[3]ISRS Addns Nov and Dec 2016'!C165</f>
        <v>800136</v>
      </c>
      <c r="B162" s="395" t="str">
        <f>'[3]ISRS Addns Nov and Dec 2016'!B165</f>
        <v>N/A</v>
      </c>
      <c r="C162" s="396" t="str">
        <f>'[3]ISRS Addns Nov and Dec 2016'!D165</f>
        <v>FY16 Strat Grid-St. Joe's South 1B</v>
      </c>
      <c r="D162" s="397" t="s">
        <v>2543</v>
      </c>
      <c r="E162" s="395" t="str">
        <f>'[3]ISRS Addns Nov and Dec 2016'!E165</f>
        <v>F0599</v>
      </c>
      <c r="F162" s="396" t="str">
        <f>'[3]ISRS Addns Nov and Dec 2016'!F165</f>
        <v>Main Replacement - ISRS (N)</v>
      </c>
      <c r="G162" s="398">
        <f>'[3]ISRS Addns Nov and Dec 2016'!I165</f>
        <v>-174.17</v>
      </c>
    </row>
    <row r="163" spans="1:7" s="399" customFormat="1" ht="45">
      <c r="A163" s="395" t="str">
        <f>'[3]ISRS Addns Nov and Dec 2016'!C166</f>
        <v>800136</v>
      </c>
      <c r="B163" s="395" t="str">
        <f>'[3]ISRS Addns Nov and Dec 2016'!B166</f>
        <v>N/A</v>
      </c>
      <c r="C163" s="396" t="str">
        <f>'[3]ISRS Addns Nov and Dec 2016'!D166</f>
        <v>FY16 Strat Grid-St. Joe's South 1B</v>
      </c>
      <c r="D163" s="397" t="s">
        <v>2543</v>
      </c>
      <c r="E163" s="395" t="str">
        <f>'[3]ISRS Addns Nov and Dec 2016'!E166</f>
        <v>F0599</v>
      </c>
      <c r="F163" s="396" t="str">
        <f>'[3]ISRS Addns Nov and Dec 2016'!F166</f>
        <v>Main Replacement - ISRS (N)</v>
      </c>
      <c r="G163" s="398">
        <f>'[3]ISRS Addns Nov and Dec 2016'!I166</f>
        <v>-4.87</v>
      </c>
    </row>
    <row r="164" spans="1:7" s="399" customFormat="1" ht="75">
      <c r="A164" s="395" t="str">
        <f>'[3]ISRS Addns Nov and Dec 2016'!C167</f>
        <v>800137</v>
      </c>
      <c r="B164" s="395" t="str">
        <f>'[3]ISRS Addns Nov and Dec 2016'!B167</f>
        <v>N/A</v>
      </c>
      <c r="C164" s="396" t="str">
        <f>'[3]ISRS Addns Nov and Dec 2016'!D167</f>
        <v>St. Joe's South Phase 1C - MGE</v>
      </c>
      <c r="D164" s="397" t="s">
        <v>2544</v>
      </c>
      <c r="E164" s="395" t="str">
        <f>'[3]ISRS Addns Nov and Dec 2016'!E167</f>
        <v>F0599</v>
      </c>
      <c r="F164" s="396" t="str">
        <f>'[3]ISRS Addns Nov and Dec 2016'!F167</f>
        <v>Main Replacement - ISRS (N)</v>
      </c>
      <c r="G164" s="398">
        <f>'[3]ISRS Addns Nov and Dec 2016'!I167</f>
        <v>41699.64</v>
      </c>
    </row>
    <row r="165" spans="1:7" s="399" customFormat="1" ht="75">
      <c r="A165" s="395" t="str">
        <f>'[3]ISRS Addns Nov and Dec 2016'!C168</f>
        <v>800137</v>
      </c>
      <c r="B165" s="395" t="str">
        <f>'[3]ISRS Addns Nov and Dec 2016'!B168</f>
        <v>N/A</v>
      </c>
      <c r="C165" s="396" t="str">
        <f>'[3]ISRS Addns Nov and Dec 2016'!D168</f>
        <v>St. Joe's South Phase 1C - MGE</v>
      </c>
      <c r="D165" s="397" t="s">
        <v>2544</v>
      </c>
      <c r="E165" s="395" t="str">
        <f>'[3]ISRS Addns Nov and Dec 2016'!E168</f>
        <v>F0599</v>
      </c>
      <c r="F165" s="396" t="str">
        <f>'[3]ISRS Addns Nov and Dec 2016'!F168</f>
        <v>Main Replacement - ISRS (N)</v>
      </c>
      <c r="G165" s="398">
        <f>'[3]ISRS Addns Nov and Dec 2016'!I168</f>
        <v>367.67</v>
      </c>
    </row>
    <row r="166" spans="1:7" s="399" customFormat="1" ht="75">
      <c r="A166" s="395" t="str">
        <f>'[3]ISRS Addns Nov and Dec 2016'!C169</f>
        <v>800137</v>
      </c>
      <c r="B166" s="395" t="str">
        <f>'[3]ISRS Addns Nov and Dec 2016'!B169</f>
        <v>N/A</v>
      </c>
      <c r="C166" s="396" t="str">
        <f>'[3]ISRS Addns Nov and Dec 2016'!D169</f>
        <v>St. Joe's South Phase 1C - MGE</v>
      </c>
      <c r="D166" s="397" t="s">
        <v>2544</v>
      </c>
      <c r="E166" s="395" t="str">
        <f>'[3]ISRS Addns Nov and Dec 2016'!E169</f>
        <v>F0599</v>
      </c>
      <c r="F166" s="396" t="str">
        <f>'[3]ISRS Addns Nov and Dec 2016'!F169</f>
        <v>Main Replacement - ISRS (N)</v>
      </c>
      <c r="G166" s="398">
        <f>'[3]ISRS Addns Nov and Dec 2016'!I169</f>
        <v>885.68</v>
      </c>
    </row>
    <row r="167" spans="1:7" s="399" customFormat="1" ht="75">
      <c r="A167" s="395" t="str">
        <f>'[3]ISRS Addns Nov and Dec 2016'!C170</f>
        <v>800137</v>
      </c>
      <c r="B167" s="395" t="str">
        <f>'[3]ISRS Addns Nov and Dec 2016'!B170</f>
        <v>N/A</v>
      </c>
      <c r="C167" s="396" t="str">
        <f>'[3]ISRS Addns Nov and Dec 2016'!D170</f>
        <v>St. Joe's South Phase 1C - MGE</v>
      </c>
      <c r="D167" s="397" t="s">
        <v>2544</v>
      </c>
      <c r="E167" s="395" t="str">
        <f>'[3]ISRS Addns Nov and Dec 2016'!E170</f>
        <v>F0599</v>
      </c>
      <c r="F167" s="396" t="str">
        <f>'[3]ISRS Addns Nov and Dec 2016'!F170</f>
        <v>Main Replacement - ISRS (N)</v>
      </c>
      <c r="G167" s="398">
        <f>'[3]ISRS Addns Nov and Dec 2016'!I170</f>
        <v>7.81</v>
      </c>
    </row>
    <row r="168" spans="1:7" s="399" customFormat="1" ht="120">
      <c r="A168" s="395" t="str">
        <f>'[3]ISRS Addns Nov and Dec 2016'!C171</f>
        <v>800138</v>
      </c>
      <c r="B168" s="395" t="str">
        <f>'[3]ISRS Addns Nov and Dec 2016'!B171</f>
        <v>N/A</v>
      </c>
      <c r="C168" s="396" t="str">
        <f>'[3]ISRS Addns Nov and Dec 2016'!D171</f>
        <v>St. Joe's South Phase 1D - MGE</v>
      </c>
      <c r="D168" s="397" t="s">
        <v>2545</v>
      </c>
      <c r="E168" s="395" t="str">
        <f>'[3]ISRS Addns Nov and Dec 2016'!E171</f>
        <v>F0599</v>
      </c>
      <c r="F168" s="396" t="str">
        <f>'[3]ISRS Addns Nov and Dec 2016'!F171</f>
        <v>Main Replacement - ISRS (N)</v>
      </c>
      <c r="G168" s="398">
        <f>'[3]ISRS Addns Nov and Dec 2016'!I171</f>
        <v>-5895.54</v>
      </c>
    </row>
    <row r="169" spans="1:7" s="399" customFormat="1" ht="120">
      <c r="A169" s="395" t="str">
        <f>'[3]ISRS Addns Nov and Dec 2016'!C172</f>
        <v>800138</v>
      </c>
      <c r="B169" s="395" t="str">
        <f>'[3]ISRS Addns Nov and Dec 2016'!B172</f>
        <v>N/A</v>
      </c>
      <c r="C169" s="396" t="str">
        <f>'[3]ISRS Addns Nov and Dec 2016'!D172</f>
        <v>St. Joe's South Phase 1D - MGE</v>
      </c>
      <c r="D169" s="397" t="s">
        <v>2545</v>
      </c>
      <c r="E169" s="395" t="str">
        <f>'[3]ISRS Addns Nov and Dec 2016'!E172</f>
        <v>F0599</v>
      </c>
      <c r="F169" s="396" t="str">
        <f>'[3]ISRS Addns Nov and Dec 2016'!F172</f>
        <v>Main Replacement - ISRS (N)</v>
      </c>
      <c r="G169" s="398">
        <f>'[3]ISRS Addns Nov and Dec 2016'!I172</f>
        <v>-73.12</v>
      </c>
    </row>
    <row r="170" spans="1:7" s="399" customFormat="1" ht="120">
      <c r="A170" s="395" t="str">
        <f>'[3]ISRS Addns Nov and Dec 2016'!C173</f>
        <v>800138</v>
      </c>
      <c r="B170" s="395" t="str">
        <f>'[3]ISRS Addns Nov and Dec 2016'!B173</f>
        <v>N/A</v>
      </c>
      <c r="C170" s="396" t="str">
        <f>'[3]ISRS Addns Nov and Dec 2016'!D173</f>
        <v>St. Joe's South Phase 1D - MGE</v>
      </c>
      <c r="D170" s="397" t="s">
        <v>2545</v>
      </c>
      <c r="E170" s="395" t="str">
        <f>'[3]ISRS Addns Nov and Dec 2016'!E173</f>
        <v>F0599</v>
      </c>
      <c r="F170" s="396" t="str">
        <f>'[3]ISRS Addns Nov and Dec 2016'!F173</f>
        <v>Main Replacement - ISRS (N)</v>
      </c>
      <c r="G170" s="398">
        <f>'[3]ISRS Addns Nov and Dec 2016'!I173</f>
        <v>5276.87</v>
      </c>
    </row>
    <row r="171" spans="1:7" s="399" customFormat="1" ht="120">
      <c r="A171" s="395" t="str">
        <f>'[3]ISRS Addns Nov and Dec 2016'!C174</f>
        <v>800138</v>
      </c>
      <c r="B171" s="395" t="str">
        <f>'[3]ISRS Addns Nov and Dec 2016'!B174</f>
        <v>N/A</v>
      </c>
      <c r="C171" s="396" t="str">
        <f>'[3]ISRS Addns Nov and Dec 2016'!D174</f>
        <v>St. Joe's South Phase 1D - MGE</v>
      </c>
      <c r="D171" s="397" t="s">
        <v>2545</v>
      </c>
      <c r="E171" s="395" t="str">
        <f>'[3]ISRS Addns Nov and Dec 2016'!E174</f>
        <v>F0599</v>
      </c>
      <c r="F171" s="396" t="str">
        <f>'[3]ISRS Addns Nov and Dec 2016'!F174</f>
        <v>Main Replacement - ISRS (N)</v>
      </c>
      <c r="G171" s="398">
        <f>'[3]ISRS Addns Nov and Dec 2016'!I174</f>
        <v>65.47</v>
      </c>
    </row>
    <row r="172" spans="1:7" s="399" customFormat="1" ht="30">
      <c r="A172" s="395" t="str">
        <f>'[3]ISRS Addns Nov and Dec 2016'!C175</f>
        <v>800142</v>
      </c>
      <c r="B172" s="395" t="str">
        <f>'[3]ISRS Addns Nov and Dec 2016'!B175</f>
        <v>N/A</v>
      </c>
      <c r="C172" s="396" t="str">
        <f>'[3]ISRS Addns Nov and Dec 2016'!D175</f>
        <v>Hwy 71 and Gregory Grid Replace PhB</v>
      </c>
      <c r="D172" s="397" t="s">
        <v>2546</v>
      </c>
      <c r="E172" s="395" t="str">
        <f>'[3]ISRS Addns Nov and Dec 2016'!E175</f>
        <v>F0599</v>
      </c>
      <c r="F172" s="396" t="str">
        <f>'[3]ISRS Addns Nov and Dec 2016'!F175</f>
        <v>Main Replacement - ISRS (N)</v>
      </c>
      <c r="G172" s="398">
        <f>'[3]ISRS Addns Nov and Dec 2016'!I175</f>
        <v>-328.15</v>
      </c>
    </row>
    <row r="173" spans="1:7" s="399" customFormat="1" ht="30">
      <c r="A173" s="395" t="str">
        <f>'[3]ISRS Addns Nov and Dec 2016'!C176</f>
        <v>800142</v>
      </c>
      <c r="B173" s="395" t="str">
        <f>'[3]ISRS Addns Nov and Dec 2016'!B176</f>
        <v>N/A</v>
      </c>
      <c r="C173" s="396" t="str">
        <f>'[3]ISRS Addns Nov and Dec 2016'!D176</f>
        <v>Hwy 71 and Gregory Grid Replace PhB</v>
      </c>
      <c r="D173" s="397" t="s">
        <v>2546</v>
      </c>
      <c r="E173" s="395" t="str">
        <f>'[3]ISRS Addns Nov and Dec 2016'!E176</f>
        <v>F0599</v>
      </c>
      <c r="F173" s="396" t="str">
        <f>'[3]ISRS Addns Nov and Dec 2016'!F176</f>
        <v>Main Replacement - ISRS (N)</v>
      </c>
      <c r="G173" s="398">
        <f>'[3]ISRS Addns Nov and Dec 2016'!I176</f>
        <v>-88.27</v>
      </c>
    </row>
    <row r="174" spans="1:7" s="399" customFormat="1" ht="30">
      <c r="A174" s="395" t="str">
        <f>'[3]ISRS Addns Nov and Dec 2016'!C177</f>
        <v>800142</v>
      </c>
      <c r="B174" s="395" t="str">
        <f>'[3]ISRS Addns Nov and Dec 2016'!B177</f>
        <v>N/A</v>
      </c>
      <c r="C174" s="396" t="str">
        <f>'[3]ISRS Addns Nov and Dec 2016'!D177</f>
        <v>Hwy 71 and Gregory Grid Replace PhB</v>
      </c>
      <c r="D174" s="397" t="s">
        <v>2546</v>
      </c>
      <c r="E174" s="395" t="str">
        <f>'[3]ISRS Addns Nov and Dec 2016'!E177</f>
        <v>F0599</v>
      </c>
      <c r="F174" s="396" t="str">
        <f>'[3]ISRS Addns Nov and Dec 2016'!F177</f>
        <v>Main Replacement - ISRS (N)</v>
      </c>
      <c r="G174" s="398">
        <f>'[3]ISRS Addns Nov and Dec 2016'!I177</f>
        <v>503.46</v>
      </c>
    </row>
    <row r="175" spans="1:7" s="399" customFormat="1" ht="30">
      <c r="A175" s="395" t="str">
        <f>'[3]ISRS Addns Nov and Dec 2016'!C178</f>
        <v>800142</v>
      </c>
      <c r="B175" s="395" t="str">
        <f>'[3]ISRS Addns Nov and Dec 2016'!B178</f>
        <v>N/A</v>
      </c>
      <c r="C175" s="396" t="str">
        <f>'[3]ISRS Addns Nov and Dec 2016'!D178</f>
        <v>Hwy 71 and Gregory Grid Replace PhB</v>
      </c>
      <c r="D175" s="397" t="s">
        <v>2546</v>
      </c>
      <c r="E175" s="395" t="str">
        <f>'[3]ISRS Addns Nov and Dec 2016'!E178</f>
        <v>F0599</v>
      </c>
      <c r="F175" s="396" t="str">
        <f>'[3]ISRS Addns Nov and Dec 2016'!F178</f>
        <v>Main Replacement - ISRS (N)</v>
      </c>
      <c r="G175" s="398">
        <f>'[3]ISRS Addns Nov and Dec 2016'!I178</f>
        <v>135.44999999999999</v>
      </c>
    </row>
    <row r="176" spans="1:7" s="399" customFormat="1" ht="45">
      <c r="A176" s="395" t="str">
        <f>'[3]ISRS Addns Nov and Dec 2016'!C179</f>
        <v>800143</v>
      </c>
      <c r="B176" s="395" t="str">
        <f>'[3]ISRS Addns Nov and Dec 2016'!B179</f>
        <v>N/A</v>
      </c>
      <c r="C176" s="396" t="str">
        <f>'[3]ISRS Addns Nov and Dec 2016'!D179</f>
        <v>Hwy 71 &amp; Gregory Grid Replace PhC</v>
      </c>
      <c r="D176" s="397" t="s">
        <v>2547</v>
      </c>
      <c r="E176" s="395" t="str">
        <f>'[3]ISRS Addns Nov and Dec 2016'!E179</f>
        <v>F0599</v>
      </c>
      <c r="F176" s="396" t="str">
        <f>'[3]ISRS Addns Nov and Dec 2016'!F179</f>
        <v>Main Replacement - ISRS (N)</v>
      </c>
      <c r="G176" s="398">
        <f>'[3]ISRS Addns Nov and Dec 2016'!I179</f>
        <v>-78.709999999999994</v>
      </c>
    </row>
    <row r="177" spans="1:7" s="399" customFormat="1" ht="45">
      <c r="A177" s="395" t="str">
        <f>'[3]ISRS Addns Nov and Dec 2016'!C180</f>
        <v>800143</v>
      </c>
      <c r="B177" s="395" t="str">
        <f>'[3]ISRS Addns Nov and Dec 2016'!B180</f>
        <v>N/A</v>
      </c>
      <c r="C177" s="396" t="str">
        <f>'[3]ISRS Addns Nov and Dec 2016'!D180</f>
        <v>Hwy 71 &amp; Gregory Grid Replace PhC</v>
      </c>
      <c r="D177" s="397" t="s">
        <v>2547</v>
      </c>
      <c r="E177" s="395" t="str">
        <f>'[3]ISRS Addns Nov and Dec 2016'!E180</f>
        <v>F0599</v>
      </c>
      <c r="F177" s="396" t="str">
        <f>'[3]ISRS Addns Nov and Dec 2016'!F180</f>
        <v>Main Replacement - ISRS (N)</v>
      </c>
      <c r="G177" s="398">
        <f>'[3]ISRS Addns Nov and Dec 2016'!I180</f>
        <v>-11.4</v>
      </c>
    </row>
    <row r="178" spans="1:7" s="399" customFormat="1" ht="45">
      <c r="A178" s="395" t="str">
        <f>'[3]ISRS Addns Nov and Dec 2016'!C181</f>
        <v>800143</v>
      </c>
      <c r="B178" s="395" t="str">
        <f>'[3]ISRS Addns Nov and Dec 2016'!B181</f>
        <v>N/A</v>
      </c>
      <c r="C178" s="396" t="str">
        <f>'[3]ISRS Addns Nov and Dec 2016'!D181</f>
        <v>Hwy 71 &amp; Gregory Grid Replace PhC</v>
      </c>
      <c r="D178" s="397" t="s">
        <v>2547</v>
      </c>
      <c r="E178" s="395" t="str">
        <f>'[3]ISRS Addns Nov and Dec 2016'!E181</f>
        <v>F0599</v>
      </c>
      <c r="F178" s="396" t="str">
        <f>'[3]ISRS Addns Nov and Dec 2016'!F181</f>
        <v>Main Replacement - ISRS (N)</v>
      </c>
      <c r="G178" s="398">
        <f>'[3]ISRS Addns Nov and Dec 2016'!I181</f>
        <v>48.08</v>
      </c>
    </row>
    <row r="179" spans="1:7" s="399" customFormat="1" ht="45">
      <c r="A179" s="395" t="str">
        <f>'[3]ISRS Addns Nov and Dec 2016'!C182</f>
        <v>800143</v>
      </c>
      <c r="B179" s="395" t="str">
        <f>'[3]ISRS Addns Nov and Dec 2016'!B182</f>
        <v>N/A</v>
      </c>
      <c r="C179" s="396" t="str">
        <f>'[3]ISRS Addns Nov and Dec 2016'!D182</f>
        <v>Hwy 71 &amp; Gregory Grid Replace PhC</v>
      </c>
      <c r="D179" s="397" t="s">
        <v>2547</v>
      </c>
      <c r="E179" s="395" t="str">
        <f>'[3]ISRS Addns Nov and Dec 2016'!E182</f>
        <v>F0599</v>
      </c>
      <c r="F179" s="396" t="str">
        <f>'[3]ISRS Addns Nov and Dec 2016'!F182</f>
        <v>Main Replacement - ISRS (N)</v>
      </c>
      <c r="G179" s="398">
        <f>'[3]ISRS Addns Nov and Dec 2016'!I182</f>
        <v>6.98</v>
      </c>
    </row>
    <row r="180" spans="1:7" s="399" customFormat="1" ht="60">
      <c r="A180" s="395" t="str">
        <f>'[3]ISRS Addns Nov and Dec 2016'!C183</f>
        <v>800144</v>
      </c>
      <c r="B180" s="395" t="str">
        <f>'[3]ISRS Addns Nov and Dec 2016'!B183</f>
        <v>N/A</v>
      </c>
      <c r="C180" s="396" t="str">
        <f>'[3]ISRS Addns Nov and Dec 2016'!D183</f>
        <v>Hwy 71 and Gregory Grid Repl PhD</v>
      </c>
      <c r="D180" s="397" t="s">
        <v>2548</v>
      </c>
      <c r="E180" s="395" t="str">
        <f>'[3]ISRS Addns Nov and Dec 2016'!E183</f>
        <v>F0547</v>
      </c>
      <c r="F180" s="396" t="str">
        <f>'[3]ISRS Addns Nov and Dec 2016'!F183</f>
        <v>Street &amp; Highway Relocates ISRS (N)</v>
      </c>
      <c r="G180" s="398">
        <f>'[3]ISRS Addns Nov and Dec 2016'!I183</f>
        <v>3147.03</v>
      </c>
    </row>
    <row r="181" spans="1:7" s="399" customFormat="1" ht="60">
      <c r="A181" s="395" t="str">
        <f>'[3]ISRS Addns Nov and Dec 2016'!C184</f>
        <v>800144</v>
      </c>
      <c r="B181" s="395" t="str">
        <f>'[3]ISRS Addns Nov and Dec 2016'!B184</f>
        <v>N/A</v>
      </c>
      <c r="C181" s="396" t="str">
        <f>'[3]ISRS Addns Nov and Dec 2016'!D184</f>
        <v>Hwy 71 and Gregory Grid Repl PhD</v>
      </c>
      <c r="D181" s="397" t="s">
        <v>2548</v>
      </c>
      <c r="E181" s="395" t="str">
        <f>'[3]ISRS Addns Nov and Dec 2016'!E184</f>
        <v>F0547</v>
      </c>
      <c r="F181" s="396" t="str">
        <f>'[3]ISRS Addns Nov and Dec 2016'!F184</f>
        <v>Street &amp; Highway Relocates ISRS (N)</v>
      </c>
      <c r="G181" s="398">
        <f>'[3]ISRS Addns Nov and Dec 2016'!I184</f>
        <v>656.45</v>
      </c>
    </row>
    <row r="182" spans="1:7" s="399" customFormat="1" ht="60">
      <c r="A182" s="395" t="str">
        <f>'[3]ISRS Addns Nov and Dec 2016'!C185</f>
        <v>800145</v>
      </c>
      <c r="B182" s="395" t="str">
        <f>'[3]ISRS Addns Nov and Dec 2016'!B185</f>
        <v>N/A</v>
      </c>
      <c r="C182" s="396" t="str">
        <f>'[3]ISRS Addns Nov and Dec 2016'!D185</f>
        <v>Repl w 4271F 4P- 71 &amp; Gregory Ph E</v>
      </c>
      <c r="D182" s="397" t="s">
        <v>2549</v>
      </c>
      <c r="E182" s="395" t="str">
        <f>'[3]ISRS Addns Nov and Dec 2016'!E185</f>
        <v>F0599</v>
      </c>
      <c r="F182" s="396" t="str">
        <f>'[3]ISRS Addns Nov and Dec 2016'!F185</f>
        <v>Main Replacement - ISRS (N)</v>
      </c>
      <c r="G182" s="398">
        <f>'[3]ISRS Addns Nov and Dec 2016'!I185</f>
        <v>152.84</v>
      </c>
    </row>
    <row r="183" spans="1:7" s="399" customFormat="1" ht="60">
      <c r="A183" s="395" t="str">
        <f>'[3]ISRS Addns Nov and Dec 2016'!C186</f>
        <v>800145</v>
      </c>
      <c r="B183" s="395" t="str">
        <f>'[3]ISRS Addns Nov and Dec 2016'!B186</f>
        <v>N/A</v>
      </c>
      <c r="C183" s="396" t="str">
        <f>'[3]ISRS Addns Nov and Dec 2016'!D186</f>
        <v>Repl w 4271F 4P- 71 &amp; Gregory Ph E</v>
      </c>
      <c r="D183" s="397" t="s">
        <v>2549</v>
      </c>
      <c r="E183" s="395" t="str">
        <f>'[3]ISRS Addns Nov and Dec 2016'!E186</f>
        <v>F0599</v>
      </c>
      <c r="F183" s="396" t="str">
        <f>'[3]ISRS Addns Nov and Dec 2016'!F186</f>
        <v>Main Replacement - ISRS (N)</v>
      </c>
      <c r="G183" s="398">
        <f>'[3]ISRS Addns Nov and Dec 2016'!I186</f>
        <v>0.43</v>
      </c>
    </row>
    <row r="184" spans="1:7" s="399" customFormat="1" ht="60">
      <c r="A184" s="395" t="str">
        <f>'[3]ISRS Addns Nov and Dec 2016'!C187</f>
        <v>800145</v>
      </c>
      <c r="B184" s="395" t="str">
        <f>'[3]ISRS Addns Nov and Dec 2016'!B187</f>
        <v>N/A</v>
      </c>
      <c r="C184" s="396" t="str">
        <f>'[3]ISRS Addns Nov and Dec 2016'!D187</f>
        <v>Repl w 4271F 4P- 71 &amp; Gregory Ph E</v>
      </c>
      <c r="D184" s="397" t="s">
        <v>2549</v>
      </c>
      <c r="E184" s="395" t="str">
        <f>'[3]ISRS Addns Nov and Dec 2016'!E187</f>
        <v>F0599</v>
      </c>
      <c r="F184" s="396" t="str">
        <f>'[3]ISRS Addns Nov and Dec 2016'!F187</f>
        <v>Main Replacement - ISRS (N)</v>
      </c>
      <c r="G184" s="398">
        <f>'[3]ISRS Addns Nov and Dec 2016'!I187</f>
        <v>34.85</v>
      </c>
    </row>
    <row r="185" spans="1:7" s="399" customFormat="1" ht="60">
      <c r="A185" s="395" t="str">
        <f>'[3]ISRS Addns Nov and Dec 2016'!C188</f>
        <v>800145</v>
      </c>
      <c r="B185" s="395" t="str">
        <f>'[3]ISRS Addns Nov and Dec 2016'!B188</f>
        <v>N/A</v>
      </c>
      <c r="C185" s="396" t="str">
        <f>'[3]ISRS Addns Nov and Dec 2016'!D188</f>
        <v>Repl w 4271F 4P- 71 &amp; Gregory Ph E</v>
      </c>
      <c r="D185" s="397" t="s">
        <v>2549</v>
      </c>
      <c r="E185" s="395" t="str">
        <f>'[3]ISRS Addns Nov and Dec 2016'!E188</f>
        <v>F0599</v>
      </c>
      <c r="F185" s="396" t="str">
        <f>'[3]ISRS Addns Nov and Dec 2016'!F188</f>
        <v>Main Replacement - ISRS (N)</v>
      </c>
      <c r="G185" s="398">
        <f>'[3]ISRS Addns Nov and Dec 2016'!I188</f>
        <v>43.04</v>
      </c>
    </row>
    <row r="186" spans="1:7" s="399" customFormat="1" ht="60">
      <c r="A186" s="395" t="str">
        <f>'[3]ISRS Addns Nov and Dec 2016'!C189</f>
        <v>800145</v>
      </c>
      <c r="B186" s="395" t="str">
        <f>'[3]ISRS Addns Nov and Dec 2016'!B189</f>
        <v>N/A</v>
      </c>
      <c r="C186" s="396" t="str">
        <f>'[3]ISRS Addns Nov and Dec 2016'!D189</f>
        <v>Repl w 4271F 4P- 71 &amp; Gregory Ph E</v>
      </c>
      <c r="D186" s="397" t="s">
        <v>2549</v>
      </c>
      <c r="E186" s="395" t="str">
        <f>'[3]ISRS Addns Nov and Dec 2016'!E189</f>
        <v>F0599</v>
      </c>
      <c r="F186" s="396" t="str">
        <f>'[3]ISRS Addns Nov and Dec 2016'!F189</f>
        <v>Main Replacement - ISRS (N)</v>
      </c>
      <c r="G186" s="398">
        <f>'[3]ISRS Addns Nov and Dec 2016'!I189</f>
        <v>0.12</v>
      </c>
    </row>
    <row r="187" spans="1:7" s="399" customFormat="1" ht="60">
      <c r="A187" s="395" t="str">
        <f>'[3]ISRS Addns Nov and Dec 2016'!C190</f>
        <v>800145</v>
      </c>
      <c r="B187" s="395" t="str">
        <f>'[3]ISRS Addns Nov and Dec 2016'!B190</f>
        <v>N/A</v>
      </c>
      <c r="C187" s="396" t="str">
        <f>'[3]ISRS Addns Nov and Dec 2016'!D190</f>
        <v>Repl w 4271F 4P- 71 &amp; Gregory Ph E</v>
      </c>
      <c r="D187" s="397" t="s">
        <v>2549</v>
      </c>
      <c r="E187" s="395" t="str">
        <f>'[3]ISRS Addns Nov and Dec 2016'!E190</f>
        <v>F0599</v>
      </c>
      <c r="F187" s="396" t="str">
        <f>'[3]ISRS Addns Nov and Dec 2016'!F190</f>
        <v>Main Replacement - ISRS (N)</v>
      </c>
      <c r="G187" s="398">
        <f>'[3]ISRS Addns Nov and Dec 2016'!I190</f>
        <v>9.82</v>
      </c>
    </row>
    <row r="188" spans="1:7" s="399" customFormat="1" ht="60">
      <c r="A188" s="395" t="str">
        <f>'[3]ISRS Addns Nov and Dec 2016'!C191</f>
        <v>800146</v>
      </c>
      <c r="B188" s="395" t="str">
        <f>'[3]ISRS Addns Nov and Dec 2016'!B191</f>
        <v>N/A</v>
      </c>
      <c r="C188" s="396" t="str">
        <f>'[3]ISRS Addns Nov and Dec 2016'!D191</f>
        <v>Repl w/ 4506F 2P Hwy71 &amp; Gregory-F</v>
      </c>
      <c r="D188" s="397" t="s">
        <v>2550</v>
      </c>
      <c r="E188" s="395" t="str">
        <f>'[3]ISRS Addns Nov and Dec 2016'!E191</f>
        <v>F0599</v>
      </c>
      <c r="F188" s="396" t="str">
        <f>'[3]ISRS Addns Nov and Dec 2016'!F191</f>
        <v>Main Replacement - ISRS (N)</v>
      </c>
      <c r="G188" s="398">
        <f>'[3]ISRS Addns Nov and Dec 2016'!I191</f>
        <v>-380.09</v>
      </c>
    </row>
    <row r="189" spans="1:7" s="399" customFormat="1" ht="60">
      <c r="A189" s="395" t="str">
        <f>'[3]ISRS Addns Nov and Dec 2016'!C192</f>
        <v>800146</v>
      </c>
      <c r="B189" s="395" t="str">
        <f>'[3]ISRS Addns Nov and Dec 2016'!B192</f>
        <v>N/A</v>
      </c>
      <c r="C189" s="396" t="str">
        <f>'[3]ISRS Addns Nov and Dec 2016'!D192</f>
        <v>Repl w/ 4506F 2P Hwy71 &amp; Gregory-F</v>
      </c>
      <c r="D189" s="397" t="s">
        <v>2550</v>
      </c>
      <c r="E189" s="395" t="str">
        <f>'[3]ISRS Addns Nov and Dec 2016'!E192</f>
        <v>F0599</v>
      </c>
      <c r="F189" s="396" t="str">
        <f>'[3]ISRS Addns Nov and Dec 2016'!F192</f>
        <v>Main Replacement - ISRS (N)</v>
      </c>
      <c r="G189" s="398">
        <f>'[3]ISRS Addns Nov and Dec 2016'!I192</f>
        <v>-1.19</v>
      </c>
    </row>
    <row r="190" spans="1:7" s="399" customFormat="1" ht="60">
      <c r="A190" s="395" t="str">
        <f>'[3]ISRS Addns Nov and Dec 2016'!C193</f>
        <v>800146</v>
      </c>
      <c r="B190" s="395" t="str">
        <f>'[3]ISRS Addns Nov and Dec 2016'!B193</f>
        <v>N/A</v>
      </c>
      <c r="C190" s="396" t="str">
        <f>'[3]ISRS Addns Nov and Dec 2016'!D193</f>
        <v>Repl w/ 4506F 2P Hwy71 &amp; Gregory-F</v>
      </c>
      <c r="D190" s="397" t="s">
        <v>2550</v>
      </c>
      <c r="E190" s="395" t="str">
        <f>'[3]ISRS Addns Nov and Dec 2016'!E193</f>
        <v>F0599</v>
      </c>
      <c r="F190" s="396" t="str">
        <f>'[3]ISRS Addns Nov and Dec 2016'!F193</f>
        <v>Main Replacement - ISRS (N)</v>
      </c>
      <c r="G190" s="398">
        <f>'[3]ISRS Addns Nov and Dec 2016'!I193</f>
        <v>-44.86</v>
      </c>
    </row>
    <row r="191" spans="1:7" s="399" customFormat="1" ht="60">
      <c r="A191" s="395" t="str">
        <f>'[3]ISRS Addns Nov and Dec 2016'!C194</f>
        <v>800146</v>
      </c>
      <c r="B191" s="395" t="str">
        <f>'[3]ISRS Addns Nov and Dec 2016'!B194</f>
        <v>N/A</v>
      </c>
      <c r="C191" s="396" t="str">
        <f>'[3]ISRS Addns Nov and Dec 2016'!D194</f>
        <v>Repl w/ 4506F 2P Hwy71 &amp; Gregory-F</v>
      </c>
      <c r="D191" s="397" t="s">
        <v>2550</v>
      </c>
      <c r="E191" s="395" t="str">
        <f>'[3]ISRS Addns Nov and Dec 2016'!E194</f>
        <v>F0599</v>
      </c>
      <c r="F191" s="396" t="str">
        <f>'[3]ISRS Addns Nov and Dec 2016'!F194</f>
        <v>Main Replacement - ISRS (N)</v>
      </c>
      <c r="G191" s="398">
        <f>'[3]ISRS Addns Nov and Dec 2016'!I194</f>
        <v>22221.61</v>
      </c>
    </row>
    <row r="192" spans="1:7" s="399" customFormat="1" ht="60">
      <c r="A192" s="395" t="str">
        <f>'[3]ISRS Addns Nov and Dec 2016'!C195</f>
        <v>800146</v>
      </c>
      <c r="B192" s="395" t="str">
        <f>'[3]ISRS Addns Nov and Dec 2016'!B195</f>
        <v>N/A</v>
      </c>
      <c r="C192" s="396" t="str">
        <f>'[3]ISRS Addns Nov and Dec 2016'!D195</f>
        <v>Repl w/ 4506F 2P Hwy71 &amp; Gregory-F</v>
      </c>
      <c r="D192" s="397" t="s">
        <v>2550</v>
      </c>
      <c r="E192" s="395" t="str">
        <f>'[3]ISRS Addns Nov and Dec 2016'!E195</f>
        <v>F0599</v>
      </c>
      <c r="F192" s="396" t="str">
        <f>'[3]ISRS Addns Nov and Dec 2016'!F195</f>
        <v>Main Replacement - ISRS (N)</v>
      </c>
      <c r="G192" s="398">
        <f>'[3]ISRS Addns Nov and Dec 2016'!I195</f>
        <v>69.010000000000005</v>
      </c>
    </row>
    <row r="193" spans="1:7" s="399" customFormat="1" ht="60">
      <c r="A193" s="395" t="str">
        <f>'[3]ISRS Addns Nov and Dec 2016'!C196</f>
        <v>800146</v>
      </c>
      <c r="B193" s="395" t="str">
        <f>'[3]ISRS Addns Nov and Dec 2016'!B196</f>
        <v>N/A</v>
      </c>
      <c r="C193" s="396" t="str">
        <f>'[3]ISRS Addns Nov and Dec 2016'!D196</f>
        <v>Repl w/ 4506F 2P Hwy71 &amp; Gregory-F</v>
      </c>
      <c r="D193" s="397" t="s">
        <v>2550</v>
      </c>
      <c r="E193" s="395" t="str">
        <f>'[3]ISRS Addns Nov and Dec 2016'!E196</f>
        <v>F0599</v>
      </c>
      <c r="F193" s="396" t="str">
        <f>'[3]ISRS Addns Nov and Dec 2016'!F196</f>
        <v>Main Replacement - ISRS (N)</v>
      </c>
      <c r="G193" s="398">
        <f>'[3]ISRS Addns Nov and Dec 2016'!I196</f>
        <v>2622.83</v>
      </c>
    </row>
    <row r="194" spans="1:7" s="399" customFormat="1" ht="90">
      <c r="A194" s="395" t="str">
        <f>'[3]ISRS Addns Nov and Dec 2016'!C197</f>
        <v>800163</v>
      </c>
      <c r="B194" s="395" t="str">
        <f>'[3]ISRS Addns Nov and Dec 2016'!B197</f>
        <v>N/A</v>
      </c>
      <c r="C194" s="396" t="str">
        <f>'[3]ISRS Addns Nov and Dec 2016'!D197</f>
        <v>Webb City Phase 1D Bare Steel Repla</v>
      </c>
      <c r="D194" s="397" t="s">
        <v>2551</v>
      </c>
      <c r="E194" s="395" t="str">
        <f>'[3]ISRS Addns Nov and Dec 2016'!E197</f>
        <v>F0572</v>
      </c>
      <c r="F194" s="396" t="str">
        <f>'[3]ISRS Addns Nov and Dec 2016'!F197</f>
        <v>Main Replacement - ISRS (SW)</v>
      </c>
      <c r="G194" s="398">
        <f>'[3]ISRS Addns Nov and Dec 2016'!I197</f>
        <v>967.16</v>
      </c>
    </row>
    <row r="195" spans="1:7" s="399" customFormat="1" ht="90">
      <c r="A195" s="395" t="str">
        <f>'[3]ISRS Addns Nov and Dec 2016'!C198</f>
        <v>800163</v>
      </c>
      <c r="B195" s="395" t="str">
        <f>'[3]ISRS Addns Nov and Dec 2016'!B198</f>
        <v>N/A</v>
      </c>
      <c r="C195" s="396" t="str">
        <f>'[3]ISRS Addns Nov and Dec 2016'!D198</f>
        <v>Webb City Phase 1D Bare Steel Repla</v>
      </c>
      <c r="D195" s="397" t="s">
        <v>2551</v>
      </c>
      <c r="E195" s="395" t="str">
        <f>'[3]ISRS Addns Nov and Dec 2016'!E198</f>
        <v>F0572</v>
      </c>
      <c r="F195" s="396" t="str">
        <f>'[3]ISRS Addns Nov and Dec 2016'!F198</f>
        <v>Main Replacement - ISRS (SW)</v>
      </c>
      <c r="G195" s="398">
        <f>'[3]ISRS Addns Nov and Dec 2016'!I198</f>
        <v>200.25</v>
      </c>
    </row>
    <row r="196" spans="1:7" s="399" customFormat="1" ht="90">
      <c r="A196" s="395" t="str">
        <f>'[3]ISRS Addns Nov and Dec 2016'!C199</f>
        <v>800163</v>
      </c>
      <c r="B196" s="395" t="str">
        <f>'[3]ISRS Addns Nov and Dec 2016'!B199</f>
        <v>N/A</v>
      </c>
      <c r="C196" s="396" t="str">
        <f>'[3]ISRS Addns Nov and Dec 2016'!D199</f>
        <v>Webb City Phase 1D Bare Steel Repla</v>
      </c>
      <c r="D196" s="397" t="s">
        <v>2551</v>
      </c>
      <c r="E196" s="395" t="str">
        <f>'[3]ISRS Addns Nov and Dec 2016'!E199</f>
        <v>F0572</v>
      </c>
      <c r="F196" s="396" t="str">
        <f>'[3]ISRS Addns Nov and Dec 2016'!F199</f>
        <v>Main Replacement - ISRS (SW)</v>
      </c>
      <c r="G196" s="398">
        <f>'[3]ISRS Addns Nov and Dec 2016'!I199</f>
        <v>1028.3499999999999</v>
      </c>
    </row>
    <row r="197" spans="1:7" s="399" customFormat="1" ht="90">
      <c r="A197" s="395" t="str">
        <f>'[3]ISRS Addns Nov and Dec 2016'!C200</f>
        <v>800163</v>
      </c>
      <c r="B197" s="395" t="str">
        <f>'[3]ISRS Addns Nov and Dec 2016'!B200</f>
        <v>N/A</v>
      </c>
      <c r="C197" s="396" t="str">
        <f>'[3]ISRS Addns Nov and Dec 2016'!D200</f>
        <v>Webb City Phase 1D Bare Steel Repla</v>
      </c>
      <c r="D197" s="397" t="s">
        <v>2551</v>
      </c>
      <c r="E197" s="395" t="str">
        <f>'[3]ISRS Addns Nov and Dec 2016'!E200</f>
        <v>F0572</v>
      </c>
      <c r="F197" s="396" t="str">
        <f>'[3]ISRS Addns Nov and Dec 2016'!F200</f>
        <v>Main Replacement - ISRS (SW)</v>
      </c>
      <c r="G197" s="398">
        <f>'[3]ISRS Addns Nov and Dec 2016'!I200</f>
        <v>212.94</v>
      </c>
    </row>
    <row r="198" spans="1:7" s="399" customFormat="1" ht="75">
      <c r="A198" s="395" t="str">
        <f>'[3]ISRS Addns Nov and Dec 2016'!C201</f>
        <v>800178</v>
      </c>
      <c r="B198" s="395" t="str">
        <f>'[3]ISRS Addns Nov and Dec 2016'!B201</f>
        <v>N/A</v>
      </c>
      <c r="C198" s="396" t="str">
        <f>'[3]ISRS Addns Nov and Dec 2016'!D201</f>
        <v>Webb City Phase 1E Grid Repl</v>
      </c>
      <c r="D198" s="397" t="s">
        <v>2552</v>
      </c>
      <c r="E198" s="395" t="str">
        <f>'[3]ISRS Addns Nov and Dec 2016'!E201</f>
        <v>F0572</v>
      </c>
      <c r="F198" s="396" t="str">
        <f>'[3]ISRS Addns Nov and Dec 2016'!F201</f>
        <v>Main Replacement - ISRS (SW)</v>
      </c>
      <c r="G198" s="398">
        <f>'[3]ISRS Addns Nov and Dec 2016'!I201</f>
        <v>1034.31</v>
      </c>
    </row>
    <row r="199" spans="1:7" s="399" customFormat="1" ht="75">
      <c r="A199" s="395" t="str">
        <f>'[3]ISRS Addns Nov and Dec 2016'!C202</f>
        <v>800178</v>
      </c>
      <c r="B199" s="395" t="str">
        <f>'[3]ISRS Addns Nov and Dec 2016'!B202</f>
        <v>N/A</v>
      </c>
      <c r="C199" s="396" t="str">
        <f>'[3]ISRS Addns Nov and Dec 2016'!D202</f>
        <v>Webb City Phase 1E Grid Repl</v>
      </c>
      <c r="D199" s="397" t="s">
        <v>2552</v>
      </c>
      <c r="E199" s="395" t="str">
        <f>'[3]ISRS Addns Nov and Dec 2016'!E202</f>
        <v>F0572</v>
      </c>
      <c r="F199" s="396" t="str">
        <f>'[3]ISRS Addns Nov and Dec 2016'!F202</f>
        <v>Main Replacement - ISRS (SW)</v>
      </c>
      <c r="G199" s="398">
        <f>'[3]ISRS Addns Nov and Dec 2016'!I202</f>
        <v>27.82</v>
      </c>
    </row>
    <row r="200" spans="1:7" s="399" customFormat="1" ht="75">
      <c r="A200" s="395" t="str">
        <f>'[3]ISRS Addns Nov and Dec 2016'!C203</f>
        <v>800178</v>
      </c>
      <c r="B200" s="395" t="str">
        <f>'[3]ISRS Addns Nov and Dec 2016'!B203</f>
        <v>N/A</v>
      </c>
      <c r="C200" s="396" t="str">
        <f>'[3]ISRS Addns Nov and Dec 2016'!D203</f>
        <v>Webb City Phase 1E Grid Repl</v>
      </c>
      <c r="D200" s="397" t="s">
        <v>2552</v>
      </c>
      <c r="E200" s="395" t="str">
        <f>'[3]ISRS Addns Nov and Dec 2016'!E203</f>
        <v>F0572</v>
      </c>
      <c r="F200" s="396" t="str">
        <f>'[3]ISRS Addns Nov and Dec 2016'!F203</f>
        <v>Main Replacement - ISRS (SW)</v>
      </c>
      <c r="G200" s="398">
        <f>'[3]ISRS Addns Nov and Dec 2016'!I203</f>
        <v>-1727.22</v>
      </c>
    </row>
    <row r="201" spans="1:7" s="399" customFormat="1" ht="75">
      <c r="A201" s="395" t="str">
        <f>'[3]ISRS Addns Nov and Dec 2016'!C204</f>
        <v>800178</v>
      </c>
      <c r="B201" s="395" t="str">
        <f>'[3]ISRS Addns Nov and Dec 2016'!B204</f>
        <v>N/A</v>
      </c>
      <c r="C201" s="396" t="str">
        <f>'[3]ISRS Addns Nov and Dec 2016'!D204</f>
        <v>Webb City Phase 1E Grid Repl</v>
      </c>
      <c r="D201" s="397" t="s">
        <v>2552</v>
      </c>
      <c r="E201" s="395" t="str">
        <f>'[3]ISRS Addns Nov and Dec 2016'!E204</f>
        <v>F0572</v>
      </c>
      <c r="F201" s="396" t="str">
        <f>'[3]ISRS Addns Nov and Dec 2016'!F204</f>
        <v>Main Replacement - ISRS (SW)</v>
      </c>
      <c r="G201" s="398">
        <f>'[3]ISRS Addns Nov and Dec 2016'!I204</f>
        <v>-46.47</v>
      </c>
    </row>
    <row r="202" spans="1:7" s="399" customFormat="1" ht="90">
      <c r="A202" s="395" t="str">
        <f>'[3]ISRS Addns Nov and Dec 2016'!C205</f>
        <v>800179</v>
      </c>
      <c r="B202" s="395" t="str">
        <f>'[3]ISRS Addns Nov and Dec 2016'!B205</f>
        <v>N/A</v>
      </c>
      <c r="C202" s="396" t="str">
        <f>'[3]ISRS Addns Nov and Dec 2016'!D205</f>
        <v>Webb City Phase 1F Grid Repl</v>
      </c>
      <c r="D202" s="397" t="s">
        <v>2553</v>
      </c>
      <c r="E202" s="395" t="str">
        <f>'[3]ISRS Addns Nov and Dec 2016'!E205</f>
        <v>F0572</v>
      </c>
      <c r="F202" s="396" t="str">
        <f>'[3]ISRS Addns Nov and Dec 2016'!F205</f>
        <v>Main Replacement - ISRS (SW)</v>
      </c>
      <c r="G202" s="398">
        <f>'[3]ISRS Addns Nov and Dec 2016'!I205</f>
        <v>14167.82</v>
      </c>
    </row>
    <row r="203" spans="1:7" s="399" customFormat="1" ht="90">
      <c r="A203" s="395" t="str">
        <f>'[3]ISRS Addns Nov and Dec 2016'!C206</f>
        <v>800179</v>
      </c>
      <c r="B203" s="395" t="str">
        <f>'[3]ISRS Addns Nov and Dec 2016'!B206</f>
        <v>N/A</v>
      </c>
      <c r="C203" s="396" t="str">
        <f>'[3]ISRS Addns Nov and Dec 2016'!D206</f>
        <v>Webb City Phase 1F Grid Repl</v>
      </c>
      <c r="D203" s="397" t="s">
        <v>2553</v>
      </c>
      <c r="E203" s="395" t="str">
        <f>'[3]ISRS Addns Nov and Dec 2016'!E206</f>
        <v>F0572</v>
      </c>
      <c r="F203" s="396" t="str">
        <f>'[3]ISRS Addns Nov and Dec 2016'!F206</f>
        <v>Main Replacement - ISRS (SW)</v>
      </c>
      <c r="G203" s="398">
        <f>'[3]ISRS Addns Nov and Dec 2016'!I206</f>
        <v>10.1</v>
      </c>
    </row>
    <row r="204" spans="1:7" s="399" customFormat="1" ht="90">
      <c r="A204" s="395" t="str">
        <f>'[3]ISRS Addns Nov and Dec 2016'!C207</f>
        <v>800179</v>
      </c>
      <c r="B204" s="395" t="str">
        <f>'[3]ISRS Addns Nov and Dec 2016'!B207</f>
        <v>N/A</v>
      </c>
      <c r="C204" s="396" t="str">
        <f>'[3]ISRS Addns Nov and Dec 2016'!D207</f>
        <v>Webb City Phase 1F Grid Repl</v>
      </c>
      <c r="D204" s="397" t="s">
        <v>2553</v>
      </c>
      <c r="E204" s="395" t="str">
        <f>'[3]ISRS Addns Nov and Dec 2016'!E207</f>
        <v>F0572</v>
      </c>
      <c r="F204" s="396" t="str">
        <f>'[3]ISRS Addns Nov and Dec 2016'!F207</f>
        <v>Main Replacement - ISRS (SW)</v>
      </c>
      <c r="G204" s="398">
        <f>'[3]ISRS Addns Nov and Dec 2016'!I207</f>
        <v>-4392.83</v>
      </c>
    </row>
    <row r="205" spans="1:7" s="399" customFormat="1" ht="90">
      <c r="A205" s="395" t="str">
        <f>'[3]ISRS Addns Nov and Dec 2016'!C208</f>
        <v>800179</v>
      </c>
      <c r="B205" s="395" t="str">
        <f>'[3]ISRS Addns Nov and Dec 2016'!B208</f>
        <v>N/A</v>
      </c>
      <c r="C205" s="396" t="str">
        <f>'[3]ISRS Addns Nov and Dec 2016'!D208</f>
        <v>Webb City Phase 1F Grid Repl</v>
      </c>
      <c r="D205" s="397" t="s">
        <v>2553</v>
      </c>
      <c r="E205" s="395" t="str">
        <f>'[3]ISRS Addns Nov and Dec 2016'!E208</f>
        <v>F0572</v>
      </c>
      <c r="F205" s="396" t="str">
        <f>'[3]ISRS Addns Nov and Dec 2016'!F208</f>
        <v>Main Replacement - ISRS (SW)</v>
      </c>
      <c r="G205" s="398">
        <f>'[3]ISRS Addns Nov and Dec 2016'!I208</f>
        <v>-3.14</v>
      </c>
    </row>
    <row r="206" spans="1:7" s="399" customFormat="1" ht="45">
      <c r="A206" s="395" t="str">
        <f>'[3]ISRS Addns Nov and Dec 2016'!C209</f>
        <v>800189</v>
      </c>
      <c r="B206" s="395" t="str">
        <f>'[3]ISRS Addns Nov and Dec 2016'!B209</f>
        <v>N/A</v>
      </c>
      <c r="C206" s="396" t="str">
        <f>'[3]ISRS Addns Nov and Dec 2016'!D209</f>
        <v>Rel w/ 2515F 4P Tudor Rd Ph2</v>
      </c>
      <c r="D206" s="397" t="s">
        <v>2554</v>
      </c>
      <c r="E206" s="395" t="str">
        <f>'[3]ISRS Addns Nov and Dec 2016'!E209</f>
        <v>F0578</v>
      </c>
      <c r="F206" s="396" t="str">
        <f>'[3]ISRS Addns Nov and Dec 2016'!F209</f>
        <v>Street &amp; Highway Relocates ISRS (S)</v>
      </c>
      <c r="G206" s="398">
        <f>'[3]ISRS Addns Nov and Dec 2016'!I209</f>
        <v>108946.6</v>
      </c>
    </row>
    <row r="207" spans="1:7" s="399" customFormat="1" ht="45">
      <c r="A207" s="395" t="str">
        <f>'[3]ISRS Addns Nov and Dec 2016'!C210</f>
        <v>800189</v>
      </c>
      <c r="B207" s="395" t="str">
        <f>'[3]ISRS Addns Nov and Dec 2016'!B210</f>
        <v>N/A</v>
      </c>
      <c r="C207" s="396" t="str">
        <f>'[3]ISRS Addns Nov and Dec 2016'!D210</f>
        <v>Rel w/ 2515F 4P Tudor Rd Ph2</v>
      </c>
      <c r="D207" s="397" t="s">
        <v>2554</v>
      </c>
      <c r="E207" s="395" t="str">
        <f>'[3]ISRS Addns Nov and Dec 2016'!E210</f>
        <v>F0578</v>
      </c>
      <c r="F207" s="396" t="str">
        <f>'[3]ISRS Addns Nov and Dec 2016'!F210</f>
        <v>Street &amp; Highway Relocates ISRS (S)</v>
      </c>
      <c r="G207" s="398">
        <f>'[3]ISRS Addns Nov and Dec 2016'!I210</f>
        <v>1797.12</v>
      </c>
    </row>
    <row r="208" spans="1:7" s="399" customFormat="1" ht="45">
      <c r="A208" s="395" t="str">
        <f>'[3]ISRS Addns Nov and Dec 2016'!C211</f>
        <v>800194</v>
      </c>
      <c r="B208" s="395" t="str">
        <f>'[3]ISRS Addns Nov and Dec 2016'!B211</f>
        <v>N/A</v>
      </c>
      <c r="C208" s="396" t="str">
        <f>'[3]ISRS Addns Nov and Dec 2016'!D211</f>
        <v>Repl w/ 865F 4P 26th &amp; Jackson</v>
      </c>
      <c r="D208" s="397" t="s">
        <v>2555</v>
      </c>
      <c r="E208" s="395" t="str">
        <f>'[3]ISRS Addns Nov and Dec 2016'!E211</f>
        <v>F0572</v>
      </c>
      <c r="F208" s="396" t="str">
        <f>'[3]ISRS Addns Nov and Dec 2016'!F211</f>
        <v>Main Replacement - ISRS (SW)</v>
      </c>
      <c r="G208" s="398">
        <f>'[3]ISRS Addns Nov and Dec 2016'!I211</f>
        <v>-5098.3500000000004</v>
      </c>
    </row>
    <row r="209" spans="1:7" s="399" customFormat="1">
      <c r="A209" s="395" t="str">
        <f>'[3]ISRS Addns Nov and Dec 2016'!C212</f>
        <v>800196</v>
      </c>
      <c r="B209" s="395" t="str">
        <f>'[3]ISRS Addns Nov and Dec 2016'!B212</f>
        <v>N/A</v>
      </c>
      <c r="C209" s="396" t="str">
        <f>'[3]ISRS Addns Nov and Dec 2016'!D212</f>
        <v>AOR - 2939 Brooklyn Ave</v>
      </c>
      <c r="D209" s="397" t="s">
        <v>2556</v>
      </c>
      <c r="E209" s="395" t="str">
        <f>'[3]ISRS Addns Nov and Dec 2016'!E212</f>
        <v>F0599</v>
      </c>
      <c r="F209" s="396" t="str">
        <f>'[3]ISRS Addns Nov and Dec 2016'!F212</f>
        <v>Main Replacement - ISRS (N)</v>
      </c>
      <c r="G209" s="398">
        <f>'[3]ISRS Addns Nov and Dec 2016'!I212</f>
        <v>-2081.13</v>
      </c>
    </row>
    <row r="210" spans="1:7" s="399" customFormat="1" ht="30">
      <c r="A210" s="395" t="str">
        <f>'[3]ISRS Addns Nov and Dec 2016'!C213</f>
        <v>800228</v>
      </c>
      <c r="B210" s="395" t="str">
        <f>'[3]ISRS Addns Nov and Dec 2016'!B213</f>
        <v>N/A</v>
      </c>
      <c r="C210" s="396" t="str">
        <f>'[3]ISRS Addns Nov and Dec 2016'!D213</f>
        <v>31st and College Replacement - IUI</v>
      </c>
      <c r="D210" s="397" t="s">
        <v>2557</v>
      </c>
      <c r="E210" s="395" t="str">
        <f>'[3]ISRS Addns Nov and Dec 2016'!E213</f>
        <v>F0599</v>
      </c>
      <c r="F210" s="396" t="str">
        <f>'[3]ISRS Addns Nov and Dec 2016'!F213</f>
        <v>Main Replacement - ISRS (N)</v>
      </c>
      <c r="G210" s="398">
        <f>'[3]ISRS Addns Nov and Dec 2016'!I213</f>
        <v>16441.93</v>
      </c>
    </row>
    <row r="211" spans="1:7" s="399" customFormat="1" ht="30">
      <c r="A211" s="395" t="str">
        <f>'[3]ISRS Addns Nov and Dec 2016'!C214</f>
        <v>800228</v>
      </c>
      <c r="B211" s="395" t="str">
        <f>'[3]ISRS Addns Nov and Dec 2016'!B214</f>
        <v>N/A</v>
      </c>
      <c r="C211" s="396" t="str">
        <f>'[3]ISRS Addns Nov and Dec 2016'!D214</f>
        <v>31st and College Replacement - IUI</v>
      </c>
      <c r="D211" s="397" t="s">
        <v>2557</v>
      </c>
      <c r="E211" s="395" t="str">
        <f>'[3]ISRS Addns Nov and Dec 2016'!E214</f>
        <v>F0599</v>
      </c>
      <c r="F211" s="396" t="str">
        <f>'[3]ISRS Addns Nov and Dec 2016'!F214</f>
        <v>Main Replacement - ISRS (N)</v>
      </c>
      <c r="G211" s="398">
        <f>'[3]ISRS Addns Nov and Dec 2016'!I214</f>
        <v>1476.09</v>
      </c>
    </row>
    <row r="212" spans="1:7" s="399" customFormat="1" ht="105">
      <c r="A212" s="395" t="str">
        <f>'[3]ISRS Addns Nov and Dec 2016'!C215</f>
        <v>800235</v>
      </c>
      <c r="B212" s="395" t="str">
        <f>'[3]ISRS Addns Nov and Dec 2016'!B215</f>
        <v>N/A</v>
      </c>
      <c r="C212" s="396" t="str">
        <f>'[3]ISRS Addns Nov and Dec 2016'!D215</f>
        <v>CP15-042 and Bare Steel 4" Main Rep</v>
      </c>
      <c r="D212" s="397" t="s">
        <v>2558</v>
      </c>
      <c r="E212" s="395" t="str">
        <f>'[3]ISRS Addns Nov and Dec 2016'!E215</f>
        <v>F0572</v>
      </c>
      <c r="F212" s="396" t="str">
        <f>'[3]ISRS Addns Nov and Dec 2016'!F215</f>
        <v>Main Replacement - ISRS (SW)</v>
      </c>
      <c r="G212" s="398">
        <f>'[3]ISRS Addns Nov and Dec 2016'!I215</f>
        <v>-1204.58</v>
      </c>
    </row>
    <row r="213" spans="1:7" s="399" customFormat="1" ht="105">
      <c r="A213" s="395" t="str">
        <f>'[3]ISRS Addns Nov and Dec 2016'!C216</f>
        <v>800235</v>
      </c>
      <c r="B213" s="395" t="str">
        <f>'[3]ISRS Addns Nov and Dec 2016'!B216</f>
        <v>N/A</v>
      </c>
      <c r="C213" s="396" t="str">
        <f>'[3]ISRS Addns Nov and Dec 2016'!D216</f>
        <v>CP15-042 and Bare Steel 4" Main Rep</v>
      </c>
      <c r="D213" s="397" t="s">
        <v>2558</v>
      </c>
      <c r="E213" s="395" t="str">
        <f>'[3]ISRS Addns Nov and Dec 2016'!E216</f>
        <v>F0572</v>
      </c>
      <c r="F213" s="396" t="str">
        <f>'[3]ISRS Addns Nov and Dec 2016'!F216</f>
        <v>Main Replacement - ISRS (SW)</v>
      </c>
      <c r="G213" s="398">
        <f>'[3]ISRS Addns Nov and Dec 2016'!I216</f>
        <v>647.78</v>
      </c>
    </row>
    <row r="214" spans="1:7" s="399" customFormat="1" ht="45">
      <c r="A214" s="395" t="str">
        <f>'[3]ISRS Addns Nov and Dec 2016'!C217</f>
        <v>800242</v>
      </c>
      <c r="B214" s="395" t="str">
        <f>'[3]ISRS Addns Nov and Dec 2016'!B217</f>
        <v>N/A</v>
      </c>
      <c r="C214" s="396" t="str">
        <f>'[3]ISRS Addns Nov and Dec 2016'!D217</f>
        <v>Cast Iron Abandonment 55th &amp; Jackso</v>
      </c>
      <c r="D214" s="397" t="s">
        <v>2559</v>
      </c>
      <c r="E214" s="395" t="str">
        <f>'[3]ISRS Addns Nov and Dec 2016'!E217</f>
        <v>F0599</v>
      </c>
      <c r="F214" s="396" t="str">
        <f>'[3]ISRS Addns Nov and Dec 2016'!F217</f>
        <v>Main Replacement - ISRS (N)</v>
      </c>
      <c r="G214" s="398">
        <f>'[3]ISRS Addns Nov and Dec 2016'!I217</f>
        <v>-46.74</v>
      </c>
    </row>
    <row r="215" spans="1:7" s="399" customFormat="1" ht="45">
      <c r="A215" s="395" t="str">
        <f>'[3]ISRS Addns Nov and Dec 2016'!C218</f>
        <v>800242</v>
      </c>
      <c r="B215" s="395" t="str">
        <f>'[3]ISRS Addns Nov and Dec 2016'!B218</f>
        <v>N/A</v>
      </c>
      <c r="C215" s="396" t="str">
        <f>'[3]ISRS Addns Nov and Dec 2016'!D218</f>
        <v>Cast Iron Abandonment 55th &amp; Jackso</v>
      </c>
      <c r="D215" s="397" t="s">
        <v>2559</v>
      </c>
      <c r="E215" s="395" t="str">
        <f>'[3]ISRS Addns Nov and Dec 2016'!E218</f>
        <v>F0599</v>
      </c>
      <c r="F215" s="396" t="str">
        <f>'[3]ISRS Addns Nov and Dec 2016'!F218</f>
        <v>Main Replacement - ISRS (N)</v>
      </c>
      <c r="G215" s="398">
        <f>'[3]ISRS Addns Nov and Dec 2016'!I218</f>
        <v>-5.33</v>
      </c>
    </row>
    <row r="216" spans="1:7" s="399" customFormat="1" ht="75">
      <c r="A216" s="395" t="str">
        <f>'[3]ISRS Addns Nov and Dec 2016'!C219</f>
        <v>800249</v>
      </c>
      <c r="B216" s="395" t="str">
        <f>'[3]ISRS Addns Nov and Dec 2016'!B219</f>
        <v>N/A</v>
      </c>
      <c r="C216" s="396" t="str">
        <f>'[3]ISRS Addns Nov and Dec 2016'!D219</f>
        <v>Replace 2" Main-Savage &amp; Pacific</v>
      </c>
      <c r="D216" s="397" t="s">
        <v>2560</v>
      </c>
      <c r="E216" s="395" t="str">
        <f>'[3]ISRS Addns Nov and Dec 2016'!E219</f>
        <v>F0604</v>
      </c>
      <c r="F216" s="396" t="str">
        <f>'[3]ISRS Addns Nov and Dec 2016'!F219</f>
        <v>Main Replacement - ISRS (S)</v>
      </c>
      <c r="G216" s="398">
        <f>'[3]ISRS Addns Nov and Dec 2016'!I219</f>
        <v>109.44</v>
      </c>
    </row>
    <row r="217" spans="1:7" s="399" customFormat="1" ht="120">
      <c r="A217" s="395" t="str">
        <f>'[3]ISRS Addns Nov and Dec 2016'!C220</f>
        <v>800254</v>
      </c>
      <c r="B217" s="395" t="str">
        <f>'[3]ISRS Addns Nov and Dec 2016'!B220</f>
        <v>N/A</v>
      </c>
      <c r="C217" s="396" t="str">
        <f>'[3]ISRS Addns Nov and Dec 2016'!D220</f>
        <v>Pleasant Hill Main Replacement- Pha</v>
      </c>
      <c r="D217" s="397" t="s">
        <v>2561</v>
      </c>
      <c r="E217" s="395" t="str">
        <f>'[3]ISRS Addns Nov and Dec 2016'!E220</f>
        <v>F0604</v>
      </c>
      <c r="F217" s="396" t="str">
        <f>'[3]ISRS Addns Nov and Dec 2016'!F220</f>
        <v>Main Replacement - ISRS (S)</v>
      </c>
      <c r="G217" s="398">
        <f>'[3]ISRS Addns Nov and Dec 2016'!I220</f>
        <v>-0.48</v>
      </c>
    </row>
    <row r="218" spans="1:7" s="399" customFormat="1" ht="120">
      <c r="A218" s="395" t="str">
        <f>'[3]ISRS Addns Nov and Dec 2016'!C221</f>
        <v>800254</v>
      </c>
      <c r="B218" s="395" t="str">
        <f>'[3]ISRS Addns Nov and Dec 2016'!B221</f>
        <v>N/A</v>
      </c>
      <c r="C218" s="396" t="str">
        <f>'[3]ISRS Addns Nov and Dec 2016'!D221</f>
        <v>Pleasant Hill Main Replacement- Pha</v>
      </c>
      <c r="D218" s="397" t="s">
        <v>2561</v>
      </c>
      <c r="E218" s="395" t="str">
        <f>'[3]ISRS Addns Nov and Dec 2016'!E221</f>
        <v>F0604</v>
      </c>
      <c r="F218" s="396" t="str">
        <f>'[3]ISRS Addns Nov and Dec 2016'!F221</f>
        <v>Main Replacement - ISRS (S)</v>
      </c>
      <c r="G218" s="398">
        <f>'[3]ISRS Addns Nov and Dec 2016'!I221</f>
        <v>-6498.03</v>
      </c>
    </row>
    <row r="219" spans="1:7" s="399" customFormat="1" ht="120">
      <c r="A219" s="395" t="str">
        <f>'[3]ISRS Addns Nov and Dec 2016'!C222</f>
        <v>800254</v>
      </c>
      <c r="B219" s="395" t="str">
        <f>'[3]ISRS Addns Nov and Dec 2016'!B222</f>
        <v>N/A</v>
      </c>
      <c r="C219" s="396" t="str">
        <f>'[3]ISRS Addns Nov and Dec 2016'!D222</f>
        <v>Pleasant Hill Main Replacement- Pha</v>
      </c>
      <c r="D219" s="397" t="s">
        <v>2561</v>
      </c>
      <c r="E219" s="395" t="str">
        <f>'[3]ISRS Addns Nov and Dec 2016'!E222</f>
        <v>F0604</v>
      </c>
      <c r="F219" s="396" t="str">
        <f>'[3]ISRS Addns Nov and Dec 2016'!F222</f>
        <v>Main Replacement - ISRS (S)</v>
      </c>
      <c r="G219" s="398">
        <f>'[3]ISRS Addns Nov and Dec 2016'!I222</f>
        <v>-3.62</v>
      </c>
    </row>
    <row r="220" spans="1:7" s="399" customFormat="1" ht="120">
      <c r="A220" s="395" t="str">
        <f>'[3]ISRS Addns Nov and Dec 2016'!C223</f>
        <v>800254</v>
      </c>
      <c r="B220" s="395" t="str">
        <f>'[3]ISRS Addns Nov and Dec 2016'!B223</f>
        <v>N/A</v>
      </c>
      <c r="C220" s="396" t="str">
        <f>'[3]ISRS Addns Nov and Dec 2016'!D223</f>
        <v>Pleasant Hill Main Replacement- Pha</v>
      </c>
      <c r="D220" s="397" t="s">
        <v>2561</v>
      </c>
      <c r="E220" s="395" t="str">
        <f>'[3]ISRS Addns Nov and Dec 2016'!E223</f>
        <v>F0604</v>
      </c>
      <c r="F220" s="396" t="str">
        <f>'[3]ISRS Addns Nov and Dec 2016'!F223</f>
        <v>Main Replacement - ISRS (S)</v>
      </c>
      <c r="G220" s="398">
        <f>'[3]ISRS Addns Nov and Dec 2016'!I223</f>
        <v>1.38</v>
      </c>
    </row>
    <row r="221" spans="1:7" s="399" customFormat="1" ht="120">
      <c r="A221" s="395" t="str">
        <f>'[3]ISRS Addns Nov and Dec 2016'!C224</f>
        <v>800254</v>
      </c>
      <c r="B221" s="395" t="str">
        <f>'[3]ISRS Addns Nov and Dec 2016'!B224</f>
        <v>N/A</v>
      </c>
      <c r="C221" s="396" t="str">
        <f>'[3]ISRS Addns Nov and Dec 2016'!D224</f>
        <v>Pleasant Hill Main Replacement- Pha</v>
      </c>
      <c r="D221" s="397" t="s">
        <v>2561</v>
      </c>
      <c r="E221" s="395" t="str">
        <f>'[3]ISRS Addns Nov and Dec 2016'!E224</f>
        <v>F0604</v>
      </c>
      <c r="F221" s="396" t="str">
        <f>'[3]ISRS Addns Nov and Dec 2016'!F224</f>
        <v>Main Replacement - ISRS (S)</v>
      </c>
      <c r="G221" s="398">
        <f>'[3]ISRS Addns Nov and Dec 2016'!I224</f>
        <v>19109.57</v>
      </c>
    </row>
    <row r="222" spans="1:7" s="399" customFormat="1" ht="120">
      <c r="A222" s="395" t="str">
        <f>'[3]ISRS Addns Nov and Dec 2016'!C225</f>
        <v>800254</v>
      </c>
      <c r="B222" s="395" t="str">
        <f>'[3]ISRS Addns Nov and Dec 2016'!B225</f>
        <v>N/A</v>
      </c>
      <c r="C222" s="396" t="str">
        <f>'[3]ISRS Addns Nov and Dec 2016'!D225</f>
        <v>Pleasant Hill Main Replacement- Pha</v>
      </c>
      <c r="D222" s="397" t="s">
        <v>2561</v>
      </c>
      <c r="E222" s="395" t="str">
        <f>'[3]ISRS Addns Nov and Dec 2016'!E225</f>
        <v>F0604</v>
      </c>
      <c r="F222" s="396" t="str">
        <f>'[3]ISRS Addns Nov and Dec 2016'!F225</f>
        <v>Main Replacement - ISRS (S)</v>
      </c>
      <c r="G222" s="398">
        <f>'[3]ISRS Addns Nov and Dec 2016'!I225</f>
        <v>10.69</v>
      </c>
    </row>
    <row r="223" spans="1:7" s="399" customFormat="1" ht="90">
      <c r="A223" s="395" t="str">
        <f>'[3]ISRS Addns Nov and Dec 2016'!C226</f>
        <v>800255</v>
      </c>
      <c r="B223" s="395" t="str">
        <f>'[3]ISRS Addns Nov and Dec 2016'!B226</f>
        <v>N/A</v>
      </c>
      <c r="C223" s="396" t="str">
        <f>'[3]ISRS Addns Nov and Dec 2016'!D226</f>
        <v>Pleasant Hill Main Replace-Phase 2</v>
      </c>
      <c r="D223" s="397" t="s">
        <v>2562</v>
      </c>
      <c r="E223" s="395" t="str">
        <f>'[3]ISRS Addns Nov and Dec 2016'!E226</f>
        <v>F0604</v>
      </c>
      <c r="F223" s="396" t="str">
        <f>'[3]ISRS Addns Nov and Dec 2016'!F226</f>
        <v>Main Replacement - ISRS (S)</v>
      </c>
      <c r="G223" s="398">
        <f>'[3]ISRS Addns Nov and Dec 2016'!I226</f>
        <v>20147.21</v>
      </c>
    </row>
    <row r="224" spans="1:7" s="399" customFormat="1" ht="90">
      <c r="A224" s="395" t="str">
        <f>'[3]ISRS Addns Nov and Dec 2016'!C227</f>
        <v>800255</v>
      </c>
      <c r="B224" s="395" t="str">
        <f>'[3]ISRS Addns Nov and Dec 2016'!B227</f>
        <v>N/A</v>
      </c>
      <c r="C224" s="396" t="str">
        <f>'[3]ISRS Addns Nov and Dec 2016'!D227</f>
        <v>Pleasant Hill Main Replace-Phase 2</v>
      </c>
      <c r="D224" s="397" t="s">
        <v>2562</v>
      </c>
      <c r="E224" s="395" t="str">
        <f>'[3]ISRS Addns Nov and Dec 2016'!E227</f>
        <v>F0604</v>
      </c>
      <c r="F224" s="396" t="str">
        <f>'[3]ISRS Addns Nov and Dec 2016'!F227</f>
        <v>Main Replacement - ISRS (S)</v>
      </c>
      <c r="G224" s="398">
        <f>'[3]ISRS Addns Nov and Dec 2016'!I227</f>
        <v>845.84</v>
      </c>
    </row>
    <row r="225" spans="1:7" s="399" customFormat="1" ht="90">
      <c r="A225" s="395" t="str">
        <f>'[3]ISRS Addns Nov and Dec 2016'!C228</f>
        <v>800255</v>
      </c>
      <c r="B225" s="395" t="str">
        <f>'[3]ISRS Addns Nov and Dec 2016'!B228</f>
        <v>N/A</v>
      </c>
      <c r="C225" s="396" t="str">
        <f>'[3]ISRS Addns Nov and Dec 2016'!D228</f>
        <v>Pleasant Hill Main Replace-Phase 2</v>
      </c>
      <c r="D225" s="397" t="s">
        <v>2562</v>
      </c>
      <c r="E225" s="395" t="str">
        <f>'[3]ISRS Addns Nov and Dec 2016'!E228</f>
        <v>F0604</v>
      </c>
      <c r="F225" s="396" t="str">
        <f>'[3]ISRS Addns Nov and Dec 2016'!F228</f>
        <v>Main Replacement - ISRS (S)</v>
      </c>
      <c r="G225" s="398">
        <f>'[3]ISRS Addns Nov and Dec 2016'!I228</f>
        <v>527.91</v>
      </c>
    </row>
    <row r="226" spans="1:7" s="399" customFormat="1" ht="90">
      <c r="A226" s="395" t="str">
        <f>'[3]ISRS Addns Nov and Dec 2016'!C229</f>
        <v>800255</v>
      </c>
      <c r="B226" s="395" t="str">
        <f>'[3]ISRS Addns Nov and Dec 2016'!B229</f>
        <v>N/A</v>
      </c>
      <c r="C226" s="396" t="str">
        <f>'[3]ISRS Addns Nov and Dec 2016'!D229</f>
        <v>Pleasant Hill Main Replace-Phase 2</v>
      </c>
      <c r="D226" s="397" t="s">
        <v>2562</v>
      </c>
      <c r="E226" s="395" t="str">
        <f>'[3]ISRS Addns Nov and Dec 2016'!E229</f>
        <v>F0604</v>
      </c>
      <c r="F226" s="396" t="str">
        <f>'[3]ISRS Addns Nov and Dec 2016'!F229</f>
        <v>Main Replacement - ISRS (S)</v>
      </c>
      <c r="G226" s="398">
        <f>'[3]ISRS Addns Nov and Dec 2016'!I229</f>
        <v>22.17</v>
      </c>
    </row>
    <row r="227" spans="1:7" s="399" customFormat="1" ht="45">
      <c r="A227" s="395" t="str">
        <f>'[3]ISRS Addns Nov and Dec 2016'!C230</f>
        <v>800272</v>
      </c>
      <c r="B227" s="395" t="str">
        <f>'[3]ISRS Addns Nov and Dec 2016'!B230</f>
        <v>N/A</v>
      </c>
      <c r="C227" s="396" t="str">
        <f>'[3]ISRS Addns Nov and Dec 2016'!D230</f>
        <v>AOR - 20th and McGee St Replacement</v>
      </c>
      <c r="D227" s="397" t="s">
        <v>2563</v>
      </c>
      <c r="E227" s="395" t="str">
        <f>'[3]ISRS Addns Nov and Dec 2016'!E230</f>
        <v>F0599</v>
      </c>
      <c r="F227" s="396" t="str">
        <f>'[3]ISRS Addns Nov and Dec 2016'!F230</f>
        <v>Main Replacement - ISRS (N)</v>
      </c>
      <c r="G227" s="398">
        <f>'[3]ISRS Addns Nov and Dec 2016'!I230</f>
        <v>13307.55</v>
      </c>
    </row>
    <row r="228" spans="1:7" s="399" customFormat="1" ht="45">
      <c r="A228" s="395" t="str">
        <f>'[3]ISRS Addns Nov and Dec 2016'!C231</f>
        <v>800272</v>
      </c>
      <c r="B228" s="395" t="str">
        <f>'[3]ISRS Addns Nov and Dec 2016'!B231</f>
        <v>N/A</v>
      </c>
      <c r="C228" s="396" t="str">
        <f>'[3]ISRS Addns Nov and Dec 2016'!D231</f>
        <v>AOR - 20th and McGee St Replacement</v>
      </c>
      <c r="D228" s="397" t="s">
        <v>2563</v>
      </c>
      <c r="E228" s="395" t="str">
        <f>'[3]ISRS Addns Nov and Dec 2016'!E231</f>
        <v>F0599</v>
      </c>
      <c r="F228" s="396" t="str">
        <f>'[3]ISRS Addns Nov and Dec 2016'!F231</f>
        <v>Main Replacement - ISRS (N)</v>
      </c>
      <c r="G228" s="398">
        <f>'[3]ISRS Addns Nov and Dec 2016'!I231</f>
        <v>1005.42</v>
      </c>
    </row>
    <row r="229" spans="1:7" s="399" customFormat="1">
      <c r="A229" s="395" t="str">
        <f>'[3]ISRS Addns Nov and Dec 2016'!C232</f>
        <v>800347</v>
      </c>
      <c r="B229" s="395" t="str">
        <f>'[3]ISRS Addns Nov and Dec 2016'!B232</f>
        <v>N/A</v>
      </c>
      <c r="C229" s="396" t="str">
        <f>'[3]ISRS Addns Nov and Dec 2016'!D232</f>
        <v>AOR 3211 Cypress Ave Replacement -</v>
      </c>
      <c r="D229" s="397" t="s">
        <v>2564</v>
      </c>
      <c r="E229" s="395" t="str">
        <f>'[3]ISRS Addns Nov and Dec 2016'!E232</f>
        <v>F0599</v>
      </c>
      <c r="F229" s="396" t="str">
        <f>'[3]ISRS Addns Nov and Dec 2016'!F232</f>
        <v>Main Replacement - ISRS (N)</v>
      </c>
      <c r="G229" s="398">
        <f>'[3]ISRS Addns Nov and Dec 2016'!I232</f>
        <v>742.14</v>
      </c>
    </row>
    <row r="230" spans="1:7" s="399" customFormat="1" ht="60">
      <c r="A230" s="395" t="str">
        <f>'[3]ISRS Addns Nov and Dec 2016'!C233</f>
        <v>800377</v>
      </c>
      <c r="B230" s="395" t="str">
        <f>'[3]ISRS Addns Nov and Dec 2016'!B233</f>
        <v>N/A</v>
      </c>
      <c r="C230" s="396" t="str">
        <f>'[3]ISRS Addns Nov and Dec 2016'!D233</f>
        <v>Rel w/ 568F 2S Rt 14 &amp; Hwy 160</v>
      </c>
      <c r="D230" s="397" t="s">
        <v>2565</v>
      </c>
      <c r="E230" s="395" t="str">
        <f>'[3]ISRS Addns Nov and Dec 2016'!E233</f>
        <v>F0664</v>
      </c>
      <c r="F230" s="396" t="str">
        <f>'[3]ISRS Addns Nov and Dec 2016'!F233</f>
        <v>Street &amp; Hwy Relocates ISRS (SW)</v>
      </c>
      <c r="G230" s="398">
        <f>'[3]ISRS Addns Nov and Dec 2016'!I233</f>
        <v>20105.490000000002</v>
      </c>
    </row>
    <row r="231" spans="1:7" s="399" customFormat="1" ht="60">
      <c r="A231" s="395" t="str">
        <f>'[3]ISRS Addns Nov and Dec 2016'!C234</f>
        <v>800377</v>
      </c>
      <c r="B231" s="395" t="str">
        <f>'[3]ISRS Addns Nov and Dec 2016'!B234</f>
        <v>N/A</v>
      </c>
      <c r="C231" s="396" t="str">
        <f>'[3]ISRS Addns Nov and Dec 2016'!D234</f>
        <v>Rel w/ 568F 2S Rt 14 &amp; Hwy 160</v>
      </c>
      <c r="D231" s="397" t="s">
        <v>2565</v>
      </c>
      <c r="E231" s="395" t="str">
        <f>'[3]ISRS Addns Nov and Dec 2016'!E234</f>
        <v>F0664</v>
      </c>
      <c r="F231" s="396" t="str">
        <f>'[3]ISRS Addns Nov and Dec 2016'!F234</f>
        <v>Street &amp; Hwy Relocates ISRS (SW)</v>
      </c>
      <c r="G231" s="398">
        <f>'[3]ISRS Addns Nov and Dec 2016'!I234</f>
        <v>390.75</v>
      </c>
    </row>
    <row r="232" spans="1:7" s="399" customFormat="1" ht="45">
      <c r="A232" s="395" t="str">
        <f>'[3]ISRS Addns Nov and Dec 2016'!C235</f>
        <v>800385</v>
      </c>
      <c r="B232" s="395" t="str">
        <f>'[3]ISRS Addns Nov and Dec 2016'!B235</f>
        <v>N/A</v>
      </c>
      <c r="C232" s="396" t="str">
        <f>'[3]ISRS Addns Nov and Dec 2016'!D235</f>
        <v>Rel w/ 2320F 2P 22nd&amp;23rd St-Wabash</v>
      </c>
      <c r="D232" s="397" t="s">
        <v>2566</v>
      </c>
      <c r="E232" s="395" t="str">
        <f>'[3]ISRS Addns Nov and Dec 2016'!E235</f>
        <v>F0547</v>
      </c>
      <c r="F232" s="396" t="str">
        <f>'[3]ISRS Addns Nov and Dec 2016'!F235</f>
        <v>Street &amp; Highway Relocates ISRS (N)</v>
      </c>
      <c r="G232" s="398">
        <f>'[3]ISRS Addns Nov and Dec 2016'!I235</f>
        <v>-2766.62</v>
      </c>
    </row>
    <row r="233" spans="1:7" s="399" customFormat="1" ht="45">
      <c r="A233" s="395" t="str">
        <f>'[3]ISRS Addns Nov and Dec 2016'!C236</f>
        <v>800385</v>
      </c>
      <c r="B233" s="395" t="str">
        <f>'[3]ISRS Addns Nov and Dec 2016'!B236</f>
        <v>N/A</v>
      </c>
      <c r="C233" s="396" t="str">
        <f>'[3]ISRS Addns Nov and Dec 2016'!D236</f>
        <v>Rel w/ 2320F 2P 22nd&amp;23rd St-Wabash</v>
      </c>
      <c r="D233" s="397" t="s">
        <v>2566</v>
      </c>
      <c r="E233" s="395" t="str">
        <f>'[3]ISRS Addns Nov and Dec 2016'!E236</f>
        <v>F0547</v>
      </c>
      <c r="F233" s="396" t="str">
        <f>'[3]ISRS Addns Nov and Dec 2016'!F236</f>
        <v>Street &amp; Highway Relocates ISRS (N)</v>
      </c>
      <c r="G233" s="398">
        <f>'[3]ISRS Addns Nov and Dec 2016'!I236</f>
        <v>-447.88</v>
      </c>
    </row>
    <row r="234" spans="1:7" s="399" customFormat="1" ht="45">
      <c r="A234" s="395" t="str">
        <f>'[3]ISRS Addns Nov and Dec 2016'!C237</f>
        <v>800385</v>
      </c>
      <c r="B234" s="395" t="str">
        <f>'[3]ISRS Addns Nov and Dec 2016'!B237</f>
        <v>N/A</v>
      </c>
      <c r="C234" s="396" t="str">
        <f>'[3]ISRS Addns Nov and Dec 2016'!D237</f>
        <v>Rel w/ 2320F 2P 22nd&amp;23rd St-Wabash</v>
      </c>
      <c r="D234" s="397" t="s">
        <v>2566</v>
      </c>
      <c r="E234" s="395" t="str">
        <f>'[3]ISRS Addns Nov and Dec 2016'!E237</f>
        <v>F0547</v>
      </c>
      <c r="F234" s="396" t="str">
        <f>'[3]ISRS Addns Nov and Dec 2016'!F237</f>
        <v>Street &amp; Highway Relocates ISRS (N)</v>
      </c>
      <c r="G234" s="398">
        <f>'[3]ISRS Addns Nov and Dec 2016'!I237</f>
        <v>1831.6</v>
      </c>
    </row>
    <row r="235" spans="1:7" s="399" customFormat="1" ht="45">
      <c r="A235" s="395" t="str">
        <f>'[3]ISRS Addns Nov and Dec 2016'!C238</f>
        <v>800385</v>
      </c>
      <c r="B235" s="395" t="str">
        <f>'[3]ISRS Addns Nov and Dec 2016'!B238</f>
        <v>N/A</v>
      </c>
      <c r="C235" s="396" t="str">
        <f>'[3]ISRS Addns Nov and Dec 2016'!D238</f>
        <v>Rel w/ 2320F 2P 22nd&amp;23rd St-Wabash</v>
      </c>
      <c r="D235" s="397" t="s">
        <v>2566</v>
      </c>
      <c r="E235" s="395" t="str">
        <f>'[3]ISRS Addns Nov and Dec 2016'!E238</f>
        <v>F0547</v>
      </c>
      <c r="F235" s="396" t="str">
        <f>'[3]ISRS Addns Nov and Dec 2016'!F238</f>
        <v>Street &amp; Highway Relocates ISRS (N)</v>
      </c>
      <c r="G235" s="398">
        <f>'[3]ISRS Addns Nov and Dec 2016'!I238</f>
        <v>296.51</v>
      </c>
    </row>
    <row r="236" spans="1:7" s="399" customFormat="1" ht="60">
      <c r="A236" s="395" t="str">
        <f>'[3]ISRS Addns Nov and Dec 2016'!C239</f>
        <v>800386</v>
      </c>
      <c r="B236" s="395" t="str">
        <f>'[3]ISRS Addns Nov and Dec 2016'!B239</f>
        <v>N/A</v>
      </c>
      <c r="C236" s="396" t="str">
        <f>'[3]ISRS Addns Nov and Dec 2016'!D239</f>
        <v>Repl w/ 1533F 2P Hwy 37 &amp; Walnut</v>
      </c>
      <c r="D236" s="397" t="s">
        <v>2567</v>
      </c>
      <c r="E236" s="395" t="str">
        <f>'[3]ISRS Addns Nov and Dec 2016'!E239</f>
        <v>F0572</v>
      </c>
      <c r="F236" s="396" t="str">
        <f>'[3]ISRS Addns Nov and Dec 2016'!F239</f>
        <v>Main Replacement - ISRS (SW)</v>
      </c>
      <c r="G236" s="398">
        <f>'[3]ISRS Addns Nov and Dec 2016'!I239</f>
        <v>5113.9799999999996</v>
      </c>
    </row>
    <row r="237" spans="1:7" s="399" customFormat="1" ht="60">
      <c r="A237" s="395" t="str">
        <f>'[3]ISRS Addns Nov and Dec 2016'!C240</f>
        <v>800386</v>
      </c>
      <c r="B237" s="395" t="str">
        <f>'[3]ISRS Addns Nov and Dec 2016'!B240</f>
        <v>N/A</v>
      </c>
      <c r="C237" s="396" t="str">
        <f>'[3]ISRS Addns Nov and Dec 2016'!D240</f>
        <v>Repl w/ 1533F 2P Hwy 37 &amp; Walnut</v>
      </c>
      <c r="D237" s="397" t="s">
        <v>2567</v>
      </c>
      <c r="E237" s="395" t="str">
        <f>'[3]ISRS Addns Nov and Dec 2016'!E240</f>
        <v>F0572</v>
      </c>
      <c r="F237" s="396" t="str">
        <f>'[3]ISRS Addns Nov and Dec 2016'!F240</f>
        <v>Main Replacement - ISRS (SW)</v>
      </c>
      <c r="G237" s="398">
        <f>'[3]ISRS Addns Nov and Dec 2016'!I240</f>
        <v>-5113.9799999999996</v>
      </c>
    </row>
    <row r="238" spans="1:7" s="399" customFormat="1" ht="45">
      <c r="A238" s="395" t="str">
        <f>'[3]ISRS Addns Nov and Dec 2016'!C241</f>
        <v>800388</v>
      </c>
      <c r="B238" s="395" t="str">
        <f>'[3]ISRS Addns Nov and Dec 2016'!B241</f>
        <v>N/A</v>
      </c>
      <c r="C238" s="396" t="str">
        <f>'[3]ISRS Addns Nov and Dec 2016'!D241</f>
        <v>Repl w/ 800F 2P Carnation Dr</v>
      </c>
      <c r="D238" s="397" t="s">
        <v>2568</v>
      </c>
      <c r="E238" s="395" t="str">
        <f>'[3]ISRS Addns Nov and Dec 2016'!E241</f>
        <v>F0572</v>
      </c>
      <c r="F238" s="396" t="str">
        <f>'[3]ISRS Addns Nov and Dec 2016'!F241</f>
        <v>Main Replacement - ISRS (SW)</v>
      </c>
      <c r="G238" s="398">
        <f>'[3]ISRS Addns Nov and Dec 2016'!I241</f>
        <v>-1189.27</v>
      </c>
    </row>
    <row r="239" spans="1:7" s="399" customFormat="1" ht="45">
      <c r="A239" s="395" t="str">
        <f>'[3]ISRS Addns Nov and Dec 2016'!C242</f>
        <v>800388</v>
      </c>
      <c r="B239" s="395" t="str">
        <f>'[3]ISRS Addns Nov and Dec 2016'!B242</f>
        <v>N/A</v>
      </c>
      <c r="C239" s="396" t="str">
        <f>'[3]ISRS Addns Nov and Dec 2016'!D242</f>
        <v>Repl w/ 800F 2P Carnation Dr</v>
      </c>
      <c r="D239" s="397" t="s">
        <v>2568</v>
      </c>
      <c r="E239" s="395" t="str">
        <f>'[3]ISRS Addns Nov and Dec 2016'!E242</f>
        <v>F0572</v>
      </c>
      <c r="F239" s="396" t="str">
        <f>'[3]ISRS Addns Nov and Dec 2016'!F242</f>
        <v>Main Replacement - ISRS (SW)</v>
      </c>
      <c r="G239" s="398">
        <f>'[3]ISRS Addns Nov and Dec 2016'!I242</f>
        <v>1189.27</v>
      </c>
    </row>
    <row r="240" spans="1:7" s="399" customFormat="1" ht="30">
      <c r="A240" s="395" t="str">
        <f>'[3]ISRS Addns Nov and Dec 2016'!C243</f>
        <v>800391</v>
      </c>
      <c r="B240" s="395" t="str">
        <f>'[3]ISRS Addns Nov and Dec 2016'!B243</f>
        <v>N/A</v>
      </c>
      <c r="C240" s="396" t="str">
        <f>'[3]ISRS Addns Nov and Dec 2016'!D243</f>
        <v>Repl w/ 88F 2P 2nd &amp; Broadway</v>
      </c>
      <c r="D240" s="397" t="s">
        <v>2569</v>
      </c>
      <c r="E240" s="395" t="str">
        <f>'[3]ISRS Addns Nov and Dec 2016'!E243</f>
        <v>F0572</v>
      </c>
      <c r="F240" s="396" t="str">
        <f>'[3]ISRS Addns Nov and Dec 2016'!F243</f>
        <v>Main Replacement - ISRS (SW)</v>
      </c>
      <c r="G240" s="398">
        <f>'[3]ISRS Addns Nov and Dec 2016'!I243</f>
        <v>209.52</v>
      </c>
    </row>
    <row r="241" spans="1:7" s="399" customFormat="1" ht="30">
      <c r="A241" s="395" t="str">
        <f>'[3]ISRS Addns Nov and Dec 2016'!C244</f>
        <v>800391</v>
      </c>
      <c r="B241" s="395" t="str">
        <f>'[3]ISRS Addns Nov and Dec 2016'!B244</f>
        <v>N/A</v>
      </c>
      <c r="C241" s="396" t="str">
        <f>'[3]ISRS Addns Nov and Dec 2016'!D244</f>
        <v>Repl w/ 88F 2P 2nd &amp; Broadway</v>
      </c>
      <c r="D241" s="397" t="s">
        <v>2569</v>
      </c>
      <c r="E241" s="395" t="str">
        <f>'[3]ISRS Addns Nov and Dec 2016'!E244</f>
        <v>F0572</v>
      </c>
      <c r="F241" s="396" t="str">
        <f>'[3]ISRS Addns Nov and Dec 2016'!F244</f>
        <v>Main Replacement - ISRS (SW)</v>
      </c>
      <c r="G241" s="398">
        <f>'[3]ISRS Addns Nov and Dec 2016'!I244</f>
        <v>4.74</v>
      </c>
    </row>
    <row r="242" spans="1:7" s="399" customFormat="1" ht="60">
      <c r="A242" s="395" t="str">
        <f>'[3]ISRS Addns Nov and Dec 2016'!C245</f>
        <v>800397</v>
      </c>
      <c r="B242" s="395" t="str">
        <f>'[3]ISRS Addns Nov and Dec 2016'!B245</f>
        <v>N/A</v>
      </c>
      <c r="C242" s="396" t="str">
        <f>'[3]ISRS Addns Nov and Dec 2016'!D245</f>
        <v>Rel w/ 2064F 2-6P 18th &amp; Evanston</v>
      </c>
      <c r="D242" s="397" t="s">
        <v>2570</v>
      </c>
      <c r="E242" s="395" t="str">
        <f>'[3]ISRS Addns Nov and Dec 2016'!E245</f>
        <v>F0578</v>
      </c>
      <c r="F242" s="396" t="str">
        <f>'[3]ISRS Addns Nov and Dec 2016'!F245</f>
        <v>Street &amp; Highway Relocates ISRS (S)</v>
      </c>
      <c r="G242" s="398">
        <f>'[3]ISRS Addns Nov and Dec 2016'!I245</f>
        <v>346.27</v>
      </c>
    </row>
    <row r="243" spans="1:7" s="399" customFormat="1" ht="60">
      <c r="A243" s="395" t="str">
        <f>'[3]ISRS Addns Nov and Dec 2016'!C246</f>
        <v>800397</v>
      </c>
      <c r="B243" s="395" t="str">
        <f>'[3]ISRS Addns Nov and Dec 2016'!B246</f>
        <v>N/A</v>
      </c>
      <c r="C243" s="396" t="str">
        <f>'[3]ISRS Addns Nov and Dec 2016'!D246</f>
        <v>Rel w/ 2064F 2-6P 18th &amp; Evanston</v>
      </c>
      <c r="D243" s="397" t="s">
        <v>2570</v>
      </c>
      <c r="E243" s="395" t="str">
        <f>'[3]ISRS Addns Nov and Dec 2016'!E246</f>
        <v>F0578</v>
      </c>
      <c r="F243" s="396" t="str">
        <f>'[3]ISRS Addns Nov and Dec 2016'!F246</f>
        <v>Street &amp; Highway Relocates ISRS (S)</v>
      </c>
      <c r="G243" s="398">
        <f>'[3]ISRS Addns Nov and Dec 2016'!I246</f>
        <v>12000.25</v>
      </c>
    </row>
    <row r="244" spans="1:7" s="399" customFormat="1" ht="45">
      <c r="A244" s="395" t="str">
        <f>'[3]ISRS Addns Nov and Dec 2016'!C247</f>
        <v>800403</v>
      </c>
      <c r="B244" s="395" t="str">
        <f>'[3]ISRS Addns Nov and Dec 2016'!B247</f>
        <v>N/A</v>
      </c>
      <c r="C244" s="396" t="str">
        <f>'[3]ISRS Addns Nov and Dec 2016'!D247</f>
        <v>Repl w/ 740F 2P 3rd and McKinley</v>
      </c>
      <c r="D244" s="397" t="s">
        <v>2571</v>
      </c>
      <c r="E244" s="395" t="str">
        <f>'[3]ISRS Addns Nov and Dec 2016'!E247</f>
        <v>F0572</v>
      </c>
      <c r="F244" s="396" t="str">
        <f>'[3]ISRS Addns Nov and Dec 2016'!F247</f>
        <v>Main Replacement - ISRS (SW)</v>
      </c>
      <c r="G244" s="398">
        <f>'[3]ISRS Addns Nov and Dec 2016'!I247</f>
        <v>3919.19</v>
      </c>
    </row>
    <row r="245" spans="1:7" s="399" customFormat="1" ht="45">
      <c r="A245" s="395" t="str">
        <f>'[3]ISRS Addns Nov and Dec 2016'!C248</f>
        <v>800403</v>
      </c>
      <c r="B245" s="395" t="str">
        <f>'[3]ISRS Addns Nov and Dec 2016'!B248</f>
        <v>N/A</v>
      </c>
      <c r="C245" s="396" t="str">
        <f>'[3]ISRS Addns Nov and Dec 2016'!D248</f>
        <v>Repl w/ 740F 2P 3rd and McKinley</v>
      </c>
      <c r="D245" s="397" t="s">
        <v>2571</v>
      </c>
      <c r="E245" s="395" t="str">
        <f>'[3]ISRS Addns Nov and Dec 2016'!E248</f>
        <v>F0572</v>
      </c>
      <c r="F245" s="396" t="str">
        <f>'[3]ISRS Addns Nov and Dec 2016'!F248</f>
        <v>Main Replacement - ISRS (SW)</v>
      </c>
      <c r="G245" s="398">
        <f>'[3]ISRS Addns Nov and Dec 2016'!I248</f>
        <v>-3883.56</v>
      </c>
    </row>
    <row r="246" spans="1:7" s="399" customFormat="1" ht="45">
      <c r="A246" s="395" t="str">
        <f>'[3]ISRS Addns Nov and Dec 2016'!C249</f>
        <v>800408</v>
      </c>
      <c r="B246" s="395" t="str">
        <f>'[3]ISRS Addns Nov and Dec 2016'!B249</f>
        <v>N/A</v>
      </c>
      <c r="C246" s="396" t="str">
        <f>'[3]ISRS Addns Nov and Dec 2016'!D249</f>
        <v>Repl w 455F 2P Kansas Ave &amp; 18th</v>
      </c>
      <c r="D246" s="397" t="s">
        <v>2572</v>
      </c>
      <c r="E246" s="395" t="str">
        <f>'[3]ISRS Addns Nov and Dec 2016'!E249</f>
        <v>F0572</v>
      </c>
      <c r="F246" s="396" t="str">
        <f>'[3]ISRS Addns Nov and Dec 2016'!F249</f>
        <v>Main Replacement - ISRS (SW)</v>
      </c>
      <c r="G246" s="398">
        <f>'[3]ISRS Addns Nov and Dec 2016'!I249</f>
        <v>810.66</v>
      </c>
    </row>
    <row r="247" spans="1:7" s="399" customFormat="1" ht="45">
      <c r="A247" s="395" t="str">
        <f>'[3]ISRS Addns Nov and Dec 2016'!C250</f>
        <v>800408</v>
      </c>
      <c r="B247" s="395" t="str">
        <f>'[3]ISRS Addns Nov and Dec 2016'!B250</f>
        <v>N/A</v>
      </c>
      <c r="C247" s="396" t="str">
        <f>'[3]ISRS Addns Nov and Dec 2016'!D250</f>
        <v>Repl w 455F 2P Kansas Ave &amp; 18th</v>
      </c>
      <c r="D247" s="397" t="s">
        <v>2572</v>
      </c>
      <c r="E247" s="395" t="str">
        <f>'[3]ISRS Addns Nov and Dec 2016'!E250</f>
        <v>F0572</v>
      </c>
      <c r="F247" s="396" t="str">
        <f>'[3]ISRS Addns Nov and Dec 2016'!F250</f>
        <v>Main Replacement - ISRS (SW)</v>
      </c>
      <c r="G247" s="398">
        <f>'[3]ISRS Addns Nov and Dec 2016'!I250</f>
        <v>18841.66</v>
      </c>
    </row>
    <row r="248" spans="1:7" s="399" customFormat="1" ht="45">
      <c r="A248" s="395" t="str">
        <f>'[3]ISRS Addns Nov and Dec 2016'!C251</f>
        <v>800408</v>
      </c>
      <c r="B248" s="395" t="str">
        <f>'[3]ISRS Addns Nov and Dec 2016'!B251</f>
        <v>N/A</v>
      </c>
      <c r="C248" s="396" t="str">
        <f>'[3]ISRS Addns Nov and Dec 2016'!D251</f>
        <v>Repl w 455F 2P Kansas Ave &amp; 18th</v>
      </c>
      <c r="D248" s="397" t="s">
        <v>2572</v>
      </c>
      <c r="E248" s="395" t="str">
        <f>'[3]ISRS Addns Nov and Dec 2016'!E251</f>
        <v>F0572</v>
      </c>
      <c r="F248" s="396" t="str">
        <f>'[3]ISRS Addns Nov and Dec 2016'!F251</f>
        <v>Main Replacement - ISRS (SW)</v>
      </c>
      <c r="G248" s="398">
        <f>'[3]ISRS Addns Nov and Dec 2016'!I251</f>
        <v>130.94</v>
      </c>
    </row>
    <row r="249" spans="1:7" s="399" customFormat="1" ht="30">
      <c r="A249" s="395" t="str">
        <f>'[3]ISRS Addns Nov and Dec 2016'!C252</f>
        <v>800416</v>
      </c>
      <c r="B249" s="395" t="str">
        <f>'[3]ISRS Addns Nov and Dec 2016'!B252</f>
        <v>N/A</v>
      </c>
      <c r="C249" s="396" t="str">
        <f>'[3]ISRS Addns Nov and Dec 2016'!D252</f>
        <v>N Amity Ave main relocation</v>
      </c>
      <c r="D249" s="397" t="s">
        <v>2573</v>
      </c>
      <c r="E249" s="395" t="str">
        <f>'[3]ISRS Addns Nov and Dec 2016'!E252</f>
        <v>F0547</v>
      </c>
      <c r="F249" s="396" t="str">
        <f>'[3]ISRS Addns Nov and Dec 2016'!F252</f>
        <v>Street &amp; Highway Relocates ISRS (N)</v>
      </c>
      <c r="G249" s="398">
        <f>'[3]ISRS Addns Nov and Dec 2016'!I252</f>
        <v>965</v>
      </c>
    </row>
    <row r="250" spans="1:7" s="399" customFormat="1" ht="30">
      <c r="A250" s="395" t="str">
        <f>'[3]ISRS Addns Nov and Dec 2016'!C253</f>
        <v>800428</v>
      </c>
      <c r="B250" s="395" t="str">
        <f>'[3]ISRS Addns Nov and Dec 2016'!B253</f>
        <v>N/A</v>
      </c>
      <c r="C250" s="396" t="str">
        <f>'[3]ISRS Addns Nov and Dec 2016'!D253</f>
        <v>Aber and MorrelRepl Bare Steel Main</v>
      </c>
      <c r="D250" s="397" t="s">
        <v>2574</v>
      </c>
      <c r="E250" s="395" t="str">
        <f>'[3]ISRS Addns Nov and Dec 2016'!E253</f>
        <v>F0604</v>
      </c>
      <c r="F250" s="396" t="str">
        <f>'[3]ISRS Addns Nov and Dec 2016'!F253</f>
        <v>Main Replacement - ISRS (S)</v>
      </c>
      <c r="G250" s="398">
        <f>'[3]ISRS Addns Nov and Dec 2016'!I253</f>
        <v>-4007.6</v>
      </c>
    </row>
    <row r="251" spans="1:7" s="399" customFormat="1" ht="60">
      <c r="A251" s="395" t="str">
        <f>'[3]ISRS Addns Nov and Dec 2016'!C254</f>
        <v>800430</v>
      </c>
      <c r="B251" s="395" t="str">
        <f>'[3]ISRS Addns Nov and Dec 2016'!B254</f>
        <v>N/A</v>
      </c>
      <c r="C251" s="396" t="str">
        <f>'[3]ISRS Addns Nov and Dec 2016'!D254</f>
        <v>Repl w 4625F 2-4P TCLea&amp;Rogers Ph1</v>
      </c>
      <c r="D251" s="397" t="s">
        <v>2575</v>
      </c>
      <c r="E251" s="395" t="str">
        <f>'[3]ISRS Addns Nov and Dec 2016'!E254</f>
        <v>F0604</v>
      </c>
      <c r="F251" s="396" t="str">
        <f>'[3]ISRS Addns Nov and Dec 2016'!F254</f>
        <v>Main Replacement - ISRS (S)</v>
      </c>
      <c r="G251" s="398">
        <f>'[3]ISRS Addns Nov and Dec 2016'!I254</f>
        <v>-248.73</v>
      </c>
    </row>
    <row r="252" spans="1:7" s="399" customFormat="1" ht="60">
      <c r="A252" s="395" t="str">
        <f>'[3]ISRS Addns Nov and Dec 2016'!C255</f>
        <v>800430</v>
      </c>
      <c r="B252" s="395" t="str">
        <f>'[3]ISRS Addns Nov and Dec 2016'!B255</f>
        <v>N/A</v>
      </c>
      <c r="C252" s="396" t="str">
        <f>'[3]ISRS Addns Nov and Dec 2016'!D255</f>
        <v>Repl w 4625F 2-4P TCLea&amp;Rogers Ph1</v>
      </c>
      <c r="D252" s="397" t="s">
        <v>2575</v>
      </c>
      <c r="E252" s="395" t="str">
        <f>'[3]ISRS Addns Nov and Dec 2016'!E255</f>
        <v>F0604</v>
      </c>
      <c r="F252" s="396" t="str">
        <f>'[3]ISRS Addns Nov and Dec 2016'!F255</f>
        <v>Main Replacement - ISRS (S)</v>
      </c>
      <c r="G252" s="398">
        <f>'[3]ISRS Addns Nov and Dec 2016'!I255</f>
        <v>-5.86</v>
      </c>
    </row>
    <row r="253" spans="1:7" s="399" customFormat="1" ht="60">
      <c r="A253" s="395" t="str">
        <f>'[3]ISRS Addns Nov and Dec 2016'!C256</f>
        <v>800430</v>
      </c>
      <c r="B253" s="395" t="str">
        <f>'[3]ISRS Addns Nov and Dec 2016'!B256</f>
        <v>N/A</v>
      </c>
      <c r="C253" s="396" t="str">
        <f>'[3]ISRS Addns Nov and Dec 2016'!D256</f>
        <v>Repl w 4625F 2-4P TCLea&amp;Rogers Ph1</v>
      </c>
      <c r="D253" s="397" t="s">
        <v>2575</v>
      </c>
      <c r="E253" s="395" t="str">
        <f>'[3]ISRS Addns Nov and Dec 2016'!E256</f>
        <v>F0604</v>
      </c>
      <c r="F253" s="396" t="str">
        <f>'[3]ISRS Addns Nov and Dec 2016'!F256</f>
        <v>Main Replacement - ISRS (S)</v>
      </c>
      <c r="G253" s="398">
        <f>'[3]ISRS Addns Nov and Dec 2016'!I256</f>
        <v>150.94</v>
      </c>
    </row>
    <row r="254" spans="1:7" s="399" customFormat="1" ht="60">
      <c r="A254" s="395" t="str">
        <f>'[3]ISRS Addns Nov and Dec 2016'!C257</f>
        <v>800430</v>
      </c>
      <c r="B254" s="395" t="str">
        <f>'[3]ISRS Addns Nov and Dec 2016'!B257</f>
        <v>N/A</v>
      </c>
      <c r="C254" s="396" t="str">
        <f>'[3]ISRS Addns Nov and Dec 2016'!D257</f>
        <v>Repl w 4625F 2-4P TCLea&amp;Rogers Ph1</v>
      </c>
      <c r="D254" s="397" t="s">
        <v>2575</v>
      </c>
      <c r="E254" s="395" t="str">
        <f>'[3]ISRS Addns Nov and Dec 2016'!E257</f>
        <v>F0604</v>
      </c>
      <c r="F254" s="396" t="str">
        <f>'[3]ISRS Addns Nov and Dec 2016'!F257</f>
        <v>Main Replacement - ISRS (S)</v>
      </c>
      <c r="G254" s="398">
        <f>'[3]ISRS Addns Nov and Dec 2016'!I257</f>
        <v>3.56</v>
      </c>
    </row>
    <row r="255" spans="1:7" s="399" customFormat="1" ht="45">
      <c r="A255" s="395" t="str">
        <f>'[3]ISRS Addns Nov and Dec 2016'!C258</f>
        <v>800543</v>
      </c>
      <c r="B255" s="395" t="str">
        <f>'[3]ISRS Addns Nov and Dec 2016'!B258</f>
        <v>N/A</v>
      </c>
      <c r="C255" s="396" t="str">
        <f>'[3]ISRS Addns Nov and Dec 2016'!D258</f>
        <v>Repl w/ 4265F 2P TC Lea &amp;RogersPh2</v>
      </c>
      <c r="D255" s="397" t="s">
        <v>2576</v>
      </c>
      <c r="E255" s="395" t="str">
        <f>'[3]ISRS Addns Nov and Dec 2016'!E258</f>
        <v>F0604</v>
      </c>
      <c r="F255" s="396" t="str">
        <f>'[3]ISRS Addns Nov and Dec 2016'!F258</f>
        <v>Main Replacement - ISRS (S)</v>
      </c>
      <c r="G255" s="398">
        <f>'[3]ISRS Addns Nov and Dec 2016'!I258</f>
        <v>1070.44</v>
      </c>
    </row>
    <row r="256" spans="1:7" s="399" customFormat="1" ht="45">
      <c r="A256" s="395" t="str">
        <f>'[3]ISRS Addns Nov and Dec 2016'!C259</f>
        <v>800543</v>
      </c>
      <c r="B256" s="395" t="str">
        <f>'[3]ISRS Addns Nov and Dec 2016'!B259</f>
        <v>N/A</v>
      </c>
      <c r="C256" s="396" t="str">
        <f>'[3]ISRS Addns Nov and Dec 2016'!D259</f>
        <v>Repl w/ 4265F 2P TC Lea &amp;RogersPh2</v>
      </c>
      <c r="D256" s="397" t="s">
        <v>2576</v>
      </c>
      <c r="E256" s="395" t="str">
        <f>'[3]ISRS Addns Nov and Dec 2016'!E259</f>
        <v>F0604</v>
      </c>
      <c r="F256" s="396" t="str">
        <f>'[3]ISRS Addns Nov and Dec 2016'!F259</f>
        <v>Main Replacement - ISRS (S)</v>
      </c>
      <c r="G256" s="398">
        <f>'[3]ISRS Addns Nov and Dec 2016'!I259</f>
        <v>11.24</v>
      </c>
    </row>
    <row r="257" spans="1:7" s="399" customFormat="1" ht="45">
      <c r="A257" s="395" t="str">
        <f>'[3]ISRS Addns Nov and Dec 2016'!C260</f>
        <v>800543</v>
      </c>
      <c r="B257" s="395" t="str">
        <f>'[3]ISRS Addns Nov and Dec 2016'!B260</f>
        <v>N/A</v>
      </c>
      <c r="C257" s="396" t="str">
        <f>'[3]ISRS Addns Nov and Dec 2016'!D260</f>
        <v>Repl w/ 4265F 2P TC Lea &amp;RogersPh2</v>
      </c>
      <c r="D257" s="397" t="s">
        <v>2576</v>
      </c>
      <c r="E257" s="395" t="str">
        <f>'[3]ISRS Addns Nov and Dec 2016'!E260</f>
        <v>F0604</v>
      </c>
      <c r="F257" s="396" t="str">
        <f>'[3]ISRS Addns Nov and Dec 2016'!F260</f>
        <v>Main Replacement - ISRS (S)</v>
      </c>
      <c r="G257" s="398">
        <f>'[3]ISRS Addns Nov and Dec 2016'!I260</f>
        <v>340.08</v>
      </c>
    </row>
    <row r="258" spans="1:7" s="399" customFormat="1" ht="45">
      <c r="A258" s="395" t="str">
        <f>'[3]ISRS Addns Nov and Dec 2016'!C261</f>
        <v>800543</v>
      </c>
      <c r="B258" s="395" t="str">
        <f>'[3]ISRS Addns Nov and Dec 2016'!B261</f>
        <v>N/A</v>
      </c>
      <c r="C258" s="396" t="str">
        <f>'[3]ISRS Addns Nov and Dec 2016'!D261</f>
        <v>Repl w/ 4265F 2P TC Lea &amp;RogersPh2</v>
      </c>
      <c r="D258" s="397" t="s">
        <v>2576</v>
      </c>
      <c r="E258" s="395" t="str">
        <f>'[3]ISRS Addns Nov and Dec 2016'!E261</f>
        <v>F0604</v>
      </c>
      <c r="F258" s="396" t="str">
        <f>'[3]ISRS Addns Nov and Dec 2016'!F261</f>
        <v>Main Replacement - ISRS (S)</v>
      </c>
      <c r="G258" s="398">
        <f>'[3]ISRS Addns Nov and Dec 2016'!I261</f>
        <v>3.56</v>
      </c>
    </row>
    <row r="259" spans="1:7" s="399" customFormat="1" ht="45">
      <c r="A259" s="395" t="str">
        <f>'[3]ISRS Addns Nov and Dec 2016'!C262</f>
        <v>800551</v>
      </c>
      <c r="B259" s="395" t="str">
        <f>'[3]ISRS Addns Nov and Dec 2016'!B262</f>
        <v>N/A</v>
      </c>
      <c r="C259" s="396" t="str">
        <f>'[3]ISRS Addns Nov and Dec 2016'!D262</f>
        <v>Repl w/ 2962F 2P 58th and Olive</v>
      </c>
      <c r="D259" s="397" t="s">
        <v>2577</v>
      </c>
      <c r="E259" s="395" t="str">
        <f>'[3]ISRS Addns Nov and Dec 2016'!E262</f>
        <v>F0599</v>
      </c>
      <c r="F259" s="396" t="str">
        <f>'[3]ISRS Addns Nov and Dec 2016'!F262</f>
        <v>Main Replacement - ISRS (N)</v>
      </c>
      <c r="G259" s="398">
        <f>'[3]ISRS Addns Nov and Dec 2016'!I262</f>
        <v>32673.68</v>
      </c>
    </row>
    <row r="260" spans="1:7" s="399" customFormat="1" ht="45">
      <c r="A260" s="395" t="str">
        <f>'[3]ISRS Addns Nov and Dec 2016'!C263</f>
        <v>800551</v>
      </c>
      <c r="B260" s="395" t="str">
        <f>'[3]ISRS Addns Nov and Dec 2016'!B263</f>
        <v>N/A</v>
      </c>
      <c r="C260" s="396" t="str">
        <f>'[3]ISRS Addns Nov and Dec 2016'!D263</f>
        <v>Repl w/ 2962F 2P 58th and Olive</v>
      </c>
      <c r="D260" s="397" t="s">
        <v>2577</v>
      </c>
      <c r="E260" s="395" t="str">
        <f>'[3]ISRS Addns Nov and Dec 2016'!E263</f>
        <v>F0599</v>
      </c>
      <c r="F260" s="396" t="str">
        <f>'[3]ISRS Addns Nov and Dec 2016'!F263</f>
        <v>Main Replacement - ISRS (N)</v>
      </c>
      <c r="G260" s="398">
        <f>'[3]ISRS Addns Nov and Dec 2016'!I263</f>
        <v>70.87</v>
      </c>
    </row>
    <row r="261" spans="1:7" s="399" customFormat="1" ht="45">
      <c r="A261" s="395" t="str">
        <f>'[3]ISRS Addns Nov and Dec 2016'!C264</f>
        <v>800551</v>
      </c>
      <c r="B261" s="395" t="str">
        <f>'[3]ISRS Addns Nov and Dec 2016'!B264</f>
        <v>N/A</v>
      </c>
      <c r="C261" s="396" t="str">
        <f>'[3]ISRS Addns Nov and Dec 2016'!D264</f>
        <v>Repl w/ 2962F 2P 58th and Olive</v>
      </c>
      <c r="D261" s="397" t="s">
        <v>2577</v>
      </c>
      <c r="E261" s="395" t="str">
        <f>'[3]ISRS Addns Nov and Dec 2016'!E264</f>
        <v>F0599</v>
      </c>
      <c r="F261" s="396" t="str">
        <f>'[3]ISRS Addns Nov and Dec 2016'!F264</f>
        <v>Main Replacement - ISRS (N)</v>
      </c>
      <c r="G261" s="398">
        <f>'[3]ISRS Addns Nov and Dec 2016'!I264</f>
        <v>2081.54</v>
      </c>
    </row>
    <row r="262" spans="1:7" s="399" customFormat="1" ht="45">
      <c r="A262" s="395" t="str">
        <f>'[3]ISRS Addns Nov and Dec 2016'!C265</f>
        <v>800551</v>
      </c>
      <c r="B262" s="395" t="str">
        <f>'[3]ISRS Addns Nov and Dec 2016'!B265</f>
        <v>N/A</v>
      </c>
      <c r="C262" s="396" t="str">
        <f>'[3]ISRS Addns Nov and Dec 2016'!D265</f>
        <v>Repl w/ 2962F 2P 58th and Olive</v>
      </c>
      <c r="D262" s="397" t="s">
        <v>2577</v>
      </c>
      <c r="E262" s="395" t="str">
        <f>'[3]ISRS Addns Nov and Dec 2016'!E265</f>
        <v>F0599</v>
      </c>
      <c r="F262" s="396" t="str">
        <f>'[3]ISRS Addns Nov and Dec 2016'!F265</f>
        <v>Main Replacement - ISRS (N)</v>
      </c>
      <c r="G262" s="398">
        <f>'[3]ISRS Addns Nov and Dec 2016'!I265</f>
        <v>4.5199999999999996</v>
      </c>
    </row>
    <row r="263" spans="1:7" s="399" customFormat="1" ht="75">
      <c r="A263" s="395" t="str">
        <f>'[3]ISRS Addns Nov and Dec 2016'!C266</f>
        <v>800557</v>
      </c>
      <c r="B263" s="395" t="str">
        <f>'[3]ISRS Addns Nov and Dec 2016'!B266</f>
        <v>N/A</v>
      </c>
      <c r="C263" s="396" t="str">
        <f>'[3]ISRS Addns Nov and Dec 2016'!D266</f>
        <v>Repl 4185F 8S Colbern Feeder Main</v>
      </c>
      <c r="D263" s="397" t="s">
        <v>2578</v>
      </c>
      <c r="E263" s="395" t="str">
        <f>'[3]ISRS Addns Nov and Dec 2016'!E266</f>
        <v>F0604</v>
      </c>
      <c r="F263" s="396" t="str">
        <f>'[3]ISRS Addns Nov and Dec 2016'!F266</f>
        <v>Main Replacement - ISRS (S)</v>
      </c>
      <c r="G263" s="398">
        <f>'[3]ISRS Addns Nov and Dec 2016'!I266</f>
        <v>-85.8</v>
      </c>
    </row>
    <row r="264" spans="1:7" s="399" customFormat="1" ht="75">
      <c r="A264" s="395" t="str">
        <f>'[3]ISRS Addns Nov and Dec 2016'!C267</f>
        <v>800557</v>
      </c>
      <c r="B264" s="395" t="str">
        <f>'[3]ISRS Addns Nov and Dec 2016'!B267</f>
        <v>N/A</v>
      </c>
      <c r="C264" s="396" t="str">
        <f>'[3]ISRS Addns Nov and Dec 2016'!D267</f>
        <v>Repl 4185F 8S Colbern Feeder Main</v>
      </c>
      <c r="D264" s="397" t="s">
        <v>2578</v>
      </c>
      <c r="E264" s="395" t="str">
        <f>'[3]ISRS Addns Nov and Dec 2016'!E267</f>
        <v>F0604</v>
      </c>
      <c r="F264" s="396" t="str">
        <f>'[3]ISRS Addns Nov and Dec 2016'!F267</f>
        <v>Main Replacement - ISRS (S)</v>
      </c>
      <c r="G264" s="398">
        <f>'[3]ISRS Addns Nov and Dec 2016'!I267</f>
        <v>-0.33</v>
      </c>
    </row>
    <row r="265" spans="1:7" s="399" customFormat="1" ht="75">
      <c r="A265" s="395" t="str">
        <f>'[3]ISRS Addns Nov and Dec 2016'!C268</f>
        <v>800557</v>
      </c>
      <c r="B265" s="395" t="str">
        <f>'[3]ISRS Addns Nov and Dec 2016'!B268</f>
        <v>N/A</v>
      </c>
      <c r="C265" s="396" t="str">
        <f>'[3]ISRS Addns Nov and Dec 2016'!D268</f>
        <v>Repl 4185F 8S Colbern Feeder Main</v>
      </c>
      <c r="D265" s="397" t="s">
        <v>2578</v>
      </c>
      <c r="E265" s="395" t="str">
        <f>'[3]ISRS Addns Nov and Dec 2016'!E268</f>
        <v>F0604</v>
      </c>
      <c r="F265" s="396" t="str">
        <f>'[3]ISRS Addns Nov and Dec 2016'!F268</f>
        <v>Main Replacement - ISRS (S)</v>
      </c>
      <c r="G265" s="398">
        <f>'[3]ISRS Addns Nov and Dec 2016'!I268</f>
        <v>79.400000000000006</v>
      </c>
    </row>
    <row r="266" spans="1:7" s="399" customFormat="1" ht="75">
      <c r="A266" s="395" t="str">
        <f>'[3]ISRS Addns Nov and Dec 2016'!C269</f>
        <v>800557</v>
      </c>
      <c r="B266" s="395" t="str">
        <f>'[3]ISRS Addns Nov and Dec 2016'!B269</f>
        <v>N/A</v>
      </c>
      <c r="C266" s="396" t="str">
        <f>'[3]ISRS Addns Nov and Dec 2016'!D269</f>
        <v>Repl 4185F 8S Colbern Feeder Main</v>
      </c>
      <c r="D266" s="397" t="s">
        <v>2578</v>
      </c>
      <c r="E266" s="395" t="str">
        <f>'[3]ISRS Addns Nov and Dec 2016'!E269</f>
        <v>F0604</v>
      </c>
      <c r="F266" s="396" t="str">
        <f>'[3]ISRS Addns Nov and Dec 2016'!F269</f>
        <v>Main Replacement - ISRS (S)</v>
      </c>
      <c r="G266" s="398">
        <f>'[3]ISRS Addns Nov and Dec 2016'!I269</f>
        <v>0.3</v>
      </c>
    </row>
    <row r="267" spans="1:7" s="399" customFormat="1" ht="30">
      <c r="A267" s="395" t="str">
        <f>'[3]ISRS Addns Nov and Dec 2016'!C270</f>
        <v>800567</v>
      </c>
      <c r="B267" s="395" t="str">
        <f>'[3]ISRS Addns Nov and Dec 2016'!B270</f>
        <v>N/A</v>
      </c>
      <c r="C267" s="396" t="str">
        <f>'[3]ISRS Addns Nov and Dec 2016'!D270</f>
        <v>Rel w/ 450F 12S Illinois Ave</v>
      </c>
      <c r="D267" s="397" t="s">
        <v>2579</v>
      </c>
      <c r="E267" s="395" t="str">
        <f>'[3]ISRS Addns Nov and Dec 2016'!E270</f>
        <v>F0547</v>
      </c>
      <c r="F267" s="396" t="str">
        <f>'[3]ISRS Addns Nov and Dec 2016'!F270</f>
        <v>Street &amp; Highway Relocates ISRS (N)</v>
      </c>
      <c r="G267" s="398">
        <f>'[3]ISRS Addns Nov and Dec 2016'!I270</f>
        <v>1951.19</v>
      </c>
    </row>
    <row r="268" spans="1:7" s="399" customFormat="1" ht="30">
      <c r="A268" s="395" t="str">
        <f>'[3]ISRS Addns Nov and Dec 2016'!C271</f>
        <v>800567</v>
      </c>
      <c r="B268" s="395" t="str">
        <f>'[3]ISRS Addns Nov and Dec 2016'!B271</f>
        <v>N/A</v>
      </c>
      <c r="C268" s="396" t="str">
        <f>'[3]ISRS Addns Nov and Dec 2016'!D271</f>
        <v>Rel w/ 450F 12S Illinois Ave</v>
      </c>
      <c r="D268" s="397" t="s">
        <v>2579</v>
      </c>
      <c r="E268" s="395" t="str">
        <f>'[3]ISRS Addns Nov and Dec 2016'!E271</f>
        <v>F0547</v>
      </c>
      <c r="F268" s="396" t="str">
        <f>'[3]ISRS Addns Nov and Dec 2016'!F271</f>
        <v>Street &amp; Highway Relocates ISRS (N)</v>
      </c>
      <c r="G268" s="398">
        <f>'[3]ISRS Addns Nov and Dec 2016'!I271</f>
        <v>37.68</v>
      </c>
    </row>
    <row r="269" spans="1:7" s="399" customFormat="1" ht="45">
      <c r="A269" s="395" t="str">
        <f>'[3]ISRS Addns Nov and Dec 2016'!C272</f>
        <v>800569</v>
      </c>
      <c r="B269" s="395" t="str">
        <f>'[3]ISRS Addns Nov and Dec 2016'!B272</f>
        <v>N/A</v>
      </c>
      <c r="C269" s="396" t="str">
        <f>'[3]ISRS Addns Nov and Dec 2016'!D272</f>
        <v>Repl w/ 30F 4P Troost AOR</v>
      </c>
      <c r="D269" s="397" t="s">
        <v>2580</v>
      </c>
      <c r="E269" s="395" t="str">
        <f>'[3]ISRS Addns Nov and Dec 2016'!E272</f>
        <v>F0599</v>
      </c>
      <c r="F269" s="396" t="str">
        <f>'[3]ISRS Addns Nov and Dec 2016'!F272</f>
        <v>Main Replacement - ISRS (N)</v>
      </c>
      <c r="G269" s="398">
        <f>'[3]ISRS Addns Nov and Dec 2016'!I272</f>
        <v>-230.15</v>
      </c>
    </row>
    <row r="270" spans="1:7" s="399" customFormat="1" ht="45">
      <c r="A270" s="395" t="str">
        <f>'[3]ISRS Addns Nov and Dec 2016'!C273</f>
        <v>800569</v>
      </c>
      <c r="B270" s="395" t="str">
        <f>'[3]ISRS Addns Nov and Dec 2016'!B273</f>
        <v>N/A</v>
      </c>
      <c r="C270" s="396" t="str">
        <f>'[3]ISRS Addns Nov and Dec 2016'!D273</f>
        <v>Repl w/ 30F 4P Troost AOR</v>
      </c>
      <c r="D270" s="397" t="s">
        <v>2580</v>
      </c>
      <c r="E270" s="395" t="str">
        <f>'[3]ISRS Addns Nov and Dec 2016'!E273</f>
        <v>F0599</v>
      </c>
      <c r="F270" s="396" t="str">
        <f>'[3]ISRS Addns Nov and Dec 2016'!F273</f>
        <v>Main Replacement - ISRS (N)</v>
      </c>
      <c r="G270" s="398">
        <f>'[3]ISRS Addns Nov and Dec 2016'!I273</f>
        <v>133.13999999999999</v>
      </c>
    </row>
    <row r="271" spans="1:7" s="399" customFormat="1" ht="30">
      <c r="A271" s="395" t="str">
        <f>'[3]ISRS Addns Nov and Dec 2016'!C274</f>
        <v>800574</v>
      </c>
      <c r="B271" s="395" t="str">
        <f>'[3]ISRS Addns Nov and Dec 2016'!B274</f>
        <v>N/A</v>
      </c>
      <c r="C271" s="396" t="str">
        <f>'[3]ISRS Addns Nov and Dec 2016'!D274</f>
        <v>Rel w/ 160F 8S Feeder Main</v>
      </c>
      <c r="D271" s="397" t="s">
        <v>2581</v>
      </c>
      <c r="E271" s="395" t="str">
        <f>'[3]ISRS Addns Nov and Dec 2016'!E274</f>
        <v>F0578</v>
      </c>
      <c r="F271" s="396" t="str">
        <f>'[3]ISRS Addns Nov and Dec 2016'!F274</f>
        <v>Street &amp; Highway Relocates ISRS (S)</v>
      </c>
      <c r="G271" s="398">
        <f>'[3]ISRS Addns Nov and Dec 2016'!I274</f>
        <v>16663.86</v>
      </c>
    </row>
    <row r="272" spans="1:7" s="399" customFormat="1" ht="60">
      <c r="A272" s="395" t="str">
        <f>'[3]ISRS Addns Nov and Dec 2016'!C275</f>
        <v>800621</v>
      </c>
      <c r="B272" s="395" t="str">
        <f>'[3]ISRS Addns Nov and Dec 2016'!B275</f>
        <v>N/A</v>
      </c>
      <c r="C272" s="396" t="str">
        <f>'[3]ISRS Addns Nov and Dec 2016'!D275</f>
        <v>Rel w/ 1997F 4P Bankers Addition</v>
      </c>
      <c r="D272" s="397" t="s">
        <v>2582</v>
      </c>
      <c r="E272" s="395" t="str">
        <f>'[3]ISRS Addns Nov and Dec 2016'!E275</f>
        <v>F0664</v>
      </c>
      <c r="F272" s="396" t="str">
        <f>'[3]ISRS Addns Nov and Dec 2016'!F275</f>
        <v>Street &amp; Hwy Relocates ISRS (SW)</v>
      </c>
      <c r="G272" s="398">
        <f>'[3]ISRS Addns Nov and Dec 2016'!I275</f>
        <v>1292.3499999999999</v>
      </c>
    </row>
    <row r="273" spans="1:7" s="399" customFormat="1" ht="60">
      <c r="A273" s="395" t="str">
        <f>'[3]ISRS Addns Nov and Dec 2016'!C276</f>
        <v>800621</v>
      </c>
      <c r="B273" s="395" t="str">
        <f>'[3]ISRS Addns Nov and Dec 2016'!B276</f>
        <v>N/A</v>
      </c>
      <c r="C273" s="396" t="str">
        <f>'[3]ISRS Addns Nov and Dec 2016'!D276</f>
        <v>Rel w/ 1997F 4P Bankers Addition</v>
      </c>
      <c r="D273" s="397" t="s">
        <v>2582</v>
      </c>
      <c r="E273" s="395" t="str">
        <f>'[3]ISRS Addns Nov and Dec 2016'!E276</f>
        <v>F0664</v>
      </c>
      <c r="F273" s="396" t="str">
        <f>'[3]ISRS Addns Nov and Dec 2016'!F276</f>
        <v>Street &amp; Hwy Relocates ISRS (SW)</v>
      </c>
      <c r="G273" s="398">
        <f>'[3]ISRS Addns Nov and Dec 2016'!I276</f>
        <v>24.09</v>
      </c>
    </row>
    <row r="274" spans="1:7" s="399" customFormat="1" ht="60">
      <c r="A274" s="395" t="str">
        <f>'[3]ISRS Addns Nov and Dec 2016'!C277</f>
        <v>800622</v>
      </c>
      <c r="B274" s="395" t="str">
        <f>'[3]ISRS Addns Nov and Dec 2016'!B277</f>
        <v>N/A</v>
      </c>
      <c r="C274" s="396" t="str">
        <f>'[3]ISRS Addns Nov and Dec 2016'!D277</f>
        <v>Repl w/ 5785F 2P 29th &amp; Northern</v>
      </c>
      <c r="D274" s="397" t="s">
        <v>2583</v>
      </c>
      <c r="E274" s="395" t="str">
        <f>'[3]ISRS Addns Nov and Dec 2016'!E277</f>
        <v>F0604</v>
      </c>
      <c r="F274" s="396" t="str">
        <f>'[3]ISRS Addns Nov and Dec 2016'!F277</f>
        <v>Main Replacement - ISRS (S)</v>
      </c>
      <c r="G274" s="398">
        <f>'[3]ISRS Addns Nov and Dec 2016'!I277</f>
        <v>254401.45</v>
      </c>
    </row>
    <row r="275" spans="1:7" s="399" customFormat="1" ht="60">
      <c r="A275" s="395" t="str">
        <f>'[3]ISRS Addns Nov and Dec 2016'!C278</f>
        <v>800622</v>
      </c>
      <c r="B275" s="395" t="str">
        <f>'[3]ISRS Addns Nov and Dec 2016'!B278</f>
        <v>N/A</v>
      </c>
      <c r="C275" s="396" t="str">
        <f>'[3]ISRS Addns Nov and Dec 2016'!D278</f>
        <v>Repl w/ 5785F 2P 29th &amp; Northern</v>
      </c>
      <c r="D275" s="397" t="s">
        <v>2583</v>
      </c>
      <c r="E275" s="395" t="str">
        <f>'[3]ISRS Addns Nov and Dec 2016'!E278</f>
        <v>F0604</v>
      </c>
      <c r="F275" s="396" t="str">
        <f>'[3]ISRS Addns Nov and Dec 2016'!F278</f>
        <v>Main Replacement - ISRS (S)</v>
      </c>
      <c r="G275" s="398">
        <f>'[3]ISRS Addns Nov and Dec 2016'!I278</f>
        <v>168434.91</v>
      </c>
    </row>
    <row r="276" spans="1:7" s="399" customFormat="1" ht="45">
      <c r="A276" s="395" t="str">
        <f>'[3]ISRS Addns Nov and Dec 2016'!C279</f>
        <v>800648</v>
      </c>
      <c r="B276" s="395" t="str">
        <f>'[3]ISRS Addns Nov and Dec 2016'!B279</f>
        <v>N/A</v>
      </c>
      <c r="C276" s="396" t="str">
        <f>'[3]ISRS Addns Nov and Dec 2016'!D279</f>
        <v>Repl w/ 947F 4P 53rd Ter &amp; Ditman</v>
      </c>
      <c r="D276" s="397" t="s">
        <v>2584</v>
      </c>
      <c r="E276" s="395" t="str">
        <f>'[3]ISRS Addns Nov and Dec 2016'!E279</f>
        <v>F0599</v>
      </c>
      <c r="F276" s="396" t="str">
        <f>'[3]ISRS Addns Nov and Dec 2016'!F279</f>
        <v>Main Replacement - ISRS (N)</v>
      </c>
      <c r="G276" s="398">
        <f>'[3]ISRS Addns Nov and Dec 2016'!I279</f>
        <v>-36.35</v>
      </c>
    </row>
    <row r="277" spans="1:7" s="399" customFormat="1" ht="45">
      <c r="A277" s="395" t="str">
        <f>'[3]ISRS Addns Nov and Dec 2016'!C280</f>
        <v>800648</v>
      </c>
      <c r="B277" s="395" t="str">
        <f>'[3]ISRS Addns Nov and Dec 2016'!B280</f>
        <v>N/A</v>
      </c>
      <c r="C277" s="396" t="str">
        <f>'[3]ISRS Addns Nov and Dec 2016'!D280</f>
        <v>Repl w/ 947F 4P 53rd Ter &amp; Ditman</v>
      </c>
      <c r="D277" s="397" t="s">
        <v>2584</v>
      </c>
      <c r="E277" s="395" t="str">
        <f>'[3]ISRS Addns Nov and Dec 2016'!E280</f>
        <v>F0599</v>
      </c>
      <c r="F277" s="396" t="str">
        <f>'[3]ISRS Addns Nov and Dec 2016'!F280</f>
        <v>Main Replacement - ISRS (N)</v>
      </c>
      <c r="G277" s="398">
        <f>'[3]ISRS Addns Nov and Dec 2016'!I280</f>
        <v>21.13</v>
      </c>
    </row>
    <row r="278" spans="1:7" s="399" customFormat="1" ht="45">
      <c r="A278" s="395" t="str">
        <f>'[3]ISRS Addns Nov and Dec 2016'!C281</f>
        <v>800707</v>
      </c>
      <c r="B278" s="395" t="str">
        <f>'[3]ISRS Addns Nov and Dec 2016'!B281</f>
        <v>N/A</v>
      </c>
      <c r="C278" s="396" t="str">
        <f>'[3]ISRS Addns Nov and Dec 2016'!D281</f>
        <v>Reloc 800F 4P Garden Grove</v>
      </c>
      <c r="D278" s="397" t="s">
        <v>2585</v>
      </c>
      <c r="E278" s="395" t="str">
        <f>'[3]ISRS Addns Nov and Dec 2016'!E281</f>
        <v>F0664</v>
      </c>
      <c r="F278" s="396" t="str">
        <f>'[3]ISRS Addns Nov and Dec 2016'!F281</f>
        <v>Street &amp; Hwy Relocates ISRS (SW)</v>
      </c>
      <c r="G278" s="398">
        <f>'[3]ISRS Addns Nov and Dec 2016'!I281</f>
        <v>3023.8</v>
      </c>
    </row>
    <row r="279" spans="1:7" s="399" customFormat="1" ht="45">
      <c r="A279" s="395" t="str">
        <f>'[3]ISRS Addns Nov and Dec 2016'!C282</f>
        <v>800707</v>
      </c>
      <c r="B279" s="395" t="str">
        <f>'[3]ISRS Addns Nov and Dec 2016'!B282</f>
        <v>N/A</v>
      </c>
      <c r="C279" s="396" t="str">
        <f>'[3]ISRS Addns Nov and Dec 2016'!D282</f>
        <v>Reloc 800F 4P Garden Grove</v>
      </c>
      <c r="D279" s="397" t="s">
        <v>2585</v>
      </c>
      <c r="E279" s="395" t="str">
        <f>'[3]ISRS Addns Nov and Dec 2016'!E282</f>
        <v>F0664</v>
      </c>
      <c r="F279" s="396" t="str">
        <f>'[3]ISRS Addns Nov and Dec 2016'!F282</f>
        <v>Street &amp; Hwy Relocates ISRS (SW)</v>
      </c>
      <c r="G279" s="398">
        <f>'[3]ISRS Addns Nov and Dec 2016'!I282</f>
        <v>3091.39</v>
      </c>
    </row>
    <row r="280" spans="1:7" s="399" customFormat="1" ht="75">
      <c r="A280" s="395" t="str">
        <f>'[3]ISRS Addns Nov and Dec 2016'!C283</f>
        <v>800714</v>
      </c>
      <c r="B280" s="395" t="str">
        <f>'[3]ISRS Addns Nov and Dec 2016'!B283</f>
        <v>N/A</v>
      </c>
      <c r="C280" s="396" t="str">
        <f>'[3]ISRS Addns Nov and Dec 2016'!D283</f>
        <v>Repl w 2748F 2-4P Monett Phase 1B</v>
      </c>
      <c r="D280" s="397" t="s">
        <v>2586</v>
      </c>
      <c r="E280" s="395" t="str">
        <f>'[3]ISRS Addns Nov and Dec 2016'!E283</f>
        <v>F0572</v>
      </c>
      <c r="F280" s="396" t="str">
        <f>'[3]ISRS Addns Nov and Dec 2016'!F283</f>
        <v>Main Replacement - ISRS (SW)</v>
      </c>
      <c r="G280" s="398">
        <f>'[3]ISRS Addns Nov and Dec 2016'!I283</f>
        <v>136272.18</v>
      </c>
    </row>
    <row r="281" spans="1:7" s="399" customFormat="1" ht="75">
      <c r="A281" s="395" t="str">
        <f>'[3]ISRS Addns Nov and Dec 2016'!C284</f>
        <v>800714</v>
      </c>
      <c r="B281" s="395" t="str">
        <f>'[3]ISRS Addns Nov and Dec 2016'!B284</f>
        <v>N/A</v>
      </c>
      <c r="C281" s="396" t="str">
        <f>'[3]ISRS Addns Nov and Dec 2016'!D284</f>
        <v>Repl w 2748F 2-4P Monett Phase 1B</v>
      </c>
      <c r="D281" s="397" t="s">
        <v>2586</v>
      </c>
      <c r="E281" s="395" t="str">
        <f>'[3]ISRS Addns Nov and Dec 2016'!E284</f>
        <v>F0572</v>
      </c>
      <c r="F281" s="396" t="str">
        <f>'[3]ISRS Addns Nov and Dec 2016'!F284</f>
        <v>Main Replacement - ISRS (SW)</v>
      </c>
      <c r="G281" s="398">
        <f>'[3]ISRS Addns Nov and Dec 2016'!I284</f>
        <v>8198.89</v>
      </c>
    </row>
    <row r="282" spans="1:7" s="399" customFormat="1" ht="45">
      <c r="A282" s="395" t="str">
        <f>'[3]ISRS Addns Nov and Dec 2016'!C285</f>
        <v>800724</v>
      </c>
      <c r="B282" s="395" t="str">
        <f>'[3]ISRS Addns Nov and Dec 2016'!B285</f>
        <v>N/A</v>
      </c>
      <c r="C282" s="396" t="str">
        <f>'[3]ISRS Addns Nov and Dec 2016'!D285</f>
        <v>Repl w 2490F 2-4P 60th Terr &amp; Elm</v>
      </c>
      <c r="D282" s="397" t="s">
        <v>2587</v>
      </c>
      <c r="E282" s="395" t="str">
        <f>'[3]ISRS Addns Nov and Dec 2016'!E285</f>
        <v>F0604</v>
      </c>
      <c r="F282" s="396" t="str">
        <f>'[3]ISRS Addns Nov and Dec 2016'!F285</f>
        <v>Main Replacement - ISRS (S)</v>
      </c>
      <c r="G282" s="398">
        <f>'[3]ISRS Addns Nov and Dec 2016'!I285</f>
        <v>61311.21</v>
      </c>
    </row>
    <row r="283" spans="1:7" s="399" customFormat="1" ht="45">
      <c r="A283" s="395" t="str">
        <f>'[3]ISRS Addns Nov and Dec 2016'!C286</f>
        <v>800724</v>
      </c>
      <c r="B283" s="395" t="str">
        <f>'[3]ISRS Addns Nov and Dec 2016'!B286</f>
        <v>N/A</v>
      </c>
      <c r="C283" s="396" t="str">
        <f>'[3]ISRS Addns Nov and Dec 2016'!D286</f>
        <v>Repl w 2490F 2-4P 60th Terr &amp; Elm</v>
      </c>
      <c r="D283" s="397" t="s">
        <v>2587</v>
      </c>
      <c r="E283" s="395" t="str">
        <f>'[3]ISRS Addns Nov and Dec 2016'!E286</f>
        <v>F0604</v>
      </c>
      <c r="F283" s="396" t="str">
        <f>'[3]ISRS Addns Nov and Dec 2016'!F286</f>
        <v>Main Replacement - ISRS (S)</v>
      </c>
      <c r="G283" s="398">
        <f>'[3]ISRS Addns Nov and Dec 2016'!I286</f>
        <v>33859.339999999997</v>
      </c>
    </row>
    <row r="284" spans="1:7" s="399" customFormat="1" ht="60">
      <c r="A284" s="395" t="str">
        <f>'[3]ISRS Addns Nov and Dec 2016'!C287</f>
        <v>800766</v>
      </c>
      <c r="B284" s="395" t="str">
        <f>'[3]ISRS Addns Nov and Dec 2016'!B287</f>
        <v>N/A</v>
      </c>
      <c r="C284" s="396" t="str">
        <f>'[3]ISRS Addns Nov and Dec 2016'!D287</f>
        <v>Repl w 30F 4P Indiana &amp; 12th  AOR</v>
      </c>
      <c r="D284" s="397" t="s">
        <v>2588</v>
      </c>
      <c r="E284" s="395" t="str">
        <f>'[3]ISRS Addns Nov and Dec 2016'!E287</f>
        <v>F0599</v>
      </c>
      <c r="F284" s="396" t="str">
        <f>'[3]ISRS Addns Nov and Dec 2016'!F287</f>
        <v>Main Replacement - ISRS (N)</v>
      </c>
      <c r="G284" s="398">
        <f>'[3]ISRS Addns Nov and Dec 2016'!I287</f>
        <v>25529.48</v>
      </c>
    </row>
    <row r="285" spans="1:7" s="399" customFormat="1" ht="45">
      <c r="A285" s="395" t="str">
        <f>'[3]ISRS Addns Nov and Dec 2016'!C288</f>
        <v>800817</v>
      </c>
      <c r="B285" s="395" t="str">
        <f>'[3]ISRS Addns Nov and Dec 2016'!B288</f>
        <v>N/A</v>
      </c>
      <c r="C285" s="396" t="str">
        <f>'[3]ISRS Addns Nov and Dec 2016'!D288</f>
        <v>Repl w 194F 2P 5th &amp; St. Louis</v>
      </c>
      <c r="D285" s="397" t="s">
        <v>2589</v>
      </c>
      <c r="E285" s="395" t="str">
        <f>'[3]ISRS Addns Nov and Dec 2016'!E288</f>
        <v>F0572</v>
      </c>
      <c r="F285" s="396" t="str">
        <f>'[3]ISRS Addns Nov and Dec 2016'!F288</f>
        <v>Main Replacement - ISRS (SW)</v>
      </c>
      <c r="G285" s="398">
        <f>'[3]ISRS Addns Nov and Dec 2016'!I288</f>
        <v>23096.26</v>
      </c>
    </row>
    <row r="286" spans="1:7" s="399" customFormat="1" ht="45">
      <c r="A286" s="395" t="str">
        <f>'[3]ISRS Addns Nov and Dec 2016'!C289</f>
        <v>800817</v>
      </c>
      <c r="B286" s="395" t="str">
        <f>'[3]ISRS Addns Nov and Dec 2016'!B289</f>
        <v>N/A</v>
      </c>
      <c r="C286" s="396" t="str">
        <f>'[3]ISRS Addns Nov and Dec 2016'!D289</f>
        <v>Repl w 194F 2P 5th &amp; St. Louis</v>
      </c>
      <c r="D286" s="397" t="s">
        <v>2589</v>
      </c>
      <c r="E286" s="395" t="str">
        <f>'[3]ISRS Addns Nov and Dec 2016'!E289</f>
        <v>F0572</v>
      </c>
      <c r="F286" s="396" t="str">
        <f>'[3]ISRS Addns Nov and Dec 2016'!F289</f>
        <v>Main Replacement - ISRS (SW)</v>
      </c>
      <c r="G286" s="398">
        <f>'[3]ISRS Addns Nov and Dec 2016'!I289</f>
        <v>321.33</v>
      </c>
    </row>
    <row r="287" spans="1:7" s="399" customFormat="1" ht="45">
      <c r="A287" s="395" t="str">
        <f>'[3]ISRS Addns Nov and Dec 2016'!C290</f>
        <v>800938</v>
      </c>
      <c r="B287" s="395" t="str">
        <f>'[3]ISRS Addns Nov and Dec 2016'!B290</f>
        <v>N/A</v>
      </c>
      <c r="C287" s="396" t="str">
        <f>'[3]ISRS Addns Nov and Dec 2016'!D290</f>
        <v>Reloc 625F 6P Hook Rd &amp; Arther Dr</v>
      </c>
      <c r="D287" s="397" t="s">
        <v>2590</v>
      </c>
      <c r="E287" s="395" t="str">
        <f>'[3]ISRS Addns Nov and Dec 2016'!E290</f>
        <v>F0578</v>
      </c>
      <c r="F287" s="396" t="str">
        <f>'[3]ISRS Addns Nov and Dec 2016'!F290</f>
        <v>Street &amp; Highway Relocates ISRS (S)</v>
      </c>
      <c r="G287" s="398">
        <f>'[3]ISRS Addns Nov and Dec 2016'!I290</f>
        <v>32272.07</v>
      </c>
    </row>
    <row r="289" spans="7:7">
      <c r="G289" s="165">
        <f>SUM(G5:G288)</f>
        <v>3031238.3900000015</v>
      </c>
    </row>
    <row r="290" spans="7:7">
      <c r="G290" s="402"/>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9"/>
  <sheetViews>
    <sheetView zoomScale="85" zoomScaleNormal="85" workbookViewId="0">
      <pane ySplit="4" topLeftCell="A107" activePane="bottomLeft" state="frozen"/>
      <selection activeCell="A3" sqref="A3"/>
      <selection pane="bottomLeft" activeCell="M138" sqref="M138"/>
    </sheetView>
  </sheetViews>
  <sheetFormatPr defaultRowHeight="15"/>
  <cols>
    <col min="1" max="1" width="37.42578125" style="194" customWidth="1"/>
    <col min="2" max="2" width="13.28515625" style="195" hidden="1" customWidth="1"/>
    <col min="3" max="3" width="14.7109375" style="195" customWidth="1"/>
    <col min="4" max="4" width="38.28515625" style="194" customWidth="1"/>
    <col min="5" max="5" width="10" style="195" customWidth="1"/>
    <col min="6" max="6" width="38.28515625" style="194" hidden="1" customWidth="1"/>
    <col min="7" max="7" width="13.5703125" style="195" customWidth="1"/>
    <col min="8" max="8" width="17" style="195" bestFit="1" customWidth="1"/>
    <col min="9" max="9" width="14" style="199" customWidth="1"/>
    <col min="10" max="10" width="9.140625" style="198"/>
    <col min="11" max="11" width="15.85546875" customWidth="1"/>
    <col min="12" max="12" width="16.140625" customWidth="1"/>
    <col min="13" max="13" width="14.28515625" customWidth="1"/>
    <col min="16" max="16" width="17" bestFit="1" customWidth="1"/>
    <col min="17" max="17" width="12.28515625" bestFit="1" customWidth="1"/>
  </cols>
  <sheetData>
    <row r="1" spans="1:13">
      <c r="A1" s="170" t="s">
        <v>0</v>
      </c>
      <c r="B1" s="171"/>
      <c r="C1" s="171"/>
      <c r="D1" s="172"/>
      <c r="E1" s="173"/>
      <c r="F1" s="174"/>
      <c r="G1" s="171"/>
      <c r="H1" s="171"/>
      <c r="I1" s="175"/>
      <c r="J1" s="176"/>
      <c r="K1" s="177"/>
      <c r="L1" s="176"/>
      <c r="M1" s="176"/>
    </row>
    <row r="2" spans="1:13">
      <c r="A2" s="170" t="s">
        <v>2292</v>
      </c>
      <c r="B2" s="171"/>
      <c r="C2" s="171"/>
      <c r="D2" s="174"/>
      <c r="E2" s="171"/>
      <c r="F2" s="174"/>
      <c r="G2" s="171"/>
      <c r="H2" s="171"/>
      <c r="I2" s="175"/>
      <c r="J2" s="176"/>
      <c r="K2" s="176"/>
      <c r="L2" s="176"/>
      <c r="M2" s="176"/>
    </row>
    <row r="3" spans="1:13">
      <c r="A3" s="174"/>
      <c r="B3" s="171"/>
      <c r="C3" s="171"/>
      <c r="D3" s="174"/>
      <c r="E3" s="171"/>
      <c r="F3" s="174"/>
      <c r="G3" s="171"/>
      <c r="H3" s="171"/>
      <c r="I3" s="175"/>
      <c r="J3" s="176"/>
      <c r="K3" s="176"/>
      <c r="L3" s="176"/>
      <c r="M3" s="176"/>
    </row>
    <row r="4" spans="1:13" ht="48.75" customHeight="1">
      <c r="A4" s="178" t="s">
        <v>6</v>
      </c>
      <c r="B4" s="179" t="s">
        <v>7</v>
      </c>
      <c r="C4" s="179" t="s">
        <v>8</v>
      </c>
      <c r="D4" s="178" t="s">
        <v>9</v>
      </c>
      <c r="E4" s="179" t="s">
        <v>10</v>
      </c>
      <c r="F4" s="178" t="s">
        <v>11</v>
      </c>
      <c r="G4" s="180" t="s">
        <v>12</v>
      </c>
      <c r="H4" s="179" t="s">
        <v>1</v>
      </c>
      <c r="I4" s="181" t="s">
        <v>2123</v>
      </c>
      <c r="J4" s="182" t="s">
        <v>2020</v>
      </c>
      <c r="K4" s="182" t="s">
        <v>2021</v>
      </c>
      <c r="L4" s="182" t="s">
        <v>2022</v>
      </c>
      <c r="M4" s="182" t="s">
        <v>2023</v>
      </c>
    </row>
    <row r="5" spans="1:13">
      <c r="A5" s="183" t="s">
        <v>127</v>
      </c>
      <c r="B5" s="111" t="s">
        <v>2124</v>
      </c>
      <c r="C5" s="111" t="s">
        <v>2125</v>
      </c>
      <c r="D5" s="183" t="s">
        <v>2126</v>
      </c>
      <c r="E5" s="111" t="s">
        <v>1580</v>
      </c>
      <c r="F5" s="183" t="s">
        <v>217</v>
      </c>
      <c r="G5" s="111" t="s">
        <v>2127</v>
      </c>
      <c r="H5" s="111">
        <v>201605</v>
      </c>
      <c r="I5" s="184">
        <v>-2983.24</v>
      </c>
      <c r="J5" s="185">
        <v>0</v>
      </c>
      <c r="K5" s="186">
        <v>2.3833299999999999E-3</v>
      </c>
      <c r="L5" s="184">
        <f t="shared" ref="L5:L68" si="0">ROUND(I5*J5*K5,2)</f>
        <v>0</v>
      </c>
      <c r="M5" s="184">
        <f t="shared" ref="M5:M68" si="1">ROUND(I5*K5*12,2)</f>
        <v>-85.32</v>
      </c>
    </row>
    <row r="6" spans="1:13">
      <c r="A6" s="183" t="s">
        <v>21</v>
      </c>
      <c r="B6" s="111" t="s">
        <v>2046</v>
      </c>
      <c r="C6" s="111" t="s">
        <v>2045</v>
      </c>
      <c r="D6" s="183" t="s">
        <v>2047</v>
      </c>
      <c r="E6" s="111" t="s">
        <v>75</v>
      </c>
      <c r="F6" s="183" t="s">
        <v>1602</v>
      </c>
      <c r="G6" s="111" t="s">
        <v>2127</v>
      </c>
      <c r="H6" s="111">
        <v>201604</v>
      </c>
      <c r="I6" s="184">
        <v>-31425.88</v>
      </c>
      <c r="J6" s="185">
        <v>0</v>
      </c>
      <c r="K6" s="186">
        <v>1.4833299999999999E-3</v>
      </c>
      <c r="L6" s="184">
        <f t="shared" si="0"/>
        <v>0</v>
      </c>
      <c r="M6" s="184">
        <f t="shared" si="1"/>
        <v>-559.38</v>
      </c>
    </row>
    <row r="7" spans="1:13">
      <c r="A7" s="183" t="s">
        <v>626</v>
      </c>
      <c r="B7" s="111" t="s">
        <v>2046</v>
      </c>
      <c r="C7" s="111" t="s">
        <v>2045</v>
      </c>
      <c r="D7" s="183" t="s">
        <v>2047</v>
      </c>
      <c r="E7" s="111" t="s">
        <v>75</v>
      </c>
      <c r="F7" s="183" t="s">
        <v>1602</v>
      </c>
      <c r="G7" s="111" t="s">
        <v>2127</v>
      </c>
      <c r="H7" s="111">
        <v>201604</v>
      </c>
      <c r="I7" s="184">
        <v>-3521.85</v>
      </c>
      <c r="J7" s="185">
        <v>0</v>
      </c>
      <c r="K7" s="186">
        <v>1.4833299999999999E-3</v>
      </c>
      <c r="L7" s="184">
        <f t="shared" si="0"/>
        <v>0</v>
      </c>
      <c r="M7" s="184">
        <f t="shared" si="1"/>
        <v>-62.69</v>
      </c>
    </row>
    <row r="8" spans="1:13">
      <c r="A8" s="183" t="s">
        <v>626</v>
      </c>
      <c r="B8" s="111" t="s">
        <v>1659</v>
      </c>
      <c r="C8" s="111" t="s">
        <v>1658</v>
      </c>
      <c r="D8" s="183" t="s">
        <v>1660</v>
      </c>
      <c r="E8" s="111" t="s">
        <v>209</v>
      </c>
      <c r="F8" s="183" t="s">
        <v>1612</v>
      </c>
      <c r="G8" s="111" t="s">
        <v>2127</v>
      </c>
      <c r="H8" s="111">
        <v>201604</v>
      </c>
      <c r="I8" s="184">
        <v>-1886.76</v>
      </c>
      <c r="J8" s="185">
        <v>0</v>
      </c>
      <c r="K8" s="186">
        <v>1.4833299999999999E-3</v>
      </c>
      <c r="L8" s="184">
        <f t="shared" si="0"/>
        <v>0</v>
      </c>
      <c r="M8" s="184">
        <f t="shared" si="1"/>
        <v>-33.58</v>
      </c>
    </row>
    <row r="9" spans="1:13">
      <c r="A9" s="183" t="s">
        <v>21</v>
      </c>
      <c r="B9" s="111" t="s">
        <v>1968</v>
      </c>
      <c r="C9" s="111" t="s">
        <v>1967</v>
      </c>
      <c r="D9" s="187" t="s">
        <v>1969</v>
      </c>
      <c r="E9" s="111" t="s">
        <v>544</v>
      </c>
      <c r="F9" s="183" t="s">
        <v>26</v>
      </c>
      <c r="G9" s="111" t="s">
        <v>2127</v>
      </c>
      <c r="H9" s="111">
        <v>201604</v>
      </c>
      <c r="I9" s="184">
        <v>-666.9</v>
      </c>
      <c r="J9" s="185">
        <v>0</v>
      </c>
      <c r="K9" s="186">
        <v>1.4833299999999999E-3</v>
      </c>
      <c r="L9" s="184">
        <f t="shared" si="0"/>
        <v>0</v>
      </c>
      <c r="M9" s="184">
        <f t="shared" si="1"/>
        <v>-11.87</v>
      </c>
    </row>
    <row r="10" spans="1:13">
      <c r="A10" s="183" t="s">
        <v>626</v>
      </c>
      <c r="B10" s="111" t="s">
        <v>1968</v>
      </c>
      <c r="C10" s="111" t="s">
        <v>1967</v>
      </c>
      <c r="D10" s="183" t="s">
        <v>1969</v>
      </c>
      <c r="E10" s="111" t="s">
        <v>544</v>
      </c>
      <c r="F10" s="183" t="s">
        <v>26</v>
      </c>
      <c r="G10" s="111" t="s">
        <v>2127</v>
      </c>
      <c r="H10" s="111">
        <v>201604</v>
      </c>
      <c r="I10" s="184">
        <v>-264.14</v>
      </c>
      <c r="J10" s="185">
        <v>0</v>
      </c>
      <c r="K10" s="186">
        <v>1.4833299999999999E-3</v>
      </c>
      <c r="L10" s="184">
        <f t="shared" si="0"/>
        <v>0</v>
      </c>
      <c r="M10" s="184">
        <f t="shared" si="1"/>
        <v>-4.7</v>
      </c>
    </row>
    <row r="11" spans="1:13">
      <c r="A11" s="183" t="s">
        <v>21</v>
      </c>
      <c r="B11" s="111" t="s">
        <v>1954</v>
      </c>
      <c r="C11" s="111" t="s">
        <v>1953</v>
      </c>
      <c r="D11" s="183" t="s">
        <v>1955</v>
      </c>
      <c r="E11" s="111" t="s">
        <v>75</v>
      </c>
      <c r="F11" s="183" t="s">
        <v>1602</v>
      </c>
      <c r="G11" s="111" t="s">
        <v>2127</v>
      </c>
      <c r="H11" s="111">
        <v>201603</v>
      </c>
      <c r="I11" s="184">
        <v>-785.02</v>
      </c>
      <c r="J11" s="185">
        <v>0</v>
      </c>
      <c r="K11" s="186">
        <v>1.4833299999999999E-3</v>
      </c>
      <c r="L11" s="184">
        <f t="shared" si="0"/>
        <v>0</v>
      </c>
      <c r="M11" s="184">
        <f t="shared" si="1"/>
        <v>-13.97</v>
      </c>
    </row>
    <row r="12" spans="1:13">
      <c r="A12" s="183" t="s">
        <v>21</v>
      </c>
      <c r="B12" s="111" t="s">
        <v>1988</v>
      </c>
      <c r="C12" s="111" t="s">
        <v>1987</v>
      </c>
      <c r="D12" s="183" t="s">
        <v>1338</v>
      </c>
      <c r="E12" s="111" t="s">
        <v>75</v>
      </c>
      <c r="F12" s="183" t="s">
        <v>1602</v>
      </c>
      <c r="G12" s="111" t="s">
        <v>2127</v>
      </c>
      <c r="H12" s="111">
        <v>201603</v>
      </c>
      <c r="I12" s="184">
        <v>-2446.5</v>
      </c>
      <c r="J12" s="185">
        <v>0</v>
      </c>
      <c r="K12" s="186">
        <v>1.4833299999999999E-3</v>
      </c>
      <c r="L12" s="184">
        <f t="shared" si="0"/>
        <v>0</v>
      </c>
      <c r="M12" s="184">
        <f t="shared" si="1"/>
        <v>-43.55</v>
      </c>
    </row>
    <row r="13" spans="1:13">
      <c r="A13" s="183" t="s">
        <v>21</v>
      </c>
      <c r="B13" s="111" t="s">
        <v>1990</v>
      </c>
      <c r="C13" s="111" t="s">
        <v>1989</v>
      </c>
      <c r="D13" s="183" t="s">
        <v>1495</v>
      </c>
      <c r="E13" s="111" t="s">
        <v>75</v>
      </c>
      <c r="F13" s="183" t="s">
        <v>1602</v>
      </c>
      <c r="G13" s="111" t="s">
        <v>2127</v>
      </c>
      <c r="H13" s="111">
        <v>201605</v>
      </c>
      <c r="I13" s="184">
        <v>-976.26</v>
      </c>
      <c r="J13" s="185">
        <v>0</v>
      </c>
      <c r="K13" s="186">
        <v>1.4833299999999999E-3</v>
      </c>
      <c r="L13" s="184">
        <f t="shared" si="0"/>
        <v>0</v>
      </c>
      <c r="M13" s="184">
        <f t="shared" si="1"/>
        <v>-17.38</v>
      </c>
    </row>
    <row r="14" spans="1:13">
      <c r="A14" s="183" t="s">
        <v>21</v>
      </c>
      <c r="B14" s="111" t="s">
        <v>1908</v>
      </c>
      <c r="C14" s="111" t="s">
        <v>1907</v>
      </c>
      <c r="D14" s="183" t="s">
        <v>1909</v>
      </c>
      <c r="E14" s="111" t="s">
        <v>75</v>
      </c>
      <c r="F14" s="183" t="s">
        <v>1602</v>
      </c>
      <c r="G14" s="111" t="s">
        <v>2127</v>
      </c>
      <c r="H14" s="111">
        <v>201603</v>
      </c>
      <c r="I14" s="184">
        <v>-827.1</v>
      </c>
      <c r="J14" s="185">
        <v>0</v>
      </c>
      <c r="K14" s="186">
        <v>1.4833299999999999E-3</v>
      </c>
      <c r="L14" s="184">
        <f t="shared" si="0"/>
        <v>0</v>
      </c>
      <c r="M14" s="184">
        <f t="shared" si="1"/>
        <v>-14.72</v>
      </c>
    </row>
    <row r="15" spans="1:13">
      <c r="A15" s="183" t="s">
        <v>21</v>
      </c>
      <c r="B15" s="111" t="s">
        <v>1917</v>
      </c>
      <c r="C15" s="111" t="s">
        <v>1916</v>
      </c>
      <c r="D15" s="183" t="s">
        <v>1273</v>
      </c>
      <c r="E15" s="111" t="s">
        <v>75</v>
      </c>
      <c r="F15" s="183" t="s">
        <v>1602</v>
      </c>
      <c r="G15" s="111" t="s">
        <v>2127</v>
      </c>
      <c r="H15" s="111">
        <v>201603</v>
      </c>
      <c r="I15" s="184">
        <v>-9404.7000000000007</v>
      </c>
      <c r="J15" s="185">
        <v>0</v>
      </c>
      <c r="K15" s="186">
        <v>1.4833299999999999E-3</v>
      </c>
      <c r="L15" s="184">
        <f t="shared" si="0"/>
        <v>0</v>
      </c>
      <c r="M15" s="184">
        <f t="shared" si="1"/>
        <v>-167.4</v>
      </c>
    </row>
    <row r="16" spans="1:13">
      <c r="A16" s="183" t="s">
        <v>626</v>
      </c>
      <c r="B16" s="111" t="s">
        <v>1917</v>
      </c>
      <c r="C16" s="111" t="s">
        <v>1916</v>
      </c>
      <c r="D16" s="183" t="s">
        <v>1273</v>
      </c>
      <c r="E16" s="111" t="s">
        <v>75</v>
      </c>
      <c r="F16" s="183" t="s">
        <v>1602</v>
      </c>
      <c r="G16" s="111" t="s">
        <v>2127</v>
      </c>
      <c r="H16" s="111">
        <v>201603</v>
      </c>
      <c r="I16" s="184">
        <v>-609.38</v>
      </c>
      <c r="J16" s="185">
        <v>0</v>
      </c>
      <c r="K16" s="186">
        <v>1.4833299999999999E-3</v>
      </c>
      <c r="L16" s="184">
        <f t="shared" si="0"/>
        <v>0</v>
      </c>
      <c r="M16" s="184">
        <f t="shared" si="1"/>
        <v>-10.85</v>
      </c>
    </row>
    <row r="17" spans="1:13">
      <c r="A17" s="183" t="s">
        <v>14</v>
      </c>
      <c r="B17" s="111" t="s">
        <v>196</v>
      </c>
      <c r="C17" s="111" t="s">
        <v>195</v>
      </c>
      <c r="D17" s="183" t="s">
        <v>1674</v>
      </c>
      <c r="E17" s="111" t="s">
        <v>198</v>
      </c>
      <c r="F17" s="183" t="s">
        <v>1610</v>
      </c>
      <c r="G17" s="111" t="s">
        <v>2127</v>
      </c>
      <c r="H17" s="111">
        <v>201603</v>
      </c>
      <c r="I17" s="184">
        <v>-5617.79</v>
      </c>
      <c r="J17" s="185">
        <v>0</v>
      </c>
      <c r="K17" s="186">
        <v>2.23333E-3</v>
      </c>
      <c r="L17" s="184">
        <f t="shared" si="0"/>
        <v>0</v>
      </c>
      <c r="M17" s="184">
        <f t="shared" si="1"/>
        <v>-150.56</v>
      </c>
    </row>
    <row r="18" spans="1:13">
      <c r="A18" s="183" t="s">
        <v>1942</v>
      </c>
      <c r="B18" s="111" t="s">
        <v>196</v>
      </c>
      <c r="C18" s="111" t="s">
        <v>195</v>
      </c>
      <c r="D18" s="183" t="s">
        <v>1674</v>
      </c>
      <c r="E18" s="111" t="s">
        <v>198</v>
      </c>
      <c r="F18" s="183" t="s">
        <v>1610</v>
      </c>
      <c r="G18" s="111" t="s">
        <v>2127</v>
      </c>
      <c r="H18" s="111">
        <v>201603</v>
      </c>
      <c r="I18" s="184">
        <v>-1777.91</v>
      </c>
      <c r="J18" s="185">
        <v>0</v>
      </c>
      <c r="K18" s="186">
        <v>2.23333E-3</v>
      </c>
      <c r="L18" s="184">
        <f t="shared" si="0"/>
        <v>0</v>
      </c>
      <c r="M18" s="184">
        <f t="shared" si="1"/>
        <v>-47.65</v>
      </c>
    </row>
    <row r="19" spans="1:13">
      <c r="A19" s="183" t="s">
        <v>14</v>
      </c>
      <c r="B19" s="111" t="s">
        <v>196</v>
      </c>
      <c r="C19" s="111" t="s">
        <v>195</v>
      </c>
      <c r="D19" s="183" t="s">
        <v>1674</v>
      </c>
      <c r="E19" s="111" t="s">
        <v>198</v>
      </c>
      <c r="F19" s="183" t="s">
        <v>1610</v>
      </c>
      <c r="G19" s="111" t="s">
        <v>2127</v>
      </c>
      <c r="H19" s="111">
        <v>201604</v>
      </c>
      <c r="I19" s="184">
        <v>-6417.84</v>
      </c>
      <c r="J19" s="185">
        <v>0</v>
      </c>
      <c r="K19" s="186">
        <v>2.23333E-3</v>
      </c>
      <c r="L19" s="184">
        <f t="shared" si="0"/>
        <v>0</v>
      </c>
      <c r="M19" s="184">
        <f t="shared" si="1"/>
        <v>-172</v>
      </c>
    </row>
    <row r="20" spans="1:13">
      <c r="A20" s="183" t="s">
        <v>1942</v>
      </c>
      <c r="B20" s="111" t="s">
        <v>196</v>
      </c>
      <c r="C20" s="111" t="s">
        <v>195</v>
      </c>
      <c r="D20" s="183" t="s">
        <v>1674</v>
      </c>
      <c r="E20" s="111" t="s">
        <v>198</v>
      </c>
      <c r="F20" s="183" t="s">
        <v>1610</v>
      </c>
      <c r="G20" s="111" t="s">
        <v>2127</v>
      </c>
      <c r="H20" s="111">
        <v>201604</v>
      </c>
      <c r="I20" s="184">
        <v>-3579.29</v>
      </c>
      <c r="J20" s="185">
        <v>0</v>
      </c>
      <c r="K20" s="186">
        <v>2.23333E-3</v>
      </c>
      <c r="L20" s="184">
        <f t="shared" si="0"/>
        <v>0</v>
      </c>
      <c r="M20" s="184">
        <f t="shared" si="1"/>
        <v>-95.92</v>
      </c>
    </row>
    <row r="21" spans="1:13">
      <c r="A21" s="183" t="s">
        <v>14</v>
      </c>
      <c r="B21" s="111" t="s">
        <v>196</v>
      </c>
      <c r="C21" s="111" t="s">
        <v>195</v>
      </c>
      <c r="D21" s="183" t="s">
        <v>1674</v>
      </c>
      <c r="E21" s="111" t="s">
        <v>198</v>
      </c>
      <c r="F21" s="183" t="s">
        <v>1610</v>
      </c>
      <c r="G21" s="111" t="s">
        <v>2127</v>
      </c>
      <c r="H21" s="111">
        <v>201605</v>
      </c>
      <c r="I21" s="184">
        <v>-14956.19</v>
      </c>
      <c r="J21" s="185">
        <v>0</v>
      </c>
      <c r="K21" s="186">
        <v>2.23333E-3</v>
      </c>
      <c r="L21" s="184">
        <f t="shared" si="0"/>
        <v>0</v>
      </c>
      <c r="M21" s="184">
        <f t="shared" si="1"/>
        <v>-400.83</v>
      </c>
    </row>
    <row r="22" spans="1:13">
      <c r="A22" s="183" t="s">
        <v>1942</v>
      </c>
      <c r="B22" s="111" t="s">
        <v>196</v>
      </c>
      <c r="C22" s="111" t="s">
        <v>195</v>
      </c>
      <c r="D22" s="183" t="s">
        <v>1674</v>
      </c>
      <c r="E22" s="111" t="s">
        <v>198</v>
      </c>
      <c r="F22" s="183" t="s">
        <v>1610</v>
      </c>
      <c r="G22" s="111" t="s">
        <v>2127</v>
      </c>
      <c r="H22" s="111">
        <v>201605</v>
      </c>
      <c r="I22" s="184">
        <v>-12127.44</v>
      </c>
      <c r="J22" s="185">
        <v>0</v>
      </c>
      <c r="K22" s="186">
        <v>2.23333E-3</v>
      </c>
      <c r="L22" s="184">
        <f t="shared" si="0"/>
        <v>0</v>
      </c>
      <c r="M22" s="184">
        <f t="shared" si="1"/>
        <v>-325.01</v>
      </c>
    </row>
    <row r="23" spans="1:13">
      <c r="A23" s="183" t="s">
        <v>14</v>
      </c>
      <c r="B23" s="111" t="s">
        <v>196</v>
      </c>
      <c r="C23" s="111" t="s">
        <v>195</v>
      </c>
      <c r="D23" s="183" t="s">
        <v>1674</v>
      </c>
      <c r="E23" s="111" t="s">
        <v>198</v>
      </c>
      <c r="F23" s="183" t="s">
        <v>1610</v>
      </c>
      <c r="G23" s="111" t="s">
        <v>2127</v>
      </c>
      <c r="H23" s="111">
        <v>201606</v>
      </c>
      <c r="I23" s="184">
        <v>-9933.6299999999992</v>
      </c>
      <c r="J23" s="185">
        <v>0</v>
      </c>
      <c r="K23" s="186">
        <v>2.23333E-3</v>
      </c>
      <c r="L23" s="184">
        <f t="shared" si="0"/>
        <v>0</v>
      </c>
      <c r="M23" s="184">
        <f t="shared" si="1"/>
        <v>-266.22000000000003</v>
      </c>
    </row>
    <row r="24" spans="1:13">
      <c r="A24" s="183" t="s">
        <v>1942</v>
      </c>
      <c r="B24" s="111" t="s">
        <v>196</v>
      </c>
      <c r="C24" s="111" t="s">
        <v>195</v>
      </c>
      <c r="D24" s="183" t="s">
        <v>1674</v>
      </c>
      <c r="E24" s="111" t="s">
        <v>198</v>
      </c>
      <c r="F24" s="183" t="s">
        <v>1610</v>
      </c>
      <c r="G24" s="111" t="s">
        <v>2127</v>
      </c>
      <c r="H24" s="111">
        <v>201606</v>
      </c>
      <c r="I24" s="184">
        <v>-3659.21</v>
      </c>
      <c r="J24" s="185">
        <v>0</v>
      </c>
      <c r="K24" s="186">
        <v>2.23333E-3</v>
      </c>
      <c r="L24" s="184">
        <f t="shared" si="0"/>
        <v>0</v>
      </c>
      <c r="M24" s="184">
        <f t="shared" si="1"/>
        <v>-98.07</v>
      </c>
    </row>
    <row r="25" spans="1:13">
      <c r="A25" s="183" t="s">
        <v>21</v>
      </c>
      <c r="B25" s="111" t="s">
        <v>2128</v>
      </c>
      <c r="C25" s="111" t="s">
        <v>2129</v>
      </c>
      <c r="D25" s="183" t="s">
        <v>2130</v>
      </c>
      <c r="E25" s="111" t="s">
        <v>280</v>
      </c>
      <c r="F25" s="183" t="s">
        <v>26</v>
      </c>
      <c r="G25" s="111" t="s">
        <v>2127</v>
      </c>
      <c r="H25" s="111">
        <v>201604</v>
      </c>
      <c r="I25" s="184">
        <v>-396.9</v>
      </c>
      <c r="J25" s="185">
        <v>0</v>
      </c>
      <c r="K25" s="186">
        <v>1.4833299999999999E-3</v>
      </c>
      <c r="L25" s="184">
        <f t="shared" si="0"/>
        <v>0</v>
      </c>
      <c r="M25" s="184">
        <f t="shared" si="1"/>
        <v>-7.06</v>
      </c>
    </row>
    <row r="26" spans="1:13">
      <c r="A26" s="183" t="s">
        <v>554</v>
      </c>
      <c r="B26" s="111" t="s">
        <v>2128</v>
      </c>
      <c r="C26" s="111" t="s">
        <v>2129</v>
      </c>
      <c r="D26" s="183" t="s">
        <v>2130</v>
      </c>
      <c r="E26" s="111" t="s">
        <v>280</v>
      </c>
      <c r="F26" s="183" t="s">
        <v>26</v>
      </c>
      <c r="G26" s="111" t="s">
        <v>2127</v>
      </c>
      <c r="H26" s="111">
        <v>201604</v>
      </c>
      <c r="I26" s="184">
        <v>-0.25</v>
      </c>
      <c r="J26" s="185">
        <v>0</v>
      </c>
      <c r="K26" s="186">
        <v>1.4833299999999999E-3</v>
      </c>
      <c r="L26" s="184">
        <f t="shared" si="0"/>
        <v>0</v>
      </c>
      <c r="M26" s="184">
        <f t="shared" si="1"/>
        <v>0</v>
      </c>
    </row>
    <row r="27" spans="1:13">
      <c r="A27" s="183" t="s">
        <v>626</v>
      </c>
      <c r="B27" s="111" t="s">
        <v>1737</v>
      </c>
      <c r="C27" s="111" t="s">
        <v>1736</v>
      </c>
      <c r="D27" s="183" t="s">
        <v>1738</v>
      </c>
      <c r="E27" s="111" t="s">
        <v>164</v>
      </c>
      <c r="F27" s="183" t="s">
        <v>1600</v>
      </c>
      <c r="G27" s="111" t="s">
        <v>2127</v>
      </c>
      <c r="H27" s="111">
        <v>201605</v>
      </c>
      <c r="I27" s="184">
        <v>-4011.6</v>
      </c>
      <c r="J27" s="185">
        <v>0</v>
      </c>
      <c r="K27" s="186">
        <v>1.4833299999999999E-3</v>
      </c>
      <c r="L27" s="184">
        <f t="shared" si="0"/>
        <v>0</v>
      </c>
      <c r="M27" s="184">
        <f t="shared" si="1"/>
        <v>-71.41</v>
      </c>
    </row>
    <row r="28" spans="1:13">
      <c r="A28" s="183" t="s">
        <v>21</v>
      </c>
      <c r="B28" s="111" t="s">
        <v>2040</v>
      </c>
      <c r="C28" s="111" t="s">
        <v>2039</v>
      </c>
      <c r="D28" s="183" t="s">
        <v>2041</v>
      </c>
      <c r="E28" s="111" t="s">
        <v>497</v>
      </c>
      <c r="F28" s="183" t="s">
        <v>26</v>
      </c>
      <c r="G28" s="111" t="s">
        <v>2127</v>
      </c>
      <c r="H28" s="111">
        <v>201605</v>
      </c>
      <c r="I28" s="184">
        <v>-3647.47</v>
      </c>
      <c r="J28" s="185">
        <v>0</v>
      </c>
      <c r="K28" s="186">
        <v>1.4833299999999999E-3</v>
      </c>
      <c r="L28" s="184">
        <f t="shared" si="0"/>
        <v>0</v>
      </c>
      <c r="M28" s="184">
        <f t="shared" si="1"/>
        <v>-64.92</v>
      </c>
    </row>
    <row r="29" spans="1:13">
      <c r="A29" s="183" t="s">
        <v>626</v>
      </c>
      <c r="B29" s="111" t="s">
        <v>2040</v>
      </c>
      <c r="C29" s="111" t="s">
        <v>2039</v>
      </c>
      <c r="D29" s="183" t="s">
        <v>2041</v>
      </c>
      <c r="E29" s="111" t="s">
        <v>497</v>
      </c>
      <c r="F29" s="183" t="s">
        <v>26</v>
      </c>
      <c r="G29" s="111" t="s">
        <v>2127</v>
      </c>
      <c r="H29" s="111">
        <v>201605</v>
      </c>
      <c r="I29" s="184">
        <v>-134.62</v>
      </c>
      <c r="J29" s="185">
        <v>0</v>
      </c>
      <c r="K29" s="186">
        <v>1.4833299999999999E-3</v>
      </c>
      <c r="L29" s="184">
        <f t="shared" si="0"/>
        <v>0</v>
      </c>
      <c r="M29" s="184">
        <f t="shared" si="1"/>
        <v>-2.4</v>
      </c>
    </row>
    <row r="30" spans="1:13">
      <c r="A30" s="183" t="s">
        <v>626</v>
      </c>
      <c r="B30" s="111" t="s">
        <v>2034</v>
      </c>
      <c r="C30" s="111" t="s">
        <v>2033</v>
      </c>
      <c r="D30" s="183" t="s">
        <v>2035</v>
      </c>
      <c r="E30" s="111" t="s">
        <v>497</v>
      </c>
      <c r="F30" s="183" t="s">
        <v>26</v>
      </c>
      <c r="G30" s="111" t="s">
        <v>2127</v>
      </c>
      <c r="H30" s="111">
        <v>201606</v>
      </c>
      <c r="I30" s="184">
        <v>-2839.27</v>
      </c>
      <c r="J30" s="185">
        <v>0</v>
      </c>
      <c r="K30" s="186">
        <v>1.4833299999999999E-3</v>
      </c>
      <c r="L30" s="184">
        <f t="shared" si="0"/>
        <v>0</v>
      </c>
      <c r="M30" s="184">
        <f t="shared" si="1"/>
        <v>-50.54</v>
      </c>
    </row>
    <row r="31" spans="1:13">
      <c r="A31" s="183" t="s">
        <v>21</v>
      </c>
      <c r="B31" s="111" t="s">
        <v>2034</v>
      </c>
      <c r="C31" s="111" t="s">
        <v>2033</v>
      </c>
      <c r="D31" s="183" t="s">
        <v>2035</v>
      </c>
      <c r="E31" s="111" t="s">
        <v>497</v>
      </c>
      <c r="F31" s="183" t="s">
        <v>26</v>
      </c>
      <c r="G31" s="111" t="s">
        <v>2127</v>
      </c>
      <c r="H31" s="111">
        <v>201606</v>
      </c>
      <c r="I31" s="184">
        <v>-968.03</v>
      </c>
      <c r="J31" s="185">
        <v>0</v>
      </c>
      <c r="K31" s="186">
        <v>1.4833299999999999E-3</v>
      </c>
      <c r="L31" s="184">
        <f t="shared" si="0"/>
        <v>0</v>
      </c>
      <c r="M31" s="184">
        <f t="shared" si="1"/>
        <v>-17.23</v>
      </c>
    </row>
    <row r="32" spans="1:13">
      <c r="A32" s="183" t="s">
        <v>626</v>
      </c>
      <c r="B32" s="111" t="s">
        <v>2037</v>
      </c>
      <c r="C32" s="111" t="s">
        <v>2036</v>
      </c>
      <c r="D32" s="183" t="s">
        <v>2038</v>
      </c>
      <c r="E32" s="111" t="s">
        <v>160</v>
      </c>
      <c r="F32" s="183" t="s">
        <v>19</v>
      </c>
      <c r="G32" s="111" t="s">
        <v>2127</v>
      </c>
      <c r="H32" s="111">
        <v>201604</v>
      </c>
      <c r="I32" s="184">
        <v>-19383.79</v>
      </c>
      <c r="J32" s="185">
        <v>0</v>
      </c>
      <c r="K32" s="186">
        <v>1.4833299999999999E-3</v>
      </c>
      <c r="L32" s="184">
        <f t="shared" si="0"/>
        <v>0</v>
      </c>
      <c r="M32" s="184">
        <f t="shared" si="1"/>
        <v>-345.03</v>
      </c>
    </row>
    <row r="33" spans="1:13">
      <c r="A33" s="183" t="s">
        <v>21</v>
      </c>
      <c r="B33" s="111" t="s">
        <v>2037</v>
      </c>
      <c r="C33" s="111" t="s">
        <v>2036</v>
      </c>
      <c r="D33" s="183" t="s">
        <v>2038</v>
      </c>
      <c r="E33" s="111" t="s">
        <v>160</v>
      </c>
      <c r="F33" s="183" t="s">
        <v>19</v>
      </c>
      <c r="G33" s="111" t="s">
        <v>2127</v>
      </c>
      <c r="H33" s="111">
        <v>201604</v>
      </c>
      <c r="I33" s="184">
        <v>-1985.68</v>
      </c>
      <c r="J33" s="185">
        <v>0</v>
      </c>
      <c r="K33" s="186">
        <v>1.4833299999999999E-3</v>
      </c>
      <c r="L33" s="184">
        <f t="shared" si="0"/>
        <v>0</v>
      </c>
      <c r="M33" s="184">
        <f t="shared" si="1"/>
        <v>-35.35</v>
      </c>
    </row>
    <row r="34" spans="1:13">
      <c r="A34" s="183" t="s">
        <v>21</v>
      </c>
      <c r="B34" s="111" t="s">
        <v>1992</v>
      </c>
      <c r="C34" s="111" t="s">
        <v>1991</v>
      </c>
      <c r="D34" s="183" t="s">
        <v>1993</v>
      </c>
      <c r="E34" s="111" t="s">
        <v>497</v>
      </c>
      <c r="F34" s="183" t="s">
        <v>26</v>
      </c>
      <c r="G34" s="111" t="s">
        <v>2127</v>
      </c>
      <c r="H34" s="111">
        <v>201604</v>
      </c>
      <c r="I34" s="184">
        <v>-4702.07</v>
      </c>
      <c r="J34" s="185">
        <v>0</v>
      </c>
      <c r="K34" s="186">
        <v>1.4833299999999999E-3</v>
      </c>
      <c r="L34" s="184">
        <f t="shared" si="0"/>
        <v>0</v>
      </c>
      <c r="M34" s="184">
        <f t="shared" si="1"/>
        <v>-83.7</v>
      </c>
    </row>
    <row r="35" spans="1:13">
      <c r="A35" s="183" t="s">
        <v>626</v>
      </c>
      <c r="B35" s="111" t="s">
        <v>1992</v>
      </c>
      <c r="C35" s="111" t="s">
        <v>1991</v>
      </c>
      <c r="D35" s="183" t="s">
        <v>1993</v>
      </c>
      <c r="E35" s="111" t="s">
        <v>497</v>
      </c>
      <c r="F35" s="183" t="s">
        <v>26</v>
      </c>
      <c r="G35" s="111" t="s">
        <v>2127</v>
      </c>
      <c r="H35" s="111">
        <v>201604</v>
      </c>
      <c r="I35" s="184">
        <v>-1087.05</v>
      </c>
      <c r="J35" s="185">
        <v>0</v>
      </c>
      <c r="K35" s="186">
        <v>1.4833299999999999E-3</v>
      </c>
      <c r="L35" s="184">
        <f t="shared" si="0"/>
        <v>0</v>
      </c>
      <c r="M35" s="184">
        <f t="shared" si="1"/>
        <v>-19.350000000000001</v>
      </c>
    </row>
    <row r="36" spans="1:13">
      <c r="A36" s="183" t="s">
        <v>626</v>
      </c>
      <c r="B36" s="111" t="s">
        <v>2031</v>
      </c>
      <c r="C36" s="111" t="s">
        <v>2030</v>
      </c>
      <c r="D36" s="183" t="s">
        <v>2032</v>
      </c>
      <c r="E36" s="111" t="s">
        <v>497</v>
      </c>
      <c r="F36" s="183" t="s">
        <v>26</v>
      </c>
      <c r="G36" s="111" t="s">
        <v>2127</v>
      </c>
      <c r="H36" s="111">
        <v>201605</v>
      </c>
      <c r="I36" s="184">
        <v>-2918.2</v>
      </c>
      <c r="J36" s="185">
        <v>0</v>
      </c>
      <c r="K36" s="186">
        <v>1.4833299999999999E-3</v>
      </c>
      <c r="L36" s="184">
        <f t="shared" si="0"/>
        <v>0</v>
      </c>
      <c r="M36" s="184">
        <f t="shared" si="1"/>
        <v>-51.94</v>
      </c>
    </row>
    <row r="37" spans="1:13">
      <c r="A37" s="183" t="s">
        <v>21</v>
      </c>
      <c r="B37" s="111" t="s">
        <v>2031</v>
      </c>
      <c r="C37" s="111" t="s">
        <v>2030</v>
      </c>
      <c r="D37" s="183" t="s">
        <v>2032</v>
      </c>
      <c r="E37" s="111" t="s">
        <v>497</v>
      </c>
      <c r="F37" s="183" t="s">
        <v>26</v>
      </c>
      <c r="G37" s="111" t="s">
        <v>2127</v>
      </c>
      <c r="H37" s="111">
        <v>201605</v>
      </c>
      <c r="I37" s="184">
        <v>-26.12</v>
      </c>
      <c r="J37" s="185">
        <v>0</v>
      </c>
      <c r="K37" s="186">
        <v>1.4833299999999999E-3</v>
      </c>
      <c r="L37" s="184">
        <f t="shared" si="0"/>
        <v>0</v>
      </c>
      <c r="M37" s="184">
        <f t="shared" si="1"/>
        <v>-0.46</v>
      </c>
    </row>
    <row r="38" spans="1:13">
      <c r="A38" s="183" t="s">
        <v>14</v>
      </c>
      <c r="B38" s="111" t="s">
        <v>293</v>
      </c>
      <c r="C38" s="111" t="s">
        <v>292</v>
      </c>
      <c r="D38" s="183" t="s">
        <v>1679</v>
      </c>
      <c r="E38" s="111" t="s">
        <v>294</v>
      </c>
      <c r="F38" s="183" t="s">
        <v>1613</v>
      </c>
      <c r="G38" s="111" t="s">
        <v>2127</v>
      </c>
      <c r="H38" s="111">
        <v>201603</v>
      </c>
      <c r="I38" s="184">
        <v>-3495.23</v>
      </c>
      <c r="J38" s="185">
        <v>0</v>
      </c>
      <c r="K38" s="186">
        <v>2.23333E-3</v>
      </c>
      <c r="L38" s="184">
        <f t="shared" si="0"/>
        <v>0</v>
      </c>
      <c r="M38" s="184">
        <f t="shared" si="1"/>
        <v>-93.67</v>
      </c>
    </row>
    <row r="39" spans="1:13">
      <c r="A39" s="183" t="s">
        <v>1942</v>
      </c>
      <c r="B39" s="111" t="s">
        <v>293</v>
      </c>
      <c r="C39" s="111" t="s">
        <v>292</v>
      </c>
      <c r="D39" s="183" t="s">
        <v>1679</v>
      </c>
      <c r="E39" s="111" t="s">
        <v>294</v>
      </c>
      <c r="F39" s="183" t="s">
        <v>1613</v>
      </c>
      <c r="G39" s="111" t="s">
        <v>2127</v>
      </c>
      <c r="H39" s="111">
        <v>201603</v>
      </c>
      <c r="I39" s="184">
        <v>-19.75</v>
      </c>
      <c r="J39" s="185">
        <v>0</v>
      </c>
      <c r="K39" s="186">
        <v>2.23333E-3</v>
      </c>
      <c r="L39" s="184">
        <f t="shared" si="0"/>
        <v>0</v>
      </c>
      <c r="M39" s="184">
        <f t="shared" si="1"/>
        <v>-0.53</v>
      </c>
    </row>
    <row r="40" spans="1:13">
      <c r="A40" s="183" t="s">
        <v>14</v>
      </c>
      <c r="B40" s="111" t="s">
        <v>293</v>
      </c>
      <c r="C40" s="111" t="s">
        <v>292</v>
      </c>
      <c r="D40" s="183" t="s">
        <v>1679</v>
      </c>
      <c r="E40" s="111" t="s">
        <v>294</v>
      </c>
      <c r="F40" s="183" t="s">
        <v>1613</v>
      </c>
      <c r="G40" s="111" t="s">
        <v>2127</v>
      </c>
      <c r="H40" s="111">
        <v>201604</v>
      </c>
      <c r="I40" s="184">
        <v>-3923.3</v>
      </c>
      <c r="J40" s="185">
        <v>0</v>
      </c>
      <c r="K40" s="186">
        <v>2.23333E-3</v>
      </c>
      <c r="L40" s="184">
        <f t="shared" si="0"/>
        <v>0</v>
      </c>
      <c r="M40" s="184">
        <f t="shared" si="1"/>
        <v>-105.14</v>
      </c>
    </row>
    <row r="41" spans="1:13">
      <c r="A41" s="183" t="s">
        <v>1942</v>
      </c>
      <c r="B41" s="111" t="s">
        <v>293</v>
      </c>
      <c r="C41" s="111" t="s">
        <v>292</v>
      </c>
      <c r="D41" s="183" t="s">
        <v>1679</v>
      </c>
      <c r="E41" s="111" t="s">
        <v>294</v>
      </c>
      <c r="F41" s="183" t="s">
        <v>1613</v>
      </c>
      <c r="G41" s="111" t="s">
        <v>2127</v>
      </c>
      <c r="H41" s="111">
        <v>201604</v>
      </c>
      <c r="I41" s="184">
        <v>-773.65</v>
      </c>
      <c r="J41" s="185">
        <v>0</v>
      </c>
      <c r="K41" s="186">
        <v>2.23333E-3</v>
      </c>
      <c r="L41" s="184">
        <f t="shared" si="0"/>
        <v>0</v>
      </c>
      <c r="M41" s="184">
        <f t="shared" si="1"/>
        <v>-20.73</v>
      </c>
    </row>
    <row r="42" spans="1:13">
      <c r="A42" s="183" t="s">
        <v>14</v>
      </c>
      <c r="B42" s="111" t="s">
        <v>293</v>
      </c>
      <c r="C42" s="111" t="s">
        <v>292</v>
      </c>
      <c r="D42" s="183" t="s">
        <v>1679</v>
      </c>
      <c r="E42" s="111" t="s">
        <v>294</v>
      </c>
      <c r="F42" s="183" t="s">
        <v>1613</v>
      </c>
      <c r="G42" s="111" t="s">
        <v>2127</v>
      </c>
      <c r="H42" s="111">
        <v>201605</v>
      </c>
      <c r="I42" s="184">
        <v>-3150.98</v>
      </c>
      <c r="J42" s="185">
        <v>0</v>
      </c>
      <c r="K42" s="186">
        <v>2.23333E-3</v>
      </c>
      <c r="L42" s="184">
        <f t="shared" si="0"/>
        <v>0</v>
      </c>
      <c r="M42" s="184">
        <f t="shared" si="1"/>
        <v>-84.45</v>
      </c>
    </row>
    <row r="43" spans="1:13">
      <c r="A43" s="183" t="s">
        <v>1942</v>
      </c>
      <c r="B43" s="111" t="s">
        <v>293</v>
      </c>
      <c r="C43" s="111" t="s">
        <v>292</v>
      </c>
      <c r="D43" s="183" t="s">
        <v>1679</v>
      </c>
      <c r="E43" s="111" t="s">
        <v>294</v>
      </c>
      <c r="F43" s="183" t="s">
        <v>1613</v>
      </c>
      <c r="G43" s="111" t="s">
        <v>2127</v>
      </c>
      <c r="H43" s="111">
        <v>201605</v>
      </c>
      <c r="I43" s="184">
        <v>-313</v>
      </c>
      <c r="J43" s="185">
        <v>0</v>
      </c>
      <c r="K43" s="186">
        <v>2.23333E-3</v>
      </c>
      <c r="L43" s="184">
        <f t="shared" si="0"/>
        <v>0</v>
      </c>
      <c r="M43" s="184">
        <f t="shared" si="1"/>
        <v>-8.39</v>
      </c>
    </row>
    <row r="44" spans="1:13">
      <c r="A44" s="183" t="s">
        <v>1942</v>
      </c>
      <c r="B44" s="111" t="s">
        <v>293</v>
      </c>
      <c r="C44" s="111" t="s">
        <v>292</v>
      </c>
      <c r="D44" s="183" t="s">
        <v>1679</v>
      </c>
      <c r="E44" s="111" t="s">
        <v>294</v>
      </c>
      <c r="F44" s="183" t="s">
        <v>1613</v>
      </c>
      <c r="G44" s="111" t="s">
        <v>2127</v>
      </c>
      <c r="H44" s="111">
        <v>201606</v>
      </c>
      <c r="I44" s="184">
        <v>-886.93</v>
      </c>
      <c r="J44" s="185">
        <v>0</v>
      </c>
      <c r="K44" s="186">
        <v>2.23333E-3</v>
      </c>
      <c r="L44" s="184">
        <f t="shared" si="0"/>
        <v>0</v>
      </c>
      <c r="M44" s="184">
        <f t="shared" si="1"/>
        <v>-23.77</v>
      </c>
    </row>
    <row r="45" spans="1:13">
      <c r="A45" s="183" t="s">
        <v>14</v>
      </c>
      <c r="B45" s="111" t="s">
        <v>293</v>
      </c>
      <c r="C45" s="111" t="s">
        <v>292</v>
      </c>
      <c r="D45" s="183" t="s">
        <v>1679</v>
      </c>
      <c r="E45" s="111" t="s">
        <v>294</v>
      </c>
      <c r="F45" s="183" t="s">
        <v>1613</v>
      </c>
      <c r="G45" s="111" t="s">
        <v>2127</v>
      </c>
      <c r="H45" s="111">
        <v>201606</v>
      </c>
      <c r="I45" s="184">
        <v>-863.62</v>
      </c>
      <c r="J45" s="185">
        <v>0</v>
      </c>
      <c r="K45" s="186">
        <v>2.23333E-3</v>
      </c>
      <c r="L45" s="184">
        <f t="shared" si="0"/>
        <v>0</v>
      </c>
      <c r="M45" s="184">
        <f t="shared" si="1"/>
        <v>-23.14</v>
      </c>
    </row>
    <row r="46" spans="1:13">
      <c r="A46" s="183" t="s">
        <v>21</v>
      </c>
      <c r="B46" s="111" t="s">
        <v>1827</v>
      </c>
      <c r="C46" s="111" t="s">
        <v>1826</v>
      </c>
      <c r="D46" s="183" t="s">
        <v>1828</v>
      </c>
      <c r="E46" s="111" t="s">
        <v>25</v>
      </c>
      <c r="F46" s="183" t="s">
        <v>26</v>
      </c>
      <c r="G46" s="111" t="s">
        <v>2127</v>
      </c>
      <c r="H46" s="111">
        <v>201604</v>
      </c>
      <c r="I46" s="184">
        <v>-2628.03</v>
      </c>
      <c r="J46" s="185">
        <v>0</v>
      </c>
      <c r="K46" s="186">
        <v>1.4833299999999999E-3</v>
      </c>
      <c r="L46" s="184">
        <f t="shared" si="0"/>
        <v>0</v>
      </c>
      <c r="M46" s="184">
        <f t="shared" si="1"/>
        <v>-46.78</v>
      </c>
    </row>
    <row r="47" spans="1:13">
      <c r="A47" s="183" t="s">
        <v>14</v>
      </c>
      <c r="B47" s="111" t="s">
        <v>201</v>
      </c>
      <c r="C47" s="111" t="s">
        <v>200</v>
      </c>
      <c r="D47" s="183" t="s">
        <v>1675</v>
      </c>
      <c r="E47" s="111" t="s">
        <v>202</v>
      </c>
      <c r="F47" s="183" t="s">
        <v>1611</v>
      </c>
      <c r="G47" s="111" t="s">
        <v>2127</v>
      </c>
      <c r="H47" s="111">
        <v>201603</v>
      </c>
      <c r="I47" s="184">
        <v>-21091.58</v>
      </c>
      <c r="J47" s="185">
        <v>0</v>
      </c>
      <c r="K47" s="186">
        <v>2.23333E-3</v>
      </c>
      <c r="L47" s="184">
        <f t="shared" si="0"/>
        <v>0</v>
      </c>
      <c r="M47" s="184">
        <f t="shared" si="1"/>
        <v>-565.25</v>
      </c>
    </row>
    <row r="48" spans="1:13">
      <c r="A48" s="183" t="s">
        <v>1942</v>
      </c>
      <c r="B48" s="111" t="s">
        <v>201</v>
      </c>
      <c r="C48" s="111" t="s">
        <v>200</v>
      </c>
      <c r="D48" s="183" t="s">
        <v>1675</v>
      </c>
      <c r="E48" s="111" t="s">
        <v>202</v>
      </c>
      <c r="F48" s="183" t="s">
        <v>1611</v>
      </c>
      <c r="G48" s="111" t="s">
        <v>2127</v>
      </c>
      <c r="H48" s="111">
        <v>201603</v>
      </c>
      <c r="I48" s="184">
        <v>-5323.16</v>
      </c>
      <c r="J48" s="185">
        <v>0</v>
      </c>
      <c r="K48" s="186">
        <v>2.23333E-3</v>
      </c>
      <c r="L48" s="184">
        <f t="shared" si="0"/>
        <v>0</v>
      </c>
      <c r="M48" s="184">
        <f t="shared" si="1"/>
        <v>-142.66</v>
      </c>
    </row>
    <row r="49" spans="1:13">
      <c r="A49" s="183" t="s">
        <v>14</v>
      </c>
      <c r="B49" s="111" t="s">
        <v>201</v>
      </c>
      <c r="C49" s="111" t="s">
        <v>200</v>
      </c>
      <c r="D49" s="183" t="s">
        <v>1675</v>
      </c>
      <c r="E49" s="111" t="s">
        <v>202</v>
      </c>
      <c r="F49" s="183" t="s">
        <v>1611</v>
      </c>
      <c r="G49" s="111" t="s">
        <v>2127</v>
      </c>
      <c r="H49" s="111">
        <v>201604</v>
      </c>
      <c r="I49" s="184">
        <v>-810.9</v>
      </c>
      <c r="J49" s="185">
        <v>0</v>
      </c>
      <c r="K49" s="186">
        <v>2.23333E-3</v>
      </c>
      <c r="L49" s="184">
        <f t="shared" si="0"/>
        <v>0</v>
      </c>
      <c r="M49" s="184">
        <f t="shared" si="1"/>
        <v>-21.73</v>
      </c>
    </row>
    <row r="50" spans="1:13">
      <c r="A50" s="183" t="s">
        <v>1942</v>
      </c>
      <c r="B50" s="111" t="s">
        <v>201</v>
      </c>
      <c r="C50" s="111" t="s">
        <v>200</v>
      </c>
      <c r="D50" s="183" t="s">
        <v>1675</v>
      </c>
      <c r="E50" s="111" t="s">
        <v>202</v>
      </c>
      <c r="F50" s="183" t="s">
        <v>1611</v>
      </c>
      <c r="G50" s="111" t="s">
        <v>2127</v>
      </c>
      <c r="H50" s="111">
        <v>201604</v>
      </c>
      <c r="I50" s="184">
        <v>-6.51</v>
      </c>
      <c r="J50" s="185">
        <v>0</v>
      </c>
      <c r="K50" s="186">
        <v>2.23333E-3</v>
      </c>
      <c r="L50" s="184">
        <f t="shared" si="0"/>
        <v>0</v>
      </c>
      <c r="M50" s="184">
        <f t="shared" si="1"/>
        <v>-0.17</v>
      </c>
    </row>
    <row r="51" spans="1:13">
      <c r="A51" s="183" t="s">
        <v>14</v>
      </c>
      <c r="B51" s="111" t="s">
        <v>201</v>
      </c>
      <c r="C51" s="111" t="s">
        <v>200</v>
      </c>
      <c r="D51" s="183" t="s">
        <v>1675</v>
      </c>
      <c r="E51" s="111" t="s">
        <v>202</v>
      </c>
      <c r="F51" s="183" t="s">
        <v>1611</v>
      </c>
      <c r="G51" s="111" t="s">
        <v>2127</v>
      </c>
      <c r="H51" s="111">
        <v>201605</v>
      </c>
      <c r="I51" s="184">
        <v>-4358.4399999999996</v>
      </c>
      <c r="J51" s="185">
        <v>0</v>
      </c>
      <c r="K51" s="186">
        <v>2.23333E-3</v>
      </c>
      <c r="L51" s="184">
        <f t="shared" si="0"/>
        <v>0</v>
      </c>
      <c r="M51" s="184">
        <f t="shared" si="1"/>
        <v>-116.81</v>
      </c>
    </row>
    <row r="52" spans="1:13">
      <c r="A52" s="183" t="s">
        <v>1942</v>
      </c>
      <c r="B52" s="111" t="s">
        <v>201</v>
      </c>
      <c r="C52" s="111" t="s">
        <v>200</v>
      </c>
      <c r="D52" s="183" t="s">
        <v>1675</v>
      </c>
      <c r="E52" s="111" t="s">
        <v>202</v>
      </c>
      <c r="F52" s="183" t="s">
        <v>1611</v>
      </c>
      <c r="G52" s="111" t="s">
        <v>2127</v>
      </c>
      <c r="H52" s="111">
        <v>201605</v>
      </c>
      <c r="I52" s="184">
        <v>-488.19</v>
      </c>
      <c r="J52" s="185">
        <v>0</v>
      </c>
      <c r="K52" s="186">
        <v>2.23333E-3</v>
      </c>
      <c r="L52" s="184">
        <f t="shared" si="0"/>
        <v>0</v>
      </c>
      <c r="M52" s="184">
        <f t="shared" si="1"/>
        <v>-13.08</v>
      </c>
    </row>
    <row r="53" spans="1:13">
      <c r="A53" s="183" t="s">
        <v>1942</v>
      </c>
      <c r="B53" s="111" t="s">
        <v>201</v>
      </c>
      <c r="C53" s="111" t="s">
        <v>200</v>
      </c>
      <c r="D53" s="183" t="s">
        <v>1675</v>
      </c>
      <c r="E53" s="111" t="s">
        <v>202</v>
      </c>
      <c r="F53" s="183" t="s">
        <v>1611</v>
      </c>
      <c r="G53" s="111" t="s">
        <v>2127</v>
      </c>
      <c r="H53" s="111">
        <v>201606</v>
      </c>
      <c r="I53" s="184">
        <v>-1977.68</v>
      </c>
      <c r="J53" s="185">
        <v>0</v>
      </c>
      <c r="K53" s="186">
        <v>2.23333E-3</v>
      </c>
      <c r="L53" s="184">
        <f t="shared" si="0"/>
        <v>0</v>
      </c>
      <c r="M53" s="184">
        <f t="shared" si="1"/>
        <v>-53</v>
      </c>
    </row>
    <row r="54" spans="1:13">
      <c r="A54" s="183" t="s">
        <v>14</v>
      </c>
      <c r="B54" s="111" t="s">
        <v>201</v>
      </c>
      <c r="C54" s="111" t="s">
        <v>200</v>
      </c>
      <c r="D54" s="183" t="s">
        <v>1675</v>
      </c>
      <c r="E54" s="111" t="s">
        <v>202</v>
      </c>
      <c r="F54" s="183" t="s">
        <v>1611</v>
      </c>
      <c r="G54" s="111" t="s">
        <v>2127</v>
      </c>
      <c r="H54" s="111">
        <v>201606</v>
      </c>
      <c r="I54" s="184">
        <v>-1600.67</v>
      </c>
      <c r="J54" s="185">
        <v>0</v>
      </c>
      <c r="K54" s="186">
        <v>2.23333E-3</v>
      </c>
      <c r="L54" s="184">
        <f t="shared" si="0"/>
        <v>0</v>
      </c>
      <c r="M54" s="184">
        <f t="shared" si="1"/>
        <v>-42.9</v>
      </c>
    </row>
    <row r="55" spans="1:13">
      <c r="A55" s="183" t="s">
        <v>21</v>
      </c>
      <c r="B55" s="111" t="s">
        <v>1801</v>
      </c>
      <c r="C55" s="111" t="s">
        <v>1800</v>
      </c>
      <c r="D55" s="183" t="s">
        <v>1802</v>
      </c>
      <c r="E55" s="111" t="s">
        <v>75</v>
      </c>
      <c r="F55" s="183" t="s">
        <v>1602</v>
      </c>
      <c r="G55" s="111" t="s">
        <v>2127</v>
      </c>
      <c r="H55" s="111">
        <v>201603</v>
      </c>
      <c r="I55" s="184">
        <v>-7132.72</v>
      </c>
      <c r="J55" s="185">
        <v>0</v>
      </c>
      <c r="K55" s="186">
        <v>1.4833299999999999E-3</v>
      </c>
      <c r="L55" s="184">
        <f t="shared" si="0"/>
        <v>0</v>
      </c>
      <c r="M55" s="184">
        <f t="shared" si="1"/>
        <v>-126.96</v>
      </c>
    </row>
    <row r="56" spans="1:13">
      <c r="A56" s="183" t="s">
        <v>21</v>
      </c>
      <c r="B56" s="111" t="s">
        <v>2049</v>
      </c>
      <c r="C56" s="111" t="s">
        <v>2048</v>
      </c>
      <c r="D56" s="183" t="s">
        <v>2050</v>
      </c>
      <c r="E56" s="111" t="s">
        <v>75</v>
      </c>
      <c r="F56" s="183" t="s">
        <v>1602</v>
      </c>
      <c r="G56" s="111" t="s">
        <v>2127</v>
      </c>
      <c r="H56" s="111">
        <v>201606</v>
      </c>
      <c r="I56" s="184">
        <v>-1884.2</v>
      </c>
      <c r="J56" s="185">
        <v>0</v>
      </c>
      <c r="K56" s="186">
        <v>1.4833299999999999E-3</v>
      </c>
      <c r="L56" s="184">
        <f t="shared" si="0"/>
        <v>0</v>
      </c>
      <c r="M56" s="184">
        <f t="shared" si="1"/>
        <v>-33.54</v>
      </c>
    </row>
    <row r="57" spans="1:13">
      <c r="A57" s="183" t="s">
        <v>21</v>
      </c>
      <c r="B57" s="111" t="s">
        <v>1810</v>
      </c>
      <c r="C57" s="111" t="s">
        <v>1809</v>
      </c>
      <c r="D57" s="187" t="s">
        <v>1323</v>
      </c>
      <c r="E57" s="111" t="s">
        <v>75</v>
      </c>
      <c r="F57" s="183" t="s">
        <v>1602</v>
      </c>
      <c r="G57" s="111" t="s">
        <v>2127</v>
      </c>
      <c r="H57" s="111">
        <v>201604</v>
      </c>
      <c r="I57" s="184">
        <v>-5092.8100000000004</v>
      </c>
      <c r="J57" s="185">
        <v>0</v>
      </c>
      <c r="K57" s="186">
        <v>1.4833299999999999E-3</v>
      </c>
      <c r="L57" s="184">
        <f t="shared" si="0"/>
        <v>0</v>
      </c>
      <c r="M57" s="184">
        <f t="shared" si="1"/>
        <v>-90.65</v>
      </c>
    </row>
    <row r="58" spans="1:13">
      <c r="A58" s="183" t="s">
        <v>21</v>
      </c>
      <c r="B58" s="111" t="s">
        <v>1982</v>
      </c>
      <c r="C58" s="111" t="s">
        <v>1981</v>
      </c>
      <c r="D58" s="183" t="s">
        <v>1983</v>
      </c>
      <c r="E58" s="111" t="s">
        <v>75</v>
      </c>
      <c r="F58" s="183" t="s">
        <v>1602</v>
      </c>
      <c r="G58" s="111" t="s">
        <v>2127</v>
      </c>
      <c r="H58" s="111">
        <v>201605</v>
      </c>
      <c r="I58" s="184">
        <v>-15564.19</v>
      </c>
      <c r="J58" s="185">
        <v>0</v>
      </c>
      <c r="K58" s="186">
        <v>1.4833299999999999E-3</v>
      </c>
      <c r="L58" s="184">
        <f t="shared" si="0"/>
        <v>0</v>
      </c>
      <c r="M58" s="184">
        <f t="shared" si="1"/>
        <v>-277.04000000000002</v>
      </c>
    </row>
    <row r="59" spans="1:13">
      <c r="A59" s="183" t="s">
        <v>626</v>
      </c>
      <c r="B59" s="111" t="s">
        <v>1982</v>
      </c>
      <c r="C59" s="111" t="s">
        <v>1981</v>
      </c>
      <c r="D59" s="183" t="s">
        <v>1983</v>
      </c>
      <c r="E59" s="111" t="s">
        <v>75</v>
      </c>
      <c r="F59" s="183" t="s">
        <v>1602</v>
      </c>
      <c r="G59" s="111" t="s">
        <v>2127</v>
      </c>
      <c r="H59" s="111">
        <v>201605</v>
      </c>
      <c r="I59" s="184">
        <v>-1190.48</v>
      </c>
      <c r="J59" s="185">
        <v>0</v>
      </c>
      <c r="K59" s="186">
        <v>1.4833299999999999E-3</v>
      </c>
      <c r="L59" s="184">
        <f t="shared" si="0"/>
        <v>0</v>
      </c>
      <c r="M59" s="184">
        <f t="shared" si="1"/>
        <v>-21.19</v>
      </c>
    </row>
    <row r="60" spans="1:13">
      <c r="A60" s="183" t="s">
        <v>21</v>
      </c>
      <c r="B60" s="111" t="s">
        <v>1668</v>
      </c>
      <c r="C60" s="111" t="s">
        <v>1667</v>
      </c>
      <c r="D60" s="183" t="s">
        <v>1651</v>
      </c>
      <c r="E60" s="111" t="s">
        <v>209</v>
      </c>
      <c r="F60" s="183" t="s">
        <v>1612</v>
      </c>
      <c r="G60" s="111" t="s">
        <v>2127</v>
      </c>
      <c r="H60" s="111">
        <v>201603</v>
      </c>
      <c r="I60" s="184">
        <v>-45.04</v>
      </c>
      <c r="J60" s="185">
        <v>0</v>
      </c>
      <c r="K60" s="186">
        <v>1.4833299999999999E-3</v>
      </c>
      <c r="L60" s="184">
        <f t="shared" si="0"/>
        <v>0</v>
      </c>
      <c r="M60" s="184">
        <f t="shared" si="1"/>
        <v>-0.8</v>
      </c>
    </row>
    <row r="61" spans="1:13">
      <c r="A61" s="183" t="s">
        <v>21</v>
      </c>
      <c r="B61" s="111" t="s">
        <v>1896</v>
      </c>
      <c r="C61" s="111" t="s">
        <v>1895</v>
      </c>
      <c r="D61" s="183" t="s">
        <v>1897</v>
      </c>
      <c r="E61" s="111" t="s">
        <v>79</v>
      </c>
      <c r="F61" s="183" t="s">
        <v>26</v>
      </c>
      <c r="G61" s="111" t="s">
        <v>2127</v>
      </c>
      <c r="H61" s="111">
        <v>201604</v>
      </c>
      <c r="I61" s="184">
        <v>-5505.91</v>
      </c>
      <c r="J61" s="185">
        <v>0</v>
      </c>
      <c r="K61" s="186">
        <v>1.4833299999999999E-3</v>
      </c>
      <c r="L61" s="184">
        <f t="shared" si="0"/>
        <v>0</v>
      </c>
      <c r="M61" s="184">
        <f t="shared" si="1"/>
        <v>-98</v>
      </c>
    </row>
    <row r="62" spans="1:13">
      <c r="A62" s="183" t="s">
        <v>21</v>
      </c>
      <c r="B62" s="111" t="s">
        <v>1665</v>
      </c>
      <c r="C62" s="111" t="s">
        <v>1664</v>
      </c>
      <c r="D62" s="183" t="s">
        <v>1666</v>
      </c>
      <c r="E62" s="111" t="s">
        <v>87</v>
      </c>
      <c r="F62" s="183" t="s">
        <v>1603</v>
      </c>
      <c r="G62" s="111" t="s">
        <v>2127</v>
      </c>
      <c r="H62" s="111">
        <v>201605</v>
      </c>
      <c r="I62" s="184">
        <v>-3235.55</v>
      </c>
      <c r="J62" s="185">
        <v>0</v>
      </c>
      <c r="K62" s="186">
        <v>1.4833299999999999E-3</v>
      </c>
      <c r="L62" s="184">
        <f t="shared" si="0"/>
        <v>0</v>
      </c>
      <c r="M62" s="184">
        <f t="shared" si="1"/>
        <v>-57.59</v>
      </c>
    </row>
    <row r="63" spans="1:13">
      <c r="A63" s="183" t="s">
        <v>1942</v>
      </c>
      <c r="B63" s="111" t="s">
        <v>1682</v>
      </c>
      <c r="C63" s="118" t="s">
        <v>1681</v>
      </c>
      <c r="D63" s="183" t="s">
        <v>1683</v>
      </c>
      <c r="E63" s="111" t="s">
        <v>198</v>
      </c>
      <c r="F63" s="183" t="s">
        <v>1610</v>
      </c>
      <c r="G63" s="111" t="s">
        <v>2127</v>
      </c>
      <c r="H63" s="111">
        <v>201603</v>
      </c>
      <c r="I63" s="184">
        <v>-30.31</v>
      </c>
      <c r="J63" s="185">
        <v>0</v>
      </c>
      <c r="K63" s="186">
        <v>2.23333E-3</v>
      </c>
      <c r="L63" s="184">
        <f t="shared" si="0"/>
        <v>0</v>
      </c>
      <c r="M63" s="184">
        <f t="shared" si="1"/>
        <v>-0.81</v>
      </c>
    </row>
    <row r="64" spans="1:13">
      <c r="A64" s="183" t="s">
        <v>1942</v>
      </c>
      <c r="B64" s="111" t="s">
        <v>1682</v>
      </c>
      <c r="C64" s="118" t="s">
        <v>1681</v>
      </c>
      <c r="D64" s="187" t="s">
        <v>1683</v>
      </c>
      <c r="E64" s="111" t="s">
        <v>198</v>
      </c>
      <c r="F64" s="183" t="s">
        <v>1610</v>
      </c>
      <c r="G64" s="111" t="s">
        <v>2127</v>
      </c>
      <c r="H64" s="111">
        <v>201604</v>
      </c>
      <c r="I64" s="184">
        <v>-1489.34</v>
      </c>
      <c r="J64" s="185">
        <v>0</v>
      </c>
      <c r="K64" s="186">
        <v>2.23333E-3</v>
      </c>
      <c r="L64" s="184">
        <f t="shared" si="0"/>
        <v>0</v>
      </c>
      <c r="M64" s="184">
        <f t="shared" si="1"/>
        <v>-39.909999999999997</v>
      </c>
    </row>
    <row r="65" spans="1:13">
      <c r="A65" s="183" t="s">
        <v>1942</v>
      </c>
      <c r="B65" s="111" t="s">
        <v>1682</v>
      </c>
      <c r="C65" s="118" t="s">
        <v>1681</v>
      </c>
      <c r="D65" s="183" t="s">
        <v>1683</v>
      </c>
      <c r="E65" s="111" t="s">
        <v>198</v>
      </c>
      <c r="F65" s="183" t="s">
        <v>1610</v>
      </c>
      <c r="G65" s="111" t="s">
        <v>2127</v>
      </c>
      <c r="H65" s="111">
        <v>201606</v>
      </c>
      <c r="I65" s="184">
        <v>-39.340000000000003</v>
      </c>
      <c r="J65" s="185">
        <v>0</v>
      </c>
      <c r="K65" s="186">
        <v>2.23333E-3</v>
      </c>
      <c r="L65" s="184">
        <f t="shared" si="0"/>
        <v>0</v>
      </c>
      <c r="M65" s="184">
        <f t="shared" si="1"/>
        <v>-1.05</v>
      </c>
    </row>
    <row r="66" spans="1:13">
      <c r="A66" s="183" t="s">
        <v>1942</v>
      </c>
      <c r="B66" s="111" t="s">
        <v>1943</v>
      </c>
      <c r="C66" s="118" t="s">
        <v>1681</v>
      </c>
      <c r="D66" s="187" t="s">
        <v>1944</v>
      </c>
      <c r="E66" s="111" t="s">
        <v>202</v>
      </c>
      <c r="F66" s="183" t="s">
        <v>1611</v>
      </c>
      <c r="G66" s="111" t="s">
        <v>2127</v>
      </c>
      <c r="H66" s="111">
        <v>201604</v>
      </c>
      <c r="I66" s="184">
        <v>-142.53</v>
      </c>
      <c r="J66" s="185">
        <v>0</v>
      </c>
      <c r="K66" s="186">
        <v>2.23333E-3</v>
      </c>
      <c r="L66" s="184">
        <f t="shared" si="0"/>
        <v>0</v>
      </c>
      <c r="M66" s="184">
        <f t="shared" si="1"/>
        <v>-3.82</v>
      </c>
    </row>
    <row r="67" spans="1:13">
      <c r="A67" s="183" t="s">
        <v>14</v>
      </c>
      <c r="B67" s="111" t="s">
        <v>1976</v>
      </c>
      <c r="C67" s="118" t="s">
        <v>1681</v>
      </c>
      <c r="D67" s="183" t="s">
        <v>1977</v>
      </c>
      <c r="E67" s="111" t="s">
        <v>294</v>
      </c>
      <c r="F67" s="183" t="s">
        <v>1613</v>
      </c>
      <c r="G67" s="111" t="s">
        <v>2127</v>
      </c>
      <c r="H67" s="111">
        <v>201604</v>
      </c>
      <c r="I67" s="184">
        <v>-879.45</v>
      </c>
      <c r="J67" s="185">
        <v>0</v>
      </c>
      <c r="K67" s="186">
        <v>2.23333E-3</v>
      </c>
      <c r="L67" s="184">
        <f t="shared" si="0"/>
        <v>0</v>
      </c>
      <c r="M67" s="184">
        <f t="shared" si="1"/>
        <v>-23.57</v>
      </c>
    </row>
    <row r="68" spans="1:13">
      <c r="A68" s="188" t="s">
        <v>1942</v>
      </c>
      <c r="B68" s="111" t="s">
        <v>1976</v>
      </c>
      <c r="C68" s="118" t="s">
        <v>1681</v>
      </c>
      <c r="D68" s="187" t="s">
        <v>1977</v>
      </c>
      <c r="E68" s="111" t="s">
        <v>294</v>
      </c>
      <c r="F68" s="183" t="s">
        <v>1613</v>
      </c>
      <c r="G68" s="111" t="s">
        <v>2127</v>
      </c>
      <c r="H68" s="111">
        <v>201605</v>
      </c>
      <c r="I68" s="184">
        <v>-655.27</v>
      </c>
      <c r="J68" s="185">
        <v>0</v>
      </c>
      <c r="K68" s="186">
        <v>2.23333E-3</v>
      </c>
      <c r="L68" s="184">
        <f t="shared" si="0"/>
        <v>0</v>
      </c>
      <c r="M68" s="184">
        <f t="shared" si="1"/>
        <v>-17.559999999999999</v>
      </c>
    </row>
    <row r="69" spans="1:13">
      <c r="A69" s="183" t="s">
        <v>14</v>
      </c>
      <c r="B69" s="111" t="s">
        <v>1976</v>
      </c>
      <c r="C69" s="118" t="s">
        <v>1681</v>
      </c>
      <c r="D69" s="183" t="s">
        <v>1977</v>
      </c>
      <c r="E69" s="111" t="s">
        <v>294</v>
      </c>
      <c r="F69" s="183" t="s">
        <v>1613</v>
      </c>
      <c r="G69" s="111" t="s">
        <v>2127</v>
      </c>
      <c r="H69" s="111">
        <v>201606</v>
      </c>
      <c r="I69" s="184">
        <v>-18.43</v>
      </c>
      <c r="J69" s="185">
        <v>0</v>
      </c>
      <c r="K69" s="186">
        <v>2.23333E-3</v>
      </c>
      <c r="L69" s="184">
        <f t="shared" ref="L69:L132" si="2">ROUND(I69*J69*K69,2)</f>
        <v>0</v>
      </c>
      <c r="M69" s="184">
        <f t="shared" ref="M69:M132" si="3">ROUND(I69*K69*12,2)</f>
        <v>-0.49</v>
      </c>
    </row>
    <row r="70" spans="1:13">
      <c r="A70" s="183" t="s">
        <v>14</v>
      </c>
      <c r="B70" s="111" t="s">
        <v>2131</v>
      </c>
      <c r="C70" s="118" t="s">
        <v>1681</v>
      </c>
      <c r="D70" s="183" t="s">
        <v>2132</v>
      </c>
      <c r="E70" s="111" t="s">
        <v>198</v>
      </c>
      <c r="F70" s="183" t="s">
        <v>1610</v>
      </c>
      <c r="G70" s="111" t="s">
        <v>2127</v>
      </c>
      <c r="H70" s="111">
        <v>201603</v>
      </c>
      <c r="I70" s="184">
        <v>-39848.97</v>
      </c>
      <c r="J70" s="185">
        <v>0</v>
      </c>
      <c r="K70" s="186">
        <v>2.23333E-3</v>
      </c>
      <c r="L70" s="184">
        <f t="shared" si="2"/>
        <v>0</v>
      </c>
      <c r="M70" s="184">
        <f t="shared" si="3"/>
        <v>-1067.95</v>
      </c>
    </row>
    <row r="71" spans="1:13">
      <c r="A71" s="183" t="s">
        <v>1942</v>
      </c>
      <c r="B71" s="111" t="s">
        <v>2131</v>
      </c>
      <c r="C71" s="118" t="s">
        <v>1681</v>
      </c>
      <c r="D71" s="183" t="s">
        <v>2132</v>
      </c>
      <c r="E71" s="111" t="s">
        <v>198</v>
      </c>
      <c r="F71" s="183" t="s">
        <v>1610</v>
      </c>
      <c r="G71" s="111" t="s">
        <v>2127</v>
      </c>
      <c r="H71" s="111">
        <v>201603</v>
      </c>
      <c r="I71" s="184">
        <v>-6056.31</v>
      </c>
      <c r="J71" s="185">
        <v>0</v>
      </c>
      <c r="K71" s="186">
        <v>2.23333E-3</v>
      </c>
      <c r="L71" s="184">
        <f t="shared" si="2"/>
        <v>0</v>
      </c>
      <c r="M71" s="184">
        <f t="shared" si="3"/>
        <v>-162.31</v>
      </c>
    </row>
    <row r="72" spans="1:13">
      <c r="A72" s="183" t="s">
        <v>14</v>
      </c>
      <c r="B72" s="111" t="s">
        <v>2131</v>
      </c>
      <c r="C72" s="118" t="s">
        <v>1681</v>
      </c>
      <c r="D72" s="183" t="s">
        <v>2132</v>
      </c>
      <c r="E72" s="111" t="s">
        <v>198</v>
      </c>
      <c r="F72" s="183" t="s">
        <v>1610</v>
      </c>
      <c r="G72" s="111" t="s">
        <v>2127</v>
      </c>
      <c r="H72" s="111">
        <v>201604</v>
      </c>
      <c r="I72" s="184">
        <v>-26145.7</v>
      </c>
      <c r="J72" s="185">
        <v>0</v>
      </c>
      <c r="K72" s="186">
        <v>2.23333E-3</v>
      </c>
      <c r="L72" s="184">
        <f t="shared" si="2"/>
        <v>0</v>
      </c>
      <c r="M72" s="184">
        <f t="shared" si="3"/>
        <v>-700.7</v>
      </c>
    </row>
    <row r="73" spans="1:13">
      <c r="A73" s="183" t="s">
        <v>1942</v>
      </c>
      <c r="B73" s="111" t="s">
        <v>2131</v>
      </c>
      <c r="C73" s="118" t="s">
        <v>1681</v>
      </c>
      <c r="D73" s="183" t="s">
        <v>2132</v>
      </c>
      <c r="E73" s="111" t="s">
        <v>198</v>
      </c>
      <c r="F73" s="183" t="s">
        <v>1610</v>
      </c>
      <c r="G73" s="111" t="s">
        <v>2127</v>
      </c>
      <c r="H73" s="111">
        <v>201604</v>
      </c>
      <c r="I73" s="184">
        <v>-2537.8200000000002</v>
      </c>
      <c r="J73" s="185">
        <v>0</v>
      </c>
      <c r="K73" s="186">
        <v>2.23333E-3</v>
      </c>
      <c r="L73" s="184">
        <f t="shared" si="2"/>
        <v>0</v>
      </c>
      <c r="M73" s="184">
        <f t="shared" si="3"/>
        <v>-68.010000000000005</v>
      </c>
    </row>
    <row r="74" spans="1:13">
      <c r="A74" s="183" t="s">
        <v>14</v>
      </c>
      <c r="B74" s="111" t="s">
        <v>2131</v>
      </c>
      <c r="C74" s="118" t="s">
        <v>1681</v>
      </c>
      <c r="D74" s="183" t="s">
        <v>2132</v>
      </c>
      <c r="E74" s="111" t="s">
        <v>198</v>
      </c>
      <c r="F74" s="183" t="s">
        <v>1610</v>
      </c>
      <c r="G74" s="111" t="s">
        <v>2127</v>
      </c>
      <c r="H74" s="111">
        <v>201605</v>
      </c>
      <c r="I74" s="184">
        <v>-45783.81</v>
      </c>
      <c r="J74" s="185">
        <v>0</v>
      </c>
      <c r="K74" s="186">
        <v>2.23333E-3</v>
      </c>
      <c r="L74" s="184">
        <f t="shared" si="2"/>
        <v>0</v>
      </c>
      <c r="M74" s="184">
        <f t="shared" si="3"/>
        <v>-1227</v>
      </c>
    </row>
    <row r="75" spans="1:13">
      <c r="A75" s="183" t="s">
        <v>1942</v>
      </c>
      <c r="B75" s="111" t="s">
        <v>2131</v>
      </c>
      <c r="C75" s="118" t="s">
        <v>1681</v>
      </c>
      <c r="D75" s="183" t="s">
        <v>2132</v>
      </c>
      <c r="E75" s="111" t="s">
        <v>198</v>
      </c>
      <c r="F75" s="183" t="s">
        <v>1610</v>
      </c>
      <c r="G75" s="111" t="s">
        <v>2127</v>
      </c>
      <c r="H75" s="111">
        <v>201605</v>
      </c>
      <c r="I75" s="184">
        <v>-4041.13</v>
      </c>
      <c r="J75" s="185">
        <v>0</v>
      </c>
      <c r="K75" s="186">
        <v>2.23333E-3</v>
      </c>
      <c r="L75" s="184">
        <f t="shared" si="2"/>
        <v>0</v>
      </c>
      <c r="M75" s="184">
        <f t="shared" si="3"/>
        <v>-108.3</v>
      </c>
    </row>
    <row r="76" spans="1:13">
      <c r="A76" s="183" t="s">
        <v>14</v>
      </c>
      <c r="B76" s="111" t="s">
        <v>2131</v>
      </c>
      <c r="C76" s="118" t="s">
        <v>1681</v>
      </c>
      <c r="D76" s="183" t="s">
        <v>2132</v>
      </c>
      <c r="E76" s="111" t="s">
        <v>198</v>
      </c>
      <c r="F76" s="183" t="s">
        <v>1610</v>
      </c>
      <c r="G76" s="111" t="s">
        <v>2127</v>
      </c>
      <c r="H76" s="111">
        <v>201606</v>
      </c>
      <c r="I76" s="184">
        <v>-35244.35</v>
      </c>
      <c r="J76" s="185">
        <v>0</v>
      </c>
      <c r="K76" s="186">
        <v>2.23333E-3</v>
      </c>
      <c r="L76" s="184">
        <f t="shared" si="2"/>
        <v>0</v>
      </c>
      <c r="M76" s="184">
        <f t="shared" si="3"/>
        <v>-944.55</v>
      </c>
    </row>
    <row r="77" spans="1:13">
      <c r="A77" s="183" t="s">
        <v>1942</v>
      </c>
      <c r="B77" s="111" t="s">
        <v>2131</v>
      </c>
      <c r="C77" s="118" t="s">
        <v>1681</v>
      </c>
      <c r="D77" s="183" t="s">
        <v>2132</v>
      </c>
      <c r="E77" s="111" t="s">
        <v>198</v>
      </c>
      <c r="F77" s="183" t="s">
        <v>1610</v>
      </c>
      <c r="G77" s="111" t="s">
        <v>2127</v>
      </c>
      <c r="H77" s="111">
        <v>201606</v>
      </c>
      <c r="I77" s="184">
        <v>-120.41</v>
      </c>
      <c r="J77" s="185">
        <v>0</v>
      </c>
      <c r="K77" s="186">
        <v>2.23333E-3</v>
      </c>
      <c r="L77" s="184">
        <f t="shared" si="2"/>
        <v>0</v>
      </c>
      <c r="M77" s="184">
        <f t="shared" si="3"/>
        <v>-3.23</v>
      </c>
    </row>
    <row r="78" spans="1:13">
      <c r="A78" s="183" t="s">
        <v>14</v>
      </c>
      <c r="B78" s="111" t="s">
        <v>2133</v>
      </c>
      <c r="C78" s="118" t="s">
        <v>1681</v>
      </c>
      <c r="D78" s="183" t="s">
        <v>2134</v>
      </c>
      <c r="E78" s="111" t="s">
        <v>202</v>
      </c>
      <c r="F78" s="183" t="s">
        <v>1611</v>
      </c>
      <c r="G78" s="111" t="s">
        <v>2127</v>
      </c>
      <c r="H78" s="111">
        <v>201603</v>
      </c>
      <c r="I78" s="184">
        <v>-27125.29</v>
      </c>
      <c r="J78" s="185">
        <v>0</v>
      </c>
      <c r="K78" s="186">
        <v>2.23333E-3</v>
      </c>
      <c r="L78" s="184">
        <f t="shared" si="2"/>
        <v>0</v>
      </c>
      <c r="M78" s="184">
        <f t="shared" si="3"/>
        <v>-726.96</v>
      </c>
    </row>
    <row r="79" spans="1:13">
      <c r="A79" s="183" t="s">
        <v>1942</v>
      </c>
      <c r="B79" s="111" t="s">
        <v>2133</v>
      </c>
      <c r="C79" s="118" t="s">
        <v>1681</v>
      </c>
      <c r="D79" s="183" t="s">
        <v>2134</v>
      </c>
      <c r="E79" s="111" t="s">
        <v>202</v>
      </c>
      <c r="F79" s="183" t="s">
        <v>1611</v>
      </c>
      <c r="G79" s="111" t="s">
        <v>2127</v>
      </c>
      <c r="H79" s="111">
        <v>201603</v>
      </c>
      <c r="I79" s="184">
        <v>-123.02</v>
      </c>
      <c r="J79" s="185">
        <v>0</v>
      </c>
      <c r="K79" s="186">
        <v>2.23333E-3</v>
      </c>
      <c r="L79" s="184">
        <f t="shared" si="2"/>
        <v>0</v>
      </c>
      <c r="M79" s="184">
        <f t="shared" si="3"/>
        <v>-3.3</v>
      </c>
    </row>
    <row r="80" spans="1:13">
      <c r="A80" s="183" t="s">
        <v>14</v>
      </c>
      <c r="B80" s="111" t="s">
        <v>2133</v>
      </c>
      <c r="C80" s="118" t="s">
        <v>1681</v>
      </c>
      <c r="D80" s="183" t="s">
        <v>2134</v>
      </c>
      <c r="E80" s="111" t="s">
        <v>202</v>
      </c>
      <c r="F80" s="183" t="s">
        <v>1611</v>
      </c>
      <c r="G80" s="111" t="s">
        <v>2127</v>
      </c>
      <c r="H80" s="111">
        <v>201604</v>
      </c>
      <c r="I80" s="184">
        <v>-8459.19</v>
      </c>
      <c r="J80" s="185">
        <v>0</v>
      </c>
      <c r="K80" s="186">
        <v>2.23333E-3</v>
      </c>
      <c r="L80" s="184">
        <f t="shared" si="2"/>
        <v>0</v>
      </c>
      <c r="M80" s="184">
        <f t="shared" si="3"/>
        <v>-226.71</v>
      </c>
    </row>
    <row r="81" spans="1:17">
      <c r="A81" s="183" t="s">
        <v>14</v>
      </c>
      <c r="B81" s="111" t="s">
        <v>2133</v>
      </c>
      <c r="C81" s="118" t="s">
        <v>1681</v>
      </c>
      <c r="D81" s="183" t="s">
        <v>2134</v>
      </c>
      <c r="E81" s="111" t="s">
        <v>202</v>
      </c>
      <c r="F81" s="183" t="s">
        <v>1611</v>
      </c>
      <c r="G81" s="111" t="s">
        <v>2127</v>
      </c>
      <c r="H81" s="111">
        <v>201605</v>
      </c>
      <c r="I81" s="184">
        <v>-24681.78</v>
      </c>
      <c r="J81" s="185">
        <v>0</v>
      </c>
      <c r="K81" s="186">
        <v>2.23333E-3</v>
      </c>
      <c r="L81" s="184">
        <f t="shared" si="2"/>
        <v>0</v>
      </c>
      <c r="M81" s="184">
        <f t="shared" si="3"/>
        <v>-661.47</v>
      </c>
    </row>
    <row r="82" spans="1:17">
      <c r="A82" s="183" t="s">
        <v>14</v>
      </c>
      <c r="B82" s="111" t="s">
        <v>2133</v>
      </c>
      <c r="C82" s="118" t="s">
        <v>1681</v>
      </c>
      <c r="D82" s="183" t="s">
        <v>2134</v>
      </c>
      <c r="E82" s="111" t="s">
        <v>202</v>
      </c>
      <c r="F82" s="183" t="s">
        <v>1611</v>
      </c>
      <c r="G82" s="111" t="s">
        <v>2127</v>
      </c>
      <c r="H82" s="111">
        <v>201606</v>
      </c>
      <c r="I82" s="184">
        <v>-20788.89</v>
      </c>
      <c r="J82" s="185">
        <v>0</v>
      </c>
      <c r="K82" s="186">
        <v>2.23333E-3</v>
      </c>
      <c r="L82" s="184">
        <f t="shared" si="2"/>
        <v>0</v>
      </c>
      <c r="M82" s="184">
        <f t="shared" si="3"/>
        <v>-557.14</v>
      </c>
    </row>
    <row r="83" spans="1:17">
      <c r="A83" s="183" t="s">
        <v>1942</v>
      </c>
      <c r="B83" s="111" t="s">
        <v>2133</v>
      </c>
      <c r="C83" s="118" t="s">
        <v>1681</v>
      </c>
      <c r="D83" s="183" t="s">
        <v>2134</v>
      </c>
      <c r="E83" s="111" t="s">
        <v>202</v>
      </c>
      <c r="F83" s="183" t="s">
        <v>1611</v>
      </c>
      <c r="G83" s="111" t="s">
        <v>2127</v>
      </c>
      <c r="H83" s="111">
        <v>201606</v>
      </c>
      <c r="I83" s="184">
        <v>-9.36</v>
      </c>
      <c r="J83" s="185">
        <v>0</v>
      </c>
      <c r="K83" s="186">
        <v>2.23333E-3</v>
      </c>
      <c r="L83" s="184">
        <f t="shared" si="2"/>
        <v>0</v>
      </c>
      <c r="M83" s="184">
        <f t="shared" si="3"/>
        <v>-0.25</v>
      </c>
    </row>
    <row r="84" spans="1:17">
      <c r="A84" s="183" t="s">
        <v>14</v>
      </c>
      <c r="B84" s="111" t="s">
        <v>2135</v>
      </c>
      <c r="C84" s="118" t="s">
        <v>1681</v>
      </c>
      <c r="D84" s="183" t="s">
        <v>2136</v>
      </c>
      <c r="E84" s="111" t="s">
        <v>294</v>
      </c>
      <c r="F84" s="183" t="s">
        <v>1613</v>
      </c>
      <c r="G84" s="111" t="s">
        <v>2127</v>
      </c>
      <c r="H84" s="111">
        <v>201603</v>
      </c>
      <c r="I84" s="184">
        <v>-10777.64</v>
      </c>
      <c r="J84" s="185">
        <v>0</v>
      </c>
      <c r="K84" s="186">
        <v>2.23333E-3</v>
      </c>
      <c r="L84" s="184">
        <f t="shared" si="2"/>
        <v>0</v>
      </c>
      <c r="M84" s="184">
        <f t="shared" si="3"/>
        <v>-288.83999999999997</v>
      </c>
    </row>
    <row r="85" spans="1:17">
      <c r="A85" s="183" t="s">
        <v>1942</v>
      </c>
      <c r="B85" s="111" t="s">
        <v>2135</v>
      </c>
      <c r="C85" s="118" t="s">
        <v>1681</v>
      </c>
      <c r="D85" s="183" t="s">
        <v>2136</v>
      </c>
      <c r="E85" s="111" t="s">
        <v>294</v>
      </c>
      <c r="F85" s="183" t="s">
        <v>1613</v>
      </c>
      <c r="G85" s="111" t="s">
        <v>2127</v>
      </c>
      <c r="H85" s="111">
        <v>201603</v>
      </c>
      <c r="I85" s="184">
        <v>-427.51</v>
      </c>
      <c r="J85" s="185">
        <v>0</v>
      </c>
      <c r="K85" s="186">
        <v>2.23333E-3</v>
      </c>
      <c r="L85" s="184">
        <f t="shared" si="2"/>
        <v>0</v>
      </c>
      <c r="M85" s="184">
        <f t="shared" si="3"/>
        <v>-11.46</v>
      </c>
    </row>
    <row r="86" spans="1:17">
      <c r="A86" s="183" t="s">
        <v>14</v>
      </c>
      <c r="B86" s="111" t="s">
        <v>2135</v>
      </c>
      <c r="C86" s="118" t="s">
        <v>1681</v>
      </c>
      <c r="D86" s="183" t="s">
        <v>2136</v>
      </c>
      <c r="E86" s="111" t="s">
        <v>294</v>
      </c>
      <c r="F86" s="183" t="s">
        <v>1613</v>
      </c>
      <c r="G86" s="111" t="s">
        <v>2127</v>
      </c>
      <c r="H86" s="111">
        <v>201604</v>
      </c>
      <c r="I86" s="184">
        <v>-28788.09</v>
      </c>
      <c r="J86" s="185">
        <v>0</v>
      </c>
      <c r="K86" s="186">
        <v>2.23333E-3</v>
      </c>
      <c r="L86" s="184">
        <f t="shared" si="2"/>
        <v>0</v>
      </c>
      <c r="M86" s="184">
        <f t="shared" si="3"/>
        <v>-771.52</v>
      </c>
    </row>
    <row r="87" spans="1:17">
      <c r="A87" s="183" t="s">
        <v>1942</v>
      </c>
      <c r="B87" s="111" t="s">
        <v>2135</v>
      </c>
      <c r="C87" s="118" t="s">
        <v>1681</v>
      </c>
      <c r="D87" s="183" t="s">
        <v>2136</v>
      </c>
      <c r="E87" s="111" t="s">
        <v>294</v>
      </c>
      <c r="F87" s="183" t="s">
        <v>1613</v>
      </c>
      <c r="G87" s="111" t="s">
        <v>2127</v>
      </c>
      <c r="H87" s="111">
        <v>201604</v>
      </c>
      <c r="I87" s="184">
        <v>-414.06</v>
      </c>
      <c r="J87" s="185">
        <v>0</v>
      </c>
      <c r="K87" s="186">
        <v>2.23333E-3</v>
      </c>
      <c r="L87" s="184">
        <f t="shared" si="2"/>
        <v>0</v>
      </c>
      <c r="M87" s="184">
        <f t="shared" si="3"/>
        <v>-11.1</v>
      </c>
    </row>
    <row r="88" spans="1:17">
      <c r="A88" s="183" t="s">
        <v>14</v>
      </c>
      <c r="B88" s="111" t="s">
        <v>2135</v>
      </c>
      <c r="C88" s="118" t="s">
        <v>1681</v>
      </c>
      <c r="D88" s="183" t="s">
        <v>2136</v>
      </c>
      <c r="E88" s="111" t="s">
        <v>294</v>
      </c>
      <c r="F88" s="183" t="s">
        <v>1613</v>
      </c>
      <c r="G88" s="111" t="s">
        <v>2127</v>
      </c>
      <c r="H88" s="111">
        <v>201605</v>
      </c>
      <c r="I88" s="184">
        <v>-15559.12</v>
      </c>
      <c r="J88" s="185">
        <v>0</v>
      </c>
      <c r="K88" s="186">
        <v>2.23333E-3</v>
      </c>
      <c r="L88" s="184">
        <f t="shared" si="2"/>
        <v>0</v>
      </c>
      <c r="M88" s="184">
        <f t="shared" si="3"/>
        <v>-416.98</v>
      </c>
    </row>
    <row r="89" spans="1:17">
      <c r="A89" s="183" t="s">
        <v>1942</v>
      </c>
      <c r="B89" s="111" t="s">
        <v>2135</v>
      </c>
      <c r="C89" s="118" t="s">
        <v>1681</v>
      </c>
      <c r="D89" s="183" t="s">
        <v>2136</v>
      </c>
      <c r="E89" s="111" t="s">
        <v>294</v>
      </c>
      <c r="F89" s="183" t="s">
        <v>1613</v>
      </c>
      <c r="G89" s="111" t="s">
        <v>2127</v>
      </c>
      <c r="H89" s="111">
        <v>201605</v>
      </c>
      <c r="I89" s="184">
        <v>-2694.68</v>
      </c>
      <c r="J89" s="185">
        <v>0</v>
      </c>
      <c r="K89" s="186">
        <v>2.23333E-3</v>
      </c>
      <c r="L89" s="184">
        <f t="shared" si="2"/>
        <v>0</v>
      </c>
      <c r="M89" s="184">
        <f t="shared" si="3"/>
        <v>-72.22</v>
      </c>
    </row>
    <row r="90" spans="1:17">
      <c r="A90" s="183" t="s">
        <v>14</v>
      </c>
      <c r="B90" s="111" t="s">
        <v>2135</v>
      </c>
      <c r="C90" s="118" t="s">
        <v>1681</v>
      </c>
      <c r="D90" s="183" t="s">
        <v>2136</v>
      </c>
      <c r="E90" s="111" t="s">
        <v>294</v>
      </c>
      <c r="F90" s="183" t="s">
        <v>1613</v>
      </c>
      <c r="G90" s="111" t="s">
        <v>2127</v>
      </c>
      <c r="H90" s="111">
        <v>201606</v>
      </c>
      <c r="I90" s="184">
        <v>-16744.560000000001</v>
      </c>
      <c r="J90" s="185">
        <v>0</v>
      </c>
      <c r="K90" s="186">
        <v>2.23333E-3</v>
      </c>
      <c r="L90" s="184">
        <f t="shared" si="2"/>
        <v>0</v>
      </c>
      <c r="M90" s="184">
        <f t="shared" si="3"/>
        <v>-448.75</v>
      </c>
    </row>
    <row r="91" spans="1:17">
      <c r="A91" s="183" t="s">
        <v>1942</v>
      </c>
      <c r="B91" s="111" t="s">
        <v>2135</v>
      </c>
      <c r="C91" s="118" t="s">
        <v>1681</v>
      </c>
      <c r="D91" s="183" t="s">
        <v>2136</v>
      </c>
      <c r="E91" s="111" t="s">
        <v>294</v>
      </c>
      <c r="F91" s="183" t="s">
        <v>1613</v>
      </c>
      <c r="G91" s="111" t="s">
        <v>2127</v>
      </c>
      <c r="H91" s="111">
        <v>201606</v>
      </c>
      <c r="I91" s="184">
        <v>-10.79</v>
      </c>
      <c r="J91" s="185">
        <v>0</v>
      </c>
      <c r="K91" s="186">
        <v>2.23333E-3</v>
      </c>
      <c r="L91" s="184">
        <f t="shared" si="2"/>
        <v>0</v>
      </c>
      <c r="M91" s="184">
        <f t="shared" si="3"/>
        <v>-0.28999999999999998</v>
      </c>
      <c r="Q91" s="306"/>
    </row>
    <row r="92" spans="1:17">
      <c r="A92" s="187" t="s">
        <v>626</v>
      </c>
      <c r="B92" s="111" t="s">
        <v>2065</v>
      </c>
      <c r="C92" s="118" t="s">
        <v>1681</v>
      </c>
      <c r="D92" s="187" t="s">
        <v>2066</v>
      </c>
      <c r="E92" s="189" t="s">
        <v>209</v>
      </c>
      <c r="F92" s="187" t="s">
        <v>1612</v>
      </c>
      <c r="G92" s="189" t="s">
        <v>2127</v>
      </c>
      <c r="H92" s="189">
        <v>201607</v>
      </c>
      <c r="I92" s="184">
        <v>-23528.66</v>
      </c>
      <c r="J92" s="185">
        <v>0</v>
      </c>
      <c r="K92" s="186">
        <v>1.4833299999999999E-3</v>
      </c>
      <c r="L92" s="184">
        <f t="shared" si="2"/>
        <v>0</v>
      </c>
      <c r="M92" s="184">
        <f t="shared" si="3"/>
        <v>-418.81</v>
      </c>
      <c r="Q92" s="306"/>
    </row>
    <row r="93" spans="1:17">
      <c r="A93" s="187" t="s">
        <v>14</v>
      </c>
      <c r="B93" s="111" t="s">
        <v>2131</v>
      </c>
      <c r="C93" s="118" t="s">
        <v>1681</v>
      </c>
      <c r="D93" s="187" t="s">
        <v>2132</v>
      </c>
      <c r="E93" s="189" t="s">
        <v>198</v>
      </c>
      <c r="F93" s="187" t="s">
        <v>1610</v>
      </c>
      <c r="G93" s="189" t="s">
        <v>2127</v>
      </c>
      <c r="H93" s="189">
        <v>201607</v>
      </c>
      <c r="I93" s="184">
        <v>-17192.78</v>
      </c>
      <c r="J93" s="185">
        <v>0</v>
      </c>
      <c r="K93" s="186">
        <v>2.23333E-3</v>
      </c>
      <c r="L93" s="184">
        <f t="shared" si="2"/>
        <v>0</v>
      </c>
      <c r="M93" s="184">
        <f t="shared" si="3"/>
        <v>-460.77</v>
      </c>
      <c r="Q93" s="307"/>
    </row>
    <row r="94" spans="1:17">
      <c r="A94" s="187" t="s">
        <v>14</v>
      </c>
      <c r="B94" s="111" t="s">
        <v>2133</v>
      </c>
      <c r="C94" s="118" t="s">
        <v>1681</v>
      </c>
      <c r="D94" s="187" t="s">
        <v>2134</v>
      </c>
      <c r="E94" s="189" t="s">
        <v>202</v>
      </c>
      <c r="F94" s="187" t="s">
        <v>1611</v>
      </c>
      <c r="G94" s="189" t="s">
        <v>2127</v>
      </c>
      <c r="H94" s="189">
        <v>201607</v>
      </c>
      <c r="I94" s="184">
        <v>-15339.3</v>
      </c>
      <c r="J94" s="185">
        <v>0</v>
      </c>
      <c r="K94" s="186">
        <v>2.23333E-3</v>
      </c>
      <c r="L94" s="184">
        <f t="shared" si="2"/>
        <v>0</v>
      </c>
      <c r="M94" s="184">
        <f t="shared" si="3"/>
        <v>-411.09</v>
      </c>
      <c r="Q94" s="306"/>
    </row>
    <row r="95" spans="1:17">
      <c r="A95" s="187" t="s">
        <v>14</v>
      </c>
      <c r="B95" s="111" t="s">
        <v>2135</v>
      </c>
      <c r="C95" s="118" t="s">
        <v>1681</v>
      </c>
      <c r="D95" s="187" t="s">
        <v>2136</v>
      </c>
      <c r="E95" s="189" t="s">
        <v>294</v>
      </c>
      <c r="F95" s="187" t="s">
        <v>1613</v>
      </c>
      <c r="G95" s="189" t="s">
        <v>2127</v>
      </c>
      <c r="H95" s="189">
        <v>201607</v>
      </c>
      <c r="I95" s="184">
        <v>-14731.92</v>
      </c>
      <c r="J95" s="185">
        <v>0</v>
      </c>
      <c r="K95" s="186">
        <v>2.23333E-3</v>
      </c>
      <c r="L95" s="184">
        <f t="shared" si="2"/>
        <v>0</v>
      </c>
      <c r="M95" s="184">
        <f t="shared" si="3"/>
        <v>-394.81</v>
      </c>
      <c r="Q95" s="308"/>
    </row>
    <row r="96" spans="1:17">
      <c r="A96" s="187" t="s">
        <v>14</v>
      </c>
      <c r="B96" s="111" t="s">
        <v>293</v>
      </c>
      <c r="C96" s="189" t="s">
        <v>292</v>
      </c>
      <c r="D96" s="187" t="s">
        <v>1679</v>
      </c>
      <c r="E96" s="189" t="s">
        <v>294</v>
      </c>
      <c r="F96" s="187" t="s">
        <v>1613</v>
      </c>
      <c r="G96" s="189" t="s">
        <v>2127</v>
      </c>
      <c r="H96" s="189">
        <v>201607</v>
      </c>
      <c r="I96" s="184">
        <v>-9159.32</v>
      </c>
      <c r="J96" s="185">
        <v>0</v>
      </c>
      <c r="K96" s="186">
        <v>2.23333E-3</v>
      </c>
      <c r="L96" s="184">
        <f t="shared" si="2"/>
        <v>0</v>
      </c>
      <c r="M96" s="184">
        <f t="shared" si="3"/>
        <v>-245.47</v>
      </c>
      <c r="Q96" s="306"/>
    </row>
    <row r="97" spans="1:17">
      <c r="A97" s="187" t="s">
        <v>14</v>
      </c>
      <c r="B97" s="111" t="s">
        <v>196</v>
      </c>
      <c r="C97" s="189" t="s">
        <v>195</v>
      </c>
      <c r="D97" s="187" t="s">
        <v>1674</v>
      </c>
      <c r="E97" s="189" t="s">
        <v>198</v>
      </c>
      <c r="F97" s="187" t="s">
        <v>1610</v>
      </c>
      <c r="G97" s="189" t="s">
        <v>2127</v>
      </c>
      <c r="H97" s="189">
        <v>201607</v>
      </c>
      <c r="I97" s="184">
        <v>-9135.92</v>
      </c>
      <c r="J97" s="185">
        <v>0</v>
      </c>
      <c r="K97" s="186">
        <v>2.23333E-3</v>
      </c>
      <c r="L97" s="184">
        <f t="shared" si="2"/>
        <v>0</v>
      </c>
      <c r="M97" s="184">
        <f t="shared" si="3"/>
        <v>-244.84</v>
      </c>
      <c r="Q97" s="309"/>
    </row>
    <row r="98" spans="1:17">
      <c r="A98" s="187" t="s">
        <v>1942</v>
      </c>
      <c r="B98" s="111" t="s">
        <v>196</v>
      </c>
      <c r="C98" s="189" t="s">
        <v>195</v>
      </c>
      <c r="D98" s="187" t="s">
        <v>1674</v>
      </c>
      <c r="E98" s="189" t="s">
        <v>198</v>
      </c>
      <c r="F98" s="187" t="s">
        <v>1610</v>
      </c>
      <c r="G98" s="189" t="s">
        <v>2127</v>
      </c>
      <c r="H98" s="189">
        <v>201607</v>
      </c>
      <c r="I98" s="184">
        <v>-7035.55</v>
      </c>
      <c r="J98" s="185">
        <v>0</v>
      </c>
      <c r="K98" s="186">
        <v>2.23333E-3</v>
      </c>
      <c r="L98" s="184">
        <f t="shared" si="2"/>
        <v>0</v>
      </c>
      <c r="M98" s="184">
        <f t="shared" si="3"/>
        <v>-188.55</v>
      </c>
    </row>
    <row r="99" spans="1:17">
      <c r="A99" s="187" t="s">
        <v>14</v>
      </c>
      <c r="B99" s="111" t="s">
        <v>2065</v>
      </c>
      <c r="C99" s="118" t="s">
        <v>1681</v>
      </c>
      <c r="D99" s="187" t="s">
        <v>2066</v>
      </c>
      <c r="E99" s="189" t="s">
        <v>209</v>
      </c>
      <c r="F99" s="187" t="s">
        <v>1612</v>
      </c>
      <c r="G99" s="189" t="s">
        <v>2127</v>
      </c>
      <c r="H99" s="189">
        <v>201607</v>
      </c>
      <c r="I99" s="184">
        <v>-2142.9499999999998</v>
      </c>
      <c r="J99" s="185">
        <v>0</v>
      </c>
      <c r="K99" s="186">
        <v>2.23333E-3</v>
      </c>
      <c r="L99" s="184">
        <f t="shared" si="2"/>
        <v>0</v>
      </c>
      <c r="M99" s="184">
        <f t="shared" si="3"/>
        <v>-57.43</v>
      </c>
    </row>
    <row r="100" spans="1:17">
      <c r="A100" s="187" t="s">
        <v>1942</v>
      </c>
      <c r="B100" s="111" t="s">
        <v>2133</v>
      </c>
      <c r="C100" s="118" t="s">
        <v>1681</v>
      </c>
      <c r="D100" s="187" t="s">
        <v>2134</v>
      </c>
      <c r="E100" s="189" t="s">
        <v>202</v>
      </c>
      <c r="F100" s="187" t="s">
        <v>1611</v>
      </c>
      <c r="G100" s="189" t="s">
        <v>2127</v>
      </c>
      <c r="H100" s="189">
        <v>201607</v>
      </c>
      <c r="I100" s="184">
        <v>-306.77</v>
      </c>
      <c r="J100" s="185">
        <v>0</v>
      </c>
      <c r="K100" s="186">
        <v>2.23333E-3</v>
      </c>
      <c r="L100" s="184">
        <f t="shared" si="2"/>
        <v>0</v>
      </c>
      <c r="M100" s="184">
        <f t="shared" si="3"/>
        <v>-8.2200000000000006</v>
      </c>
    </row>
    <row r="101" spans="1:17">
      <c r="A101" s="187" t="s">
        <v>1942</v>
      </c>
      <c r="B101" s="111" t="s">
        <v>293</v>
      </c>
      <c r="C101" s="189" t="s">
        <v>292</v>
      </c>
      <c r="D101" s="187" t="s">
        <v>1679</v>
      </c>
      <c r="E101" s="189" t="s">
        <v>294</v>
      </c>
      <c r="F101" s="187" t="s">
        <v>1613</v>
      </c>
      <c r="G101" s="189" t="s">
        <v>2127</v>
      </c>
      <c r="H101" s="189">
        <v>201607</v>
      </c>
      <c r="I101" s="184">
        <v>-193.19</v>
      </c>
      <c r="J101" s="185">
        <v>0</v>
      </c>
      <c r="K101" s="186">
        <v>2.23333E-3</v>
      </c>
      <c r="L101" s="184">
        <f t="shared" si="2"/>
        <v>0</v>
      </c>
      <c r="M101" s="184">
        <f t="shared" si="3"/>
        <v>-5.18</v>
      </c>
    </row>
    <row r="102" spans="1:17">
      <c r="A102" s="187" t="s">
        <v>1942</v>
      </c>
      <c r="B102" s="111" t="s">
        <v>2131</v>
      </c>
      <c r="C102" s="118" t="s">
        <v>1681</v>
      </c>
      <c r="D102" s="187" t="s">
        <v>2132</v>
      </c>
      <c r="E102" s="189" t="s">
        <v>198</v>
      </c>
      <c r="F102" s="187" t="s">
        <v>1610</v>
      </c>
      <c r="G102" s="189" t="s">
        <v>2127</v>
      </c>
      <c r="H102" s="189">
        <v>201607</v>
      </c>
      <c r="I102" s="184">
        <v>-166.38</v>
      </c>
      <c r="J102" s="185">
        <v>0</v>
      </c>
      <c r="K102" s="186">
        <v>2.23333E-3</v>
      </c>
      <c r="L102" s="184">
        <f t="shared" si="2"/>
        <v>0</v>
      </c>
      <c r="M102" s="184">
        <f t="shared" si="3"/>
        <v>-4.46</v>
      </c>
    </row>
    <row r="103" spans="1:17">
      <c r="A103" s="187" t="s">
        <v>21</v>
      </c>
      <c r="B103" s="111" t="s">
        <v>2052</v>
      </c>
      <c r="C103" s="189" t="s">
        <v>2051</v>
      </c>
      <c r="D103" s="187" t="s">
        <v>2053</v>
      </c>
      <c r="E103" s="189" t="s">
        <v>75</v>
      </c>
      <c r="F103" s="187" t="s">
        <v>1602</v>
      </c>
      <c r="G103" s="189" t="s">
        <v>2127</v>
      </c>
      <c r="H103" s="189">
        <v>201607</v>
      </c>
      <c r="I103" s="184">
        <v>-146.9</v>
      </c>
      <c r="J103" s="185">
        <v>0</v>
      </c>
      <c r="K103" s="186">
        <v>1.4833299999999999E-3</v>
      </c>
      <c r="L103" s="184">
        <f t="shared" si="2"/>
        <v>0</v>
      </c>
      <c r="M103" s="184">
        <f t="shared" si="3"/>
        <v>-2.61</v>
      </c>
    </row>
    <row r="104" spans="1:17">
      <c r="A104" s="187" t="s">
        <v>1942</v>
      </c>
      <c r="B104" s="111" t="s">
        <v>2135</v>
      </c>
      <c r="C104" s="118" t="s">
        <v>1681</v>
      </c>
      <c r="D104" s="187" t="s">
        <v>2136</v>
      </c>
      <c r="E104" s="189" t="s">
        <v>294</v>
      </c>
      <c r="F104" s="187" t="s">
        <v>1613</v>
      </c>
      <c r="G104" s="189" t="s">
        <v>2127</v>
      </c>
      <c r="H104" s="189">
        <v>201607</v>
      </c>
      <c r="I104" s="184">
        <v>-10.78</v>
      </c>
      <c r="J104" s="185">
        <v>0</v>
      </c>
      <c r="K104" s="186">
        <v>2.23333E-3</v>
      </c>
      <c r="L104" s="184">
        <f t="shared" si="2"/>
        <v>0</v>
      </c>
      <c r="M104" s="184">
        <f t="shared" si="3"/>
        <v>-0.28999999999999998</v>
      </c>
      <c r="O104" s="195"/>
    </row>
    <row r="105" spans="1:17">
      <c r="A105" s="187" t="s">
        <v>21</v>
      </c>
      <c r="B105" s="189" t="s">
        <v>1957</v>
      </c>
      <c r="C105" s="189" t="s">
        <v>1956</v>
      </c>
      <c r="D105" s="187" t="s">
        <v>1958</v>
      </c>
      <c r="E105" s="189" t="s">
        <v>75</v>
      </c>
      <c r="F105" s="187" t="s">
        <v>1602</v>
      </c>
      <c r="G105" s="189" t="s">
        <v>2127</v>
      </c>
      <c r="H105" s="189">
        <v>201608</v>
      </c>
      <c r="I105" s="310">
        <v>-121183.22</v>
      </c>
      <c r="J105" s="185">
        <v>0</v>
      </c>
      <c r="K105" s="186">
        <v>1.4833299999999999E-3</v>
      </c>
      <c r="L105" s="184">
        <f t="shared" si="2"/>
        <v>0</v>
      </c>
      <c r="M105" s="184">
        <f t="shared" si="3"/>
        <v>-2157.06</v>
      </c>
    </row>
    <row r="106" spans="1:17">
      <c r="A106" s="187" t="s">
        <v>14</v>
      </c>
      <c r="B106" s="189" t="s">
        <v>2135</v>
      </c>
      <c r="C106" s="118" t="s">
        <v>1681</v>
      </c>
      <c r="D106" s="187" t="s">
        <v>2136</v>
      </c>
      <c r="E106" s="189" t="s">
        <v>294</v>
      </c>
      <c r="F106" s="187" t="s">
        <v>1613</v>
      </c>
      <c r="G106" s="189" t="s">
        <v>2127</v>
      </c>
      <c r="H106" s="189">
        <v>201608</v>
      </c>
      <c r="I106" s="310">
        <v>-30352.11</v>
      </c>
      <c r="J106" s="185">
        <v>0</v>
      </c>
      <c r="K106" s="186">
        <v>2.23333E-3</v>
      </c>
      <c r="L106" s="184">
        <f t="shared" si="2"/>
        <v>0</v>
      </c>
      <c r="M106" s="184">
        <f t="shared" si="3"/>
        <v>-813.44</v>
      </c>
    </row>
    <row r="107" spans="1:17">
      <c r="A107" s="187" t="s">
        <v>14</v>
      </c>
      <c r="B107" s="189" t="s">
        <v>196</v>
      </c>
      <c r="C107" s="189" t="s">
        <v>195</v>
      </c>
      <c r="D107" s="187" t="s">
        <v>1674</v>
      </c>
      <c r="E107" s="189" t="s">
        <v>198</v>
      </c>
      <c r="F107" s="187" t="s">
        <v>1610</v>
      </c>
      <c r="G107" s="189" t="s">
        <v>2127</v>
      </c>
      <c r="H107" s="189">
        <v>201608</v>
      </c>
      <c r="I107" s="310">
        <v>-20973.98</v>
      </c>
      <c r="J107" s="185">
        <v>0</v>
      </c>
      <c r="K107" s="186">
        <v>2.23333E-3</v>
      </c>
      <c r="L107" s="184">
        <f t="shared" si="2"/>
        <v>0</v>
      </c>
      <c r="M107" s="184">
        <f t="shared" si="3"/>
        <v>-562.1</v>
      </c>
    </row>
    <row r="108" spans="1:17">
      <c r="A108" s="187" t="s">
        <v>1942</v>
      </c>
      <c r="B108" s="189" t="s">
        <v>196</v>
      </c>
      <c r="C108" s="189" t="s">
        <v>195</v>
      </c>
      <c r="D108" s="187" t="s">
        <v>1674</v>
      </c>
      <c r="E108" s="189" t="s">
        <v>198</v>
      </c>
      <c r="F108" s="187" t="s">
        <v>1610</v>
      </c>
      <c r="G108" s="189" t="s">
        <v>2127</v>
      </c>
      <c r="H108" s="189">
        <v>201608</v>
      </c>
      <c r="I108" s="310">
        <v>-17561.23</v>
      </c>
      <c r="J108" s="185">
        <v>0</v>
      </c>
      <c r="K108" s="186">
        <v>2.23333E-3</v>
      </c>
      <c r="L108" s="184">
        <f t="shared" si="2"/>
        <v>0</v>
      </c>
      <c r="M108" s="184">
        <f t="shared" si="3"/>
        <v>-470.64</v>
      </c>
    </row>
    <row r="109" spans="1:17">
      <c r="A109" s="187" t="s">
        <v>14</v>
      </c>
      <c r="B109" s="189" t="s">
        <v>2131</v>
      </c>
      <c r="C109" s="118" t="s">
        <v>1681</v>
      </c>
      <c r="D109" s="187" t="s">
        <v>2132</v>
      </c>
      <c r="E109" s="189" t="s">
        <v>198</v>
      </c>
      <c r="F109" s="187" t="s">
        <v>1610</v>
      </c>
      <c r="G109" s="189" t="s">
        <v>2127</v>
      </c>
      <c r="H109" s="189">
        <v>201608</v>
      </c>
      <c r="I109" s="310">
        <v>-15805.72</v>
      </c>
      <c r="J109" s="185">
        <v>0</v>
      </c>
      <c r="K109" s="186">
        <v>2.23333E-3</v>
      </c>
      <c r="L109" s="184">
        <f t="shared" si="2"/>
        <v>0</v>
      </c>
      <c r="M109" s="184">
        <f t="shared" si="3"/>
        <v>-423.59</v>
      </c>
    </row>
    <row r="110" spans="1:17">
      <c r="A110" s="187" t="s">
        <v>14</v>
      </c>
      <c r="B110" s="189" t="s">
        <v>2133</v>
      </c>
      <c r="C110" s="118" t="s">
        <v>1681</v>
      </c>
      <c r="D110" s="187" t="s">
        <v>2134</v>
      </c>
      <c r="E110" s="189" t="s">
        <v>202</v>
      </c>
      <c r="F110" s="187" t="s">
        <v>1611</v>
      </c>
      <c r="G110" s="189" t="s">
        <v>2127</v>
      </c>
      <c r="H110" s="189">
        <v>201608</v>
      </c>
      <c r="I110" s="310">
        <v>-15624.83</v>
      </c>
      <c r="J110" s="185">
        <v>0</v>
      </c>
      <c r="K110" s="186">
        <v>2.23333E-3</v>
      </c>
      <c r="L110" s="184">
        <f t="shared" si="2"/>
        <v>0</v>
      </c>
      <c r="M110" s="184">
        <f t="shared" si="3"/>
        <v>-418.74</v>
      </c>
    </row>
    <row r="111" spans="1:17">
      <c r="A111" s="187" t="s">
        <v>21</v>
      </c>
      <c r="B111" s="189" t="s">
        <v>2058</v>
      </c>
      <c r="C111" s="189" t="s">
        <v>2057</v>
      </c>
      <c r="D111" s="187" t="s">
        <v>2059</v>
      </c>
      <c r="E111" s="189" t="s">
        <v>156</v>
      </c>
      <c r="F111" s="187" t="s">
        <v>26</v>
      </c>
      <c r="G111" s="189" t="s">
        <v>2127</v>
      </c>
      <c r="H111" s="189">
        <v>201608</v>
      </c>
      <c r="I111" s="310">
        <v>-11262.75</v>
      </c>
      <c r="J111" s="185">
        <v>0</v>
      </c>
      <c r="K111" s="186">
        <v>1.4833299999999999E-3</v>
      </c>
      <c r="L111" s="184">
        <f t="shared" si="2"/>
        <v>0</v>
      </c>
      <c r="M111" s="184">
        <f t="shared" si="3"/>
        <v>-200.48</v>
      </c>
    </row>
    <row r="112" spans="1:17">
      <c r="A112" s="187" t="s">
        <v>21</v>
      </c>
      <c r="B112" s="189" t="s">
        <v>1905</v>
      </c>
      <c r="C112" s="189" t="s">
        <v>1904</v>
      </c>
      <c r="D112" s="187" t="s">
        <v>1906</v>
      </c>
      <c r="E112" s="189" t="s">
        <v>75</v>
      </c>
      <c r="F112" s="187" t="s">
        <v>1602</v>
      </c>
      <c r="G112" s="189" t="s">
        <v>2127</v>
      </c>
      <c r="H112" s="189">
        <v>201608</v>
      </c>
      <c r="I112" s="310">
        <v>-10007.34</v>
      </c>
      <c r="J112" s="185">
        <v>0</v>
      </c>
      <c r="K112" s="186">
        <v>1.4833299999999999E-3</v>
      </c>
      <c r="L112" s="184">
        <f t="shared" si="2"/>
        <v>0</v>
      </c>
      <c r="M112" s="184">
        <f t="shared" si="3"/>
        <v>-178.13</v>
      </c>
    </row>
    <row r="113" spans="1:13">
      <c r="A113" s="187" t="s">
        <v>14</v>
      </c>
      <c r="B113" s="189" t="s">
        <v>293</v>
      </c>
      <c r="C113" s="189" t="s">
        <v>292</v>
      </c>
      <c r="D113" s="187" t="s">
        <v>1679</v>
      </c>
      <c r="E113" s="189" t="s">
        <v>294</v>
      </c>
      <c r="F113" s="187" t="s">
        <v>1613</v>
      </c>
      <c r="G113" s="189" t="s">
        <v>2127</v>
      </c>
      <c r="H113" s="189">
        <v>201608</v>
      </c>
      <c r="I113" s="310">
        <v>-4054.78</v>
      </c>
      <c r="J113" s="185">
        <v>0</v>
      </c>
      <c r="K113" s="186">
        <v>2.23333E-3</v>
      </c>
      <c r="L113" s="184">
        <f t="shared" si="2"/>
        <v>0</v>
      </c>
      <c r="M113" s="184">
        <f t="shared" si="3"/>
        <v>-108.67</v>
      </c>
    </row>
    <row r="114" spans="1:13">
      <c r="A114" s="187" t="s">
        <v>21</v>
      </c>
      <c r="B114" s="189" t="s">
        <v>1882</v>
      </c>
      <c r="C114" s="189" t="s">
        <v>1881</v>
      </c>
      <c r="D114" s="187" t="s">
        <v>1883</v>
      </c>
      <c r="E114" s="189" t="s">
        <v>75</v>
      </c>
      <c r="F114" s="187" t="s">
        <v>1602</v>
      </c>
      <c r="G114" s="189" t="s">
        <v>2127</v>
      </c>
      <c r="H114" s="189">
        <v>201608</v>
      </c>
      <c r="I114" s="310">
        <v>-3784.8</v>
      </c>
      <c r="J114" s="185">
        <v>0</v>
      </c>
      <c r="K114" s="186">
        <v>1.4833299999999999E-3</v>
      </c>
      <c r="L114" s="184">
        <f t="shared" si="2"/>
        <v>0</v>
      </c>
      <c r="M114" s="184">
        <f t="shared" si="3"/>
        <v>-67.37</v>
      </c>
    </row>
    <row r="115" spans="1:13">
      <c r="A115" s="187" t="s">
        <v>1942</v>
      </c>
      <c r="B115" s="189" t="s">
        <v>2131</v>
      </c>
      <c r="C115" s="118" t="s">
        <v>1681</v>
      </c>
      <c r="D115" s="187" t="s">
        <v>2132</v>
      </c>
      <c r="E115" s="189" t="s">
        <v>198</v>
      </c>
      <c r="F115" s="187" t="s">
        <v>1610</v>
      </c>
      <c r="G115" s="189" t="s">
        <v>2127</v>
      </c>
      <c r="H115" s="189">
        <v>201608</v>
      </c>
      <c r="I115" s="310">
        <v>-3668.9</v>
      </c>
      <c r="J115" s="185">
        <v>0</v>
      </c>
      <c r="K115" s="186">
        <v>2.23333E-3</v>
      </c>
      <c r="L115" s="184">
        <f t="shared" si="2"/>
        <v>0</v>
      </c>
      <c r="M115" s="184">
        <f t="shared" si="3"/>
        <v>-98.33</v>
      </c>
    </row>
    <row r="116" spans="1:13">
      <c r="A116" s="187" t="s">
        <v>1942</v>
      </c>
      <c r="B116" s="189" t="s">
        <v>2133</v>
      </c>
      <c r="C116" s="118" t="s">
        <v>1681</v>
      </c>
      <c r="D116" s="187" t="s">
        <v>2134</v>
      </c>
      <c r="E116" s="189" t="s">
        <v>202</v>
      </c>
      <c r="F116" s="187" t="s">
        <v>1611</v>
      </c>
      <c r="G116" s="189" t="s">
        <v>2127</v>
      </c>
      <c r="H116" s="189">
        <v>201608</v>
      </c>
      <c r="I116" s="310">
        <v>-3664.8</v>
      </c>
      <c r="J116" s="185">
        <v>0</v>
      </c>
      <c r="K116" s="186">
        <v>2.23333E-3</v>
      </c>
      <c r="L116" s="184">
        <f t="shared" si="2"/>
        <v>0</v>
      </c>
      <c r="M116" s="184">
        <f t="shared" si="3"/>
        <v>-98.22</v>
      </c>
    </row>
    <row r="117" spans="1:13">
      <c r="A117" s="187" t="s">
        <v>21</v>
      </c>
      <c r="B117" s="189" t="s">
        <v>1928</v>
      </c>
      <c r="C117" s="189" t="s">
        <v>1927</v>
      </c>
      <c r="D117" s="187" t="s">
        <v>1929</v>
      </c>
      <c r="E117" s="189" t="s">
        <v>75</v>
      </c>
      <c r="F117" s="187" t="s">
        <v>1602</v>
      </c>
      <c r="G117" s="189" t="s">
        <v>2127</v>
      </c>
      <c r="H117" s="189">
        <v>201608</v>
      </c>
      <c r="I117" s="310">
        <v>-3555.02</v>
      </c>
      <c r="J117" s="185">
        <v>0</v>
      </c>
      <c r="K117" s="186">
        <v>1.4833299999999999E-3</v>
      </c>
      <c r="L117" s="184">
        <f t="shared" si="2"/>
        <v>0</v>
      </c>
      <c r="M117" s="184">
        <f t="shared" si="3"/>
        <v>-63.28</v>
      </c>
    </row>
    <row r="118" spans="1:13">
      <c r="A118" s="187" t="s">
        <v>21</v>
      </c>
      <c r="B118" s="189" t="s">
        <v>1960</v>
      </c>
      <c r="C118" s="189" t="s">
        <v>1959</v>
      </c>
      <c r="D118" s="187" t="s">
        <v>1495</v>
      </c>
      <c r="E118" s="189" t="s">
        <v>75</v>
      </c>
      <c r="F118" s="187" t="s">
        <v>1602</v>
      </c>
      <c r="G118" s="189" t="s">
        <v>2127</v>
      </c>
      <c r="H118" s="189">
        <v>201608</v>
      </c>
      <c r="I118" s="310">
        <v>-3367.92</v>
      </c>
      <c r="J118" s="185">
        <v>0</v>
      </c>
      <c r="K118" s="186">
        <v>1.4833299999999999E-3</v>
      </c>
      <c r="L118" s="184">
        <f t="shared" si="2"/>
        <v>0</v>
      </c>
      <c r="M118" s="184">
        <f t="shared" si="3"/>
        <v>-59.95</v>
      </c>
    </row>
    <row r="119" spans="1:13">
      <c r="A119" s="187" t="s">
        <v>21</v>
      </c>
      <c r="B119" s="189" t="s">
        <v>2250</v>
      </c>
      <c r="C119" s="189" t="s">
        <v>2251</v>
      </c>
      <c r="D119" s="187" t="s">
        <v>1759</v>
      </c>
      <c r="E119" s="189" t="s">
        <v>75</v>
      </c>
      <c r="F119" s="187" t="s">
        <v>1602</v>
      </c>
      <c r="G119" s="189" t="s">
        <v>2127</v>
      </c>
      <c r="H119" s="189">
        <v>201608</v>
      </c>
      <c r="I119" s="310">
        <v>-2953.24</v>
      </c>
      <c r="J119" s="185">
        <v>0</v>
      </c>
      <c r="K119" s="186">
        <v>1.4833299999999999E-3</v>
      </c>
      <c r="L119" s="184">
        <f t="shared" si="2"/>
        <v>0</v>
      </c>
      <c r="M119" s="184">
        <f t="shared" si="3"/>
        <v>-52.57</v>
      </c>
    </row>
    <row r="120" spans="1:13">
      <c r="A120" s="187" t="s">
        <v>1942</v>
      </c>
      <c r="B120" s="189" t="s">
        <v>2135</v>
      </c>
      <c r="C120" s="118" t="s">
        <v>1681</v>
      </c>
      <c r="D120" s="187" t="s">
        <v>2136</v>
      </c>
      <c r="E120" s="189" t="s">
        <v>294</v>
      </c>
      <c r="F120" s="187" t="s">
        <v>1613</v>
      </c>
      <c r="G120" s="189" t="s">
        <v>2127</v>
      </c>
      <c r="H120" s="189">
        <v>201608</v>
      </c>
      <c r="I120" s="310">
        <v>-2296.37</v>
      </c>
      <c r="J120" s="185">
        <v>0</v>
      </c>
      <c r="K120" s="186">
        <v>2.23333E-3</v>
      </c>
      <c r="L120" s="184">
        <f t="shared" si="2"/>
        <v>0</v>
      </c>
      <c r="M120" s="184">
        <f t="shared" si="3"/>
        <v>-61.54</v>
      </c>
    </row>
    <row r="121" spans="1:13">
      <c r="A121" s="187" t="s">
        <v>21</v>
      </c>
      <c r="B121" s="189" t="s">
        <v>2116</v>
      </c>
      <c r="C121" s="189" t="s">
        <v>2115</v>
      </c>
      <c r="D121" s="187" t="s">
        <v>1338</v>
      </c>
      <c r="E121" s="189" t="s">
        <v>75</v>
      </c>
      <c r="F121" s="187" t="s">
        <v>1602</v>
      </c>
      <c r="G121" s="189" t="s">
        <v>2127</v>
      </c>
      <c r="H121" s="189">
        <v>201608</v>
      </c>
      <c r="I121" s="310">
        <v>-1874.1</v>
      </c>
      <c r="J121" s="185">
        <v>0</v>
      </c>
      <c r="K121" s="186">
        <v>1.4833299999999999E-3</v>
      </c>
      <c r="L121" s="184">
        <f t="shared" si="2"/>
        <v>0</v>
      </c>
      <c r="M121" s="184">
        <f t="shared" si="3"/>
        <v>-33.36</v>
      </c>
    </row>
    <row r="122" spans="1:13">
      <c r="A122" s="187" t="s">
        <v>626</v>
      </c>
      <c r="B122" s="189" t="s">
        <v>1853</v>
      </c>
      <c r="C122" s="118" t="s">
        <v>1681</v>
      </c>
      <c r="D122" s="187" t="s">
        <v>1854</v>
      </c>
      <c r="E122" s="189" t="s">
        <v>260</v>
      </c>
      <c r="F122" s="187" t="s">
        <v>1608</v>
      </c>
      <c r="G122" s="189" t="s">
        <v>2127</v>
      </c>
      <c r="H122" s="189">
        <v>201608</v>
      </c>
      <c r="I122" s="310">
        <v>-1642.91</v>
      </c>
      <c r="J122" s="185">
        <v>0</v>
      </c>
      <c r="K122" s="186">
        <v>1.4833299999999999E-3</v>
      </c>
      <c r="L122" s="184">
        <f t="shared" si="2"/>
        <v>0</v>
      </c>
      <c r="M122" s="184">
        <f t="shared" si="3"/>
        <v>-29.24</v>
      </c>
    </row>
    <row r="123" spans="1:13">
      <c r="A123" s="187" t="s">
        <v>626</v>
      </c>
      <c r="B123" s="189" t="s">
        <v>2058</v>
      </c>
      <c r="C123" s="189" t="s">
        <v>2057</v>
      </c>
      <c r="D123" s="187" t="s">
        <v>2059</v>
      </c>
      <c r="E123" s="189" t="s">
        <v>156</v>
      </c>
      <c r="F123" s="187" t="s">
        <v>26</v>
      </c>
      <c r="G123" s="189" t="s">
        <v>2127</v>
      </c>
      <c r="H123" s="189">
        <v>201608</v>
      </c>
      <c r="I123" s="310">
        <v>-906.8</v>
      </c>
      <c r="J123" s="185">
        <v>0</v>
      </c>
      <c r="K123" s="186">
        <v>1.4833299999999999E-3</v>
      </c>
      <c r="L123" s="184">
        <f t="shared" si="2"/>
        <v>0</v>
      </c>
      <c r="M123" s="184">
        <f t="shared" si="3"/>
        <v>-16.14</v>
      </c>
    </row>
    <row r="124" spans="1:13">
      <c r="A124" s="187" t="s">
        <v>21</v>
      </c>
      <c r="B124" s="189" t="s">
        <v>1952</v>
      </c>
      <c r="C124" s="189" t="s">
        <v>1951</v>
      </c>
      <c r="D124" s="187" t="s">
        <v>1759</v>
      </c>
      <c r="E124" s="189" t="s">
        <v>75</v>
      </c>
      <c r="F124" s="187" t="s">
        <v>1602</v>
      </c>
      <c r="G124" s="189" t="s">
        <v>2127</v>
      </c>
      <c r="H124" s="189">
        <v>201608</v>
      </c>
      <c r="I124" s="310">
        <v>-889.21</v>
      </c>
      <c r="J124" s="185">
        <v>0</v>
      </c>
      <c r="K124" s="186">
        <v>1.4833299999999999E-3</v>
      </c>
      <c r="L124" s="184">
        <f t="shared" si="2"/>
        <v>0</v>
      </c>
      <c r="M124" s="184">
        <f t="shared" si="3"/>
        <v>-15.83</v>
      </c>
    </row>
    <row r="125" spans="1:13">
      <c r="A125" s="187" t="s">
        <v>1942</v>
      </c>
      <c r="B125" s="189" t="s">
        <v>293</v>
      </c>
      <c r="C125" s="189" t="s">
        <v>292</v>
      </c>
      <c r="D125" s="187" t="s">
        <v>1679</v>
      </c>
      <c r="E125" s="189" t="s">
        <v>294</v>
      </c>
      <c r="F125" s="187" t="s">
        <v>1613</v>
      </c>
      <c r="G125" s="189" t="s">
        <v>2127</v>
      </c>
      <c r="H125" s="189">
        <v>201608</v>
      </c>
      <c r="I125" s="310">
        <v>-815.66</v>
      </c>
      <c r="J125" s="185">
        <v>0</v>
      </c>
      <c r="K125" s="186">
        <v>2.23333E-3</v>
      </c>
      <c r="L125" s="184">
        <f t="shared" si="2"/>
        <v>0</v>
      </c>
      <c r="M125" s="184">
        <f t="shared" si="3"/>
        <v>-21.86</v>
      </c>
    </row>
    <row r="126" spans="1:13">
      <c r="A126" s="187" t="s">
        <v>626</v>
      </c>
      <c r="B126" s="189" t="s">
        <v>1882</v>
      </c>
      <c r="C126" s="189" t="s">
        <v>1881</v>
      </c>
      <c r="D126" s="187" t="s">
        <v>1883</v>
      </c>
      <c r="E126" s="189" t="s">
        <v>75</v>
      </c>
      <c r="F126" s="187" t="s">
        <v>1602</v>
      </c>
      <c r="G126" s="189" t="s">
        <v>2127</v>
      </c>
      <c r="H126" s="189">
        <v>201608</v>
      </c>
      <c r="I126" s="310">
        <v>-811.13</v>
      </c>
      <c r="J126" s="185">
        <v>0</v>
      </c>
      <c r="K126" s="186">
        <v>1.4833299999999999E-3</v>
      </c>
      <c r="L126" s="184">
        <f t="shared" si="2"/>
        <v>0</v>
      </c>
      <c r="M126" s="184">
        <f t="shared" si="3"/>
        <v>-14.44</v>
      </c>
    </row>
    <row r="127" spans="1:13">
      <c r="A127" s="187" t="s">
        <v>626</v>
      </c>
      <c r="B127" s="189" t="s">
        <v>1905</v>
      </c>
      <c r="C127" s="189" t="s">
        <v>1904</v>
      </c>
      <c r="D127" s="187" t="s">
        <v>1906</v>
      </c>
      <c r="E127" s="189" t="s">
        <v>75</v>
      </c>
      <c r="F127" s="187" t="s">
        <v>1602</v>
      </c>
      <c r="G127" s="189" t="s">
        <v>2127</v>
      </c>
      <c r="H127" s="189">
        <v>201608</v>
      </c>
      <c r="I127" s="310">
        <v>-581.97</v>
      </c>
      <c r="J127" s="185">
        <v>0</v>
      </c>
      <c r="K127" s="186">
        <v>1.4833299999999999E-3</v>
      </c>
      <c r="L127" s="184">
        <f t="shared" si="2"/>
        <v>0</v>
      </c>
      <c r="M127" s="184">
        <f t="shared" si="3"/>
        <v>-10.36</v>
      </c>
    </row>
    <row r="128" spans="1:13">
      <c r="A128" s="187" t="s">
        <v>21</v>
      </c>
      <c r="B128" s="189" t="s">
        <v>1974</v>
      </c>
      <c r="C128" s="189" t="s">
        <v>1973</v>
      </c>
      <c r="D128" s="187" t="s">
        <v>1975</v>
      </c>
      <c r="E128" s="189" t="s">
        <v>87</v>
      </c>
      <c r="F128" s="187" t="s">
        <v>1603</v>
      </c>
      <c r="G128" s="189" t="s">
        <v>2127</v>
      </c>
      <c r="H128" s="189">
        <v>201608</v>
      </c>
      <c r="I128" s="310">
        <v>-419.71</v>
      </c>
      <c r="J128" s="185">
        <v>0</v>
      </c>
      <c r="K128" s="186">
        <v>1.4833299999999999E-3</v>
      </c>
      <c r="L128" s="184">
        <f t="shared" si="2"/>
        <v>0</v>
      </c>
      <c r="M128" s="184">
        <f t="shared" si="3"/>
        <v>-7.47</v>
      </c>
    </row>
    <row r="129" spans="1:13">
      <c r="A129" s="187" t="s">
        <v>626</v>
      </c>
      <c r="B129" s="189" t="s">
        <v>2067</v>
      </c>
      <c r="C129" s="118" t="s">
        <v>1681</v>
      </c>
      <c r="D129" s="187" t="s">
        <v>2068</v>
      </c>
      <c r="E129" s="189" t="s">
        <v>93</v>
      </c>
      <c r="F129" s="187" t="s">
        <v>1601</v>
      </c>
      <c r="G129" s="189" t="s">
        <v>2127</v>
      </c>
      <c r="H129" s="189">
        <v>201608</v>
      </c>
      <c r="I129" s="310">
        <v>-416.96</v>
      </c>
      <c r="J129" s="185">
        <v>0</v>
      </c>
      <c r="K129" s="186">
        <v>1.4833299999999999E-3</v>
      </c>
      <c r="L129" s="184">
        <f t="shared" si="2"/>
        <v>0</v>
      </c>
      <c r="M129" s="184">
        <f t="shared" si="3"/>
        <v>-7.42</v>
      </c>
    </row>
    <row r="130" spans="1:13">
      <c r="A130" s="187" t="s">
        <v>626</v>
      </c>
      <c r="B130" s="189" t="s">
        <v>1952</v>
      </c>
      <c r="C130" s="189" t="s">
        <v>1951</v>
      </c>
      <c r="D130" s="187" t="s">
        <v>1759</v>
      </c>
      <c r="E130" s="189" t="s">
        <v>75</v>
      </c>
      <c r="F130" s="187" t="s">
        <v>1602</v>
      </c>
      <c r="G130" s="189" t="s">
        <v>2127</v>
      </c>
      <c r="H130" s="189">
        <v>201608</v>
      </c>
      <c r="I130" s="310">
        <v>-297.32</v>
      </c>
      <c r="J130" s="185">
        <v>0</v>
      </c>
      <c r="K130" s="186">
        <v>1.4833299999999999E-3</v>
      </c>
      <c r="L130" s="184">
        <f t="shared" si="2"/>
        <v>0</v>
      </c>
      <c r="M130" s="184">
        <f t="shared" si="3"/>
        <v>-5.29</v>
      </c>
    </row>
    <row r="131" spans="1:13">
      <c r="A131" s="187" t="s">
        <v>1942</v>
      </c>
      <c r="B131" s="189" t="s">
        <v>201</v>
      </c>
      <c r="C131" s="189" t="s">
        <v>200</v>
      </c>
      <c r="D131" s="187" t="s">
        <v>1675</v>
      </c>
      <c r="E131" s="189" t="s">
        <v>202</v>
      </c>
      <c r="F131" s="187" t="s">
        <v>1611</v>
      </c>
      <c r="G131" s="189" t="s">
        <v>2127</v>
      </c>
      <c r="H131" s="189">
        <v>201608</v>
      </c>
      <c r="I131" s="310">
        <v>-241.84</v>
      </c>
      <c r="J131" s="185">
        <v>0</v>
      </c>
      <c r="K131" s="186">
        <v>2.23333E-3</v>
      </c>
      <c r="L131" s="184">
        <f t="shared" si="2"/>
        <v>0</v>
      </c>
      <c r="M131" s="184">
        <f t="shared" si="3"/>
        <v>-6.48</v>
      </c>
    </row>
    <row r="132" spans="1:13">
      <c r="A132" s="187" t="s">
        <v>14</v>
      </c>
      <c r="B132" s="189" t="s">
        <v>1682</v>
      </c>
      <c r="C132" s="118" t="s">
        <v>1681</v>
      </c>
      <c r="D132" s="187" t="s">
        <v>1683</v>
      </c>
      <c r="E132" s="189" t="s">
        <v>198</v>
      </c>
      <c r="F132" s="187" t="s">
        <v>1610</v>
      </c>
      <c r="G132" s="189" t="s">
        <v>2127</v>
      </c>
      <c r="H132" s="189">
        <v>201608</v>
      </c>
      <c r="I132" s="310">
        <v>-185.44</v>
      </c>
      <c r="J132" s="185">
        <v>0</v>
      </c>
      <c r="K132" s="186">
        <v>2.23333E-3</v>
      </c>
      <c r="L132" s="184">
        <f t="shared" si="2"/>
        <v>0</v>
      </c>
      <c r="M132" s="184">
        <f t="shared" si="3"/>
        <v>-4.97</v>
      </c>
    </row>
    <row r="133" spans="1:13">
      <c r="A133" s="187" t="s">
        <v>14</v>
      </c>
      <c r="B133" s="189" t="s">
        <v>201</v>
      </c>
      <c r="C133" s="189" t="s">
        <v>200</v>
      </c>
      <c r="D133" s="187" t="s">
        <v>1675</v>
      </c>
      <c r="E133" s="189" t="s">
        <v>202</v>
      </c>
      <c r="F133" s="187" t="s">
        <v>1611</v>
      </c>
      <c r="G133" s="189" t="s">
        <v>2127</v>
      </c>
      <c r="H133" s="189">
        <v>201608</v>
      </c>
      <c r="I133" s="310">
        <v>-175.61</v>
      </c>
      <c r="J133" s="185">
        <v>0</v>
      </c>
      <c r="K133" s="186">
        <v>2.23333E-3</v>
      </c>
      <c r="L133" s="184">
        <f t="shared" ref="L133:L136" si="4">ROUND(I133*J133*K133,2)</f>
        <v>0</v>
      </c>
      <c r="M133" s="184">
        <f t="shared" ref="M133:M136" si="5">ROUND(I133*K133*12,2)</f>
        <v>-4.71</v>
      </c>
    </row>
    <row r="134" spans="1:13">
      <c r="A134" s="187" t="s">
        <v>1942</v>
      </c>
      <c r="B134" s="189" t="s">
        <v>1682</v>
      </c>
      <c r="C134" s="189" t="s">
        <v>1681</v>
      </c>
      <c r="D134" s="187" t="s">
        <v>1683</v>
      </c>
      <c r="E134" s="189" t="s">
        <v>198</v>
      </c>
      <c r="F134" s="187" t="s">
        <v>1610</v>
      </c>
      <c r="G134" s="189" t="s">
        <v>2127</v>
      </c>
      <c r="H134" s="189">
        <v>201608</v>
      </c>
      <c r="I134" s="310">
        <v>-71.39</v>
      </c>
      <c r="J134" s="185">
        <v>0</v>
      </c>
      <c r="K134" s="186">
        <v>2.23333E-3</v>
      </c>
      <c r="L134" s="184">
        <f t="shared" si="4"/>
        <v>0</v>
      </c>
      <c r="M134" s="184">
        <f t="shared" si="5"/>
        <v>-1.91</v>
      </c>
    </row>
    <row r="135" spans="1:13">
      <c r="A135" s="187" t="s">
        <v>1942</v>
      </c>
      <c r="B135" s="189" t="s">
        <v>1943</v>
      </c>
      <c r="C135" s="118" t="s">
        <v>1681</v>
      </c>
      <c r="D135" s="187" t="s">
        <v>1944</v>
      </c>
      <c r="E135" s="189" t="s">
        <v>202</v>
      </c>
      <c r="F135" s="187" t="s">
        <v>1611</v>
      </c>
      <c r="G135" s="189" t="s">
        <v>2127</v>
      </c>
      <c r="H135" s="189">
        <v>201608</v>
      </c>
      <c r="I135" s="310">
        <v>-67.56</v>
      </c>
      <c r="J135" s="185">
        <v>0</v>
      </c>
      <c r="K135" s="186">
        <v>2.23333E-3</v>
      </c>
      <c r="L135" s="184">
        <f t="shared" si="4"/>
        <v>0</v>
      </c>
      <c r="M135" s="184">
        <f t="shared" si="5"/>
        <v>-1.81</v>
      </c>
    </row>
    <row r="136" spans="1:13">
      <c r="A136" s="187" t="s">
        <v>626</v>
      </c>
      <c r="B136" s="189" t="s">
        <v>1928</v>
      </c>
      <c r="C136" s="189" t="s">
        <v>1927</v>
      </c>
      <c r="D136" s="187" t="s">
        <v>1929</v>
      </c>
      <c r="E136" s="189" t="s">
        <v>75</v>
      </c>
      <c r="F136" s="187" t="s">
        <v>1602</v>
      </c>
      <c r="G136" s="189" t="s">
        <v>2127</v>
      </c>
      <c r="H136" s="189">
        <v>201608</v>
      </c>
      <c r="I136" s="310">
        <v>-49.22</v>
      </c>
      <c r="J136" s="185">
        <v>0</v>
      </c>
      <c r="K136" s="186">
        <v>1.4833299999999999E-3</v>
      </c>
      <c r="L136" s="184">
        <f t="shared" si="4"/>
        <v>0</v>
      </c>
      <c r="M136" s="184">
        <f t="shared" si="5"/>
        <v>-0.88</v>
      </c>
    </row>
    <row r="138" spans="1:13" ht="15.75" thickBot="1">
      <c r="H138" s="196" t="s">
        <v>2137</v>
      </c>
      <c r="I138" s="197">
        <f>SUM(I5:I137)</f>
        <v>-945622.01000000024</v>
      </c>
      <c r="M138" s="197">
        <f>SUM(M5:M137)</f>
        <v>-22424.09</v>
      </c>
    </row>
    <row r="139" spans="1:13" ht="15.75" thickTop="1"/>
  </sheetData>
  <pageMargins left="0.7" right="0.7" top="0.75" bottom="0.75" header="0.3" footer="0.3"/>
  <pageSetup scale="61" fitToHeight="0" orientation="landscape" r:id="rId1"/>
  <headerFooter>
    <oddHeader>&amp;RAppendix D
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13</vt:i4>
      </vt:variant>
    </vt:vector>
  </HeadingPairs>
  <TitlesOfParts>
    <vt:vector size="41" baseType="lpstr">
      <vt:lpstr>ISRS Addns Mar-July 2016 sorted</vt:lpstr>
      <vt:lpstr>ISRS Addns Mar-July 2016</vt:lpstr>
      <vt:lpstr>ISRS Addns Nov-Jan 2017 Sorted</vt:lpstr>
      <vt:lpstr>ISRS Addns Nov and Dec 2016</vt:lpstr>
      <vt:lpstr>MGEISRS Addns Nov 16 - Jan 2017</vt:lpstr>
      <vt:lpstr>Jan Addns Only</vt:lpstr>
      <vt:lpstr>New Jan WO Detailed Desc</vt:lpstr>
      <vt:lpstr>New Wo Detailed Descr Rev</vt:lpstr>
      <vt:lpstr>MGE ISRS Retire Mar-Aug 16</vt:lpstr>
      <vt:lpstr>MGE ISRS Retire Mar-Jul 16</vt:lpstr>
      <vt:lpstr>State &amp; Federal Requirements</vt:lpstr>
      <vt:lpstr>MGE ISRS Retire Nov and Dec 16</vt:lpstr>
      <vt:lpstr>MGE ISRS Retire Nov 16 - Jan 17</vt:lpstr>
      <vt:lpstr>Jan Ret Only</vt:lpstr>
      <vt:lpstr>Depr-DIT GR-2015-0025</vt:lpstr>
      <vt:lpstr>Depr-DIT GO-2015-0270</vt:lpstr>
      <vt:lpstr>Depr-DIT GO-2015-0343</vt:lpstr>
      <vt:lpstr>Depr-DIT GO-2016-0197</vt:lpstr>
      <vt:lpstr>Depr-DIT GO-2016-0332</vt:lpstr>
      <vt:lpstr>Depr-DIT Current</vt:lpstr>
      <vt:lpstr>MGE - Deferred Taxes</vt:lpstr>
      <vt:lpstr>Rate of Return</vt:lpstr>
      <vt:lpstr>Property Taxes</vt:lpstr>
      <vt:lpstr>Rev Req 9.75%</vt:lpstr>
      <vt:lpstr>summary</vt:lpstr>
      <vt:lpstr>9.75% Wtd Total</vt:lpstr>
      <vt:lpstr>Customers</vt:lpstr>
      <vt:lpstr>Reconciliation</vt:lpstr>
      <vt:lpstr>'9.75% Wtd Total'!Print_Area</vt:lpstr>
      <vt:lpstr>Customers!Print_Area</vt:lpstr>
      <vt:lpstr>'ISRS Addns Nov-Jan 2017 Sorted'!Print_Area</vt:lpstr>
      <vt:lpstr>'MGE - Deferred Taxes'!Print_Area</vt:lpstr>
      <vt:lpstr>'MGE ISRS Retire Mar-Aug 16'!Print_Area</vt:lpstr>
      <vt:lpstr>'Property Taxes'!Print_Area</vt:lpstr>
      <vt:lpstr>'Rate of Return'!Print_Area</vt:lpstr>
      <vt:lpstr>'Rev Req 9.75%'!Print_Area</vt:lpstr>
      <vt:lpstr>'State &amp; Federal Requirements'!Print_Area</vt:lpstr>
      <vt:lpstr>summary!Print_Area</vt:lpstr>
      <vt:lpstr>'ISRS Addns Nov-Jan 2017 Sorted'!Print_Titles</vt:lpstr>
      <vt:lpstr>'MGE ISRS Retire Mar-Aug 16'!Print_Titles</vt:lpstr>
      <vt:lpstr>'State &amp; Federal Requirements'!Print_Titles</vt:lpstr>
    </vt:vector>
  </TitlesOfParts>
  <Company>MGE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Noack, Michael</dc:creator>
  <cp:lastModifiedBy>Noack, Michael</cp:lastModifiedBy>
  <cp:lastPrinted>2017-01-31T23:27:17Z</cp:lastPrinted>
  <dcterms:created xsi:type="dcterms:W3CDTF">2016-07-25T21:13:14Z</dcterms:created>
  <dcterms:modified xsi:type="dcterms:W3CDTF">2017-02-15T01:49:15Z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